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S:\Shared\shared\TELECOMS\STOCKS\EMEA\Malaysia\01 Maxis\02 Model\"/>
    </mc:Choice>
  </mc:AlternateContent>
  <xr:revisionPtr revIDLastSave="0" documentId="13_ncr:1_{F946A8C5-3844-423D-A04D-AE47998C4DF1}" xr6:coauthVersionLast="47" xr6:coauthVersionMax="47" xr10:uidLastSave="{00000000-0000-0000-0000-000000000000}"/>
  <bookViews>
    <workbookView xWindow="-108" yWindow="-108" windowWidth="23256" windowHeight="12456" tabRatio="703" activeTab="3" xr2:uid="{00000000-000D-0000-FFFF-FFFF00000000}"/>
  </bookViews>
  <sheets>
    <sheet name="Cover" sheetId="8" r:id="rId1"/>
    <sheet name="DCF and Valuation" sheetId="4" r:id="rId2"/>
    <sheet name="Income Statement" sheetId="1" r:id="rId3"/>
    <sheet name="Balance Sheet and Cflow" sheetId="2" r:id="rId4"/>
    <sheet name="Anna" sheetId="3" r:id="rId5"/>
    <sheet name="Forward valuation" sheetId="10" r:id="rId6"/>
    <sheet name="Snap charts" sheetId="6" r:id="rId7"/>
    <sheet name="Link for Telenor" sheetId="5" r:id="rId8"/>
    <sheet name="Lisbon - New" sheetId="7" r:id="rId9"/>
    <sheet name="Disclaimer" sheetId="9" r:id="rId10"/>
  </sheets>
  <externalReferences>
    <externalReference r:id="rId11"/>
    <externalReference r:id="rId12"/>
    <externalReference r:id="rId13"/>
    <externalReference r:id="rId14"/>
    <externalReference r:id="rId15"/>
    <externalReference r:id="rId16"/>
  </externalReferences>
  <definedNames>
    <definedName name="_xlnm._FilterDatabase" localSheetId="5" hidden="1">'Forward valuation'!$AZ$2:$BC$2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439" i="1" l="1"/>
  <c r="BE438" i="1"/>
  <c r="R230" i="2"/>
  <c r="S226" i="2" s="1"/>
  <c r="CC438" i="1"/>
  <c r="R26" i="2" l="1"/>
  <c r="Q26" i="2"/>
  <c r="P26" i="2"/>
  <c r="O26" i="2"/>
  <c r="N26" i="2"/>
  <c r="CD469" i="1"/>
  <c r="S234" i="2"/>
  <c r="S237" i="2" s="1"/>
  <c r="T234" i="2" s="1"/>
  <c r="T237" i="2" s="1"/>
  <c r="U234" i="2" s="1"/>
  <c r="U237" i="2" s="1"/>
  <c r="V234" i="2" s="1"/>
  <c r="V237" i="2" s="1"/>
  <c r="W234" i="2" s="1"/>
  <c r="W237" i="2" s="1"/>
  <c r="X234" i="2" s="1"/>
  <c r="X237" i="2" s="1"/>
  <c r="Y234" i="2" s="1"/>
  <c r="Y237" i="2" s="1"/>
  <c r="Z234" i="2" s="1"/>
  <c r="Z237" i="2" s="1"/>
  <c r="AA234" i="2" s="1"/>
  <c r="AA237" i="2" s="1"/>
  <c r="R234" i="2"/>
  <c r="R235" i="2" s="1"/>
  <c r="Q234" i="2"/>
  <c r="Q235" i="2" s="1"/>
  <c r="R207" i="2"/>
  <c r="R119" i="2"/>
  <c r="R114" i="2"/>
  <c r="R115" i="2"/>
  <c r="R104" i="2"/>
  <c r="R91" i="2"/>
  <c r="R133" i="2"/>
  <c r="R123" i="2" s="1"/>
  <c r="P119" i="2"/>
  <c r="Q119" i="2"/>
  <c r="R185" i="2"/>
  <c r="R164" i="2"/>
  <c r="R157" i="2"/>
  <c r="R154" i="2"/>
  <c r="R113" i="2" l="1"/>
  <c r="R120" i="2"/>
  <c r="Q120" i="2"/>
  <c r="B36" i="4"/>
  <c r="BR25" i="7" l="1"/>
  <c r="BR29" i="7"/>
  <c r="C7" i="1"/>
  <c r="D7" i="1"/>
  <c r="E7" i="1"/>
  <c r="F7" i="1"/>
  <c r="G7" i="1"/>
  <c r="H7" i="1"/>
  <c r="I7" i="1"/>
  <c r="J7" i="1"/>
  <c r="K7" i="1"/>
  <c r="L7" i="1"/>
  <c r="M7" i="1"/>
  <c r="N7" i="1"/>
  <c r="O7" i="1"/>
  <c r="P7" i="1"/>
  <c r="Q7" i="1"/>
  <c r="R7" i="1"/>
  <c r="S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C8" i="1"/>
  <c r="D8" i="1"/>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C9" i="1"/>
  <c r="D9" i="1"/>
  <c r="E9" i="1"/>
  <c r="F9"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BA9" i="1"/>
  <c r="BB9" i="1"/>
  <c r="BC9" i="1"/>
  <c r="BD9" i="1"/>
  <c r="BE9" i="1"/>
  <c r="BF9" i="1"/>
  <c r="BG9" i="1"/>
  <c r="BH9" i="1"/>
  <c r="BI9" i="1"/>
  <c r="BJ9" i="1"/>
  <c r="BK9" i="1"/>
  <c r="BL9" i="1"/>
  <c r="BM9" i="1"/>
  <c r="BN9" i="1"/>
  <c r="BO9" i="1"/>
  <c r="C10" i="1"/>
  <c r="D10" i="1"/>
  <c r="E10" i="1"/>
  <c r="F10" i="1"/>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BA10" i="1"/>
  <c r="BB10" i="1"/>
  <c r="BC10" i="1"/>
  <c r="BD10" i="1"/>
  <c r="BE10" i="1"/>
  <c r="BF10" i="1"/>
  <c r="BG10" i="1"/>
  <c r="BH10" i="1"/>
  <c r="BI10" i="1"/>
  <c r="BJ10" i="1"/>
  <c r="BK10" i="1"/>
  <c r="BL10" i="1"/>
  <c r="BM10" i="1"/>
  <c r="BN10" i="1"/>
  <c r="BO10" i="1"/>
  <c r="C11" i="1"/>
  <c r="D11" i="1"/>
  <c r="E11" i="1"/>
  <c r="F11" i="1"/>
  <c r="G11" i="1"/>
  <c r="H11" i="1"/>
  <c r="I11" i="1"/>
  <c r="J11" i="1"/>
  <c r="K11" i="1"/>
  <c r="L11" i="1"/>
  <c r="M11" i="1"/>
  <c r="N11" i="1"/>
  <c r="O11" i="1"/>
  <c r="P11" i="1"/>
  <c r="Q11" i="1"/>
  <c r="R11" i="1"/>
  <c r="S11" i="1"/>
  <c r="T11" i="1"/>
  <c r="U11" i="1"/>
  <c r="V11" i="1"/>
  <c r="W11" i="1"/>
  <c r="X11" i="1"/>
  <c r="Y11" i="1"/>
  <c r="Z11" i="1"/>
  <c r="AA11" i="1"/>
  <c r="AB11" i="1"/>
  <c r="AC11" i="1"/>
  <c r="AD11" i="1"/>
  <c r="AE11" i="1"/>
  <c r="AF11" i="1"/>
  <c r="AG11" i="1"/>
  <c r="AH11" i="1"/>
  <c r="AI11" i="1"/>
  <c r="AJ11" i="1"/>
  <c r="AK11" i="1"/>
  <c r="AL11" i="1"/>
  <c r="AM11" i="1"/>
  <c r="AN11" i="1"/>
  <c r="AO11" i="1"/>
  <c r="AP11" i="1"/>
  <c r="AQ11" i="1"/>
  <c r="AR11" i="1"/>
  <c r="AS11" i="1"/>
  <c r="AT11" i="1"/>
  <c r="AU11" i="1"/>
  <c r="AV11" i="1"/>
  <c r="AW11" i="1"/>
  <c r="AX11" i="1"/>
  <c r="AY11" i="1"/>
  <c r="AZ11" i="1"/>
  <c r="BA11" i="1"/>
  <c r="BB11" i="1"/>
  <c r="BC11" i="1"/>
  <c r="BD11" i="1"/>
  <c r="BE11" i="1"/>
  <c r="BF11" i="1"/>
  <c r="BG11" i="1"/>
  <c r="BH11" i="1"/>
  <c r="BI11" i="1"/>
  <c r="BJ11" i="1"/>
  <c r="BK11" i="1"/>
  <c r="BL11" i="1"/>
  <c r="BM11" i="1"/>
  <c r="BN11" i="1"/>
  <c r="BO11" i="1"/>
  <c r="CE11" i="1"/>
  <c r="CF11" i="1"/>
  <c r="CG11" i="1"/>
  <c r="CH11" i="1"/>
  <c r="C12" i="1"/>
  <c r="D12" i="1"/>
  <c r="E12" i="1"/>
  <c r="F12"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CE12" i="1"/>
  <c r="CF12" i="1"/>
  <c r="CG12" i="1"/>
  <c r="CH12" i="1"/>
  <c r="B12" i="1"/>
  <c r="B11" i="1"/>
  <c r="B10" i="1"/>
  <c r="B9" i="1"/>
  <c r="B8" i="1"/>
  <c r="B7" i="1"/>
  <c r="CI11" i="1"/>
  <c r="CJ11" i="1"/>
  <c r="CK11" i="1"/>
  <c r="CL11" i="1"/>
  <c r="CM11" i="1"/>
  <c r="CI12" i="1"/>
  <c r="CJ12" i="1"/>
  <c r="CK12" i="1"/>
  <c r="CL12" i="1"/>
  <c r="CM12" i="1"/>
  <c r="AP26" i="1" l="1"/>
  <c r="L27" i="1"/>
  <c r="R25" i="1"/>
  <c r="AY24" i="1"/>
  <c r="BD26" i="1"/>
  <c r="AN26" i="1"/>
  <c r="X26" i="1"/>
  <c r="AO25" i="1"/>
  <c r="Q25" i="1"/>
  <c r="BN27" i="1"/>
  <c r="AX27" i="1"/>
  <c r="Z27" i="1"/>
  <c r="AE26" i="1"/>
  <c r="BD25" i="1"/>
  <c r="AF25" i="1"/>
  <c r="P25" i="1"/>
  <c r="AP23" i="1"/>
  <c r="R23" i="1"/>
  <c r="BG22" i="1"/>
  <c r="AQ22" i="1"/>
  <c r="AI22" i="1"/>
  <c r="K22" i="1"/>
  <c r="BL27" i="1"/>
  <c r="BD27" i="1"/>
  <c r="BA27" i="1"/>
  <c r="AN27" i="1"/>
  <c r="AC27" i="1"/>
  <c r="M27" i="1"/>
  <c r="N22" i="1"/>
  <c r="AH27" i="1"/>
  <c r="BK26" i="1"/>
  <c r="O26" i="1"/>
  <c r="AV25" i="1"/>
  <c r="BM24" i="1"/>
  <c r="BF23" i="1"/>
  <c r="Z23" i="1"/>
  <c r="S22" i="1"/>
  <c r="BF27" i="1"/>
  <c r="AP27" i="1"/>
  <c r="R27" i="1"/>
  <c r="AU26" i="1"/>
  <c r="BL25" i="1"/>
  <c r="AN25" i="1"/>
  <c r="X25" i="1"/>
  <c r="BN23" i="1"/>
  <c r="AX23" i="1"/>
  <c r="AH23" i="1"/>
  <c r="BO22" i="1"/>
  <c r="AY22" i="1"/>
  <c r="AA22" i="1"/>
  <c r="AF27" i="1"/>
  <c r="P27" i="1"/>
  <c r="BI26" i="1"/>
  <c r="BA26" i="1"/>
  <c r="AS26" i="1"/>
  <c r="AK26" i="1"/>
  <c r="AC26" i="1"/>
  <c r="BJ25" i="1"/>
  <c r="BB25" i="1"/>
  <c r="AT25" i="1"/>
  <c r="AL25" i="1"/>
  <c r="AD25" i="1"/>
  <c r="V25" i="1"/>
  <c r="N25" i="1"/>
  <c r="BK24" i="1"/>
  <c r="BC24" i="1"/>
  <c r="AU24" i="1"/>
  <c r="AM24" i="1"/>
  <c r="AE24" i="1"/>
  <c r="W24" i="1"/>
  <c r="O24" i="1"/>
  <c r="G24" i="1"/>
  <c r="BL23" i="1"/>
  <c r="BD23" i="1"/>
  <c r="AV23" i="1"/>
  <c r="AN23" i="1"/>
  <c r="AF23" i="1"/>
  <c r="X23" i="1"/>
  <c r="P23" i="1"/>
  <c r="BM22" i="1"/>
  <c r="G27" i="1"/>
  <c r="S24" i="1"/>
  <c r="BL26" i="1"/>
  <c r="P26" i="1"/>
  <c r="BE25" i="1"/>
  <c r="AG25" i="1"/>
  <c r="BH22" i="1"/>
  <c r="AZ22" i="1"/>
  <c r="AR22" i="1"/>
  <c r="AJ22" i="1"/>
  <c r="AB22" i="1"/>
  <c r="T22" i="1"/>
  <c r="AS23" i="1"/>
  <c r="M23" i="1"/>
  <c r="BM27" i="1"/>
  <c r="BE27" i="1"/>
  <c r="AW27" i="1"/>
  <c r="AO27" i="1"/>
  <c r="AG27" i="1"/>
  <c r="Y27" i="1"/>
  <c r="Q27" i="1"/>
  <c r="BJ26" i="1"/>
  <c r="BB26" i="1"/>
  <c r="AT26" i="1"/>
  <c r="AL26" i="1"/>
  <c r="AD26" i="1"/>
  <c r="V26" i="1"/>
  <c r="N26" i="1"/>
  <c r="BK25" i="1"/>
  <c r="BC25" i="1"/>
  <c r="AU25" i="1"/>
  <c r="AM25" i="1"/>
  <c r="AE25" i="1"/>
  <c r="W25" i="1"/>
  <c r="O25" i="1"/>
  <c r="G25" i="1"/>
  <c r="BL24" i="1"/>
  <c r="BD24" i="1"/>
  <c r="AV24" i="1"/>
  <c r="AN24" i="1"/>
  <c r="AF24" i="1"/>
  <c r="X24" i="1"/>
  <c r="P24" i="1"/>
  <c r="BN22" i="1"/>
  <c r="BF22" i="1"/>
  <c r="AX22" i="1"/>
  <c r="AP22" i="1"/>
  <c r="AH22" i="1"/>
  <c r="Z22" i="1"/>
  <c r="R22" i="1"/>
  <c r="O22" i="1"/>
  <c r="BJ27" i="1"/>
  <c r="AV27" i="1"/>
  <c r="AT27" i="1"/>
  <c r="BJ23" i="1"/>
  <c r="V23" i="1"/>
  <c r="AK27" i="1"/>
  <c r="L24" i="1"/>
  <c r="X27" i="1"/>
  <c r="BI27" i="1"/>
  <c r="N27" i="1"/>
  <c r="BB23" i="1"/>
  <c r="AD23" i="1"/>
  <c r="BK22" i="1"/>
  <c r="AZ27" i="1"/>
  <c r="AJ27" i="1"/>
  <c r="AB27" i="1"/>
  <c r="AW26" i="1"/>
  <c r="AG26" i="1"/>
  <c r="Q26" i="1"/>
  <c r="BN25" i="1"/>
  <c r="BF25" i="1"/>
  <c r="AX25" i="1"/>
  <c r="AP25" i="1"/>
  <c r="AH25" i="1"/>
  <c r="Z25" i="1"/>
  <c r="BO24" i="1"/>
  <c r="BG24" i="1"/>
  <c r="AQ24" i="1"/>
  <c r="AI24" i="1"/>
  <c r="AA24" i="1"/>
  <c r="K24" i="1"/>
  <c r="BH23" i="1"/>
  <c r="AZ23" i="1"/>
  <c r="AR23" i="1"/>
  <c r="AJ23" i="1"/>
  <c r="AB23" i="1"/>
  <c r="T23" i="1"/>
  <c r="L23" i="1"/>
  <c r="BI22" i="1"/>
  <c r="BA22" i="1"/>
  <c r="AS22" i="1"/>
  <c r="AK22" i="1"/>
  <c r="AC22" i="1"/>
  <c r="U22" i="1"/>
  <c r="M22" i="1"/>
  <c r="AR24" i="1"/>
  <c r="AL27" i="1"/>
  <c r="AT23" i="1"/>
  <c r="N23" i="1"/>
  <c r="G23" i="1"/>
  <c r="BH27" i="1"/>
  <c r="AR27" i="1"/>
  <c r="T27" i="1"/>
  <c r="BM26" i="1"/>
  <c r="BE26" i="1"/>
  <c r="AO26" i="1"/>
  <c r="Y26" i="1"/>
  <c r="AM22" i="1"/>
  <c r="BB27" i="1"/>
  <c r="AD27" i="1"/>
  <c r="BH26" i="1"/>
  <c r="AR26" i="1"/>
  <c r="AB26" i="1"/>
  <c r="G26" i="1"/>
  <c r="N24" i="1"/>
  <c r="BJ24" i="1"/>
  <c r="BE24" i="1"/>
  <c r="AT24" i="1"/>
  <c r="AO24" i="1"/>
  <c r="AL24" i="1"/>
  <c r="AG24" i="1"/>
  <c r="BM6" i="1"/>
  <c r="BM23" i="1"/>
  <c r="BE6" i="1"/>
  <c r="BE23" i="1"/>
  <c r="AW6" i="1"/>
  <c r="AW23" i="1"/>
  <c r="AO6" i="1"/>
  <c r="AO23" i="1"/>
  <c r="AG6" i="1"/>
  <c r="AG23" i="1"/>
  <c r="Y6" i="1"/>
  <c r="Y23" i="1"/>
  <c r="Q6" i="1"/>
  <c r="Q23" i="1"/>
  <c r="V27" i="1"/>
  <c r="BC26" i="1"/>
  <c r="W26" i="1"/>
  <c r="AL23" i="1"/>
  <c r="AF22" i="1"/>
  <c r="Z26" i="1"/>
  <c r="U26" i="1"/>
  <c r="R26" i="1"/>
  <c r="M26" i="1"/>
  <c r="BE22" i="1"/>
  <c r="BJ22" i="1"/>
  <c r="AW22" i="1"/>
  <c r="BB22" i="1"/>
  <c r="AO22" i="1"/>
  <c r="AT22" i="1"/>
  <c r="AG22" i="1"/>
  <c r="AL22" i="1"/>
  <c r="Y22" i="1"/>
  <c r="AD22" i="1"/>
  <c r="Q22" i="1"/>
  <c r="V22" i="1"/>
  <c r="U27" i="1"/>
  <c r="BN26" i="1"/>
  <c r="AM26" i="1"/>
  <c r="T26" i="1"/>
  <c r="AK23" i="1"/>
  <c r="AE22" i="1"/>
  <c r="BK27" i="1"/>
  <c r="BC27" i="1"/>
  <c r="AU27" i="1"/>
  <c r="AM27" i="1"/>
  <c r="AE27" i="1"/>
  <c r="W27" i="1"/>
  <c r="O27" i="1"/>
  <c r="BI25" i="1"/>
  <c r="BA25" i="1"/>
  <c r="AS25" i="1"/>
  <c r="AK25" i="1"/>
  <c r="AC25" i="1"/>
  <c r="U25" i="1"/>
  <c r="M25" i="1"/>
  <c r="BK23" i="1"/>
  <c r="BC23" i="1"/>
  <c r="AU23" i="1"/>
  <c r="AM23" i="1"/>
  <c r="AE23" i="1"/>
  <c r="W23" i="1"/>
  <c r="O23" i="1"/>
  <c r="AS27" i="1"/>
  <c r="AZ26" i="1"/>
  <c r="AJ26" i="1"/>
  <c r="AJ24" i="1"/>
  <c r="BD22" i="1"/>
  <c r="X22" i="1"/>
  <c r="BB24" i="1"/>
  <c r="AW24" i="1"/>
  <c r="V24" i="1"/>
  <c r="Q24" i="1"/>
  <c r="I6" i="1"/>
  <c r="BL22" i="1"/>
  <c r="BO26" i="1"/>
  <c r="BG26" i="1"/>
  <c r="AY26" i="1"/>
  <c r="AQ26" i="1"/>
  <c r="AI26" i="1"/>
  <c r="AA26" i="1"/>
  <c r="S26" i="1"/>
  <c r="K26" i="1"/>
  <c r="BH25" i="1"/>
  <c r="AZ25" i="1"/>
  <c r="AR25" i="1"/>
  <c r="AJ25" i="1"/>
  <c r="AB25" i="1"/>
  <c r="T25" i="1"/>
  <c r="L25" i="1"/>
  <c r="BI24" i="1"/>
  <c r="BN24" i="1"/>
  <c r="BA24" i="1"/>
  <c r="BF24" i="1"/>
  <c r="AS24" i="1"/>
  <c r="AX24" i="1"/>
  <c r="AK24" i="1"/>
  <c r="AP24" i="1"/>
  <c r="AC24" i="1"/>
  <c r="AH24" i="1"/>
  <c r="U24" i="1"/>
  <c r="Z24" i="1"/>
  <c r="M24" i="1"/>
  <c r="R24" i="1"/>
  <c r="G22" i="1"/>
  <c r="L22" i="1"/>
  <c r="AX26" i="1"/>
  <c r="AH26" i="1"/>
  <c r="BI23" i="1"/>
  <c r="AC23" i="1"/>
  <c r="BC22" i="1"/>
  <c r="W22" i="1"/>
  <c r="BO25" i="1"/>
  <c r="BG25" i="1"/>
  <c r="AY25" i="1"/>
  <c r="AQ25" i="1"/>
  <c r="AI25" i="1"/>
  <c r="AA25" i="1"/>
  <c r="S25" i="1"/>
  <c r="K25" i="1"/>
  <c r="AV26" i="1"/>
  <c r="AF26" i="1"/>
  <c r="L26" i="1"/>
  <c r="AW25" i="1"/>
  <c r="BH24" i="1"/>
  <c r="AB24" i="1"/>
  <c r="AV22" i="1"/>
  <c r="P22" i="1"/>
  <c r="AD24" i="1"/>
  <c r="Y24" i="1"/>
  <c r="Y25" i="1"/>
  <c r="BA23" i="1"/>
  <c r="U23" i="1"/>
  <c r="AU22" i="1"/>
  <c r="BO27" i="1"/>
  <c r="BG27" i="1"/>
  <c r="AY27" i="1"/>
  <c r="AQ27" i="1"/>
  <c r="AI27" i="1"/>
  <c r="AA27" i="1"/>
  <c r="S27" i="1"/>
  <c r="K27" i="1"/>
  <c r="BO23" i="1"/>
  <c r="BG23" i="1"/>
  <c r="AY23" i="1"/>
  <c r="AQ23" i="1"/>
  <c r="AI23" i="1"/>
  <c r="AA23" i="1"/>
  <c r="S23" i="1"/>
  <c r="K23" i="1"/>
  <c r="BF26" i="1"/>
  <c r="BM25" i="1"/>
  <c r="AZ24" i="1"/>
  <c r="T24" i="1"/>
  <c r="AN22" i="1"/>
  <c r="B6" i="1"/>
  <c r="X6" i="1"/>
  <c r="BK6" i="1"/>
  <c r="AU6" i="1"/>
  <c r="O6" i="1"/>
  <c r="G6" i="1"/>
  <c r="BD6" i="1"/>
  <c r="AE6" i="1"/>
  <c r="BB6" i="1"/>
  <c r="AL6" i="1"/>
  <c r="AD6" i="1"/>
  <c r="V6" i="1"/>
  <c r="N6" i="1"/>
  <c r="F6" i="1"/>
  <c r="AN6" i="1"/>
  <c r="W6" i="1"/>
  <c r="BJ6" i="1"/>
  <c r="BJ21" i="1" s="1"/>
  <c r="BA6" i="1"/>
  <c r="AS6" i="1"/>
  <c r="AC6" i="1"/>
  <c r="U6" i="1"/>
  <c r="M6" i="1"/>
  <c r="E6" i="1"/>
  <c r="P6" i="1"/>
  <c r="BC6" i="1"/>
  <c r="D6" i="1"/>
  <c r="BL6" i="1"/>
  <c r="AV6" i="1"/>
  <c r="AF6" i="1"/>
  <c r="H6" i="1"/>
  <c r="AM6" i="1"/>
  <c r="AT6" i="1"/>
  <c r="BI6" i="1"/>
  <c r="AK6" i="1"/>
  <c r="BH6" i="1"/>
  <c r="AZ6" i="1"/>
  <c r="AZ21" i="1" s="1"/>
  <c r="AR6" i="1"/>
  <c r="AJ6" i="1"/>
  <c r="AB6" i="1"/>
  <c r="T6" i="1"/>
  <c r="L6" i="1"/>
  <c r="BN6" i="1"/>
  <c r="BF6" i="1"/>
  <c r="AX6" i="1"/>
  <c r="AP6" i="1"/>
  <c r="AH6" i="1"/>
  <c r="Z6" i="1"/>
  <c r="R6" i="1"/>
  <c r="J6" i="1"/>
  <c r="BO6" i="1"/>
  <c r="BG6" i="1"/>
  <c r="AY6" i="1"/>
  <c r="AQ6" i="1"/>
  <c r="AI6" i="1"/>
  <c r="AA6" i="1"/>
  <c r="S6" i="1"/>
  <c r="K6" i="1"/>
  <c r="C6" i="1"/>
  <c r="CE284" i="1"/>
  <c r="CC330" i="1"/>
  <c r="CB330" i="1"/>
  <c r="CA330" i="1"/>
  <c r="BZ330" i="1"/>
  <c r="BX330" i="1"/>
  <c r="BW330" i="1"/>
  <c r="BV330" i="1"/>
  <c r="BU330" i="1"/>
  <c r="CC352" i="1"/>
  <c r="CB352" i="1"/>
  <c r="CA352" i="1"/>
  <c r="BZ352" i="1"/>
  <c r="BX352" i="1"/>
  <c r="BW352" i="1"/>
  <c r="BV352" i="1"/>
  <c r="BU352" i="1"/>
  <c r="CC356" i="1"/>
  <c r="CB356" i="1"/>
  <c r="CA356" i="1"/>
  <c r="BZ356" i="1"/>
  <c r="BX356" i="1"/>
  <c r="BW356" i="1"/>
  <c r="BV356" i="1"/>
  <c r="BU356" i="1"/>
  <c r="BS356" i="1"/>
  <c r="BR356" i="1"/>
  <c r="BQ356" i="1"/>
  <c r="BP356" i="1"/>
  <c r="BN356" i="1"/>
  <c r="BM356" i="1"/>
  <c r="BL356" i="1"/>
  <c r="BK356" i="1"/>
  <c r="BI356" i="1"/>
  <c r="BH356" i="1"/>
  <c r="BG356" i="1"/>
  <c r="BF356" i="1"/>
  <c r="BD356" i="1"/>
  <c r="BC356" i="1"/>
  <c r="BB356" i="1"/>
  <c r="BA356" i="1"/>
  <c r="AY356" i="1"/>
  <c r="AX356" i="1"/>
  <c r="AW356" i="1"/>
  <c r="CC360" i="1"/>
  <c r="CB360" i="1"/>
  <c r="CA360" i="1"/>
  <c r="BZ360" i="1"/>
  <c r="BX360" i="1"/>
  <c r="BW360" i="1"/>
  <c r="BV360" i="1"/>
  <c r="BU360" i="1"/>
  <c r="BS364" i="1"/>
  <c r="BR364" i="1"/>
  <c r="BQ364" i="1"/>
  <c r="BP364" i="1"/>
  <c r="BN364" i="1"/>
  <c r="BM364" i="1"/>
  <c r="BL364" i="1"/>
  <c r="BK364" i="1"/>
  <c r="BI364" i="1"/>
  <c r="BH364" i="1"/>
  <c r="BG364" i="1"/>
  <c r="BF364" i="1"/>
  <c r="BD364" i="1"/>
  <c r="BC364" i="1"/>
  <c r="BB364" i="1"/>
  <c r="BA364" i="1"/>
  <c r="AY364" i="1"/>
  <c r="AX364" i="1"/>
  <c r="AW364" i="1"/>
  <c r="CC348" i="1"/>
  <c r="CB348" i="1"/>
  <c r="CA348" i="1"/>
  <c r="BZ348" i="1"/>
  <c r="BX348" i="1"/>
  <c r="BW348" i="1"/>
  <c r="BV348" i="1"/>
  <c r="BU348" i="1"/>
  <c r="BS348" i="1"/>
  <c r="BR348" i="1"/>
  <c r="BQ348" i="1"/>
  <c r="BP348" i="1"/>
  <c r="BN348" i="1"/>
  <c r="BM348" i="1"/>
  <c r="BL348" i="1"/>
  <c r="BK348" i="1"/>
  <c r="BI348" i="1"/>
  <c r="BH348" i="1"/>
  <c r="BG348" i="1"/>
  <c r="BF348" i="1"/>
  <c r="BD348" i="1"/>
  <c r="BC348" i="1"/>
  <c r="BB348" i="1"/>
  <c r="BA348" i="1"/>
  <c r="AY348" i="1"/>
  <c r="AX348" i="1"/>
  <c r="AW348" i="1"/>
  <c r="CC340" i="1"/>
  <c r="CB340" i="1"/>
  <c r="CA340" i="1"/>
  <c r="BZ340" i="1"/>
  <c r="BX340" i="1"/>
  <c r="BW340" i="1"/>
  <c r="BV340" i="1"/>
  <c r="BU340" i="1"/>
  <c r="BS340" i="1"/>
  <c r="BR340" i="1"/>
  <c r="BQ340" i="1"/>
  <c r="BP340" i="1"/>
  <c r="BN340" i="1"/>
  <c r="BM340" i="1"/>
  <c r="BL340" i="1"/>
  <c r="BK340" i="1"/>
  <c r="BI340" i="1"/>
  <c r="BH340" i="1"/>
  <c r="BG340" i="1"/>
  <c r="BF340" i="1"/>
  <c r="BD340" i="1"/>
  <c r="BC340" i="1"/>
  <c r="BB340" i="1"/>
  <c r="BA340" i="1"/>
  <c r="AY340" i="1"/>
  <c r="AX340" i="1"/>
  <c r="AW340" i="1"/>
  <c r="CC323" i="1"/>
  <c r="CB323" i="1"/>
  <c r="CA323" i="1"/>
  <c r="BZ323" i="1"/>
  <c r="BX323" i="1"/>
  <c r="BW323" i="1"/>
  <c r="BV323" i="1"/>
  <c r="BU323" i="1"/>
  <c r="BS323" i="1"/>
  <c r="BR323" i="1"/>
  <c r="BQ323" i="1"/>
  <c r="BP323" i="1"/>
  <c r="BN323" i="1"/>
  <c r="BM323" i="1"/>
  <c r="BL323" i="1"/>
  <c r="BK323" i="1"/>
  <c r="BI323" i="1"/>
  <c r="BH323" i="1"/>
  <c r="BG323" i="1"/>
  <c r="BF323" i="1"/>
  <c r="BD323" i="1"/>
  <c r="BC323" i="1"/>
  <c r="BB323" i="1"/>
  <c r="BA323" i="1"/>
  <c r="AY323" i="1"/>
  <c r="AX323" i="1"/>
  <c r="AW323" i="1"/>
  <c r="AV323" i="1"/>
  <c r="AT323" i="1"/>
  <c r="AS323" i="1"/>
  <c r="AR323" i="1"/>
  <c r="AQ323" i="1"/>
  <c r="CC320" i="1"/>
  <c r="CB320" i="1"/>
  <c r="CA320" i="1"/>
  <c r="BZ320" i="1"/>
  <c r="BX320" i="1"/>
  <c r="BW320" i="1"/>
  <c r="BV320" i="1"/>
  <c r="BU320" i="1"/>
  <c r="BS320" i="1"/>
  <c r="BR320" i="1"/>
  <c r="BQ320" i="1"/>
  <c r="BP320" i="1"/>
  <c r="BN320" i="1"/>
  <c r="BM320" i="1"/>
  <c r="BL320" i="1"/>
  <c r="BK320" i="1"/>
  <c r="BI320" i="1"/>
  <c r="BH320" i="1"/>
  <c r="BG320" i="1"/>
  <c r="BF320" i="1"/>
  <c r="BD320" i="1"/>
  <c r="BC320" i="1"/>
  <c r="BB320" i="1"/>
  <c r="BA320" i="1"/>
  <c r="AY320" i="1"/>
  <c r="AX320" i="1"/>
  <c r="AW320" i="1"/>
  <c r="CC285" i="1"/>
  <c r="CB285" i="1"/>
  <c r="CA285" i="1"/>
  <c r="BZ285" i="1"/>
  <c r="BX285" i="1"/>
  <c r="BW285" i="1"/>
  <c r="BV285" i="1"/>
  <c r="BU285" i="1"/>
  <c r="BS285" i="1"/>
  <c r="BR285" i="1"/>
  <c r="BQ285" i="1"/>
  <c r="BP285" i="1"/>
  <c r="DE409" i="1"/>
  <c r="DD409" i="1"/>
  <c r="DC409" i="1"/>
  <c r="BO409" i="1"/>
  <c r="BN409" i="1"/>
  <c r="BM409" i="1"/>
  <c r="BL409" i="1"/>
  <c r="BK409" i="1"/>
  <c r="BJ409" i="1"/>
  <c r="BI409" i="1"/>
  <c r="BH409" i="1"/>
  <c r="BG409" i="1"/>
  <c r="BF409" i="1"/>
  <c r="BE409" i="1"/>
  <c r="BD409" i="1"/>
  <c r="BC409" i="1"/>
  <c r="BB409" i="1"/>
  <c r="BA409" i="1"/>
  <c r="AZ409" i="1"/>
  <c r="AY409" i="1"/>
  <c r="AX409" i="1"/>
  <c r="AW409" i="1"/>
  <c r="AV409" i="1"/>
  <c r="AU409" i="1"/>
  <c r="AT409" i="1"/>
  <c r="AS409" i="1"/>
  <c r="AR409" i="1"/>
  <c r="AQ409" i="1"/>
  <c r="AP409" i="1"/>
  <c r="AO409" i="1"/>
  <c r="AN409" i="1"/>
  <c r="AM409" i="1"/>
  <c r="AL409" i="1"/>
  <c r="AK409" i="1"/>
  <c r="AJ409" i="1"/>
  <c r="AI409" i="1"/>
  <c r="AH409" i="1"/>
  <c r="AG409" i="1"/>
  <c r="AF409" i="1"/>
  <c r="AE409" i="1"/>
  <c r="AD409" i="1"/>
  <c r="AC409" i="1"/>
  <c r="AB409" i="1"/>
  <c r="AA409" i="1"/>
  <c r="Z409" i="1"/>
  <c r="Y409" i="1"/>
  <c r="X409" i="1"/>
  <c r="W409" i="1"/>
  <c r="V409" i="1"/>
  <c r="U409" i="1"/>
  <c r="T409" i="1"/>
  <c r="S409" i="1"/>
  <c r="R409" i="1"/>
  <c r="Q409" i="1"/>
  <c r="P409" i="1"/>
  <c r="O409" i="1"/>
  <c r="N409" i="1"/>
  <c r="M409" i="1"/>
  <c r="L409" i="1"/>
  <c r="K409" i="1"/>
  <c r="J409" i="1"/>
  <c r="I409" i="1"/>
  <c r="H409" i="1"/>
  <c r="G409" i="1"/>
  <c r="DE414" i="1"/>
  <c r="DD414" i="1"/>
  <c r="DC414" i="1"/>
  <c r="BO414" i="1"/>
  <c r="BN414" i="1"/>
  <c r="BM414" i="1"/>
  <c r="BL414" i="1"/>
  <c r="BK414" i="1"/>
  <c r="BJ414" i="1"/>
  <c r="BI414" i="1"/>
  <c r="BH414" i="1"/>
  <c r="BG414" i="1"/>
  <c r="BF414" i="1"/>
  <c r="BE414" i="1"/>
  <c r="BD414" i="1"/>
  <c r="BC414" i="1"/>
  <c r="BB414" i="1"/>
  <c r="BA414" i="1"/>
  <c r="AZ414" i="1"/>
  <c r="AY414" i="1"/>
  <c r="AX414" i="1"/>
  <c r="AW414" i="1"/>
  <c r="AV414" i="1"/>
  <c r="AU414" i="1"/>
  <c r="AT414" i="1"/>
  <c r="AS414" i="1"/>
  <c r="AR414" i="1"/>
  <c r="AQ414" i="1"/>
  <c r="AP414" i="1"/>
  <c r="AO414" i="1"/>
  <c r="AN414" i="1"/>
  <c r="AM414" i="1"/>
  <c r="AL414" i="1"/>
  <c r="AK414" i="1"/>
  <c r="AJ414" i="1"/>
  <c r="AI414" i="1"/>
  <c r="AH414" i="1"/>
  <c r="AG414" i="1"/>
  <c r="AF414" i="1"/>
  <c r="AE414" i="1"/>
  <c r="AD414" i="1"/>
  <c r="AC414" i="1"/>
  <c r="AB414" i="1"/>
  <c r="AA414" i="1"/>
  <c r="Z414" i="1"/>
  <c r="Y414" i="1"/>
  <c r="X414" i="1"/>
  <c r="W414" i="1"/>
  <c r="V414" i="1"/>
  <c r="U414" i="1"/>
  <c r="T414" i="1"/>
  <c r="S414" i="1"/>
  <c r="R414" i="1"/>
  <c r="Q414" i="1"/>
  <c r="P414" i="1"/>
  <c r="O414" i="1"/>
  <c r="N414" i="1"/>
  <c r="M414" i="1"/>
  <c r="L414" i="1"/>
  <c r="K414" i="1"/>
  <c r="J414" i="1"/>
  <c r="I414" i="1"/>
  <c r="H414" i="1"/>
  <c r="G414" i="1"/>
  <c r="CC466" i="1"/>
  <c r="CB466" i="1"/>
  <c r="CA466" i="1"/>
  <c r="BZ466" i="1"/>
  <c r="BX466" i="1"/>
  <c r="BW466" i="1"/>
  <c r="BV466" i="1"/>
  <c r="BU466" i="1"/>
  <c r="BS466" i="1"/>
  <c r="BR466" i="1"/>
  <c r="BQ466" i="1"/>
  <c r="BP466" i="1"/>
  <c r="BN466" i="1"/>
  <c r="BM466" i="1"/>
  <c r="BL466" i="1"/>
  <c r="BK466" i="1"/>
  <c r="BI466" i="1"/>
  <c r="BH466" i="1"/>
  <c r="BG466" i="1"/>
  <c r="BF466" i="1"/>
  <c r="BD466" i="1"/>
  <c r="BC466" i="1"/>
  <c r="BB466" i="1"/>
  <c r="BA466" i="1"/>
  <c r="CC463" i="1"/>
  <c r="CB463" i="1"/>
  <c r="CA463" i="1"/>
  <c r="BZ463" i="1"/>
  <c r="BX463" i="1"/>
  <c r="BW463" i="1"/>
  <c r="BV463" i="1"/>
  <c r="BU463" i="1"/>
  <c r="BS463" i="1"/>
  <c r="BR463" i="1"/>
  <c r="BQ463" i="1"/>
  <c r="BP463" i="1"/>
  <c r="BN463" i="1"/>
  <c r="BM463" i="1"/>
  <c r="BL463" i="1"/>
  <c r="BK463" i="1"/>
  <c r="BI463" i="1"/>
  <c r="BH463" i="1"/>
  <c r="BG463" i="1"/>
  <c r="BF463" i="1"/>
  <c r="BD463" i="1"/>
  <c r="BC463" i="1"/>
  <c r="BB463" i="1"/>
  <c r="BA463" i="1"/>
  <c r="BV449" i="1"/>
  <c r="BU449" i="1"/>
  <c r="BL449" i="1"/>
  <c r="BK449" i="1"/>
  <c r="CC454" i="1"/>
  <c r="CB454" i="1"/>
  <c r="CA454" i="1"/>
  <c r="BZ454" i="1"/>
  <c r="BX454" i="1"/>
  <c r="BW454" i="1"/>
  <c r="BV454" i="1"/>
  <c r="BU454" i="1"/>
  <c r="BS454" i="1"/>
  <c r="BR454" i="1"/>
  <c r="BQ454" i="1"/>
  <c r="BP454" i="1"/>
  <c r="BN454" i="1"/>
  <c r="BM454" i="1"/>
  <c r="BL454" i="1"/>
  <c r="BK454" i="1"/>
  <c r="BI454" i="1"/>
  <c r="BH454" i="1"/>
  <c r="BG454" i="1"/>
  <c r="BF454" i="1"/>
  <c r="BD454" i="1"/>
  <c r="BC454" i="1"/>
  <c r="BB454" i="1"/>
  <c r="BA454" i="1"/>
  <c r="AY454" i="1"/>
  <c r="AX454" i="1"/>
  <c r="AW454" i="1"/>
  <c r="CC452" i="1"/>
  <c r="CB452" i="1"/>
  <c r="CA452" i="1"/>
  <c r="BZ452" i="1"/>
  <c r="BX452" i="1"/>
  <c r="BW452" i="1"/>
  <c r="BV452" i="1"/>
  <c r="BU452" i="1"/>
  <c r="BS452" i="1"/>
  <c r="BR452" i="1"/>
  <c r="BQ452" i="1"/>
  <c r="BP452" i="1"/>
  <c r="BN452" i="1"/>
  <c r="BM452" i="1"/>
  <c r="BL452" i="1"/>
  <c r="BK452" i="1"/>
  <c r="BI452" i="1"/>
  <c r="BH452" i="1"/>
  <c r="BG452" i="1"/>
  <c r="BF452" i="1"/>
  <c r="BD452" i="1"/>
  <c r="BC452" i="1"/>
  <c r="BB452" i="1"/>
  <c r="BA452" i="1"/>
  <c r="AY452" i="1"/>
  <c r="AX452" i="1"/>
  <c r="AW452" i="1"/>
  <c r="AV452" i="1"/>
  <c r="AT452" i="1"/>
  <c r="AS452" i="1"/>
  <c r="AR452" i="1"/>
  <c r="AQ452" i="1"/>
  <c r="CC449" i="1"/>
  <c r="CB449" i="1"/>
  <c r="CA449" i="1"/>
  <c r="BZ449" i="1"/>
  <c r="BX449" i="1"/>
  <c r="BW449" i="1"/>
  <c r="BS449" i="1"/>
  <c r="BR449" i="1"/>
  <c r="BQ449" i="1"/>
  <c r="BP449" i="1"/>
  <c r="BN449" i="1"/>
  <c r="BM449" i="1"/>
  <c r="BI449" i="1"/>
  <c r="BH449" i="1"/>
  <c r="BG449" i="1"/>
  <c r="BF449" i="1"/>
  <c r="BD449" i="1"/>
  <c r="BC449" i="1"/>
  <c r="BB449" i="1"/>
  <c r="BA449" i="1"/>
  <c r="AY449" i="1"/>
  <c r="AX449" i="1"/>
  <c r="AW449" i="1"/>
  <c r="CC442" i="1"/>
  <c r="CB442" i="1"/>
  <c r="CA442" i="1"/>
  <c r="BZ442" i="1"/>
  <c r="BX442" i="1"/>
  <c r="BW442" i="1"/>
  <c r="BV442" i="1"/>
  <c r="BU442" i="1"/>
  <c r="BS442" i="1"/>
  <c r="BR442" i="1"/>
  <c r="BQ442" i="1"/>
  <c r="BP442" i="1"/>
  <c r="BN442" i="1"/>
  <c r="BM442" i="1"/>
  <c r="BL442" i="1"/>
  <c r="BK442" i="1"/>
  <c r="BI442" i="1"/>
  <c r="BH442" i="1"/>
  <c r="BG442" i="1"/>
  <c r="BF442" i="1"/>
  <c r="BD442" i="1"/>
  <c r="BC442" i="1"/>
  <c r="BB442" i="1"/>
  <c r="BA442" i="1"/>
  <c r="AY442" i="1"/>
  <c r="AX442" i="1"/>
  <c r="AW442" i="1"/>
  <c r="AV442" i="1"/>
  <c r="CC439" i="1"/>
  <c r="CB439" i="1"/>
  <c r="CA439" i="1"/>
  <c r="BZ439" i="1"/>
  <c r="BX439" i="1"/>
  <c r="BW439" i="1"/>
  <c r="BV439" i="1"/>
  <c r="BU439" i="1"/>
  <c r="BS439" i="1"/>
  <c r="BR439" i="1"/>
  <c r="BQ439" i="1"/>
  <c r="BP439" i="1"/>
  <c r="BN439" i="1"/>
  <c r="BM439" i="1"/>
  <c r="BL439" i="1"/>
  <c r="BK439" i="1"/>
  <c r="BI439" i="1"/>
  <c r="BH439" i="1"/>
  <c r="BG439" i="1"/>
  <c r="BF439" i="1"/>
  <c r="BD439" i="1"/>
  <c r="BC439" i="1"/>
  <c r="BB439" i="1"/>
  <c r="BA439" i="1"/>
  <c r="AY439" i="1"/>
  <c r="AX439" i="1"/>
  <c r="AW439" i="1"/>
  <c r="CB438" i="1"/>
  <c r="CA438" i="1"/>
  <c r="BZ438" i="1"/>
  <c r="BX438" i="1"/>
  <c r="BW438" i="1"/>
  <c r="BV438" i="1"/>
  <c r="BU438" i="1"/>
  <c r="BS438" i="1"/>
  <c r="BR438" i="1"/>
  <c r="BQ438" i="1"/>
  <c r="BP438" i="1"/>
  <c r="BN438" i="1"/>
  <c r="BM438" i="1"/>
  <c r="BL438" i="1"/>
  <c r="BK438" i="1"/>
  <c r="BI438" i="1"/>
  <c r="BH438" i="1"/>
  <c r="BG438" i="1"/>
  <c r="BF438" i="1"/>
  <c r="BD438" i="1"/>
  <c r="BC438" i="1"/>
  <c r="BB438" i="1"/>
  <c r="BA438" i="1"/>
  <c r="AY438" i="1"/>
  <c r="AX438" i="1"/>
  <c r="AW438" i="1"/>
  <c r="AF428" i="1"/>
  <c r="CC430" i="1"/>
  <c r="BR9" i="7" s="1"/>
  <c r="BR21" i="7" s="1"/>
  <c r="CB430" i="1"/>
  <c r="CA430" i="1"/>
  <c r="BZ430" i="1"/>
  <c r="BX430" i="1"/>
  <c r="BW430" i="1"/>
  <c r="BV430" i="1"/>
  <c r="BU430" i="1"/>
  <c r="BS430" i="1"/>
  <c r="BR430" i="1"/>
  <c r="BQ430" i="1"/>
  <c r="BP430" i="1"/>
  <c r="BN430" i="1"/>
  <c r="BM430" i="1"/>
  <c r="BL430" i="1"/>
  <c r="BK430" i="1"/>
  <c r="BI430" i="1"/>
  <c r="BH430" i="1"/>
  <c r="BG430" i="1"/>
  <c r="BF430" i="1"/>
  <c r="BD430" i="1"/>
  <c r="BC430" i="1"/>
  <c r="BB430" i="1"/>
  <c r="BA430" i="1"/>
  <c r="AY430" i="1"/>
  <c r="AX430" i="1"/>
  <c r="AW430" i="1"/>
  <c r="AV430" i="1"/>
  <c r="CC428" i="1"/>
  <c r="CB428" i="1"/>
  <c r="CA428" i="1"/>
  <c r="BZ428" i="1"/>
  <c r="BX428" i="1"/>
  <c r="BW428" i="1"/>
  <c r="BV428" i="1"/>
  <c r="BU428" i="1"/>
  <c r="BS428" i="1"/>
  <c r="BR428" i="1"/>
  <c r="BQ428" i="1"/>
  <c r="BP428" i="1"/>
  <c r="BN428" i="1"/>
  <c r="BM428" i="1"/>
  <c r="BL428" i="1"/>
  <c r="BK428" i="1"/>
  <c r="BI428" i="1"/>
  <c r="BH428" i="1"/>
  <c r="BG428" i="1"/>
  <c r="BF428" i="1"/>
  <c r="BD428" i="1"/>
  <c r="BC428" i="1"/>
  <c r="BB428" i="1"/>
  <c r="BA428" i="1"/>
  <c r="AY428" i="1"/>
  <c r="AX428" i="1"/>
  <c r="AW428" i="1"/>
  <c r="AV428" i="1"/>
  <c r="AT428" i="1"/>
  <c r="AS428" i="1"/>
  <c r="AR428" i="1"/>
  <c r="AQ428" i="1"/>
  <c r="AO428" i="1"/>
  <c r="AN428" i="1"/>
  <c r="AM428" i="1"/>
  <c r="AL428" i="1"/>
  <c r="AJ428" i="1"/>
  <c r="AI428" i="1"/>
  <c r="AH428" i="1"/>
  <c r="AG428" i="1"/>
  <c r="AM21" i="1" l="1"/>
  <c r="AN21" i="1"/>
  <c r="AX21" i="1"/>
  <c r="V21" i="1"/>
  <c r="BB21" i="1"/>
  <c r="AA21" i="1"/>
  <c r="BD21" i="1"/>
  <c r="BM21" i="1"/>
  <c r="AI21" i="1"/>
  <c r="G21" i="1"/>
  <c r="AP21" i="1"/>
  <c r="O21" i="1"/>
  <c r="AC21" i="1"/>
  <c r="AQ21" i="1"/>
  <c r="BG21" i="1"/>
  <c r="BF21" i="1"/>
  <c r="BH21" i="1"/>
  <c r="AD21" i="1"/>
  <c r="Z21" i="1"/>
  <c r="AU21" i="1"/>
  <c r="AV21" i="1"/>
  <c r="S21" i="1"/>
  <c r="R21" i="1"/>
  <c r="T21" i="1"/>
  <c r="AT21" i="1"/>
  <c r="P21" i="1"/>
  <c r="AE21" i="1"/>
  <c r="AG21" i="1"/>
  <c r="AH21" i="1"/>
  <c r="AJ21" i="1"/>
  <c r="M21" i="1"/>
  <c r="AR21" i="1"/>
  <c r="AF21" i="1"/>
  <c r="U21" i="1"/>
  <c r="N21" i="1"/>
  <c r="AO21" i="1"/>
  <c r="W21" i="1"/>
  <c r="AB21" i="1"/>
  <c r="AY21" i="1"/>
  <c r="BL21" i="1"/>
  <c r="AS21" i="1"/>
  <c r="BK21" i="1"/>
  <c r="Q21" i="1"/>
  <c r="AW21" i="1"/>
  <c r="BO21" i="1"/>
  <c r="BN21" i="1"/>
  <c r="AK21" i="1"/>
  <c r="BA21" i="1"/>
  <c r="AL21" i="1"/>
  <c r="X21" i="1"/>
  <c r="K21" i="1"/>
  <c r="L21" i="1"/>
  <c r="BI21" i="1"/>
  <c r="BC21" i="1"/>
  <c r="Y21" i="1"/>
  <c r="BE21" i="1"/>
  <c r="CD356" i="1"/>
  <c r="CD352" i="1"/>
  <c r="CD330" i="1"/>
  <c r="CD340" i="1"/>
  <c r="CD348" i="1"/>
  <c r="CD320" i="1"/>
  <c r="CD323" i="1"/>
  <c r="CD360" i="1"/>
  <c r="BY360" i="1"/>
  <c r="BY352" i="1"/>
  <c r="BY330" i="1"/>
  <c r="BW444" i="1"/>
  <c r="CD466" i="1"/>
  <c r="R228" i="2" s="1"/>
  <c r="BV444" i="1"/>
  <c r="CD430" i="1"/>
  <c r="CD428" i="1"/>
  <c r="CA444" i="1"/>
  <c r="CB444" i="1"/>
  <c r="BO454" i="1"/>
  <c r="BY454" i="1"/>
  <c r="CC444" i="1"/>
  <c r="CD439" i="1"/>
  <c r="R317" i="2" s="1"/>
  <c r="R105" i="2" s="1"/>
  <c r="R109" i="2" s="1"/>
  <c r="BX444" i="1"/>
  <c r="BU444" i="1"/>
  <c r="CD442" i="1"/>
  <c r="BZ444" i="1"/>
  <c r="BJ454" i="1"/>
  <c r="BT454" i="1"/>
  <c r="CD454" i="1"/>
  <c r="R57" i="2" s="1"/>
  <c r="R194" i="2" s="1"/>
  <c r="CD438" i="1"/>
  <c r="CD463" i="1"/>
  <c r="CD464" i="1" s="1"/>
  <c r="CD449" i="1"/>
  <c r="CD450" i="1" s="1"/>
  <c r="R316" i="2" l="1"/>
  <c r="R93" i="2" s="1"/>
  <c r="R106" i="2"/>
  <c r="R110" i="2" s="1"/>
  <c r="S110" i="2" s="1"/>
  <c r="T110" i="2" s="1"/>
  <c r="U110" i="2" s="1"/>
  <c r="V110" i="2" s="1"/>
  <c r="W110" i="2" s="1"/>
  <c r="X110" i="2" s="1"/>
  <c r="Y110" i="2" s="1"/>
  <c r="Z110" i="2" s="1"/>
  <c r="AA110" i="2" s="1"/>
  <c r="CD326" i="1"/>
  <c r="CD429" i="1"/>
  <c r="CD467" i="1"/>
  <c r="CD444" i="1"/>
  <c r="R46" i="2" s="1"/>
  <c r="R47" i="2" s="1"/>
  <c r="R48" i="2" s="1"/>
  <c r="AV285" i="1" l="1"/>
  <c r="AW285" i="1"/>
  <c r="AX285" i="1"/>
  <c r="AY285" i="1"/>
  <c r="BA285" i="1"/>
  <c r="BB285" i="1"/>
  <c r="BC285" i="1"/>
  <c r="BD285" i="1"/>
  <c r="BF285" i="1"/>
  <c r="BG285" i="1"/>
  <c r="BH285" i="1"/>
  <c r="BI285" i="1"/>
  <c r="BK285" i="1"/>
  <c r="BL285" i="1"/>
  <c r="BM285" i="1"/>
  <c r="BN285" i="1"/>
  <c r="AR430" i="1" l="1"/>
  <c r="AT430" i="1"/>
  <c r="AS430" i="1"/>
  <c r="AQ430" i="1"/>
  <c r="CC103" i="1" l="1"/>
  <c r="CC109" i="1"/>
  <c r="BR32" i="7" s="1"/>
  <c r="CC140" i="1"/>
  <c r="CC142" i="1"/>
  <c r="CC147" i="1"/>
  <c r="CC151" i="1"/>
  <c r="CC153" i="1"/>
  <c r="CC158" i="1"/>
  <c r="CC165" i="1"/>
  <c r="CC167" i="1"/>
  <c r="CC169" i="1"/>
  <c r="BR26" i="7" s="1"/>
  <c r="CC196" i="1"/>
  <c r="BR34" i="7" s="1"/>
  <c r="CC199" i="1"/>
  <c r="CC201" i="1"/>
  <c r="CC203" i="1"/>
  <c r="CC207" i="1"/>
  <c r="BR36" i="7" s="1"/>
  <c r="CC258" i="1"/>
  <c r="BR62" i="7" s="1"/>
  <c r="CC263" i="1"/>
  <c r="CC378" i="1"/>
  <c r="CC288" i="1"/>
  <c r="CC335" i="1"/>
  <c r="CC344" i="1"/>
  <c r="CC380" i="1"/>
  <c r="CC381" i="1"/>
  <c r="CC385" i="1"/>
  <c r="CC388" i="1"/>
  <c r="CC392" i="1"/>
  <c r="CC393" i="1"/>
  <c r="CC394" i="1"/>
  <c r="CC397" i="1" s="1"/>
  <c r="CC402" i="1"/>
  <c r="CC403" i="1"/>
  <c r="CC405" i="1"/>
  <c r="CC9" i="1" s="1"/>
  <c r="CC406" i="1"/>
  <c r="CC407" i="1"/>
  <c r="CC408" i="1"/>
  <c r="CC411" i="1"/>
  <c r="CC11" i="1" s="1"/>
  <c r="CC412" i="1"/>
  <c r="CC12" i="1" s="1"/>
  <c r="CC413" i="1"/>
  <c r="CC416" i="1"/>
  <c r="BR8" i="7" s="1"/>
  <c r="CC418" i="1"/>
  <c r="CC419" i="1"/>
  <c r="BR7" i="7" s="1"/>
  <c r="CC36" i="1"/>
  <c r="CC429" i="1"/>
  <c r="CC455" i="1"/>
  <c r="CC467" i="1"/>
  <c r="CC473" i="1"/>
  <c r="CC48" i="1" s="1"/>
  <c r="BR11" i="7" s="1"/>
  <c r="BR23" i="7" s="1"/>
  <c r="CC508" i="1"/>
  <c r="Z253" i="3"/>
  <c r="Y253" i="3"/>
  <c r="E250" i="3"/>
  <c r="D250" i="3"/>
  <c r="C250" i="3"/>
  <c r="Z243" i="3"/>
  <c r="Y243" i="3"/>
  <c r="AJ240" i="3"/>
  <c r="AK240" i="3"/>
  <c r="AC240" i="3"/>
  <c r="AD240" i="3"/>
  <c r="AE240" i="3"/>
  <c r="AF240" i="3"/>
  <c r="AG240" i="3"/>
  <c r="AH240" i="3"/>
  <c r="AI240" i="3"/>
  <c r="E237" i="3"/>
  <c r="D237" i="3"/>
  <c r="C237" i="3"/>
  <c r="BQ25" i="7"/>
  <c r="BQ29" i="7"/>
  <c r="CB103" i="1"/>
  <c r="CC101" i="1" s="1"/>
  <c r="CB109" i="1"/>
  <c r="BQ32" i="7" s="1"/>
  <c r="CB140" i="1"/>
  <c r="CB142" i="1"/>
  <c r="CB147" i="1"/>
  <c r="CB151" i="1"/>
  <c r="CB153" i="1"/>
  <c r="CB158" i="1"/>
  <c r="CB165" i="1"/>
  <c r="BQ27" i="7" s="1"/>
  <c r="CB167" i="1"/>
  <c r="BQ28" i="7" s="1"/>
  <c r="CB169" i="1"/>
  <c r="BQ26" i="7" s="1"/>
  <c r="CB196" i="1"/>
  <c r="BQ34" i="7" s="1"/>
  <c r="CB199" i="1"/>
  <c r="CB201" i="1"/>
  <c r="CB203" i="1"/>
  <c r="CB207" i="1"/>
  <c r="BQ36" i="7" s="1"/>
  <c r="CB258" i="1"/>
  <c r="CB263" i="1"/>
  <c r="BQ63" i="7" s="1"/>
  <c r="CB288" i="1"/>
  <c r="CB335" i="1"/>
  <c r="CB344" i="1"/>
  <c r="CB380" i="1"/>
  <c r="CB381" i="1"/>
  <c r="CB385" i="1"/>
  <c r="CB388" i="1"/>
  <c r="CB392" i="1"/>
  <c r="CB393" i="1"/>
  <c r="CB394" i="1"/>
  <c r="CB397" i="1" s="1"/>
  <c r="CB402" i="1"/>
  <c r="CB403" i="1"/>
  <c r="CB405" i="1"/>
  <c r="CB9" i="1" s="1"/>
  <c r="CB406" i="1"/>
  <c r="BQ55" i="7" s="1"/>
  <c r="CB407" i="1"/>
  <c r="CB408" i="1"/>
  <c r="CB411" i="1"/>
  <c r="CB11" i="1" s="1"/>
  <c r="CB412" i="1"/>
  <c r="CB12" i="1" s="1"/>
  <c r="CB413" i="1"/>
  <c r="CB416" i="1"/>
  <c r="BQ8" i="7" s="1"/>
  <c r="CB418" i="1"/>
  <c r="CB419" i="1"/>
  <c r="CB36" i="1"/>
  <c r="CB473" i="1"/>
  <c r="CB508" i="1"/>
  <c r="BP25" i="7"/>
  <c r="BP29" i="7"/>
  <c r="CA103" i="1"/>
  <c r="CA95" i="1" s="1"/>
  <c r="CA109" i="1"/>
  <c r="BP32" i="7" s="1"/>
  <c r="CA142" i="1"/>
  <c r="CA147" i="1"/>
  <c r="CA153" i="1"/>
  <c r="CA158" i="1"/>
  <c r="CA165" i="1"/>
  <c r="CA167" i="1"/>
  <c r="BP28" i="7" s="1"/>
  <c r="CA169" i="1"/>
  <c r="BP26" i="7" s="1"/>
  <c r="CA196" i="1"/>
  <c r="BP34" i="7" s="1"/>
  <c r="CA199" i="1"/>
  <c r="CA201" i="1"/>
  <c r="CA203" i="1"/>
  <c r="CA207" i="1"/>
  <c r="BP36" i="7" s="1"/>
  <c r="CA258" i="1"/>
  <c r="BP62" i="7" s="1"/>
  <c r="CA263" i="1"/>
  <c r="BP63" i="7" s="1"/>
  <c r="CA378" i="1"/>
  <c r="CA335" i="1"/>
  <c r="CA344" i="1"/>
  <c r="CA385" i="1"/>
  <c r="CA388" i="1"/>
  <c r="CA392" i="1"/>
  <c r="CA393" i="1"/>
  <c r="CA402" i="1"/>
  <c r="CA403" i="1"/>
  <c r="CA405" i="1"/>
  <c r="CA9" i="1" s="1"/>
  <c r="CA406" i="1"/>
  <c r="CA407" i="1"/>
  <c r="CA411" i="1"/>
  <c r="CA11" i="1" s="1"/>
  <c r="CA412" i="1"/>
  <c r="CA12" i="1" s="1"/>
  <c r="CA418" i="1"/>
  <c r="CA419" i="1"/>
  <c r="CA368" i="1" s="1"/>
  <c r="CA36" i="1"/>
  <c r="BP9" i="7"/>
  <c r="BP21" i="7" s="1"/>
  <c r="CA473" i="1"/>
  <c r="CA48" i="1" s="1"/>
  <c r="CA508" i="1"/>
  <c r="C445" i="1"/>
  <c r="D445" i="1"/>
  <c r="E445" i="1"/>
  <c r="CN63" i="7"/>
  <c r="CM63" i="7"/>
  <c r="CL63" i="7"/>
  <c r="CK63" i="7"/>
  <c r="CJ63" i="7"/>
  <c r="CE63" i="7"/>
  <c r="CD63" i="7"/>
  <c r="CC63" i="7"/>
  <c r="CB63" i="7"/>
  <c r="CA63" i="7"/>
  <c r="BZ63" i="7"/>
  <c r="BY63" i="7"/>
  <c r="BX63" i="7"/>
  <c r="BW63" i="7"/>
  <c r="BV63" i="7"/>
  <c r="D221" i="3"/>
  <c r="E221" i="3"/>
  <c r="C221" i="3"/>
  <c r="CC10" i="1" l="1"/>
  <c r="BR74" i="7"/>
  <c r="CB10" i="1"/>
  <c r="BQ74" i="7"/>
  <c r="CC271" i="1"/>
  <c r="BR55" i="7"/>
  <c r="CD263" i="1"/>
  <c r="CI63" i="7" s="1"/>
  <c r="BR63" i="7"/>
  <c r="CC235" i="1"/>
  <c r="BR28" i="7"/>
  <c r="CC230" i="1"/>
  <c r="BR27" i="7"/>
  <c r="CD103" i="1"/>
  <c r="CD95" i="1" s="1"/>
  <c r="BR33" i="7"/>
  <c r="CC247" i="1"/>
  <c r="CC7" i="1"/>
  <c r="CA242" i="1"/>
  <c r="CA8" i="1"/>
  <c r="CB242" i="1"/>
  <c r="CB8" i="1"/>
  <c r="CC242" i="1"/>
  <c r="CC8" i="1"/>
  <c r="CA247" i="1"/>
  <c r="CA7" i="1"/>
  <c r="CB247" i="1"/>
  <c r="CB7" i="1"/>
  <c r="CC104" i="1"/>
  <c r="CC236" i="1" s="1"/>
  <c r="CC237" i="1" s="1"/>
  <c r="BQ7" i="7"/>
  <c r="CB368" i="1"/>
  <c r="CC489" i="1"/>
  <c r="CC29" i="1" s="1"/>
  <c r="CC324" i="1" s="1"/>
  <c r="CC368" i="1"/>
  <c r="CC221" i="1"/>
  <c r="CC155" i="1"/>
  <c r="CC274" i="1"/>
  <c r="CC96" i="1"/>
  <c r="CD109" i="1"/>
  <c r="CC435" i="1"/>
  <c r="CC522" i="1"/>
  <c r="CC321" i="1"/>
  <c r="CC520" i="1"/>
  <c r="CC519" i="1"/>
  <c r="CC421" i="1"/>
  <c r="CC187" i="1"/>
  <c r="CC252" i="1"/>
  <c r="CC144" i="1"/>
  <c r="CC446" i="1"/>
  <c r="CC13" i="1"/>
  <c r="CC102" i="1"/>
  <c r="CC445" i="1"/>
  <c r="CC95" i="1"/>
  <c r="CC326" i="1"/>
  <c r="CC265" i="1"/>
  <c r="CC267" i="1" s="1"/>
  <c r="CC205" i="1"/>
  <c r="CC107" i="1"/>
  <c r="CC108" i="1" s="1"/>
  <c r="CC37" i="1"/>
  <c r="CC116" i="1"/>
  <c r="BR31" i="7" s="1"/>
  <c r="CC260" i="1"/>
  <c r="CC51" i="1"/>
  <c r="BR12" i="7" s="1"/>
  <c r="CC521" i="1"/>
  <c r="CC474" i="1"/>
  <c r="CC457" i="1"/>
  <c r="BR10" i="7" s="1"/>
  <c r="BR22" i="7" s="1"/>
  <c r="CC376" i="1"/>
  <c r="CB230" i="1"/>
  <c r="CB519" i="1"/>
  <c r="CB522" i="1"/>
  <c r="CB326" i="1"/>
  <c r="CB235" i="1"/>
  <c r="CB155" i="1"/>
  <c r="CB13" i="1"/>
  <c r="CB467" i="1"/>
  <c r="CB429" i="1"/>
  <c r="CA260" i="1"/>
  <c r="CB252" i="1"/>
  <c r="CA235" i="1"/>
  <c r="CB457" i="1"/>
  <c r="BQ10" i="7" s="1"/>
  <c r="BQ22" i="7" s="1"/>
  <c r="CB376" i="1"/>
  <c r="CB436" i="1" s="1"/>
  <c r="CB493" i="1" s="1"/>
  <c r="CB421" i="1"/>
  <c r="CB274" i="1"/>
  <c r="CB116" i="1"/>
  <c r="CB489" i="1"/>
  <c r="CB29" i="1" s="1"/>
  <c r="CB474" i="1"/>
  <c r="CB221" i="1"/>
  <c r="BQ9" i="7"/>
  <c r="BQ21" i="7" s="1"/>
  <c r="CB144" i="1"/>
  <c r="CB520" i="1"/>
  <c r="CB521" i="1"/>
  <c r="CB455" i="1"/>
  <c r="BQ33" i="7"/>
  <c r="CB435" i="1"/>
  <c r="CB321" i="1"/>
  <c r="CB271" i="1"/>
  <c r="CB101" i="1"/>
  <c r="CB104" i="1" s="1"/>
  <c r="CB236" i="1" s="1"/>
  <c r="CB265" i="1"/>
  <c r="CB267" i="1" s="1"/>
  <c r="CB96" i="1"/>
  <c r="CB48" i="1"/>
  <c r="BQ62" i="7"/>
  <c r="CB378" i="1"/>
  <c r="CB95" i="1"/>
  <c r="CB37" i="1"/>
  <c r="CB450" i="1"/>
  <c r="CB260" i="1"/>
  <c r="CB51" i="1"/>
  <c r="BQ12" i="7" s="1"/>
  <c r="CB205" i="1"/>
  <c r="CB107" i="1"/>
  <c r="CB108" i="1" s="1"/>
  <c r="CA271" i="1"/>
  <c r="BP55" i="7"/>
  <c r="CA326" i="1"/>
  <c r="BP33" i="7"/>
  <c r="CA429" i="1"/>
  <c r="CA116" i="1"/>
  <c r="CA489" i="1"/>
  <c r="CA29" i="1" s="1"/>
  <c r="CA445" i="1"/>
  <c r="BP11" i="7"/>
  <c r="BP23" i="7" s="1"/>
  <c r="CA474" i="1"/>
  <c r="CA435" i="1"/>
  <c r="CA51" i="1"/>
  <c r="BP12" i="7" s="1"/>
  <c r="CA230" i="1"/>
  <c r="BP7" i="7"/>
  <c r="CA96" i="1"/>
  <c r="CA97" i="1" s="1"/>
  <c r="CA98" i="1" s="1"/>
  <c r="CA252" i="1"/>
  <c r="CA37" i="1"/>
  <c r="BP27" i="7"/>
  <c r="AH115" i="3"/>
  <c r="AI115" i="3"/>
  <c r="AJ115" i="3"/>
  <c r="AK115" i="3"/>
  <c r="D53" i="4"/>
  <c r="E53" i="4"/>
  <c r="C53" i="4"/>
  <c r="O13" i="4"/>
  <c r="P13" i="4"/>
  <c r="Q13" i="4"/>
  <c r="R13" i="4"/>
  <c r="AY466" i="1"/>
  <c r="AX466" i="1"/>
  <c r="X114" i="2"/>
  <c r="Y114" i="2"/>
  <c r="Z114" i="2"/>
  <c r="AA114" i="2"/>
  <c r="X207" i="2"/>
  <c r="Y207" i="2"/>
  <c r="Z207" i="2"/>
  <c r="AA207" i="2"/>
  <c r="X280" i="2"/>
  <c r="Y280" i="2"/>
  <c r="Z280" i="2"/>
  <c r="AA280" i="2"/>
  <c r="X296" i="2"/>
  <c r="Y296" i="2"/>
  <c r="Z296" i="2"/>
  <c r="CE336" i="1"/>
  <c r="CF336" i="1" s="1"/>
  <c r="AP337" i="1"/>
  <c r="AO337" i="1"/>
  <c r="AN337" i="1"/>
  <c r="AM337" i="1"/>
  <c r="AL337" i="1"/>
  <c r="AK337" i="1"/>
  <c r="AJ337" i="1"/>
  <c r="AI337" i="1"/>
  <c r="AH337" i="1"/>
  <c r="AG337" i="1"/>
  <c r="AP368" i="1"/>
  <c r="AO368" i="1"/>
  <c r="AN368" i="1"/>
  <c r="AM368" i="1"/>
  <c r="AL368" i="1"/>
  <c r="AK368" i="1"/>
  <c r="B368" i="1"/>
  <c r="BZ335" i="1"/>
  <c r="BX335" i="1"/>
  <c r="CC337" i="1" s="1"/>
  <c r="BW335" i="1"/>
  <c r="CB337" i="1" s="1"/>
  <c r="BV335" i="1"/>
  <c r="CA337" i="1" s="1"/>
  <c r="BU335" i="1"/>
  <c r="BS335" i="1"/>
  <c r="BR335" i="1"/>
  <c r="BQ335" i="1"/>
  <c r="BP335" i="1"/>
  <c r="BN335" i="1"/>
  <c r="BM335" i="1"/>
  <c r="BL335" i="1"/>
  <c r="BK335" i="1"/>
  <c r="BI335" i="1"/>
  <c r="BH335" i="1"/>
  <c r="BG335" i="1"/>
  <c r="BF335" i="1"/>
  <c r="BD335" i="1"/>
  <c r="BC335" i="1"/>
  <c r="BB335" i="1"/>
  <c r="BA335" i="1"/>
  <c r="AY335" i="1"/>
  <c r="AX335" i="1"/>
  <c r="AW335" i="1"/>
  <c r="AV335" i="1"/>
  <c r="AT335" i="1"/>
  <c r="AT337" i="1" s="1"/>
  <c r="AS335" i="1"/>
  <c r="AR335" i="1"/>
  <c r="AR337" i="1" s="1"/>
  <c r="AQ335" i="1"/>
  <c r="AQ337" i="1" s="1"/>
  <c r="CC358" i="1"/>
  <c r="CB358" i="1"/>
  <c r="CA358" i="1"/>
  <c r="AB240" i="3" l="1"/>
  <c r="BR20" i="7"/>
  <c r="BR19" i="7"/>
  <c r="CC270" i="1"/>
  <c r="CC6" i="1"/>
  <c r="CB6" i="1"/>
  <c r="CA6" i="1"/>
  <c r="CC30" i="1"/>
  <c r="CC50" i="1" s="1"/>
  <c r="CC327" i="1"/>
  <c r="CC336" i="1"/>
  <c r="CC357" i="1"/>
  <c r="CB331" i="1"/>
  <c r="CB361" i="1"/>
  <c r="CC97" i="1"/>
  <c r="CC98" i="1" s="1"/>
  <c r="CA331" i="1"/>
  <c r="CA361" i="1"/>
  <c r="CC353" i="1"/>
  <c r="CC361" i="1"/>
  <c r="CC331" i="1"/>
  <c r="CC345" i="1"/>
  <c r="CC349" i="1"/>
  <c r="CC341" i="1"/>
  <c r="CB357" i="1"/>
  <c r="CB353" i="1"/>
  <c r="CA336" i="1"/>
  <c r="CA353" i="1"/>
  <c r="CD96" i="1"/>
  <c r="CD97" i="1" s="1"/>
  <c r="CE97" i="1" s="1"/>
  <c r="CF97" i="1" s="1"/>
  <c r="CG97" i="1" s="1"/>
  <c r="CH97" i="1" s="1"/>
  <c r="CI97" i="1" s="1"/>
  <c r="CJ97" i="1" s="1"/>
  <c r="CK97" i="1" s="1"/>
  <c r="CL97" i="1" s="1"/>
  <c r="CM97" i="1" s="1"/>
  <c r="CC159" i="1"/>
  <c r="CD116" i="1"/>
  <c r="CB459" i="1"/>
  <c r="CB464" i="1" s="1"/>
  <c r="CC450" i="1"/>
  <c r="CB206" i="1"/>
  <c r="BQ35" i="7" s="1"/>
  <c r="CC114" i="1"/>
  <c r="CC117" i="1" s="1"/>
  <c r="CC224" i="1" s="1"/>
  <c r="CC382" i="1"/>
  <c r="BR16" i="7" s="1"/>
  <c r="CC436" i="1"/>
  <c r="CC493" i="1" s="1"/>
  <c r="CC459" i="1"/>
  <c r="CC464" i="1" s="1"/>
  <c r="CC245" i="1"/>
  <c r="CC246" i="1" s="1"/>
  <c r="CC206" i="1"/>
  <c r="BR35" i="7" s="1"/>
  <c r="CC193" i="1"/>
  <c r="BR30" i="7" s="1"/>
  <c r="CB341" i="1"/>
  <c r="CB30" i="1"/>
  <c r="CB39" i="1" s="1"/>
  <c r="CB349" i="1"/>
  <c r="CB237" i="1"/>
  <c r="CB245" i="1" s="1"/>
  <c r="CB246" i="1" s="1"/>
  <c r="CB102" i="1"/>
  <c r="BQ20" i="7"/>
  <c r="BQ31" i="7"/>
  <c r="BQ19" i="7"/>
  <c r="CB270" i="1"/>
  <c r="CB324" i="1"/>
  <c r="CB336" i="1"/>
  <c r="CB159" i="1"/>
  <c r="CB327" i="1"/>
  <c r="CB345" i="1"/>
  <c r="BQ11" i="7"/>
  <c r="BQ23" i="7" s="1"/>
  <c r="CA206" i="1"/>
  <c r="BP35" i="7" s="1"/>
  <c r="CB114" i="1"/>
  <c r="CB446" i="1"/>
  <c r="CB445" i="1"/>
  <c r="CB382" i="1"/>
  <c r="CB193" i="1"/>
  <c r="BQ30" i="7" s="1"/>
  <c r="CB97" i="1"/>
  <c r="CB98" i="1" s="1"/>
  <c r="BP31" i="7"/>
  <c r="CA159" i="1"/>
  <c r="CA30" i="1"/>
  <c r="CA39" i="1" s="1"/>
  <c r="BR337" i="1"/>
  <c r="CA327" i="1"/>
  <c r="CA357" i="1"/>
  <c r="CA446" i="1"/>
  <c r="CA341" i="1"/>
  <c r="CA324" i="1"/>
  <c r="CA345" i="1"/>
  <c r="CA349" i="1"/>
  <c r="BG337" i="1"/>
  <c r="BY335" i="1"/>
  <c r="Y297" i="2"/>
  <c r="BS337" i="1"/>
  <c r="BD337" i="1"/>
  <c r="BJ335" i="1"/>
  <c r="BP337" i="1"/>
  <c r="AZ335" i="1"/>
  <c r="BB337" i="1"/>
  <c r="AU335" i="1"/>
  <c r="AU337" i="1" s="1"/>
  <c r="BE335" i="1"/>
  <c r="BO335" i="1"/>
  <c r="BN337" i="1"/>
  <c r="BQ337" i="1"/>
  <c r="BH337" i="1"/>
  <c r="AY337" i="1"/>
  <c r="BI337" i="1"/>
  <c r="BA337" i="1"/>
  <c r="BV337" i="1"/>
  <c r="BW337" i="1"/>
  <c r="BY356" i="1"/>
  <c r="CD358" i="1" s="1"/>
  <c r="BC337" i="1"/>
  <c r="AV337" i="1"/>
  <c r="BT335" i="1"/>
  <c r="AW337" i="1"/>
  <c r="BM337" i="1"/>
  <c r="AX337" i="1"/>
  <c r="BF337" i="1"/>
  <c r="BZ337" i="1"/>
  <c r="BL337" i="1"/>
  <c r="BU337" i="1"/>
  <c r="BK337" i="1"/>
  <c r="BX337" i="1"/>
  <c r="AS337" i="1"/>
  <c r="Z297" i="2"/>
  <c r="CG336" i="1"/>
  <c r="CB15" i="1" l="1"/>
  <c r="CC15" i="1"/>
  <c r="CD98" i="1"/>
  <c r="CC39" i="1"/>
  <c r="CC115" i="1"/>
  <c r="CC225" i="1"/>
  <c r="CC226" i="1" s="1"/>
  <c r="CB50" i="1"/>
  <c r="CB117" i="1"/>
  <c r="CB224" i="1" s="1"/>
  <c r="CB115" i="1"/>
  <c r="BQ16" i="7"/>
  <c r="CA50" i="1"/>
  <c r="BJ337" i="1"/>
  <c r="BO337" i="1"/>
  <c r="BE337" i="1"/>
  <c r="AZ337" i="1"/>
  <c r="BT337" i="1"/>
  <c r="BY337" i="1"/>
  <c r="CH336" i="1"/>
  <c r="CB225" i="1" l="1"/>
  <c r="CB226" i="1" s="1"/>
  <c r="CI336" i="1"/>
  <c r="CJ336" i="1" l="1"/>
  <c r="CK336" i="1" l="1"/>
  <c r="CL336" i="1" l="1"/>
  <c r="CM336" i="1" l="1"/>
  <c r="CE62" i="7" l="1"/>
  <c r="CD62" i="7"/>
  <c r="CC62" i="7"/>
  <c r="CB62" i="7"/>
  <c r="CA62" i="7"/>
  <c r="BZ62" i="7"/>
  <c r="BY62" i="7"/>
  <c r="BX62" i="7"/>
  <c r="BW62" i="7"/>
  <c r="BV62" i="7"/>
  <c r="CE55" i="7"/>
  <c r="CD55" i="7"/>
  <c r="CC55" i="7"/>
  <c r="CB55" i="7"/>
  <c r="CA55" i="7"/>
  <c r="BZ55" i="7"/>
  <c r="BY55" i="7"/>
  <c r="BX55" i="7"/>
  <c r="BW55" i="7"/>
  <c r="BV55" i="7"/>
  <c r="CF55" i="7"/>
  <c r="CB28" i="7"/>
  <c r="CA28" i="7"/>
  <c r="BZ28" i="7"/>
  <c r="BY28" i="7"/>
  <c r="BX28" i="7"/>
  <c r="BW28" i="7"/>
  <c r="BV28" i="7"/>
  <c r="CB27" i="7"/>
  <c r="CA27" i="7"/>
  <c r="BZ27" i="7"/>
  <c r="BY27" i="7"/>
  <c r="BX27" i="7"/>
  <c r="BW27" i="7"/>
  <c r="BV27" i="7"/>
  <c r="CF19" i="7"/>
  <c r="CE19" i="7"/>
  <c r="CD19" i="7"/>
  <c r="CC19" i="7"/>
  <c r="CB19" i="7"/>
  <c r="CA19" i="7"/>
  <c r="BZ19" i="7"/>
  <c r="BY19" i="7"/>
  <c r="BX19" i="7"/>
  <c r="BW19" i="7"/>
  <c r="BV19" i="7"/>
  <c r="AU168" i="1"/>
  <c r="AU166" i="1"/>
  <c r="C503" i="1"/>
  <c r="D503" i="1"/>
  <c r="E503" i="1"/>
  <c r="F503" i="1"/>
  <c r="H503" i="1"/>
  <c r="I503" i="1"/>
  <c r="J503" i="1"/>
  <c r="K503" i="1"/>
  <c r="M503" i="1"/>
  <c r="N503" i="1"/>
  <c r="O503" i="1"/>
  <c r="P503" i="1"/>
  <c r="R503" i="1"/>
  <c r="S503" i="1"/>
  <c r="T503" i="1"/>
  <c r="U503" i="1"/>
  <c r="W503" i="1"/>
  <c r="X503" i="1"/>
  <c r="Y503" i="1"/>
  <c r="Z503" i="1"/>
  <c r="AB503" i="1"/>
  <c r="AC503" i="1"/>
  <c r="AD503" i="1"/>
  <c r="AE503" i="1"/>
  <c r="AG503" i="1"/>
  <c r="AH503" i="1"/>
  <c r="AI503" i="1"/>
  <c r="AJ503" i="1"/>
  <c r="AL503" i="1"/>
  <c r="AM503" i="1"/>
  <c r="AN503" i="1"/>
  <c r="AO503" i="1"/>
  <c r="AQ503" i="1"/>
  <c r="AR503" i="1"/>
  <c r="AS503" i="1"/>
  <c r="AT503" i="1"/>
  <c r="AV503" i="1"/>
  <c r="AW503" i="1"/>
  <c r="AX503" i="1"/>
  <c r="AY503" i="1"/>
  <c r="BA503" i="1"/>
  <c r="BB503" i="1"/>
  <c r="BC503" i="1"/>
  <c r="BD503" i="1"/>
  <c r="BF503" i="1"/>
  <c r="BG503" i="1"/>
  <c r="BH503" i="1"/>
  <c r="BI503" i="1"/>
  <c r="B503" i="1"/>
  <c r="BW508" i="1"/>
  <c r="BX508" i="1"/>
  <c r="BY508" i="1"/>
  <c r="BZ508" i="1"/>
  <c r="AB506" i="1"/>
  <c r="AC506" i="1"/>
  <c r="AD506" i="1"/>
  <c r="AE506" i="1"/>
  <c r="AF506" i="1"/>
  <c r="AG506" i="1"/>
  <c r="AH506" i="1"/>
  <c r="AI506" i="1"/>
  <c r="AJ506" i="1"/>
  <c r="AK506" i="1"/>
  <c r="AL506" i="1"/>
  <c r="AM506" i="1"/>
  <c r="AN506" i="1"/>
  <c r="AO506" i="1"/>
  <c r="AP506" i="1"/>
  <c r="AQ506" i="1"/>
  <c r="AR506" i="1"/>
  <c r="AS506" i="1"/>
  <c r="AT506" i="1"/>
  <c r="AU506" i="1"/>
  <c r="AV506" i="1"/>
  <c r="AW506" i="1"/>
  <c r="AX506" i="1"/>
  <c r="AY506" i="1"/>
  <c r="AZ506" i="1"/>
  <c r="BA506" i="1"/>
  <c r="BB506" i="1"/>
  <c r="BC506" i="1"/>
  <c r="BD506" i="1"/>
  <c r="BE506" i="1"/>
  <c r="BF506" i="1"/>
  <c r="BG506" i="1"/>
  <c r="BH506" i="1"/>
  <c r="BI506" i="1"/>
  <c r="BJ506" i="1"/>
  <c r="BK506" i="1"/>
  <c r="BL506" i="1"/>
  <c r="BM506" i="1"/>
  <c r="BN506" i="1"/>
  <c r="BO506" i="1"/>
  <c r="AB507" i="1"/>
  <c r="AC507" i="1"/>
  <c r="AD507" i="1"/>
  <c r="AE507" i="1"/>
  <c r="AF507" i="1"/>
  <c r="AG507" i="1"/>
  <c r="AH507" i="1"/>
  <c r="AI507" i="1"/>
  <c r="AJ507" i="1"/>
  <c r="AK507" i="1"/>
  <c r="AL507" i="1"/>
  <c r="AM507" i="1"/>
  <c r="AN507" i="1"/>
  <c r="AO507" i="1"/>
  <c r="AP507" i="1"/>
  <c r="AQ507" i="1"/>
  <c r="AR507" i="1"/>
  <c r="AS507" i="1"/>
  <c r="AT507" i="1"/>
  <c r="AU507" i="1"/>
  <c r="AV507" i="1"/>
  <c r="AW507" i="1"/>
  <c r="AX507" i="1"/>
  <c r="AY507" i="1"/>
  <c r="AZ507" i="1"/>
  <c r="BA507" i="1"/>
  <c r="BB507" i="1"/>
  <c r="BC507" i="1"/>
  <c r="BD507" i="1"/>
  <c r="BE507" i="1"/>
  <c r="BF507" i="1"/>
  <c r="BG507" i="1"/>
  <c r="BH507" i="1"/>
  <c r="BI507" i="1"/>
  <c r="BJ507" i="1"/>
  <c r="BK507" i="1"/>
  <c r="BL507" i="1"/>
  <c r="BM507" i="1"/>
  <c r="BN507" i="1"/>
  <c r="BO507" i="1"/>
  <c r="AB508" i="1"/>
  <c r="AC508" i="1"/>
  <c r="AD508" i="1"/>
  <c r="AE508" i="1"/>
  <c r="AF508" i="1"/>
  <c r="AG508" i="1"/>
  <c r="AH508" i="1"/>
  <c r="AI508" i="1"/>
  <c r="AJ508" i="1"/>
  <c r="AK508" i="1"/>
  <c r="AL508" i="1"/>
  <c r="AM508" i="1"/>
  <c r="AN508" i="1"/>
  <c r="AO508" i="1"/>
  <c r="AP508" i="1"/>
  <c r="AQ508" i="1"/>
  <c r="AR508" i="1"/>
  <c r="AS508" i="1"/>
  <c r="AT508" i="1"/>
  <c r="AU508" i="1"/>
  <c r="AV508" i="1"/>
  <c r="AW508" i="1"/>
  <c r="AX508" i="1"/>
  <c r="AY508" i="1"/>
  <c r="AZ508" i="1"/>
  <c r="BA508" i="1"/>
  <c r="BB508" i="1"/>
  <c r="BC508" i="1"/>
  <c r="BD508" i="1"/>
  <c r="BE508" i="1"/>
  <c r="BF508" i="1"/>
  <c r="BG508" i="1"/>
  <c r="BH508" i="1"/>
  <c r="BI508" i="1"/>
  <c r="BJ508" i="1"/>
  <c r="BK508" i="1"/>
  <c r="BL508" i="1"/>
  <c r="BM508" i="1"/>
  <c r="BN508" i="1"/>
  <c r="BO508" i="1"/>
  <c r="BP508" i="1"/>
  <c r="BQ508" i="1"/>
  <c r="BR508" i="1"/>
  <c r="BS508" i="1"/>
  <c r="BT508" i="1"/>
  <c r="BU508" i="1"/>
  <c r="AB509" i="1"/>
  <c r="AC509" i="1"/>
  <c r="AD509" i="1"/>
  <c r="AE509" i="1"/>
  <c r="AF509" i="1"/>
  <c r="AG509" i="1"/>
  <c r="AH509" i="1"/>
  <c r="AI509" i="1"/>
  <c r="AJ509" i="1"/>
  <c r="AK509" i="1"/>
  <c r="AL509" i="1"/>
  <c r="AM509" i="1"/>
  <c r="AN509" i="1"/>
  <c r="AO509" i="1"/>
  <c r="AP509" i="1"/>
  <c r="AQ509" i="1"/>
  <c r="AR509" i="1"/>
  <c r="AS509" i="1"/>
  <c r="AT509" i="1"/>
  <c r="AU509" i="1"/>
  <c r="AV509" i="1"/>
  <c r="AW509" i="1"/>
  <c r="AX509" i="1"/>
  <c r="AY509" i="1"/>
  <c r="AZ509" i="1"/>
  <c r="BA509" i="1"/>
  <c r="BB509" i="1"/>
  <c r="BC509" i="1"/>
  <c r="BD509" i="1"/>
  <c r="BE509" i="1"/>
  <c r="BF509" i="1"/>
  <c r="BG509" i="1"/>
  <c r="BH509" i="1"/>
  <c r="BI509" i="1"/>
  <c r="BJ509" i="1"/>
  <c r="BK509" i="1"/>
  <c r="BL509" i="1"/>
  <c r="BM509" i="1"/>
  <c r="BN509" i="1"/>
  <c r="BO509" i="1"/>
  <c r="AB510" i="1"/>
  <c r="AC510" i="1"/>
  <c r="AD510" i="1"/>
  <c r="AE510" i="1"/>
  <c r="AF510" i="1"/>
  <c r="AG510" i="1"/>
  <c r="AH510" i="1"/>
  <c r="AI510" i="1"/>
  <c r="AJ510" i="1"/>
  <c r="AK510" i="1"/>
  <c r="AL510" i="1"/>
  <c r="AM510" i="1"/>
  <c r="AN510" i="1"/>
  <c r="AO510" i="1"/>
  <c r="AP510" i="1"/>
  <c r="AQ510" i="1"/>
  <c r="AR510" i="1"/>
  <c r="AS510" i="1"/>
  <c r="AT510" i="1"/>
  <c r="AU510" i="1"/>
  <c r="AV510" i="1"/>
  <c r="AW510" i="1"/>
  <c r="AX510" i="1"/>
  <c r="AY510" i="1"/>
  <c r="AZ510" i="1"/>
  <c r="BA510" i="1"/>
  <c r="BB510" i="1"/>
  <c r="BC510" i="1"/>
  <c r="BD510" i="1"/>
  <c r="BE510" i="1"/>
  <c r="BF510" i="1"/>
  <c r="BG510" i="1"/>
  <c r="BH510" i="1"/>
  <c r="BI510" i="1"/>
  <c r="BJ510" i="1"/>
  <c r="BK510" i="1"/>
  <c r="BL510" i="1"/>
  <c r="BM510" i="1"/>
  <c r="BN510" i="1"/>
  <c r="BO510" i="1"/>
  <c r="AB513" i="1"/>
  <c r="AC513" i="1"/>
  <c r="AD513" i="1"/>
  <c r="AE513" i="1"/>
  <c r="AF513" i="1"/>
  <c r="AG513" i="1"/>
  <c r="AH513" i="1"/>
  <c r="AI513" i="1"/>
  <c r="AJ513" i="1"/>
  <c r="AK513" i="1"/>
  <c r="AL513" i="1"/>
  <c r="AM513" i="1"/>
  <c r="AN513" i="1"/>
  <c r="AO513" i="1"/>
  <c r="AP513" i="1"/>
  <c r="AQ513" i="1"/>
  <c r="AR513" i="1"/>
  <c r="AS513" i="1"/>
  <c r="AT513" i="1"/>
  <c r="AU513" i="1"/>
  <c r="AV513" i="1"/>
  <c r="AW513" i="1"/>
  <c r="AX513" i="1"/>
  <c r="AY513" i="1"/>
  <c r="AZ513" i="1"/>
  <c r="BA513" i="1"/>
  <c r="BB513" i="1"/>
  <c r="BC513" i="1"/>
  <c r="BD513" i="1"/>
  <c r="BE513" i="1"/>
  <c r="BF513" i="1"/>
  <c r="BG513" i="1"/>
  <c r="BH513" i="1"/>
  <c r="BI513" i="1"/>
  <c r="BJ513" i="1"/>
  <c r="BK513" i="1"/>
  <c r="BL513" i="1"/>
  <c r="BM513" i="1"/>
  <c r="BN513" i="1"/>
  <c r="BO513" i="1"/>
  <c r="AB515" i="1"/>
  <c r="AC515" i="1"/>
  <c r="AD515" i="1"/>
  <c r="AE515" i="1"/>
  <c r="AF515" i="1"/>
  <c r="AG515" i="1"/>
  <c r="AH515" i="1"/>
  <c r="AI515" i="1"/>
  <c r="AJ515" i="1"/>
  <c r="AK515" i="1"/>
  <c r="AL515" i="1"/>
  <c r="AM515" i="1"/>
  <c r="AN515" i="1"/>
  <c r="AO515" i="1"/>
  <c r="AP515" i="1"/>
  <c r="AQ515" i="1"/>
  <c r="AR515" i="1"/>
  <c r="AS515" i="1"/>
  <c r="AT515" i="1"/>
  <c r="AU515" i="1"/>
  <c r="AV515" i="1"/>
  <c r="AW515" i="1"/>
  <c r="AX515" i="1"/>
  <c r="AY515" i="1"/>
  <c r="AZ515" i="1"/>
  <c r="BA515" i="1"/>
  <c r="BB515" i="1"/>
  <c r="BC515" i="1"/>
  <c r="BD515" i="1"/>
  <c r="BE515" i="1"/>
  <c r="BF515" i="1"/>
  <c r="BG515" i="1"/>
  <c r="BH515" i="1"/>
  <c r="BI515" i="1"/>
  <c r="BJ515" i="1"/>
  <c r="BK515" i="1"/>
  <c r="BL515" i="1"/>
  <c r="BM515" i="1"/>
  <c r="BN515" i="1"/>
  <c r="BO515" i="1"/>
  <c r="AA515" i="1"/>
  <c r="AA513" i="1"/>
  <c r="AA510" i="1"/>
  <c r="AA509" i="1"/>
  <c r="AA508" i="1"/>
  <c r="AA507" i="1"/>
  <c r="AA506" i="1"/>
  <c r="BV508" i="1"/>
  <c r="V13" i="1"/>
  <c r="U13" i="1"/>
  <c r="T13" i="1"/>
  <c r="S13" i="1"/>
  <c r="R13" i="1"/>
  <c r="Q13" i="1"/>
  <c r="P13" i="1"/>
  <c r="O13" i="1"/>
  <c r="N13" i="1"/>
  <c r="M13" i="1"/>
  <c r="L13" i="1"/>
  <c r="K13" i="1"/>
  <c r="J13" i="1"/>
  <c r="I13" i="1"/>
  <c r="H13" i="1"/>
  <c r="G13" i="1"/>
  <c r="F13" i="1"/>
  <c r="E13" i="1"/>
  <c r="D13" i="1"/>
  <c r="C13" i="1"/>
  <c r="B13" i="1"/>
  <c r="CD508" i="1"/>
  <c r="CF265" i="1"/>
  <c r="CG265" i="1"/>
  <c r="CH265" i="1"/>
  <c r="CI265" i="1"/>
  <c r="CJ265" i="1"/>
  <c r="CK265" i="1"/>
  <c r="CL265" i="1"/>
  <c r="CM265" i="1"/>
  <c r="CE265" i="1"/>
  <c r="CF264" i="1"/>
  <c r="CG264" i="1"/>
  <c r="CH264" i="1"/>
  <c r="CI264" i="1"/>
  <c r="CJ264" i="1"/>
  <c r="CK264" i="1"/>
  <c r="CL264" i="1"/>
  <c r="CM264" i="1"/>
  <c r="CE264" i="1"/>
  <c r="S14" i="1" l="1"/>
  <c r="T14" i="1"/>
  <c r="P14" i="1"/>
  <c r="Q14" i="1"/>
  <c r="M14" i="1"/>
  <c r="U14" i="1"/>
  <c r="N14" i="1"/>
  <c r="V14" i="1"/>
  <c r="G14" i="1"/>
  <c r="K14" i="1"/>
  <c r="L14" i="1"/>
  <c r="O14" i="1"/>
  <c r="R14" i="1"/>
  <c r="BZ263" i="1" l="1"/>
  <c r="CA265" i="1" s="1"/>
  <c r="CA267" i="1" s="1"/>
  <c r="BX263" i="1"/>
  <c r="BY263" i="1" s="1"/>
  <c r="BW263" i="1"/>
  <c r="BV263" i="1"/>
  <c r="BU263" i="1"/>
  <c r="BS263" i="1"/>
  <c r="BT263" i="1" s="1"/>
  <c r="BR263" i="1"/>
  <c r="BQ263" i="1"/>
  <c r="BP263" i="1"/>
  <c r="BN263" i="1"/>
  <c r="BM263" i="1"/>
  <c r="BL263" i="1"/>
  <c r="BZ258" i="1"/>
  <c r="BX258" i="1"/>
  <c r="CC259" i="1" s="1"/>
  <c r="BW258" i="1"/>
  <c r="CB259" i="1" s="1"/>
  <c r="BV258" i="1"/>
  <c r="CA259" i="1" s="1"/>
  <c r="BU258" i="1"/>
  <c r="BS258" i="1"/>
  <c r="BR258" i="1"/>
  <c r="BQ258" i="1"/>
  <c r="BP258" i="1"/>
  <c r="BN258" i="1"/>
  <c r="BM258" i="1"/>
  <c r="BL258" i="1"/>
  <c r="CA270" i="1" l="1"/>
  <c r="CD265" i="1"/>
  <c r="CD264" i="1"/>
  <c r="CG63" i="7"/>
  <c r="Z240" i="3"/>
  <c r="CH63" i="7"/>
  <c r="AA240" i="3"/>
  <c r="BZ265" i="1"/>
  <c r="BZ267" i="1" s="1"/>
  <c r="BW265" i="1"/>
  <c r="BW267" i="1" s="1"/>
  <c r="CB268" i="1" s="1"/>
  <c r="BP259" i="1"/>
  <c r="BU265" i="1"/>
  <c r="BU267" i="1" s="1"/>
  <c r="BX265" i="1"/>
  <c r="BX267" i="1" s="1"/>
  <c r="CC268" i="1" s="1"/>
  <c r="BS259" i="1"/>
  <c r="BU259" i="1"/>
  <c r="BV265" i="1"/>
  <c r="BV267" i="1" s="1"/>
  <c r="CA268" i="1" s="1"/>
  <c r="BQ259" i="1"/>
  <c r="BV259" i="1"/>
  <c r="BR259" i="1"/>
  <c r="BW259" i="1"/>
  <c r="BX259" i="1"/>
  <c r="BZ259" i="1"/>
  <c r="BO258" i="1"/>
  <c r="BO263" i="1"/>
  <c r="Y240" i="3" s="1"/>
  <c r="CD267" i="1" l="1"/>
  <c r="BZ268" i="1"/>
  <c r="CF62" i="7"/>
  <c r="Y242" i="3"/>
  <c r="BT265" i="1"/>
  <c r="CF63" i="7"/>
  <c r="BY267" i="1"/>
  <c r="BY264" i="1"/>
  <c r="BY265" i="1"/>
  <c r="CD268" i="1" l="1"/>
  <c r="BY276" i="1"/>
  <c r="CD276" i="1" l="1"/>
  <c r="CE276" i="1" l="1"/>
  <c r="CF276" i="1" l="1"/>
  <c r="CG276" i="1" l="1"/>
  <c r="CH276" i="1" l="1"/>
  <c r="CI276" i="1" l="1"/>
  <c r="CJ276" i="1" l="1"/>
  <c r="CK276" i="1" l="1"/>
  <c r="CL276" i="1" l="1"/>
  <c r="CM276" i="1" l="1"/>
  <c r="CM297" i="1" l="1"/>
  <c r="CK277" i="1"/>
  <c r="CL277" i="1"/>
  <c r="CJ297" i="1"/>
  <c r="CK297" i="1"/>
  <c r="CL297" i="1"/>
  <c r="BY74" i="1"/>
  <c r="BY73" i="1"/>
  <c r="BO70" i="1"/>
  <c r="BJ70" i="1"/>
  <c r="BE70" i="1"/>
  <c r="AZ70" i="1"/>
  <c r="AU74" i="1"/>
  <c r="AU70" i="1"/>
  <c r="BO68" i="1"/>
  <c r="BJ68" i="1"/>
  <c r="BE68" i="1"/>
  <c r="AZ68" i="1"/>
  <c r="AU68" i="1"/>
  <c r="CM277" i="1" l="1"/>
  <c r="CE508" i="1" l="1"/>
  <c r="CF508" i="1" l="1"/>
  <c r="CG508" i="1" l="1"/>
  <c r="CH508" i="1" l="1"/>
  <c r="CI508" i="1" l="1"/>
  <c r="CJ508" i="1" l="1"/>
  <c r="CK508" i="1" l="1"/>
  <c r="CM508" i="1" l="1"/>
  <c r="CL508" i="1"/>
  <c r="B57" i="10" l="1"/>
  <c r="B58" i="10" s="1"/>
  <c r="B59" i="10" s="1"/>
  <c r="B60" i="10" s="1"/>
  <c r="B51" i="10"/>
  <c r="B52" i="10" s="1"/>
  <c r="B53" i="10" s="1"/>
  <c r="B54" i="10" s="1"/>
  <c r="B20" i="10"/>
  <c r="B14" i="10"/>
  <c r="D5" i="10" l="1"/>
  <c r="G5" i="10"/>
  <c r="I5" i="10"/>
  <c r="J5" i="10"/>
  <c r="L5" i="10"/>
  <c r="O5" i="10"/>
  <c r="P5" i="10"/>
  <c r="U5" i="10"/>
  <c r="V5" i="10"/>
  <c r="X5" i="10"/>
  <c r="AD5" i="10"/>
  <c r="AG5" i="10"/>
  <c r="AH5" i="10"/>
  <c r="AL5" i="10"/>
  <c r="AP5" i="10"/>
  <c r="AQ5" i="10"/>
  <c r="AM2" i="10"/>
  <c r="AN2" i="10" s="1"/>
  <c r="AO2" i="10" s="1"/>
  <c r="AO5" i="10" s="1"/>
  <c r="AI2" i="10"/>
  <c r="AJ2" i="10" s="1"/>
  <c r="AK2" i="10" s="1"/>
  <c r="AK5" i="10" s="1"/>
  <c r="AE2" i="10"/>
  <c r="AF2" i="10" s="1"/>
  <c r="AF5" i="10" s="1"/>
  <c r="Y2" i="10"/>
  <c r="Z2" i="10" s="1"/>
  <c r="AA2" i="10" s="1"/>
  <c r="AB2" i="10" s="1"/>
  <c r="AC2" i="10" s="1"/>
  <c r="AC5" i="10" s="1"/>
  <c r="W2" i="10"/>
  <c r="W5" i="10" s="1"/>
  <c r="Q2" i="10"/>
  <c r="R2" i="10" s="1"/>
  <c r="S2" i="10" s="1"/>
  <c r="T2" i="10" s="1"/>
  <c r="T5" i="10" s="1"/>
  <c r="M2" i="10"/>
  <c r="M5" i="10" s="1"/>
  <c r="K2" i="10"/>
  <c r="K5" i="10" s="1"/>
  <c r="H2" i="10"/>
  <c r="H5" i="10" s="1"/>
  <c r="E2" i="10"/>
  <c r="E5" i="10" s="1"/>
  <c r="BE5" i="10"/>
  <c r="BE6" i="10" s="1"/>
  <c r="BE8" i="10"/>
  <c r="BE11" i="10"/>
  <c r="BE14" i="10"/>
  <c r="BE15" i="10" s="1"/>
  <c r="BE18" i="10"/>
  <c r="BE20" i="10" s="1"/>
  <c r="BE21" i="10" s="1"/>
  <c r="BE22" i="10" s="1"/>
  <c r="BE25" i="10" s="1"/>
  <c r="BE27" i="10" s="1"/>
  <c r="BE28" i="10" s="1"/>
  <c r="BE29" i="10" s="1"/>
  <c r="BE30" i="10" s="1"/>
  <c r="BE31" i="10" s="1"/>
  <c r="BE33" i="10" s="1"/>
  <c r="BE34" i="10" s="1"/>
  <c r="BE37" i="10" s="1"/>
  <c r="BE38" i="10" s="1"/>
  <c r="BE39" i="10" s="1"/>
  <c r="BE41" i="10" s="1"/>
  <c r="BE42" i="10" s="1"/>
  <c r="BE43" i="10" s="1"/>
  <c r="BF45" i="10" s="1"/>
  <c r="BF4" i="10"/>
  <c r="BF3" i="10"/>
  <c r="C5" i="10"/>
  <c r="AA6" i="10"/>
  <c r="AB6" i="10" s="1"/>
  <c r="AC6" i="10" s="1"/>
  <c r="AD6" i="10" s="1"/>
  <c r="AE6" i="10" s="1"/>
  <c r="AF6" i="10" s="1"/>
  <c r="AG6" i="10" s="1"/>
  <c r="AH6" i="10" s="1"/>
  <c r="AI6" i="10" s="1"/>
  <c r="AJ6" i="10" s="1"/>
  <c r="AK6" i="10" s="1"/>
  <c r="AL6" i="10" s="1"/>
  <c r="O6" i="10"/>
  <c r="P6" i="10" s="1"/>
  <c r="Q6" i="10" s="1"/>
  <c r="R6" i="10" s="1"/>
  <c r="S6" i="10" s="1"/>
  <c r="T6" i="10" s="1"/>
  <c r="U6" i="10" s="1"/>
  <c r="V6" i="10" s="1"/>
  <c r="W6" i="10" s="1"/>
  <c r="X6" i="10" s="1"/>
  <c r="Y6" i="10" s="1"/>
  <c r="Z6" i="10" s="1"/>
  <c r="B232" i="2"/>
  <c r="C232" i="2" s="1"/>
  <c r="D232" i="2" s="1"/>
  <c r="E232" i="2" s="1"/>
  <c r="F232" i="2" s="1"/>
  <c r="G232" i="2" s="1"/>
  <c r="H232" i="2" s="1"/>
  <c r="I232" i="2" s="1"/>
  <c r="J232" i="2" s="1"/>
  <c r="K232" i="2" s="1"/>
  <c r="L232" i="2" s="1"/>
  <c r="M232" i="2" s="1"/>
  <c r="N232" i="2" s="1"/>
  <c r="O232" i="2" s="1"/>
  <c r="P232" i="2" s="1"/>
  <c r="Q232" i="2" s="1"/>
  <c r="R232" i="2" s="1"/>
  <c r="S232" i="2" s="1"/>
  <c r="T232" i="2" s="1"/>
  <c r="U232" i="2" s="1"/>
  <c r="V232" i="2" s="1"/>
  <c r="W232" i="2" s="1"/>
  <c r="X232" i="2" s="1"/>
  <c r="Y232" i="2" s="1"/>
  <c r="Z232" i="2" s="1"/>
  <c r="AA232" i="2" s="1"/>
  <c r="T7" i="10" l="1"/>
  <c r="T9" i="10" s="1"/>
  <c r="W7" i="10"/>
  <c r="W9" i="10" s="1"/>
  <c r="V7" i="10"/>
  <c r="V9" i="10" s="1"/>
  <c r="N2" i="10"/>
  <c r="N5" i="10" s="1"/>
  <c r="U7" i="10"/>
  <c r="P7" i="10"/>
  <c r="AL7" i="10"/>
  <c r="AC7" i="10"/>
  <c r="AH7" i="10"/>
  <c r="AF7" i="10"/>
  <c r="AK7" i="10"/>
  <c r="AG7" i="10"/>
  <c r="O7" i="10"/>
  <c r="AE5" i="10"/>
  <c r="AE7" i="10" s="1"/>
  <c r="AD7" i="10"/>
  <c r="X7" i="10"/>
  <c r="AM5" i="10"/>
  <c r="AJ5" i="10"/>
  <c r="AJ7" i="10" s="1"/>
  <c r="AB5" i="10"/>
  <c r="AB7" i="10" s="1"/>
  <c r="AI5" i="10"/>
  <c r="AI7" i="10" s="1"/>
  <c r="AA5" i="10"/>
  <c r="AA7" i="10" s="1"/>
  <c r="S5" i="10"/>
  <c r="S7" i="10" s="1"/>
  <c r="Z5" i="10"/>
  <c r="Z7" i="10" s="1"/>
  <c r="R5" i="10"/>
  <c r="R7" i="10" s="1"/>
  <c r="Y5" i="10"/>
  <c r="Y7" i="10" s="1"/>
  <c r="Q5" i="10"/>
  <c r="Q7" i="10" s="1"/>
  <c r="AN5" i="10"/>
  <c r="F2" i="10"/>
  <c r="F5" i="10" s="1"/>
  <c r="BF40" i="10"/>
  <c r="BF32" i="10"/>
  <c r="BF24" i="10"/>
  <c r="BF15" i="10"/>
  <c r="BF6" i="10"/>
  <c r="BF39" i="10"/>
  <c r="BF23" i="10"/>
  <c r="BF30" i="10"/>
  <c r="BF22" i="10"/>
  <c r="BF12" i="10"/>
  <c r="BF37" i="10"/>
  <c r="BF29" i="10"/>
  <c r="BF21" i="10"/>
  <c r="BF11" i="10"/>
  <c r="BF31" i="10"/>
  <c r="BF14" i="10"/>
  <c r="BF5" i="10"/>
  <c r="BF38" i="10"/>
  <c r="BF44" i="10"/>
  <c r="BF36" i="10"/>
  <c r="BF28" i="10"/>
  <c r="BF20" i="10"/>
  <c r="BF10" i="10"/>
  <c r="BF43" i="10"/>
  <c r="BF35" i="10"/>
  <c r="BF27" i="10"/>
  <c r="BF18" i="10"/>
  <c r="BF9" i="10"/>
  <c r="BF42" i="10"/>
  <c r="BF34" i="10"/>
  <c r="BF26" i="10"/>
  <c r="BF17" i="10"/>
  <c r="BF8" i="10"/>
  <c r="BF41" i="10"/>
  <c r="BF33" i="10"/>
  <c r="BF25" i="10"/>
  <c r="BF16" i="10"/>
  <c r="BF7" i="10"/>
  <c r="Q9" i="10" l="1"/>
  <c r="AJ9" i="10"/>
  <c r="AG9" i="10"/>
  <c r="P9" i="10"/>
  <c r="Y9" i="10"/>
  <c r="AK9" i="10"/>
  <c r="R9" i="10"/>
  <c r="X9" i="10"/>
  <c r="AF9" i="10"/>
  <c r="Z9" i="10"/>
  <c r="AD9" i="10"/>
  <c r="AH9" i="10"/>
  <c r="U9" i="10"/>
  <c r="S9" i="10"/>
  <c r="AC9" i="10"/>
  <c r="AA9" i="10"/>
  <c r="AE9" i="10"/>
  <c r="AL9" i="10"/>
  <c r="AI9" i="10"/>
  <c r="AB9" i="10"/>
  <c r="O9" i="10"/>
  <c r="D29" i="10" l="1"/>
  <c r="E29" i="10"/>
  <c r="F29" i="10"/>
  <c r="G29" i="10"/>
  <c r="C29" i="10"/>
  <c r="D4" i="10"/>
  <c r="E4" i="10" s="1"/>
  <c r="F4" i="10" s="1"/>
  <c r="G4" i="10" s="1"/>
  <c r="H4" i="10" s="1"/>
  <c r="I4" i="10" s="1"/>
  <c r="J4" i="10" s="1"/>
  <c r="K4" i="10" s="1"/>
  <c r="L4" i="10" s="1"/>
  <c r="M4" i="10" s="1"/>
  <c r="N4" i="10" s="1"/>
  <c r="O4" i="10" s="1"/>
  <c r="B15" i="10"/>
  <c r="B16" i="10" s="1"/>
  <c r="B17" i="10" s="1"/>
  <c r="B21" i="10"/>
  <c r="B22" i="10" s="1"/>
  <c r="B23" i="10" s="1"/>
  <c r="BW418" i="1"/>
  <c r="CB515" i="1" s="1"/>
  <c r="BV418" i="1"/>
  <c r="CA515" i="1" s="1"/>
  <c r="BU418" i="1"/>
  <c r="BS418" i="1"/>
  <c r="BS515" i="1" s="1"/>
  <c r="BR418" i="1"/>
  <c r="BR515" i="1" s="1"/>
  <c r="BQ418" i="1"/>
  <c r="BQ515" i="1" s="1"/>
  <c r="BP418" i="1"/>
  <c r="BP515" i="1" s="1"/>
  <c r="BZ412" i="1"/>
  <c r="BX412" i="1"/>
  <c r="BX12" i="1" s="1"/>
  <c r="BW412" i="1"/>
  <c r="BW12" i="1" s="1"/>
  <c r="BV412" i="1"/>
  <c r="BV12" i="1" s="1"/>
  <c r="BU412" i="1"/>
  <c r="BU12" i="1" s="1"/>
  <c r="BS412" i="1"/>
  <c r="BS12" i="1" s="1"/>
  <c r="BS27" i="1" s="1"/>
  <c r="BR412" i="1"/>
  <c r="BR12" i="1" s="1"/>
  <c r="BR27" i="1" s="1"/>
  <c r="BQ412" i="1"/>
  <c r="BQ12" i="1" s="1"/>
  <c r="BQ27" i="1" s="1"/>
  <c r="BP412" i="1"/>
  <c r="BP12" i="1" s="1"/>
  <c r="BP27" i="1" s="1"/>
  <c r="BZ411" i="1"/>
  <c r="BX411" i="1"/>
  <c r="BX11" i="1" s="1"/>
  <c r="BW411" i="1"/>
  <c r="BW11" i="1" s="1"/>
  <c r="BV411" i="1"/>
  <c r="BV11" i="1" s="1"/>
  <c r="BU411" i="1"/>
  <c r="BU11" i="1" s="1"/>
  <c r="BS411" i="1"/>
  <c r="BS11" i="1" s="1"/>
  <c r="BS26" i="1" s="1"/>
  <c r="BR411" i="1"/>
  <c r="BR11" i="1" s="1"/>
  <c r="BR26" i="1" s="1"/>
  <c r="BQ411" i="1"/>
  <c r="BQ11" i="1" s="1"/>
  <c r="BQ26" i="1" s="1"/>
  <c r="BP411" i="1"/>
  <c r="BP11" i="1" s="1"/>
  <c r="BP26" i="1" s="1"/>
  <c r="BZ407" i="1"/>
  <c r="CD407" i="1" s="1"/>
  <c r="CE407" i="1" s="1"/>
  <c r="CF407" i="1" s="1"/>
  <c r="CG407" i="1" s="1"/>
  <c r="CH407" i="1" s="1"/>
  <c r="CI407" i="1" s="1"/>
  <c r="CJ407" i="1" s="1"/>
  <c r="CK407" i="1" s="1"/>
  <c r="CL407" i="1" s="1"/>
  <c r="CM407" i="1" s="1"/>
  <c r="BX407" i="1"/>
  <c r="BW407" i="1"/>
  <c r="BV407" i="1"/>
  <c r="BU407" i="1"/>
  <c r="BS407" i="1"/>
  <c r="BR407" i="1"/>
  <c r="BQ407" i="1"/>
  <c r="BP407" i="1"/>
  <c r="BZ406" i="1"/>
  <c r="CD406" i="1" s="1"/>
  <c r="BX406" i="1"/>
  <c r="BW406" i="1"/>
  <c r="BV406" i="1"/>
  <c r="BU406" i="1"/>
  <c r="BS406" i="1"/>
  <c r="BR406" i="1"/>
  <c r="BQ406" i="1"/>
  <c r="BP406" i="1"/>
  <c r="BZ405" i="1"/>
  <c r="BX405" i="1"/>
  <c r="BX9" i="1" s="1"/>
  <c r="BZ403" i="1"/>
  <c r="BZ8" i="1" s="1"/>
  <c r="BX403" i="1"/>
  <c r="BX8" i="1" s="1"/>
  <c r="BW403" i="1"/>
  <c r="BW8" i="1" s="1"/>
  <c r="BV403" i="1"/>
  <c r="BV8" i="1" s="1"/>
  <c r="BU403" i="1"/>
  <c r="BS403" i="1"/>
  <c r="BR403" i="1"/>
  <c r="BQ403" i="1"/>
  <c r="BP403" i="1"/>
  <c r="BZ402" i="1"/>
  <c r="BZ7" i="1" s="1"/>
  <c r="BX402" i="1"/>
  <c r="BX7" i="1" s="1"/>
  <c r="BW402" i="1"/>
  <c r="BW7" i="1" s="1"/>
  <c r="BV402" i="1"/>
  <c r="BV7" i="1" s="1"/>
  <c r="BU402" i="1"/>
  <c r="BS402" i="1"/>
  <c r="BS7" i="1" s="1"/>
  <c r="BS22" i="1" s="1"/>
  <c r="BR402" i="1"/>
  <c r="BR7" i="1" s="1"/>
  <c r="BR22" i="1" s="1"/>
  <c r="BQ402" i="1"/>
  <c r="BQ7" i="1" s="1"/>
  <c r="BQ22" i="1" s="1"/>
  <c r="BP402" i="1"/>
  <c r="BP7" i="1" s="1"/>
  <c r="BP22" i="1" s="1"/>
  <c r="C30" i="10" a="1"/>
  <c r="BU26" i="1" l="1"/>
  <c r="CC23" i="1"/>
  <c r="CC24" i="1"/>
  <c r="BV26" i="1"/>
  <c r="CA26" i="1"/>
  <c r="BU27" i="1"/>
  <c r="BW26" i="1"/>
  <c r="CB26" i="1"/>
  <c r="BV27" i="1"/>
  <c r="CA27" i="1"/>
  <c r="CB23" i="1"/>
  <c r="BV22" i="1"/>
  <c r="CA22" i="1"/>
  <c r="BX26" i="1"/>
  <c r="CC26" i="1"/>
  <c r="BW27" i="1"/>
  <c r="CB27" i="1"/>
  <c r="BX6" i="1"/>
  <c r="BX22" i="1"/>
  <c r="CC22" i="1"/>
  <c r="BW22" i="1"/>
  <c r="CB22" i="1"/>
  <c r="CA23" i="1"/>
  <c r="BX27" i="1"/>
  <c r="CC27" i="1"/>
  <c r="BQ507" i="1"/>
  <c r="BQ8" i="1"/>
  <c r="BQ23" i="1" s="1"/>
  <c r="CD405" i="1"/>
  <c r="CD9" i="1" s="1"/>
  <c r="BZ9" i="1"/>
  <c r="BU247" i="1"/>
  <c r="BU248" i="1" s="1"/>
  <c r="BU7" i="1"/>
  <c r="BU22" i="1" s="1"/>
  <c r="BU242" i="1"/>
  <c r="BU243" i="1" s="1"/>
  <c r="BU8" i="1"/>
  <c r="CD412" i="1"/>
  <c r="CD12" i="1" s="1"/>
  <c r="BZ12" i="1"/>
  <c r="BZ27" i="1" s="1"/>
  <c r="BP507" i="1"/>
  <c r="BP8" i="1"/>
  <c r="BP23" i="1" s="1"/>
  <c r="BR507" i="1"/>
  <c r="BR8" i="1"/>
  <c r="BR23" i="1" s="1"/>
  <c r="BS507" i="1"/>
  <c r="BS8" i="1"/>
  <c r="BS23" i="1" s="1"/>
  <c r="CD411" i="1"/>
  <c r="CD11" i="1" s="1"/>
  <c r="BZ11" i="1"/>
  <c r="BZ26" i="1" s="1"/>
  <c r="CD271" i="1"/>
  <c r="CD258" i="1"/>
  <c r="BZ247" i="1"/>
  <c r="CD402" i="1"/>
  <c r="CD7" i="1" s="1"/>
  <c r="BZ242" i="1"/>
  <c r="BZ243" i="1" s="1"/>
  <c r="CD403" i="1"/>
  <c r="BX247" i="1"/>
  <c r="CC506" i="1"/>
  <c r="CC509" i="1"/>
  <c r="BX242" i="1"/>
  <c r="CC507" i="1"/>
  <c r="BW242" i="1"/>
  <c r="CB507" i="1"/>
  <c r="BW247" i="1"/>
  <c r="CB506" i="1"/>
  <c r="BV242" i="1"/>
  <c r="CA507" i="1"/>
  <c r="BV247" i="1"/>
  <c r="CA506" i="1"/>
  <c r="BU515" i="1"/>
  <c r="BP506" i="1"/>
  <c r="BZ507" i="1"/>
  <c r="BZ506" i="1"/>
  <c r="BX507" i="1"/>
  <c r="BR506" i="1"/>
  <c r="BQ506" i="1"/>
  <c r="BS506" i="1"/>
  <c r="BT406" i="1"/>
  <c r="CG55" i="7" s="1"/>
  <c r="BU506" i="1"/>
  <c r="BU507" i="1"/>
  <c r="BW515" i="1"/>
  <c r="BW506" i="1"/>
  <c r="BX506" i="1"/>
  <c r="BW507" i="1"/>
  <c r="BX271" i="1"/>
  <c r="BX270" i="1" s="1"/>
  <c r="BZ271" i="1"/>
  <c r="BZ270" i="1" s="1"/>
  <c r="BW271" i="1"/>
  <c r="BW270" i="1" s="1"/>
  <c r="BU252" i="1"/>
  <c r="BU253" i="1" s="1"/>
  <c r="BV515" i="1"/>
  <c r="BZ252" i="1"/>
  <c r="BV252" i="1"/>
  <c r="BV506" i="1"/>
  <c r="BV271" i="1"/>
  <c r="BV270" i="1" s="1"/>
  <c r="BV507" i="1"/>
  <c r="BU271" i="1"/>
  <c r="BU270" i="1" s="1"/>
  <c r="BY406" i="1"/>
  <c r="CH55" i="7" s="1"/>
  <c r="BW252" i="1"/>
  <c r="BX252" i="1"/>
  <c r="CC253" i="1" s="1"/>
  <c r="BY412" i="1"/>
  <c r="BY12" i="1" s="1"/>
  <c r="BY411" i="1"/>
  <c r="BY11" i="1" s="1"/>
  <c r="BT403" i="1"/>
  <c r="BY407" i="1"/>
  <c r="BT402" i="1"/>
  <c r="BT7" i="1" s="1"/>
  <c r="BT22" i="1" s="1"/>
  <c r="P4" i="10"/>
  <c r="O27" i="10"/>
  <c r="O26" i="10"/>
  <c r="BT411" i="1"/>
  <c r="BT11" i="1" s="1"/>
  <c r="BT26" i="1" s="1"/>
  <c r="BY402" i="1"/>
  <c r="BY7" i="1" s="1"/>
  <c r="BT407" i="1"/>
  <c r="BT412" i="1"/>
  <c r="BT12" i="1" s="1"/>
  <c r="BT27" i="1" s="1"/>
  <c r="C30" i="10"/>
  <c r="BY403" i="1"/>
  <c r="BY8" i="1" s="1"/>
  <c r="BT418" i="1"/>
  <c r="BT515" i="1" s="1"/>
  <c r="CD22" i="1" l="1"/>
  <c r="BY26" i="1"/>
  <c r="CD26" i="1"/>
  <c r="CD27" i="1"/>
  <c r="BW23" i="1"/>
  <c r="BU23" i="1"/>
  <c r="BZ22" i="1"/>
  <c r="CC21" i="1"/>
  <c r="BY22" i="1"/>
  <c r="BZ6" i="1"/>
  <c r="BV23" i="1"/>
  <c r="BY27" i="1"/>
  <c r="BZ23" i="1"/>
  <c r="BX23" i="1"/>
  <c r="BT242" i="1"/>
  <c r="BT8" i="1"/>
  <c r="BT23" i="1" s="1"/>
  <c r="BZ248" i="1"/>
  <c r="CD242" i="1"/>
  <c r="CD8" i="1"/>
  <c r="CD270" i="1"/>
  <c r="CD252" i="1"/>
  <c r="CD247" i="1"/>
  <c r="BV248" i="1"/>
  <c r="CA248" i="1"/>
  <c r="BX243" i="1"/>
  <c r="CC243" i="1"/>
  <c r="BW248" i="1"/>
  <c r="CB248" i="1"/>
  <c r="BX248" i="1"/>
  <c r="CC248" i="1"/>
  <c r="BW243" i="1"/>
  <c r="CB243" i="1"/>
  <c r="BV243" i="1"/>
  <c r="CA243" i="1"/>
  <c r="BW253" i="1"/>
  <c r="CB253" i="1"/>
  <c r="BT401" i="1"/>
  <c r="BY401" i="1"/>
  <c r="BV253" i="1"/>
  <c r="CA253" i="1"/>
  <c r="CH17" i="7"/>
  <c r="BY242" i="1"/>
  <c r="BX253" i="1"/>
  <c r="CG18" i="7"/>
  <c r="BT247" i="1"/>
  <c r="CH18" i="7"/>
  <c r="BY247" i="1"/>
  <c r="BT507" i="1"/>
  <c r="CG17" i="7"/>
  <c r="BT258" i="1"/>
  <c r="BY507" i="1"/>
  <c r="BT506" i="1"/>
  <c r="BY506" i="1"/>
  <c r="BY258" i="1"/>
  <c r="CD259" i="1" s="1"/>
  <c r="BY271" i="1"/>
  <c r="CD272" i="1" s="1"/>
  <c r="BZ253" i="1"/>
  <c r="BY252" i="1"/>
  <c r="CH19" i="7" s="1"/>
  <c r="BT252" i="1"/>
  <c r="Q4" i="10"/>
  <c r="P27" i="10"/>
  <c r="P26" i="10"/>
  <c r="Q230" i="2"/>
  <c r="R226" i="2" s="1"/>
  <c r="Q226" i="2"/>
  <c r="Q159" i="2"/>
  <c r="Q185" i="2"/>
  <c r="Q23" i="2" s="1"/>
  <c r="P91" i="2"/>
  <c r="Q91" i="2"/>
  <c r="Q4" i="2"/>
  <c r="Q134" i="2" s="1"/>
  <c r="Q5" i="2"/>
  <c r="Q6" i="2"/>
  <c r="Q8" i="2"/>
  <c r="Q12" i="2"/>
  <c r="Q14" i="2"/>
  <c r="Q24" i="2"/>
  <c r="Q25" i="2"/>
  <c r="Q29" i="2"/>
  <c r="Q30" i="2" s="1"/>
  <c r="Q33" i="2"/>
  <c r="Q34" i="2"/>
  <c r="Q104" i="2"/>
  <c r="Q114" i="2"/>
  <c r="Q115" i="2"/>
  <c r="R116" i="2" s="1"/>
  <c r="Q126" i="2"/>
  <c r="Q56" i="2" s="1"/>
  <c r="Q133" i="2"/>
  <c r="Q123" i="2" s="1"/>
  <c r="R124" i="2" s="1"/>
  <c r="Q154" i="2"/>
  <c r="Q157" i="2"/>
  <c r="Q164" i="2"/>
  <c r="Q167" i="2"/>
  <c r="Q207" i="2"/>
  <c r="Q280" i="2"/>
  <c r="Q296" i="2"/>
  <c r="Q22" i="2" l="1"/>
  <c r="Q27" i="2" s="1"/>
  <c r="R161" i="2"/>
  <c r="BY243" i="1"/>
  <c r="CD6" i="1"/>
  <c r="CD23" i="1"/>
  <c r="BY23" i="1"/>
  <c r="CD248" i="1"/>
  <c r="CD253" i="1"/>
  <c r="CD243" i="1"/>
  <c r="BY248" i="1"/>
  <c r="BY270" i="1"/>
  <c r="AA243" i="3"/>
  <c r="CG62" i="7"/>
  <c r="Z242" i="3"/>
  <c r="CH62" i="7"/>
  <c r="AA242" i="3"/>
  <c r="CG19" i="7"/>
  <c r="BT259" i="1"/>
  <c r="BY253" i="1"/>
  <c r="BY259" i="1"/>
  <c r="R4" i="10"/>
  <c r="Q27" i="10"/>
  <c r="Q26" i="10"/>
  <c r="Q161" i="2"/>
  <c r="Q253" i="2"/>
  <c r="Q43" i="2"/>
  <c r="Q113" i="2"/>
  <c r="BO29" i="7"/>
  <c r="BO25" i="7"/>
  <c r="BZ393" i="1"/>
  <c r="BZ392" i="1"/>
  <c r="BV392" i="1"/>
  <c r="BW392" i="1"/>
  <c r="BX392" i="1"/>
  <c r="BV393" i="1"/>
  <c r="BW393" i="1"/>
  <c r="BX393" i="1"/>
  <c r="BU393" i="1"/>
  <c r="BU392" i="1"/>
  <c r="BS393" i="1"/>
  <c r="BR393" i="1"/>
  <c r="BQ393" i="1"/>
  <c r="BP393" i="1"/>
  <c r="BS392" i="1"/>
  <c r="BR392" i="1"/>
  <c r="BQ392" i="1"/>
  <c r="BP392" i="1"/>
  <c r="BZ473" i="1"/>
  <c r="BO9" i="7"/>
  <c r="BO21" i="7" s="1"/>
  <c r="BZ37" i="1"/>
  <c r="BZ419" i="1"/>
  <c r="BZ388" i="1"/>
  <c r="BZ385" i="1"/>
  <c r="BZ344" i="1"/>
  <c r="BZ207" i="1"/>
  <c r="BO36" i="7" s="1"/>
  <c r="BZ203" i="1"/>
  <c r="CA205" i="1" s="1"/>
  <c r="BZ201" i="1"/>
  <c r="BZ199" i="1"/>
  <c r="BZ196" i="1"/>
  <c r="BZ169" i="1"/>
  <c r="BZ167" i="1"/>
  <c r="CD167" i="1" s="1"/>
  <c r="BZ165" i="1"/>
  <c r="BZ158" i="1"/>
  <c r="BZ153" i="1"/>
  <c r="BZ147" i="1"/>
  <c r="BZ142" i="1"/>
  <c r="BZ109" i="1"/>
  <c r="CA107" i="1" s="1"/>
  <c r="CA108" i="1" s="1"/>
  <c r="BZ103" i="1"/>
  <c r="CA101" i="1" s="1"/>
  <c r="CD419" i="1" l="1"/>
  <c r="BZ368" i="1"/>
  <c r="BO26" i="7"/>
  <c r="CD169" i="1"/>
  <c r="BZ230" i="1"/>
  <c r="CD165" i="1"/>
  <c r="BZ48" i="1"/>
  <c r="BO11" i="7" s="1"/>
  <c r="BO23" i="7" s="1"/>
  <c r="CD473" i="1"/>
  <c r="CI62" i="7"/>
  <c r="AB242" i="3"/>
  <c r="BO34" i="7"/>
  <c r="CB187" i="1"/>
  <c r="CA104" i="1"/>
  <c r="CA236" i="1" s="1"/>
  <c r="CA237" i="1" s="1"/>
  <c r="CA102" i="1"/>
  <c r="Q169" i="2"/>
  <c r="Q258" i="2" s="1"/>
  <c r="BZ260" i="1"/>
  <c r="BZ235" i="1"/>
  <c r="BZ96" i="1"/>
  <c r="BZ116" i="1"/>
  <c r="S4" i="10"/>
  <c r="R27" i="10"/>
  <c r="R26" i="10"/>
  <c r="BO7" i="7"/>
  <c r="BO28" i="7"/>
  <c r="BO27" i="7"/>
  <c r="BO32" i="7"/>
  <c r="BO33" i="7"/>
  <c r="BZ36" i="1"/>
  <c r="BZ445" i="1"/>
  <c r="BZ95" i="1"/>
  <c r="BZ474" i="1"/>
  <c r="BZ429" i="1"/>
  <c r="BZ435" i="1"/>
  <c r="BZ51" i="1"/>
  <c r="BO12" i="7" s="1"/>
  <c r="BZ326" i="1"/>
  <c r="BZ489" i="1"/>
  <c r="CD368" i="1" l="1"/>
  <c r="R166" i="2"/>
  <c r="R153" i="2"/>
  <c r="R163" i="2"/>
  <c r="S163" i="2" s="1"/>
  <c r="T163" i="2" s="1"/>
  <c r="R160" i="2"/>
  <c r="R156" i="2"/>
  <c r="CD474" i="1"/>
  <c r="CA245" i="1"/>
  <c r="CA246" i="1" s="1"/>
  <c r="BO31" i="7"/>
  <c r="CA193" i="1"/>
  <c r="BP30" i="7" s="1"/>
  <c r="CA114" i="1"/>
  <c r="Q58" i="2"/>
  <c r="BZ97" i="1"/>
  <c r="BZ98" i="1" s="1"/>
  <c r="BZ206" i="1"/>
  <c r="BO35" i="7" s="1"/>
  <c r="BZ159" i="1"/>
  <c r="T4" i="10"/>
  <c r="S27" i="10"/>
  <c r="S26" i="10"/>
  <c r="BZ30" i="1"/>
  <c r="BZ29" i="1"/>
  <c r="U163" i="2" l="1"/>
  <c r="BZ361" i="1"/>
  <c r="BZ331" i="1"/>
  <c r="BZ336" i="1"/>
  <c r="BZ353" i="1"/>
  <c r="CI55" i="7"/>
  <c r="AB243" i="3"/>
  <c r="CA117" i="1"/>
  <c r="CA224" i="1" s="1"/>
  <c r="CA115" i="1"/>
  <c r="U4" i="10"/>
  <c r="T27" i="10"/>
  <c r="T26" i="10"/>
  <c r="BZ39" i="1"/>
  <c r="BZ50" i="1"/>
  <c r="BZ357" i="1"/>
  <c r="BZ341" i="1"/>
  <c r="BZ345" i="1"/>
  <c r="BZ324" i="1"/>
  <c r="BZ349" i="1"/>
  <c r="BZ327" i="1"/>
  <c r="V163" i="2" l="1"/>
  <c r="V4" i="10"/>
  <c r="U27" i="10"/>
  <c r="U26" i="10"/>
  <c r="CI30" i="7"/>
  <c r="CJ30" i="7"/>
  <c r="CK30" i="7"/>
  <c r="CL30" i="7"/>
  <c r="CM30" i="7"/>
  <c r="CN30" i="7"/>
  <c r="BW8" i="7"/>
  <c r="BV8" i="7"/>
  <c r="W163" i="2" l="1"/>
  <c r="W4" i="10"/>
  <c r="V27" i="10"/>
  <c r="V26" i="10"/>
  <c r="BN25" i="7"/>
  <c r="BN29" i="7"/>
  <c r="BZ47" i="7"/>
  <c r="BZ44" i="7"/>
  <c r="BZ42" i="7"/>
  <c r="BZ41" i="7"/>
  <c r="BZ40" i="7"/>
  <c r="BZ39" i="7"/>
  <c r="BZ36" i="7"/>
  <c r="BZ35" i="7"/>
  <c r="BZ31" i="7"/>
  <c r="BZ29" i="7"/>
  <c r="BZ25" i="7"/>
  <c r="BZ9" i="7"/>
  <c r="BY47" i="7"/>
  <c r="BY44" i="7"/>
  <c r="BY42" i="7"/>
  <c r="BY41" i="7"/>
  <c r="BY40" i="7"/>
  <c r="BY39" i="7"/>
  <c r="BY36" i="7"/>
  <c r="BY35" i="7"/>
  <c r="BY34" i="7"/>
  <c r="BY31" i="7"/>
  <c r="BY29" i="7"/>
  <c r="BY25" i="7"/>
  <c r="BY9" i="7"/>
  <c r="BX47" i="7"/>
  <c r="BX44" i="7"/>
  <c r="BX42" i="7"/>
  <c r="BX41" i="7"/>
  <c r="BX36" i="7"/>
  <c r="BX35" i="7"/>
  <c r="BX34" i="7"/>
  <c r="BX31" i="7"/>
  <c r="BX29" i="7"/>
  <c r="BX25" i="7"/>
  <c r="BX9" i="7"/>
  <c r="BW47" i="7"/>
  <c r="BW45" i="7"/>
  <c r="BW44" i="7"/>
  <c r="BW43" i="7"/>
  <c r="BW42" i="7"/>
  <c r="BW41" i="7"/>
  <c r="BW40" i="7"/>
  <c r="BW39" i="7"/>
  <c r="BW36" i="7"/>
  <c r="BW35" i="7"/>
  <c r="BW34" i="7"/>
  <c r="BW31" i="7"/>
  <c r="BW29" i="7"/>
  <c r="BW26" i="7"/>
  <c r="BW25" i="7"/>
  <c r="BW9" i="7"/>
  <c r="BV47" i="7"/>
  <c r="BV45" i="7"/>
  <c r="BV44" i="7"/>
  <c r="BV43" i="7"/>
  <c r="BV42" i="7"/>
  <c r="BV41" i="7"/>
  <c r="BV40" i="7"/>
  <c r="BV39" i="7"/>
  <c r="BV36" i="7"/>
  <c r="BV35" i="7"/>
  <c r="BV34" i="7"/>
  <c r="BV31" i="7"/>
  <c r="BV29" i="7"/>
  <c r="BV26" i="7"/>
  <c r="BV25" i="7"/>
  <c r="BV9" i="7"/>
  <c r="CH30" i="7"/>
  <c r="BW2" i="7"/>
  <c r="BX2" i="7" s="1"/>
  <c r="BY2" i="7" s="1"/>
  <c r="BZ2" i="7" s="1"/>
  <c r="CA2" i="7" s="1"/>
  <c r="CB2" i="7" s="1"/>
  <c r="CC2" i="7" s="1"/>
  <c r="CD2" i="7" s="1"/>
  <c r="CE2" i="7" s="1"/>
  <c r="CF2" i="7" s="1"/>
  <c r="CG2" i="7" s="1"/>
  <c r="CH2" i="7" s="1"/>
  <c r="CI2" i="7" s="1"/>
  <c r="CJ2" i="7" s="1"/>
  <c r="CK2" i="7" s="1"/>
  <c r="CL2" i="7" s="1"/>
  <c r="CM2" i="7" s="1"/>
  <c r="CN2" i="7" s="1"/>
  <c r="BW1" i="7"/>
  <c r="BX1" i="7" s="1"/>
  <c r="BY1" i="7" s="1"/>
  <c r="BZ1" i="7" s="1"/>
  <c r="CA1" i="7" s="1"/>
  <c r="CB1" i="7" s="1"/>
  <c r="CC1" i="7" s="1"/>
  <c r="CD1" i="7" s="1"/>
  <c r="CE1" i="7" s="1"/>
  <c r="CF1" i="7" s="1"/>
  <c r="CG1" i="7" s="1"/>
  <c r="CH1" i="7" s="1"/>
  <c r="CI1" i="7" s="1"/>
  <c r="CJ1" i="7" s="1"/>
  <c r="CK1" i="7" s="1"/>
  <c r="CL1" i="7" s="1"/>
  <c r="CM1" i="7" s="1"/>
  <c r="CN1" i="7" s="1"/>
  <c r="BE459" i="1"/>
  <c r="CB431" i="1"/>
  <c r="CA431" i="1"/>
  <c r="BZ431" i="1"/>
  <c r="CC350" i="1"/>
  <c r="CB350" i="1"/>
  <c r="CA350" i="1"/>
  <c r="BX344" i="1"/>
  <c r="CC346" i="1" s="1"/>
  <c r="BW344" i="1"/>
  <c r="CB346" i="1" s="1"/>
  <c r="BV344" i="1"/>
  <c r="CA346" i="1" s="1"/>
  <c r="BU344" i="1"/>
  <c r="BS344" i="1"/>
  <c r="BR344" i="1"/>
  <c r="BQ344" i="1"/>
  <c r="BP344" i="1"/>
  <c r="BN344" i="1"/>
  <c r="BM344" i="1"/>
  <c r="BL344" i="1"/>
  <c r="BK344" i="1"/>
  <c r="BI344" i="1"/>
  <c r="BH344" i="1"/>
  <c r="BG344" i="1"/>
  <c r="BF344" i="1"/>
  <c r="BD344" i="1"/>
  <c r="BC344" i="1"/>
  <c r="BB344" i="1"/>
  <c r="BA344" i="1"/>
  <c r="AY344" i="1"/>
  <c r="AX344" i="1"/>
  <c r="AW344" i="1"/>
  <c r="CC342" i="1"/>
  <c r="CB342" i="1"/>
  <c r="CA342" i="1"/>
  <c r="CC325" i="1"/>
  <c r="CB325" i="1"/>
  <c r="AV368" i="1"/>
  <c r="AT368" i="1"/>
  <c r="AS368" i="1"/>
  <c r="AR368" i="1"/>
  <c r="AQ368" i="1"/>
  <c r="CC322" i="1"/>
  <c r="CB322" i="1"/>
  <c r="CA322" i="1"/>
  <c r="BX419" i="1"/>
  <c r="BX368" i="1" s="1"/>
  <c r="BX364" i="1" s="1"/>
  <c r="BW419" i="1"/>
  <c r="BW368" i="1" s="1"/>
  <c r="BW364" i="1" s="1"/>
  <c r="BV419" i="1"/>
  <c r="BV368" i="1" s="1"/>
  <c r="BV364" i="1" s="1"/>
  <c r="BU419" i="1"/>
  <c r="BU368" i="1" s="1"/>
  <c r="BU364" i="1" s="1"/>
  <c r="BS419" i="1"/>
  <c r="BR419" i="1"/>
  <c r="BQ419" i="1"/>
  <c r="BP419" i="1"/>
  <c r="BN419" i="1"/>
  <c r="BM419" i="1"/>
  <c r="BL419" i="1"/>
  <c r="BK419" i="1"/>
  <c r="BI419" i="1"/>
  <c r="BH419" i="1"/>
  <c r="BG419" i="1"/>
  <c r="BF419" i="1"/>
  <c r="BD419" i="1"/>
  <c r="BC419" i="1"/>
  <c r="BB419" i="1"/>
  <c r="BX103" i="1"/>
  <c r="BX109" i="1"/>
  <c r="BX142" i="1"/>
  <c r="CC143" i="1" s="1"/>
  <c r="BX147" i="1"/>
  <c r="BX153" i="1"/>
  <c r="CC154" i="1" s="1"/>
  <c r="BX158" i="1"/>
  <c r="BX165" i="1"/>
  <c r="BX167" i="1"/>
  <c r="CC168" i="1" s="1"/>
  <c r="BX169" i="1"/>
  <c r="BX196" i="1"/>
  <c r="CC197" i="1" s="1"/>
  <c r="BX199" i="1"/>
  <c r="CC200" i="1" s="1"/>
  <c r="BX201" i="1"/>
  <c r="CC202" i="1" s="1"/>
  <c r="BX203" i="1"/>
  <c r="CC204" i="1" s="1"/>
  <c r="BX207" i="1"/>
  <c r="BX385" i="1"/>
  <c r="CC386" i="1" s="1"/>
  <c r="BX388" i="1"/>
  <c r="CC389" i="1" s="1"/>
  <c r="BX473" i="1"/>
  <c r="D258" i="3"/>
  <c r="E258" i="3"/>
  <c r="F258" i="3"/>
  <c r="G258" i="3"/>
  <c r="H258" i="3"/>
  <c r="I258" i="3"/>
  <c r="J258" i="3"/>
  <c r="K258" i="3"/>
  <c r="D259" i="3"/>
  <c r="E259" i="3"/>
  <c r="E260" i="3" s="1"/>
  <c r="F259" i="3"/>
  <c r="G259" i="3"/>
  <c r="H259" i="3"/>
  <c r="I259" i="3"/>
  <c r="J259" i="3"/>
  <c r="K259" i="3"/>
  <c r="D264" i="3"/>
  <c r="E264" i="3"/>
  <c r="F264" i="3"/>
  <c r="G264" i="3"/>
  <c r="H264" i="3"/>
  <c r="I264" i="3"/>
  <c r="J264" i="3"/>
  <c r="K264" i="3"/>
  <c r="C264" i="3"/>
  <c r="C259" i="3"/>
  <c r="C258" i="3"/>
  <c r="X163" i="2" l="1"/>
  <c r="CC420" i="1"/>
  <c r="CC516" i="1"/>
  <c r="BN9" i="7"/>
  <c r="BN21" i="7" s="1"/>
  <c r="CC431" i="1"/>
  <c r="BX96" i="1"/>
  <c r="CC110" i="1"/>
  <c r="CC231" i="1" s="1"/>
  <c r="CC232" i="1" s="1"/>
  <c r="BN26" i="7"/>
  <c r="CC170" i="1"/>
  <c r="BX230" i="1"/>
  <c r="CC166" i="1"/>
  <c r="CB420" i="1"/>
  <c r="CB516" i="1"/>
  <c r="BN36" i="7"/>
  <c r="CB208" i="1"/>
  <c r="CA420" i="1"/>
  <c r="CA516" i="1"/>
  <c r="AX368" i="1"/>
  <c r="AY368" i="1"/>
  <c r="BA368" i="1"/>
  <c r="BM516" i="1"/>
  <c r="BW516" i="1"/>
  <c r="BZ350" i="1"/>
  <c r="BY348" i="1"/>
  <c r="CD350" i="1" s="1"/>
  <c r="BZ346" i="1"/>
  <c r="BY344" i="1"/>
  <c r="AW368" i="1"/>
  <c r="BZ342" i="1"/>
  <c r="BY340" i="1"/>
  <c r="CD342" i="1" s="1"/>
  <c r="BZ325" i="1"/>
  <c r="BZ322" i="1"/>
  <c r="BY320" i="1"/>
  <c r="CD322" i="1" s="1"/>
  <c r="BN33" i="7"/>
  <c r="BX260" i="1"/>
  <c r="BX235" i="1"/>
  <c r="BP516" i="1"/>
  <c r="BN28" i="7"/>
  <c r="BN27" i="7"/>
  <c r="BQ516" i="1"/>
  <c r="BN516" i="1"/>
  <c r="BX516" i="1"/>
  <c r="BG516" i="1"/>
  <c r="BH516" i="1"/>
  <c r="BR516" i="1"/>
  <c r="BI516" i="1"/>
  <c r="BS516" i="1"/>
  <c r="BK516" i="1"/>
  <c r="BU516" i="1"/>
  <c r="BZ516" i="1"/>
  <c r="BL516" i="1"/>
  <c r="BV516" i="1"/>
  <c r="BY419" i="1"/>
  <c r="Q166" i="2" s="1"/>
  <c r="X4" i="10"/>
  <c r="W27" i="10"/>
  <c r="W26" i="10"/>
  <c r="BN7" i="7"/>
  <c r="BZ420" i="1"/>
  <c r="BY442" i="1"/>
  <c r="BN34" i="7"/>
  <c r="BZ187" i="1"/>
  <c r="BY109" i="1"/>
  <c r="CD110" i="1" s="1"/>
  <c r="CD231" i="1" s="1"/>
  <c r="BY196" i="1"/>
  <c r="CA187" i="1" s="1"/>
  <c r="BY103" i="1"/>
  <c r="BZ101" i="1" s="1"/>
  <c r="BN32" i="7"/>
  <c r="G260" i="3"/>
  <c r="G261" i="3" s="1"/>
  <c r="G262" i="3" s="1"/>
  <c r="BX350" i="1"/>
  <c r="BX445" i="1"/>
  <c r="H260" i="3"/>
  <c r="H261" i="3" s="1"/>
  <c r="H262" i="3" s="1"/>
  <c r="BX397" i="1"/>
  <c r="CC398" i="1" s="1"/>
  <c r="BX431" i="1"/>
  <c r="BX429" i="1"/>
  <c r="BY430" i="1"/>
  <c r="CD431" i="1" s="1"/>
  <c r="BE454" i="1"/>
  <c r="BX116" i="1"/>
  <c r="BY116" i="1" s="1"/>
  <c r="BX427" i="1"/>
  <c r="AZ452" i="1"/>
  <c r="BY439" i="1"/>
  <c r="BY438" i="1"/>
  <c r="Q316" i="2" s="1"/>
  <c r="BY428" i="1"/>
  <c r="BX474" i="1"/>
  <c r="BX342" i="1"/>
  <c r="BX435" i="1"/>
  <c r="BX346" i="1"/>
  <c r="BX326" i="1"/>
  <c r="CC328" i="1" s="1"/>
  <c r="BX51" i="1"/>
  <c r="BN12" i="7" s="1"/>
  <c r="BX420" i="1"/>
  <c r="BX489" i="1"/>
  <c r="BX36" i="1"/>
  <c r="BX322" i="1"/>
  <c r="BX95" i="1"/>
  <c r="BX37" i="1"/>
  <c r="CC38" i="1" s="1"/>
  <c r="BX48" i="1"/>
  <c r="BX325" i="1"/>
  <c r="I260" i="3"/>
  <c r="I261" i="3" s="1"/>
  <c r="F260" i="3"/>
  <c r="F261" i="3" s="1"/>
  <c r="F262" i="3" s="1"/>
  <c r="K260" i="3"/>
  <c r="K261" i="3" s="1"/>
  <c r="J260" i="3"/>
  <c r="J261" i="3" s="1"/>
  <c r="J262" i="3" s="1"/>
  <c r="C260" i="3"/>
  <c r="C261" i="3" s="1"/>
  <c r="C262" i="3" s="1"/>
  <c r="D260" i="3"/>
  <c r="D261" i="3" s="1"/>
  <c r="D262" i="3" s="1"/>
  <c r="E261" i="3"/>
  <c r="E262" i="3" s="1"/>
  <c r="BM25" i="7"/>
  <c r="BM29" i="7"/>
  <c r="BW473" i="1"/>
  <c r="BW48" i="1" s="1"/>
  <c r="BW37" i="1"/>
  <c r="CB38" i="1" s="1"/>
  <c r="BW489" i="1"/>
  <c r="CB490" i="1" s="1"/>
  <c r="BW388" i="1"/>
  <c r="CB389" i="1" s="1"/>
  <c r="BW385" i="1"/>
  <c r="CB386" i="1" s="1"/>
  <c r="BW207" i="1"/>
  <c r="BW203" i="1"/>
  <c r="BW201" i="1"/>
  <c r="CB202" i="1" s="1"/>
  <c r="BW199" i="1"/>
  <c r="CB200" i="1" s="1"/>
  <c r="BW196" i="1"/>
  <c r="BW169" i="1"/>
  <c r="CB170" i="1" s="1"/>
  <c r="BW167" i="1"/>
  <c r="CB168" i="1" s="1"/>
  <c r="BW165" i="1"/>
  <c r="BW158" i="1"/>
  <c r="BW153" i="1"/>
  <c r="CB154" i="1" s="1"/>
  <c r="BW147" i="1"/>
  <c r="BW142" i="1"/>
  <c r="CB143" i="1" s="1"/>
  <c r="BW109" i="1"/>
  <c r="CB110" i="1" s="1"/>
  <c r="CB231" i="1" s="1"/>
  <c r="CB232" i="1" s="1"/>
  <c r="BW103" i="1"/>
  <c r="BW36" i="1"/>
  <c r="Y163" i="2" l="1"/>
  <c r="BX97" i="1"/>
  <c r="BX98" i="1" s="1"/>
  <c r="BY368" i="1"/>
  <c r="CD117" i="1"/>
  <c r="CD114" i="1"/>
  <c r="CD115" i="1" s="1"/>
  <c r="CD118" i="1"/>
  <c r="BY444" i="1"/>
  <c r="BX29" i="1"/>
  <c r="BX345" i="1" s="1"/>
  <c r="CC490" i="1"/>
  <c r="CC240" i="1"/>
  <c r="CC241" i="1" s="1"/>
  <c r="CC250" i="1"/>
  <c r="CC251" i="1" s="1"/>
  <c r="BN11" i="7"/>
  <c r="BN23" i="7" s="1"/>
  <c r="CC49" i="1"/>
  <c r="Q136" i="2"/>
  <c r="CD420" i="1"/>
  <c r="BX205" i="1"/>
  <c r="CB204" i="1"/>
  <c r="BW230" i="1"/>
  <c r="CB166" i="1"/>
  <c r="CB250" i="1"/>
  <c r="CB251" i="1" s="1"/>
  <c r="CB240" i="1"/>
  <c r="CB241" i="1" s="1"/>
  <c r="BM34" i="7"/>
  <c r="CB197" i="1"/>
  <c r="BM11" i="7"/>
  <c r="BM23" i="7" s="1"/>
  <c r="CB49" i="1"/>
  <c r="BM36" i="7"/>
  <c r="CA208" i="1"/>
  <c r="BZ104" i="1"/>
  <c r="BZ236" i="1" s="1"/>
  <c r="BZ237" i="1" s="1"/>
  <c r="BZ245" i="1" s="1"/>
  <c r="BZ246" i="1" s="1"/>
  <c r="BZ102" i="1"/>
  <c r="BY96" i="1"/>
  <c r="CD107" i="1" s="1"/>
  <c r="CD108" i="1" s="1"/>
  <c r="BZ107" i="1"/>
  <c r="BZ108" i="1" s="1"/>
  <c r="BW96" i="1"/>
  <c r="BX107" i="1"/>
  <c r="BX108" i="1" s="1"/>
  <c r="BW260" i="1"/>
  <c r="BW235" i="1"/>
  <c r="BW95" i="1"/>
  <c r="BX101" i="1"/>
  <c r="BM28" i="7"/>
  <c r="BM27" i="7"/>
  <c r="Q286" i="2"/>
  <c r="Y4" i="10"/>
  <c r="X27" i="10"/>
  <c r="X26" i="10"/>
  <c r="Q173" i="2"/>
  <c r="Q163" i="2"/>
  <c r="Q156" i="2"/>
  <c r="Q153" i="2"/>
  <c r="Q160" i="2"/>
  <c r="CH9" i="7"/>
  <c r="Q265" i="2"/>
  <c r="Q303" i="2"/>
  <c r="Q277" i="2"/>
  <c r="Q266" i="2"/>
  <c r="Q317" i="2"/>
  <c r="Q105" i="2" s="1"/>
  <c r="Q278" i="2"/>
  <c r="BZ114" i="1"/>
  <c r="BZ193" i="1"/>
  <c r="BO30" i="7" s="1"/>
  <c r="BY36" i="1"/>
  <c r="BY37" i="1"/>
  <c r="CH7" i="7"/>
  <c r="BY30" i="1"/>
  <c r="BY95" i="1"/>
  <c r="CD101" i="1" s="1"/>
  <c r="BX206" i="1"/>
  <c r="BN31" i="7"/>
  <c r="BX159" i="1"/>
  <c r="BY429" i="1"/>
  <c r="BY435" i="1"/>
  <c r="BX30" i="1"/>
  <c r="I262" i="3"/>
  <c r="K262" i="3"/>
  <c r="BW326" i="1"/>
  <c r="CB328" i="1" s="1"/>
  <c r="BW474" i="1"/>
  <c r="BW30" i="1"/>
  <c r="BW29" i="1"/>
  <c r="BM32" i="7"/>
  <c r="BM7" i="7"/>
  <c r="BW116" i="1"/>
  <c r="BW51" i="1"/>
  <c r="BM12" i="7" s="1"/>
  <c r="BM33" i="7"/>
  <c r="BW397" i="1"/>
  <c r="CB398" i="1" s="1"/>
  <c r="BM26" i="7"/>
  <c r="BY445" i="1" l="1"/>
  <c r="Q46" i="2"/>
  <c r="Z163" i="2"/>
  <c r="BX357" i="1"/>
  <c r="BX341" i="1"/>
  <c r="BX349" i="1"/>
  <c r="BX327" i="1"/>
  <c r="BX331" i="1"/>
  <c r="BX361" i="1"/>
  <c r="BX336" i="1"/>
  <c r="BW361" i="1"/>
  <c r="BW331" i="1"/>
  <c r="BX324" i="1"/>
  <c r="BX353" i="1"/>
  <c r="BW336" i="1"/>
  <c r="BW353" i="1"/>
  <c r="CD104" i="1"/>
  <c r="CD236" i="1" s="1"/>
  <c r="CD102" i="1"/>
  <c r="BX39" i="1"/>
  <c r="CC31" i="1"/>
  <c r="BW39" i="1"/>
  <c r="CB31" i="1"/>
  <c r="BW97" i="1"/>
  <c r="BW98" i="1" s="1"/>
  <c r="BX104" i="1"/>
  <c r="BX236" i="1" s="1"/>
  <c r="BX237" i="1" s="1"/>
  <c r="BX102" i="1"/>
  <c r="BY97" i="1"/>
  <c r="BY98" i="1" s="1"/>
  <c r="Z4" i="10"/>
  <c r="Y27" i="10"/>
  <c r="Y26" i="10"/>
  <c r="Q109" i="2"/>
  <c r="Q106" i="2"/>
  <c r="Q110" i="2" s="1"/>
  <c r="Q93" i="2"/>
  <c r="BZ115" i="1"/>
  <c r="BZ117" i="1"/>
  <c r="BZ224" i="1" s="1"/>
  <c r="BN35" i="7"/>
  <c r="BY206" i="1"/>
  <c r="BY207" i="1" s="1"/>
  <c r="CC208" i="1" s="1"/>
  <c r="BY39" i="1"/>
  <c r="BX50" i="1"/>
  <c r="BX114" i="1"/>
  <c r="BX193" i="1"/>
  <c r="BN30" i="7" s="1"/>
  <c r="BW341" i="1"/>
  <c r="BW357" i="1"/>
  <c r="BW345" i="1"/>
  <c r="BW206" i="1"/>
  <c r="BM35" i="7" s="1"/>
  <c r="BM31" i="7"/>
  <c r="BW327" i="1"/>
  <c r="BW349" i="1"/>
  <c r="BW159" i="1"/>
  <c r="BW324" i="1"/>
  <c r="BW50" i="1"/>
  <c r="Q47" i="2" l="1"/>
  <c r="Q48" i="2" s="1"/>
  <c r="AA163" i="2"/>
  <c r="BX245" i="1"/>
  <c r="BX246" i="1" s="1"/>
  <c r="CC238" i="1"/>
  <c r="AA4" i="10"/>
  <c r="Z27" i="10"/>
  <c r="Z26" i="10"/>
  <c r="Q97" i="2"/>
  <c r="BX117" i="1"/>
  <c r="BX224" i="1" s="1"/>
  <c r="BX115" i="1"/>
  <c r="AV103" i="1"/>
  <c r="AV109" i="1"/>
  <c r="AP28"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AP27"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AP32"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AP33"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BV103" i="1"/>
  <c r="BU103" i="1"/>
  <c r="BS103" i="1"/>
  <c r="BT103" i="1" s="1"/>
  <c r="BR103" i="1"/>
  <c r="BS101" i="1" s="1"/>
  <c r="BQ103" i="1"/>
  <c r="BP103" i="1"/>
  <c r="BQ101" i="1" s="1"/>
  <c r="BN103" i="1"/>
  <c r="BM103" i="1"/>
  <c r="BN101" i="1" s="1"/>
  <c r="BL103" i="1"/>
  <c r="BK103" i="1"/>
  <c r="BL101" i="1" s="1"/>
  <c r="BI103" i="1"/>
  <c r="BJ103" i="1" s="1"/>
  <c r="BH103" i="1"/>
  <c r="BI101" i="1" s="1"/>
  <c r="BG103" i="1"/>
  <c r="BH101" i="1" s="1"/>
  <c r="BF103" i="1"/>
  <c r="BG101" i="1" s="1"/>
  <c r="BD103" i="1"/>
  <c r="BC103" i="1"/>
  <c r="BD101" i="1" s="1"/>
  <c r="BB103" i="1"/>
  <c r="BA103" i="1"/>
  <c r="BB101" i="1" s="1"/>
  <c r="AY103" i="1"/>
  <c r="AX103" i="1"/>
  <c r="AW103" i="1"/>
  <c r="BV109" i="1"/>
  <c r="CA110" i="1" s="1"/>
  <c r="CA231" i="1" s="1"/>
  <c r="CA232" i="1" s="1"/>
  <c r="BU109" i="1"/>
  <c r="BS109" i="1"/>
  <c r="BR109" i="1"/>
  <c r="BQ109" i="1"/>
  <c r="BP109" i="1"/>
  <c r="BN109" i="1"/>
  <c r="BM109" i="1"/>
  <c r="BL109" i="1"/>
  <c r="BK109" i="1"/>
  <c r="BI109" i="1"/>
  <c r="BH109" i="1"/>
  <c r="BG109" i="1"/>
  <c r="BF109" i="1"/>
  <c r="BD109" i="1"/>
  <c r="BC109" i="1"/>
  <c r="BB109" i="1"/>
  <c r="BA109" i="1"/>
  <c r="AY109" i="1"/>
  <c r="AX109" i="1"/>
  <c r="AW109" i="1"/>
  <c r="AV167" i="1"/>
  <c r="AV165" i="1"/>
  <c r="BV167" i="1"/>
  <c r="CA168" i="1" s="1"/>
  <c r="BU167" i="1"/>
  <c r="BS167" i="1"/>
  <c r="BR167" i="1"/>
  <c r="BQ167" i="1"/>
  <c r="BP167" i="1"/>
  <c r="BN167" i="1"/>
  <c r="BM167" i="1"/>
  <c r="BL167" i="1"/>
  <c r="BK167" i="1"/>
  <c r="BK235" i="1" s="1"/>
  <c r="BI167" i="1"/>
  <c r="BI235" i="1" s="1"/>
  <c r="BH167" i="1"/>
  <c r="BH235" i="1" s="1"/>
  <c r="BG167" i="1"/>
  <c r="BG235" i="1" s="1"/>
  <c r="BF167" i="1"/>
  <c r="BF235" i="1" s="1"/>
  <c r="BD167" i="1"/>
  <c r="BD235" i="1" s="1"/>
  <c r="BC167" i="1"/>
  <c r="BC235" i="1" s="1"/>
  <c r="BB167" i="1"/>
  <c r="BB235" i="1" s="1"/>
  <c r="BA167" i="1"/>
  <c r="BA235" i="1" s="1"/>
  <c r="AY167" i="1"/>
  <c r="AX167" i="1"/>
  <c r="AW167" i="1"/>
  <c r="BV165" i="1"/>
  <c r="BU165" i="1"/>
  <c r="BU230" i="1" s="1"/>
  <c r="BS165" i="1"/>
  <c r="BS230" i="1" s="1"/>
  <c r="BR165" i="1"/>
  <c r="BR230" i="1" s="1"/>
  <c r="BQ165" i="1"/>
  <c r="BQ230" i="1" s="1"/>
  <c r="BP165" i="1"/>
  <c r="BP230" i="1" s="1"/>
  <c r="BN165" i="1"/>
  <c r="BN230" i="1" s="1"/>
  <c r="BM165" i="1"/>
  <c r="BM230" i="1" s="1"/>
  <c r="BL165" i="1"/>
  <c r="BL230" i="1" s="1"/>
  <c r="BK165" i="1"/>
  <c r="BK230" i="1" s="1"/>
  <c r="BI165" i="1"/>
  <c r="BI230" i="1" s="1"/>
  <c r="BH165" i="1"/>
  <c r="BH230" i="1" s="1"/>
  <c r="BG165" i="1"/>
  <c r="BG230" i="1" s="1"/>
  <c r="BF165" i="1"/>
  <c r="BF230" i="1" s="1"/>
  <c r="BD165" i="1"/>
  <c r="BD230" i="1" s="1"/>
  <c r="BC165" i="1"/>
  <c r="BC230" i="1" s="1"/>
  <c r="BB165" i="1"/>
  <c r="BB230" i="1" s="1"/>
  <c r="BA165" i="1"/>
  <c r="BA230" i="1" s="1"/>
  <c r="AY165" i="1"/>
  <c r="AX165" i="1"/>
  <c r="AW165" i="1"/>
  <c r="CA240" i="1" l="1"/>
  <c r="CA241" i="1" s="1"/>
  <c r="CA250" i="1"/>
  <c r="CA251" i="1" s="1"/>
  <c r="BV230" i="1"/>
  <c r="CA166" i="1"/>
  <c r="BL104" i="1"/>
  <c r="BL236" i="1" s="1"/>
  <c r="BN104" i="1"/>
  <c r="BN236" i="1" s="1"/>
  <c r="BL32" i="7"/>
  <c r="BW107" i="1"/>
  <c r="BW108" i="1" s="1"/>
  <c r="BL260" i="1"/>
  <c r="BL235" i="1"/>
  <c r="BV260" i="1"/>
  <c r="BV235" i="1"/>
  <c r="BC96" i="1"/>
  <c r="BH110" i="1"/>
  <c r="BH231" i="1" s="1"/>
  <c r="BH232" i="1" s="1"/>
  <c r="BD107" i="1"/>
  <c r="BD108" i="1" s="1"/>
  <c r="BE32" i="7"/>
  <c r="BR110" i="1"/>
  <c r="BR231" i="1" s="1"/>
  <c r="BR232" i="1" s="1"/>
  <c r="BN107" i="1"/>
  <c r="BN108" i="1" s="1"/>
  <c r="AX101" i="1"/>
  <c r="AX104" i="1" s="1"/>
  <c r="BH102" i="1"/>
  <c r="BH104" i="1"/>
  <c r="BH236" i="1" s="1"/>
  <c r="BH237" i="1" s="1"/>
  <c r="BH33" i="7"/>
  <c r="BR101" i="1"/>
  <c r="BB96" i="1"/>
  <c r="BG110" i="1"/>
  <c r="BG231" i="1" s="1"/>
  <c r="BG232" i="1" s="1"/>
  <c r="BC107" i="1"/>
  <c r="BC108" i="1" s="1"/>
  <c r="BM260" i="1"/>
  <c r="BM235" i="1"/>
  <c r="BD96" i="1"/>
  <c r="BI110" i="1"/>
  <c r="BI231" i="1" s="1"/>
  <c r="BI232" i="1" s="1"/>
  <c r="BO109" i="1"/>
  <c r="BO96" i="1" s="1"/>
  <c r="BS110" i="1"/>
  <c r="BS231" i="1" s="1"/>
  <c r="BS232" i="1" s="1"/>
  <c r="AY101" i="1"/>
  <c r="AY104" i="1" s="1"/>
  <c r="BI102" i="1"/>
  <c r="BI104" i="1"/>
  <c r="BI236" i="1" s="1"/>
  <c r="BI237" i="1" s="1"/>
  <c r="BS102" i="1"/>
  <c r="BS104" i="1"/>
  <c r="BS236" i="1" s="1"/>
  <c r="BQ102" i="1"/>
  <c r="BQ104" i="1"/>
  <c r="BQ236" i="1" s="1"/>
  <c r="BN260" i="1"/>
  <c r="BN235" i="1"/>
  <c r="AY32" i="7"/>
  <c r="BK110" i="1"/>
  <c r="BK231" i="1" s="1"/>
  <c r="BK232" i="1" s="1"/>
  <c r="BG107" i="1"/>
  <c r="BG108" i="1" s="1"/>
  <c r="BG32" i="7"/>
  <c r="BU110" i="1"/>
  <c r="BU231" i="1" s="1"/>
  <c r="BU232" i="1" s="1"/>
  <c r="BQ107" i="1"/>
  <c r="BQ108" i="1" s="1"/>
  <c r="AZ103" i="1"/>
  <c r="AZ95" i="1" s="1"/>
  <c r="CE33" i="7"/>
  <c r="BK101" i="1"/>
  <c r="BT95" i="1"/>
  <c r="BY101" i="1" s="1"/>
  <c r="BY104" i="1" s="1"/>
  <c r="BY236" i="1" s="1"/>
  <c r="BU101" i="1"/>
  <c r="BU104" i="1" s="1"/>
  <c r="BU236" i="1" s="1"/>
  <c r="BP260" i="1"/>
  <c r="BP235" i="1"/>
  <c r="AR32" i="7"/>
  <c r="BB110" i="1"/>
  <c r="BB231" i="1" s="1"/>
  <c r="BB232" i="1" s="1"/>
  <c r="BB233" i="1" s="1"/>
  <c r="AX107" i="1"/>
  <c r="AX108" i="1" s="1"/>
  <c r="AW110" i="1"/>
  <c r="AZ32" i="7"/>
  <c r="BH107" i="1"/>
  <c r="BH108" i="1" s="1"/>
  <c r="BL110" i="1"/>
  <c r="BL231" i="1" s="1"/>
  <c r="BL232" i="1" s="1"/>
  <c r="BH32" i="7"/>
  <c r="BR107" i="1"/>
  <c r="BR108" i="1" s="1"/>
  <c r="BV110" i="1"/>
  <c r="BV231" i="1" s="1"/>
  <c r="BB102" i="1"/>
  <c r="BB104" i="1"/>
  <c r="BB236" i="1" s="1"/>
  <c r="BB237" i="1" s="1"/>
  <c r="BB238" i="1" s="1"/>
  <c r="BV101" i="1"/>
  <c r="BV104" i="1" s="1"/>
  <c r="BV236" i="1" s="1"/>
  <c r="BL96" i="1"/>
  <c r="BQ110" i="1"/>
  <c r="BQ231" i="1" s="1"/>
  <c r="BQ232" i="1" s="1"/>
  <c r="BM107" i="1"/>
  <c r="BM108" i="1" s="1"/>
  <c r="BQ260" i="1"/>
  <c r="BQ235" i="1"/>
  <c r="AS32" i="7"/>
  <c r="AY107" i="1"/>
  <c r="AY108" i="1" s="1"/>
  <c r="AX110" i="1"/>
  <c r="BC110" i="1"/>
  <c r="BC231" i="1" s="1"/>
  <c r="BC232" i="1" s="1"/>
  <c r="BC233" i="1" s="1"/>
  <c r="BA32" i="7"/>
  <c r="BI107" i="1"/>
  <c r="BI108" i="1" s="1"/>
  <c r="BM110" i="1"/>
  <c r="BM231" i="1" s="1"/>
  <c r="BM232" i="1" s="1"/>
  <c r="BR96" i="1"/>
  <c r="BW110" i="1"/>
  <c r="BW231" i="1" s="1"/>
  <c r="BW232" i="1" s="1"/>
  <c r="CB233" i="1" s="1"/>
  <c r="BS107" i="1"/>
  <c r="BS108" i="1" s="1"/>
  <c r="BB95" i="1"/>
  <c r="BC101" i="1"/>
  <c r="BL102" i="1"/>
  <c r="BM101" i="1"/>
  <c r="BW101" i="1"/>
  <c r="BU260" i="1"/>
  <c r="BU235" i="1"/>
  <c r="BR260" i="1"/>
  <c r="BR235" i="1"/>
  <c r="AT32" i="7"/>
  <c r="AY110" i="1"/>
  <c r="BD110" i="1"/>
  <c r="BD231" i="1" s="1"/>
  <c r="BD232" i="1" s="1"/>
  <c r="BD233" i="1" s="1"/>
  <c r="BJ109" i="1"/>
  <c r="BJ96" i="1" s="1"/>
  <c r="BN110" i="1"/>
  <c r="BN231" i="1" s="1"/>
  <c r="BN232" i="1" s="1"/>
  <c r="BS96" i="1"/>
  <c r="BX110" i="1"/>
  <c r="BX231" i="1" s="1"/>
  <c r="BX232" i="1" s="1"/>
  <c r="CC233" i="1" s="1"/>
  <c r="BD102" i="1"/>
  <c r="BD104" i="1"/>
  <c r="BD236" i="1" s="1"/>
  <c r="BD237" i="1" s="1"/>
  <c r="BD238" i="1" s="1"/>
  <c r="AQ32" i="7"/>
  <c r="BA110" i="1"/>
  <c r="BA231" i="1" s="1"/>
  <c r="BA232" i="1" s="1"/>
  <c r="BA233" i="1" s="1"/>
  <c r="AV110" i="1"/>
  <c r="AW107" i="1"/>
  <c r="AW108" i="1" s="1"/>
  <c r="BG102" i="1"/>
  <c r="BG104" i="1"/>
  <c r="BG236" i="1" s="1"/>
  <c r="BG237" i="1" s="1"/>
  <c r="BS260" i="1"/>
  <c r="BS235" i="1"/>
  <c r="AU32" i="7"/>
  <c r="BB107" i="1"/>
  <c r="BB108" i="1" s="1"/>
  <c r="BF110" i="1"/>
  <c r="BF231" i="1" s="1"/>
  <c r="BF232" i="1" s="1"/>
  <c r="BK96" i="1"/>
  <c r="BP110" i="1"/>
  <c r="BP231" i="1" s="1"/>
  <c r="BP232" i="1" s="1"/>
  <c r="BL107" i="1"/>
  <c r="BL108" i="1" s="1"/>
  <c r="BZ110" i="1"/>
  <c r="BZ231" i="1" s="1"/>
  <c r="BZ232" i="1" s="1"/>
  <c r="BV107" i="1"/>
  <c r="BV108" i="1" s="1"/>
  <c r="BN102" i="1"/>
  <c r="AQ33" i="7"/>
  <c r="AW101" i="1"/>
  <c r="AW104" i="1" s="1"/>
  <c r="BG27" i="7"/>
  <c r="BP166" i="1"/>
  <c r="AT28" i="7"/>
  <c r="AY168" i="1"/>
  <c r="BC28" i="7"/>
  <c r="BK168" i="1"/>
  <c r="BA27" i="7"/>
  <c r="BH166" i="1"/>
  <c r="BZ168" i="1"/>
  <c r="BU168" i="1"/>
  <c r="BI27" i="7"/>
  <c r="BR166" i="1"/>
  <c r="BW166" i="1"/>
  <c r="BB27" i="7"/>
  <c r="BI166" i="1"/>
  <c r="AQ27" i="7"/>
  <c r="AV166" i="1"/>
  <c r="BJ28" i="7"/>
  <c r="BS168" i="1"/>
  <c r="BX168" i="1"/>
  <c r="BD28" i="7"/>
  <c r="BL168" i="1"/>
  <c r="AT27" i="7"/>
  <c r="AY166" i="1"/>
  <c r="AU27" i="7"/>
  <c r="BA166" i="1"/>
  <c r="BF28" i="7"/>
  <c r="BN168" i="1"/>
  <c r="BH27" i="7"/>
  <c r="BQ166" i="1"/>
  <c r="AV28" i="7"/>
  <c r="BB168" i="1"/>
  <c r="BL166" i="1"/>
  <c r="BL27" i="7"/>
  <c r="BV166" i="1"/>
  <c r="BF168" i="1"/>
  <c r="BP168" i="1"/>
  <c r="AY27" i="7"/>
  <c r="BF166" i="1"/>
  <c r="BB28" i="7"/>
  <c r="BI168" i="1"/>
  <c r="AZ27" i="7"/>
  <c r="BG166" i="1"/>
  <c r="AW28" i="7"/>
  <c r="BC168" i="1"/>
  <c r="BC27" i="7"/>
  <c r="BK166" i="1"/>
  <c r="AQ28" i="7"/>
  <c r="AV168" i="1"/>
  <c r="AV27" i="7"/>
  <c r="BB166" i="1"/>
  <c r="AW27" i="7"/>
  <c r="BC166" i="1"/>
  <c r="BE27" i="7"/>
  <c r="BM166" i="1"/>
  <c r="AR28" i="7"/>
  <c r="AW168" i="1"/>
  <c r="AZ28" i="7"/>
  <c r="BG168" i="1"/>
  <c r="BH28" i="7"/>
  <c r="BQ168" i="1"/>
  <c r="AR27" i="7"/>
  <c r="AW166" i="1"/>
  <c r="AU28" i="7"/>
  <c r="BA168" i="1"/>
  <c r="AS27" i="7"/>
  <c r="AX166" i="1"/>
  <c r="BL28" i="7"/>
  <c r="BV168" i="1"/>
  <c r="BJ27" i="7"/>
  <c r="BS166" i="1"/>
  <c r="BX166" i="1"/>
  <c r="BE28" i="7"/>
  <c r="BM168" i="1"/>
  <c r="BZ166" i="1"/>
  <c r="BU166" i="1"/>
  <c r="AX28" i="7"/>
  <c r="BD168" i="1"/>
  <c r="AX27" i="7"/>
  <c r="BD166" i="1"/>
  <c r="BF27" i="7"/>
  <c r="BN166" i="1"/>
  <c r="AS28" i="7"/>
  <c r="AX168" i="1"/>
  <c r="BA28" i="7"/>
  <c r="BH168" i="1"/>
  <c r="BI28" i="7"/>
  <c r="BR168" i="1"/>
  <c r="BW168" i="1"/>
  <c r="AB4" i="10"/>
  <c r="AA27" i="10"/>
  <c r="AA26" i="10"/>
  <c r="BK28" i="7"/>
  <c r="BY167" i="1"/>
  <c r="BK27" i="7"/>
  <c r="BY165" i="1"/>
  <c r="BK32" i="7"/>
  <c r="BJ167" i="1"/>
  <c r="BT167" i="1"/>
  <c r="BA96" i="1"/>
  <c r="AW96" i="1"/>
  <c r="BQ96" i="1"/>
  <c r="BI96" i="1"/>
  <c r="BL95" i="1"/>
  <c r="BL116" i="1"/>
  <c r="BE167" i="1"/>
  <c r="AT33" i="7"/>
  <c r="AY116" i="1"/>
  <c r="BI95" i="1"/>
  <c r="BI116" i="1"/>
  <c r="BJ116" i="1" s="1"/>
  <c r="BS95" i="1"/>
  <c r="BS116" i="1"/>
  <c r="BT116" i="1" s="1"/>
  <c r="BJ95" i="1"/>
  <c r="BB33" i="7"/>
  <c r="BA95" i="1"/>
  <c r="BA116" i="1"/>
  <c r="BK95" i="1"/>
  <c r="BK116" i="1"/>
  <c r="BU95" i="1"/>
  <c r="BU116" i="1"/>
  <c r="BC95" i="1"/>
  <c r="BC116" i="1"/>
  <c r="BM95" i="1"/>
  <c r="BM116" i="1"/>
  <c r="BL33" i="7"/>
  <c r="BV116" i="1"/>
  <c r="BO103" i="1"/>
  <c r="BN116" i="1"/>
  <c r="BO116" i="1" s="1"/>
  <c r="AV33" i="7"/>
  <c r="BB116" i="1"/>
  <c r="BG33" i="7"/>
  <c r="BP116" i="1"/>
  <c r="BO165" i="1"/>
  <c r="BO230" i="1" s="1"/>
  <c r="AY33" i="7"/>
  <c r="BF116" i="1"/>
  <c r="BQ95" i="1"/>
  <c r="BQ116" i="1"/>
  <c r="BD95" i="1"/>
  <c r="BD116" i="1"/>
  <c r="BE116" i="1" s="1"/>
  <c r="BE109" i="1"/>
  <c r="AW95" i="1"/>
  <c r="AW116" i="1"/>
  <c r="AZ33" i="7"/>
  <c r="BG116" i="1"/>
  <c r="AZ167" i="1"/>
  <c r="AS33" i="7"/>
  <c r="AX116" i="1"/>
  <c r="BA33" i="7"/>
  <c r="BH116" i="1"/>
  <c r="BI33" i="7"/>
  <c r="BR116" i="1"/>
  <c r="BR95" i="1"/>
  <c r="AU33" i="7"/>
  <c r="BB32" i="7"/>
  <c r="AV95" i="1"/>
  <c r="AV116" i="1"/>
  <c r="BO167" i="1"/>
  <c r="BE103" i="1"/>
  <c r="BF101" i="1" s="1"/>
  <c r="AZ109" i="1"/>
  <c r="BP96" i="1"/>
  <c r="BH96" i="1"/>
  <c r="AV32" i="7"/>
  <c r="BI32" i="7"/>
  <c r="AZ165" i="1"/>
  <c r="BG96" i="1"/>
  <c r="AY96" i="1"/>
  <c r="BP95" i="1"/>
  <c r="BH95" i="1"/>
  <c r="AW33" i="7"/>
  <c r="BC33" i="7"/>
  <c r="BJ33" i="7"/>
  <c r="AW32" i="7"/>
  <c r="BC32" i="7"/>
  <c r="BJ32" i="7"/>
  <c r="BE165" i="1"/>
  <c r="BE230" i="1" s="1"/>
  <c r="BV96" i="1"/>
  <c r="BN96" i="1"/>
  <c r="BF96" i="1"/>
  <c r="AX96" i="1"/>
  <c r="BG95" i="1"/>
  <c r="AY95" i="1"/>
  <c r="AX33" i="7"/>
  <c r="BD33" i="7"/>
  <c r="CG33" i="7"/>
  <c r="AX32" i="7"/>
  <c r="BD32" i="7"/>
  <c r="BJ165" i="1"/>
  <c r="BU96" i="1"/>
  <c r="BM96" i="1"/>
  <c r="BV95" i="1"/>
  <c r="BN95" i="1"/>
  <c r="BF95" i="1"/>
  <c r="AX95" i="1"/>
  <c r="AR33" i="7"/>
  <c r="BE33" i="7"/>
  <c r="BK33" i="7"/>
  <c r="AY28" i="7"/>
  <c r="BG28" i="7"/>
  <c r="BT165" i="1"/>
  <c r="CG27" i="7" s="1"/>
  <c r="BT109" i="1"/>
  <c r="BF33" i="7"/>
  <c r="BF32" i="7"/>
  <c r="AV96" i="1"/>
  <c r="BD27" i="7"/>
  <c r="CH27" i="7" l="1"/>
  <c r="CD166" i="1"/>
  <c r="CH28" i="7"/>
  <c r="CD168" i="1"/>
  <c r="BN237" i="1"/>
  <c r="BN238" i="1" s="1"/>
  <c r="AW97" i="1"/>
  <c r="AW98" i="1" s="1"/>
  <c r="BR97" i="1"/>
  <c r="BR98" i="1" s="1"/>
  <c r="BL237" i="1"/>
  <c r="BL238" i="1" s="1"/>
  <c r="CE32" i="7"/>
  <c r="CF32" i="7"/>
  <c r="BV232" i="1"/>
  <c r="CA233" i="1" s="1"/>
  <c r="BY102" i="1"/>
  <c r="BB97" i="1"/>
  <c r="BB98" i="1" s="1"/>
  <c r="BC97" i="1"/>
  <c r="BC98" i="1" s="1"/>
  <c r="BL97" i="1"/>
  <c r="BL98" i="1" s="1"/>
  <c r="BQ233" i="1"/>
  <c r="BN233" i="1"/>
  <c r="BZ240" i="1"/>
  <c r="BZ241" i="1" s="1"/>
  <c r="BZ250" i="1"/>
  <c r="BZ251" i="1" s="1"/>
  <c r="BX240" i="1"/>
  <c r="BX241" i="1" s="1"/>
  <c r="BX250" i="1"/>
  <c r="BX251" i="1" s="1"/>
  <c r="BW240" i="1"/>
  <c r="BW241" i="1" s="1"/>
  <c r="BU240" i="1"/>
  <c r="BU241" i="1" s="1"/>
  <c r="BS97" i="1"/>
  <c r="BS98" i="1" s="1"/>
  <c r="BV102" i="1"/>
  <c r="BK97" i="1"/>
  <c r="BK98" i="1" s="1"/>
  <c r="BS237" i="1"/>
  <c r="BX238" i="1" s="1"/>
  <c r="BD97" i="1"/>
  <c r="BD98" i="1" s="1"/>
  <c r="BM233" i="1"/>
  <c r="BF233" i="1"/>
  <c r="BG238" i="1"/>
  <c r="AX102" i="1"/>
  <c r="BL233" i="1"/>
  <c r="BS233" i="1"/>
  <c r="BU237" i="1"/>
  <c r="BV237" i="1"/>
  <c r="BP233" i="1"/>
  <c r="BR233" i="1"/>
  <c r="BH233" i="1"/>
  <c r="BY110" i="1"/>
  <c r="BY231" i="1" s="1"/>
  <c r="BU107" i="1"/>
  <c r="BU108" i="1" s="1"/>
  <c r="BA107" i="1"/>
  <c r="BA108" i="1" s="1"/>
  <c r="BE110" i="1"/>
  <c r="BE231" i="1" s="1"/>
  <c r="BE232" i="1" s="1"/>
  <c r="BE233" i="1" s="1"/>
  <c r="CD32" i="7"/>
  <c r="BF107" i="1"/>
  <c r="BF108" i="1" s="1"/>
  <c r="BJ110" i="1"/>
  <c r="BJ231" i="1" s="1"/>
  <c r="BG233" i="1"/>
  <c r="BW233" i="1"/>
  <c r="BF102" i="1"/>
  <c r="BF104" i="1"/>
  <c r="BF236" i="1" s="1"/>
  <c r="BF237" i="1" s="1"/>
  <c r="BX233" i="1"/>
  <c r="BW104" i="1"/>
  <c r="BW236" i="1" s="1"/>
  <c r="BW237" i="1" s="1"/>
  <c r="BW102" i="1"/>
  <c r="BK102" i="1"/>
  <c r="BK104" i="1"/>
  <c r="BK236" i="1" s="1"/>
  <c r="BK237" i="1" s="1"/>
  <c r="BU233" i="1"/>
  <c r="CF28" i="7"/>
  <c r="BO235" i="1"/>
  <c r="CD28" i="7"/>
  <c r="BE235" i="1"/>
  <c r="CE28" i="7"/>
  <c r="BJ235" i="1"/>
  <c r="BZ233" i="1"/>
  <c r="BQ237" i="1"/>
  <c r="BU102" i="1"/>
  <c r="BP107" i="1"/>
  <c r="BP108" i="1" s="1"/>
  <c r="BT110" i="1"/>
  <c r="BI233" i="1"/>
  <c r="AW102" i="1"/>
  <c r="CE27" i="7"/>
  <c r="BJ230" i="1"/>
  <c r="BI238" i="1"/>
  <c r="BM102" i="1"/>
  <c r="BM104" i="1"/>
  <c r="BM236" i="1" s="1"/>
  <c r="BM237" i="1" s="1"/>
  <c r="BM238" i="1" s="1"/>
  <c r="AY102" i="1"/>
  <c r="BR102" i="1"/>
  <c r="BR104" i="1"/>
  <c r="BR236" i="1" s="1"/>
  <c r="BR237" i="1" s="1"/>
  <c r="CC33" i="7"/>
  <c r="BA101" i="1"/>
  <c r="BK233" i="1"/>
  <c r="CF33" i="7"/>
  <c r="BP101" i="1"/>
  <c r="BO110" i="1"/>
  <c r="BO231" i="1" s="1"/>
  <c r="BO232" i="1" s="1"/>
  <c r="BK107" i="1"/>
  <c r="BK108" i="1" s="1"/>
  <c r="BC102" i="1"/>
  <c r="BC104" i="1"/>
  <c r="BC236" i="1" s="1"/>
  <c r="BC237" i="1" s="1"/>
  <c r="BC238" i="1" s="1"/>
  <c r="BO166" i="1"/>
  <c r="CF27" i="7"/>
  <c r="BE166" i="1"/>
  <c r="CD27" i="7"/>
  <c r="BT260" i="1"/>
  <c r="CG28" i="7"/>
  <c r="AZ166" i="1"/>
  <c r="CC27" i="7"/>
  <c r="AZ168" i="1"/>
  <c r="CC28" i="7"/>
  <c r="BY168" i="1"/>
  <c r="BY260" i="1"/>
  <c r="BO168" i="1"/>
  <c r="BO260" i="1"/>
  <c r="BY166" i="1"/>
  <c r="BT230" i="1"/>
  <c r="BT166" i="1"/>
  <c r="BT235" i="1"/>
  <c r="BT168" i="1"/>
  <c r="BE168" i="1"/>
  <c r="BJ168" i="1"/>
  <c r="BJ166" i="1"/>
  <c r="BO118" i="1"/>
  <c r="BT118" i="1"/>
  <c r="BY118" i="1"/>
  <c r="BJ118" i="1"/>
  <c r="CD230" i="1"/>
  <c r="CD232" i="1" s="1"/>
  <c r="BY230" i="1"/>
  <c r="BY235" i="1"/>
  <c r="BY237" i="1" s="1"/>
  <c r="BY245" i="1" s="1"/>
  <c r="BY246" i="1" s="1"/>
  <c r="AC4" i="10"/>
  <c r="AB27" i="10"/>
  <c r="AB26" i="10"/>
  <c r="BJ117" i="1"/>
  <c r="BO117" i="1"/>
  <c r="BO114" i="1"/>
  <c r="BO115" i="1" s="1"/>
  <c r="BY114" i="1"/>
  <c r="BY115" i="1" s="1"/>
  <c r="BY135" i="1" s="1"/>
  <c r="BY117" i="1"/>
  <c r="BT114" i="1"/>
  <c r="BT115" i="1" s="1"/>
  <c r="BT117" i="1"/>
  <c r="BJ114" i="1"/>
  <c r="BJ115" i="1" s="1"/>
  <c r="BW193" i="1"/>
  <c r="BM30" i="7" s="1"/>
  <c r="BW114" i="1"/>
  <c r="BQ97" i="1"/>
  <c r="BQ98" i="1" s="1"/>
  <c r="BF97" i="1"/>
  <c r="BF98" i="1" s="1"/>
  <c r="BA97" i="1"/>
  <c r="BA98" i="1" s="1"/>
  <c r="BO95" i="1"/>
  <c r="BO97" i="1" s="1"/>
  <c r="BO98" i="1" s="1"/>
  <c r="BJ97" i="1"/>
  <c r="BJ98" i="1" s="1"/>
  <c r="BI97" i="1"/>
  <c r="BI98" i="1" s="1"/>
  <c r="BV97" i="1"/>
  <c r="BV98" i="1" s="1"/>
  <c r="BN97" i="1"/>
  <c r="BN98" i="1" s="1"/>
  <c r="AX97" i="1"/>
  <c r="AX98" i="1" s="1"/>
  <c r="BE96" i="1"/>
  <c r="BM97" i="1"/>
  <c r="BM98" i="1" s="1"/>
  <c r="AV97" i="1"/>
  <c r="AV98" i="1" s="1"/>
  <c r="BU97" i="1"/>
  <c r="BU98" i="1" s="1"/>
  <c r="BG97" i="1"/>
  <c r="BG98" i="1" s="1"/>
  <c r="BT96" i="1"/>
  <c r="CG32" i="7"/>
  <c r="BE95" i="1"/>
  <c r="CD33" i="7"/>
  <c r="BH97" i="1"/>
  <c r="BH98" i="1" s="1"/>
  <c r="AY97" i="1"/>
  <c r="AY98" i="1" s="1"/>
  <c r="BP97" i="1"/>
  <c r="BP98" i="1" s="1"/>
  <c r="CC32" i="7"/>
  <c r="AZ96" i="1"/>
  <c r="AZ97" i="1" s="1"/>
  <c r="AZ98" i="1" s="1"/>
  <c r="CI28" i="7" l="1"/>
  <c r="CD235" i="1"/>
  <c r="CD237" i="1" s="1"/>
  <c r="CD250" i="1" s="1"/>
  <c r="CD251" i="1" s="1"/>
  <c r="CD260" i="1"/>
  <c r="CD240" i="1"/>
  <c r="CD241" i="1" s="1"/>
  <c r="BW245" i="1"/>
  <c r="BW246" i="1" s="1"/>
  <c r="CB238" i="1"/>
  <c r="BV233" i="1"/>
  <c r="BQ238" i="1"/>
  <c r="BV240" i="1"/>
  <c r="BV241" i="1" s="1"/>
  <c r="BV245" i="1"/>
  <c r="BV246" i="1" s="1"/>
  <c r="CA238" i="1"/>
  <c r="BW250" i="1"/>
  <c r="BW251" i="1" s="1"/>
  <c r="BV250" i="1"/>
  <c r="BV251" i="1" s="1"/>
  <c r="BZ238" i="1"/>
  <c r="BU245" i="1"/>
  <c r="BU246" i="1" s="1"/>
  <c r="BS238" i="1"/>
  <c r="BU250" i="1"/>
  <c r="BU251" i="1" s="1"/>
  <c r="BW238" i="1"/>
  <c r="BJ232" i="1"/>
  <c r="BJ233" i="1" s="1"/>
  <c r="BR238" i="1"/>
  <c r="BY232" i="1"/>
  <c r="BY240" i="1" s="1"/>
  <c r="BY241" i="1" s="1"/>
  <c r="BK238" i="1"/>
  <c r="BA102" i="1"/>
  <c r="BA104" i="1"/>
  <c r="BA236" i="1" s="1"/>
  <c r="BA237" i="1" s="1"/>
  <c r="BA238" i="1" s="1"/>
  <c r="BP102" i="1"/>
  <c r="BP104" i="1"/>
  <c r="BP236" i="1" s="1"/>
  <c r="BP237" i="1" s="1"/>
  <c r="BV238" i="1"/>
  <c r="BH238" i="1"/>
  <c r="CE165" i="1"/>
  <c r="CJ27" i="7" s="1"/>
  <c r="CI27" i="7"/>
  <c r="CE167" i="1"/>
  <c r="CF167" i="1" s="1"/>
  <c r="CH98" i="1"/>
  <c r="AD4" i="10"/>
  <c r="AC27" i="10"/>
  <c r="AC26" i="10"/>
  <c r="BT97" i="1"/>
  <c r="BT98" i="1" s="1"/>
  <c r="BY107" i="1"/>
  <c r="BY108" i="1" s="1"/>
  <c r="BW117" i="1"/>
  <c r="BW224" i="1" s="1"/>
  <c r="BW115" i="1"/>
  <c r="BE97" i="1"/>
  <c r="BE98" i="1" s="1"/>
  <c r="AP47" i="7"/>
  <c r="AO47" i="7"/>
  <c r="AN47" i="7"/>
  <c r="AM47" i="7"/>
  <c r="CA47" i="7"/>
  <c r="AL47" i="7"/>
  <c r="AK47" i="7"/>
  <c r="AJ47" i="7"/>
  <c r="AI47" i="7"/>
  <c r="AH47" i="7"/>
  <c r="AG47" i="7"/>
  <c r="AF47" i="7"/>
  <c r="AE47" i="7"/>
  <c r="AD47" i="7"/>
  <c r="AC47" i="7"/>
  <c r="AB47" i="7"/>
  <c r="AP45" i="7"/>
  <c r="AO45" i="7"/>
  <c r="AN45" i="7"/>
  <c r="AM45" i="7"/>
  <c r="AL45" i="7"/>
  <c r="AK45" i="7"/>
  <c r="AJ45" i="7"/>
  <c r="AI45" i="7"/>
  <c r="V45" i="7"/>
  <c r="U45" i="7"/>
  <c r="T45" i="7"/>
  <c r="S45" i="7"/>
  <c r="AP44" i="7"/>
  <c r="AO44" i="7"/>
  <c r="AN44" i="7"/>
  <c r="AM44" i="7"/>
  <c r="CA44" i="7"/>
  <c r="AL44" i="7"/>
  <c r="AK44" i="7"/>
  <c r="AJ44" i="7"/>
  <c r="AI44" i="7"/>
  <c r="AH44" i="7"/>
  <c r="AG44" i="7"/>
  <c r="AF44" i="7"/>
  <c r="AE44" i="7"/>
  <c r="AD44" i="7"/>
  <c r="AC44" i="7"/>
  <c r="AB44" i="7"/>
  <c r="AA44" i="7"/>
  <c r="Z44" i="7"/>
  <c r="Y44" i="7"/>
  <c r="X44" i="7"/>
  <c r="W44" i="7"/>
  <c r="V44" i="7"/>
  <c r="U44" i="7"/>
  <c r="T44" i="7"/>
  <c r="S44" i="7"/>
  <c r="AP43" i="7"/>
  <c r="AO43" i="7"/>
  <c r="AN43" i="7"/>
  <c r="AM43" i="7"/>
  <c r="AL43" i="7"/>
  <c r="AK43" i="7"/>
  <c r="AJ43" i="7"/>
  <c r="AI43" i="7"/>
  <c r="AD43" i="7"/>
  <c r="AC43" i="7"/>
  <c r="AB43" i="7"/>
  <c r="AA43" i="7"/>
  <c r="Z43" i="7"/>
  <c r="Y43" i="7"/>
  <c r="X43" i="7"/>
  <c r="W43" i="7"/>
  <c r="V43" i="7"/>
  <c r="U43" i="7"/>
  <c r="T43" i="7"/>
  <c r="S43" i="7"/>
  <c r="AP42" i="7"/>
  <c r="AO42" i="7"/>
  <c r="AN42" i="7"/>
  <c r="AM42" i="7"/>
  <c r="CA42" i="7"/>
  <c r="AL42" i="7"/>
  <c r="AK42" i="7"/>
  <c r="AJ42" i="7"/>
  <c r="AI42" i="7"/>
  <c r="AH42" i="7"/>
  <c r="AG42" i="7"/>
  <c r="AF42" i="7"/>
  <c r="AE42" i="7"/>
  <c r="AD42" i="7"/>
  <c r="AC42" i="7"/>
  <c r="AB42" i="7"/>
  <c r="AA42" i="7"/>
  <c r="Z42" i="7"/>
  <c r="Y42" i="7"/>
  <c r="X42" i="7"/>
  <c r="W42" i="7"/>
  <c r="V42" i="7"/>
  <c r="U42" i="7"/>
  <c r="T42" i="7"/>
  <c r="S42" i="7"/>
  <c r="AP41" i="7"/>
  <c r="AO41" i="7"/>
  <c r="AN41" i="7"/>
  <c r="AM41" i="7"/>
  <c r="CA41" i="7"/>
  <c r="AL41" i="7"/>
  <c r="AK41" i="7"/>
  <c r="AJ41" i="7"/>
  <c r="AI41" i="7"/>
  <c r="AH41" i="7"/>
  <c r="AG41" i="7"/>
  <c r="AF41" i="7"/>
  <c r="AE41" i="7"/>
  <c r="AD41" i="7"/>
  <c r="AC41" i="7"/>
  <c r="AB41" i="7"/>
  <c r="AA41" i="7"/>
  <c r="Z41" i="7"/>
  <c r="Y41" i="7"/>
  <c r="X41" i="7"/>
  <c r="W41" i="7"/>
  <c r="V41" i="7"/>
  <c r="U41" i="7"/>
  <c r="T41" i="7"/>
  <c r="S41" i="7"/>
  <c r="R41" i="7"/>
  <c r="Q41" i="7"/>
  <c r="P41" i="7"/>
  <c r="O41" i="7"/>
  <c r="AP40" i="7"/>
  <c r="AO40" i="7"/>
  <c r="AN40" i="7"/>
  <c r="AM40" i="7"/>
  <c r="CA40" i="7"/>
  <c r="AL40" i="7"/>
  <c r="AK40" i="7"/>
  <c r="AJ40" i="7"/>
  <c r="AI40" i="7"/>
  <c r="AH40" i="7"/>
  <c r="AG40" i="7"/>
  <c r="AF40" i="7"/>
  <c r="AE40" i="7"/>
  <c r="AD40" i="7"/>
  <c r="AC40" i="7"/>
  <c r="AB40" i="7"/>
  <c r="AA40" i="7"/>
  <c r="Z40" i="7"/>
  <c r="Y40" i="7"/>
  <c r="X40" i="7"/>
  <c r="W40" i="7"/>
  <c r="V40" i="7"/>
  <c r="U40" i="7"/>
  <c r="T40" i="7"/>
  <c r="S40" i="7"/>
  <c r="R40" i="7"/>
  <c r="Q40" i="7"/>
  <c r="P40" i="7"/>
  <c r="O40" i="7"/>
  <c r="AP39" i="7"/>
  <c r="AO39" i="7"/>
  <c r="AN39" i="7"/>
  <c r="AM39" i="7"/>
  <c r="CA39" i="7"/>
  <c r="AL39" i="7"/>
  <c r="AK39" i="7"/>
  <c r="AJ39" i="7"/>
  <c r="AI39" i="7"/>
  <c r="AH39" i="7"/>
  <c r="AG39" i="7"/>
  <c r="AF39" i="7"/>
  <c r="AE39" i="7"/>
  <c r="AD39" i="7"/>
  <c r="AC39" i="7"/>
  <c r="AB39" i="7"/>
  <c r="AA39" i="7"/>
  <c r="Z39" i="7"/>
  <c r="Y39" i="7"/>
  <c r="X39" i="7"/>
  <c r="W39" i="7"/>
  <c r="V39" i="7"/>
  <c r="U39" i="7"/>
  <c r="T39" i="7"/>
  <c r="S39" i="7"/>
  <c r="R39" i="7"/>
  <c r="Q39" i="7"/>
  <c r="P39" i="7"/>
  <c r="O39" i="7"/>
  <c r="AQ36" i="7"/>
  <c r="CB36" i="7"/>
  <c r="AP36" i="7"/>
  <c r="AO36" i="7"/>
  <c r="AN36" i="7"/>
  <c r="AM36" i="7"/>
  <c r="AL36" i="7"/>
  <c r="AK36" i="7"/>
  <c r="AJ36" i="7"/>
  <c r="AI36" i="7"/>
  <c r="AH36" i="7"/>
  <c r="AG36" i="7"/>
  <c r="AF36" i="7"/>
  <c r="AE36" i="7"/>
  <c r="AD36" i="7"/>
  <c r="AC36" i="7"/>
  <c r="AB36" i="7"/>
  <c r="AA36" i="7"/>
  <c r="AK35" i="7"/>
  <c r="AJ35" i="7"/>
  <c r="AI35" i="7"/>
  <c r="AH35" i="7"/>
  <c r="AG35" i="7"/>
  <c r="AF35" i="7"/>
  <c r="AE35" i="7"/>
  <c r="AD35" i="7"/>
  <c r="AC35" i="7"/>
  <c r="AB35" i="7"/>
  <c r="AA35" i="7"/>
  <c r="AQ34" i="7"/>
  <c r="AP34" i="7"/>
  <c r="AO34" i="7"/>
  <c r="AN34" i="7"/>
  <c r="AM34" i="7"/>
  <c r="AL34" i="7"/>
  <c r="AK34" i="7"/>
  <c r="AJ34" i="7"/>
  <c r="AI34" i="7"/>
  <c r="AH34" i="7"/>
  <c r="AG34" i="7"/>
  <c r="AF34" i="7"/>
  <c r="AE34" i="7"/>
  <c r="AD34" i="7"/>
  <c r="AC34" i="7"/>
  <c r="AB34" i="7"/>
  <c r="AA34" i="7"/>
  <c r="AQ31" i="7"/>
  <c r="AP31" i="7"/>
  <c r="AO31" i="7"/>
  <c r="AN31" i="7"/>
  <c r="AM31" i="7"/>
  <c r="CA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I31" i="7"/>
  <c r="H31" i="7"/>
  <c r="G31" i="7"/>
  <c r="CG30" i="7"/>
  <c r="CF30" i="7"/>
  <c r="CE30" i="7"/>
  <c r="CD30" i="7"/>
  <c r="CC30" i="7"/>
  <c r="BL29" i="7"/>
  <c r="BK29" i="7"/>
  <c r="BJ29" i="7"/>
  <c r="BI29" i="7"/>
  <c r="BH29" i="7"/>
  <c r="BG29" i="7"/>
  <c r="BF29" i="7"/>
  <c r="BE29" i="7"/>
  <c r="BD29" i="7"/>
  <c r="BC29" i="7"/>
  <c r="BB29" i="7"/>
  <c r="BA29" i="7"/>
  <c r="AZ29" i="7"/>
  <c r="AY29" i="7"/>
  <c r="AX29" i="7"/>
  <c r="AW29" i="7"/>
  <c r="AV29" i="7"/>
  <c r="AU29" i="7"/>
  <c r="AT29" i="7"/>
  <c r="AS29" i="7"/>
  <c r="AR29" i="7"/>
  <c r="AQ29" i="7"/>
  <c r="AP29" i="7"/>
  <c r="AO29" i="7"/>
  <c r="AN29" i="7"/>
  <c r="AM29" i="7"/>
  <c r="CA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AQ26" i="7"/>
  <c r="AP26"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BL25" i="7"/>
  <c r="BK25" i="7"/>
  <c r="BJ25" i="7"/>
  <c r="BI25" i="7"/>
  <c r="BH25" i="7"/>
  <c r="BG25" i="7"/>
  <c r="BF25" i="7"/>
  <c r="BE25" i="7"/>
  <c r="BD25" i="7"/>
  <c r="BC25" i="7"/>
  <c r="BB25" i="7"/>
  <c r="BA25" i="7"/>
  <c r="AZ25" i="7"/>
  <c r="AY25" i="7"/>
  <c r="AX25" i="7"/>
  <c r="AW25" i="7"/>
  <c r="AV25" i="7"/>
  <c r="AU25" i="7"/>
  <c r="AT25" i="7"/>
  <c r="AS25" i="7"/>
  <c r="AR25" i="7"/>
  <c r="AQ25" i="7"/>
  <c r="AP25" i="7"/>
  <c r="AO25" i="7"/>
  <c r="AN25" i="7"/>
  <c r="AM25" i="7"/>
  <c r="CA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I20" i="7"/>
  <c r="H20" i="7"/>
  <c r="G20" i="7"/>
  <c r="AP10" i="7"/>
  <c r="AP22" i="7" s="1"/>
  <c r="J10" i="7"/>
  <c r="J22" i="7" s="1"/>
  <c r="I10" i="7"/>
  <c r="I22" i="7" s="1"/>
  <c r="H10" i="7"/>
  <c r="H22" i="7" s="1"/>
  <c r="G10" i="7"/>
  <c r="G22" i="7" s="1"/>
  <c r="CA9" i="7"/>
  <c r="AD9" i="7"/>
  <c r="AD21" i="7" s="1"/>
  <c r="AC9" i="7"/>
  <c r="AC21" i="7" s="1"/>
  <c r="AB9" i="7"/>
  <c r="AB21" i="7" s="1"/>
  <c r="AA9" i="7"/>
  <c r="AA21" i="7" s="1"/>
  <c r="Z9" i="7"/>
  <c r="Z21" i="7" s="1"/>
  <c r="Y9" i="7"/>
  <c r="Y21" i="7" s="1"/>
  <c r="X9" i="7"/>
  <c r="X21" i="7" s="1"/>
  <c r="W9" i="7"/>
  <c r="W21" i="7" s="1"/>
  <c r="V9" i="7"/>
  <c r="V21" i="7" s="1"/>
  <c r="U9" i="7"/>
  <c r="U21" i="7" s="1"/>
  <c r="T9" i="7"/>
  <c r="T21" i="7" s="1"/>
  <c r="S9" i="7"/>
  <c r="S21" i="7" s="1"/>
  <c r="R9" i="7"/>
  <c r="R21" i="7" s="1"/>
  <c r="Q9" i="7"/>
  <c r="Q21" i="7" s="1"/>
  <c r="P9" i="7"/>
  <c r="P21" i="7" s="1"/>
  <c r="O9" i="7"/>
  <c r="O21" i="7" s="1"/>
  <c r="N9" i="7"/>
  <c r="N21" i="7" s="1"/>
  <c r="M9" i="7"/>
  <c r="M21" i="7" s="1"/>
  <c r="L9" i="7"/>
  <c r="L21" i="7" s="1"/>
  <c r="K9" i="7"/>
  <c r="K21" i="7" s="1"/>
  <c r="J9" i="7"/>
  <c r="J21" i="7" s="1"/>
  <c r="I9" i="7"/>
  <c r="I21" i="7" s="1"/>
  <c r="H9" i="7"/>
  <c r="H21" i="7" s="1"/>
  <c r="G9" i="7"/>
  <c r="G21" i="7" s="1"/>
  <c r="AP8" i="7"/>
  <c r="AP19" i="7" s="1"/>
  <c r="I8" i="7"/>
  <c r="I19" i="7" s="1"/>
  <c r="H8" i="7"/>
  <c r="H19" i="7" s="1"/>
  <c r="G8" i="7"/>
  <c r="G19" i="7" s="1"/>
  <c r="I7" i="7"/>
  <c r="I16" i="7" s="1"/>
  <c r="H7" i="7"/>
  <c r="H16" i="7" s="1"/>
  <c r="G7" i="7"/>
  <c r="G16" i="7" s="1"/>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M228" i="6"/>
  <c r="L228" i="6"/>
  <c r="K228" i="6"/>
  <c r="J228" i="6"/>
  <c r="I228" i="6"/>
  <c r="J226" i="6"/>
  <c r="K226" i="6" s="1"/>
  <c r="L226" i="6" s="1"/>
  <c r="M226" i="6" s="1"/>
  <c r="N226" i="6" s="1"/>
  <c r="O226" i="6" s="1"/>
  <c r="P226" i="6" s="1"/>
  <c r="Q226" i="6" s="1"/>
  <c r="N213" i="6"/>
  <c r="M213" i="6"/>
  <c r="L213" i="6"/>
  <c r="K213" i="6"/>
  <c r="J213" i="6"/>
  <c r="I213" i="6"/>
  <c r="J212" i="6"/>
  <c r="K212" i="6" s="1"/>
  <c r="L212" i="6" s="1"/>
  <c r="M212" i="6" s="1"/>
  <c r="N212" i="6" s="1"/>
  <c r="O212" i="6" s="1"/>
  <c r="P212" i="6" s="1"/>
  <c r="Q212" i="6" s="1"/>
  <c r="U188" i="6"/>
  <c r="U184" i="6"/>
  <c r="T184" i="6"/>
  <c r="S184" i="6"/>
  <c r="R184" i="6"/>
  <c r="Q184" i="6"/>
  <c r="P184" i="6"/>
  <c r="O184" i="6"/>
  <c r="N184" i="6"/>
  <c r="M184" i="6"/>
  <c r="L184" i="6"/>
  <c r="K184" i="6"/>
  <c r="J184" i="6"/>
  <c r="I184" i="6"/>
  <c r="U183" i="6"/>
  <c r="T183" i="6"/>
  <c r="S183" i="6"/>
  <c r="R183" i="6"/>
  <c r="Q183" i="6"/>
  <c r="P183" i="6"/>
  <c r="O183" i="6"/>
  <c r="N183" i="6"/>
  <c r="M183" i="6"/>
  <c r="L183" i="6"/>
  <c r="K183" i="6"/>
  <c r="J183" i="6"/>
  <c r="I183" i="6"/>
  <c r="U182" i="6"/>
  <c r="T182" i="6"/>
  <c r="S182" i="6"/>
  <c r="R182" i="6"/>
  <c r="Q182" i="6"/>
  <c r="P182" i="6"/>
  <c r="O182" i="6"/>
  <c r="N182" i="6"/>
  <c r="M182" i="6"/>
  <c r="L182" i="6"/>
  <c r="K182" i="6"/>
  <c r="J182" i="6"/>
  <c r="I182" i="6"/>
  <c r="U181" i="6"/>
  <c r="T181" i="6"/>
  <c r="S181" i="6"/>
  <c r="R181" i="6"/>
  <c r="Q181" i="6"/>
  <c r="P181" i="6"/>
  <c r="O181" i="6"/>
  <c r="N181" i="6"/>
  <c r="M181" i="6"/>
  <c r="L181" i="6"/>
  <c r="K181" i="6"/>
  <c r="J181" i="6"/>
  <c r="I181" i="6"/>
  <c r="P180" i="6"/>
  <c r="O180" i="6"/>
  <c r="N180" i="6"/>
  <c r="M180" i="6"/>
  <c r="L180" i="6"/>
  <c r="K180" i="6"/>
  <c r="J180" i="6"/>
  <c r="I180" i="6"/>
  <c r="R170" i="6"/>
  <c r="Q170" i="6"/>
  <c r="P170" i="6"/>
  <c r="O170" i="6"/>
  <c r="N170" i="6"/>
  <c r="M170" i="6"/>
  <c r="R160" i="6"/>
  <c r="Q160" i="6"/>
  <c r="P160" i="6"/>
  <c r="O160" i="6"/>
  <c r="N160" i="6"/>
  <c r="M160" i="6"/>
  <c r="L160" i="6"/>
  <c r="K160" i="6"/>
  <c r="J160" i="6"/>
  <c r="I160" i="6"/>
  <c r="Q159" i="6"/>
  <c r="P158" i="6"/>
  <c r="O158" i="6"/>
  <c r="N158" i="6"/>
  <c r="M158" i="6"/>
  <c r="L158" i="6"/>
  <c r="K158" i="6"/>
  <c r="J158" i="6"/>
  <c r="I158" i="6"/>
  <c r="W131" i="6"/>
  <c r="V131" i="6"/>
  <c r="U131" i="6"/>
  <c r="T131" i="6"/>
  <c r="S131" i="6"/>
  <c r="R131" i="6"/>
  <c r="Q131" i="6"/>
  <c r="P131" i="6"/>
  <c r="O131" i="6"/>
  <c r="N131" i="6"/>
  <c r="M131" i="6"/>
  <c r="L131" i="6"/>
  <c r="K131" i="6"/>
  <c r="J131" i="6"/>
  <c r="I131" i="6"/>
  <c r="W106" i="6"/>
  <c r="V106" i="6"/>
  <c r="U106" i="6"/>
  <c r="T106" i="6"/>
  <c r="S106" i="6"/>
  <c r="R106" i="6"/>
  <c r="Q106" i="6"/>
  <c r="L106" i="6"/>
  <c r="K106" i="6"/>
  <c r="J106" i="6"/>
  <c r="I106" i="6"/>
  <c r="W105" i="6"/>
  <c r="V105" i="6"/>
  <c r="U105" i="6"/>
  <c r="T105" i="6"/>
  <c r="S105" i="6"/>
  <c r="R105" i="6"/>
  <c r="Q105" i="6"/>
  <c r="P105" i="6"/>
  <c r="O105" i="6"/>
  <c r="N105" i="6"/>
  <c r="M105" i="6"/>
  <c r="L105" i="6"/>
  <c r="K105" i="6"/>
  <c r="J105" i="6"/>
  <c r="I105" i="6"/>
  <c r="W104" i="6"/>
  <c r="V104" i="6"/>
  <c r="U104" i="6"/>
  <c r="T104" i="6"/>
  <c r="S104" i="6"/>
  <c r="R104" i="6"/>
  <c r="Q104" i="6"/>
  <c r="P104" i="6"/>
  <c r="O104" i="6"/>
  <c r="N104" i="6"/>
  <c r="M104" i="6"/>
  <c r="L104" i="6"/>
  <c r="K104" i="6"/>
  <c r="J104" i="6"/>
  <c r="I104" i="6"/>
  <c r="W103" i="6"/>
  <c r="V103" i="6"/>
  <c r="U103" i="6"/>
  <c r="T103" i="6"/>
  <c r="S103" i="6"/>
  <c r="R103" i="6"/>
  <c r="Q103" i="6"/>
  <c r="P103" i="6"/>
  <c r="O103" i="6"/>
  <c r="N103" i="6"/>
  <c r="M103" i="6"/>
  <c r="L103" i="6"/>
  <c r="K103" i="6"/>
  <c r="J103" i="6"/>
  <c r="I103" i="6"/>
  <c r="L72" i="6"/>
  <c r="K72" i="6"/>
  <c r="J72" i="6"/>
  <c r="I72" i="6"/>
  <c r="Y71" i="6"/>
  <c r="X71" i="6"/>
  <c r="W71" i="6"/>
  <c r="V71" i="6"/>
  <c r="U71" i="6"/>
  <c r="T71" i="6"/>
  <c r="S71" i="6"/>
  <c r="R71" i="6"/>
  <c r="Q71" i="6"/>
  <c r="P71" i="6"/>
  <c r="O71" i="6"/>
  <c r="N71" i="6"/>
  <c r="M71" i="6"/>
  <c r="L71" i="6"/>
  <c r="K71" i="6"/>
  <c r="J71" i="6"/>
  <c r="I71" i="6"/>
  <c r="X69" i="6"/>
  <c r="W69" i="6"/>
  <c r="V69" i="6"/>
  <c r="U69" i="6"/>
  <c r="T69" i="6"/>
  <c r="S69" i="6"/>
  <c r="R69" i="6"/>
  <c r="Q69" i="6"/>
  <c r="P69" i="6"/>
  <c r="O69" i="6"/>
  <c r="N69" i="6"/>
  <c r="M69" i="6"/>
  <c r="L69" i="6"/>
  <c r="K69" i="6"/>
  <c r="J69" i="6"/>
  <c r="I69" i="6"/>
  <c r="X67" i="6"/>
  <c r="W67" i="6"/>
  <c r="V67" i="6"/>
  <c r="U67" i="6"/>
  <c r="T67" i="6"/>
  <c r="S67" i="6"/>
  <c r="R67" i="6"/>
  <c r="Q67" i="6"/>
  <c r="P67" i="6"/>
  <c r="O67" i="6"/>
  <c r="N67" i="6"/>
  <c r="M67" i="6"/>
  <c r="L67" i="6"/>
  <c r="K67" i="6"/>
  <c r="J67" i="6"/>
  <c r="I67" i="6"/>
  <c r="X66" i="6"/>
  <c r="X76" i="6" s="1"/>
  <c r="R66" i="6"/>
  <c r="R76" i="6" s="1"/>
  <c r="R102" i="6" s="1"/>
  <c r="R130" i="6" s="1"/>
  <c r="L155" i="6" s="1"/>
  <c r="Q66" i="6"/>
  <c r="Q76" i="6" s="1"/>
  <c r="Q102" i="6" s="1"/>
  <c r="Q130" i="6" s="1"/>
  <c r="K155" i="6" s="1"/>
  <c r="P66" i="6"/>
  <c r="P76" i="6" s="1"/>
  <c r="P102" i="6" s="1"/>
  <c r="P130" i="6" s="1"/>
  <c r="J155" i="6" s="1"/>
  <c r="O66" i="6"/>
  <c r="O76" i="6" s="1"/>
  <c r="O102" i="6" s="1"/>
  <c r="O130" i="6" s="1"/>
  <c r="I155" i="6" s="1"/>
  <c r="N66" i="6"/>
  <c r="N76" i="6" s="1"/>
  <c r="N102" i="6" s="1"/>
  <c r="N130" i="6" s="1"/>
  <c r="M66" i="6"/>
  <c r="M76" i="6" s="1"/>
  <c r="M102" i="6" s="1"/>
  <c r="M130" i="6" s="1"/>
  <c r="L66" i="6"/>
  <c r="L76" i="6" s="1"/>
  <c r="L102" i="6" s="1"/>
  <c r="L130" i="6" s="1"/>
  <c r="K66" i="6"/>
  <c r="K76" i="6" s="1"/>
  <c r="K102" i="6" s="1"/>
  <c r="K130" i="6" s="1"/>
  <c r="J66" i="6"/>
  <c r="J76" i="6" s="1"/>
  <c r="J102" i="6" s="1"/>
  <c r="J130" i="6" s="1"/>
  <c r="I66" i="6"/>
  <c r="I76" i="6" s="1"/>
  <c r="I102" i="6" s="1"/>
  <c r="I130" i="6" s="1"/>
  <c r="V61" i="6"/>
  <c r="V66" i="6" s="1"/>
  <c r="V76" i="6" s="1"/>
  <c r="V102" i="6" s="1"/>
  <c r="V130" i="6" s="1"/>
  <c r="P155" i="6" s="1"/>
  <c r="U61" i="6"/>
  <c r="U66" i="6" s="1"/>
  <c r="U76" i="6" s="1"/>
  <c r="U102" i="6" s="1"/>
  <c r="U130" i="6" s="1"/>
  <c r="O155" i="6" s="1"/>
  <c r="T61" i="6"/>
  <c r="T66" i="6" s="1"/>
  <c r="T76" i="6" s="1"/>
  <c r="T102" i="6" s="1"/>
  <c r="T130" i="6" s="1"/>
  <c r="N155" i="6" s="1"/>
  <c r="X51" i="6"/>
  <c r="W51" i="6"/>
  <c r="V51" i="6"/>
  <c r="U51" i="6"/>
  <c r="T51" i="6"/>
  <c r="S51" i="6"/>
  <c r="R51" i="6"/>
  <c r="Q51" i="6"/>
  <c r="P51" i="6"/>
  <c r="O51" i="6"/>
  <c r="N51" i="6"/>
  <c r="M51" i="6"/>
  <c r="L51" i="6"/>
  <c r="K51" i="6"/>
  <c r="J51" i="6"/>
  <c r="I51" i="6"/>
  <c r="X50" i="6"/>
  <c r="W50" i="6"/>
  <c r="V50" i="6"/>
  <c r="U50" i="6"/>
  <c r="T50" i="6"/>
  <c r="S50" i="6"/>
  <c r="R50" i="6"/>
  <c r="Q50" i="6"/>
  <c r="P50" i="6"/>
  <c r="O50" i="6"/>
  <c r="N50" i="6"/>
  <c r="M50" i="6"/>
  <c r="L50" i="6"/>
  <c r="K50" i="6"/>
  <c r="J50" i="6"/>
  <c r="I50" i="6"/>
  <c r="X49" i="6"/>
  <c r="W49" i="6"/>
  <c r="V49" i="6"/>
  <c r="U49" i="6"/>
  <c r="T49" i="6"/>
  <c r="S49" i="6"/>
  <c r="R49" i="6"/>
  <c r="Q49" i="6"/>
  <c r="P49" i="6"/>
  <c r="O49" i="6"/>
  <c r="N49" i="6"/>
  <c r="M49" i="6"/>
  <c r="L49" i="6"/>
  <c r="K49" i="6"/>
  <c r="J49" i="6"/>
  <c r="I49" i="6"/>
  <c r="X48" i="6"/>
  <c r="W48" i="6"/>
  <c r="V48" i="6"/>
  <c r="U48" i="6"/>
  <c r="T48" i="6"/>
  <c r="S48" i="6"/>
  <c r="R48" i="6"/>
  <c r="Q48" i="6"/>
  <c r="Q44" i="6" s="1"/>
  <c r="P48" i="6"/>
  <c r="O48" i="6"/>
  <c r="N48" i="6"/>
  <c r="N44" i="6" s="1"/>
  <c r="M48" i="6"/>
  <c r="L48" i="6"/>
  <c r="L44" i="6" s="1"/>
  <c r="K48" i="6"/>
  <c r="J48" i="6"/>
  <c r="I48" i="6"/>
  <c r="X47" i="6"/>
  <c r="W47" i="6"/>
  <c r="W61" i="6" s="1"/>
  <c r="W66" i="6" s="1"/>
  <c r="W76" i="6" s="1"/>
  <c r="W102" i="6" s="1"/>
  <c r="W130" i="6" s="1"/>
  <c r="Q155" i="6" s="1"/>
  <c r="S47" i="6"/>
  <c r="S61" i="6" s="1"/>
  <c r="S66" i="6" s="1"/>
  <c r="S76" i="6" s="1"/>
  <c r="S102" i="6" s="1"/>
  <c r="S130" i="6" s="1"/>
  <c r="M155" i="6" s="1"/>
  <c r="V40" i="6"/>
  <c r="U40" i="6"/>
  <c r="T40" i="6"/>
  <c r="S40" i="6"/>
  <c r="R40" i="6"/>
  <c r="Q40" i="6"/>
  <c r="P40" i="6"/>
  <c r="O40" i="6"/>
  <c r="N40" i="6"/>
  <c r="M40" i="6"/>
  <c r="S39" i="6"/>
  <c r="R39" i="6"/>
  <c r="Q39" i="6"/>
  <c r="P39" i="6"/>
  <c r="O39" i="6"/>
  <c r="N39" i="6"/>
  <c r="M39" i="6"/>
  <c r="X38" i="6"/>
  <c r="W38" i="6"/>
  <c r="V38" i="6"/>
  <c r="U38" i="6"/>
  <c r="T38" i="6"/>
  <c r="S38" i="6"/>
  <c r="R38" i="6"/>
  <c r="Q38" i="6"/>
  <c r="P38" i="6"/>
  <c r="O38" i="6"/>
  <c r="N38" i="6"/>
  <c r="T37" i="6"/>
  <c r="S37" i="6"/>
  <c r="R37" i="6"/>
  <c r="Q37" i="6"/>
  <c r="P37" i="6"/>
  <c r="O37" i="6"/>
  <c r="N37" i="6"/>
  <c r="X36" i="6"/>
  <c r="X77" i="6" s="1"/>
  <c r="W36" i="6"/>
  <c r="W77" i="6" s="1"/>
  <c r="V36" i="6"/>
  <c r="V77" i="6" s="1"/>
  <c r="U36" i="6"/>
  <c r="U77" i="6" s="1"/>
  <c r="T36" i="6"/>
  <c r="T77" i="6" s="1"/>
  <c r="S36" i="6"/>
  <c r="S77" i="6" s="1"/>
  <c r="R36" i="6"/>
  <c r="R77" i="6" s="1"/>
  <c r="Q36" i="6"/>
  <c r="Q77" i="6" s="1"/>
  <c r="X34" i="6"/>
  <c r="W34" i="6"/>
  <c r="V34" i="6"/>
  <c r="U34" i="6"/>
  <c r="T34" i="6"/>
  <c r="S34" i="6"/>
  <c r="R34" i="6"/>
  <c r="Q34" i="6"/>
  <c r="P34" i="6"/>
  <c r="O34" i="6"/>
  <c r="N34" i="6"/>
  <c r="M34" i="6"/>
  <c r="L34" i="6"/>
  <c r="K34" i="6"/>
  <c r="J34" i="6"/>
  <c r="I34" i="6"/>
  <c r="W33" i="6"/>
  <c r="V33" i="6"/>
  <c r="U33" i="6"/>
  <c r="T33" i="6"/>
  <c r="S33" i="6"/>
  <c r="R33" i="6"/>
  <c r="Q33" i="6"/>
  <c r="P33" i="6"/>
  <c r="O33" i="6"/>
  <c r="N33" i="6"/>
  <c r="M33" i="6"/>
  <c r="L33" i="6"/>
  <c r="K33" i="6"/>
  <c r="J33" i="6"/>
  <c r="I33" i="6"/>
  <c r="U32" i="6"/>
  <c r="T32" i="6"/>
  <c r="S32" i="6"/>
  <c r="D22" i="6"/>
  <c r="D21" i="6"/>
  <c r="D19" i="6"/>
  <c r="D17" i="6"/>
  <c r="D16" i="6"/>
  <c r="D11" i="6"/>
  <c r="W9" i="6"/>
  <c r="V9" i="6"/>
  <c r="U9" i="6"/>
  <c r="T9" i="6"/>
  <c r="S9" i="6"/>
  <c r="R9" i="6"/>
  <c r="Q9" i="6"/>
  <c r="W8" i="6"/>
  <c r="V8" i="6"/>
  <c r="U8" i="6"/>
  <c r="T8" i="6"/>
  <c r="S8" i="6"/>
  <c r="R8" i="6"/>
  <c r="Q8" i="6"/>
  <c r="W7" i="6"/>
  <c r="V7" i="6"/>
  <c r="U7" i="6"/>
  <c r="T7" i="6"/>
  <c r="S7" i="6"/>
  <c r="R7" i="6"/>
  <c r="Q7" i="6"/>
  <c r="P232" i="3"/>
  <c r="O232" i="3"/>
  <c r="M232" i="3"/>
  <c r="L232" i="3"/>
  <c r="S231" i="3"/>
  <c r="R231" i="3"/>
  <c r="Q231" i="3"/>
  <c r="P231" i="3"/>
  <c r="O231" i="3"/>
  <c r="N231" i="3"/>
  <c r="M231" i="3"/>
  <c r="L231" i="3"/>
  <c r="K223" i="3"/>
  <c r="J223" i="3"/>
  <c r="I223" i="3"/>
  <c r="C180" i="3"/>
  <c r="B180" i="3"/>
  <c r="B179" i="3"/>
  <c r="C178" i="3"/>
  <c r="B178" i="3"/>
  <c r="B177" i="3"/>
  <c r="B176" i="3"/>
  <c r="C175" i="3"/>
  <c r="B175" i="3"/>
  <c r="C174" i="3"/>
  <c r="B174" i="3"/>
  <c r="C173" i="3"/>
  <c r="B173" i="3"/>
  <c r="C172" i="3"/>
  <c r="B172" i="3"/>
  <c r="F171" i="3"/>
  <c r="G171" i="3" s="1"/>
  <c r="H171" i="3" s="1"/>
  <c r="I171" i="3" s="1"/>
  <c r="J171" i="3" s="1"/>
  <c r="K171" i="3" s="1"/>
  <c r="L171" i="3" s="1"/>
  <c r="M171" i="3" s="1"/>
  <c r="N171" i="3" s="1"/>
  <c r="O171" i="3" s="1"/>
  <c r="P171" i="3" s="1"/>
  <c r="Q171" i="3" s="1"/>
  <c r="R171" i="3" s="1"/>
  <c r="S171" i="3" s="1"/>
  <c r="T171" i="3" s="1"/>
  <c r="U171" i="3" s="1"/>
  <c r="V171" i="3" s="1"/>
  <c r="W171" i="3" s="1"/>
  <c r="X171" i="3" s="1"/>
  <c r="Y171" i="3" s="1"/>
  <c r="Z171" i="3" s="1"/>
  <c r="AA171" i="3" s="1"/>
  <c r="AB171" i="3" s="1"/>
  <c r="AC171" i="3" s="1"/>
  <c r="AD171" i="3" s="1"/>
  <c r="AE171" i="3" s="1"/>
  <c r="AF171" i="3" s="1"/>
  <c r="AG171" i="3" s="1"/>
  <c r="F129" i="3"/>
  <c r="G129" i="3" s="1"/>
  <c r="H129" i="3" s="1"/>
  <c r="I129" i="3" s="1"/>
  <c r="J129" i="3" s="1"/>
  <c r="K129" i="3" s="1"/>
  <c r="L129" i="3" s="1"/>
  <c r="M129" i="3" s="1"/>
  <c r="N129" i="3" s="1"/>
  <c r="O129" i="3" s="1"/>
  <c r="P129" i="3" s="1"/>
  <c r="Q129" i="3" s="1"/>
  <c r="R129" i="3" s="1"/>
  <c r="S129" i="3" s="1"/>
  <c r="T129" i="3" s="1"/>
  <c r="U129" i="3" s="1"/>
  <c r="V129" i="3" s="1"/>
  <c r="W129" i="3" s="1"/>
  <c r="X129" i="3" s="1"/>
  <c r="Y129" i="3" s="1"/>
  <c r="Z129" i="3" s="1"/>
  <c r="AA129" i="3" s="1"/>
  <c r="AB129" i="3" s="1"/>
  <c r="AC129" i="3" s="1"/>
  <c r="AD129" i="3" s="1"/>
  <c r="AE129" i="3" s="1"/>
  <c r="AF129" i="3" s="1"/>
  <c r="AG129" i="3" s="1"/>
  <c r="F121" i="3"/>
  <c r="G121" i="3" s="1"/>
  <c r="H121" i="3" s="1"/>
  <c r="I121" i="3" s="1"/>
  <c r="J121" i="3" s="1"/>
  <c r="K121" i="3" s="1"/>
  <c r="L121" i="3" s="1"/>
  <c r="M121" i="3" s="1"/>
  <c r="N121" i="3" s="1"/>
  <c r="O121" i="3" s="1"/>
  <c r="P121" i="3" s="1"/>
  <c r="Q121" i="3" s="1"/>
  <c r="R121" i="3" s="1"/>
  <c r="S121" i="3" s="1"/>
  <c r="T121" i="3" s="1"/>
  <c r="U121" i="3" s="1"/>
  <c r="V121" i="3" s="1"/>
  <c r="W121" i="3" s="1"/>
  <c r="X121" i="3" s="1"/>
  <c r="Y121" i="3" s="1"/>
  <c r="Z121" i="3" s="1"/>
  <c r="AA121" i="3" s="1"/>
  <c r="AB121" i="3" s="1"/>
  <c r="AC121" i="3" s="1"/>
  <c r="AD121" i="3" s="1"/>
  <c r="AE121" i="3" s="1"/>
  <c r="AF121" i="3" s="1"/>
  <c r="AG121" i="3" s="1"/>
  <c r="K120" i="3"/>
  <c r="J120" i="3"/>
  <c r="N119" i="3"/>
  <c r="M119" i="3"/>
  <c r="L119" i="3"/>
  <c r="L120" i="3" s="1"/>
  <c r="AG115" i="3"/>
  <c r="AF115" i="3"/>
  <c r="AE115" i="3"/>
  <c r="AD115" i="3"/>
  <c r="AC115" i="3"/>
  <c r="AB115" i="3"/>
  <c r="AA115" i="3"/>
  <c r="Z115" i="3"/>
  <c r="Y115" i="3"/>
  <c r="X115" i="3"/>
  <c r="V115" i="3"/>
  <c r="U115" i="3"/>
  <c r="T115" i="3"/>
  <c r="S115" i="3"/>
  <c r="R115" i="3"/>
  <c r="Q115" i="3"/>
  <c r="P115" i="3"/>
  <c r="O115" i="3"/>
  <c r="N115" i="3"/>
  <c r="M115" i="3"/>
  <c r="L115" i="3"/>
  <c r="F108" i="3"/>
  <c r="G108" i="3" s="1"/>
  <c r="H108" i="3" s="1"/>
  <c r="I108" i="3" s="1"/>
  <c r="J108" i="3" s="1"/>
  <c r="K108" i="3" s="1"/>
  <c r="L108" i="3" s="1"/>
  <c r="M108" i="3" s="1"/>
  <c r="N108" i="3" s="1"/>
  <c r="O108" i="3" s="1"/>
  <c r="P108" i="3" s="1"/>
  <c r="Q108" i="3" s="1"/>
  <c r="R108" i="3" s="1"/>
  <c r="S108" i="3" s="1"/>
  <c r="T108" i="3" s="1"/>
  <c r="U108" i="3" s="1"/>
  <c r="V108" i="3" s="1"/>
  <c r="W108" i="3" s="1"/>
  <c r="X108" i="3" s="1"/>
  <c r="Y108" i="3" s="1"/>
  <c r="Z108" i="3" s="1"/>
  <c r="AA108" i="3" s="1"/>
  <c r="AB108" i="3" s="1"/>
  <c r="AC108" i="3" s="1"/>
  <c r="AD108" i="3" s="1"/>
  <c r="AE108" i="3" s="1"/>
  <c r="AF108" i="3" s="1"/>
  <c r="AG108" i="3" s="1"/>
  <c r="F71" i="3"/>
  <c r="G71" i="3" s="1"/>
  <c r="H71" i="3" s="1"/>
  <c r="I71" i="3" s="1"/>
  <c r="J71" i="3" s="1"/>
  <c r="K71" i="3" s="1"/>
  <c r="L71" i="3" s="1"/>
  <c r="M71" i="3" s="1"/>
  <c r="N71" i="3" s="1"/>
  <c r="O71" i="3" s="1"/>
  <c r="P71" i="3" s="1"/>
  <c r="Q71" i="3" s="1"/>
  <c r="R71" i="3" s="1"/>
  <c r="S71" i="3" s="1"/>
  <c r="T71" i="3" s="1"/>
  <c r="U71" i="3" s="1"/>
  <c r="V71" i="3" s="1"/>
  <c r="W71" i="3" s="1"/>
  <c r="X71" i="3" s="1"/>
  <c r="Y71" i="3" s="1"/>
  <c r="Z71" i="3" s="1"/>
  <c r="AA71" i="3" s="1"/>
  <c r="AB71" i="3" s="1"/>
  <c r="AC71" i="3" s="1"/>
  <c r="AD71" i="3" s="1"/>
  <c r="AE71" i="3" s="1"/>
  <c r="AF71" i="3" s="1"/>
  <c r="AG71" i="3" s="1"/>
  <c r="T55" i="3"/>
  <c r="T223" i="3" s="1"/>
  <c r="S55" i="3"/>
  <c r="S223" i="3" s="1"/>
  <c r="R55" i="3"/>
  <c r="R223" i="3" s="1"/>
  <c r="Q55" i="3"/>
  <c r="Q223" i="3" s="1"/>
  <c r="P55" i="3"/>
  <c r="P223" i="3" s="1"/>
  <c r="O55" i="3"/>
  <c r="O223" i="3" s="1"/>
  <c r="N55" i="3"/>
  <c r="N223" i="3" s="1"/>
  <c r="M55" i="3"/>
  <c r="M223" i="3" s="1"/>
  <c r="L55" i="3"/>
  <c r="L223" i="3" s="1"/>
  <c r="T51" i="3"/>
  <c r="T224" i="3" s="1"/>
  <c r="S51" i="3"/>
  <c r="S224" i="3" s="1"/>
  <c r="R51" i="3"/>
  <c r="R224" i="3" s="1"/>
  <c r="Q51" i="3"/>
  <c r="Q224" i="3" s="1"/>
  <c r="P51" i="3"/>
  <c r="P224" i="3" s="1"/>
  <c r="O51" i="3"/>
  <c r="O224" i="3" s="1"/>
  <c r="N51" i="3"/>
  <c r="N224" i="3" s="1"/>
  <c r="M51" i="3"/>
  <c r="M224" i="3" s="1"/>
  <c r="L51" i="3"/>
  <c r="L224" i="3" s="1"/>
  <c r="Z33" i="3"/>
  <c r="Y33" i="3"/>
  <c r="X33" i="3"/>
  <c r="W33" i="3"/>
  <c r="V33" i="3"/>
  <c r="U33" i="3"/>
  <c r="T33" i="3"/>
  <c r="S33" i="3"/>
  <c r="R33" i="3"/>
  <c r="Q33" i="3"/>
  <c r="P33" i="3"/>
  <c r="O33" i="3"/>
  <c r="N33" i="3"/>
  <c r="M33" i="3"/>
  <c r="L33" i="3"/>
  <c r="K33" i="3"/>
  <c r="J31" i="3"/>
  <c r="K25" i="3"/>
  <c r="J25" i="3"/>
  <c r="K23" i="3"/>
  <c r="K24" i="3" s="1"/>
  <c r="J23" i="3"/>
  <c r="J24" i="3" s="1"/>
  <c r="T22" i="3"/>
  <c r="T264" i="3" s="1"/>
  <c r="S22" i="3"/>
  <c r="S264" i="3" s="1"/>
  <c r="R22" i="3"/>
  <c r="R264" i="3" s="1"/>
  <c r="Q22" i="3"/>
  <c r="Q264" i="3" s="1"/>
  <c r="P22" i="3"/>
  <c r="P264" i="3" s="1"/>
  <c r="O22" i="3"/>
  <c r="O264" i="3" s="1"/>
  <c r="N22" i="3"/>
  <c r="N264" i="3" s="1"/>
  <c r="M22" i="3"/>
  <c r="M264" i="3" s="1"/>
  <c r="L22" i="3"/>
  <c r="L264" i="3" s="1"/>
  <c r="J17" i="3"/>
  <c r="K17" i="3" s="1"/>
  <c r="L17" i="3" s="1"/>
  <c r="M17" i="3" s="1"/>
  <c r="N17" i="3" s="1"/>
  <c r="O17" i="3" s="1"/>
  <c r="P17" i="3" s="1"/>
  <c r="Q17" i="3" s="1"/>
  <c r="R17" i="3" s="1"/>
  <c r="S17" i="3" s="1"/>
  <c r="T17" i="3" s="1"/>
  <c r="U17" i="3" s="1"/>
  <c r="V17" i="3" s="1"/>
  <c r="W17" i="3" s="1"/>
  <c r="X17" i="3" s="1"/>
  <c r="Y17" i="3" s="1"/>
  <c r="Z17" i="3" s="1"/>
  <c r="AA17" i="3" s="1"/>
  <c r="AB17" i="3" s="1"/>
  <c r="AC17" i="3" s="1"/>
  <c r="AD17" i="3" s="1"/>
  <c r="AE17" i="3" s="1"/>
  <c r="AF17" i="3" s="1"/>
  <c r="AG17" i="3" s="1"/>
  <c r="F17" i="3"/>
  <c r="G17" i="3" s="1"/>
  <c r="H17" i="3" s="1"/>
  <c r="M15" i="3"/>
  <c r="L15" i="3"/>
  <c r="M14" i="3"/>
  <c r="L14" i="3"/>
  <c r="T13" i="3"/>
  <c r="S13" i="3"/>
  <c r="R13" i="3"/>
  <c r="Q13" i="3"/>
  <c r="P13" i="3"/>
  <c r="O13" i="3"/>
  <c r="N13" i="3"/>
  <c r="M13" i="3"/>
  <c r="L13" i="3"/>
  <c r="Z11" i="3"/>
  <c r="Y4" i="3"/>
  <c r="Y3" i="3" s="1"/>
  <c r="X4" i="3"/>
  <c r="X3" i="3" s="1"/>
  <c r="W4" i="3"/>
  <c r="W3" i="3" s="1"/>
  <c r="V4" i="3"/>
  <c r="V3" i="3" s="1"/>
  <c r="U4" i="3"/>
  <c r="U3" i="3" s="1"/>
  <c r="T4" i="3"/>
  <c r="T3" i="3" s="1"/>
  <c r="S4" i="3"/>
  <c r="S3" i="3" s="1"/>
  <c r="R4" i="3"/>
  <c r="R3" i="3" s="1"/>
  <c r="Q4" i="3"/>
  <c r="Q3" i="3" s="1"/>
  <c r="P4" i="3"/>
  <c r="P3" i="3" s="1"/>
  <c r="O4" i="3"/>
  <c r="O3" i="3" s="1"/>
  <c r="N4" i="3"/>
  <c r="N3" i="3" s="1"/>
  <c r="M4" i="3"/>
  <c r="M3" i="3" s="1"/>
  <c r="L4" i="3"/>
  <c r="L3" i="3" s="1"/>
  <c r="F2" i="3"/>
  <c r="N317" i="2"/>
  <c r="N105" i="2" s="1"/>
  <c r="X21" i="3" s="1"/>
  <c r="I317" i="2"/>
  <c r="I105" i="2" s="1"/>
  <c r="S21" i="3" s="1"/>
  <c r="H317" i="2"/>
  <c r="H105" i="2" s="1"/>
  <c r="R21" i="3" s="1"/>
  <c r="G317" i="2"/>
  <c r="G105" i="2" s="1"/>
  <c r="Q21" i="3" s="1"/>
  <c r="F317" i="2"/>
  <c r="F105" i="2" s="1"/>
  <c r="P21" i="3" s="1"/>
  <c r="E317" i="2"/>
  <c r="E105" i="2" s="1"/>
  <c r="O21" i="3" s="1"/>
  <c r="D317" i="2"/>
  <c r="D105" i="2" s="1"/>
  <c r="N21" i="3" s="1"/>
  <c r="C317" i="2"/>
  <c r="C105" i="2" s="1"/>
  <c r="M21" i="3" s="1"/>
  <c r="B317" i="2"/>
  <c r="B105" i="2" s="1"/>
  <c r="L21" i="3" s="1"/>
  <c r="O316" i="2"/>
  <c r="O93" i="2" s="1"/>
  <c r="Y20" i="3" s="1"/>
  <c r="I316" i="2"/>
  <c r="H316" i="2"/>
  <c r="H93" i="2" s="1"/>
  <c r="G316" i="2"/>
  <c r="G93" i="2" s="1"/>
  <c r="F316" i="2"/>
  <c r="E316" i="2"/>
  <c r="E93" i="2" s="1"/>
  <c r="D316" i="2"/>
  <c r="C316" i="2"/>
  <c r="B316" i="2"/>
  <c r="B93" i="2" s="1"/>
  <c r="J303" i="2"/>
  <c r="I303" i="2"/>
  <c r="H303" i="2"/>
  <c r="G303" i="2"/>
  <c r="F303" i="2"/>
  <c r="E303" i="2"/>
  <c r="D303" i="2"/>
  <c r="C303" i="2"/>
  <c r="B303" i="2"/>
  <c r="W296" i="2"/>
  <c r="X297" i="2" s="1"/>
  <c r="V296" i="2"/>
  <c r="U296" i="2"/>
  <c r="T296" i="2"/>
  <c r="S296" i="2"/>
  <c r="R296" i="2"/>
  <c r="P296" i="2"/>
  <c r="Q297" i="2" s="1"/>
  <c r="O296" i="2"/>
  <c r="N296" i="2"/>
  <c r="M296" i="2"/>
  <c r="F296" i="2"/>
  <c r="E296" i="2"/>
  <c r="C296" i="2"/>
  <c r="B296" i="2"/>
  <c r="J293" i="2"/>
  <c r="I293" i="2"/>
  <c r="H293" i="2"/>
  <c r="G293" i="2"/>
  <c r="F293" i="2"/>
  <c r="E293" i="2"/>
  <c r="D293" i="2"/>
  <c r="C293" i="2"/>
  <c r="M291" i="2"/>
  <c r="L291" i="2"/>
  <c r="K291" i="2"/>
  <c r="J291" i="2"/>
  <c r="I291" i="2"/>
  <c r="H291" i="2"/>
  <c r="G291" i="2"/>
  <c r="F291" i="2"/>
  <c r="E291" i="2"/>
  <c r="D291" i="2"/>
  <c r="C291" i="2"/>
  <c r="N290" i="2"/>
  <c r="B288" i="2"/>
  <c r="J287" i="2"/>
  <c r="I287" i="2"/>
  <c r="H287" i="2"/>
  <c r="G287" i="2"/>
  <c r="F287" i="2"/>
  <c r="E287" i="2"/>
  <c r="D287" i="2"/>
  <c r="C287" i="2"/>
  <c r="B287" i="2"/>
  <c r="J286" i="2"/>
  <c r="I286" i="2"/>
  <c r="H286" i="2"/>
  <c r="G286" i="2"/>
  <c r="F286" i="2"/>
  <c r="E286" i="2"/>
  <c r="D286" i="2"/>
  <c r="C286" i="2"/>
  <c r="B286" i="2"/>
  <c r="B295" i="2" s="1"/>
  <c r="B285" i="2"/>
  <c r="C285" i="2" s="1"/>
  <c r="D285" i="2" s="1"/>
  <c r="E285" i="2" s="1"/>
  <c r="F285" i="2" s="1"/>
  <c r="G285" i="2" s="1"/>
  <c r="H285" i="2" s="1"/>
  <c r="I285" i="2" s="1"/>
  <c r="J285" i="2" s="1"/>
  <c r="K285" i="2" s="1"/>
  <c r="L285" i="2" s="1"/>
  <c r="M285" i="2" s="1"/>
  <c r="N285" i="2" s="1"/>
  <c r="O285" i="2" s="1"/>
  <c r="P285" i="2" s="1"/>
  <c r="W280" i="2"/>
  <c r="V280" i="2"/>
  <c r="U280" i="2"/>
  <c r="T280" i="2"/>
  <c r="S280" i="2"/>
  <c r="R280" i="2"/>
  <c r="P280" i="2"/>
  <c r="O280" i="2"/>
  <c r="N280" i="2"/>
  <c r="M280" i="2"/>
  <c r="L280" i="2"/>
  <c r="K280" i="2"/>
  <c r="J280" i="2"/>
  <c r="I280" i="2"/>
  <c r="H280" i="2"/>
  <c r="G280" i="2"/>
  <c r="F280" i="2"/>
  <c r="E280" i="2"/>
  <c r="D280" i="2"/>
  <c r="C280" i="2"/>
  <c r="B280" i="2"/>
  <c r="I278" i="2"/>
  <c r="H278" i="2"/>
  <c r="G278" i="2"/>
  <c r="F278" i="2"/>
  <c r="E278" i="2"/>
  <c r="D278" i="2"/>
  <c r="C278" i="2"/>
  <c r="B278" i="2"/>
  <c r="I277" i="2"/>
  <c r="H277" i="2"/>
  <c r="G277" i="2"/>
  <c r="F277" i="2"/>
  <c r="E277" i="2"/>
  <c r="D277" i="2"/>
  <c r="C277" i="2"/>
  <c r="B277" i="2"/>
  <c r="R267" i="2"/>
  <c r="J267" i="2"/>
  <c r="I267" i="2"/>
  <c r="H267" i="2"/>
  <c r="G267" i="2"/>
  <c r="F267" i="2"/>
  <c r="E267" i="2"/>
  <c r="D267" i="2"/>
  <c r="C267" i="2"/>
  <c r="B267" i="2"/>
  <c r="I266" i="2"/>
  <c r="H266" i="2"/>
  <c r="G266" i="2"/>
  <c r="F266" i="2"/>
  <c r="E266" i="2"/>
  <c r="D266" i="2"/>
  <c r="C266" i="2"/>
  <c r="B266" i="2"/>
  <c r="J265" i="2"/>
  <c r="I265" i="2"/>
  <c r="H265" i="2"/>
  <c r="G265" i="2"/>
  <c r="F265" i="2"/>
  <c r="E265" i="2"/>
  <c r="D265" i="2"/>
  <c r="C265" i="2"/>
  <c r="B265" i="2"/>
  <c r="B264" i="2"/>
  <c r="C264" i="2" s="1"/>
  <c r="D264" i="2" s="1"/>
  <c r="E264" i="2" s="1"/>
  <c r="F264" i="2" s="1"/>
  <c r="G264" i="2" s="1"/>
  <c r="H264" i="2" s="1"/>
  <c r="I264" i="2" s="1"/>
  <c r="J264" i="2" s="1"/>
  <c r="K264" i="2" s="1"/>
  <c r="L264" i="2" s="1"/>
  <c r="M264" i="2" s="1"/>
  <c r="N264" i="2" s="1"/>
  <c r="O264" i="2" s="1"/>
  <c r="P264" i="2" s="1"/>
  <c r="B261" i="2"/>
  <c r="B258" i="2"/>
  <c r="K255" i="2"/>
  <c r="J255" i="2"/>
  <c r="I255" i="2"/>
  <c r="H255" i="2"/>
  <c r="G255" i="2"/>
  <c r="F255" i="2"/>
  <c r="E255" i="2"/>
  <c r="D255" i="2"/>
  <c r="C255" i="2"/>
  <c r="B255" i="2"/>
  <c r="B253" i="2"/>
  <c r="J252" i="2"/>
  <c r="J55" i="2" s="1"/>
  <c r="I252" i="2"/>
  <c r="I55" i="2" s="1"/>
  <c r="H252" i="2"/>
  <c r="H55" i="2" s="1"/>
  <c r="G252" i="2"/>
  <c r="G55" i="2" s="1"/>
  <c r="F252" i="2"/>
  <c r="F55" i="2" s="1"/>
  <c r="E252" i="2"/>
  <c r="E55" i="2" s="1"/>
  <c r="D252" i="2"/>
  <c r="D55" i="2" s="1"/>
  <c r="C252" i="2"/>
  <c r="C55" i="2" s="1"/>
  <c r="B252" i="2"/>
  <c r="B55" i="2" s="1"/>
  <c r="B251" i="2"/>
  <c r="C251" i="2" s="1"/>
  <c r="D251" i="2" s="1"/>
  <c r="E251" i="2" s="1"/>
  <c r="F251" i="2" s="1"/>
  <c r="G251" i="2" s="1"/>
  <c r="H251" i="2" s="1"/>
  <c r="I251" i="2" s="1"/>
  <c r="J251" i="2" s="1"/>
  <c r="K251" i="2" s="1"/>
  <c r="L251" i="2" s="1"/>
  <c r="M251" i="2" s="1"/>
  <c r="N251" i="2" s="1"/>
  <c r="O251" i="2" s="1"/>
  <c r="P251" i="2" s="1"/>
  <c r="L247" i="2"/>
  <c r="K247" i="2"/>
  <c r="J247" i="2"/>
  <c r="I247" i="2"/>
  <c r="H247" i="2"/>
  <c r="G247" i="2"/>
  <c r="F247" i="2"/>
  <c r="E247" i="2"/>
  <c r="J223" i="2"/>
  <c r="I223" i="2"/>
  <c r="H223" i="2"/>
  <c r="G223" i="2"/>
  <c r="F223" i="2"/>
  <c r="E223" i="2"/>
  <c r="D223" i="2"/>
  <c r="C223" i="2"/>
  <c r="B223" i="2"/>
  <c r="L221" i="2"/>
  <c r="L36" i="2" s="1"/>
  <c r="J221" i="2"/>
  <c r="J36" i="2" s="1"/>
  <c r="I221" i="2"/>
  <c r="I36" i="2" s="1"/>
  <c r="H221" i="2"/>
  <c r="H36" i="2" s="1"/>
  <c r="G221" i="2"/>
  <c r="G36" i="2" s="1"/>
  <c r="F221" i="2"/>
  <c r="F36" i="2" s="1"/>
  <c r="E221" i="2"/>
  <c r="E36" i="2" s="1"/>
  <c r="D221" i="2"/>
  <c r="D36" i="2" s="1"/>
  <c r="B219" i="2"/>
  <c r="D217" i="2"/>
  <c r="E217" i="2" s="1"/>
  <c r="F217" i="2" s="1"/>
  <c r="G217" i="2" s="1"/>
  <c r="H217" i="2" s="1"/>
  <c r="I217" i="2" s="1"/>
  <c r="J217" i="2" s="1"/>
  <c r="K217" i="2" s="1"/>
  <c r="L217" i="2" s="1"/>
  <c r="M217" i="2" s="1"/>
  <c r="N217" i="2" s="1"/>
  <c r="O217" i="2" s="1"/>
  <c r="P217" i="2" s="1"/>
  <c r="D216" i="2"/>
  <c r="E216" i="2" s="1"/>
  <c r="F216" i="2" s="1"/>
  <c r="G216" i="2" s="1"/>
  <c r="H216" i="2" s="1"/>
  <c r="I216" i="2" s="1"/>
  <c r="J216" i="2" s="1"/>
  <c r="K216" i="2" s="1"/>
  <c r="L216" i="2" s="1"/>
  <c r="M216" i="2" s="1"/>
  <c r="N216" i="2" s="1"/>
  <c r="O216" i="2" s="1"/>
  <c r="P216" i="2" s="1"/>
  <c r="N215" i="2"/>
  <c r="M215" i="2"/>
  <c r="L215" i="2"/>
  <c r="K215" i="2"/>
  <c r="J215" i="2"/>
  <c r="AT463" i="1" s="1"/>
  <c r="AT467" i="1" s="1"/>
  <c r="I215" i="2"/>
  <c r="H215" i="2"/>
  <c r="G215" i="2"/>
  <c r="F215" i="2"/>
  <c r="E215" i="2"/>
  <c r="D215" i="2"/>
  <c r="P214" i="2"/>
  <c r="G53" i="4" s="1"/>
  <c r="O214" i="2"/>
  <c r="S212" i="2"/>
  <c r="T212" i="2" s="1"/>
  <c r="U212" i="2" s="1"/>
  <c r="V212" i="2" s="1"/>
  <c r="W212" i="2" s="1"/>
  <c r="K212" i="2"/>
  <c r="K221" i="2" s="1"/>
  <c r="K36" i="2" s="1"/>
  <c r="B210" i="2"/>
  <c r="C210" i="2" s="1"/>
  <c r="D210" i="2" s="1"/>
  <c r="E210" i="2" s="1"/>
  <c r="F210" i="2" s="1"/>
  <c r="G210" i="2" s="1"/>
  <c r="H210" i="2" s="1"/>
  <c r="I210" i="2" s="1"/>
  <c r="J210" i="2" s="1"/>
  <c r="K210" i="2" s="1"/>
  <c r="L210" i="2" s="1"/>
  <c r="M210" i="2" s="1"/>
  <c r="N210" i="2" s="1"/>
  <c r="O210" i="2" s="1"/>
  <c r="P210" i="2" s="1"/>
  <c r="W207" i="2"/>
  <c r="V207" i="2"/>
  <c r="U207" i="2"/>
  <c r="T207" i="2"/>
  <c r="S207" i="2"/>
  <c r="P207" i="2"/>
  <c r="O207" i="2"/>
  <c r="N207" i="2"/>
  <c r="M207" i="2"/>
  <c r="L207" i="2"/>
  <c r="K207" i="2"/>
  <c r="J207" i="2"/>
  <c r="I207" i="2"/>
  <c r="H207" i="2"/>
  <c r="G207" i="2"/>
  <c r="F207" i="2"/>
  <c r="E207" i="2"/>
  <c r="D207" i="2"/>
  <c r="C207" i="2"/>
  <c r="B207" i="2"/>
  <c r="R205" i="2"/>
  <c r="S205" i="2" s="1"/>
  <c r="T205" i="2" s="1"/>
  <c r="U205" i="2" s="1"/>
  <c r="V205" i="2" s="1"/>
  <c r="W205" i="2" s="1"/>
  <c r="B204" i="2"/>
  <c r="C204" i="2" s="1"/>
  <c r="D204" i="2" s="1"/>
  <c r="E204" i="2" s="1"/>
  <c r="F204" i="2" s="1"/>
  <c r="G204" i="2" s="1"/>
  <c r="H204" i="2" s="1"/>
  <c r="I204" i="2" s="1"/>
  <c r="J204" i="2" s="1"/>
  <c r="K204" i="2" s="1"/>
  <c r="L204" i="2" s="1"/>
  <c r="M204" i="2" s="1"/>
  <c r="N204" i="2" s="1"/>
  <c r="O204" i="2" s="1"/>
  <c r="P204" i="2" s="1"/>
  <c r="B193" i="2"/>
  <c r="C193" i="2" s="1"/>
  <c r="D193" i="2" s="1"/>
  <c r="E193" i="2" s="1"/>
  <c r="F193" i="2" s="1"/>
  <c r="G193" i="2" s="1"/>
  <c r="H193" i="2" s="1"/>
  <c r="I193" i="2" s="1"/>
  <c r="J193" i="2" s="1"/>
  <c r="K193" i="2" s="1"/>
  <c r="L193" i="2" s="1"/>
  <c r="M193" i="2" s="1"/>
  <c r="N193" i="2" s="1"/>
  <c r="O193" i="2" s="1"/>
  <c r="P193" i="2" s="1"/>
  <c r="K191" i="2"/>
  <c r="L191" i="2" s="1"/>
  <c r="M191" i="2" s="1"/>
  <c r="B190" i="2"/>
  <c r="C190" i="2" s="1"/>
  <c r="D190" i="2" s="1"/>
  <c r="E190" i="2" s="1"/>
  <c r="F190" i="2" s="1"/>
  <c r="G190" i="2" s="1"/>
  <c r="H190" i="2" s="1"/>
  <c r="I190" i="2" s="1"/>
  <c r="J190" i="2" s="1"/>
  <c r="K190" i="2" s="1"/>
  <c r="L190" i="2" s="1"/>
  <c r="M190" i="2" s="1"/>
  <c r="N190" i="2" s="1"/>
  <c r="O190" i="2" s="1"/>
  <c r="P190" i="2" s="1"/>
  <c r="P188" i="2"/>
  <c r="B187" i="2"/>
  <c r="C187" i="2" s="1"/>
  <c r="D187" i="2" s="1"/>
  <c r="E187" i="2" s="1"/>
  <c r="F187" i="2" s="1"/>
  <c r="G187" i="2" s="1"/>
  <c r="H187" i="2" s="1"/>
  <c r="I187" i="2" s="1"/>
  <c r="J187" i="2" s="1"/>
  <c r="K187" i="2" s="1"/>
  <c r="L187" i="2" s="1"/>
  <c r="M187" i="2" s="1"/>
  <c r="N187" i="2" s="1"/>
  <c r="O187" i="2" s="1"/>
  <c r="P187" i="2" s="1"/>
  <c r="P185" i="2"/>
  <c r="O185" i="2"/>
  <c r="O23" i="2" s="1"/>
  <c r="N185" i="2"/>
  <c r="N23" i="2" s="1"/>
  <c r="M185" i="2"/>
  <c r="M23" i="2" s="1"/>
  <c r="L185" i="2"/>
  <c r="L23" i="2" s="1"/>
  <c r="K185" i="2"/>
  <c r="K23" i="2" s="1"/>
  <c r="J185" i="2"/>
  <c r="J23" i="2" s="1"/>
  <c r="G185" i="2"/>
  <c r="H185" i="2" s="1"/>
  <c r="I185" i="2" s="1"/>
  <c r="I23" i="2" s="1"/>
  <c r="C185" i="2"/>
  <c r="B184" i="2"/>
  <c r="C184" i="2" s="1"/>
  <c r="D184" i="2" s="1"/>
  <c r="E184" i="2" s="1"/>
  <c r="F184" i="2" s="1"/>
  <c r="G184" i="2" s="1"/>
  <c r="H184" i="2" s="1"/>
  <c r="I184" i="2" s="1"/>
  <c r="J184" i="2" s="1"/>
  <c r="K184" i="2" s="1"/>
  <c r="L184" i="2" s="1"/>
  <c r="M184" i="2" s="1"/>
  <c r="N184" i="2" s="1"/>
  <c r="O184" i="2" s="1"/>
  <c r="P184" i="2" s="1"/>
  <c r="P182" i="2"/>
  <c r="B181" i="2"/>
  <c r="C181" i="2" s="1"/>
  <c r="D181" i="2" s="1"/>
  <c r="E181" i="2" s="1"/>
  <c r="F181" i="2" s="1"/>
  <c r="G181" i="2" s="1"/>
  <c r="H181" i="2" s="1"/>
  <c r="I181" i="2" s="1"/>
  <c r="J181" i="2" s="1"/>
  <c r="K181" i="2" s="1"/>
  <c r="L181" i="2" s="1"/>
  <c r="M181" i="2" s="1"/>
  <c r="N181" i="2" s="1"/>
  <c r="O181" i="2" s="1"/>
  <c r="P181" i="2" s="1"/>
  <c r="P179" i="2"/>
  <c r="O179" i="2"/>
  <c r="O16" i="2" s="1"/>
  <c r="N179" i="2"/>
  <c r="N16" i="2" s="1"/>
  <c r="M179" i="2"/>
  <c r="M16" i="2" s="1"/>
  <c r="L179" i="2"/>
  <c r="L16" i="2" s="1"/>
  <c r="K179" i="2"/>
  <c r="K16" i="2" s="1"/>
  <c r="B178" i="2"/>
  <c r="C178" i="2" s="1"/>
  <c r="D178" i="2" s="1"/>
  <c r="E178" i="2" s="1"/>
  <c r="F178" i="2" s="1"/>
  <c r="G178" i="2" s="1"/>
  <c r="H178" i="2" s="1"/>
  <c r="I178" i="2" s="1"/>
  <c r="J178" i="2" s="1"/>
  <c r="K178" i="2" s="1"/>
  <c r="L178" i="2" s="1"/>
  <c r="M178" i="2" s="1"/>
  <c r="N178" i="2" s="1"/>
  <c r="O178" i="2" s="1"/>
  <c r="P178" i="2" s="1"/>
  <c r="D176" i="2"/>
  <c r="B175" i="2"/>
  <c r="C175" i="2" s="1"/>
  <c r="D175" i="2" s="1"/>
  <c r="E175" i="2" s="1"/>
  <c r="F175" i="2" s="1"/>
  <c r="G175" i="2" s="1"/>
  <c r="H175" i="2" s="1"/>
  <c r="I175" i="2" s="1"/>
  <c r="J175" i="2" s="1"/>
  <c r="K175" i="2" s="1"/>
  <c r="L175" i="2" s="1"/>
  <c r="M175" i="2" s="1"/>
  <c r="N175" i="2" s="1"/>
  <c r="O175" i="2" s="1"/>
  <c r="P175" i="2" s="1"/>
  <c r="R172" i="2"/>
  <c r="R8" i="2" s="1"/>
  <c r="L172" i="2"/>
  <c r="L8" i="2" s="1"/>
  <c r="K172" i="2"/>
  <c r="K8" i="2" s="1"/>
  <c r="J172" i="2"/>
  <c r="J8" i="2" s="1"/>
  <c r="B171" i="2"/>
  <c r="C171" i="2" s="1"/>
  <c r="D171" i="2" s="1"/>
  <c r="E171" i="2" s="1"/>
  <c r="F171" i="2" s="1"/>
  <c r="G171" i="2" s="1"/>
  <c r="H171" i="2" s="1"/>
  <c r="I171" i="2" s="1"/>
  <c r="J171" i="2" s="1"/>
  <c r="K171" i="2" s="1"/>
  <c r="L171" i="2" s="1"/>
  <c r="M171" i="2" s="1"/>
  <c r="N171" i="2" s="1"/>
  <c r="O171" i="2" s="1"/>
  <c r="P171" i="2" s="1"/>
  <c r="P167" i="2"/>
  <c r="O167" i="2"/>
  <c r="N167" i="2"/>
  <c r="M167" i="2"/>
  <c r="L167" i="2"/>
  <c r="K167" i="2"/>
  <c r="J167" i="2"/>
  <c r="I167" i="2"/>
  <c r="H167" i="2"/>
  <c r="G167" i="2"/>
  <c r="F167" i="2"/>
  <c r="E167" i="2"/>
  <c r="D167" i="2"/>
  <c r="C167" i="2"/>
  <c r="P164" i="2"/>
  <c r="O164" i="2"/>
  <c r="N164" i="2"/>
  <c r="J164" i="2"/>
  <c r="I164" i="2"/>
  <c r="H164" i="2"/>
  <c r="G164" i="2"/>
  <c r="F164" i="2"/>
  <c r="E164" i="2"/>
  <c r="D164" i="2"/>
  <c r="C164" i="2"/>
  <c r="K162" i="2"/>
  <c r="L162" i="2" s="1"/>
  <c r="P161" i="2"/>
  <c r="O161" i="2"/>
  <c r="N161" i="2"/>
  <c r="M161" i="2"/>
  <c r="L161" i="2"/>
  <c r="K161" i="2"/>
  <c r="J161" i="2"/>
  <c r="I161" i="2"/>
  <c r="H161" i="2"/>
  <c r="G161" i="2"/>
  <c r="F161" i="2"/>
  <c r="E161" i="2"/>
  <c r="D161" i="2"/>
  <c r="C161" i="2"/>
  <c r="P157" i="2"/>
  <c r="O157" i="2"/>
  <c r="N157" i="2"/>
  <c r="M157" i="2"/>
  <c r="L157" i="2"/>
  <c r="K157" i="2"/>
  <c r="J157" i="2"/>
  <c r="I157" i="2"/>
  <c r="H157" i="2"/>
  <c r="G157" i="2"/>
  <c r="F157" i="2"/>
  <c r="E157" i="2"/>
  <c r="D157" i="2"/>
  <c r="C157" i="2"/>
  <c r="P154" i="2"/>
  <c r="O154" i="2"/>
  <c r="N154" i="2"/>
  <c r="M154" i="2"/>
  <c r="L154" i="2"/>
  <c r="K154" i="2"/>
  <c r="J154" i="2"/>
  <c r="I154" i="2"/>
  <c r="H154" i="2"/>
  <c r="G154" i="2"/>
  <c r="F154" i="2"/>
  <c r="E154" i="2"/>
  <c r="D154" i="2"/>
  <c r="C154" i="2"/>
  <c r="B151" i="2"/>
  <c r="C151" i="2" s="1"/>
  <c r="D151" i="2" s="1"/>
  <c r="E151" i="2" s="1"/>
  <c r="F151" i="2" s="1"/>
  <c r="G151" i="2" s="1"/>
  <c r="H151" i="2" s="1"/>
  <c r="I151" i="2" s="1"/>
  <c r="J151" i="2" s="1"/>
  <c r="K151" i="2" s="1"/>
  <c r="L151" i="2" s="1"/>
  <c r="M151" i="2" s="1"/>
  <c r="N151" i="2" s="1"/>
  <c r="O151" i="2" s="1"/>
  <c r="P151" i="2" s="1"/>
  <c r="B143" i="2"/>
  <c r="C143" i="2" s="1"/>
  <c r="D143" i="2" s="1"/>
  <c r="E143" i="2" s="1"/>
  <c r="F143" i="2" s="1"/>
  <c r="G143" i="2" s="1"/>
  <c r="H143" i="2" s="1"/>
  <c r="I143" i="2" s="1"/>
  <c r="J143" i="2" s="1"/>
  <c r="K143" i="2" s="1"/>
  <c r="L143" i="2" s="1"/>
  <c r="M143" i="2" s="1"/>
  <c r="N143" i="2" s="1"/>
  <c r="O143" i="2" s="1"/>
  <c r="P143" i="2" s="1"/>
  <c r="P133" i="2"/>
  <c r="P123" i="2" s="1"/>
  <c r="Q124" i="2" s="1"/>
  <c r="O133" i="2"/>
  <c r="O123" i="2" s="1"/>
  <c r="N133" i="2"/>
  <c r="N123" i="2" s="1"/>
  <c r="M133" i="2"/>
  <c r="M123" i="2" s="1"/>
  <c r="L133" i="2"/>
  <c r="L123" i="2" s="1"/>
  <c r="K133" i="2"/>
  <c r="K123" i="2" s="1"/>
  <c r="J133" i="2"/>
  <c r="J123" i="2" s="1"/>
  <c r="I133" i="2"/>
  <c r="I123" i="2" s="1"/>
  <c r="H133" i="2"/>
  <c r="H123" i="2" s="1"/>
  <c r="G133" i="2"/>
  <c r="F133" i="2"/>
  <c r="F123" i="2" s="1"/>
  <c r="E133" i="2"/>
  <c r="E123" i="2" s="1"/>
  <c r="D133" i="2"/>
  <c r="D123" i="2" s="1"/>
  <c r="C133" i="2"/>
  <c r="C123" i="2" s="1"/>
  <c r="B133" i="2"/>
  <c r="B123" i="2" s="1"/>
  <c r="P126" i="2"/>
  <c r="P56" i="2" s="1"/>
  <c r="O126" i="2"/>
  <c r="O56" i="2" s="1"/>
  <c r="N126" i="2"/>
  <c r="N56" i="2" s="1"/>
  <c r="M126" i="2"/>
  <c r="M56" i="2" s="1"/>
  <c r="L126" i="2"/>
  <c r="L56" i="2" s="1"/>
  <c r="K126" i="2"/>
  <c r="K56" i="2" s="1"/>
  <c r="J126" i="2"/>
  <c r="J56" i="2" s="1"/>
  <c r="I126" i="2"/>
  <c r="I56" i="2" s="1"/>
  <c r="H126" i="2"/>
  <c r="H56" i="2" s="1"/>
  <c r="G126" i="2"/>
  <c r="G56" i="2" s="1"/>
  <c r="F126" i="2"/>
  <c r="F56" i="2" s="1"/>
  <c r="E126" i="2"/>
  <c r="E56" i="2" s="1"/>
  <c r="D126" i="2"/>
  <c r="D56" i="2" s="1"/>
  <c r="C126" i="2"/>
  <c r="M28" i="3" s="1"/>
  <c r="M110" i="3" s="1"/>
  <c r="B126" i="2"/>
  <c r="L28" i="3" s="1"/>
  <c r="L110" i="3" s="1"/>
  <c r="O119" i="2"/>
  <c r="P120" i="2" s="1"/>
  <c r="N119" i="2"/>
  <c r="M119" i="2"/>
  <c r="L119" i="2"/>
  <c r="K119" i="2"/>
  <c r="J119" i="2"/>
  <c r="I119" i="2"/>
  <c r="H119" i="2"/>
  <c r="G119" i="2"/>
  <c r="F119" i="2"/>
  <c r="E119" i="2"/>
  <c r="D119" i="2"/>
  <c r="C119" i="2"/>
  <c r="B119" i="2"/>
  <c r="P115" i="2"/>
  <c r="O115" i="2"/>
  <c r="N115" i="2"/>
  <c r="M115" i="2"/>
  <c r="L115" i="2"/>
  <c r="K115" i="2"/>
  <c r="J115" i="2"/>
  <c r="I115" i="2"/>
  <c r="H115" i="2"/>
  <c r="G115" i="2"/>
  <c r="F115" i="2"/>
  <c r="E115" i="2"/>
  <c r="D115" i="2"/>
  <c r="C115" i="2"/>
  <c r="B115" i="2"/>
  <c r="W114" i="2"/>
  <c r="V114" i="2"/>
  <c r="U114" i="2"/>
  <c r="T114" i="2"/>
  <c r="S114" i="2"/>
  <c r="P114" i="2"/>
  <c r="O114" i="2"/>
  <c r="N114" i="2"/>
  <c r="M114" i="2"/>
  <c r="L114" i="2"/>
  <c r="K114" i="2"/>
  <c r="J114" i="2"/>
  <c r="I114" i="2"/>
  <c r="H114" i="2"/>
  <c r="G114" i="2"/>
  <c r="F114" i="2"/>
  <c r="E114" i="2"/>
  <c r="D114" i="2"/>
  <c r="C114" i="2"/>
  <c r="B114" i="2"/>
  <c r="B112" i="2"/>
  <c r="C112" i="2" s="1"/>
  <c r="D112" i="2" s="1"/>
  <c r="E112" i="2" s="1"/>
  <c r="F112" i="2" s="1"/>
  <c r="G112" i="2" s="1"/>
  <c r="H112" i="2" s="1"/>
  <c r="I112" i="2" s="1"/>
  <c r="J112" i="2" s="1"/>
  <c r="K112" i="2" s="1"/>
  <c r="L112" i="2" s="1"/>
  <c r="M112" i="2" s="1"/>
  <c r="N112" i="2" s="1"/>
  <c r="O112" i="2" s="1"/>
  <c r="P112" i="2" s="1"/>
  <c r="M105" i="2"/>
  <c r="W21" i="3" s="1"/>
  <c r="P104" i="2"/>
  <c r="M278" i="2"/>
  <c r="B101" i="2"/>
  <c r="C101" i="2" s="1"/>
  <c r="D101" i="2" s="1"/>
  <c r="E101" i="2" s="1"/>
  <c r="F101" i="2" s="1"/>
  <c r="G101" i="2" s="1"/>
  <c r="H101" i="2" s="1"/>
  <c r="I101" i="2" s="1"/>
  <c r="J101" i="2" s="1"/>
  <c r="K101" i="2" s="1"/>
  <c r="L101" i="2" s="1"/>
  <c r="M101" i="2" s="1"/>
  <c r="N101" i="2" s="1"/>
  <c r="O101" i="2" s="1"/>
  <c r="P101" i="2" s="1"/>
  <c r="N93" i="2"/>
  <c r="X20" i="3" s="1"/>
  <c r="M93" i="2"/>
  <c r="W20" i="3" s="1"/>
  <c r="B88" i="2"/>
  <c r="C88" i="2" s="1"/>
  <c r="D88" i="2" s="1"/>
  <c r="E88" i="2" s="1"/>
  <c r="F88" i="2" s="1"/>
  <c r="G88" i="2" s="1"/>
  <c r="H88" i="2" s="1"/>
  <c r="I88" i="2" s="1"/>
  <c r="J88" i="2" s="1"/>
  <c r="K88" i="2" s="1"/>
  <c r="L88" i="2" s="1"/>
  <c r="M88" i="2" s="1"/>
  <c r="N88" i="2" s="1"/>
  <c r="O88" i="2" s="1"/>
  <c r="P88" i="2" s="1"/>
  <c r="B83" i="2"/>
  <c r="C83" i="2" s="1"/>
  <c r="D83" i="2" s="1"/>
  <c r="E83" i="2" s="1"/>
  <c r="F83" i="2" s="1"/>
  <c r="G83" i="2" s="1"/>
  <c r="H83" i="2" s="1"/>
  <c r="I83" i="2" s="1"/>
  <c r="J83" i="2" s="1"/>
  <c r="K83" i="2" s="1"/>
  <c r="L83" i="2" s="1"/>
  <c r="M83" i="2" s="1"/>
  <c r="N83" i="2" s="1"/>
  <c r="O83" i="2" s="1"/>
  <c r="P83" i="2" s="1"/>
  <c r="J80" i="2"/>
  <c r="I80" i="2"/>
  <c r="H80" i="2"/>
  <c r="G80" i="2"/>
  <c r="F80" i="2"/>
  <c r="E80" i="2"/>
  <c r="D80" i="2"/>
  <c r="C80" i="2"/>
  <c r="B80" i="2"/>
  <c r="R78" i="2"/>
  <c r="J78" i="2"/>
  <c r="I78" i="2"/>
  <c r="H78" i="2"/>
  <c r="G78" i="2"/>
  <c r="F78" i="2"/>
  <c r="E78" i="2"/>
  <c r="D78" i="2"/>
  <c r="C78" i="2"/>
  <c r="B78" i="2"/>
  <c r="J75" i="2"/>
  <c r="I75" i="2"/>
  <c r="H75" i="2"/>
  <c r="G75" i="2"/>
  <c r="F75" i="2"/>
  <c r="E75" i="2"/>
  <c r="D75" i="2"/>
  <c r="C75" i="2"/>
  <c r="B75" i="2"/>
  <c r="D69" i="2"/>
  <c r="C69" i="2"/>
  <c r="L64" i="2"/>
  <c r="L255" i="2" s="1"/>
  <c r="M63" i="2"/>
  <c r="D13" i="4" s="1"/>
  <c r="J61" i="2"/>
  <c r="T116" i="3" s="1"/>
  <c r="I61" i="2"/>
  <c r="S116" i="3" s="1"/>
  <c r="H61" i="2"/>
  <c r="R116" i="3" s="1"/>
  <c r="G61" i="2"/>
  <c r="Q116" i="3" s="1"/>
  <c r="F61" i="2"/>
  <c r="P116" i="3" s="1"/>
  <c r="E61" i="2"/>
  <c r="O116" i="3" s="1"/>
  <c r="D61" i="2"/>
  <c r="N116" i="3" s="1"/>
  <c r="C61" i="2"/>
  <c r="M116" i="3" s="1"/>
  <c r="B61" i="2"/>
  <c r="L116" i="3" s="1"/>
  <c r="J57" i="2"/>
  <c r="I57" i="2"/>
  <c r="H57" i="2"/>
  <c r="G57" i="2"/>
  <c r="F57" i="2"/>
  <c r="E57" i="2"/>
  <c r="D57" i="2"/>
  <c r="C57" i="2"/>
  <c r="B57" i="2"/>
  <c r="B54" i="2"/>
  <c r="P36" i="2"/>
  <c r="P34" i="2"/>
  <c r="L34" i="2"/>
  <c r="J34" i="2"/>
  <c r="I34" i="2"/>
  <c r="H34" i="2"/>
  <c r="G34" i="2"/>
  <c r="F34" i="2"/>
  <c r="E34" i="2"/>
  <c r="D34" i="2"/>
  <c r="P33" i="2"/>
  <c r="O33" i="2"/>
  <c r="O37" i="2" s="1"/>
  <c r="N33" i="2"/>
  <c r="N37" i="2" s="1"/>
  <c r="M33" i="2"/>
  <c r="M37" i="2" s="1"/>
  <c r="L33" i="2"/>
  <c r="K33" i="2"/>
  <c r="J33" i="2"/>
  <c r="I33" i="2"/>
  <c r="H33" i="2"/>
  <c r="G33" i="2"/>
  <c r="F33" i="2"/>
  <c r="E33" i="2"/>
  <c r="D33" i="2"/>
  <c r="L31" i="2"/>
  <c r="K31" i="2"/>
  <c r="P30" i="2"/>
  <c r="O30" i="2"/>
  <c r="N30" i="2"/>
  <c r="M30" i="2"/>
  <c r="L30" i="2"/>
  <c r="K30" i="2"/>
  <c r="J30" i="2"/>
  <c r="I30" i="2"/>
  <c r="H30" i="2"/>
  <c r="G30" i="2"/>
  <c r="F30" i="2"/>
  <c r="E30" i="2"/>
  <c r="D30" i="2"/>
  <c r="P29" i="2"/>
  <c r="O29" i="2"/>
  <c r="N29" i="2"/>
  <c r="M29" i="2"/>
  <c r="L29" i="2"/>
  <c r="K29" i="2"/>
  <c r="J29" i="2"/>
  <c r="I29" i="2"/>
  <c r="H29" i="2"/>
  <c r="G29" i="2"/>
  <c r="F29" i="2"/>
  <c r="E29" i="2"/>
  <c r="D29" i="2"/>
  <c r="K26" i="2"/>
  <c r="L26" i="2" s="1"/>
  <c r="M26" i="2" s="1"/>
  <c r="P25" i="2"/>
  <c r="O25" i="2"/>
  <c r="N25" i="2"/>
  <c r="M25" i="2"/>
  <c r="L25" i="2"/>
  <c r="K25" i="2"/>
  <c r="J25" i="2"/>
  <c r="I25" i="2"/>
  <c r="H25" i="2"/>
  <c r="G25" i="2"/>
  <c r="F25" i="2"/>
  <c r="E25" i="2"/>
  <c r="D25" i="2"/>
  <c r="P24" i="2"/>
  <c r="O24" i="2"/>
  <c r="N24" i="2"/>
  <c r="M24" i="2"/>
  <c r="L24" i="2"/>
  <c r="K24" i="2"/>
  <c r="J24" i="2"/>
  <c r="I24" i="2"/>
  <c r="H24" i="2"/>
  <c r="G24" i="2"/>
  <c r="F24" i="2"/>
  <c r="E24" i="2"/>
  <c r="D24" i="2"/>
  <c r="F23" i="2"/>
  <c r="E23" i="2"/>
  <c r="D23" i="2"/>
  <c r="P22" i="2"/>
  <c r="O22" i="2"/>
  <c r="N22" i="2"/>
  <c r="M22" i="2"/>
  <c r="L22" i="2"/>
  <c r="K22" i="2"/>
  <c r="J22" i="2"/>
  <c r="I22" i="2"/>
  <c r="H22" i="2"/>
  <c r="G22" i="2"/>
  <c r="F22" i="2"/>
  <c r="E22" i="2"/>
  <c r="D22" i="2"/>
  <c r="O17" i="2"/>
  <c r="N17" i="2"/>
  <c r="M17" i="2"/>
  <c r="L17" i="2"/>
  <c r="K17" i="2"/>
  <c r="J17" i="2"/>
  <c r="I17" i="2"/>
  <c r="H17" i="2"/>
  <c r="G17" i="2"/>
  <c r="F17" i="2"/>
  <c r="E17" i="2"/>
  <c r="D17" i="2"/>
  <c r="J16" i="2"/>
  <c r="I16" i="2"/>
  <c r="H16" i="2"/>
  <c r="G16" i="2"/>
  <c r="F16" i="2"/>
  <c r="E16" i="2"/>
  <c r="D16" i="2"/>
  <c r="S15" i="2"/>
  <c r="T15" i="2" s="1"/>
  <c r="U15" i="2" s="1"/>
  <c r="V15" i="2" s="1"/>
  <c r="W15" i="2" s="1"/>
  <c r="X15" i="2" s="1"/>
  <c r="Y15" i="2" s="1"/>
  <c r="Z15" i="2" s="1"/>
  <c r="AA15" i="2" s="1"/>
  <c r="P14" i="2"/>
  <c r="O14" i="2"/>
  <c r="N14" i="2"/>
  <c r="M14" i="2"/>
  <c r="L14" i="2"/>
  <c r="K14" i="2"/>
  <c r="J14" i="2"/>
  <c r="I14" i="2"/>
  <c r="H14" i="2"/>
  <c r="G14" i="2"/>
  <c r="F14" i="2"/>
  <c r="E14" i="2"/>
  <c r="D14" i="2"/>
  <c r="P12" i="2"/>
  <c r="O12" i="2"/>
  <c r="N12" i="2"/>
  <c r="M12" i="2"/>
  <c r="L12" i="2"/>
  <c r="K12" i="2"/>
  <c r="J12" i="2"/>
  <c r="I12" i="2"/>
  <c r="H12" i="2"/>
  <c r="G12" i="2"/>
  <c r="F12" i="2"/>
  <c r="E12" i="2"/>
  <c r="D12" i="2"/>
  <c r="P9" i="2"/>
  <c r="P8" i="2"/>
  <c r="O8" i="2"/>
  <c r="N8" i="2"/>
  <c r="M8" i="2"/>
  <c r="I8" i="2"/>
  <c r="H8" i="2"/>
  <c r="G8" i="2"/>
  <c r="F8" i="2"/>
  <c r="E8" i="2"/>
  <c r="D8" i="2"/>
  <c r="P6" i="2"/>
  <c r="O6" i="2"/>
  <c r="N6" i="2"/>
  <c r="M6" i="2"/>
  <c r="L6" i="2"/>
  <c r="K6" i="2"/>
  <c r="J6" i="2"/>
  <c r="I6" i="2"/>
  <c r="H6" i="2"/>
  <c r="G6" i="2"/>
  <c r="F6" i="2"/>
  <c r="E6" i="2"/>
  <c r="D6" i="2"/>
  <c r="P5" i="2"/>
  <c r="O5" i="2"/>
  <c r="N5" i="2"/>
  <c r="M5" i="2"/>
  <c r="L5" i="2"/>
  <c r="K5" i="2"/>
  <c r="J5" i="2"/>
  <c r="I5" i="2"/>
  <c r="H5" i="2"/>
  <c r="G5" i="2"/>
  <c r="F5" i="2"/>
  <c r="E5" i="2"/>
  <c r="D5" i="2"/>
  <c r="P4" i="2"/>
  <c r="P134" i="2" s="1"/>
  <c r="O4" i="2"/>
  <c r="O134" i="2" s="1"/>
  <c r="N4" i="2"/>
  <c r="M4" i="2"/>
  <c r="M134" i="2" s="1"/>
  <c r="L4" i="2"/>
  <c r="K4" i="2"/>
  <c r="K134" i="2" s="1"/>
  <c r="J4" i="2"/>
  <c r="I4" i="2"/>
  <c r="I134" i="2" s="1"/>
  <c r="H4" i="2"/>
  <c r="H134" i="2" s="1"/>
  <c r="G4" i="2"/>
  <c r="G134" i="2" s="1"/>
  <c r="F4" i="2"/>
  <c r="E4" i="2"/>
  <c r="E134" i="2" s="1"/>
  <c r="D4" i="2"/>
  <c r="D134" i="2" s="1"/>
  <c r="C134" i="2"/>
  <c r="C2" i="2"/>
  <c r="D2" i="2" s="1"/>
  <c r="E2" i="2" s="1"/>
  <c r="F2" i="2" s="1"/>
  <c r="G2" i="2" s="1"/>
  <c r="H2" i="2" s="1"/>
  <c r="I2" i="2" s="1"/>
  <c r="J2" i="2" s="1"/>
  <c r="K2" i="2" s="1"/>
  <c r="L2" i="2" s="1"/>
  <c r="M2" i="2" s="1"/>
  <c r="N2" i="2" s="1"/>
  <c r="O2" i="2" s="1"/>
  <c r="P2" i="2" s="1"/>
  <c r="V499" i="1"/>
  <c r="AA499" i="1" s="1"/>
  <c r="V492" i="1"/>
  <c r="V494" i="1" s="1"/>
  <c r="U492" i="1"/>
  <c r="U494" i="1" s="1"/>
  <c r="T492" i="1"/>
  <c r="T494" i="1" s="1"/>
  <c r="S492" i="1"/>
  <c r="S494" i="1" s="1"/>
  <c r="R492" i="1"/>
  <c r="R494" i="1" s="1"/>
  <c r="Q492" i="1"/>
  <c r="Q495" i="1" s="1"/>
  <c r="P492" i="1"/>
  <c r="P494" i="1" s="1"/>
  <c r="O492" i="1"/>
  <c r="O494" i="1" s="1"/>
  <c r="N492" i="1"/>
  <c r="N494" i="1" s="1"/>
  <c r="M492" i="1"/>
  <c r="M494" i="1" s="1"/>
  <c r="L492" i="1"/>
  <c r="L495" i="1" s="1"/>
  <c r="K492" i="1"/>
  <c r="J492" i="1"/>
  <c r="I492" i="1"/>
  <c r="H492" i="1"/>
  <c r="G492" i="1"/>
  <c r="G495" i="1" s="1"/>
  <c r="F492" i="1"/>
  <c r="F494" i="1" s="1"/>
  <c r="E489" i="1"/>
  <c r="E30" i="1" s="1"/>
  <c r="D489" i="1"/>
  <c r="D29" i="1" s="1"/>
  <c r="C489" i="1"/>
  <c r="C30" i="1" s="1"/>
  <c r="B488" i="1"/>
  <c r="G488" i="1" s="1"/>
  <c r="L488" i="1" s="1"/>
  <c r="Q488" i="1" s="1"/>
  <c r="V488" i="1" s="1"/>
  <c r="AA488" i="1" s="1"/>
  <c r="AF488" i="1" s="1"/>
  <c r="AK488" i="1" s="1"/>
  <c r="AP488" i="1" s="1"/>
  <c r="AU488" i="1" s="1"/>
  <c r="AZ488" i="1" s="1"/>
  <c r="BE488" i="1" s="1"/>
  <c r="BJ488" i="1" s="1"/>
  <c r="BO488" i="1" s="1"/>
  <c r="BT488" i="1" s="1"/>
  <c r="BY488" i="1" s="1"/>
  <c r="CD488" i="1" s="1"/>
  <c r="CE488" i="1" s="1"/>
  <c r="CF488" i="1" s="1"/>
  <c r="CG488" i="1" s="1"/>
  <c r="CH488" i="1" s="1"/>
  <c r="CI488" i="1" s="1"/>
  <c r="CJ488" i="1" s="1"/>
  <c r="CK488" i="1" s="1"/>
  <c r="CL488" i="1" s="1"/>
  <c r="CM488" i="1" s="1"/>
  <c r="AP479" i="1"/>
  <c r="AK479" i="1"/>
  <c r="AF479" i="1"/>
  <c r="AA479" i="1"/>
  <c r="V479" i="1"/>
  <c r="Q479" i="1"/>
  <c r="L479" i="1"/>
  <c r="G479" i="1"/>
  <c r="B479" i="1"/>
  <c r="BV473" i="1"/>
  <c r="BU473" i="1"/>
  <c r="BS473" i="1"/>
  <c r="BS48" i="1" s="1"/>
  <c r="BR473" i="1"/>
  <c r="BR48" i="1" s="1"/>
  <c r="BQ473" i="1"/>
  <c r="BQ48" i="1" s="1"/>
  <c r="BH11" i="7" s="1"/>
  <c r="BH23" i="7" s="1"/>
  <c r="BP473" i="1"/>
  <c r="BP48" i="1" s="1"/>
  <c r="BG11" i="7" s="1"/>
  <c r="BG23" i="7" s="1"/>
  <c r="BN473" i="1"/>
  <c r="BN48" i="1" s="1"/>
  <c r="BF11" i="7" s="1"/>
  <c r="BF23" i="7" s="1"/>
  <c r="BM473" i="1"/>
  <c r="BM48" i="1" s="1"/>
  <c r="BE11" i="7" s="1"/>
  <c r="BE23" i="7" s="1"/>
  <c r="BL473" i="1"/>
  <c r="BL48" i="1" s="1"/>
  <c r="BD11" i="7" s="1"/>
  <c r="BD23" i="7" s="1"/>
  <c r="BK473" i="1"/>
  <c r="BK48" i="1" s="1"/>
  <c r="BC11" i="7" s="1"/>
  <c r="BC23" i="7" s="1"/>
  <c r="BI473" i="1"/>
  <c r="BI48" i="1" s="1"/>
  <c r="BB11" i="7" s="1"/>
  <c r="BB23" i="7" s="1"/>
  <c r="BH473" i="1"/>
  <c r="BH48" i="1" s="1"/>
  <c r="BA11" i="7" s="1"/>
  <c r="BA23" i="7" s="1"/>
  <c r="BG473" i="1"/>
  <c r="BG48" i="1" s="1"/>
  <c r="AZ11" i="7" s="1"/>
  <c r="AZ23" i="7" s="1"/>
  <c r="BF473" i="1"/>
  <c r="BF48" i="1" s="1"/>
  <c r="AY11" i="7" s="1"/>
  <c r="AY23" i="7" s="1"/>
  <c r="BD473" i="1"/>
  <c r="BD48" i="1" s="1"/>
  <c r="AX11" i="7" s="1"/>
  <c r="AX23" i="7" s="1"/>
  <c r="BC473" i="1"/>
  <c r="BC48" i="1" s="1"/>
  <c r="AW11" i="7" s="1"/>
  <c r="AW23" i="7" s="1"/>
  <c r="BB473" i="1"/>
  <c r="BB48" i="1" s="1"/>
  <c r="AV11" i="7" s="1"/>
  <c r="AV23" i="7" s="1"/>
  <c r="BA473" i="1"/>
  <c r="BA48" i="1" s="1"/>
  <c r="AU11" i="7" s="1"/>
  <c r="AU23" i="7" s="1"/>
  <c r="AY473" i="1"/>
  <c r="AY48" i="1" s="1"/>
  <c r="AT11" i="7" s="1"/>
  <c r="AT23" i="7" s="1"/>
  <c r="AX473" i="1"/>
  <c r="AX48" i="1" s="1"/>
  <c r="AS11" i="7" s="1"/>
  <c r="AS23" i="7" s="1"/>
  <c r="AW473" i="1"/>
  <c r="AU473" i="1"/>
  <c r="B12" i="4" s="1"/>
  <c r="BJ469" i="1"/>
  <c r="C6" i="10" s="1"/>
  <c r="BE469" i="1"/>
  <c r="AZ469" i="1"/>
  <c r="AQ469" i="1"/>
  <c r="AR469" i="1" s="1"/>
  <c r="AS469" i="1" s="1"/>
  <c r="DE467" i="1"/>
  <c r="DD467" i="1"/>
  <c r="DC467" i="1"/>
  <c r="AZ466" i="1"/>
  <c r="AU466" i="1"/>
  <c r="BN464" i="1"/>
  <c r="BM464" i="1"/>
  <c r="BL464" i="1"/>
  <c r="BK464" i="1"/>
  <c r="BI464" i="1"/>
  <c r="BH464" i="1"/>
  <c r="BG464" i="1"/>
  <c r="BF464" i="1"/>
  <c r="BD464" i="1"/>
  <c r="BC464" i="1"/>
  <c r="BB464" i="1"/>
  <c r="BA464" i="1"/>
  <c r="AY464" i="1"/>
  <c r="AX464" i="1"/>
  <c r="AP464" i="1"/>
  <c r="T14" i="3" s="1"/>
  <c r="AO464" i="1"/>
  <c r="AN464" i="1"/>
  <c r="AM464" i="1"/>
  <c r="AL464" i="1"/>
  <c r="AK464" i="1"/>
  <c r="S14" i="3" s="1"/>
  <c r="AJ464" i="1"/>
  <c r="AI464" i="1"/>
  <c r="AH464" i="1"/>
  <c r="AG464" i="1"/>
  <c r="AF464" i="1"/>
  <c r="R14" i="3" s="1"/>
  <c r="AE464" i="1"/>
  <c r="AD464" i="1"/>
  <c r="AC464" i="1"/>
  <c r="AB464" i="1"/>
  <c r="AA464" i="1"/>
  <c r="Q14" i="3" s="1"/>
  <c r="Z464" i="1"/>
  <c r="Y464" i="1"/>
  <c r="X464" i="1"/>
  <c r="W464" i="1"/>
  <c r="V464" i="1"/>
  <c r="P14" i="3" s="1"/>
  <c r="U464" i="1"/>
  <c r="T464" i="1"/>
  <c r="S464" i="1"/>
  <c r="R464" i="1"/>
  <c r="Q464" i="1"/>
  <c r="O14" i="3" s="1"/>
  <c r="P464" i="1"/>
  <c r="O464" i="1"/>
  <c r="N464" i="1"/>
  <c r="M464" i="1"/>
  <c r="L464" i="1"/>
  <c r="N14" i="3" s="1"/>
  <c r="BO459" i="1"/>
  <c r="BO464" i="1" s="1"/>
  <c r="Y14" i="3" s="1"/>
  <c r="BJ459" i="1"/>
  <c r="AZ459" i="1"/>
  <c r="AU459" i="1"/>
  <c r="DE457" i="1"/>
  <c r="DD457" i="1"/>
  <c r="DC457" i="1"/>
  <c r="BT456" i="1"/>
  <c r="BO456" i="1"/>
  <c r="BJ456" i="1"/>
  <c r="BE456" i="1"/>
  <c r="AU456" i="1"/>
  <c r="AZ456" i="1" s="1"/>
  <c r="DE455" i="1"/>
  <c r="DE466" i="1" s="1"/>
  <c r="DD455" i="1"/>
  <c r="DD466" i="1" s="1"/>
  <c r="DC455" i="1"/>
  <c r="DC466" i="1" s="1"/>
  <c r="AU454" i="1"/>
  <c r="AV455" i="1"/>
  <c r="AT455" i="1"/>
  <c r="AS457" i="1"/>
  <c r="AR457" i="1"/>
  <c r="AQ455" i="1"/>
  <c r="DE449" i="1"/>
  <c r="DD449" i="1"/>
  <c r="DC449" i="1"/>
  <c r="AV449" i="1"/>
  <c r="AT449" i="1"/>
  <c r="AS449" i="1"/>
  <c r="AK444" i="1"/>
  <c r="I46" i="2" s="1"/>
  <c r="AF444" i="1"/>
  <c r="H46" i="2" s="1"/>
  <c r="H47" i="2" s="1"/>
  <c r="H48" i="2" s="1"/>
  <c r="AE444" i="1"/>
  <c r="AD444" i="1"/>
  <c r="AC444" i="1"/>
  <c r="AB444" i="1"/>
  <c r="AA444" i="1"/>
  <c r="G46" i="2" s="1"/>
  <c r="G47" i="2" s="1"/>
  <c r="G48" i="2" s="1"/>
  <c r="Z444" i="1"/>
  <c r="Y444" i="1"/>
  <c r="X444" i="1"/>
  <c r="W444" i="1"/>
  <c r="V444" i="1"/>
  <c r="F46" i="2" s="1"/>
  <c r="U444" i="1"/>
  <c r="T444" i="1"/>
  <c r="S444" i="1"/>
  <c r="R444" i="1"/>
  <c r="Q444" i="1"/>
  <c r="E46" i="2" s="1"/>
  <c r="E47" i="2" s="1"/>
  <c r="E48" i="2" s="1"/>
  <c r="P444" i="1"/>
  <c r="O444" i="1"/>
  <c r="N444" i="1"/>
  <c r="M444" i="1"/>
  <c r="L444" i="1"/>
  <c r="D46" i="2" s="1"/>
  <c r="D47" i="2" s="1"/>
  <c r="D48" i="2" s="1"/>
  <c r="K444" i="1"/>
  <c r="J444" i="1"/>
  <c r="I444" i="1"/>
  <c r="H444" i="1"/>
  <c r="G444" i="1"/>
  <c r="C46" i="2" s="1"/>
  <c r="C47" i="2" s="1"/>
  <c r="C48" i="2" s="1"/>
  <c r="B444" i="1"/>
  <c r="B46" i="2" s="1"/>
  <c r="B47" i="2" s="1"/>
  <c r="B48" i="2" s="1"/>
  <c r="AK440" i="1"/>
  <c r="AF440" i="1"/>
  <c r="AA440" i="1"/>
  <c r="V440" i="1"/>
  <c r="Q440" i="1"/>
  <c r="L440" i="1"/>
  <c r="G440" i="1"/>
  <c r="B440" i="1"/>
  <c r="AV439" i="1"/>
  <c r="AU439" i="1"/>
  <c r="AP439" i="1"/>
  <c r="AT438" i="1"/>
  <c r="AT51" i="1" s="1"/>
  <c r="AP12" i="7" s="1"/>
  <c r="AS438" i="1"/>
  <c r="AS51" i="1" s="1"/>
  <c r="AO12" i="7" s="1"/>
  <c r="AR438" i="1"/>
  <c r="AR51" i="1" s="1"/>
  <c r="AN12" i="7" s="1"/>
  <c r="AQ438" i="1"/>
  <c r="AQ425" i="1" s="1"/>
  <c r="AO438" i="1"/>
  <c r="AO425" i="1" s="1"/>
  <c r="AN438" i="1"/>
  <c r="AN51" i="1" s="1"/>
  <c r="AM438" i="1"/>
  <c r="AM51" i="1" s="1"/>
  <c r="AL438" i="1"/>
  <c r="AL425" i="1" s="1"/>
  <c r="E436" i="1"/>
  <c r="D436" i="1"/>
  <c r="C436" i="1"/>
  <c r="DE431" i="1"/>
  <c r="DD431" i="1"/>
  <c r="DC431" i="1"/>
  <c r="DC436" i="1" s="1"/>
  <c r="AP431" i="1"/>
  <c r="AK431" i="1"/>
  <c r="AF431" i="1"/>
  <c r="AA431" i="1"/>
  <c r="V431" i="1"/>
  <c r="Q431" i="1"/>
  <c r="L431" i="1"/>
  <c r="G431" i="1"/>
  <c r="DE430" i="1"/>
  <c r="DD430" i="1"/>
  <c r="DC430" i="1"/>
  <c r="AP429" i="1"/>
  <c r="AE429" i="1"/>
  <c r="AD429"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BU36" i="1"/>
  <c r="BS37" i="1"/>
  <c r="BX38" i="1" s="1"/>
  <c r="BR37" i="1"/>
  <c r="BW38" i="1" s="1"/>
  <c r="BP36" i="1"/>
  <c r="BK36" i="1"/>
  <c r="BI36" i="1"/>
  <c r="BH36" i="1"/>
  <c r="BG37" i="1"/>
  <c r="BF37" i="1"/>
  <c r="BD37" i="1"/>
  <c r="BA37" i="1"/>
  <c r="AV37" i="1"/>
  <c r="AT37" i="1"/>
  <c r="D7" i="6" s="1"/>
  <c r="AS37" i="1"/>
  <c r="AQ36" i="1"/>
  <c r="AO37" i="1"/>
  <c r="AN37" i="1"/>
  <c r="AM37" i="1"/>
  <c r="AL37" i="1"/>
  <c r="AJ37" i="1"/>
  <c r="AI37" i="1"/>
  <c r="AG36" i="1"/>
  <c r="AF429" i="1"/>
  <c r="DE419" i="1"/>
  <c r="DD419" i="1"/>
  <c r="DC419" i="1"/>
  <c r="DC420" i="1" s="1"/>
  <c r="BW420" i="1"/>
  <c r="DE397" i="1"/>
  <c r="DD397" i="1"/>
  <c r="DC397" i="1"/>
  <c r="AS397" i="1"/>
  <c r="AR397" i="1"/>
  <c r="AQ397" i="1"/>
  <c r="AP397" i="1"/>
  <c r="AO397" i="1"/>
  <c r="AN397" i="1"/>
  <c r="AM397" i="1"/>
  <c r="AL397" i="1"/>
  <c r="AK397" i="1"/>
  <c r="AJ397" i="1"/>
  <c r="AI397" i="1"/>
  <c r="AH397" i="1"/>
  <c r="AG397" i="1"/>
  <c r="AF397" i="1"/>
  <c r="AE397" i="1"/>
  <c r="AD397" i="1"/>
  <c r="AC397" i="1"/>
  <c r="AB397" i="1"/>
  <c r="AA397" i="1"/>
  <c r="Z397" i="1"/>
  <c r="Y397" i="1"/>
  <c r="X397" i="1"/>
  <c r="W397" i="1"/>
  <c r="V397" i="1"/>
  <c r="U397" i="1"/>
  <c r="T397" i="1"/>
  <c r="S397" i="1"/>
  <c r="R397" i="1"/>
  <c r="Q397" i="1"/>
  <c r="P397" i="1"/>
  <c r="O397" i="1"/>
  <c r="N397" i="1"/>
  <c r="M397" i="1"/>
  <c r="L397" i="1"/>
  <c r="K397" i="1"/>
  <c r="J397" i="1"/>
  <c r="I397" i="1"/>
  <c r="H397" i="1"/>
  <c r="G397" i="1"/>
  <c r="G398" i="1" s="1"/>
  <c r="AT389" i="1"/>
  <c r="AS389" i="1"/>
  <c r="AR389" i="1"/>
  <c r="AQ389" i="1"/>
  <c r="AP389" i="1"/>
  <c r="AO389" i="1"/>
  <c r="AN389" i="1"/>
  <c r="AM389" i="1"/>
  <c r="AL389" i="1"/>
  <c r="AK389" i="1"/>
  <c r="AJ389" i="1"/>
  <c r="AI389" i="1"/>
  <c r="AH389" i="1"/>
  <c r="AG389" i="1"/>
  <c r="AF389" i="1"/>
  <c r="AE389" i="1"/>
  <c r="AD389" i="1"/>
  <c r="AC389" i="1"/>
  <c r="AB389" i="1"/>
  <c r="AA389" i="1"/>
  <c r="Z389" i="1"/>
  <c r="Y389" i="1"/>
  <c r="X389" i="1"/>
  <c r="W389" i="1"/>
  <c r="V389" i="1"/>
  <c r="U389" i="1"/>
  <c r="T389" i="1"/>
  <c r="S389" i="1"/>
  <c r="R389" i="1"/>
  <c r="Q389" i="1"/>
  <c r="P389" i="1"/>
  <c r="O389" i="1"/>
  <c r="N389" i="1"/>
  <c r="M389" i="1"/>
  <c r="L389" i="1"/>
  <c r="BV388" i="1"/>
  <c r="CA389" i="1" s="1"/>
  <c r="BU388" i="1"/>
  <c r="BZ389" i="1" s="1"/>
  <c r="BS388" i="1"/>
  <c r="BX389" i="1" s="1"/>
  <c r="BR388" i="1"/>
  <c r="BW389" i="1" s="1"/>
  <c r="BQ388" i="1"/>
  <c r="BP388" i="1"/>
  <c r="BN388" i="1"/>
  <c r="BM388" i="1"/>
  <c r="BL388" i="1"/>
  <c r="BK388" i="1"/>
  <c r="BI388" i="1"/>
  <c r="BH388" i="1"/>
  <c r="BG388" i="1"/>
  <c r="BF388" i="1"/>
  <c r="BD388" i="1"/>
  <c r="BC388" i="1"/>
  <c r="BB388" i="1"/>
  <c r="BA388" i="1"/>
  <c r="AY388" i="1"/>
  <c r="AX388" i="1"/>
  <c r="AX389" i="1" s="1"/>
  <c r="AW388" i="1"/>
  <c r="AW389" i="1" s="1"/>
  <c r="AV388" i="1"/>
  <c r="AV389" i="1" s="1"/>
  <c r="AU388" i="1"/>
  <c r="AU389" i="1" s="1"/>
  <c r="AT386" i="1"/>
  <c r="AS386" i="1"/>
  <c r="AR386" i="1"/>
  <c r="AQ386" i="1"/>
  <c r="AP386" i="1"/>
  <c r="AO386" i="1"/>
  <c r="AN386" i="1"/>
  <c r="AM386" i="1"/>
  <c r="AL386" i="1"/>
  <c r="AK386" i="1"/>
  <c r="AJ386" i="1"/>
  <c r="AI386" i="1"/>
  <c r="AH386" i="1"/>
  <c r="AG386" i="1"/>
  <c r="AF386" i="1"/>
  <c r="AE386" i="1"/>
  <c r="AD386" i="1"/>
  <c r="AC386" i="1"/>
  <c r="AB386" i="1"/>
  <c r="AA386" i="1"/>
  <c r="Z386" i="1"/>
  <c r="Y386" i="1"/>
  <c r="X386" i="1"/>
  <c r="W386" i="1"/>
  <c r="V386" i="1"/>
  <c r="U386" i="1"/>
  <c r="T386" i="1"/>
  <c r="S386" i="1"/>
  <c r="R386" i="1"/>
  <c r="Q386" i="1"/>
  <c r="P386" i="1"/>
  <c r="O386" i="1"/>
  <c r="N386" i="1"/>
  <c r="M386" i="1"/>
  <c r="L386" i="1"/>
  <c r="BV385" i="1"/>
  <c r="CA386" i="1" s="1"/>
  <c r="BU385" i="1"/>
  <c r="BZ386" i="1" s="1"/>
  <c r="BS385" i="1"/>
  <c r="BX386" i="1" s="1"/>
  <c r="BR385" i="1"/>
  <c r="BW386" i="1" s="1"/>
  <c r="BQ385" i="1"/>
  <c r="BP385" i="1"/>
  <c r="BN385" i="1"/>
  <c r="BM385" i="1"/>
  <c r="BL385" i="1"/>
  <c r="BK385" i="1"/>
  <c r="BI385" i="1"/>
  <c r="BH385" i="1"/>
  <c r="BG385" i="1"/>
  <c r="BF385" i="1"/>
  <c r="BD385" i="1"/>
  <c r="BC385" i="1"/>
  <c r="BB385" i="1"/>
  <c r="BA385" i="1"/>
  <c r="AY385" i="1"/>
  <c r="AX385" i="1"/>
  <c r="AX386" i="1" s="1"/>
  <c r="AW385" i="1"/>
  <c r="AV385" i="1"/>
  <c r="AU385" i="1"/>
  <c r="AU386" i="1" s="1"/>
  <c r="BS381" i="1"/>
  <c r="BR381" i="1"/>
  <c r="BQ381" i="1"/>
  <c r="BP381" i="1"/>
  <c r="BN381" i="1"/>
  <c r="BM381" i="1"/>
  <c r="BL381" i="1"/>
  <c r="BK381" i="1"/>
  <c r="BI381" i="1"/>
  <c r="BH381" i="1"/>
  <c r="BG381" i="1"/>
  <c r="BF381" i="1"/>
  <c r="BD381" i="1"/>
  <c r="BC381" i="1"/>
  <c r="BB381" i="1"/>
  <c r="BA381" i="1"/>
  <c r="AY381" i="1"/>
  <c r="AX381" i="1"/>
  <c r="AW381" i="1"/>
  <c r="AV381" i="1"/>
  <c r="AT381" i="1"/>
  <c r="AT373" i="1" s="1"/>
  <c r="AS381" i="1"/>
  <c r="AR381" i="1"/>
  <c r="AR373" i="1" s="1"/>
  <c r="AQ381" i="1"/>
  <c r="BS380" i="1"/>
  <c r="BR380" i="1"/>
  <c r="BQ380" i="1"/>
  <c r="BQ376" i="1" s="1"/>
  <c r="BP380" i="1"/>
  <c r="BN380" i="1"/>
  <c r="BM380" i="1"/>
  <c r="BM376" i="1" s="1"/>
  <c r="BL380" i="1"/>
  <c r="BK380" i="1"/>
  <c r="BI380" i="1"/>
  <c r="BH380" i="1"/>
  <c r="BG380" i="1"/>
  <c r="BF380" i="1"/>
  <c r="BF221" i="1" s="1"/>
  <c r="BD380" i="1"/>
  <c r="BC380" i="1"/>
  <c r="BB380" i="1"/>
  <c r="BB221" i="1" s="1"/>
  <c r="BB376" i="1" s="1"/>
  <c r="BA380" i="1"/>
  <c r="AY380" i="1"/>
  <c r="AX380" i="1"/>
  <c r="AX221" i="1" s="1"/>
  <c r="AX376" i="1" s="1"/>
  <c r="AW380" i="1"/>
  <c r="AV380" i="1"/>
  <c r="AT380" i="1"/>
  <c r="AT500" i="1" s="1"/>
  <c r="AS380" i="1"/>
  <c r="AR380" i="1"/>
  <c r="AR500" i="1" s="1"/>
  <c r="AQ380" i="1"/>
  <c r="CW379" i="1"/>
  <c r="CX379" i="1" s="1"/>
  <c r="CY379" i="1" s="1"/>
  <c r="CZ379" i="1" s="1"/>
  <c r="DA379" i="1" s="1"/>
  <c r="DB379" i="1" s="1"/>
  <c r="DC379" i="1" s="1"/>
  <c r="DD379" i="1" s="1"/>
  <c r="DE379" i="1" s="1"/>
  <c r="BI375" i="1"/>
  <c r="BH375" i="1"/>
  <c r="BG375" i="1"/>
  <c r="BF375" i="1"/>
  <c r="BD375" i="1"/>
  <c r="BC375" i="1"/>
  <c r="BB375" i="1"/>
  <c r="BA375" i="1"/>
  <c r="AY375" i="1"/>
  <c r="AX375" i="1"/>
  <c r="AW375" i="1"/>
  <c r="AV375" i="1"/>
  <c r="AT375" i="1"/>
  <c r="AS375" i="1"/>
  <c r="AR375" i="1"/>
  <c r="AQ375" i="1"/>
  <c r="AO375" i="1"/>
  <c r="AN375" i="1"/>
  <c r="AM375" i="1"/>
  <c r="AL375" i="1"/>
  <c r="AJ375" i="1"/>
  <c r="AI375" i="1"/>
  <c r="AH375" i="1"/>
  <c r="AG375" i="1"/>
  <c r="AE375" i="1"/>
  <c r="AD375" i="1"/>
  <c r="AC375" i="1"/>
  <c r="AB375" i="1"/>
  <c r="Z375" i="1"/>
  <c r="Y375" i="1"/>
  <c r="X375" i="1"/>
  <c r="W375" i="1"/>
  <c r="U375" i="1"/>
  <c r="T375" i="1"/>
  <c r="S375" i="1"/>
  <c r="R375" i="1"/>
  <c r="P375" i="1"/>
  <c r="O375" i="1"/>
  <c r="N375" i="1"/>
  <c r="M375" i="1"/>
  <c r="K375" i="1"/>
  <c r="J375" i="1"/>
  <c r="I375" i="1"/>
  <c r="H375" i="1"/>
  <c r="F375" i="1"/>
  <c r="E375" i="1"/>
  <c r="D375" i="1"/>
  <c r="C375" i="1"/>
  <c r="B375" i="1"/>
  <c r="AK425" i="1"/>
  <c r="AJ368" i="1"/>
  <c r="AJ425" i="1" s="1"/>
  <c r="AI368" i="1"/>
  <c r="AI425" i="1" s="1"/>
  <c r="AH368" i="1"/>
  <c r="AH425" i="1" s="1"/>
  <c r="AG368" i="1"/>
  <c r="AG425" i="1" s="1"/>
  <c r="V368" i="1"/>
  <c r="V425" i="1" s="1"/>
  <c r="U368" i="1"/>
  <c r="U425" i="1" s="1"/>
  <c r="T368" i="1"/>
  <c r="T425" i="1" s="1"/>
  <c r="S368" i="1"/>
  <c r="S425" i="1" s="1"/>
  <c r="R368" i="1"/>
  <c r="R425" i="1" s="1"/>
  <c r="Q368" i="1"/>
  <c r="Q425" i="1" s="1"/>
  <c r="P368" i="1"/>
  <c r="P425" i="1" s="1"/>
  <c r="O368" i="1"/>
  <c r="O425" i="1" s="1"/>
  <c r="N368" i="1"/>
  <c r="N425" i="1" s="1"/>
  <c r="M368" i="1"/>
  <c r="M425" i="1" s="1"/>
  <c r="L368" i="1"/>
  <c r="L425" i="1" s="1"/>
  <c r="K368" i="1"/>
  <c r="K425" i="1" s="1"/>
  <c r="J368" i="1"/>
  <c r="I368" i="1"/>
  <c r="H368" i="1"/>
  <c r="H425" i="1" s="1"/>
  <c r="G368" i="1"/>
  <c r="G425" i="1" s="1"/>
  <c r="AV366" i="1"/>
  <c r="AT366" i="1"/>
  <c r="AS366" i="1"/>
  <c r="AR366" i="1"/>
  <c r="AQ366" i="1"/>
  <c r="AP366" i="1"/>
  <c r="AO366" i="1"/>
  <c r="AN366" i="1"/>
  <c r="AM366" i="1"/>
  <c r="AL366" i="1"/>
  <c r="BA366" i="1"/>
  <c r="AY366" i="1"/>
  <c r="AX366" i="1"/>
  <c r="AU364" i="1"/>
  <c r="AU366" i="1" s="1"/>
  <c r="AV358" i="1"/>
  <c r="AT358" i="1"/>
  <c r="AS358" i="1"/>
  <c r="AR358" i="1"/>
  <c r="AQ358" i="1"/>
  <c r="AP358" i="1"/>
  <c r="AO358" i="1"/>
  <c r="AN358" i="1"/>
  <c r="AM358" i="1"/>
  <c r="AL358" i="1"/>
  <c r="BZ358" i="1"/>
  <c r="BX358" i="1"/>
  <c r="BW358" i="1"/>
  <c r="AY358" i="1"/>
  <c r="AW358" i="1"/>
  <c r="AU356" i="1"/>
  <c r="AU358" i="1" s="1"/>
  <c r="AV350" i="1"/>
  <c r="AT350" i="1"/>
  <c r="AS350" i="1"/>
  <c r="AR350" i="1"/>
  <c r="AQ350" i="1"/>
  <c r="AP350" i="1"/>
  <c r="AO350" i="1"/>
  <c r="AN350" i="1"/>
  <c r="AM350" i="1"/>
  <c r="AL350" i="1"/>
  <c r="BW350" i="1"/>
  <c r="AX350" i="1"/>
  <c r="AW350" i="1"/>
  <c r="AU348" i="1"/>
  <c r="AU350" i="1" s="1"/>
  <c r="AV346" i="1"/>
  <c r="AT346" i="1"/>
  <c r="AS346" i="1"/>
  <c r="AR346" i="1"/>
  <c r="AQ346" i="1"/>
  <c r="BW346" i="1"/>
  <c r="AY346" i="1"/>
  <c r="AX346" i="1"/>
  <c r="AU344" i="1"/>
  <c r="AU346" i="1" s="1"/>
  <c r="AV342" i="1"/>
  <c r="AT342" i="1"/>
  <c r="AS342" i="1"/>
  <c r="AR342" i="1"/>
  <c r="AQ342" i="1"/>
  <c r="AP342" i="1"/>
  <c r="AO342" i="1"/>
  <c r="AN342" i="1"/>
  <c r="AM342" i="1"/>
  <c r="AL342" i="1"/>
  <c r="BW342" i="1"/>
  <c r="BA342" i="1"/>
  <c r="AY342" i="1"/>
  <c r="AX342" i="1"/>
  <c r="AW342" i="1"/>
  <c r="AU340" i="1"/>
  <c r="AU342" i="1" s="1"/>
  <c r="AP328" i="1"/>
  <c r="AO328" i="1"/>
  <c r="AN328" i="1"/>
  <c r="AM328" i="1"/>
  <c r="AL328" i="1"/>
  <c r="F326" i="1"/>
  <c r="F368" i="1" s="1"/>
  <c r="AV322" i="1"/>
  <c r="AV321" i="1"/>
  <c r="AT321" i="1"/>
  <c r="AS321" i="1"/>
  <c r="AR321" i="1"/>
  <c r="AQ321" i="1"/>
  <c r="BW322" i="1"/>
  <c r="BD326" i="1"/>
  <c r="AY326" i="1"/>
  <c r="AX322" i="1"/>
  <c r="AU320" i="1"/>
  <c r="B316" i="1"/>
  <c r="BI312" i="1"/>
  <c r="BH312" i="1"/>
  <c r="BG312" i="1"/>
  <c r="BF312" i="1"/>
  <c r="BD312" i="1"/>
  <c r="BC312" i="1"/>
  <c r="BB312" i="1"/>
  <c r="BA312" i="1"/>
  <c r="AY312" i="1"/>
  <c r="AX312" i="1"/>
  <c r="AW312" i="1"/>
  <c r="AV312" i="1"/>
  <c r="AT312" i="1"/>
  <c r="AS312" i="1"/>
  <c r="AR312" i="1"/>
  <c r="AQ312" i="1"/>
  <c r="AO312" i="1"/>
  <c r="AN312" i="1"/>
  <c r="AM312" i="1"/>
  <c r="AL312" i="1"/>
  <c r="AJ312" i="1"/>
  <c r="AI312" i="1"/>
  <c r="AH312" i="1"/>
  <c r="AG312" i="1"/>
  <c r="AE312" i="1"/>
  <c r="AD312" i="1"/>
  <c r="AC312" i="1"/>
  <c r="AB312" i="1"/>
  <c r="Z312" i="1"/>
  <c r="Y312" i="1"/>
  <c r="X312" i="1"/>
  <c r="W312" i="1"/>
  <c r="U312" i="1"/>
  <c r="T312" i="1"/>
  <c r="S312" i="1"/>
  <c r="R312" i="1"/>
  <c r="P312" i="1"/>
  <c r="O312" i="1"/>
  <c r="N312" i="1"/>
  <c r="M312" i="1"/>
  <c r="K312" i="1"/>
  <c r="J312" i="1"/>
  <c r="I312" i="1"/>
  <c r="H312" i="1"/>
  <c r="F312" i="1"/>
  <c r="E312" i="1"/>
  <c r="D312" i="1"/>
  <c r="C312" i="1"/>
  <c r="B312" i="1"/>
  <c r="AV310" i="1"/>
  <c r="AT310" i="1"/>
  <c r="AS310" i="1"/>
  <c r="AR310" i="1"/>
  <c r="AQ310" i="1"/>
  <c r="AP310" i="1"/>
  <c r="AO310" i="1"/>
  <c r="AN310" i="1"/>
  <c r="AM310" i="1"/>
  <c r="AL310" i="1"/>
  <c r="AK310" i="1"/>
  <c r="AJ310" i="1"/>
  <c r="AI310" i="1"/>
  <c r="AH310" i="1"/>
  <c r="AG310" i="1"/>
  <c r="AF310" i="1"/>
  <c r="AE310" i="1"/>
  <c r="AD310" i="1"/>
  <c r="AC310" i="1"/>
  <c r="AB310" i="1"/>
  <c r="AA310" i="1"/>
  <c r="Z310" i="1"/>
  <c r="Y310" i="1"/>
  <c r="X310" i="1"/>
  <c r="W310" i="1"/>
  <c r="V310" i="1"/>
  <c r="U310" i="1"/>
  <c r="T310" i="1"/>
  <c r="S310" i="1"/>
  <c r="R310" i="1"/>
  <c r="Q310" i="1"/>
  <c r="P310" i="1"/>
  <c r="O310" i="1"/>
  <c r="N310" i="1"/>
  <c r="M310" i="1"/>
  <c r="L310" i="1"/>
  <c r="BN309" i="1"/>
  <c r="BN310" i="1" s="1"/>
  <c r="BM309" i="1"/>
  <c r="BL309" i="1"/>
  <c r="BK309" i="1"/>
  <c r="BF309" i="1"/>
  <c r="BD309" i="1"/>
  <c r="BC309" i="1"/>
  <c r="BB309" i="1"/>
  <c r="BA309" i="1"/>
  <c r="AY309" i="1"/>
  <c r="AY310" i="1" s="1"/>
  <c r="AX309" i="1"/>
  <c r="AX310" i="1" s="1"/>
  <c r="AW309" i="1"/>
  <c r="AU309" i="1"/>
  <c r="AU397" i="1" s="1"/>
  <c r="BY307" i="1"/>
  <c r="CD307" i="1" s="1"/>
  <c r="CE307" i="1" s="1"/>
  <c r="CF307" i="1" s="1"/>
  <c r="CG307" i="1" s="1"/>
  <c r="CH307" i="1" s="1"/>
  <c r="CI307" i="1" s="1"/>
  <c r="CJ307" i="1" s="1"/>
  <c r="AT306" i="1"/>
  <c r="AS306" i="1"/>
  <c r="AR306" i="1"/>
  <c r="AQ306" i="1"/>
  <c r="AP306" i="1"/>
  <c r="AO306" i="1"/>
  <c r="AN306" i="1"/>
  <c r="AM306" i="1"/>
  <c r="AL306" i="1"/>
  <c r="AK306" i="1"/>
  <c r="AJ306" i="1"/>
  <c r="AI306" i="1"/>
  <c r="AH306" i="1"/>
  <c r="AG306" i="1"/>
  <c r="AF306" i="1"/>
  <c r="AF307" i="1" s="1"/>
  <c r="P304" i="1"/>
  <c r="O304" i="1"/>
  <c r="N304" i="1"/>
  <c r="M304" i="1"/>
  <c r="AP303" i="1"/>
  <c r="AK303" i="1"/>
  <c r="AF303" i="1"/>
  <c r="BN302" i="1"/>
  <c r="BM302" i="1"/>
  <c r="BL302" i="1"/>
  <c r="BK302" i="1"/>
  <c r="BF302" i="1"/>
  <c r="BD302" i="1"/>
  <c r="BC302" i="1"/>
  <c r="BB302" i="1"/>
  <c r="BA302" i="1"/>
  <c r="AY302" i="1"/>
  <c r="AZ302" i="1" s="1"/>
  <c r="AX302" i="1"/>
  <c r="AW302" i="1"/>
  <c r="AU302" i="1"/>
  <c r="AV306" i="1" s="1"/>
  <c r="V300" i="1"/>
  <c r="AA300" i="1" s="1"/>
  <c r="AO298" i="1"/>
  <c r="AO304" i="1" s="1"/>
  <c r="AN298" i="1"/>
  <c r="AN304" i="1" s="1"/>
  <c r="AM298" i="1"/>
  <c r="AM304" i="1" s="1"/>
  <c r="AL298" i="1"/>
  <c r="AL304" i="1" s="1"/>
  <c r="AJ298" i="1"/>
  <c r="AJ304" i="1" s="1"/>
  <c r="AI298" i="1"/>
  <c r="AI304" i="1" s="1"/>
  <c r="AH298" i="1"/>
  <c r="AH304" i="1" s="1"/>
  <c r="AG298" i="1"/>
  <c r="AG304" i="1" s="1"/>
  <c r="AE298" i="1"/>
  <c r="AE304" i="1" s="1"/>
  <c r="AD298" i="1"/>
  <c r="AD304" i="1" s="1"/>
  <c r="AC298" i="1"/>
  <c r="AC304" i="1" s="1"/>
  <c r="AB298" i="1"/>
  <c r="AB304" i="1" s="1"/>
  <c r="Z298" i="1"/>
  <c r="Y298" i="1"/>
  <c r="X298" i="1"/>
  <c r="W298" i="1"/>
  <c r="U298" i="1"/>
  <c r="T298" i="1"/>
  <c r="S298" i="1"/>
  <c r="R298" i="1"/>
  <c r="Q298" i="1"/>
  <c r="CW297" i="1"/>
  <c r="CX297" i="1" s="1"/>
  <c r="CY297" i="1" s="1"/>
  <c r="CZ297" i="1" s="1"/>
  <c r="DA297" i="1" s="1"/>
  <c r="DB297" i="1" s="1"/>
  <c r="DC297" i="1" s="1"/>
  <c r="CV297" i="1"/>
  <c r="CU297" i="1"/>
  <c r="CT297" i="1"/>
  <c r="CS297" i="1"/>
  <c r="CI297" i="1"/>
  <c r="CH297" i="1"/>
  <c r="CG297" i="1"/>
  <c r="CF297" i="1"/>
  <c r="CE297" i="1"/>
  <c r="CD297" i="1"/>
  <c r="BY297" i="1"/>
  <c r="BT297" i="1"/>
  <c r="BO297" i="1"/>
  <c r="BJ297" i="1"/>
  <c r="BE297" i="1"/>
  <c r="AZ297" i="1"/>
  <c r="AU297" i="1"/>
  <c r="AP297" i="1"/>
  <c r="AK297" i="1"/>
  <c r="AF297" i="1"/>
  <c r="AA297" i="1"/>
  <c r="V297" i="1"/>
  <c r="CS296" i="1"/>
  <c r="CT296" i="1" s="1"/>
  <c r="CU296" i="1" s="1"/>
  <c r="CV296" i="1" s="1"/>
  <c r="CW296" i="1" s="1"/>
  <c r="CX296" i="1" s="1"/>
  <c r="CY296" i="1" s="1"/>
  <c r="CZ296" i="1" s="1"/>
  <c r="DA296" i="1" s="1"/>
  <c r="DB296" i="1" s="1"/>
  <c r="DC296" i="1" s="1"/>
  <c r="AV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BS288" i="1"/>
  <c r="BR288" i="1"/>
  <c r="BQ288" i="1"/>
  <c r="BP288" i="1"/>
  <c r="BN288" i="1"/>
  <c r="BM288" i="1"/>
  <c r="BL288" i="1"/>
  <c r="BK288" i="1"/>
  <c r="BI288" i="1"/>
  <c r="BH288" i="1"/>
  <c r="BG288" i="1"/>
  <c r="BF288" i="1"/>
  <c r="BD288" i="1"/>
  <c r="BC288" i="1"/>
  <c r="BB288" i="1"/>
  <c r="BA288" i="1"/>
  <c r="AY288" i="1"/>
  <c r="AX288" i="1"/>
  <c r="AX289" i="1" s="1"/>
  <c r="AW288" i="1"/>
  <c r="AU288" i="1"/>
  <c r="B2" i="5" s="1"/>
  <c r="CA286" i="1"/>
  <c r="BQ378" i="1"/>
  <c r="BM378" i="1"/>
  <c r="BI378" i="1"/>
  <c r="BG378" i="1"/>
  <c r="BC378" i="1"/>
  <c r="AY378" i="1"/>
  <c r="AX378" i="1"/>
  <c r="AW378" i="1"/>
  <c r="AA218" i="1"/>
  <c r="BX40" i="7" s="1"/>
  <c r="AK217" i="1"/>
  <c r="AJ217" i="1"/>
  <c r="P36" i="6" s="1"/>
  <c r="P77" i="6" s="1"/>
  <c r="AI217" i="1"/>
  <c r="O36" i="6" s="1"/>
  <c r="O77" i="6" s="1"/>
  <c r="AH217" i="1"/>
  <c r="N36" i="6" s="1"/>
  <c r="N77" i="6" s="1"/>
  <c r="AG217" i="1"/>
  <c r="M36" i="6" s="1"/>
  <c r="M77" i="6" s="1"/>
  <c r="AF217" i="1"/>
  <c r="AE217" i="1"/>
  <c r="L36" i="6" s="1"/>
  <c r="L77" i="6" s="1"/>
  <c r="AD217" i="1"/>
  <c r="K36" i="6" s="1"/>
  <c r="K77" i="6" s="1"/>
  <c r="AC217" i="1"/>
  <c r="J36" i="6" s="1"/>
  <c r="J77" i="6" s="1"/>
  <c r="AB217" i="1"/>
  <c r="I36" i="6" s="1"/>
  <c r="I77" i="6" s="1"/>
  <c r="AA217" i="1"/>
  <c r="Z217" i="1"/>
  <c r="Y217" i="1"/>
  <c r="X217" i="1"/>
  <c r="W217" i="1"/>
  <c r="AK215" i="1"/>
  <c r="AJ215" i="1"/>
  <c r="P7" i="6" s="1"/>
  <c r="AI215" i="1"/>
  <c r="O7" i="6" s="1"/>
  <c r="AH215" i="1"/>
  <c r="N7" i="6" s="1"/>
  <c r="AG215" i="1"/>
  <c r="M7" i="6" s="1"/>
  <c r="AE215" i="1"/>
  <c r="L7" i="6" s="1"/>
  <c r="AD215" i="1"/>
  <c r="K7" i="6" s="1"/>
  <c r="AC215" i="1"/>
  <c r="J7" i="6" s="1"/>
  <c r="AB215" i="1"/>
  <c r="I7" i="6" s="1"/>
  <c r="Z215" i="1"/>
  <c r="Y215" i="1"/>
  <c r="X215" i="1"/>
  <c r="W215" i="1"/>
  <c r="AA214" i="1"/>
  <c r="BX39" i="7" s="1"/>
  <c r="AV208" i="1"/>
  <c r="AU208" i="1"/>
  <c r="AS208" i="1"/>
  <c r="W40" i="6" s="1"/>
  <c r="BV207" i="1"/>
  <c r="BG207" i="1"/>
  <c r="AZ36" i="7" s="1"/>
  <c r="BF207" i="1"/>
  <c r="AY36" i="7" s="1"/>
  <c r="BD207" i="1"/>
  <c r="AX36" i="7" s="1"/>
  <c r="BC207" i="1"/>
  <c r="AW36" i="7" s="1"/>
  <c r="BB207" i="1"/>
  <c r="AV36" i="7" s="1"/>
  <c r="BA207" i="1"/>
  <c r="AU36" i="7" s="1"/>
  <c r="AV206" i="1"/>
  <c r="AQ35" i="7" s="1"/>
  <c r="AT206" i="1"/>
  <c r="AP35" i="7" s="1"/>
  <c r="AS206" i="1"/>
  <c r="AO35" i="7" s="1"/>
  <c r="AR206" i="1"/>
  <c r="AN35" i="7" s="1"/>
  <c r="AQ206" i="1"/>
  <c r="AM35" i="7" s="1"/>
  <c r="AO206" i="1"/>
  <c r="AT205" i="1"/>
  <c r="AS205" i="1"/>
  <c r="AR205" i="1"/>
  <c r="CG204" i="1"/>
  <c r="CH204" i="1" s="1"/>
  <c r="CI204" i="1" s="1"/>
  <c r="CJ204" i="1" s="1"/>
  <c r="CK204" i="1" s="1"/>
  <c r="CL204" i="1" s="1"/>
  <c r="CM204" i="1" s="1"/>
  <c r="AV204" i="1"/>
  <c r="AT204" i="1"/>
  <c r="BV203" i="1"/>
  <c r="BU203" i="1"/>
  <c r="BS203" i="1"/>
  <c r="BX204" i="1" s="1"/>
  <c r="BR203" i="1"/>
  <c r="BW204" i="1" s="1"/>
  <c r="BQ203" i="1"/>
  <c r="BP203" i="1"/>
  <c r="BN203" i="1"/>
  <c r="BM203" i="1"/>
  <c r="BL203" i="1"/>
  <c r="BK203" i="1"/>
  <c r="BI203" i="1"/>
  <c r="BH203" i="1"/>
  <c r="BG203" i="1"/>
  <c r="BF203" i="1"/>
  <c r="BD203" i="1"/>
  <c r="BC203" i="1"/>
  <c r="BB203" i="1"/>
  <c r="BA203" i="1"/>
  <c r="BA204" i="1" s="1"/>
  <c r="AY203" i="1"/>
  <c r="AX203" i="1"/>
  <c r="AW203" i="1"/>
  <c r="AW204" i="1" s="1"/>
  <c r="AU203" i="1"/>
  <c r="AV205" i="1" s="1"/>
  <c r="AP203" i="1"/>
  <c r="AV202" i="1"/>
  <c r="AT202" i="1"/>
  <c r="BV201" i="1"/>
  <c r="CA202" i="1" s="1"/>
  <c r="BU201" i="1"/>
  <c r="BZ202" i="1" s="1"/>
  <c r="BS201" i="1"/>
  <c r="BX202" i="1" s="1"/>
  <c r="BR201" i="1"/>
  <c r="BW202" i="1" s="1"/>
  <c r="BQ201" i="1"/>
  <c r="BP201" i="1"/>
  <c r="BN201" i="1"/>
  <c r="BM201" i="1"/>
  <c r="BL201" i="1"/>
  <c r="BK201" i="1"/>
  <c r="BI201" i="1"/>
  <c r="BH201" i="1"/>
  <c r="BG201" i="1"/>
  <c r="BF201" i="1"/>
  <c r="BD201" i="1"/>
  <c r="BC201" i="1"/>
  <c r="BB201" i="1"/>
  <c r="BA201" i="1"/>
  <c r="BA202" i="1" s="1"/>
  <c r="AY201" i="1"/>
  <c r="AY202" i="1" s="1"/>
  <c r="AX201" i="1"/>
  <c r="AX202" i="1" s="1"/>
  <c r="AW201" i="1"/>
  <c r="AW202" i="1" s="1"/>
  <c r="AU201" i="1"/>
  <c r="AU202" i="1" s="1"/>
  <c r="BV199" i="1"/>
  <c r="CA200" i="1" s="1"/>
  <c r="BU199" i="1"/>
  <c r="BZ200" i="1" s="1"/>
  <c r="BS199" i="1"/>
  <c r="BX200" i="1" s="1"/>
  <c r="BR199" i="1"/>
  <c r="BW200" i="1" s="1"/>
  <c r="BQ199" i="1"/>
  <c r="BP199" i="1"/>
  <c r="BN199" i="1"/>
  <c r="BM199" i="1"/>
  <c r="BL199" i="1"/>
  <c r="BK199" i="1"/>
  <c r="BI199" i="1"/>
  <c r="BH199" i="1"/>
  <c r="BG199" i="1"/>
  <c r="BF199" i="1"/>
  <c r="BD199" i="1"/>
  <c r="BC199" i="1"/>
  <c r="BB199" i="1"/>
  <c r="BA199" i="1"/>
  <c r="AY199" i="1"/>
  <c r="AX199" i="1"/>
  <c r="AW199" i="1"/>
  <c r="AV199" i="1"/>
  <c r="R169" i="6" s="1"/>
  <c r="AT199" i="1"/>
  <c r="Q169" i="6" s="1"/>
  <c r="AS199" i="1"/>
  <c r="P169" i="6" s="1"/>
  <c r="AR199" i="1"/>
  <c r="O169" i="6" s="1"/>
  <c r="AQ199" i="1"/>
  <c r="N169" i="6" s="1"/>
  <c r="AO199" i="1"/>
  <c r="M169" i="6" s="1"/>
  <c r="AV197" i="1"/>
  <c r="AT197" i="1"/>
  <c r="X39" i="6" s="1"/>
  <c r="AS197" i="1"/>
  <c r="W39" i="6" s="1"/>
  <c r="AR197" i="1"/>
  <c r="V39" i="6" s="1"/>
  <c r="AQ197" i="1"/>
  <c r="U39" i="6" s="1"/>
  <c r="AO197" i="1"/>
  <c r="T39" i="6" s="1"/>
  <c r="BV196" i="1"/>
  <c r="CA197" i="1" s="1"/>
  <c r="BU196" i="1"/>
  <c r="BZ197" i="1" s="1"/>
  <c r="BS196" i="1"/>
  <c r="BR196" i="1"/>
  <c r="BQ196" i="1"/>
  <c r="BH34" i="7" s="1"/>
  <c r="BP196" i="1"/>
  <c r="BG34" i="7" s="1"/>
  <c r="BN196" i="1"/>
  <c r="BF34" i="7" s="1"/>
  <c r="BM196" i="1"/>
  <c r="BE34" i="7" s="1"/>
  <c r="BL196" i="1"/>
  <c r="BD34" i="7" s="1"/>
  <c r="BK196" i="1"/>
  <c r="BC34" i="7" s="1"/>
  <c r="BI196" i="1"/>
  <c r="BB34" i="7" s="1"/>
  <c r="BH196" i="1"/>
  <c r="BA34" i="7" s="1"/>
  <c r="BG196" i="1"/>
  <c r="AZ34" i="7" s="1"/>
  <c r="BF196" i="1"/>
  <c r="AY34" i="7" s="1"/>
  <c r="BD196" i="1"/>
  <c r="AX34" i="7" s="1"/>
  <c r="BC196" i="1"/>
  <c r="AW34" i="7" s="1"/>
  <c r="BB196" i="1"/>
  <c r="AV34" i="7" s="1"/>
  <c r="BA196" i="1"/>
  <c r="AU34" i="7" s="1"/>
  <c r="AY196" i="1"/>
  <c r="AT34" i="7" s="1"/>
  <c r="AX196" i="1"/>
  <c r="AS34" i="7" s="1"/>
  <c r="AW196" i="1"/>
  <c r="AR34" i="7" s="1"/>
  <c r="AU196" i="1"/>
  <c r="CB34" i="7" s="1"/>
  <c r="AP196" i="1"/>
  <c r="CA34" i="7" s="1"/>
  <c r="AK196" i="1"/>
  <c r="BZ34" i="7" s="1"/>
  <c r="BJ190" i="1"/>
  <c r="BO190" i="1" s="1"/>
  <c r="BT190" i="1" s="1"/>
  <c r="AU189" i="1"/>
  <c r="CB47" i="7" s="1"/>
  <c r="AS188" i="1"/>
  <c r="W37" i="6" s="1"/>
  <c r="AR188" i="1"/>
  <c r="V37" i="6" s="1"/>
  <c r="AQ188" i="1"/>
  <c r="U37" i="6" s="1"/>
  <c r="AV187" i="1"/>
  <c r="AT187" i="1"/>
  <c r="X33" i="6" s="1"/>
  <c r="AP187" i="1"/>
  <c r="AE184" i="1"/>
  <c r="AD184" i="1"/>
  <c r="AC184" i="1"/>
  <c r="AB184" i="1"/>
  <c r="BE183" i="1"/>
  <c r="BJ183" i="1" s="1"/>
  <c r="BO183" i="1" s="1"/>
  <c r="BT183" i="1" s="1"/>
  <c r="AP183" i="1"/>
  <c r="AK183" i="1"/>
  <c r="AJ183" i="1"/>
  <c r="AI183" i="1"/>
  <c r="AH183" i="1"/>
  <c r="AG183" i="1"/>
  <c r="AE183" i="1"/>
  <c r="AD183" i="1"/>
  <c r="AC183" i="1"/>
  <c r="AB183" i="1"/>
  <c r="AP182" i="1"/>
  <c r="AK182" i="1"/>
  <c r="AJ182" i="1"/>
  <c r="AI182" i="1"/>
  <c r="AH182" i="1"/>
  <c r="AG182" i="1"/>
  <c r="AF182" i="1"/>
  <c r="AE182" i="1"/>
  <c r="AD182" i="1"/>
  <c r="AC182" i="1"/>
  <c r="AB182" i="1"/>
  <c r="AP181" i="1"/>
  <c r="AK181" i="1"/>
  <c r="AJ181" i="1"/>
  <c r="AI181" i="1"/>
  <c r="AH181" i="1"/>
  <c r="AG181" i="1"/>
  <c r="AF181" i="1"/>
  <c r="AE181" i="1"/>
  <c r="AD181" i="1"/>
  <c r="AC181" i="1"/>
  <c r="AB181" i="1"/>
  <c r="Z181" i="1"/>
  <c r="Y181" i="1"/>
  <c r="X181" i="1"/>
  <c r="W181" i="1"/>
  <c r="AJ176" i="1"/>
  <c r="AI176" i="1"/>
  <c r="AH176" i="1"/>
  <c r="AG176" i="1"/>
  <c r="AU175" i="1"/>
  <c r="AZ175" i="1" s="1"/>
  <c r="AV170" i="1"/>
  <c r="AT170" i="1"/>
  <c r="AS170" i="1"/>
  <c r="AR170" i="1"/>
  <c r="AQ170" i="1"/>
  <c r="AO170" i="1"/>
  <c r="AN170" i="1"/>
  <c r="AM170" i="1"/>
  <c r="AL170" i="1"/>
  <c r="AJ170" i="1"/>
  <c r="AI170" i="1"/>
  <c r="AH170" i="1"/>
  <c r="AG170" i="1"/>
  <c r="AE170" i="1"/>
  <c r="AD170" i="1"/>
  <c r="AC170" i="1"/>
  <c r="AB170" i="1"/>
  <c r="Z170" i="1"/>
  <c r="Y170" i="1"/>
  <c r="X170" i="1"/>
  <c r="W170" i="1"/>
  <c r="V170" i="1"/>
  <c r="U170" i="1"/>
  <c r="T170" i="1"/>
  <c r="S170" i="1"/>
  <c r="R170" i="1"/>
  <c r="P170" i="1"/>
  <c r="O170" i="1"/>
  <c r="N170" i="1"/>
  <c r="M170" i="1"/>
  <c r="G170" i="1"/>
  <c r="BV169" i="1"/>
  <c r="CA170" i="1" s="1"/>
  <c r="BU169" i="1"/>
  <c r="BZ170" i="1" s="1"/>
  <c r="BS169" i="1"/>
  <c r="BR169" i="1"/>
  <c r="BW170" i="1" s="1"/>
  <c r="BQ169" i="1"/>
  <c r="BP169" i="1"/>
  <c r="BN169" i="1"/>
  <c r="BM169" i="1"/>
  <c r="BL169" i="1"/>
  <c r="BK169" i="1"/>
  <c r="BC26" i="7" s="1"/>
  <c r="BI169" i="1"/>
  <c r="BH169" i="1"/>
  <c r="BG169" i="1"/>
  <c r="AZ26" i="7" s="1"/>
  <c r="BF169" i="1"/>
  <c r="BD169" i="1"/>
  <c r="BC169" i="1"/>
  <c r="AW26" i="7" s="1"/>
  <c r="BB169" i="1"/>
  <c r="BA169" i="1"/>
  <c r="BA170" i="1" s="1"/>
  <c r="AY169" i="1"/>
  <c r="AT26" i="7" s="1"/>
  <c r="AX169" i="1"/>
  <c r="AS26" i="7" s="1"/>
  <c r="AW169" i="1"/>
  <c r="AR26" i="7" s="1"/>
  <c r="AU169" i="1"/>
  <c r="L169" i="1"/>
  <c r="Q170" i="1" s="1"/>
  <c r="AT164" i="1"/>
  <c r="AS164" i="1"/>
  <c r="AR164" i="1"/>
  <c r="AQ164" i="1"/>
  <c r="AO164" i="1"/>
  <c r="AN164" i="1"/>
  <c r="AM164" i="1"/>
  <c r="AL164" i="1"/>
  <c r="AJ164" i="1"/>
  <c r="AI164" i="1"/>
  <c r="AH164" i="1"/>
  <c r="AG164" i="1"/>
  <c r="AE164" i="1"/>
  <c r="AD164" i="1"/>
  <c r="AC164" i="1"/>
  <c r="AB164" i="1"/>
  <c r="Z164" i="1"/>
  <c r="Y164" i="1"/>
  <c r="X164" i="1"/>
  <c r="W164" i="1"/>
  <c r="U164" i="1"/>
  <c r="T164" i="1"/>
  <c r="S164" i="1"/>
  <c r="R164" i="1"/>
  <c r="P164" i="1"/>
  <c r="O164" i="1"/>
  <c r="N164" i="1"/>
  <c r="M164" i="1"/>
  <c r="K164" i="1"/>
  <c r="J164" i="1"/>
  <c r="I164" i="1"/>
  <c r="H164" i="1"/>
  <c r="F164" i="1"/>
  <c r="E164" i="1"/>
  <c r="D164" i="1"/>
  <c r="C164" i="1"/>
  <c r="B164" i="1"/>
  <c r="B186" i="1" s="1"/>
  <c r="G186" i="1" s="1"/>
  <c r="L186" i="1" s="1"/>
  <c r="Q186" i="1" s="1"/>
  <c r="V186" i="1" s="1"/>
  <c r="AA186" i="1" s="1"/>
  <c r="AF186" i="1" s="1"/>
  <c r="AK186" i="1" s="1"/>
  <c r="AP186" i="1" s="1"/>
  <c r="AU186" i="1" s="1"/>
  <c r="AZ186" i="1" s="1"/>
  <c r="BE186" i="1" s="1"/>
  <c r="BJ186" i="1" s="1"/>
  <c r="BO186" i="1" s="1"/>
  <c r="BT186" i="1" s="1"/>
  <c r="BV158" i="1"/>
  <c r="BU158" i="1"/>
  <c r="BS158" i="1"/>
  <c r="BR158" i="1"/>
  <c r="BQ158" i="1"/>
  <c r="BP158" i="1"/>
  <c r="BN158" i="1"/>
  <c r="BM158" i="1"/>
  <c r="BL158" i="1"/>
  <c r="BK158" i="1"/>
  <c r="BG158" i="1"/>
  <c r="BF158" i="1"/>
  <c r="BD158" i="1"/>
  <c r="BE158" i="1" s="1"/>
  <c r="BC158" i="1"/>
  <c r="BB158" i="1"/>
  <c r="BA158" i="1"/>
  <c r="AY158" i="1"/>
  <c r="AZ158" i="1" s="1"/>
  <c r="AX158" i="1"/>
  <c r="AW158" i="1"/>
  <c r="AV158" i="1"/>
  <c r="AV159" i="1" s="1"/>
  <c r="AU158" i="1"/>
  <c r="BV153" i="1"/>
  <c r="CA154" i="1" s="1"/>
  <c r="BU153" i="1"/>
  <c r="BZ154" i="1" s="1"/>
  <c r="BS153" i="1"/>
  <c r="BX154" i="1" s="1"/>
  <c r="BR153" i="1"/>
  <c r="BW154" i="1" s="1"/>
  <c r="BQ153" i="1"/>
  <c r="BP153" i="1"/>
  <c r="BN153" i="1"/>
  <c r="BN154" i="1" s="1"/>
  <c r="BM153" i="1"/>
  <c r="BM154" i="1" s="1"/>
  <c r="BL153" i="1"/>
  <c r="BK153" i="1"/>
  <c r="BG153" i="1"/>
  <c r="BF153" i="1"/>
  <c r="BD153" i="1"/>
  <c r="BC153" i="1"/>
  <c r="BB153" i="1"/>
  <c r="BA153" i="1"/>
  <c r="AY153" i="1"/>
  <c r="AX153" i="1"/>
  <c r="AW153" i="1"/>
  <c r="AV153" i="1"/>
  <c r="AT153" i="1"/>
  <c r="AS153" i="1"/>
  <c r="AR153" i="1"/>
  <c r="AQ153" i="1"/>
  <c r="AO153" i="1"/>
  <c r="AN153" i="1"/>
  <c r="AM153" i="1"/>
  <c r="AL153" i="1"/>
  <c r="A152" i="1"/>
  <c r="BS151" i="1"/>
  <c r="BR151" i="1"/>
  <c r="BQ151" i="1"/>
  <c r="BP151" i="1"/>
  <c r="BN151" i="1"/>
  <c r="BM151" i="1"/>
  <c r="BL151" i="1"/>
  <c r="BK151" i="1"/>
  <c r="BG151" i="1"/>
  <c r="BF151" i="1"/>
  <c r="BD151" i="1"/>
  <c r="BC151" i="1"/>
  <c r="BB151" i="1"/>
  <c r="BA151" i="1"/>
  <c r="AY151" i="1"/>
  <c r="AX151" i="1"/>
  <c r="AW151" i="1"/>
  <c r="AV151" i="1"/>
  <c r="AV152" i="1" s="1"/>
  <c r="AU151" i="1"/>
  <c r="AO151" i="1"/>
  <c r="AT152" i="1" s="1"/>
  <c r="AN151" i="1"/>
  <c r="AS152" i="1" s="1"/>
  <c r="AM151" i="1"/>
  <c r="AR152" i="1" s="1"/>
  <c r="AL151" i="1"/>
  <c r="AQ152" i="1" s="1"/>
  <c r="BV147" i="1"/>
  <c r="BU147" i="1"/>
  <c r="BS147" i="1"/>
  <c r="BR147" i="1"/>
  <c r="BQ147" i="1"/>
  <c r="BP147" i="1"/>
  <c r="BN147" i="1"/>
  <c r="BM147" i="1"/>
  <c r="BL147" i="1"/>
  <c r="BK147" i="1"/>
  <c r="BG147" i="1"/>
  <c r="BF147" i="1"/>
  <c r="BD147" i="1"/>
  <c r="BE147" i="1" s="1"/>
  <c r="BC147" i="1"/>
  <c r="BB147" i="1"/>
  <c r="BA147" i="1"/>
  <c r="AY147" i="1"/>
  <c r="AZ147" i="1" s="1"/>
  <c r="AX147" i="1"/>
  <c r="AW147" i="1"/>
  <c r="AV147" i="1"/>
  <c r="BV142" i="1"/>
  <c r="CA143" i="1" s="1"/>
  <c r="BU142" i="1"/>
  <c r="BZ143" i="1" s="1"/>
  <c r="BS142" i="1"/>
  <c r="BX143" i="1" s="1"/>
  <c r="BR142" i="1"/>
  <c r="BW143" i="1" s="1"/>
  <c r="BQ142" i="1"/>
  <c r="BP142" i="1"/>
  <c r="BN142" i="1"/>
  <c r="BN143" i="1" s="1"/>
  <c r="BM142" i="1"/>
  <c r="BM143" i="1" s="1"/>
  <c r="BL142" i="1"/>
  <c r="BK142" i="1"/>
  <c r="BG142" i="1"/>
  <c r="BF142" i="1"/>
  <c r="BD142" i="1"/>
  <c r="BC142" i="1"/>
  <c r="BB142" i="1"/>
  <c r="BA142" i="1"/>
  <c r="AY142" i="1"/>
  <c r="AX142" i="1"/>
  <c r="AW142" i="1"/>
  <c r="AV142" i="1"/>
  <c r="AT142" i="1"/>
  <c r="AS142" i="1"/>
  <c r="AR142" i="1"/>
  <c r="AQ142" i="1"/>
  <c r="AO142" i="1"/>
  <c r="AN142" i="1"/>
  <c r="AM142" i="1"/>
  <c r="AL142" i="1"/>
  <c r="BS140" i="1"/>
  <c r="BR140" i="1"/>
  <c r="BQ140" i="1"/>
  <c r="BP140" i="1"/>
  <c r="BN140" i="1"/>
  <c r="BM140" i="1"/>
  <c r="BL140" i="1"/>
  <c r="BK140" i="1"/>
  <c r="BG140" i="1"/>
  <c r="BF140" i="1"/>
  <c r="BD140" i="1"/>
  <c r="BC140" i="1"/>
  <c r="BB140" i="1"/>
  <c r="BA140" i="1"/>
  <c r="AY140" i="1"/>
  <c r="AY141" i="1" s="1"/>
  <c r="AX140" i="1"/>
  <c r="AX141" i="1" s="1"/>
  <c r="AW140" i="1"/>
  <c r="AV140" i="1"/>
  <c r="AU140" i="1"/>
  <c r="AO140" i="1"/>
  <c r="AT141" i="1" s="1"/>
  <c r="AN140" i="1"/>
  <c r="AS141" i="1" s="1"/>
  <c r="AM140" i="1"/>
  <c r="AR141" i="1" s="1"/>
  <c r="AL140" i="1"/>
  <c r="AQ141" i="1" s="1"/>
  <c r="CD133" i="1"/>
  <c r="AU133" i="1"/>
  <c r="AZ133" i="1" s="1"/>
  <c r="AZ129" i="1"/>
  <c r="AP128" i="1"/>
  <c r="CA45" i="7" s="1"/>
  <c r="AK128" i="1"/>
  <c r="BZ45" i="7" s="1"/>
  <c r="AJ128" i="1"/>
  <c r="AH45" i="7" s="1"/>
  <c r="AI128" i="1"/>
  <c r="AG45" i="7" s="1"/>
  <c r="AH128" i="1"/>
  <c r="AF45" i="7" s="1"/>
  <c r="AG128" i="1"/>
  <c r="AE45" i="7" s="1"/>
  <c r="AF128" i="1"/>
  <c r="BY45" i="7" s="1"/>
  <c r="AE128" i="1"/>
  <c r="AD45" i="7" s="1"/>
  <c r="AD128" i="1"/>
  <c r="AC45" i="7" s="1"/>
  <c r="AC128" i="1"/>
  <c r="AB45" i="7" s="1"/>
  <c r="AB128" i="1"/>
  <c r="AA45" i="7" s="1"/>
  <c r="AA128" i="1"/>
  <c r="BX45" i="7" s="1"/>
  <c r="Z128" i="1"/>
  <c r="Z45" i="7" s="1"/>
  <c r="Y128" i="1"/>
  <c r="Y45" i="7" s="1"/>
  <c r="X128" i="1"/>
  <c r="X45" i="7" s="1"/>
  <c r="W128" i="1"/>
  <c r="W45" i="7" s="1"/>
  <c r="A126" i="1"/>
  <c r="A129" i="1" s="1"/>
  <c r="AJ125" i="1"/>
  <c r="AI125" i="1"/>
  <c r="AH125" i="1"/>
  <c r="AG125" i="1"/>
  <c r="AE125" i="1"/>
  <c r="AD125" i="1"/>
  <c r="AC125" i="1"/>
  <c r="AB125" i="1"/>
  <c r="Z125" i="1"/>
  <c r="Y125" i="1"/>
  <c r="X125" i="1"/>
  <c r="W125" i="1"/>
  <c r="V125" i="1"/>
  <c r="U125" i="1"/>
  <c r="T125" i="1"/>
  <c r="S125" i="1"/>
  <c r="R125" i="1"/>
  <c r="Q125" i="1"/>
  <c r="P125" i="1"/>
  <c r="O125" i="1"/>
  <c r="N125" i="1"/>
  <c r="M125" i="1"/>
  <c r="K125" i="1"/>
  <c r="K126" i="1" s="1"/>
  <c r="J125" i="1"/>
  <c r="J126" i="1" s="1"/>
  <c r="I125" i="1"/>
  <c r="H125" i="1"/>
  <c r="G125" i="1"/>
  <c r="G126" i="1" s="1"/>
  <c r="CH123" i="1"/>
  <c r="CI123" i="1" s="1"/>
  <c r="CJ123" i="1" s="1"/>
  <c r="CK123" i="1" s="1"/>
  <c r="CL123" i="1" s="1"/>
  <c r="CM123" i="1" s="1"/>
  <c r="CD123" i="1"/>
  <c r="CE123" i="1" s="1"/>
  <c r="CF123" i="1" s="1"/>
  <c r="AP123" i="1"/>
  <c r="AK123" i="1"/>
  <c r="AJ123" i="1"/>
  <c r="P9" i="6" s="1"/>
  <c r="AI123" i="1"/>
  <c r="O9" i="6" s="1"/>
  <c r="AH123" i="1"/>
  <c r="N9" i="6" s="1"/>
  <c r="AG123" i="1"/>
  <c r="M9" i="6" s="1"/>
  <c r="AF123" i="1"/>
  <c r="AE123" i="1"/>
  <c r="L9" i="6" s="1"/>
  <c r="AD123" i="1"/>
  <c r="K9" i="6" s="1"/>
  <c r="AC123" i="1"/>
  <c r="J9" i="6" s="1"/>
  <c r="AB123" i="1"/>
  <c r="I9" i="6" s="1"/>
  <c r="AA123" i="1"/>
  <c r="Z123" i="1"/>
  <c r="Y123" i="1"/>
  <c r="X123" i="1"/>
  <c r="W123" i="1"/>
  <c r="V123" i="1"/>
  <c r="U123" i="1"/>
  <c r="T123" i="1"/>
  <c r="S123" i="1"/>
  <c r="R123" i="1"/>
  <c r="Q123" i="1"/>
  <c r="P123" i="1"/>
  <c r="O123" i="1"/>
  <c r="N123" i="1"/>
  <c r="M123" i="1"/>
  <c r="L123" i="1"/>
  <c r="G123" i="1"/>
  <c r="AU122" i="1"/>
  <c r="AV118" i="1"/>
  <c r="AT118" i="1"/>
  <c r="AS118" i="1"/>
  <c r="W10" i="6" s="1"/>
  <c r="AR118" i="1"/>
  <c r="V10" i="6" s="1"/>
  <c r="AQ118" i="1"/>
  <c r="U10" i="6" s="1"/>
  <c r="AP118" i="1"/>
  <c r="AO118" i="1"/>
  <c r="T10" i="6" s="1"/>
  <c r="AN118" i="1"/>
  <c r="S10" i="6" s="1"/>
  <c r="AM118" i="1"/>
  <c r="R10" i="6" s="1"/>
  <c r="AL118" i="1"/>
  <c r="Q10" i="6" s="1"/>
  <c r="AK118" i="1"/>
  <c r="AJ118" i="1"/>
  <c r="P10" i="6" s="1"/>
  <c r="AI118" i="1"/>
  <c r="O10" i="6" s="1"/>
  <c r="AH118" i="1"/>
  <c r="N10" i="6" s="1"/>
  <c r="AG118" i="1"/>
  <c r="M10" i="6" s="1"/>
  <c r="AF118" i="1"/>
  <c r="AE118" i="1"/>
  <c r="L10" i="6" s="1"/>
  <c r="AD118" i="1"/>
  <c r="K10" i="6" s="1"/>
  <c r="AC118" i="1"/>
  <c r="J10" i="6" s="1"/>
  <c r="AB118" i="1"/>
  <c r="I10" i="6" s="1"/>
  <c r="AA118" i="1"/>
  <c r="Z118" i="1"/>
  <c r="Y118" i="1"/>
  <c r="X118" i="1"/>
  <c r="W118" i="1"/>
  <c r="V118" i="1"/>
  <c r="U118" i="1"/>
  <c r="T118" i="1"/>
  <c r="S118" i="1"/>
  <c r="R118" i="1"/>
  <c r="Q118" i="1"/>
  <c r="P118" i="1"/>
  <c r="O118" i="1"/>
  <c r="N118" i="1"/>
  <c r="M118" i="1"/>
  <c r="L118" i="1"/>
  <c r="J118" i="1"/>
  <c r="I118" i="1"/>
  <c r="H118" i="1"/>
  <c r="G118" i="1"/>
  <c r="B117" i="1"/>
  <c r="B221" i="1" s="1"/>
  <c r="BL31" i="7"/>
  <c r="BK31" i="7"/>
  <c r="BJ31" i="7"/>
  <c r="BI31" i="7"/>
  <c r="BH31" i="7"/>
  <c r="BG31" i="7"/>
  <c r="BF31" i="7"/>
  <c r="BE31" i="7"/>
  <c r="BD31" i="7"/>
  <c r="BC31" i="7"/>
  <c r="BB31" i="7"/>
  <c r="BA31" i="7"/>
  <c r="AZ31" i="7"/>
  <c r="AY31" i="7"/>
  <c r="AX31" i="7"/>
  <c r="AW31" i="7"/>
  <c r="AV31" i="7"/>
  <c r="AU31" i="7"/>
  <c r="AT31" i="7"/>
  <c r="AS31" i="7"/>
  <c r="AR31" i="7"/>
  <c r="AU116" i="1"/>
  <c r="AU117" i="1" s="1"/>
  <c r="F116" i="1"/>
  <c r="J31" i="7" s="1"/>
  <c r="B115" i="1"/>
  <c r="BS114" i="1"/>
  <c r="BR114" i="1"/>
  <c r="BR117" i="1" s="1"/>
  <c r="BM114" i="1"/>
  <c r="BI114" i="1"/>
  <c r="BH114" i="1"/>
  <c r="BH115" i="1" s="1"/>
  <c r="BC114" i="1"/>
  <c r="AY114" i="1"/>
  <c r="AW114" i="1"/>
  <c r="AU114" i="1"/>
  <c r="AT114" i="1"/>
  <c r="AT117" i="1" s="1"/>
  <c r="AT221" i="1" s="1"/>
  <c r="AS114" i="1"/>
  <c r="AS117" i="1" s="1"/>
  <c r="AS221" i="1" s="1"/>
  <c r="AR114" i="1"/>
  <c r="AR115" i="1" s="1"/>
  <c r="AQ114" i="1"/>
  <c r="AQ115" i="1" s="1"/>
  <c r="AP114" i="1"/>
  <c r="AP134" i="1" s="1"/>
  <c r="AO114" i="1"/>
  <c r="AO117" i="1" s="1"/>
  <c r="AO221" i="1" s="1"/>
  <c r="AN114" i="1"/>
  <c r="AN117" i="1" s="1"/>
  <c r="AN221" i="1" s="1"/>
  <c r="AM114" i="1"/>
  <c r="AM117" i="1" s="1"/>
  <c r="AM221" i="1" s="1"/>
  <c r="AL114" i="1"/>
  <c r="AL117" i="1" s="1"/>
  <c r="AL221" i="1" s="1"/>
  <c r="AK114" i="1"/>
  <c r="AK134" i="1" s="1"/>
  <c r="AJ114" i="1"/>
  <c r="AJ115" i="1" s="1"/>
  <c r="AI114" i="1"/>
  <c r="AI115" i="1" s="1"/>
  <c r="AH114" i="1"/>
  <c r="AH115" i="1" s="1"/>
  <c r="AG114" i="1"/>
  <c r="AG117" i="1" s="1"/>
  <c r="AG221" i="1" s="1"/>
  <c r="AF114" i="1"/>
  <c r="AE114" i="1"/>
  <c r="AE117" i="1" s="1"/>
  <c r="AE221" i="1" s="1"/>
  <c r="AD114" i="1"/>
  <c r="AD117" i="1" s="1"/>
  <c r="AD221" i="1" s="1"/>
  <c r="AC114" i="1"/>
  <c r="AC117" i="1" s="1"/>
  <c r="AC221" i="1" s="1"/>
  <c r="AB114" i="1"/>
  <c r="AB115" i="1" s="1"/>
  <c r="AA114" i="1"/>
  <c r="AA115" i="1" s="1"/>
  <c r="AA135" i="1" s="1"/>
  <c r="Z114" i="1"/>
  <c r="Z115" i="1" s="1"/>
  <c r="Y114" i="1"/>
  <c r="Y117" i="1" s="1"/>
  <c r="Y221" i="1" s="1"/>
  <c r="X114" i="1"/>
  <c r="W114" i="1"/>
  <c r="W117" i="1" s="1"/>
  <c r="W221" i="1" s="1"/>
  <c r="V114" i="1"/>
  <c r="V117" i="1" s="1"/>
  <c r="V221" i="1" s="1"/>
  <c r="U114" i="1"/>
  <c r="U117" i="1" s="1"/>
  <c r="U221" i="1" s="1"/>
  <c r="T114" i="1"/>
  <c r="T115" i="1" s="1"/>
  <c r="S114" i="1"/>
  <c r="S115" i="1" s="1"/>
  <c r="R114" i="1"/>
  <c r="R115" i="1" s="1"/>
  <c r="Q114" i="1"/>
  <c r="Q117" i="1" s="1"/>
  <c r="Q221" i="1" s="1"/>
  <c r="P114" i="1"/>
  <c r="O114" i="1"/>
  <c r="O117" i="1" s="1"/>
  <c r="O221" i="1" s="1"/>
  <c r="N114" i="1"/>
  <c r="N117" i="1" s="1"/>
  <c r="N221" i="1" s="1"/>
  <c r="M114" i="1"/>
  <c r="M117" i="1" s="1"/>
  <c r="M221" i="1" s="1"/>
  <c r="L114" i="1"/>
  <c r="L115" i="1" s="1"/>
  <c r="L135" i="1" s="1"/>
  <c r="K114" i="1"/>
  <c r="K115" i="1" s="1"/>
  <c r="J114" i="1"/>
  <c r="J134" i="1" s="1"/>
  <c r="I114" i="1"/>
  <c r="I117" i="1" s="1"/>
  <c r="I221" i="1" s="1"/>
  <c r="H114" i="1"/>
  <c r="G114" i="1"/>
  <c r="G117" i="1" s="1"/>
  <c r="G221" i="1" s="1"/>
  <c r="F114" i="1"/>
  <c r="E114" i="1"/>
  <c r="E117" i="1" s="1"/>
  <c r="D114" i="1"/>
  <c r="D115" i="1" s="1"/>
  <c r="C114" i="1"/>
  <c r="C115" i="1" s="1"/>
  <c r="BI113" i="1"/>
  <c r="BH113" i="1"/>
  <c r="BG113" i="1"/>
  <c r="BF113" i="1"/>
  <c r="BD113" i="1"/>
  <c r="BC113" i="1"/>
  <c r="BB113" i="1"/>
  <c r="BA113" i="1"/>
  <c r="AY113" i="1"/>
  <c r="AX113" i="1"/>
  <c r="AW113" i="1"/>
  <c r="AV113" i="1"/>
  <c r="AT113" i="1"/>
  <c r="AS113" i="1"/>
  <c r="AR113" i="1"/>
  <c r="AQ113" i="1"/>
  <c r="AO113" i="1"/>
  <c r="AN113" i="1"/>
  <c r="AM113" i="1"/>
  <c r="AL113" i="1"/>
  <c r="AJ113" i="1"/>
  <c r="AI113" i="1"/>
  <c r="AH113" i="1"/>
  <c r="AG113" i="1"/>
  <c r="AE113" i="1"/>
  <c r="AD113" i="1"/>
  <c r="AC113" i="1"/>
  <c r="AB113" i="1"/>
  <c r="Z113" i="1"/>
  <c r="Y113" i="1"/>
  <c r="X113" i="1"/>
  <c r="W113" i="1"/>
  <c r="U113" i="1"/>
  <c r="T113" i="1"/>
  <c r="S113" i="1"/>
  <c r="R113" i="1"/>
  <c r="P113" i="1"/>
  <c r="O113" i="1"/>
  <c r="N113" i="1"/>
  <c r="M113" i="1"/>
  <c r="K113" i="1"/>
  <c r="J113" i="1"/>
  <c r="I113" i="1"/>
  <c r="H113" i="1"/>
  <c r="F113" i="1"/>
  <c r="E113" i="1"/>
  <c r="D113" i="1"/>
  <c r="C113" i="1"/>
  <c r="B113" i="1"/>
  <c r="AP109" i="1"/>
  <c r="CA32" i="7" s="1"/>
  <c r="AK109" i="1"/>
  <c r="BZ32" i="7" s="1"/>
  <c r="AF109" i="1"/>
  <c r="BY32" i="7" s="1"/>
  <c r="AA109" i="1"/>
  <c r="BX32" i="7" s="1"/>
  <c r="V109" i="1"/>
  <c r="BW32" i="7" s="1"/>
  <c r="Q109" i="1"/>
  <c r="BV32" i="7" s="1"/>
  <c r="L109" i="1"/>
  <c r="G109" i="1"/>
  <c r="AU107" i="1"/>
  <c r="AP107" i="1"/>
  <c r="AK107" i="1"/>
  <c r="AF107" i="1"/>
  <c r="AA107" i="1"/>
  <c r="V107" i="1"/>
  <c r="Q107" i="1"/>
  <c r="L107" i="1"/>
  <c r="G107" i="1"/>
  <c r="AP103" i="1"/>
  <c r="CA33" i="7" s="1"/>
  <c r="AK103" i="1"/>
  <c r="BZ33" i="7" s="1"/>
  <c r="AF103" i="1"/>
  <c r="BY33" i="7" s="1"/>
  <c r="AA103" i="1"/>
  <c r="BX33" i="7" s="1"/>
  <c r="V103" i="1"/>
  <c r="BW33" i="7" s="1"/>
  <c r="Q103" i="1"/>
  <c r="BV33" i="7" s="1"/>
  <c r="L103" i="1"/>
  <c r="G103" i="1"/>
  <c r="AU101" i="1"/>
  <c r="AP101" i="1"/>
  <c r="AK101" i="1"/>
  <c r="AF101" i="1"/>
  <c r="AA101" i="1"/>
  <c r="V101" i="1"/>
  <c r="Q101" i="1"/>
  <c r="L101" i="1"/>
  <c r="G101" i="1"/>
  <c r="CG98" i="1"/>
  <c r="CF98" i="1"/>
  <c r="CE98" i="1"/>
  <c r="AU98" i="1"/>
  <c r="AP97" i="1"/>
  <c r="AP98" i="1" s="1"/>
  <c r="AK97" i="1"/>
  <c r="AK98" i="1" s="1"/>
  <c r="AF97" i="1"/>
  <c r="AF98" i="1" s="1"/>
  <c r="AA97" i="1"/>
  <c r="AA98" i="1" s="1"/>
  <c r="V97" i="1"/>
  <c r="V98" i="1" s="1"/>
  <c r="Q97" i="1"/>
  <c r="Q98" i="1" s="1"/>
  <c r="L97" i="1"/>
  <c r="L98" i="1" s="1"/>
  <c r="G97" i="1"/>
  <c r="G98" i="1" s="1"/>
  <c r="B97" i="1"/>
  <c r="B98" i="1" s="1"/>
  <c r="CY96" i="1"/>
  <c r="CX96" i="1"/>
  <c r="CW96" i="1"/>
  <c r="CW97" i="1" s="1"/>
  <c r="CY94" i="1"/>
  <c r="CX94" i="1"/>
  <c r="CW94" i="1"/>
  <c r="CW95" i="1" s="1"/>
  <c r="BI94" i="1"/>
  <c r="BH94" i="1"/>
  <c r="BG94" i="1"/>
  <c r="BF94" i="1"/>
  <c r="BD94" i="1"/>
  <c r="BC94" i="1"/>
  <c r="BB94" i="1"/>
  <c r="BA94" i="1"/>
  <c r="AY94" i="1"/>
  <c r="AX94" i="1"/>
  <c r="AW94" i="1"/>
  <c r="AV94" i="1"/>
  <c r="AT94" i="1"/>
  <c r="AS94" i="1"/>
  <c r="AR94" i="1"/>
  <c r="AQ94" i="1"/>
  <c r="AO94" i="1"/>
  <c r="AN94" i="1"/>
  <c r="AM94" i="1"/>
  <c r="AL94" i="1"/>
  <c r="AJ94" i="1"/>
  <c r="AI94" i="1"/>
  <c r="AH94" i="1"/>
  <c r="AG94" i="1"/>
  <c r="AE94" i="1"/>
  <c r="AD94" i="1"/>
  <c r="AC94" i="1"/>
  <c r="AB94" i="1"/>
  <c r="Z94" i="1"/>
  <c r="Y94" i="1"/>
  <c r="X94" i="1"/>
  <c r="W94" i="1"/>
  <c r="U94" i="1"/>
  <c r="T94" i="1"/>
  <c r="S94" i="1"/>
  <c r="R94" i="1"/>
  <c r="P94" i="1"/>
  <c r="O94" i="1"/>
  <c r="N94" i="1"/>
  <c r="M94" i="1"/>
  <c r="K94" i="1"/>
  <c r="J94" i="1"/>
  <c r="I94" i="1"/>
  <c r="H94" i="1"/>
  <c r="F94" i="1"/>
  <c r="E94" i="1"/>
  <c r="D94" i="1"/>
  <c r="C94" i="1"/>
  <c r="B94" i="1"/>
  <c r="B100" i="1" s="1"/>
  <c r="CY91" i="1"/>
  <c r="CX91" i="1"/>
  <c r="CW91" i="1"/>
  <c r="CY88" i="1"/>
  <c r="CX88" i="1"/>
  <c r="CW88" i="1"/>
  <c r="CW89" i="1" s="1"/>
  <c r="CW87" i="1"/>
  <c r="CX87" i="1" s="1"/>
  <c r="CY87" i="1" s="1"/>
  <c r="AP76" i="1"/>
  <c r="J289" i="2" s="1"/>
  <c r="AK76" i="1"/>
  <c r="I289" i="2" s="1"/>
  <c r="AF76" i="1"/>
  <c r="H289" i="2" s="1"/>
  <c r="AA76" i="1"/>
  <c r="G289" i="2" s="1"/>
  <c r="V76" i="1"/>
  <c r="F289" i="2" s="1"/>
  <c r="Q76" i="1"/>
  <c r="E289" i="2" s="1"/>
  <c r="L76" i="1"/>
  <c r="D289" i="2" s="1"/>
  <c r="G76" i="1"/>
  <c r="C289" i="2" s="1"/>
  <c r="B76" i="1"/>
  <c r="B289" i="2" s="1"/>
  <c r="AU95" i="1"/>
  <c r="CH31" i="7"/>
  <c r="BI67" i="1"/>
  <c r="BH67" i="1"/>
  <c r="BG67" i="1"/>
  <c r="BF67" i="1"/>
  <c r="BD67" i="1"/>
  <c r="BC67" i="1"/>
  <c r="BB67" i="1"/>
  <c r="BA67" i="1"/>
  <c r="AY67" i="1"/>
  <c r="AX67" i="1"/>
  <c r="AW67" i="1"/>
  <c r="AV67" i="1"/>
  <c r="AT67" i="1"/>
  <c r="AS67" i="1"/>
  <c r="AR67" i="1"/>
  <c r="AQ67" i="1"/>
  <c r="AO67" i="1"/>
  <c r="AN67" i="1"/>
  <c r="AM67" i="1"/>
  <c r="AL67" i="1"/>
  <c r="AJ67" i="1"/>
  <c r="AI67" i="1"/>
  <c r="AH67" i="1"/>
  <c r="AG67" i="1"/>
  <c r="AE67" i="1"/>
  <c r="AD67" i="1"/>
  <c r="AC67" i="1"/>
  <c r="AB67" i="1"/>
  <c r="Z67" i="1"/>
  <c r="Y67" i="1"/>
  <c r="X67" i="1"/>
  <c r="W67" i="1"/>
  <c r="U67" i="1"/>
  <c r="T67" i="1"/>
  <c r="S67" i="1"/>
  <c r="R67" i="1"/>
  <c r="P67" i="1"/>
  <c r="O67" i="1"/>
  <c r="N67" i="1"/>
  <c r="M67" i="1"/>
  <c r="K67" i="1"/>
  <c r="J67" i="1"/>
  <c r="I67" i="1"/>
  <c r="H67" i="1"/>
  <c r="F67" i="1"/>
  <c r="E67" i="1"/>
  <c r="D67" i="1"/>
  <c r="C67" i="1"/>
  <c r="B67" i="1"/>
  <c r="B79" i="1" s="1"/>
  <c r="BD64" i="1"/>
  <c r="BD65" i="1" s="1"/>
  <c r="BC64" i="1"/>
  <c r="BC65" i="1" s="1"/>
  <c r="BB64" i="1"/>
  <c r="BB65" i="1" s="1"/>
  <c r="BA64" i="1"/>
  <c r="BA65" i="1" s="1"/>
  <c r="AY64" i="1"/>
  <c r="AY65" i="1" s="1"/>
  <c r="AX64" i="1"/>
  <c r="AX65" i="1" s="1"/>
  <c r="AW64" i="1"/>
  <c r="AW65" i="1" s="1"/>
  <c r="AV64" i="1"/>
  <c r="AV65" i="1" s="1"/>
  <c r="AT64" i="1"/>
  <c r="AT65" i="1" s="1"/>
  <c r="AS64" i="1"/>
  <c r="AS65" i="1" s="1"/>
  <c r="AR64" i="1"/>
  <c r="AR65" i="1" s="1"/>
  <c r="AQ64" i="1"/>
  <c r="AQ65" i="1" s="1"/>
  <c r="AO64" i="1"/>
  <c r="AO65" i="1" s="1"/>
  <c r="AN64" i="1"/>
  <c r="AN65" i="1" s="1"/>
  <c r="AM64" i="1"/>
  <c r="AM65" i="1" s="1"/>
  <c r="AL64" i="1"/>
  <c r="AL65" i="1" s="1"/>
  <c r="AJ64" i="1"/>
  <c r="AJ65" i="1" s="1"/>
  <c r="AI64" i="1"/>
  <c r="AI65" i="1" s="1"/>
  <c r="AH64" i="1"/>
  <c r="AH65" i="1" s="1"/>
  <c r="AG64" i="1"/>
  <c r="AG65" i="1" s="1"/>
  <c r="AE64" i="1"/>
  <c r="AE65" i="1" s="1"/>
  <c r="AD64" i="1"/>
  <c r="AD65" i="1" s="1"/>
  <c r="AC64" i="1"/>
  <c r="AC65" i="1" s="1"/>
  <c r="AB64" i="1"/>
  <c r="AB65" i="1" s="1"/>
  <c r="Z64" i="1"/>
  <c r="Z65" i="1" s="1"/>
  <c r="Y64" i="1"/>
  <c r="Y65" i="1" s="1"/>
  <c r="X64" i="1"/>
  <c r="X65" i="1" s="1"/>
  <c r="W64" i="1"/>
  <c r="W65" i="1" s="1"/>
  <c r="U64" i="1"/>
  <c r="U65" i="1" s="1"/>
  <c r="T64" i="1"/>
  <c r="T65" i="1" s="1"/>
  <c r="S64" i="1"/>
  <c r="S65" i="1" s="1"/>
  <c r="R64" i="1"/>
  <c r="R65" i="1" s="1"/>
  <c r="P64" i="1"/>
  <c r="P65" i="1" s="1"/>
  <c r="O64" i="1"/>
  <c r="O65" i="1" s="1"/>
  <c r="N64" i="1"/>
  <c r="N65" i="1" s="1"/>
  <c r="M64" i="1"/>
  <c r="M65" i="1" s="1"/>
  <c r="K64" i="1"/>
  <c r="K65" i="1" s="1"/>
  <c r="J64" i="1"/>
  <c r="J65" i="1" s="1"/>
  <c r="I64" i="1"/>
  <c r="I65" i="1" s="1"/>
  <c r="H64" i="1"/>
  <c r="H65" i="1" s="1"/>
  <c r="F64" i="1"/>
  <c r="F65" i="1" s="1"/>
  <c r="E64" i="1"/>
  <c r="E65" i="1" s="1"/>
  <c r="D64" i="1"/>
  <c r="D65" i="1" s="1"/>
  <c r="C64" i="1"/>
  <c r="C65" i="1" s="1"/>
  <c r="BI60" i="1"/>
  <c r="BH60" i="1"/>
  <c r="BG60" i="1"/>
  <c r="BF60" i="1"/>
  <c r="BD60" i="1"/>
  <c r="BC60" i="1"/>
  <c r="BB60" i="1"/>
  <c r="BA60" i="1"/>
  <c r="AY60" i="1"/>
  <c r="AX60" i="1"/>
  <c r="AW60" i="1"/>
  <c r="AV60" i="1"/>
  <c r="AT60" i="1"/>
  <c r="AS60" i="1"/>
  <c r="AR60" i="1"/>
  <c r="AQ60" i="1"/>
  <c r="AO60" i="1"/>
  <c r="AN60" i="1"/>
  <c r="AM60" i="1"/>
  <c r="AL60" i="1"/>
  <c r="AJ60" i="1"/>
  <c r="AI60" i="1"/>
  <c r="AH60" i="1"/>
  <c r="AG60" i="1"/>
  <c r="AE60" i="1"/>
  <c r="AD60" i="1"/>
  <c r="AC60" i="1"/>
  <c r="AB60" i="1"/>
  <c r="Z60" i="1"/>
  <c r="Y60" i="1"/>
  <c r="X60" i="1"/>
  <c r="W60" i="1"/>
  <c r="U60" i="1"/>
  <c r="T60" i="1"/>
  <c r="S60" i="1"/>
  <c r="R60" i="1"/>
  <c r="P60" i="1"/>
  <c r="O60" i="1"/>
  <c r="N60" i="1"/>
  <c r="M60" i="1"/>
  <c r="K60" i="1"/>
  <c r="J60" i="1"/>
  <c r="I60" i="1"/>
  <c r="H60" i="1"/>
  <c r="F60" i="1"/>
  <c r="E60" i="1"/>
  <c r="D60" i="1"/>
  <c r="C60" i="1"/>
  <c r="B60" i="1"/>
  <c r="AV51" i="1"/>
  <c r="AQ12" i="7" s="1"/>
  <c r="AK51" i="1"/>
  <c r="BZ12" i="7" s="1"/>
  <c r="AJ51" i="1"/>
  <c r="AH12" i="7" s="1"/>
  <c r="AI51" i="1"/>
  <c r="AG12" i="7" s="1"/>
  <c r="AH51" i="1"/>
  <c r="AF12" i="7" s="1"/>
  <c r="AG51" i="1"/>
  <c r="AE12" i="7" s="1"/>
  <c r="AF51" i="1"/>
  <c r="BY12" i="7" s="1"/>
  <c r="AE51" i="1"/>
  <c r="AD12" i="7" s="1"/>
  <c r="AD51" i="1"/>
  <c r="AC12" i="7" s="1"/>
  <c r="AC51" i="1"/>
  <c r="AB12" i="7" s="1"/>
  <c r="AB51" i="1"/>
  <c r="AA12" i="7" s="1"/>
  <c r="AA51" i="1"/>
  <c r="BX12" i="7" s="1"/>
  <c r="Z51" i="1"/>
  <c r="Z12" i="7" s="1"/>
  <c r="Y51" i="1"/>
  <c r="Y12" i="7" s="1"/>
  <c r="X51" i="1"/>
  <c r="X12" i="7" s="1"/>
  <c r="W51" i="1"/>
  <c r="W12" i="7" s="1"/>
  <c r="V51" i="1"/>
  <c r="BW12" i="7" s="1"/>
  <c r="U51" i="1"/>
  <c r="V12" i="7" s="1"/>
  <c r="T51" i="1"/>
  <c r="U12" i="7" s="1"/>
  <c r="S51" i="1"/>
  <c r="T12" i="7" s="1"/>
  <c r="R51" i="1"/>
  <c r="S12" i="7" s="1"/>
  <c r="Q51" i="1"/>
  <c r="BV12" i="7" s="1"/>
  <c r="P51" i="1"/>
  <c r="R12" i="7" s="1"/>
  <c r="O51" i="1"/>
  <c r="Q12" i="7" s="1"/>
  <c r="N51" i="1"/>
  <c r="P12" i="7" s="1"/>
  <c r="M51" i="1"/>
  <c r="O12" i="7" s="1"/>
  <c r="L51" i="1"/>
  <c r="K51" i="1"/>
  <c r="N12" i="7" s="1"/>
  <c r="J51" i="1"/>
  <c r="M12" i="7" s="1"/>
  <c r="I51" i="1"/>
  <c r="L12" i="7" s="1"/>
  <c r="H51" i="1"/>
  <c r="K12" i="7" s="1"/>
  <c r="G51" i="1"/>
  <c r="F51" i="1"/>
  <c r="J12" i="7" s="1"/>
  <c r="E51" i="1"/>
  <c r="I12" i="7" s="1"/>
  <c r="D51" i="1"/>
  <c r="H12" i="7" s="1"/>
  <c r="C51" i="1"/>
  <c r="G12" i="7" s="1"/>
  <c r="B51" i="1"/>
  <c r="AV48" i="1"/>
  <c r="AQ11" i="7" s="1"/>
  <c r="AQ23" i="7" s="1"/>
  <c r="AT48" i="1"/>
  <c r="AP11" i="7" s="1"/>
  <c r="AP23" i="7" s="1"/>
  <c r="AS48" i="1"/>
  <c r="AO11" i="7" s="1"/>
  <c r="AO23" i="7" s="1"/>
  <c r="AR48" i="1"/>
  <c r="AN11" i="7" s="1"/>
  <c r="AN23" i="7" s="1"/>
  <c r="AQ48" i="1"/>
  <c r="AM11" i="7" s="1"/>
  <c r="AM23" i="7" s="1"/>
  <c r="AP48" i="1"/>
  <c r="CA11" i="7" s="1"/>
  <c r="AO48" i="1"/>
  <c r="AN48" i="1"/>
  <c r="AM48" i="1"/>
  <c r="AL48" i="1"/>
  <c r="AK48" i="1"/>
  <c r="BZ11" i="7" s="1"/>
  <c r="AJ48" i="1"/>
  <c r="AH11" i="7" s="1"/>
  <c r="AH23" i="7" s="1"/>
  <c r="AI48" i="1"/>
  <c r="AG11" i="7" s="1"/>
  <c r="AG23" i="7" s="1"/>
  <c r="AH48" i="1"/>
  <c r="AF11" i="7" s="1"/>
  <c r="AF23" i="7" s="1"/>
  <c r="AG48" i="1"/>
  <c r="AE11" i="7" s="1"/>
  <c r="AE23" i="7" s="1"/>
  <c r="AF48" i="1"/>
  <c r="BY11" i="7" s="1"/>
  <c r="AE48" i="1"/>
  <c r="AD11" i="7" s="1"/>
  <c r="AD23" i="7" s="1"/>
  <c r="AD48" i="1"/>
  <c r="AC11" i="7" s="1"/>
  <c r="AC23" i="7" s="1"/>
  <c r="AC48" i="1"/>
  <c r="AB11" i="7" s="1"/>
  <c r="AB23" i="7" s="1"/>
  <c r="AB48" i="1"/>
  <c r="AA11" i="7" s="1"/>
  <c r="AA23" i="7" s="1"/>
  <c r="AA48" i="1"/>
  <c r="BX11" i="7" s="1"/>
  <c r="Z48" i="1"/>
  <c r="Z11" i="7" s="1"/>
  <c r="Z23" i="7" s="1"/>
  <c r="Y48" i="1"/>
  <c r="Y11" i="7" s="1"/>
  <c r="Y23" i="7" s="1"/>
  <c r="X48" i="1"/>
  <c r="X11" i="7" s="1"/>
  <c r="X23" i="7" s="1"/>
  <c r="W48" i="1"/>
  <c r="W11" i="7" s="1"/>
  <c r="W23" i="7" s="1"/>
  <c r="V48" i="1"/>
  <c r="BW11" i="7" s="1"/>
  <c r="U48" i="1"/>
  <c r="V11" i="7" s="1"/>
  <c r="V23" i="7" s="1"/>
  <c r="T48" i="1"/>
  <c r="U11" i="7" s="1"/>
  <c r="U23" i="7" s="1"/>
  <c r="S48" i="1"/>
  <c r="T11" i="7" s="1"/>
  <c r="T23" i="7" s="1"/>
  <c r="R48" i="1"/>
  <c r="S11" i="7" s="1"/>
  <c r="S23" i="7" s="1"/>
  <c r="Q48" i="1"/>
  <c r="BV11" i="7" s="1"/>
  <c r="P48" i="1"/>
  <c r="R11" i="7" s="1"/>
  <c r="R23" i="7" s="1"/>
  <c r="O48" i="1"/>
  <c r="Q11" i="7" s="1"/>
  <c r="Q23" i="7" s="1"/>
  <c r="N48" i="1"/>
  <c r="P11" i="7" s="1"/>
  <c r="P23" i="7" s="1"/>
  <c r="M48" i="1"/>
  <c r="O11" i="7" s="1"/>
  <c r="O23" i="7" s="1"/>
  <c r="L48" i="1"/>
  <c r="K48" i="1"/>
  <c r="N11" i="7" s="1"/>
  <c r="N23" i="7" s="1"/>
  <c r="J48" i="1"/>
  <c r="M11" i="7" s="1"/>
  <c r="M23" i="7" s="1"/>
  <c r="I48" i="1"/>
  <c r="L11" i="7" s="1"/>
  <c r="L23" i="7" s="1"/>
  <c r="H48" i="1"/>
  <c r="K11" i="7" s="1"/>
  <c r="K23" i="7" s="1"/>
  <c r="G48" i="1"/>
  <c r="F48" i="1"/>
  <c r="J11" i="7" s="1"/>
  <c r="J23" i="7" s="1"/>
  <c r="E48" i="1"/>
  <c r="I11" i="7" s="1"/>
  <c r="I23" i="7" s="1"/>
  <c r="D48" i="1"/>
  <c r="H11" i="7" s="1"/>
  <c r="H23" i="7" s="1"/>
  <c r="C48" i="1"/>
  <c r="G11" i="7" s="1"/>
  <c r="G23" i="7" s="1"/>
  <c r="B48" i="1"/>
  <c r="BV37" i="1"/>
  <c r="CA38" i="1" s="1"/>
  <c r="BL37" i="1"/>
  <c r="BB37" i="1"/>
  <c r="AR37" i="1"/>
  <c r="AP37" i="1"/>
  <c r="AH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BV36" i="1"/>
  <c r="BL36" i="1"/>
  <c r="BB36" i="1"/>
  <c r="AR36" i="1"/>
  <c r="AP36" i="1"/>
  <c r="T19" i="3" s="1"/>
  <c r="T258" i="3" s="1"/>
  <c r="AH36" i="1"/>
  <c r="AE36" i="1"/>
  <c r="AD36" i="1"/>
  <c r="AC36" i="1"/>
  <c r="AB36" i="1"/>
  <c r="AA36" i="1"/>
  <c r="Q19" i="3" s="1"/>
  <c r="Q258" i="3" s="1"/>
  <c r="Z36" i="1"/>
  <c r="Y36" i="1"/>
  <c r="X36" i="1"/>
  <c r="W36" i="1"/>
  <c r="V36" i="1"/>
  <c r="P19" i="3" s="1"/>
  <c r="P258" i="3" s="1"/>
  <c r="U36" i="1"/>
  <c r="T36" i="1"/>
  <c r="S36" i="1"/>
  <c r="R36" i="1"/>
  <c r="Q36" i="1"/>
  <c r="O19" i="3" s="1"/>
  <c r="O258" i="3" s="1"/>
  <c r="P36" i="1"/>
  <c r="O36" i="1"/>
  <c r="N36" i="1"/>
  <c r="M36" i="1"/>
  <c r="L36" i="1"/>
  <c r="N19" i="3" s="1"/>
  <c r="N258" i="3" s="1"/>
  <c r="K36" i="1"/>
  <c r="J36" i="1"/>
  <c r="I36" i="1"/>
  <c r="H36" i="1"/>
  <c r="G36" i="1"/>
  <c r="M19" i="3" s="1"/>
  <c r="M258" i="3" s="1"/>
  <c r="F36" i="1"/>
  <c r="E36" i="1"/>
  <c r="D36" i="1"/>
  <c r="C36" i="1"/>
  <c r="B36" i="1"/>
  <c r="L19" i="3" s="1"/>
  <c r="L258" i="3" s="1"/>
  <c r="BN2" i="1"/>
  <c r="BM2" i="1"/>
  <c r="BL2" i="1"/>
  <c r="BK2" i="1"/>
  <c r="G2" i="1"/>
  <c r="G503" i="1" s="1"/>
  <c r="B54" i="4"/>
  <c r="C54" i="4" s="1"/>
  <c r="D54" i="4" s="1"/>
  <c r="E54" i="4" s="1"/>
  <c r="F54" i="4" s="1"/>
  <c r="G54" i="4" s="1"/>
  <c r="H54" i="4" s="1"/>
  <c r="I54" i="4" s="1"/>
  <c r="J54" i="4" s="1"/>
  <c r="K54" i="4" s="1"/>
  <c r="L54" i="4" s="1"/>
  <c r="M54" i="4" s="1"/>
  <c r="N54" i="4" s="1"/>
  <c r="O54" i="4" s="1"/>
  <c r="P54" i="4" s="1"/>
  <c r="Q54" i="4" s="1"/>
  <c r="R54" i="4" s="1"/>
  <c r="C52" i="4"/>
  <c r="D52" i="4" s="1"/>
  <c r="E52" i="4" s="1"/>
  <c r="F52" i="4" s="1"/>
  <c r="G52" i="4" s="1"/>
  <c r="H52" i="4" s="1"/>
  <c r="I52" i="4" s="1"/>
  <c r="J52" i="4" s="1"/>
  <c r="K52" i="4" s="1"/>
  <c r="L52" i="4" s="1"/>
  <c r="M52" i="4" s="1"/>
  <c r="N52" i="4" s="1"/>
  <c r="O52" i="4" s="1"/>
  <c r="P52" i="4" s="1"/>
  <c r="Q52" i="4" s="1"/>
  <c r="R52" i="4" s="1"/>
  <c r="B45" i="4"/>
  <c r="C177" i="3" s="1"/>
  <c r="B44" i="4"/>
  <c r="C176" i="3" s="1"/>
  <c r="K18" i="4"/>
  <c r="L18" i="4" s="1"/>
  <c r="M18" i="4" s="1"/>
  <c r="N18" i="4" s="1"/>
  <c r="O18" i="4" s="1"/>
  <c r="P18" i="4" s="1"/>
  <c r="Q18" i="4" s="1"/>
  <c r="R18" i="4" s="1"/>
  <c r="N13" i="4"/>
  <c r="M13" i="4"/>
  <c r="L13" i="4"/>
  <c r="K13" i="4"/>
  <c r="J13" i="4"/>
  <c r="I13" i="4"/>
  <c r="H13" i="4"/>
  <c r="G13" i="4"/>
  <c r="F13" i="4"/>
  <c r="E13" i="4"/>
  <c r="C13" i="4"/>
  <c r="B13" i="4"/>
  <c r="B9" i="4"/>
  <c r="C5" i="4"/>
  <c r="D5" i="4" s="1"/>
  <c r="C3" i="4"/>
  <c r="D3" i="4" s="1"/>
  <c r="I47" i="2" l="1"/>
  <c r="I48" i="2" s="1"/>
  <c r="F47" i="2"/>
  <c r="F48" i="2" s="1"/>
  <c r="R20" i="3"/>
  <c r="R259" i="3" s="1"/>
  <c r="H99" i="2"/>
  <c r="L20" i="3"/>
  <c r="L259" i="3" s="1"/>
  <c r="L260" i="3" s="1"/>
  <c r="B99" i="2"/>
  <c r="O20" i="3"/>
  <c r="O259" i="3" s="1"/>
  <c r="O260" i="3" s="1"/>
  <c r="O261" i="3" s="1"/>
  <c r="O262" i="3" s="1"/>
  <c r="E99" i="2"/>
  <c r="Q20" i="3"/>
  <c r="Q259" i="3" s="1"/>
  <c r="Q260" i="3" s="1"/>
  <c r="G99" i="2"/>
  <c r="B71" i="2"/>
  <c r="C71" i="2" s="1"/>
  <c r="D71" i="2" s="1"/>
  <c r="E71" i="2" s="1"/>
  <c r="F71" i="2" s="1"/>
  <c r="G71" i="2" s="1"/>
  <c r="H71" i="2" s="1"/>
  <c r="I71" i="2" s="1"/>
  <c r="J71" i="2" s="1"/>
  <c r="K71" i="2" s="1"/>
  <c r="L71" i="2" s="1"/>
  <c r="M71" i="2" s="1"/>
  <c r="N71" i="2" s="1"/>
  <c r="O71" i="2" s="1"/>
  <c r="P71" i="2" s="1"/>
  <c r="Q71" i="2" s="1"/>
  <c r="R71" i="2" s="1"/>
  <c r="S71" i="2" s="1"/>
  <c r="T71" i="2" s="1"/>
  <c r="U71" i="2" s="1"/>
  <c r="V71" i="2" s="1"/>
  <c r="W71" i="2" s="1"/>
  <c r="X71" i="2" s="1"/>
  <c r="Y71" i="2" s="1"/>
  <c r="Z71" i="2" s="1"/>
  <c r="AA71" i="2" s="1"/>
  <c r="BL376" i="1"/>
  <c r="AV221" i="1"/>
  <c r="AV376" i="1" s="1"/>
  <c r="CD233" i="1"/>
  <c r="CD245" i="1"/>
  <c r="CD246" i="1" s="1"/>
  <c r="CD238" i="1"/>
  <c r="F237" i="3"/>
  <c r="F250" i="3"/>
  <c r="M44" i="6"/>
  <c r="BI376" i="1"/>
  <c r="BB19" i="7" s="1"/>
  <c r="V44" i="6"/>
  <c r="BW205" i="1"/>
  <c r="CA204" i="1"/>
  <c r="M452" i="1"/>
  <c r="M455" i="1" s="1"/>
  <c r="U452" i="1"/>
  <c r="U455" i="1" s="1"/>
  <c r="AC452" i="1"/>
  <c r="AC457" i="1" s="1"/>
  <c r="B452" i="1"/>
  <c r="B457" i="1" s="1"/>
  <c r="N452" i="1"/>
  <c r="N455" i="1" s="1"/>
  <c r="V452" i="1"/>
  <c r="F269" i="2" s="1"/>
  <c r="AD452" i="1"/>
  <c r="AD455" i="1" s="1"/>
  <c r="AK452" i="1"/>
  <c r="I79" i="2" s="1"/>
  <c r="I196" i="2" s="1"/>
  <c r="K452" i="1"/>
  <c r="K457" i="1" s="1"/>
  <c r="S452" i="1"/>
  <c r="S457" i="1" s="1"/>
  <c r="AA452" i="1"/>
  <c r="G269" i="2" s="1"/>
  <c r="BY250" i="1"/>
  <c r="BY251" i="1" s="1"/>
  <c r="Z4" i="3"/>
  <c r="Z3" i="3" s="1"/>
  <c r="F53" i="4"/>
  <c r="AH17" i="3"/>
  <c r="AI17" i="3" s="1"/>
  <c r="AJ17" i="3" s="1"/>
  <c r="AK17" i="3" s="1"/>
  <c r="AL17" i="3" s="1"/>
  <c r="AM17" i="3" s="1"/>
  <c r="AN17" i="3" s="1"/>
  <c r="AH71" i="3"/>
  <c r="AI71" i="3" s="1"/>
  <c r="AJ71" i="3" s="1"/>
  <c r="AK71" i="3" s="1"/>
  <c r="AL71" i="3" s="1"/>
  <c r="AM71" i="3" s="1"/>
  <c r="AN71" i="3" s="1"/>
  <c r="AH171" i="3"/>
  <c r="AI171" i="3" s="1"/>
  <c r="AJ171" i="3" s="1"/>
  <c r="AK171" i="3" s="1"/>
  <c r="AL171" i="3" s="1"/>
  <c r="AM171" i="3" s="1"/>
  <c r="AN171" i="3" s="1"/>
  <c r="G2" i="3"/>
  <c r="F221" i="3"/>
  <c r="AH108" i="3"/>
  <c r="AI108" i="3" s="1"/>
  <c r="AJ108" i="3" s="1"/>
  <c r="AK108" i="3" s="1"/>
  <c r="AL108" i="3" s="1"/>
  <c r="AM108" i="3" s="1"/>
  <c r="AN108" i="3" s="1"/>
  <c r="AH121" i="3"/>
  <c r="AI121" i="3" s="1"/>
  <c r="AJ121" i="3" s="1"/>
  <c r="AK121" i="3" s="1"/>
  <c r="AL121" i="3" s="1"/>
  <c r="AM121" i="3" s="1"/>
  <c r="AN121" i="3" s="1"/>
  <c r="AH129" i="3"/>
  <c r="AI129" i="3" s="1"/>
  <c r="AJ129" i="3" s="1"/>
  <c r="AK129" i="3" s="1"/>
  <c r="AL129" i="3" s="1"/>
  <c r="AM129" i="3" s="1"/>
  <c r="AN129" i="3" s="1"/>
  <c r="X205" i="2"/>
  <c r="W34" i="2"/>
  <c r="X212" i="2"/>
  <c r="I369" i="1"/>
  <c r="I425" i="1"/>
  <c r="J369" i="1"/>
  <c r="J425" i="1"/>
  <c r="BO233" i="1"/>
  <c r="CE230" i="1"/>
  <c r="CF165" i="1"/>
  <c r="CK27" i="7" s="1"/>
  <c r="BF238" i="1"/>
  <c r="BP238" i="1"/>
  <c r="BU238" i="1"/>
  <c r="CK28" i="7"/>
  <c r="CJ28" i="7"/>
  <c r="CE235" i="1"/>
  <c r="BL94" i="1"/>
  <c r="BL503" i="1"/>
  <c r="BM94" i="1"/>
  <c r="BM503" i="1"/>
  <c r="BN94" i="1"/>
  <c r="BN503" i="1"/>
  <c r="BK94" i="1"/>
  <c r="BK503" i="1"/>
  <c r="W44" i="6"/>
  <c r="BK155" i="1"/>
  <c r="L125" i="1"/>
  <c r="L126" i="1" s="1"/>
  <c r="CK307" i="1"/>
  <c r="CL307" i="1" s="1"/>
  <c r="CM307" i="1" s="1"/>
  <c r="CG167" i="1"/>
  <c r="CF235" i="1"/>
  <c r="D6" i="10"/>
  <c r="C7" i="10"/>
  <c r="Q214" i="2"/>
  <c r="AM6" i="10"/>
  <c r="AE4" i="10"/>
  <c r="AD27" i="10"/>
  <c r="AD26" i="10"/>
  <c r="BH376" i="1"/>
  <c r="BA19" i="7" s="1"/>
  <c r="Q88" i="2"/>
  <c r="R88" i="2" s="1"/>
  <c r="S88" i="2" s="1"/>
  <c r="T88" i="2" s="1"/>
  <c r="U88" i="2" s="1"/>
  <c r="V88" i="2" s="1"/>
  <c r="W88" i="2" s="1"/>
  <c r="X88" i="2" s="1"/>
  <c r="Y88" i="2" s="1"/>
  <c r="Z88" i="2" s="1"/>
  <c r="AA88" i="2" s="1"/>
  <c r="Q175" i="2"/>
  <c r="R175" i="2" s="1"/>
  <c r="S175" i="2" s="1"/>
  <c r="T175" i="2" s="1"/>
  <c r="U175" i="2" s="1"/>
  <c r="V175" i="2" s="1"/>
  <c r="W175" i="2" s="1"/>
  <c r="X175" i="2" s="1"/>
  <c r="Y175" i="2" s="1"/>
  <c r="Z175" i="2" s="1"/>
  <c r="AA175" i="2" s="1"/>
  <c r="Q264" i="2"/>
  <c r="R264" i="2" s="1"/>
  <c r="S264" i="2" s="1"/>
  <c r="T264" i="2" s="1"/>
  <c r="U264" i="2" s="1"/>
  <c r="V264" i="2" s="1"/>
  <c r="W264" i="2" s="1"/>
  <c r="X264" i="2" s="1"/>
  <c r="Y264" i="2" s="1"/>
  <c r="Z264" i="2" s="1"/>
  <c r="AA264" i="2" s="1"/>
  <c r="Q216" i="2"/>
  <c r="R216" i="2" s="1"/>
  <c r="S216" i="2" s="1"/>
  <c r="T216" i="2" s="1"/>
  <c r="U216" i="2" s="1"/>
  <c r="V216" i="2" s="1"/>
  <c r="W216" i="2" s="1"/>
  <c r="X216" i="2" s="1"/>
  <c r="Y216" i="2" s="1"/>
  <c r="Z216" i="2" s="1"/>
  <c r="AA216" i="2" s="1"/>
  <c r="Q181" i="2"/>
  <c r="R181" i="2" s="1"/>
  <c r="S181" i="2" s="1"/>
  <c r="T181" i="2" s="1"/>
  <c r="U181" i="2" s="1"/>
  <c r="V181" i="2" s="1"/>
  <c r="W181" i="2" s="1"/>
  <c r="X181" i="2" s="1"/>
  <c r="Y181" i="2" s="1"/>
  <c r="Z181" i="2" s="1"/>
  <c r="AA181" i="2" s="1"/>
  <c r="Q193" i="2"/>
  <c r="R193" i="2" s="1"/>
  <c r="S193" i="2" s="1"/>
  <c r="T193" i="2" s="1"/>
  <c r="U193" i="2" s="1"/>
  <c r="V193" i="2" s="1"/>
  <c r="W193" i="2" s="1"/>
  <c r="X193" i="2" s="1"/>
  <c r="Y193" i="2" s="1"/>
  <c r="Z193" i="2" s="1"/>
  <c r="AA193" i="2" s="1"/>
  <c r="Q178" i="2"/>
  <c r="R178" i="2" s="1"/>
  <c r="S178" i="2" s="1"/>
  <c r="T178" i="2" s="1"/>
  <c r="U178" i="2" s="1"/>
  <c r="V178" i="2" s="1"/>
  <c r="W178" i="2" s="1"/>
  <c r="X178" i="2" s="1"/>
  <c r="Y178" i="2" s="1"/>
  <c r="Z178" i="2" s="1"/>
  <c r="AA178" i="2" s="1"/>
  <c r="Q112" i="2"/>
  <c r="R112" i="2" s="1"/>
  <c r="S112" i="2" s="1"/>
  <c r="T112" i="2" s="1"/>
  <c r="U112" i="2" s="1"/>
  <c r="V112" i="2" s="1"/>
  <c r="W112" i="2" s="1"/>
  <c r="X112" i="2" s="1"/>
  <c r="Y112" i="2" s="1"/>
  <c r="Z112" i="2" s="1"/>
  <c r="AA112" i="2" s="1"/>
  <c r="Q171" i="2"/>
  <c r="R171" i="2" s="1"/>
  <c r="S171" i="2" s="1"/>
  <c r="T171" i="2" s="1"/>
  <c r="U171" i="2" s="1"/>
  <c r="V171" i="2" s="1"/>
  <c r="W171" i="2" s="1"/>
  <c r="X171" i="2" s="1"/>
  <c r="Y171" i="2" s="1"/>
  <c r="Z171" i="2" s="1"/>
  <c r="AA171" i="2" s="1"/>
  <c r="Q184" i="2"/>
  <c r="R184" i="2" s="1"/>
  <c r="S184" i="2" s="1"/>
  <c r="T184" i="2" s="1"/>
  <c r="U184" i="2" s="1"/>
  <c r="V184" i="2" s="1"/>
  <c r="W184" i="2" s="1"/>
  <c r="X184" i="2" s="1"/>
  <c r="Y184" i="2" s="1"/>
  <c r="Z184" i="2" s="1"/>
  <c r="AA184" i="2" s="1"/>
  <c r="Q204" i="2"/>
  <c r="R204" i="2" s="1"/>
  <c r="S204" i="2" s="1"/>
  <c r="T204" i="2" s="1"/>
  <c r="U204" i="2" s="1"/>
  <c r="V204" i="2" s="1"/>
  <c r="W204" i="2" s="1"/>
  <c r="X204" i="2" s="1"/>
  <c r="Y204" i="2" s="1"/>
  <c r="Z204" i="2" s="1"/>
  <c r="AA204" i="2" s="1"/>
  <c r="Q217" i="2"/>
  <c r="R217" i="2" s="1"/>
  <c r="S217" i="2" s="1"/>
  <c r="T217" i="2" s="1"/>
  <c r="U217" i="2" s="1"/>
  <c r="V217" i="2" s="1"/>
  <c r="W217" i="2" s="1"/>
  <c r="X217" i="2" s="1"/>
  <c r="Y217" i="2" s="1"/>
  <c r="Z217" i="2" s="1"/>
  <c r="AA217" i="2" s="1"/>
  <c r="Q182" i="2"/>
  <c r="Q17" i="2" s="1"/>
  <c r="Q179" i="2" s="1"/>
  <c r="Q16" i="2" s="1"/>
  <c r="Q18" i="2" s="1"/>
  <c r="Q2" i="2"/>
  <c r="Q143" i="2"/>
  <c r="R143" i="2" s="1"/>
  <c r="S143" i="2" s="1"/>
  <c r="T143" i="2" s="1"/>
  <c r="U143" i="2" s="1"/>
  <c r="V143" i="2" s="1"/>
  <c r="W143" i="2" s="1"/>
  <c r="X143" i="2" s="1"/>
  <c r="Y143" i="2" s="1"/>
  <c r="Z143" i="2" s="1"/>
  <c r="AA143" i="2" s="1"/>
  <c r="Q187" i="2"/>
  <c r="R187" i="2" s="1"/>
  <c r="S187" i="2" s="1"/>
  <c r="T187" i="2" s="1"/>
  <c r="U187" i="2" s="1"/>
  <c r="V187" i="2" s="1"/>
  <c r="W187" i="2" s="1"/>
  <c r="X187" i="2" s="1"/>
  <c r="Y187" i="2" s="1"/>
  <c r="Z187" i="2" s="1"/>
  <c r="AA187" i="2" s="1"/>
  <c r="Q210" i="2"/>
  <c r="R210" i="2" s="1"/>
  <c r="S210" i="2" s="1"/>
  <c r="T210" i="2" s="1"/>
  <c r="U210" i="2" s="1"/>
  <c r="V210" i="2" s="1"/>
  <c r="W210" i="2" s="1"/>
  <c r="X210" i="2" s="1"/>
  <c r="Y210" i="2" s="1"/>
  <c r="Z210" i="2" s="1"/>
  <c r="AA210" i="2" s="1"/>
  <c r="Q32" i="2"/>
  <c r="Q151" i="2"/>
  <c r="R151" i="2" s="1"/>
  <c r="S151" i="2" s="1"/>
  <c r="T151" i="2" s="1"/>
  <c r="U151" i="2" s="1"/>
  <c r="V151" i="2" s="1"/>
  <c r="W151" i="2" s="1"/>
  <c r="X151" i="2" s="1"/>
  <c r="Y151" i="2" s="1"/>
  <c r="Z151" i="2" s="1"/>
  <c r="AA151" i="2" s="1"/>
  <c r="Q188" i="2"/>
  <c r="R188" i="2" s="1"/>
  <c r="S188" i="2" s="1"/>
  <c r="T188" i="2" s="1"/>
  <c r="U188" i="2" s="1"/>
  <c r="V188" i="2" s="1"/>
  <c r="W188" i="2" s="1"/>
  <c r="X188" i="2" s="1"/>
  <c r="Y188" i="2" s="1"/>
  <c r="Z188" i="2" s="1"/>
  <c r="AA188" i="2" s="1"/>
  <c r="AA4" i="3"/>
  <c r="AA3" i="3" s="1"/>
  <c r="Q251" i="2"/>
  <c r="R251" i="2" s="1"/>
  <c r="S251" i="2" s="1"/>
  <c r="T251" i="2" s="1"/>
  <c r="U251" i="2" s="1"/>
  <c r="V251" i="2" s="1"/>
  <c r="W251" i="2" s="1"/>
  <c r="X251" i="2" s="1"/>
  <c r="Y251" i="2" s="1"/>
  <c r="Z251" i="2" s="1"/>
  <c r="AA251" i="2" s="1"/>
  <c r="Q285" i="2"/>
  <c r="R285" i="2" s="1"/>
  <c r="S285" i="2" s="1"/>
  <c r="T285" i="2" s="1"/>
  <c r="U285" i="2" s="1"/>
  <c r="V285" i="2" s="1"/>
  <c r="W285" i="2" s="1"/>
  <c r="X285" i="2" s="1"/>
  <c r="Y285" i="2" s="1"/>
  <c r="Z285" i="2" s="1"/>
  <c r="AA285" i="2" s="1"/>
  <c r="Q83" i="2"/>
  <c r="R83" i="2" s="1"/>
  <c r="S83" i="2" s="1"/>
  <c r="T83" i="2" s="1"/>
  <c r="U83" i="2" s="1"/>
  <c r="V83" i="2" s="1"/>
  <c r="W83" i="2" s="1"/>
  <c r="X83" i="2" s="1"/>
  <c r="Y83" i="2" s="1"/>
  <c r="Z83" i="2" s="1"/>
  <c r="AA83" i="2" s="1"/>
  <c r="Q101" i="2"/>
  <c r="R101" i="2" s="1"/>
  <c r="S101" i="2" s="1"/>
  <c r="T101" i="2" s="1"/>
  <c r="U101" i="2" s="1"/>
  <c r="V101" i="2" s="1"/>
  <c r="W101" i="2" s="1"/>
  <c r="X101" i="2" s="1"/>
  <c r="Y101" i="2" s="1"/>
  <c r="Z101" i="2" s="1"/>
  <c r="AA101" i="2" s="1"/>
  <c r="Q116" i="2"/>
  <c r="Q190" i="2"/>
  <c r="R190" i="2" s="1"/>
  <c r="S190" i="2" s="1"/>
  <c r="T190" i="2" s="1"/>
  <c r="U190" i="2" s="1"/>
  <c r="V190" i="2" s="1"/>
  <c r="W190" i="2" s="1"/>
  <c r="X190" i="2" s="1"/>
  <c r="Y190" i="2" s="1"/>
  <c r="Z190" i="2" s="1"/>
  <c r="AA190" i="2" s="1"/>
  <c r="BR221" i="1"/>
  <c r="AW221" i="1"/>
  <c r="AW376" i="1" s="1"/>
  <c r="AR20" i="7" s="1"/>
  <c r="BJ285" i="1"/>
  <c r="BJ378" i="1" s="1"/>
  <c r="BY203" i="1"/>
  <c r="BZ205" i="1" s="1"/>
  <c r="BZ204" i="1"/>
  <c r="BA289" i="1"/>
  <c r="BE288" i="1"/>
  <c r="BO288" i="1"/>
  <c r="BA378" i="1"/>
  <c r="BE285" i="1"/>
  <c r="BK378" i="1"/>
  <c r="BO285" i="1"/>
  <c r="BU378" i="1"/>
  <c r="BL36" i="7"/>
  <c r="BZ208" i="1"/>
  <c r="BJ288" i="1"/>
  <c r="BT288" i="1"/>
  <c r="BP378" i="1"/>
  <c r="BT285" i="1"/>
  <c r="BY169" i="1"/>
  <c r="CD170" i="1" s="1"/>
  <c r="BY186" i="1"/>
  <c r="CD186" i="1" s="1"/>
  <c r="CE186" i="1" s="1"/>
  <c r="CF186" i="1" s="1"/>
  <c r="CG186" i="1" s="1"/>
  <c r="CH186" i="1" s="1"/>
  <c r="CI186" i="1" s="1"/>
  <c r="CJ186" i="1" s="1"/>
  <c r="CK186" i="1" s="1"/>
  <c r="CL186" i="1" s="1"/>
  <c r="CM186" i="1" s="1"/>
  <c r="BY190" i="1"/>
  <c r="BY183" i="1"/>
  <c r="BP376" i="1"/>
  <c r="BG19" i="7" s="1"/>
  <c r="I44" i="6"/>
  <c r="BY473" i="1"/>
  <c r="Q73" i="2" s="1"/>
  <c r="Q99" i="2" s="1"/>
  <c r="BR376" i="1"/>
  <c r="BR377" i="1" s="1"/>
  <c r="AI11" i="7"/>
  <c r="AI23" i="7" s="1"/>
  <c r="AL35" i="7"/>
  <c r="AJ11" i="7"/>
  <c r="AJ23" i="7" s="1"/>
  <c r="AK11" i="7"/>
  <c r="AK23" i="7" s="1"/>
  <c r="AJ12" i="7"/>
  <c r="AL11" i="7"/>
  <c r="AL23" i="7" s="1"/>
  <c r="AK12" i="7"/>
  <c r="D30" i="1"/>
  <c r="T44" i="6"/>
  <c r="K44" i="6"/>
  <c r="S44" i="6"/>
  <c r="BS376" i="1"/>
  <c r="BG376" i="1"/>
  <c r="AZ20" i="7" s="1"/>
  <c r="O44" i="6"/>
  <c r="AQ51" i="1"/>
  <c r="AM12" i="7" s="1"/>
  <c r="BY388" i="1"/>
  <c r="BY385" i="1"/>
  <c r="BY387" i="1" s="1"/>
  <c r="AR425" i="1"/>
  <c r="BS378" i="1"/>
  <c r="BG221" i="1"/>
  <c r="BG222" i="1" s="1"/>
  <c r="BJ34" i="7"/>
  <c r="BX197" i="1"/>
  <c r="BJ11" i="7"/>
  <c r="BJ23" i="7" s="1"/>
  <c r="BX49" i="1"/>
  <c r="BL34" i="7"/>
  <c r="BX187" i="1"/>
  <c r="CC188" i="1" s="1"/>
  <c r="BJ26" i="7"/>
  <c r="BX170" i="1"/>
  <c r="K132" i="6"/>
  <c r="S132" i="6"/>
  <c r="X259" i="3"/>
  <c r="P265" i="3"/>
  <c r="Q265" i="3"/>
  <c r="W259" i="3"/>
  <c r="R265" i="3"/>
  <c r="S265" i="3"/>
  <c r="T265" i="3"/>
  <c r="AL51" i="1"/>
  <c r="AY221" i="1"/>
  <c r="AY376" i="1" s="1"/>
  <c r="BP37" i="1"/>
  <c r="BC51" i="1"/>
  <c r="AW12" i="7" s="1"/>
  <c r="BC221" i="1"/>
  <c r="BC376" i="1" s="1"/>
  <c r="O132" i="6"/>
  <c r="BK221" i="1"/>
  <c r="BK222" i="1" s="1"/>
  <c r="AL36" i="1"/>
  <c r="AV36" i="1"/>
  <c r="BF36" i="1"/>
  <c r="Q73" i="1"/>
  <c r="BQ221" i="1"/>
  <c r="BI11" i="7"/>
  <c r="BI23" i="7" s="1"/>
  <c r="BW49" i="1"/>
  <c r="BI34" i="7"/>
  <c r="BW197" i="1"/>
  <c r="BK34" i="7"/>
  <c r="BW187" i="1"/>
  <c r="CB188" i="1" s="1"/>
  <c r="BQ51" i="1"/>
  <c r="BH12" i="7" s="1"/>
  <c r="BH397" i="1"/>
  <c r="Q74" i="1"/>
  <c r="BH321" i="1"/>
  <c r="AJ36" i="1"/>
  <c r="P16" i="2"/>
  <c r="AQ369" i="1"/>
  <c r="BA51" i="1"/>
  <c r="AU12" i="7" s="1"/>
  <c r="BB51" i="1"/>
  <c r="AV12" i="7" s="1"/>
  <c r="AI36" i="1"/>
  <c r="G23" i="2"/>
  <c r="G27" i="2" s="1"/>
  <c r="G32" i="2" s="1"/>
  <c r="U44" i="6"/>
  <c r="AW51" i="1"/>
  <c r="AR12" i="7" s="1"/>
  <c r="BH170" i="1"/>
  <c r="AF74" i="1"/>
  <c r="O55" i="6"/>
  <c r="W55" i="6"/>
  <c r="O56" i="6"/>
  <c r="W56" i="6"/>
  <c r="O57" i="6"/>
  <c r="W57" i="6"/>
  <c r="Q74" i="6"/>
  <c r="Y74" i="6"/>
  <c r="AF73" i="1"/>
  <c r="D35" i="2"/>
  <c r="D37" i="2" s="1"/>
  <c r="N27" i="3" s="1"/>
  <c r="AO51" i="1"/>
  <c r="Q104" i="1"/>
  <c r="L110" i="1"/>
  <c r="P17" i="2"/>
  <c r="Q108" i="1"/>
  <c r="BE175" i="1"/>
  <c r="BJ175" i="1" s="1"/>
  <c r="BO175" i="1" s="1"/>
  <c r="BT175" i="1" s="1"/>
  <c r="BD51" i="1"/>
  <c r="AX12" i="7" s="1"/>
  <c r="BK37" i="1"/>
  <c r="BK38" i="1" s="1"/>
  <c r="AW48" i="1"/>
  <c r="AR11" i="7" s="1"/>
  <c r="AR23" i="7" s="1"/>
  <c r="BG51" i="1"/>
  <c r="AZ12" i="7" s="1"/>
  <c r="BA36" i="1"/>
  <c r="AQ37" i="1"/>
  <c r="AQ38" i="1" s="1"/>
  <c r="E295" i="2"/>
  <c r="C29" i="1"/>
  <c r="AV307" i="1"/>
  <c r="H37" i="2"/>
  <c r="R27" i="3" s="1"/>
  <c r="AX205" i="1"/>
  <c r="BH205" i="1"/>
  <c r="BH389" i="1"/>
  <c r="W297" i="2"/>
  <c r="I305" i="2"/>
  <c r="L73" i="6"/>
  <c r="BD310" i="1"/>
  <c r="BK322" i="1"/>
  <c r="BU322" i="1"/>
  <c r="BU358" i="1"/>
  <c r="BC457" i="1"/>
  <c r="AW10" i="7" s="1"/>
  <c r="AW22" i="7" s="1"/>
  <c r="BM457" i="1"/>
  <c r="BE10" i="7" s="1"/>
  <c r="BE22" i="7" s="1"/>
  <c r="I295" i="2"/>
  <c r="BU51" i="1"/>
  <c r="BS36" i="1"/>
  <c r="BV51" i="1"/>
  <c r="BL12" i="7" s="1"/>
  <c r="BI37" i="1"/>
  <c r="BI38" i="1" s="1"/>
  <c r="AV397" i="1"/>
  <c r="BP397" i="1"/>
  <c r="BP51" i="1"/>
  <c r="BG12" i="7" s="1"/>
  <c r="AY36" i="1"/>
  <c r="BL321" i="1"/>
  <c r="M124" i="2"/>
  <c r="N120" i="3"/>
  <c r="D93" i="2"/>
  <c r="H23" i="2"/>
  <c r="H27" i="2" s="1"/>
  <c r="H32" i="2" s="1"/>
  <c r="K116" i="2"/>
  <c r="BU48" i="1"/>
  <c r="BZ49" i="1" s="1"/>
  <c r="J113" i="2"/>
  <c r="BV48" i="1"/>
  <c r="AO36" i="1"/>
  <c r="AG37" i="1"/>
  <c r="AL38" i="1" s="1"/>
  <c r="AY37" i="1"/>
  <c r="AY38" i="1" s="1"/>
  <c r="Q72" i="1"/>
  <c r="BQ154" i="1"/>
  <c r="BV154" i="1"/>
  <c r="BO203" i="1"/>
  <c r="BP205" i="1" s="1"/>
  <c r="R34" i="2"/>
  <c r="F93" i="2"/>
  <c r="D113" i="2"/>
  <c r="L113" i="2"/>
  <c r="C116" i="2"/>
  <c r="AU449" i="1"/>
  <c r="K267" i="2" s="1"/>
  <c r="AJ126" i="1"/>
  <c r="BE153" i="1"/>
  <c r="BG457" i="1"/>
  <c r="AZ10" i="7" s="1"/>
  <c r="AZ22" i="7" s="1"/>
  <c r="AZ464" i="1"/>
  <c r="V14" i="3" s="1"/>
  <c r="T34" i="2"/>
  <c r="M113" i="2"/>
  <c r="BL155" i="1"/>
  <c r="C56" i="2"/>
  <c r="C253" i="2" s="1"/>
  <c r="L72" i="1"/>
  <c r="AF36" i="1"/>
  <c r="R19" i="3" s="1"/>
  <c r="BU37" i="1"/>
  <c r="BZ38" i="1" s="1"/>
  <c r="S126" i="1"/>
  <c r="M369" i="1"/>
  <c r="U369" i="1"/>
  <c r="BU389" i="1"/>
  <c r="AY155" i="1"/>
  <c r="AF37" i="1"/>
  <c r="AF38" i="1" s="1"/>
  <c r="BI202" i="1"/>
  <c r="J124" i="2"/>
  <c r="BN144" i="1"/>
  <c r="BP144" i="1"/>
  <c r="AQ143" i="1"/>
  <c r="AQ154" i="1"/>
  <c r="AS143" i="1"/>
  <c r="BC143" i="1"/>
  <c r="BU143" i="1"/>
  <c r="AW155" i="1"/>
  <c r="BG155" i="1"/>
  <c r="BS155" i="1"/>
  <c r="BF321" i="1"/>
  <c r="BP321" i="1"/>
  <c r="AW397" i="1"/>
  <c r="BG397" i="1"/>
  <c r="BQ397" i="1"/>
  <c r="BA155" i="1"/>
  <c r="BB144" i="1"/>
  <c r="BA38" i="1"/>
  <c r="BA143" i="1"/>
  <c r="AY187" i="1"/>
  <c r="AY188" i="1" s="1"/>
  <c r="BI187" i="1"/>
  <c r="BS187" i="1"/>
  <c r="BV205" i="1"/>
  <c r="BF376" i="1"/>
  <c r="AY19" i="7" s="1"/>
  <c r="BD200" i="1"/>
  <c r="BG202" i="1"/>
  <c r="BQ202" i="1"/>
  <c r="BI221" i="1"/>
  <c r="AY457" i="1"/>
  <c r="AY458" i="1" s="1"/>
  <c r="BI457" i="1"/>
  <c r="BB10" i="7" s="1"/>
  <c r="BB22" i="7" s="1"/>
  <c r="AP307" i="1"/>
  <c r="DC462" i="1"/>
  <c r="M18" i="2"/>
  <c r="J44" i="6"/>
  <c r="BR36" i="1"/>
  <c r="BG36" i="1"/>
  <c r="BQ37" i="1"/>
  <c r="BQ38" i="1" s="1"/>
  <c r="BH51" i="1"/>
  <c r="BA12" i="7" s="1"/>
  <c r="L104" i="1"/>
  <c r="G108" i="1"/>
  <c r="AX154" i="1"/>
  <c r="BU154" i="1"/>
  <c r="BF200" i="1"/>
  <c r="BP200" i="1"/>
  <c r="BH221" i="1"/>
  <c r="BS221" i="1"/>
  <c r="BG321" i="1"/>
  <c r="AQ307" i="1"/>
  <c r="BK346" i="1"/>
  <c r="BG350" i="1"/>
  <c r="BE380" i="1"/>
  <c r="BO380" i="1"/>
  <c r="AA398" i="1"/>
  <c r="K34" i="2"/>
  <c r="K37" i="2" s="1"/>
  <c r="C93" i="2"/>
  <c r="E113" i="2"/>
  <c r="M116" i="2"/>
  <c r="D124" i="2"/>
  <c r="CY95" i="1"/>
  <c r="S297" i="2"/>
  <c r="J38" i="1"/>
  <c r="AY51" i="1"/>
  <c r="AT12" i="7" s="1"/>
  <c r="V72" i="1"/>
  <c r="CY89" i="1"/>
  <c r="BD144" i="1"/>
  <c r="BQ144" i="1"/>
  <c r="AR143" i="1"/>
  <c r="AX187" i="1"/>
  <c r="AX188" i="1" s="1"/>
  <c r="BL205" i="1"/>
  <c r="BL221" i="1"/>
  <c r="BK350" i="1"/>
  <c r="BJ388" i="1"/>
  <c r="BT388" i="1"/>
  <c r="DD436" i="1"/>
  <c r="AQ464" i="1"/>
  <c r="R33" i="2"/>
  <c r="I120" i="2"/>
  <c r="T297" i="2"/>
  <c r="F305" i="2"/>
  <c r="BS205" i="1"/>
  <c r="F124" i="2"/>
  <c r="R44" i="6"/>
  <c r="AX36" i="1"/>
  <c r="R38" i="1"/>
  <c r="AN36" i="1"/>
  <c r="AA72" i="1"/>
  <c r="BR144" i="1"/>
  <c r="BM221" i="1"/>
  <c r="BE320" i="1"/>
  <c r="AZ381" i="1"/>
  <c r="BJ381" i="1"/>
  <c r="AY397" i="1"/>
  <c r="BS397" i="1"/>
  <c r="BX398" i="1" s="1"/>
  <c r="AW36" i="1"/>
  <c r="E29" i="1"/>
  <c r="AM36" i="1"/>
  <c r="Z38" i="1"/>
  <c r="BH37" i="1"/>
  <c r="AW37" i="1"/>
  <c r="BB38" i="1" s="1"/>
  <c r="V73" i="1"/>
  <c r="AX37" i="1"/>
  <c r="AX38" i="1" s="1"/>
  <c r="AF72" i="1"/>
  <c r="AA73" i="1"/>
  <c r="V74" i="1"/>
  <c r="AK104" i="1"/>
  <c r="AT143" i="1"/>
  <c r="BD143" i="1"/>
  <c r="BQ143" i="1"/>
  <c r="AX155" i="1"/>
  <c r="BH187" i="1"/>
  <c r="BC205" i="1"/>
  <c r="BP221" i="1"/>
  <c r="BC321" i="1"/>
  <c r="BL358" i="1"/>
  <c r="S34" i="2"/>
  <c r="C54" i="2"/>
  <c r="C120" i="2"/>
  <c r="K120" i="2"/>
  <c r="U55" i="6"/>
  <c r="M56" i="6"/>
  <c r="BQ36" i="1"/>
  <c r="M38" i="1"/>
  <c r="U38" i="1"/>
  <c r="AA74" i="1"/>
  <c r="AU115" i="1"/>
  <c r="AU135" i="1" s="1"/>
  <c r="BC200" i="1"/>
  <c r="BM200" i="1"/>
  <c r="BD321" i="1"/>
  <c r="BN321" i="1"/>
  <c r="AZ449" i="1"/>
  <c r="L267" i="2" s="1"/>
  <c r="B56" i="2"/>
  <c r="N55" i="6"/>
  <c r="V55" i="6"/>
  <c r="N56" i="6"/>
  <c r="V56" i="6"/>
  <c r="X74" i="6"/>
  <c r="AZ153" i="1"/>
  <c r="AY197" i="1"/>
  <c r="BI289" i="1"/>
  <c r="BH325" i="1"/>
  <c r="BC342" i="1"/>
  <c r="BC346" i="1"/>
  <c r="BK397" i="1"/>
  <c r="BU397" i="1"/>
  <c r="DE438" i="1"/>
  <c r="DE446" i="1" s="1"/>
  <c r="BU420" i="1"/>
  <c r="BD455" i="1"/>
  <c r="K27" i="2"/>
  <c r="K32" i="2" s="1"/>
  <c r="G113" i="2"/>
  <c r="O113" i="2"/>
  <c r="G120" i="2"/>
  <c r="J305" i="2"/>
  <c r="L132" i="6"/>
  <c r="T132" i="6"/>
  <c r="G104" i="1"/>
  <c r="AP108" i="1"/>
  <c r="AK108" i="1"/>
  <c r="BM286" i="1"/>
  <c r="AY325" i="1"/>
  <c r="BI325" i="1"/>
  <c r="N369" i="1"/>
  <c r="V369" i="1"/>
  <c r="BF51" i="1"/>
  <c r="AY12" i="7" s="1"/>
  <c r="M80" i="2"/>
  <c r="BK455" i="1"/>
  <c r="F113" i="2"/>
  <c r="N113" i="2"/>
  <c r="K164" i="2"/>
  <c r="K169" i="2" s="1"/>
  <c r="J295" i="2"/>
  <c r="D305" i="2"/>
  <c r="BK143" i="1"/>
  <c r="BA200" i="1"/>
  <c r="E116" i="2"/>
  <c r="AR38" i="1"/>
  <c r="CX95" i="1"/>
  <c r="AY143" i="1"/>
  <c r="BR170" i="1"/>
  <c r="BN306" i="1"/>
  <c r="BN307" i="1" s="1"/>
  <c r="BF310" i="1"/>
  <c r="AP438" i="1"/>
  <c r="J316" i="2" s="1"/>
  <c r="K18" i="2"/>
  <c r="G37" i="2"/>
  <c r="Q27" i="3" s="1"/>
  <c r="K113" i="2"/>
  <c r="J120" i="2"/>
  <c r="E124" i="2"/>
  <c r="I169" i="2"/>
  <c r="I58" i="2" s="1"/>
  <c r="W132" i="6"/>
  <c r="AH38" i="1"/>
  <c r="BB159" i="1"/>
  <c r="BC306" i="1"/>
  <c r="J27" i="2"/>
  <c r="J32" i="2" s="1"/>
  <c r="I43" i="2"/>
  <c r="D116" i="2"/>
  <c r="L116" i="2"/>
  <c r="I124" i="2"/>
  <c r="C169" i="2"/>
  <c r="C258" i="2" s="1"/>
  <c r="F295" i="2"/>
  <c r="U297" i="2"/>
  <c r="H305" i="2"/>
  <c r="J132" i="6"/>
  <c r="AF104" i="1"/>
  <c r="BC358" i="1"/>
  <c r="I27" i="2"/>
  <c r="I32" i="2" s="1"/>
  <c r="P54" i="6"/>
  <c r="X54" i="6"/>
  <c r="P55" i="6"/>
  <c r="X55" i="6"/>
  <c r="P56" i="6"/>
  <c r="X56" i="6"/>
  <c r="P57" i="6"/>
  <c r="X57" i="6"/>
  <c r="BT196" i="1"/>
  <c r="AR307" i="1"/>
  <c r="BQ322" i="1"/>
  <c r="BD358" i="1"/>
  <c r="L369" i="1"/>
  <c r="BT381" i="1"/>
  <c r="DD398" i="1"/>
  <c r="G18" i="2"/>
  <c r="P37" i="2"/>
  <c r="Z27" i="3" s="1"/>
  <c r="O124" i="2"/>
  <c r="Q55" i="6"/>
  <c r="Q57" i="6"/>
  <c r="AP38" i="7"/>
  <c r="AS36" i="1"/>
  <c r="DD420" i="1"/>
  <c r="BL114" i="1"/>
  <c r="BL117" i="1" s="1"/>
  <c r="BL224" i="1" s="1"/>
  <c r="R126" i="1"/>
  <c r="Z126" i="1"/>
  <c r="BF170" i="1"/>
  <c r="BP170" i="1"/>
  <c r="BA187" i="1"/>
  <c r="BA188" i="1" s="1"/>
  <c r="AV200" i="1"/>
  <c r="BE203" i="1"/>
  <c r="BF205" i="1" s="1"/>
  <c r="AO307" i="1"/>
  <c r="BG326" i="1"/>
  <c r="BD325" i="1"/>
  <c r="BS346" i="1"/>
  <c r="BC350" i="1"/>
  <c r="BK358" i="1"/>
  <c r="AZ364" i="1"/>
  <c r="AZ366" i="1" s="1"/>
  <c r="BL397" i="1"/>
  <c r="O169" i="2"/>
  <c r="Y112" i="3" s="1"/>
  <c r="M57" i="6"/>
  <c r="T74" i="6"/>
  <c r="BC36" i="1"/>
  <c r="BM36" i="1"/>
  <c r="AW144" i="1"/>
  <c r="BE473" i="1"/>
  <c r="W22" i="3" s="1"/>
  <c r="W264" i="3" s="1"/>
  <c r="BR2" i="1"/>
  <c r="AK72" i="1"/>
  <c r="AP104" i="1"/>
  <c r="BB143" i="1"/>
  <c r="BL154" i="1"/>
  <c r="AZ189" i="1"/>
  <c r="CC47" i="7" s="1"/>
  <c r="AZ196" i="1"/>
  <c r="CC34" i="7" s="1"/>
  <c r="BN200" i="1"/>
  <c r="BH326" i="1"/>
  <c r="BR321" i="1"/>
  <c r="BO340" i="1"/>
  <c r="BU342" i="1"/>
  <c r="BC397" i="1"/>
  <c r="BM397" i="1"/>
  <c r="BA389" i="1"/>
  <c r="Q494" i="1"/>
  <c r="N297" i="2"/>
  <c r="V297" i="2"/>
  <c r="N57" i="6"/>
  <c r="V57" i="6"/>
  <c r="N132" i="6"/>
  <c r="V132" i="6"/>
  <c r="AT36" i="1"/>
  <c r="BD36" i="1"/>
  <c r="BN36" i="1"/>
  <c r="BB114" i="1"/>
  <c r="BB117" i="1" s="1"/>
  <c r="BB224" i="1" s="1"/>
  <c r="BV114" i="1"/>
  <c r="BV115" i="1" s="1"/>
  <c r="BK141" i="1"/>
  <c r="BU187" i="1"/>
  <c r="BZ188" i="1" s="1"/>
  <c r="BC197" i="1"/>
  <c r="BH202" i="1"/>
  <c r="BR202" i="1"/>
  <c r="BP204" i="1"/>
  <c r="BK321" i="1"/>
  <c r="BB322" i="1"/>
  <c r="BN389" i="1"/>
  <c r="AK398" i="1"/>
  <c r="DE420" i="1"/>
  <c r="Q56" i="6"/>
  <c r="P74" i="6"/>
  <c r="P132" i="6"/>
  <c r="CY97" i="1"/>
  <c r="AY115" i="1"/>
  <c r="BA322" i="1"/>
  <c r="BC37" i="1"/>
  <c r="BM37" i="1"/>
  <c r="BR38" i="1" s="1"/>
  <c r="AK74" i="1"/>
  <c r="Q102" i="1"/>
  <c r="O126" i="1"/>
  <c r="W126" i="1"/>
  <c r="AG126" i="1"/>
  <c r="BL141" i="1"/>
  <c r="BS202" i="1"/>
  <c r="BQ204" i="1"/>
  <c r="AL307" i="1"/>
  <c r="AT307" i="1"/>
  <c r="BC322" i="1"/>
  <c r="BS350" i="1"/>
  <c r="BQ358" i="1"/>
  <c r="BD221" i="1"/>
  <c r="BD376" i="1" s="1"/>
  <c r="AX20" i="7" s="1"/>
  <c r="BN376" i="1"/>
  <c r="DC438" i="1"/>
  <c r="DC439" i="1" s="1"/>
  <c r="C297" i="2"/>
  <c r="R297" i="2"/>
  <c r="AK73" i="1"/>
  <c r="G102" i="1"/>
  <c r="BS117" i="1"/>
  <c r="BS224" i="1" s="1"/>
  <c r="BA221" i="1"/>
  <c r="BA376" i="1" s="1"/>
  <c r="BA377" i="1" s="1"/>
  <c r="AC38" i="1"/>
  <c r="BN37" i="1"/>
  <c r="BS38" i="1" s="1"/>
  <c r="V102" i="1"/>
  <c r="V110" i="1"/>
  <c r="P126" i="1"/>
  <c r="X126" i="1"/>
  <c r="AH126" i="1"/>
  <c r="BF154" i="1"/>
  <c r="BR154" i="1"/>
  <c r="BK200" i="1"/>
  <c r="BU200" i="1"/>
  <c r="BK202" i="1"/>
  <c r="BU202" i="1"/>
  <c r="BG342" i="1"/>
  <c r="BQ342" i="1"/>
  <c r="BG346" i="1"/>
  <c r="BU350" i="1"/>
  <c r="BN386" i="1"/>
  <c r="BL389" i="1"/>
  <c r="S55" i="6"/>
  <c r="I73" i="6"/>
  <c r="R132" i="6"/>
  <c r="BS321" i="1"/>
  <c r="AA102" i="1"/>
  <c r="BI117" i="1"/>
  <c r="BI224" i="1" s="1"/>
  <c r="Y126" i="1"/>
  <c r="AI126" i="1"/>
  <c r="AW154" i="1"/>
  <c r="BG154" i="1"/>
  <c r="BS154" i="1"/>
  <c r="BB200" i="1"/>
  <c r="BL200" i="1"/>
  <c r="BV200" i="1"/>
  <c r="BG286" i="1"/>
  <c r="BQ286" i="1"/>
  <c r="AN307" i="1"/>
  <c r="AY306" i="1"/>
  <c r="AY307" i="1" s="1"/>
  <c r="AS425" i="1"/>
  <c r="K369" i="1"/>
  <c r="BR346" i="1"/>
  <c r="BV350" i="1"/>
  <c r="BI358" i="1"/>
  <c r="BS358" i="1"/>
  <c r="G369" i="1"/>
  <c r="BA386" i="1"/>
  <c r="AF398" i="1"/>
  <c r="BB457" i="1"/>
  <c r="AV10" i="7" s="1"/>
  <c r="AV22" i="7" s="1"/>
  <c r="BL455" i="1"/>
  <c r="S74" i="6"/>
  <c r="CX92" i="1"/>
  <c r="CX97" i="1"/>
  <c r="AK110" i="1"/>
  <c r="F117" i="1"/>
  <c r="F221" i="1" s="1"/>
  <c r="F285" i="1" s="1"/>
  <c r="F378" i="1" s="1"/>
  <c r="BM117" i="1"/>
  <c r="BM224" i="1" s="1"/>
  <c r="BA144" i="1"/>
  <c r="BM144" i="1"/>
  <c r="BC159" i="1"/>
  <c r="BN159" i="1"/>
  <c r="BG205" i="1"/>
  <c r="AY321" i="1"/>
  <c r="AX321" i="1"/>
  <c r="S138" i="2"/>
  <c r="R25" i="2"/>
  <c r="I93" i="2"/>
  <c r="BP159" i="1"/>
  <c r="BE323" i="1"/>
  <c r="BA325" i="1"/>
  <c r="L38" i="1"/>
  <c r="T38" i="1"/>
  <c r="AB38" i="1"/>
  <c r="AJ38" i="1"/>
  <c r="AS38" i="1"/>
  <c r="BL38" i="1"/>
  <c r="G74" i="1"/>
  <c r="V77" i="1"/>
  <c r="CY92" i="1"/>
  <c r="AF102" i="1"/>
  <c r="AP110" i="1"/>
  <c r="AV114" i="1"/>
  <c r="AV117" i="1" s="1"/>
  <c r="BD114" i="1"/>
  <c r="BD117" i="1" s="1"/>
  <c r="BD224" i="1" s="1"/>
  <c r="BQ114" i="1"/>
  <c r="BQ117" i="1" s="1"/>
  <c r="BQ224" i="1" s="1"/>
  <c r="BC144" i="1"/>
  <c r="AZ142" i="1"/>
  <c r="BF143" i="1"/>
  <c r="BR143" i="1"/>
  <c r="BP143" i="1"/>
  <c r="BB155" i="1"/>
  <c r="BN155" i="1"/>
  <c r="AX152" i="1"/>
  <c r="AY154" i="1"/>
  <c r="AZ169" i="1"/>
  <c r="AZ170" i="1" s="1"/>
  <c r="BG197" i="1"/>
  <c r="AY205" i="1"/>
  <c r="BI205" i="1"/>
  <c r="BR205" i="1"/>
  <c r="BN221" i="1"/>
  <c r="BD289" i="1"/>
  <c r="AU9" i="7"/>
  <c r="AU21" i="7" s="1"/>
  <c r="L134" i="2"/>
  <c r="E176" i="2"/>
  <c r="D7" i="2"/>
  <c r="D10" i="2" s="1"/>
  <c r="B74" i="1"/>
  <c r="AP74" i="1"/>
  <c r="BB141" i="1"/>
  <c r="BK310" i="1"/>
  <c r="BB321" i="1"/>
  <c r="I113" i="2"/>
  <c r="I116" i="2"/>
  <c r="B73" i="1"/>
  <c r="AP73" i="1"/>
  <c r="L74" i="1"/>
  <c r="AA108" i="1"/>
  <c r="G110" i="1"/>
  <c r="AW117" i="1"/>
  <c r="AB126" i="1"/>
  <c r="AW143" i="1"/>
  <c r="BG143" i="1"/>
  <c r="BS143" i="1"/>
  <c r="BC155" i="1"/>
  <c r="BP155" i="1"/>
  <c r="BC152" i="1"/>
  <c r="AW159" i="1"/>
  <c r="BF159" i="1"/>
  <c r="BR159" i="1"/>
  <c r="BM187" i="1"/>
  <c r="BK197" i="1"/>
  <c r="AW200" i="1"/>
  <c r="BG200" i="1"/>
  <c r="BQ200" i="1"/>
  <c r="BB202" i="1"/>
  <c r="BL202" i="1"/>
  <c r="BV202" i="1"/>
  <c r="BI286" i="1"/>
  <c r="BC286" i="1"/>
  <c r="BM289" i="1"/>
  <c r="BH289" i="1"/>
  <c r="BM322" i="1"/>
  <c r="BK342" i="1"/>
  <c r="O120" i="2"/>
  <c r="AU48" i="1"/>
  <c r="AU49" i="1" s="1"/>
  <c r="BN114" i="1"/>
  <c r="BN115" i="1" s="1"/>
  <c r="BK187" i="1"/>
  <c r="BP2" i="1"/>
  <c r="N38" i="1"/>
  <c r="V38" i="1"/>
  <c r="AD38" i="1"/>
  <c r="AM38" i="1"/>
  <c r="G73" i="1"/>
  <c r="AU96" i="1"/>
  <c r="AU109" i="1" s="1"/>
  <c r="V104" i="1"/>
  <c r="AP102" i="1"/>
  <c r="L108" i="1"/>
  <c r="AX114" i="1"/>
  <c r="AX115" i="1" s="1"/>
  <c r="BG114" i="1"/>
  <c r="BG115" i="1" s="1"/>
  <c r="AZ116" i="1"/>
  <c r="BE118" i="1" s="1"/>
  <c r="T126" i="1"/>
  <c r="AC126" i="1"/>
  <c r="AZ140" i="1"/>
  <c r="AZ144" i="1" s="1"/>
  <c r="AX143" i="1"/>
  <c r="BD152" i="1"/>
  <c r="BQ152" i="1"/>
  <c r="BK152" i="1"/>
  <c r="AR154" i="1"/>
  <c r="BB154" i="1"/>
  <c r="AV154" i="1"/>
  <c r="AX159" i="1"/>
  <c r="BG159" i="1"/>
  <c r="BS159" i="1"/>
  <c r="BB170" i="1"/>
  <c r="BL170" i="1"/>
  <c r="BV170" i="1"/>
  <c r="BC187" i="1"/>
  <c r="BN187" i="1"/>
  <c r="BS197" i="1"/>
  <c r="AX200" i="1"/>
  <c r="BH200" i="1"/>
  <c r="BR200" i="1"/>
  <c r="BC202" i="1"/>
  <c r="BM202" i="1"/>
  <c r="BL204" i="1"/>
  <c r="BU204" i="1"/>
  <c r="AW205" i="1"/>
  <c r="BA286" i="1"/>
  <c r="BK286" i="1"/>
  <c r="BL289" i="1"/>
  <c r="AK307" i="1"/>
  <c r="AS307" i="1"/>
  <c r="BB306" i="1"/>
  <c r="DD438" i="1"/>
  <c r="DD454" i="1" s="1"/>
  <c r="BM159" i="1"/>
  <c r="BC117" i="1"/>
  <c r="BC224" i="1" s="1"/>
  <c r="BK154" i="1"/>
  <c r="O38" i="1"/>
  <c r="W38" i="1"/>
  <c r="AE38" i="1"/>
  <c r="AN38" i="1"/>
  <c r="BF38" i="1"/>
  <c r="B72" i="1"/>
  <c r="AP72" i="1"/>
  <c r="L73" i="1"/>
  <c r="AA104" i="1"/>
  <c r="M126" i="1"/>
  <c r="U126" i="1"/>
  <c r="AD126" i="1"/>
  <c r="BG141" i="1"/>
  <c r="BS141" i="1"/>
  <c r="BL143" i="1"/>
  <c r="BV143" i="1"/>
  <c r="BF152" i="1"/>
  <c r="BR152" i="1"/>
  <c r="BP152" i="1"/>
  <c r="AS154" i="1"/>
  <c r="BC154" i="1"/>
  <c r="BP154" i="1"/>
  <c r="BA154" i="1"/>
  <c r="BK159" i="1"/>
  <c r="BU159" i="1"/>
  <c r="AW170" i="1"/>
  <c r="BD187" i="1"/>
  <c r="BP187" i="1"/>
  <c r="AY200" i="1"/>
  <c r="BI200" i="1"/>
  <c r="BS200" i="1"/>
  <c r="BD202" i="1"/>
  <c r="BN202" i="1"/>
  <c r="BM204" i="1"/>
  <c r="BV204" i="1"/>
  <c r="BB205" i="1"/>
  <c r="AU206" i="1"/>
  <c r="CB35" i="7" s="1"/>
  <c r="BP289" i="1"/>
  <c r="BC310" i="1"/>
  <c r="BP322" i="1"/>
  <c r="AV325" i="1"/>
  <c r="L37" i="2"/>
  <c r="V27" i="3" s="1"/>
  <c r="BM155" i="1"/>
  <c r="P38" i="1"/>
  <c r="X38" i="1"/>
  <c r="G72" i="1"/>
  <c r="CX89" i="1"/>
  <c r="AA110" i="1"/>
  <c r="AZ114" i="1"/>
  <c r="N126" i="1"/>
  <c r="V126" i="1"/>
  <c r="AE126" i="1"/>
  <c r="AT154" i="1"/>
  <c r="BD154" i="1"/>
  <c r="BA159" i="1"/>
  <c r="BD170" i="1"/>
  <c r="BN170" i="1"/>
  <c r="BF187" i="1"/>
  <c r="BJ196" i="1"/>
  <c r="CE34" i="7" s="1"/>
  <c r="BF202" i="1"/>
  <c r="BP202" i="1"/>
  <c r="AU204" i="1"/>
  <c r="BD205" i="1"/>
  <c r="BN204" i="1"/>
  <c r="BQ205" i="1"/>
  <c r="BQ289" i="1"/>
  <c r="V298" i="1"/>
  <c r="V299" i="1" s="1"/>
  <c r="BD306" i="1"/>
  <c r="AM307" i="1"/>
  <c r="AU306" i="1"/>
  <c r="AU307" i="1" s="1"/>
  <c r="AW325" i="1"/>
  <c r="P23" i="2"/>
  <c r="P27" i="2" s="1"/>
  <c r="P32" i="2" s="1"/>
  <c r="P297" i="2"/>
  <c r="O297" i="2"/>
  <c r="BB350" i="1"/>
  <c r="AW386" i="1"/>
  <c r="BA457" i="1"/>
  <c r="AU10" i="7" s="1"/>
  <c r="AU22" i="7" s="1"/>
  <c r="BK457" i="1"/>
  <c r="BC10" i="7" s="1"/>
  <c r="BC22" i="7" s="1"/>
  <c r="BJ464" i="1"/>
  <c r="X14" i="3" s="1"/>
  <c r="BJ473" i="1"/>
  <c r="X22" i="3" s="1"/>
  <c r="X264" i="3" s="1"/>
  <c r="D27" i="2"/>
  <c r="D32" i="2" s="1"/>
  <c r="L27" i="2"/>
  <c r="L32" i="2" s="1"/>
  <c r="D43" i="2"/>
  <c r="D67" i="2" s="1"/>
  <c r="L43" i="2"/>
  <c r="L27" i="3"/>
  <c r="H113" i="2"/>
  <c r="P113" i="2"/>
  <c r="J116" i="2"/>
  <c r="H120" i="2"/>
  <c r="H135" i="2"/>
  <c r="R7" i="3" s="1"/>
  <c r="R25" i="3" s="1"/>
  <c r="C295" i="2"/>
  <c r="J73" i="6"/>
  <c r="BM350" i="1"/>
  <c r="BP358" i="1"/>
  <c r="R369" i="1"/>
  <c r="BQ389" i="1"/>
  <c r="Q398" i="1"/>
  <c r="AZ428" i="1"/>
  <c r="BC455" i="1"/>
  <c r="BM455" i="1"/>
  <c r="V495" i="1"/>
  <c r="E18" i="2"/>
  <c r="E27" i="2"/>
  <c r="E32" i="2" s="1"/>
  <c r="M27" i="2"/>
  <c r="M32" i="2" s="1"/>
  <c r="M39" i="2" s="1"/>
  <c r="F27" i="2"/>
  <c r="F32" i="2" s="1"/>
  <c r="N27" i="2"/>
  <c r="N32" i="2" s="1"/>
  <c r="N39" i="2" s="1"/>
  <c r="E43" i="2"/>
  <c r="M43" i="2"/>
  <c r="D14" i="5" s="1"/>
  <c r="I37" i="2"/>
  <c r="S27" i="3" s="1"/>
  <c r="E169" i="2"/>
  <c r="E58" i="2" s="1"/>
  <c r="E305" i="2"/>
  <c r="Q54" i="6"/>
  <c r="BD350" i="1"/>
  <c r="BN350" i="1"/>
  <c r="BG358" i="1"/>
  <c r="BQ377" i="1"/>
  <c r="BA429" i="1"/>
  <c r="DC452" i="1"/>
  <c r="BN455" i="1"/>
  <c r="AQ457" i="1"/>
  <c r="AM10" i="7" s="1"/>
  <c r="AM22" i="7" s="1"/>
  <c r="F18" i="2"/>
  <c r="N18" i="2"/>
  <c r="O27" i="2"/>
  <c r="O32" i="2" s="1"/>
  <c r="O39" i="2" s="1"/>
  <c r="J37" i="2"/>
  <c r="T27" i="3" s="1"/>
  <c r="F169" i="2"/>
  <c r="F258" i="2" s="1"/>
  <c r="N169" i="2"/>
  <c r="X112" i="3" s="1"/>
  <c r="P215" i="2"/>
  <c r="D295" i="2"/>
  <c r="R55" i="6"/>
  <c r="R56" i="6"/>
  <c r="R57" i="6"/>
  <c r="M74" i="6"/>
  <c r="U74" i="6"/>
  <c r="BJ348" i="1"/>
  <c r="BH358" i="1"/>
  <c r="T369" i="1"/>
  <c r="AL369" i="1"/>
  <c r="BF386" i="1"/>
  <c r="BI386" i="1"/>
  <c r="BD389" i="1"/>
  <c r="BI397" i="1"/>
  <c r="AY389" i="1"/>
  <c r="BF455" i="1"/>
  <c r="O18" i="2"/>
  <c r="G43" i="2"/>
  <c r="O43" i="2"/>
  <c r="F14" i="5" s="1"/>
  <c r="C124" i="2"/>
  <c r="K124" i="2"/>
  <c r="G169" i="2"/>
  <c r="G58" i="2" s="1"/>
  <c r="S56" i="6"/>
  <c r="S57" i="6"/>
  <c r="N74" i="6"/>
  <c r="V74" i="6"/>
  <c r="BE344" i="1"/>
  <c r="BQ350" i="1"/>
  <c r="BE381" i="1"/>
  <c r="BO381" i="1"/>
  <c r="BM386" i="1"/>
  <c r="BO388" i="1"/>
  <c r="BC389" i="1"/>
  <c r="L398" i="1"/>
  <c r="BG455" i="1"/>
  <c r="BO473" i="1"/>
  <c r="O73" i="2" s="1"/>
  <c r="O99" i="2" s="1"/>
  <c r="H43" i="2"/>
  <c r="P43" i="2"/>
  <c r="M27" i="3"/>
  <c r="O116" i="2"/>
  <c r="E120" i="2"/>
  <c r="M120" i="2"/>
  <c r="L124" i="2"/>
  <c r="F297" i="2"/>
  <c r="J109" i="3"/>
  <c r="J114" i="3" s="1"/>
  <c r="T54" i="6"/>
  <c r="O74" i="6"/>
  <c r="W74" i="6"/>
  <c r="N173" i="6"/>
  <c r="O173" i="6" s="1"/>
  <c r="P173" i="6" s="1"/>
  <c r="Q173" i="6" s="1"/>
  <c r="R173" i="6" s="1"/>
  <c r="BB346" i="1"/>
  <c r="BR350" i="1"/>
  <c r="BE356" i="1"/>
  <c r="BQ386" i="1"/>
  <c r="BB389" i="1"/>
  <c r="BG389" i="1"/>
  <c r="I18" i="2"/>
  <c r="G295" i="2"/>
  <c r="K109" i="3"/>
  <c r="K114" i="3" s="1"/>
  <c r="K118" i="3" s="1"/>
  <c r="M54" i="6"/>
  <c r="U54" i="6"/>
  <c r="M55" i="6"/>
  <c r="U56" i="6"/>
  <c r="U57" i="6"/>
  <c r="AZ340" i="1"/>
  <c r="AZ342" i="1" s="1"/>
  <c r="BS342" i="1"/>
  <c r="BH346" i="1"/>
  <c r="BI350" i="1"/>
  <c r="AZ380" i="1"/>
  <c r="BT380" i="1"/>
  <c r="AU381" i="1"/>
  <c r="BD397" i="1"/>
  <c r="BU386" i="1"/>
  <c r="BM389" i="1"/>
  <c r="BK389" i="1"/>
  <c r="DE436" i="1"/>
  <c r="DE452" i="1"/>
  <c r="AY455" i="1"/>
  <c r="BI455" i="1"/>
  <c r="F37" i="2"/>
  <c r="P27" i="3" s="1"/>
  <c r="H116" i="2"/>
  <c r="P116" i="2"/>
  <c r="F120" i="2"/>
  <c r="N120" i="2"/>
  <c r="N124" i="2"/>
  <c r="J169" i="2"/>
  <c r="J58" i="2" s="1"/>
  <c r="H295" i="2"/>
  <c r="C305" i="2"/>
  <c r="C55" i="4"/>
  <c r="E3" i="4"/>
  <c r="D9" i="4"/>
  <c r="E5" i="4"/>
  <c r="C9" i="4"/>
  <c r="BJ101" i="1"/>
  <c r="BJ104" i="1" s="1"/>
  <c r="BJ236" i="1" s="1"/>
  <c r="BJ237" i="1" s="1"/>
  <c r="G375" i="1"/>
  <c r="G312" i="1"/>
  <c r="G164" i="1"/>
  <c r="L2" i="1"/>
  <c r="L503" i="1" s="1"/>
  <c r="G67" i="1"/>
  <c r="G60" i="1"/>
  <c r="G113" i="1"/>
  <c r="G94" i="1"/>
  <c r="BO107" i="1"/>
  <c r="B55" i="4"/>
  <c r="BT101" i="1"/>
  <c r="BT104" i="1" s="1"/>
  <c r="BJ107" i="1"/>
  <c r="B47" i="4"/>
  <c r="G79" i="1"/>
  <c r="L79" i="1" s="1"/>
  <c r="Q79" i="1" s="1"/>
  <c r="V79" i="1" s="1"/>
  <c r="AA79" i="1" s="1"/>
  <c r="AF79" i="1" s="1"/>
  <c r="AK79" i="1" s="1"/>
  <c r="AP79" i="1" s="1"/>
  <c r="AU79" i="1" s="1"/>
  <c r="AZ79" i="1" s="1"/>
  <c r="BE79" i="1" s="1"/>
  <c r="BJ79" i="1" s="1"/>
  <c r="BO79" i="1" s="1"/>
  <c r="BT79" i="1" s="1"/>
  <c r="B86" i="1"/>
  <c r="AZ101" i="1"/>
  <c r="AU103" i="1"/>
  <c r="CB33" i="7" s="1"/>
  <c r="BE107" i="1"/>
  <c r="B106" i="1"/>
  <c r="G106" i="1" s="1"/>
  <c r="L106" i="1" s="1"/>
  <c r="Q106" i="1" s="1"/>
  <c r="V106" i="1" s="1"/>
  <c r="AA106" i="1" s="1"/>
  <c r="AF106" i="1" s="1"/>
  <c r="AK106" i="1" s="1"/>
  <c r="AP106" i="1" s="1"/>
  <c r="AU106" i="1" s="1"/>
  <c r="AZ106" i="1" s="1"/>
  <c r="BE106" i="1" s="1"/>
  <c r="BJ106" i="1" s="1"/>
  <c r="BO106" i="1" s="1"/>
  <c r="BT106" i="1" s="1"/>
  <c r="G100" i="1"/>
  <c r="L100" i="1" s="1"/>
  <c r="Q100" i="1" s="1"/>
  <c r="V100" i="1" s="1"/>
  <c r="AA100" i="1" s="1"/>
  <c r="AF100" i="1" s="1"/>
  <c r="AK100" i="1" s="1"/>
  <c r="AP100" i="1" s="1"/>
  <c r="AU100" i="1" s="1"/>
  <c r="AZ100" i="1" s="1"/>
  <c r="BE100" i="1" s="1"/>
  <c r="BJ100" i="1" s="1"/>
  <c r="BO100" i="1" s="1"/>
  <c r="BT100" i="1" s="1"/>
  <c r="BQ2" i="1"/>
  <c r="BQ503" i="1" s="1"/>
  <c r="O228" i="3"/>
  <c r="O23" i="3"/>
  <c r="Q38" i="1"/>
  <c r="Y38" i="1"/>
  <c r="AO38" i="1"/>
  <c r="H49" i="1"/>
  <c r="P49" i="1"/>
  <c r="X49" i="1"/>
  <c r="AF49" i="1"/>
  <c r="AN49" i="1"/>
  <c r="AV49" i="1"/>
  <c r="BD49" i="1"/>
  <c r="BL49" i="1"/>
  <c r="BN60" i="1"/>
  <c r="BM67" i="1"/>
  <c r="CF31" i="7"/>
  <c r="Y51" i="3"/>
  <c r="Y224" i="3" s="1"/>
  <c r="O286" i="2"/>
  <c r="BP114" i="1"/>
  <c r="BT134" i="1"/>
  <c r="BP193" i="1"/>
  <c r="BG30" i="7" s="1"/>
  <c r="AP77" i="1"/>
  <c r="CW92" i="1"/>
  <c r="V108" i="1"/>
  <c r="BF144" i="1"/>
  <c r="L23" i="3"/>
  <c r="L228" i="3"/>
  <c r="T23" i="3"/>
  <c r="T228" i="3"/>
  <c r="I49" i="1"/>
  <c r="Q49" i="1"/>
  <c r="Y49" i="1"/>
  <c r="AG49" i="1"/>
  <c r="AO49" i="1"/>
  <c r="BM49" i="1"/>
  <c r="BN67" i="1"/>
  <c r="U55" i="3"/>
  <c r="U223" i="3" s="1"/>
  <c r="K292" i="2"/>
  <c r="CG31" i="7"/>
  <c r="Z51" i="3"/>
  <c r="Z224" i="3" s="1"/>
  <c r="P286" i="2"/>
  <c r="Q295" i="2" s="1"/>
  <c r="BU193" i="1"/>
  <c r="BU114" i="1"/>
  <c r="BU117" i="1" s="1"/>
  <c r="BU224" i="1" s="1"/>
  <c r="G77" i="1"/>
  <c r="AK102" i="1"/>
  <c r="Q110" i="1"/>
  <c r="BE133" i="1"/>
  <c r="BK375" i="1"/>
  <c r="BK312" i="1"/>
  <c r="BS2" i="1"/>
  <c r="Q228" i="3"/>
  <c r="Q23" i="3"/>
  <c r="K38" i="1"/>
  <c r="S38" i="1"/>
  <c r="AA38" i="1"/>
  <c r="AI38" i="1"/>
  <c r="BG38" i="1"/>
  <c r="J49" i="1"/>
  <c r="R49" i="1"/>
  <c r="Z49" i="1"/>
  <c r="AH49" i="1"/>
  <c r="AP49" i="1"/>
  <c r="AX49" i="1"/>
  <c r="BF49" i="1"/>
  <c r="BN49" i="1"/>
  <c r="V55" i="3"/>
  <c r="V223" i="3" s="1"/>
  <c r="L292" i="2"/>
  <c r="AA51" i="3"/>
  <c r="AA224" i="3" s="1"/>
  <c r="L77" i="1"/>
  <c r="AF108" i="1"/>
  <c r="BL375" i="1"/>
  <c r="BL312" i="1"/>
  <c r="BL113" i="1"/>
  <c r="N228" i="3"/>
  <c r="N23" i="3"/>
  <c r="K49" i="1"/>
  <c r="S49" i="1"/>
  <c r="AA49" i="1"/>
  <c r="AI49" i="1"/>
  <c r="AQ49" i="1"/>
  <c r="AY49" i="1"/>
  <c r="BG49" i="1"/>
  <c r="W55" i="3"/>
  <c r="W223" i="3" s="1"/>
  <c r="M292" i="2"/>
  <c r="Q77" i="1"/>
  <c r="V84" i="1"/>
  <c r="V91" i="1" s="1"/>
  <c r="M376" i="1"/>
  <c r="M285" i="1"/>
  <c r="M378" i="1" s="1"/>
  <c r="U376" i="1"/>
  <c r="U285" i="1"/>
  <c r="U378" i="1" s="1"/>
  <c r="AC376" i="1"/>
  <c r="AC285" i="1"/>
  <c r="AC220" i="1"/>
  <c r="AS376" i="1"/>
  <c r="AX377" i="1" s="1"/>
  <c r="AS285" i="1"/>
  <c r="AX222" i="1"/>
  <c r="AS222" i="1"/>
  <c r="L226" i="3"/>
  <c r="B376" i="1"/>
  <c r="B285" i="1"/>
  <c r="B378" i="1" s="1"/>
  <c r="B317" i="1" s="1"/>
  <c r="BM375" i="1"/>
  <c r="BM312" i="1"/>
  <c r="BM113" i="1"/>
  <c r="L49" i="1"/>
  <c r="T49" i="1"/>
  <c r="AB49" i="1"/>
  <c r="AJ49" i="1"/>
  <c r="AR49" i="1"/>
  <c r="BH49" i="1"/>
  <c r="BP49" i="1"/>
  <c r="X55" i="3"/>
  <c r="X223" i="3" s="1"/>
  <c r="N292" i="2"/>
  <c r="N289" i="2" s="1"/>
  <c r="AA84" i="1"/>
  <c r="AA91" i="1" s="1"/>
  <c r="L102" i="1"/>
  <c r="AF110" i="1"/>
  <c r="N376" i="1"/>
  <c r="N285" i="1"/>
  <c r="N378" i="1" s="1"/>
  <c r="P226" i="3"/>
  <c r="V376" i="1"/>
  <c r="V222" i="1"/>
  <c r="V285" i="1"/>
  <c r="AD376" i="1"/>
  <c r="AD285" i="1"/>
  <c r="AD222" i="1"/>
  <c r="AD220" i="1"/>
  <c r="AL376" i="1"/>
  <c r="AL222" i="1"/>
  <c r="AL285" i="1"/>
  <c r="AP221" i="1"/>
  <c r="AT376" i="1"/>
  <c r="AT285" i="1"/>
  <c r="AT222" i="1"/>
  <c r="AU218" i="1"/>
  <c r="AU124" i="1"/>
  <c r="BN375" i="1"/>
  <c r="BN312" i="1"/>
  <c r="BN113" i="1"/>
  <c r="P23" i="3"/>
  <c r="P228" i="3"/>
  <c r="AT38" i="1"/>
  <c r="D8" i="6" s="1"/>
  <c r="M49" i="1"/>
  <c r="U49" i="1"/>
  <c r="AC49" i="1"/>
  <c r="AK49" i="1"/>
  <c r="AS49" i="1"/>
  <c r="BA49" i="1"/>
  <c r="BI49" i="1"/>
  <c r="BQ49" i="1"/>
  <c r="BK60" i="1"/>
  <c r="O292" i="2"/>
  <c r="Y55" i="3"/>
  <c r="Y223" i="3" s="1"/>
  <c r="AA77" i="1"/>
  <c r="AF84" i="1"/>
  <c r="AF91" i="1" s="1"/>
  <c r="M226" i="3"/>
  <c r="G376" i="1"/>
  <c r="G285" i="1"/>
  <c r="O376" i="1"/>
  <c r="O285" i="1"/>
  <c r="O378" i="1" s="1"/>
  <c r="W376" i="1"/>
  <c r="W285" i="1"/>
  <c r="W378" i="1" s="1"/>
  <c r="W220" i="1"/>
  <c r="AE376" i="1"/>
  <c r="AE285" i="1"/>
  <c r="AE220" i="1"/>
  <c r="AM376" i="1"/>
  <c r="AM285" i="1"/>
  <c r="M23" i="3"/>
  <c r="M228" i="3"/>
  <c r="N49" i="1"/>
  <c r="V49" i="1"/>
  <c r="AD49" i="1"/>
  <c r="AL49" i="1"/>
  <c r="AT49" i="1"/>
  <c r="BR49" i="1"/>
  <c r="BL60" i="1"/>
  <c r="BK67" i="1"/>
  <c r="CD31" i="7"/>
  <c r="W51" i="3"/>
  <c r="W224" i="3" s="1"/>
  <c r="M286" i="2"/>
  <c r="BF114" i="1"/>
  <c r="BF193" i="1"/>
  <c r="AY30" i="7" s="1"/>
  <c r="BJ134" i="1"/>
  <c r="AF77" i="1"/>
  <c r="AK84" i="1"/>
  <c r="BK113" i="1"/>
  <c r="H117" i="1"/>
  <c r="H221" i="1" s="1"/>
  <c r="H134" i="1"/>
  <c r="H115" i="1"/>
  <c r="P117" i="1"/>
  <c r="P221" i="1" s="1"/>
  <c r="U222" i="1" s="1"/>
  <c r="P115" i="1"/>
  <c r="X117" i="1"/>
  <c r="X221" i="1" s="1"/>
  <c r="X115" i="1"/>
  <c r="AF117" i="1"/>
  <c r="AF134" i="1"/>
  <c r="AF115" i="1"/>
  <c r="AF135" i="1" s="1"/>
  <c r="AN285" i="1"/>
  <c r="AN376" i="1"/>
  <c r="G49" i="1"/>
  <c r="O49" i="1"/>
  <c r="W49" i="1"/>
  <c r="AE49" i="1"/>
  <c r="AM49" i="1"/>
  <c r="BC49" i="1"/>
  <c r="BK49" i="1"/>
  <c r="BS49" i="1"/>
  <c r="BM60" i="1"/>
  <c r="BL67" i="1"/>
  <c r="CE31" i="7"/>
  <c r="X51" i="3"/>
  <c r="X224" i="3" s="1"/>
  <c r="N286" i="2"/>
  <c r="BO134" i="1"/>
  <c r="BK193" i="1"/>
  <c r="BC30" i="7" s="1"/>
  <c r="BK114" i="1"/>
  <c r="AK77" i="1"/>
  <c r="AP84" i="1"/>
  <c r="I376" i="1"/>
  <c r="I285" i="1"/>
  <c r="I378" i="1" s="1"/>
  <c r="O226" i="3"/>
  <c r="Q376" i="1"/>
  <c r="Q285" i="1"/>
  <c r="Y376" i="1"/>
  <c r="Y285" i="1"/>
  <c r="Y378" i="1" s="1"/>
  <c r="Y220" i="1"/>
  <c r="AG376" i="1"/>
  <c r="AG285" i="1"/>
  <c r="AG220" i="1"/>
  <c r="AO376" i="1"/>
  <c r="AO285" i="1"/>
  <c r="E115" i="1"/>
  <c r="M115" i="1"/>
  <c r="U115" i="1"/>
  <c r="AC115" i="1"/>
  <c r="AK115" i="1"/>
  <c r="AK135" i="1" s="1"/>
  <c r="AK136" i="1" s="1"/>
  <c r="AS115" i="1"/>
  <c r="BI115" i="1"/>
  <c r="J117" i="1"/>
  <c r="J221" i="1" s="1"/>
  <c r="R117" i="1"/>
  <c r="R221" i="1" s="1"/>
  <c r="W222" i="1" s="1"/>
  <c r="Z117" i="1"/>
  <c r="Z221" i="1" s="1"/>
  <c r="AH117" i="1"/>
  <c r="AH221" i="1" s="1"/>
  <c r="AM222" i="1" s="1"/>
  <c r="AP117" i="1"/>
  <c r="AU118" i="1"/>
  <c r="AZ122" i="1"/>
  <c r="AI129" i="1"/>
  <c r="O8" i="6" s="1"/>
  <c r="K134" i="1"/>
  <c r="AU134" i="1"/>
  <c r="BA141" i="1"/>
  <c r="BM141" i="1"/>
  <c r="AX144" i="1"/>
  <c r="BG144" i="1"/>
  <c r="BS144" i="1"/>
  <c r="AZ151" i="1"/>
  <c r="AZ155" i="1" s="1"/>
  <c r="AW152" i="1"/>
  <c r="BG152" i="1"/>
  <c r="BS152" i="1"/>
  <c r="AY159" i="1"/>
  <c r="AU187" i="1"/>
  <c r="AV188" i="1"/>
  <c r="BD193" i="1"/>
  <c r="AX30" i="7" s="1"/>
  <c r="BN193" i="1"/>
  <c r="BF30" i="7" s="1"/>
  <c r="BB197" i="1"/>
  <c r="BR197" i="1"/>
  <c r="BB204" i="1"/>
  <c r="BR204" i="1"/>
  <c r="BC206" i="1"/>
  <c r="AW35" i="7" s="1"/>
  <c r="AQ19" i="7"/>
  <c r="AQ20" i="7"/>
  <c r="BF378" i="1"/>
  <c r="BF286" i="1"/>
  <c r="BN378" i="1"/>
  <c r="BN379" i="1" s="1"/>
  <c r="BN286" i="1"/>
  <c r="BQ321" i="1"/>
  <c r="AU323" i="1"/>
  <c r="AU368" i="1" s="1"/>
  <c r="AT326" i="1"/>
  <c r="AY328" i="1" s="1"/>
  <c r="F115" i="1"/>
  <c r="N115" i="1"/>
  <c r="V115" i="1"/>
  <c r="V135" i="1" s="1"/>
  <c r="AD115" i="1"/>
  <c r="AL115" i="1"/>
  <c r="AT115" i="1"/>
  <c r="BR115" i="1"/>
  <c r="C117" i="1"/>
  <c r="K117" i="1"/>
  <c r="K221" i="1" s="1"/>
  <c r="S117" i="1"/>
  <c r="S221" i="1" s="1"/>
  <c r="AA117" i="1"/>
  <c r="AI117" i="1"/>
  <c r="AI221" i="1" s="1"/>
  <c r="AQ117" i="1"/>
  <c r="AQ221" i="1" s="1"/>
  <c r="AV222" i="1" s="1"/>
  <c r="AY117" i="1"/>
  <c r="AB129" i="1"/>
  <c r="I8" i="6" s="1"/>
  <c r="AJ129" i="1"/>
  <c r="P8" i="6" s="1"/>
  <c r="L134" i="1"/>
  <c r="L136" i="1" s="1"/>
  <c r="BN141" i="1"/>
  <c r="BE142" i="1"/>
  <c r="AY144" i="1"/>
  <c r="BK144" i="1"/>
  <c r="BD155" i="1"/>
  <c r="BQ155" i="1"/>
  <c r="BL159" i="1"/>
  <c r="BV159" i="1"/>
  <c r="CB26" i="7"/>
  <c r="U232" i="3"/>
  <c r="T232" i="3"/>
  <c r="K296" i="2"/>
  <c r="AX26" i="7"/>
  <c r="BD26" i="7"/>
  <c r="BT169" i="1"/>
  <c r="BM170" i="1"/>
  <c r="BU170" i="1"/>
  <c r="AV193" i="1"/>
  <c r="AQ30" i="7" s="1"/>
  <c r="AU197" i="1"/>
  <c r="BC204" i="1"/>
  <c r="BK204" i="1"/>
  <c r="BS204" i="1"/>
  <c r="BD206" i="1"/>
  <c r="BF208" i="1"/>
  <c r="AA298" i="1"/>
  <c r="AF300" i="1"/>
  <c r="AZ303" i="1"/>
  <c r="AW306" i="1"/>
  <c r="AW307" i="1" s="1"/>
  <c r="AW310" i="1"/>
  <c r="AZ309" i="1"/>
  <c r="BR322" i="1"/>
  <c r="BF326" i="1"/>
  <c r="BJ323" i="1"/>
  <c r="BF325" i="1"/>
  <c r="G115" i="1"/>
  <c r="G135" i="1" s="1"/>
  <c r="O115" i="1"/>
  <c r="W115" i="1"/>
  <c r="AE115" i="1"/>
  <c r="AM115" i="1"/>
  <c r="BC115" i="1"/>
  <c r="BS115" i="1"/>
  <c r="D117" i="1"/>
  <c r="L117" i="1"/>
  <c r="L221" i="1" s="1"/>
  <c r="Q222" i="1" s="1"/>
  <c r="T117" i="1"/>
  <c r="T221" i="1" s="1"/>
  <c r="AB117" i="1"/>
  <c r="AB221" i="1" s="1"/>
  <c r="AG222" i="1" s="1"/>
  <c r="AJ117" i="1"/>
  <c r="AJ221" i="1" s="1"/>
  <c r="AO222" i="1" s="1"/>
  <c r="AR117" i="1"/>
  <c r="AR221" i="1" s="1"/>
  <c r="BH117" i="1"/>
  <c r="BH224" i="1" s="1"/>
  <c r="AW118" i="1"/>
  <c r="AU125" i="1"/>
  <c r="AC129" i="1"/>
  <c r="J8" i="6" s="1"/>
  <c r="AK129" i="1"/>
  <c r="Q134" i="1"/>
  <c r="BC141" i="1"/>
  <c r="BP141" i="1"/>
  <c r="AV143" i="1"/>
  <c r="BL144" i="1"/>
  <c r="AY152" i="1"/>
  <c r="BL152" i="1"/>
  <c r="BF155" i="1"/>
  <c r="BR155" i="1"/>
  <c r="BE169" i="1"/>
  <c r="BE26" i="7"/>
  <c r="BK26" i="7"/>
  <c r="AX170" i="1"/>
  <c r="AW187" i="1"/>
  <c r="AW188" i="1" s="1"/>
  <c r="AW193" i="1"/>
  <c r="AR30" i="7" s="1"/>
  <c r="BG193" i="1"/>
  <c r="AZ30" i="7" s="1"/>
  <c r="BQ193" i="1"/>
  <c r="BH30" i="7" s="1"/>
  <c r="BE196" i="1"/>
  <c r="BD197" i="1"/>
  <c r="BL197" i="1"/>
  <c r="AZ203" i="1"/>
  <c r="BA205" i="1" s="1"/>
  <c r="BD204" i="1"/>
  <c r="BM205" i="1"/>
  <c r="BG208" i="1"/>
  <c r="AS20" i="7"/>
  <c r="AS19" i="7"/>
  <c r="AX382" i="1"/>
  <c r="BN289" i="1"/>
  <c r="BA321" i="1"/>
  <c r="BA326" i="1"/>
  <c r="BI321" i="1"/>
  <c r="BI326" i="1"/>
  <c r="BG325" i="1"/>
  <c r="AN115" i="1"/>
  <c r="AK117" i="1"/>
  <c r="AX118" i="1"/>
  <c r="AU128" i="1"/>
  <c r="AD129" i="1"/>
  <c r="K8" i="6" s="1"/>
  <c r="AP129" i="1"/>
  <c r="V134" i="1"/>
  <c r="BE140" i="1"/>
  <c r="BD141" i="1"/>
  <c r="BQ141" i="1"/>
  <c r="BA152" i="1"/>
  <c r="BM152" i="1"/>
  <c r="AY26" i="7"/>
  <c r="BF26" i="7"/>
  <c r="BL26" i="7"/>
  <c r="AY170" i="1"/>
  <c r="BG170" i="1"/>
  <c r="AX193" i="1"/>
  <c r="AS30" i="7" s="1"/>
  <c r="BH193" i="1"/>
  <c r="BA30" i="7" s="1"/>
  <c r="BR193" i="1"/>
  <c r="BI30" i="7" s="1"/>
  <c r="AW197" i="1"/>
  <c r="BM197" i="1"/>
  <c r="BU197" i="1"/>
  <c r="BN205" i="1"/>
  <c r="AP206" i="1"/>
  <c r="BF206" i="1"/>
  <c r="AY35" i="7" s="1"/>
  <c r="BV206" i="1"/>
  <c r="BL35" i="7" s="1"/>
  <c r="BR378" i="1"/>
  <c r="BR286" i="1"/>
  <c r="AW289" i="1"/>
  <c r="AZ288" i="1"/>
  <c r="BF289" i="1"/>
  <c r="BL306" i="1"/>
  <c r="BL307" i="1" s="1"/>
  <c r="BL310" i="1"/>
  <c r="BU326" i="1"/>
  <c r="BZ328" i="1" s="1"/>
  <c r="AX326" i="1"/>
  <c r="AX325" i="1"/>
  <c r="I115" i="1"/>
  <c r="Q115" i="1"/>
  <c r="Q135" i="1" s="1"/>
  <c r="Y115" i="1"/>
  <c r="AG115" i="1"/>
  <c r="AO115" i="1"/>
  <c r="AW115" i="1"/>
  <c r="BM115" i="1"/>
  <c r="K118" i="1"/>
  <c r="AY118" i="1"/>
  <c r="AE129" i="1"/>
  <c r="L8" i="6" s="1"/>
  <c r="G134" i="1"/>
  <c r="AA134" i="1"/>
  <c r="AA136" i="1" s="1"/>
  <c r="AV141" i="1"/>
  <c r="BF141" i="1"/>
  <c r="BR141" i="1"/>
  <c r="BB152" i="1"/>
  <c r="BN152" i="1"/>
  <c r="N232" i="3"/>
  <c r="L296" i="2"/>
  <c r="M297" i="2" s="1"/>
  <c r="D296" i="2"/>
  <c r="D297" i="2" s="1"/>
  <c r="BO169" i="1"/>
  <c r="L170" i="1"/>
  <c r="AE43" i="7"/>
  <c r="M106" i="6"/>
  <c r="AG184" i="1"/>
  <c r="AY193" i="1"/>
  <c r="AT30" i="7" s="1"/>
  <c r="BI193" i="1"/>
  <c r="BB30" i="7" s="1"/>
  <c r="BS193" i="1"/>
  <c r="BJ30" i="7" s="1"/>
  <c r="BO196" i="1"/>
  <c r="AP197" i="1"/>
  <c r="AX197" i="1"/>
  <c r="BF197" i="1"/>
  <c r="BN197" i="1"/>
  <c r="BV197" i="1"/>
  <c r="BJ203" i="1"/>
  <c r="AX204" i="1"/>
  <c r="BF204" i="1"/>
  <c r="BG206" i="1"/>
  <c r="AZ35" i="7" s="1"/>
  <c r="AF215" i="1"/>
  <c r="BA306" i="1"/>
  <c r="BA307" i="1" s="1"/>
  <c r="BA310" i="1"/>
  <c r="BM306" i="1"/>
  <c r="BM307" i="1" s="1"/>
  <c r="J115" i="1"/>
  <c r="AP115" i="1"/>
  <c r="AP135" i="1" s="1"/>
  <c r="AP136" i="1" s="1"/>
  <c r="AF129" i="1"/>
  <c r="AW141" i="1"/>
  <c r="BE151" i="1"/>
  <c r="BD159" i="1"/>
  <c r="BQ159" i="1"/>
  <c r="BA26" i="7"/>
  <c r="BG26" i="7"/>
  <c r="BI170" i="1"/>
  <c r="BQ170" i="1"/>
  <c r="AF43" i="7"/>
  <c r="N106" i="6"/>
  <c r="AH184" i="1"/>
  <c r="AY204" i="1"/>
  <c r="BG204" i="1"/>
  <c r="BB378" i="1"/>
  <c r="BB379" i="1" s="1"/>
  <c r="BB286" i="1"/>
  <c r="BR289" i="1"/>
  <c r="BD328" i="1"/>
  <c r="BM321" i="1"/>
  <c r="CB31" i="7"/>
  <c r="U51" i="3"/>
  <c r="U224" i="3" s="1"/>
  <c r="K286" i="2"/>
  <c r="AG129" i="1"/>
  <c r="M8" i="6" s="1"/>
  <c r="I134" i="1"/>
  <c r="AU26" i="7"/>
  <c r="BB26" i="7"/>
  <c r="BH26" i="7"/>
  <c r="AG43" i="7"/>
  <c r="O106" i="6"/>
  <c r="AI184" i="1"/>
  <c r="AT188" i="1"/>
  <c r="X37" i="6" s="1"/>
  <c r="BB193" i="1"/>
  <c r="AV30" i="7" s="1"/>
  <c r="BL193" i="1"/>
  <c r="BD30" i="7" s="1"/>
  <c r="BV193" i="1"/>
  <c r="BL30" i="7" s="1"/>
  <c r="BH197" i="1"/>
  <c r="BP197" i="1"/>
  <c r="N172" i="6"/>
  <c r="O172" i="6" s="1"/>
  <c r="P172" i="6" s="1"/>
  <c r="Q172" i="6" s="1"/>
  <c r="R172" i="6" s="1"/>
  <c r="BT203" i="1"/>
  <c r="BH204" i="1"/>
  <c r="BA206" i="1"/>
  <c r="AU35" i="7" s="1"/>
  <c r="AV20" i="7"/>
  <c r="AV19" i="7"/>
  <c r="BV378" i="1"/>
  <c r="BV286" i="1"/>
  <c r="BB325" i="1"/>
  <c r="BB326" i="1"/>
  <c r="CB25" i="7"/>
  <c r="T231" i="3"/>
  <c r="U231" i="3"/>
  <c r="AH129" i="1"/>
  <c r="N8" i="6" s="1"/>
  <c r="CE133" i="1"/>
  <c r="AV26" i="7"/>
  <c r="BJ169" i="1"/>
  <c r="BI26" i="7"/>
  <c r="BR224" i="1"/>
  <c r="BC170" i="1"/>
  <c r="BK170" i="1"/>
  <c r="BS170" i="1"/>
  <c r="AH43" i="7"/>
  <c r="P106" i="6"/>
  <c r="AJ184" i="1"/>
  <c r="BR187" i="1"/>
  <c r="BC193" i="1"/>
  <c r="AW30" i="7" s="1"/>
  <c r="BM193" i="1"/>
  <c r="BE30" i="7" s="1"/>
  <c r="BA197" i="1"/>
  <c r="BI197" i="1"/>
  <c r="BQ197" i="1"/>
  <c r="BI204" i="1"/>
  <c r="BB206" i="1"/>
  <c r="AV35" i="7" s="1"/>
  <c r="AA215" i="1"/>
  <c r="BS286" i="1"/>
  <c r="BB289" i="1"/>
  <c r="AW326" i="1"/>
  <c r="AZ320" i="1"/>
  <c r="AW322" i="1"/>
  <c r="AW321" i="1"/>
  <c r="BJ320" i="1"/>
  <c r="BI322" i="1"/>
  <c r="BC325" i="1"/>
  <c r="AY289" i="1"/>
  <c r="BG289" i="1"/>
  <c r="AX306" i="1"/>
  <c r="AX307" i="1" s="1"/>
  <c r="AT397" i="1"/>
  <c r="AU398" i="1"/>
  <c r="BT320" i="1"/>
  <c r="BD322" i="1"/>
  <c r="BL322" i="1"/>
  <c r="BK325" i="1"/>
  <c r="AS326" i="1"/>
  <c r="BL342" i="1"/>
  <c r="BT340" i="1"/>
  <c r="BY342" i="1" s="1"/>
  <c r="BO344" i="1"/>
  <c r="BU346" i="1"/>
  <c r="BT348" i="1"/>
  <c r="BY350" i="1" s="1"/>
  <c r="AY425" i="1"/>
  <c r="BD378" i="1"/>
  <c r="BD379" i="1" s="1"/>
  <c r="BH19" i="7"/>
  <c r="BH20" i="7"/>
  <c r="BQ382" i="1"/>
  <c r="BD342" i="1"/>
  <c r="BM342" i="1"/>
  <c r="BV346" i="1"/>
  <c r="BO356" i="1"/>
  <c r="BD20" i="7"/>
  <c r="BD19" i="7"/>
  <c r="BH378" i="1"/>
  <c r="BH379" i="1" s="1"/>
  <c r="BC379" i="1"/>
  <c r="BD286" i="1"/>
  <c r="BL286" i="1"/>
  <c r="BF322" i="1"/>
  <c r="BN322" i="1"/>
  <c r="BV322" i="1"/>
  <c r="BC326" i="1"/>
  <c r="BK326" i="1"/>
  <c r="BE340" i="1"/>
  <c r="BN342" i="1"/>
  <c r="BV342" i="1"/>
  <c r="BM346" i="1"/>
  <c r="AZ348" i="1"/>
  <c r="BM358" i="1"/>
  <c r="BL378" i="1"/>
  <c r="BL379" i="1" s="1"/>
  <c r="BU286" i="1"/>
  <c r="BB310" i="1"/>
  <c r="BM310" i="1"/>
  <c r="BO320" i="1"/>
  <c r="BG322" i="1"/>
  <c r="AZ323" i="1"/>
  <c r="AV326" i="1"/>
  <c r="BF342" i="1"/>
  <c r="BN346" i="1"/>
  <c r="BE348" i="1"/>
  <c r="AY350" i="1"/>
  <c r="AZ356" i="1"/>
  <c r="BJ356" i="1"/>
  <c r="O369" i="1"/>
  <c r="AU289" i="1"/>
  <c r="BC289" i="1"/>
  <c r="BK289" i="1"/>
  <c r="BS289" i="1"/>
  <c r="AU303" i="1"/>
  <c r="AU310" i="1"/>
  <c r="AY322" i="1"/>
  <c r="BH322" i="1"/>
  <c r="BP342" i="1"/>
  <c r="AW346" i="1"/>
  <c r="AZ344" i="1"/>
  <c r="BF346" i="1"/>
  <c r="BT344" i="1"/>
  <c r="BY346" i="1" s="1"/>
  <c r="BL350" i="1"/>
  <c r="S369" i="1"/>
  <c r="BH342" i="1"/>
  <c r="BQ346" i="1"/>
  <c r="BR358" i="1"/>
  <c r="AS500" i="1"/>
  <c r="AU380" i="1"/>
  <c r="BE20" i="7"/>
  <c r="BE19" i="7"/>
  <c r="BM382" i="1"/>
  <c r="BH286" i="1"/>
  <c r="BP286" i="1"/>
  <c r="AU321" i="1"/>
  <c r="AQ326" i="1"/>
  <c r="BI342" i="1"/>
  <c r="BR342" i="1"/>
  <c r="AV378" i="1"/>
  <c r="AZ285" i="1"/>
  <c r="BS322" i="1"/>
  <c r="AR326" i="1"/>
  <c r="BB342" i="1"/>
  <c r="BA346" i="1"/>
  <c r="BI346" i="1"/>
  <c r="BO348" i="1"/>
  <c r="BB358" i="1"/>
  <c r="BA358" i="1"/>
  <c r="BJ380" i="1"/>
  <c r="BJ340" i="1"/>
  <c r="BF350" i="1"/>
  <c r="BT356" i="1"/>
  <c r="BY358" i="1" s="1"/>
  <c r="AW425" i="1"/>
  <c r="BK376" i="1"/>
  <c r="AX397" i="1"/>
  <c r="BF397" i="1"/>
  <c r="BN397" i="1"/>
  <c r="BV397" i="1"/>
  <c r="BH386" i="1"/>
  <c r="BP386" i="1"/>
  <c r="BF389" i="1"/>
  <c r="BJ7" i="7"/>
  <c r="BS489" i="1"/>
  <c r="BX490" i="1" s="1"/>
  <c r="BS474" i="1"/>
  <c r="AU428" i="1"/>
  <c r="BO428" i="1"/>
  <c r="BT428" i="1"/>
  <c r="AU438" i="1"/>
  <c r="BO385" i="1"/>
  <c r="BE388" i="1"/>
  <c r="BJ344" i="1"/>
  <c r="BD346" i="1"/>
  <c r="BL346" i="1"/>
  <c r="BH350" i="1"/>
  <c r="BP350" i="1"/>
  <c r="AX358" i="1"/>
  <c r="BF358" i="1"/>
  <c r="BN358" i="1"/>
  <c r="BV358" i="1"/>
  <c r="H369" i="1"/>
  <c r="P369" i="1"/>
  <c r="AZ385" i="1"/>
  <c r="BB386" i="1"/>
  <c r="BR386" i="1"/>
  <c r="BV389" i="1"/>
  <c r="V398" i="1"/>
  <c r="H452" i="1"/>
  <c r="P452" i="1"/>
  <c r="X452" i="1"/>
  <c r="AF452" i="1"/>
  <c r="AN10" i="7"/>
  <c r="AN22" i="7" s="1"/>
  <c r="AR463" i="1"/>
  <c r="BA350" i="1"/>
  <c r="AW366" i="1"/>
  <c r="Q369" i="1"/>
  <c r="AO369" i="1"/>
  <c r="BC386" i="1"/>
  <c r="BK386" i="1"/>
  <c r="BS386" i="1"/>
  <c r="BI389" i="1"/>
  <c r="BA397" i="1"/>
  <c r="AO10" i="7"/>
  <c r="AO22" i="7" s="1"/>
  <c r="AS463" i="1"/>
  <c r="AS464" i="1"/>
  <c r="AT469" i="1"/>
  <c r="BA425" i="1"/>
  <c r="BB397" i="1"/>
  <c r="BJ385" i="1"/>
  <c r="BR397" i="1"/>
  <c r="BW398" i="1" s="1"/>
  <c r="AV386" i="1"/>
  <c r="BD386" i="1"/>
  <c r="BL386" i="1"/>
  <c r="AZ388" i="1"/>
  <c r="AZ389" i="1" s="1"/>
  <c r="BP389" i="1"/>
  <c r="BP346" i="1"/>
  <c r="AS373" i="1"/>
  <c r="AT499" i="1"/>
  <c r="BT385" i="1"/>
  <c r="BV386" i="1"/>
  <c r="BR389" i="1"/>
  <c r="AP398" i="1"/>
  <c r="L452" i="1"/>
  <c r="T452" i="1"/>
  <c r="AB452" i="1"/>
  <c r="BE385" i="1"/>
  <c r="AY386" i="1"/>
  <c r="BG386" i="1"/>
  <c r="BS389" i="1"/>
  <c r="AK428" i="1"/>
  <c r="DC398" i="1"/>
  <c r="BL7" i="7"/>
  <c r="BV489" i="1"/>
  <c r="CA490" i="1" s="1"/>
  <c r="K317" i="2"/>
  <c r="K278" i="2"/>
  <c r="G452" i="1"/>
  <c r="O452" i="1"/>
  <c r="W452" i="1"/>
  <c r="AE452" i="1"/>
  <c r="DD462" i="1"/>
  <c r="BU474" i="1"/>
  <c r="B134" i="2"/>
  <c r="B135" i="2" s="1"/>
  <c r="B43" i="2"/>
  <c r="J134" i="2"/>
  <c r="J135" i="2" s="1"/>
  <c r="J43" i="2"/>
  <c r="C43" i="2"/>
  <c r="K43" i="2"/>
  <c r="AR455" i="1"/>
  <c r="BH455" i="1"/>
  <c r="AV457" i="1"/>
  <c r="BD457" i="1"/>
  <c r="BL457" i="1"/>
  <c r="DE462" i="1"/>
  <c r="BV474" i="1"/>
  <c r="DE398" i="1"/>
  <c r="BG7" i="7"/>
  <c r="BP489" i="1"/>
  <c r="I452" i="1"/>
  <c r="Q452" i="1"/>
  <c r="Y452" i="1"/>
  <c r="BE452" i="1"/>
  <c r="AS455" i="1"/>
  <c r="BA455" i="1"/>
  <c r="AR464" i="1"/>
  <c r="H18" i="2"/>
  <c r="BH7" i="7"/>
  <c r="BQ489" i="1"/>
  <c r="BJ428" i="1"/>
  <c r="M277" i="2"/>
  <c r="M266" i="2"/>
  <c r="J452" i="1"/>
  <c r="R452" i="1"/>
  <c r="Z452" i="1"/>
  <c r="BB455" i="1"/>
  <c r="BF457" i="1"/>
  <c r="BN457" i="1"/>
  <c r="E37" i="2"/>
  <c r="W27" i="3"/>
  <c r="BI7" i="7"/>
  <c r="BR489" i="1"/>
  <c r="BW490" i="1" s="1"/>
  <c r="DD452" i="1"/>
  <c r="AZ473" i="1"/>
  <c r="BP474" i="1"/>
  <c r="F134" i="2"/>
  <c r="F43" i="2"/>
  <c r="N134" i="2"/>
  <c r="N43" i="2"/>
  <c r="J18" i="2"/>
  <c r="X27" i="3"/>
  <c r="BH457" i="1"/>
  <c r="BQ474" i="1"/>
  <c r="Y27" i="3"/>
  <c r="BT419" i="1"/>
  <c r="P166" i="2" s="1"/>
  <c r="BV420" i="1"/>
  <c r="BE428" i="1"/>
  <c r="BA444" i="1"/>
  <c r="K80" i="2"/>
  <c r="K57" i="2"/>
  <c r="O213" i="6"/>
  <c r="U13" i="3"/>
  <c r="BR474" i="1"/>
  <c r="D18" i="2"/>
  <c r="L18" i="2"/>
  <c r="BK7" i="7"/>
  <c r="BU489" i="1"/>
  <c r="BZ490" i="1" s="1"/>
  <c r="J317" i="2"/>
  <c r="J278" i="2"/>
  <c r="AF499" i="1"/>
  <c r="P213" i="6"/>
  <c r="V13" i="3"/>
  <c r="L256" i="2"/>
  <c r="U22" i="3"/>
  <c r="U264" i="3" s="1"/>
  <c r="K73" i="2"/>
  <c r="BT473" i="1"/>
  <c r="H254" i="2"/>
  <c r="H194" i="2"/>
  <c r="G135" i="2"/>
  <c r="I254" i="2"/>
  <c r="I194" i="2"/>
  <c r="W115" i="3"/>
  <c r="M255" i="2"/>
  <c r="E311" i="2"/>
  <c r="E279" i="2"/>
  <c r="B254" i="2"/>
  <c r="B259" i="2" s="1"/>
  <c r="B194" i="2"/>
  <c r="J254" i="2"/>
  <c r="J194" i="2"/>
  <c r="I135" i="2"/>
  <c r="C254" i="2"/>
  <c r="C194" i="2"/>
  <c r="E135" i="2"/>
  <c r="D254" i="2"/>
  <c r="D194" i="2"/>
  <c r="E254" i="2"/>
  <c r="E194" i="2"/>
  <c r="I311" i="2"/>
  <c r="I279" i="2"/>
  <c r="D135" i="2"/>
  <c r="U34" i="2"/>
  <c r="F254" i="2"/>
  <c r="F194" i="2"/>
  <c r="V34" i="2"/>
  <c r="G254" i="2"/>
  <c r="G194" i="2"/>
  <c r="H311" i="2"/>
  <c r="H279" i="2"/>
  <c r="P124" i="2"/>
  <c r="S28" i="3"/>
  <c r="S110" i="3" s="1"/>
  <c r="I253" i="2"/>
  <c r="N191" i="2"/>
  <c r="T28" i="3"/>
  <c r="T110" i="3" s="1"/>
  <c r="J253" i="2"/>
  <c r="C135" i="2"/>
  <c r="B279" i="2"/>
  <c r="B311" i="2"/>
  <c r="J279" i="2"/>
  <c r="J311" i="2"/>
  <c r="F116" i="2"/>
  <c r="N116" i="2"/>
  <c r="D120" i="2"/>
  <c r="L120" i="2"/>
  <c r="G123" i="2"/>
  <c r="G124" i="2" s="1"/>
  <c r="U28" i="3"/>
  <c r="U110" i="3" s="1"/>
  <c r="K253" i="2"/>
  <c r="M164" i="2"/>
  <c r="M169" i="2" s="1"/>
  <c r="L164" i="2"/>
  <c r="L169" i="2" s="1"/>
  <c r="C279" i="2"/>
  <c r="C311" i="2"/>
  <c r="G116" i="2"/>
  <c r="N28" i="3"/>
  <c r="N110" i="3" s="1"/>
  <c r="D253" i="2"/>
  <c r="V28" i="3"/>
  <c r="V110" i="3" s="1"/>
  <c r="L253" i="2"/>
  <c r="D169" i="2"/>
  <c r="D279" i="2"/>
  <c r="D311" i="2"/>
  <c r="O28" i="3"/>
  <c r="O110" i="3" s="1"/>
  <c r="E253" i="2"/>
  <c r="W28" i="3"/>
  <c r="W110" i="3" s="1"/>
  <c r="M253" i="2"/>
  <c r="P28" i="3"/>
  <c r="P110" i="3" s="1"/>
  <c r="F253" i="2"/>
  <c r="X28" i="3"/>
  <c r="X110" i="3" s="1"/>
  <c r="N253" i="2"/>
  <c r="F311" i="2"/>
  <c r="F279" i="2"/>
  <c r="Q28" i="3"/>
  <c r="Q110" i="3" s="1"/>
  <c r="G253" i="2"/>
  <c r="Y28" i="3"/>
  <c r="Y110" i="3" s="1"/>
  <c r="O253" i="2"/>
  <c r="S172" i="2"/>
  <c r="G279" i="2"/>
  <c r="G311" i="2"/>
  <c r="R28" i="3"/>
  <c r="R110" i="3" s="1"/>
  <c r="H253" i="2"/>
  <c r="Z28" i="3"/>
  <c r="Z110" i="3" s="1"/>
  <c r="P253" i="2"/>
  <c r="H169" i="2"/>
  <c r="P169" i="2"/>
  <c r="C219" i="2"/>
  <c r="D219" i="2" s="1"/>
  <c r="E219" i="2" s="1"/>
  <c r="F219" i="2" s="1"/>
  <c r="G219" i="2" s="1"/>
  <c r="H219" i="2" s="1"/>
  <c r="I219" i="2" s="1"/>
  <c r="J219" i="2" s="1"/>
  <c r="K219" i="2" s="1"/>
  <c r="L219" i="2" s="1"/>
  <c r="M219" i="2" s="1"/>
  <c r="N219" i="2" s="1"/>
  <c r="O219" i="2" s="1"/>
  <c r="P219" i="2" s="1"/>
  <c r="B241" i="2"/>
  <c r="C241" i="2" s="1"/>
  <c r="D241" i="2" s="1"/>
  <c r="E241" i="2" s="1"/>
  <c r="F241" i="2" s="1"/>
  <c r="G241" i="2" s="1"/>
  <c r="H241" i="2" s="1"/>
  <c r="I241" i="2" s="1"/>
  <c r="J241" i="2" s="1"/>
  <c r="K241" i="2" s="1"/>
  <c r="L241" i="2" s="1"/>
  <c r="M241" i="2" s="1"/>
  <c r="N241" i="2" s="1"/>
  <c r="O241" i="2" s="1"/>
  <c r="P241" i="2" s="1"/>
  <c r="O215" i="2"/>
  <c r="O290" i="2"/>
  <c r="G305" i="2"/>
  <c r="M120" i="3"/>
  <c r="P44" i="6"/>
  <c r="X44" i="6"/>
  <c r="R74" i="6"/>
  <c r="R54" i="6"/>
  <c r="S54" i="6"/>
  <c r="K73" i="6"/>
  <c r="Q132" i="6"/>
  <c r="N54" i="6"/>
  <c r="V54" i="6"/>
  <c r="O54" i="6"/>
  <c r="W54" i="6"/>
  <c r="T55" i="6"/>
  <c r="T56" i="6"/>
  <c r="T57" i="6"/>
  <c r="M132" i="6"/>
  <c r="U132" i="6"/>
  <c r="AD457" i="1" l="1"/>
  <c r="N20" i="3"/>
  <c r="N259" i="3" s="1"/>
  <c r="N260" i="3" s="1"/>
  <c r="N261" i="3" s="1"/>
  <c r="N262" i="3" s="1"/>
  <c r="D99" i="2"/>
  <c r="S20" i="3"/>
  <c r="S259" i="3" s="1"/>
  <c r="I99" i="2"/>
  <c r="P20" i="3"/>
  <c r="P259" i="3" s="1"/>
  <c r="P260" i="3" s="1"/>
  <c r="P261" i="3" s="1"/>
  <c r="P262" i="3" s="1"/>
  <c r="P267" i="3" s="1"/>
  <c r="F99" i="2"/>
  <c r="M20" i="3"/>
  <c r="M259" i="3" s="1"/>
  <c r="M260" i="3" s="1"/>
  <c r="M261" i="3" s="1"/>
  <c r="M262" i="3" s="1"/>
  <c r="C99" i="2"/>
  <c r="B65" i="2"/>
  <c r="D54" i="2"/>
  <c r="C65" i="2"/>
  <c r="R2" i="2"/>
  <c r="S2" i="2" s="1"/>
  <c r="T2" i="2" s="1"/>
  <c r="U2" i="2" s="1"/>
  <c r="V2" i="2" s="1"/>
  <c r="W2" i="2" s="1"/>
  <c r="X2" i="2" s="1"/>
  <c r="Y2" i="2" s="1"/>
  <c r="Z2" i="2" s="1"/>
  <c r="AA2" i="2" s="1"/>
  <c r="BI382" i="1"/>
  <c r="BB16" i="7" s="1"/>
  <c r="BB20" i="7"/>
  <c r="BI373" i="1"/>
  <c r="BJ372" i="1" s="1"/>
  <c r="V457" i="1"/>
  <c r="BW10" i="7" s="1"/>
  <c r="G237" i="3"/>
  <c r="G250" i="3"/>
  <c r="I81" i="2"/>
  <c r="M457" i="1"/>
  <c r="O10" i="7" s="1"/>
  <c r="O22" i="7" s="1"/>
  <c r="K455" i="1"/>
  <c r="AA455" i="1"/>
  <c r="AA457" i="1"/>
  <c r="BX10" i="7" s="1"/>
  <c r="U457" i="1"/>
  <c r="V10" i="7" s="1"/>
  <c r="V22" i="7" s="1"/>
  <c r="S455" i="1"/>
  <c r="B81" i="2"/>
  <c r="N457" i="1"/>
  <c r="P10" i="7" s="1"/>
  <c r="P22" i="7" s="1"/>
  <c r="B455" i="1"/>
  <c r="B269" i="2"/>
  <c r="B271" i="2" s="1"/>
  <c r="B276" i="2" s="1"/>
  <c r="B281" i="2" s="1"/>
  <c r="B282" i="2" s="1"/>
  <c r="B79" i="2"/>
  <c r="B196" i="2" s="1"/>
  <c r="B200" i="2" s="1"/>
  <c r="G81" i="2"/>
  <c r="AC455" i="1"/>
  <c r="G79" i="2"/>
  <c r="G196" i="2" s="1"/>
  <c r="G200" i="2" s="1"/>
  <c r="V455" i="1"/>
  <c r="F81" i="2"/>
  <c r="F79" i="2"/>
  <c r="F196" i="2" s="1"/>
  <c r="F200" i="2" s="1"/>
  <c r="BL11" i="7"/>
  <c r="BL23" i="7" s="1"/>
  <c r="CA49" i="1"/>
  <c r="BV379" i="1"/>
  <c r="CA379" i="1"/>
  <c r="I269" i="2"/>
  <c r="AK455" i="1"/>
  <c r="AK457" i="1"/>
  <c r="BZ10" i="7" s="1"/>
  <c r="CF230" i="1"/>
  <c r="CG165" i="1"/>
  <c r="CL27" i="7" s="1"/>
  <c r="Q215" i="2"/>
  <c r="H53" i="4"/>
  <c r="H2" i="3"/>
  <c r="G221" i="3"/>
  <c r="BY322" i="1"/>
  <c r="AZ368" i="1"/>
  <c r="Y212" i="2"/>
  <c r="X34" i="2"/>
  <c r="Y205" i="2"/>
  <c r="AN369" i="1"/>
  <c r="AN425" i="1"/>
  <c r="AM369" i="1"/>
  <c r="AM425" i="1"/>
  <c r="AT369" i="1"/>
  <c r="AT425" i="1"/>
  <c r="AV369" i="1"/>
  <c r="AV425" i="1"/>
  <c r="CB32" i="7"/>
  <c r="AZ110" i="1"/>
  <c r="AV107" i="1"/>
  <c r="AV108" i="1" s="1"/>
  <c r="CL28" i="7"/>
  <c r="Q126" i="1"/>
  <c r="BX2" i="1"/>
  <c r="BS503" i="1"/>
  <c r="BW2" i="1"/>
  <c r="BR503" i="1"/>
  <c r="BP94" i="1"/>
  <c r="BP503" i="1"/>
  <c r="BY516" i="1"/>
  <c r="CJ98" i="1"/>
  <c r="AK91" i="1"/>
  <c r="CI98" i="1"/>
  <c r="CH167" i="1"/>
  <c r="CG235" i="1"/>
  <c r="BA20" i="7"/>
  <c r="BM377" i="1"/>
  <c r="BH373" i="1"/>
  <c r="AF4" i="10"/>
  <c r="AE27" i="10"/>
  <c r="AE26" i="10"/>
  <c r="AN6" i="10"/>
  <c r="AM7" i="10"/>
  <c r="C27" i="10"/>
  <c r="C9" i="10"/>
  <c r="C26" i="10" s="1"/>
  <c r="E6" i="10"/>
  <c r="D7" i="10"/>
  <c r="BY170" i="1"/>
  <c r="BY204" i="1"/>
  <c r="AW382" i="1"/>
  <c r="AR16" i="7" s="1"/>
  <c r="AR19" i="7"/>
  <c r="BB377" i="1"/>
  <c r="Q75" i="2"/>
  <c r="Q92" i="2"/>
  <c r="Q94" i="2" s="1"/>
  <c r="Q252" i="2"/>
  <c r="Q55" i="2" s="1"/>
  <c r="Q74" i="2"/>
  <c r="Q100" i="2"/>
  <c r="BB222" i="1"/>
  <c r="G14" i="5"/>
  <c r="Q44" i="2"/>
  <c r="Q241" i="2"/>
  <c r="R241" i="2" s="1"/>
  <c r="S241" i="2" s="1"/>
  <c r="T241" i="2" s="1"/>
  <c r="U241" i="2" s="1"/>
  <c r="V241" i="2" s="1"/>
  <c r="W241" i="2" s="1"/>
  <c r="X241" i="2" s="1"/>
  <c r="Y241" i="2" s="1"/>
  <c r="Z241" i="2" s="1"/>
  <c r="AA241" i="2" s="1"/>
  <c r="Q219" i="2"/>
  <c r="R219" i="2" s="1"/>
  <c r="S219" i="2" s="1"/>
  <c r="T219" i="2" s="1"/>
  <c r="U219" i="2" s="1"/>
  <c r="V219" i="2" s="1"/>
  <c r="W219" i="2" s="1"/>
  <c r="X219" i="2" s="1"/>
  <c r="Y219" i="2" s="1"/>
  <c r="Z219" i="2" s="1"/>
  <c r="AA219" i="2" s="1"/>
  <c r="R182" i="2"/>
  <c r="BP379" i="1"/>
  <c r="BJ286" i="1"/>
  <c r="AZ159" i="1"/>
  <c r="BE114" i="1"/>
  <c r="BE115" i="1" s="1"/>
  <c r="BE135" i="1" s="1"/>
  <c r="BE117" i="1"/>
  <c r="BE218" i="1" s="1"/>
  <c r="BU379" i="1"/>
  <c r="BT286" i="1"/>
  <c r="BE289" i="1"/>
  <c r="BF379" i="1"/>
  <c r="BO286" i="1"/>
  <c r="BJ289" i="1"/>
  <c r="BE286" i="1"/>
  <c r="BP377" i="1"/>
  <c r="BP382" i="1"/>
  <c r="BG20" i="7"/>
  <c r="BY100" i="1"/>
  <c r="BY79" i="1"/>
  <c r="CD79" i="1" s="1"/>
  <c r="CE79" i="1" s="1"/>
  <c r="CF79" i="1" s="1"/>
  <c r="CG79" i="1" s="1"/>
  <c r="CH79" i="1" s="1"/>
  <c r="CI79" i="1" s="1"/>
  <c r="CJ79" i="1" s="1"/>
  <c r="CK79" i="1" s="1"/>
  <c r="CL79" i="1" s="1"/>
  <c r="CM79" i="1" s="1"/>
  <c r="CD190" i="1"/>
  <c r="CE190" i="1" s="1"/>
  <c r="CF190" i="1" s="1"/>
  <c r="CG190" i="1" s="1"/>
  <c r="CH190" i="1" s="1"/>
  <c r="CI190" i="1" s="1"/>
  <c r="CJ190" i="1" s="1"/>
  <c r="CK190" i="1" s="1"/>
  <c r="CL190" i="1" s="1"/>
  <c r="CM190" i="1" s="1"/>
  <c r="BY106" i="1"/>
  <c r="BY175" i="1"/>
  <c r="CD183" i="1"/>
  <c r="CE183" i="1" s="1"/>
  <c r="CF183" i="1" s="1"/>
  <c r="CG183" i="1" s="1"/>
  <c r="CH183" i="1" s="1"/>
  <c r="CI183" i="1" s="1"/>
  <c r="CJ183" i="1" s="1"/>
  <c r="CK183" i="1" s="1"/>
  <c r="CL183" i="1" s="1"/>
  <c r="CM183" i="1" s="1"/>
  <c r="CG34" i="7"/>
  <c r="BY197" i="1"/>
  <c r="BY51" i="1"/>
  <c r="BY48" i="1"/>
  <c r="BY187" i="1"/>
  <c r="BR225" i="1"/>
  <c r="BR226" i="1" s="1"/>
  <c r="BI19" i="7"/>
  <c r="BI20" i="7"/>
  <c r="AI12" i="7"/>
  <c r="AL12" i="7"/>
  <c r="AZ19" i="7"/>
  <c r="BL377" i="1"/>
  <c r="BG382" i="1"/>
  <c r="AZ16" i="7" s="1"/>
  <c r="BG377" i="1"/>
  <c r="BK11" i="7"/>
  <c r="BK23" i="7" s="1"/>
  <c r="BK30" i="7"/>
  <c r="BK12" i="7"/>
  <c r="C275" i="2"/>
  <c r="M112" i="3"/>
  <c r="BM398" i="1"/>
  <c r="BJ19" i="7"/>
  <c r="BS382" i="1"/>
  <c r="BJ20" i="7"/>
  <c r="BT376" i="1"/>
  <c r="P18" i="2"/>
  <c r="BY389" i="1"/>
  <c r="P39" i="2"/>
  <c r="O258" i="2"/>
  <c r="BY386" i="1"/>
  <c r="BR60" i="1"/>
  <c r="BR113" i="1"/>
  <c r="BR312" i="1"/>
  <c r="AW369" i="1"/>
  <c r="BC222" i="1"/>
  <c r="BY397" i="1"/>
  <c r="BR94" i="1"/>
  <c r="BR67" i="1"/>
  <c r="BR375" i="1"/>
  <c r="BX188" i="1"/>
  <c r="P136" i="2"/>
  <c r="BY420" i="1"/>
  <c r="BS379" i="1"/>
  <c r="BH398" i="1"/>
  <c r="BU38" i="1"/>
  <c r="U265" i="3"/>
  <c r="L261" i="3"/>
  <c r="L262" i="3" s="1"/>
  <c r="R228" i="3"/>
  <c r="R258" i="3"/>
  <c r="R260" i="3" s="1"/>
  <c r="Q261" i="3"/>
  <c r="Q262" i="3" s="1"/>
  <c r="AP444" i="1"/>
  <c r="J46" i="2" s="1"/>
  <c r="J47" i="2" s="1"/>
  <c r="J48" i="2" s="1"/>
  <c r="AP440" i="1"/>
  <c r="J277" i="2"/>
  <c r="J266" i="2"/>
  <c r="BH328" i="1"/>
  <c r="DE454" i="1"/>
  <c r="AF82" i="1"/>
  <c r="AF89" i="1" s="1"/>
  <c r="H288" i="2" s="1"/>
  <c r="AP82" i="1"/>
  <c r="AP89" i="1" s="1"/>
  <c r="J288" i="2" s="1"/>
  <c r="AY222" i="1"/>
  <c r="DC446" i="1"/>
  <c r="DC440" i="1" s="1"/>
  <c r="BN117" i="1"/>
  <c r="BN224" i="1" s="1"/>
  <c r="BN225" i="1" s="1"/>
  <c r="BN226" i="1" s="1"/>
  <c r="BA458" i="1"/>
  <c r="BH222" i="1"/>
  <c r="F39" i="2"/>
  <c r="Q75" i="1"/>
  <c r="Q64" i="1" s="1"/>
  <c r="Q65" i="1" s="1"/>
  <c r="BD115" i="1"/>
  <c r="Y22" i="3"/>
  <c r="Y264" i="3" s="1"/>
  <c r="I44" i="2"/>
  <c r="AK80" i="1"/>
  <c r="AK87" i="1" s="1"/>
  <c r="BC398" i="1"/>
  <c r="AY20" i="7"/>
  <c r="AZ221" i="1"/>
  <c r="V226" i="3" s="1"/>
  <c r="BD225" i="1"/>
  <c r="BD226" i="1" s="1"/>
  <c r="BI377" i="1"/>
  <c r="AU457" i="1"/>
  <c r="CB10" i="7" s="1"/>
  <c r="BJ376" i="1"/>
  <c r="AX19" i="7"/>
  <c r="BU188" i="1"/>
  <c r="AW49" i="1"/>
  <c r="D12" i="4"/>
  <c r="V82" i="1"/>
  <c r="V89" i="1" s="1"/>
  <c r="F288" i="2" s="1"/>
  <c r="BW188" i="1"/>
  <c r="AU82" i="1"/>
  <c r="AU89" i="1" s="1"/>
  <c r="K288" i="2" s="1"/>
  <c r="E258" i="2"/>
  <c r="E259" i="2" s="1"/>
  <c r="M73" i="2"/>
  <c r="M99" i="2" s="1"/>
  <c r="BE189" i="1"/>
  <c r="CD47" i="7" s="1"/>
  <c r="AA299" i="1"/>
  <c r="BP38" i="1"/>
  <c r="O112" i="3"/>
  <c r="BD222" i="1"/>
  <c r="BF377" i="1"/>
  <c r="BB49" i="1"/>
  <c r="BU398" i="1"/>
  <c r="Q80" i="1"/>
  <c r="AY463" i="1"/>
  <c r="AY465" i="1" s="1"/>
  <c r="BG458" i="1"/>
  <c r="AT10" i="7"/>
  <c r="AT22" i="7" s="1"/>
  <c r="BQ222" i="1"/>
  <c r="L39" i="2"/>
  <c r="N73" i="2"/>
  <c r="N99" i="2" s="1"/>
  <c r="O293" i="2"/>
  <c r="AG38" i="1"/>
  <c r="BP398" i="1"/>
  <c r="AF80" i="1"/>
  <c r="AF87" i="1" s="1"/>
  <c r="AA80" i="1"/>
  <c r="AA87" i="1" s="1"/>
  <c r="BF188" i="1"/>
  <c r="BD188" i="1"/>
  <c r="BB115" i="1"/>
  <c r="BO342" i="1"/>
  <c r="BM188" i="1"/>
  <c r="BR379" i="1"/>
  <c r="K78" i="2"/>
  <c r="DC454" i="1"/>
  <c r="BA436" i="1"/>
  <c r="BA493" i="1" s="1"/>
  <c r="V80" i="1"/>
  <c r="V87" i="1" s="1"/>
  <c r="AU19" i="7"/>
  <c r="DD439" i="1"/>
  <c r="AK81" i="1"/>
  <c r="AK88" i="1" s="1"/>
  <c r="AU20" i="7"/>
  <c r="BV49" i="1"/>
  <c r="AF75" i="1"/>
  <c r="AF64" i="1" s="1"/>
  <c r="AF65" i="1" s="1"/>
  <c r="AS369" i="1"/>
  <c r="BL398" i="1"/>
  <c r="DC463" i="1"/>
  <c r="BE221" i="1"/>
  <c r="W226" i="3" s="1"/>
  <c r="AP80" i="1"/>
  <c r="AP87" i="1" s="1"/>
  <c r="BK398" i="1"/>
  <c r="BA382" i="1"/>
  <c r="AU16" i="7" s="1"/>
  <c r="BE376" i="1"/>
  <c r="BO204" i="1"/>
  <c r="BD398" i="1"/>
  <c r="AK82" i="1"/>
  <c r="AK89" i="1" s="1"/>
  <c r="I288" i="2" s="1"/>
  <c r="AF81" i="1"/>
  <c r="AF88" i="1" s="1"/>
  <c r="U112" i="3"/>
  <c r="K258" i="2"/>
  <c r="G258" i="2"/>
  <c r="G259" i="2" s="1"/>
  <c r="O44" i="2"/>
  <c r="BQ115" i="1"/>
  <c r="F376" i="1"/>
  <c r="J20" i="7" s="1"/>
  <c r="Q112" i="3"/>
  <c r="BV117" i="1"/>
  <c r="BV224" i="1" s="1"/>
  <c r="G80" i="1"/>
  <c r="DD446" i="1"/>
  <c r="BF222" i="1"/>
  <c r="BH38" i="1"/>
  <c r="BM222" i="1"/>
  <c r="N258" i="2"/>
  <c r="BN382" i="1"/>
  <c r="C44" i="2"/>
  <c r="M44" i="2"/>
  <c r="K227" i="6"/>
  <c r="K229" i="6" s="1"/>
  <c r="AA82" i="1"/>
  <c r="AA89" i="1" s="1"/>
  <c r="G288" i="2" s="1"/>
  <c r="P44" i="2"/>
  <c r="AU136" i="1"/>
  <c r="AZ118" i="1"/>
  <c r="H39" i="2"/>
  <c r="BP375" i="1"/>
  <c r="BC188" i="1"/>
  <c r="G39" i="2"/>
  <c r="BA398" i="1"/>
  <c r="BB187" i="1"/>
  <c r="BB188" i="1" s="1"/>
  <c r="BG328" i="1"/>
  <c r="AZ197" i="1"/>
  <c r="BA193" i="1"/>
  <c r="AU30" i="7" s="1"/>
  <c r="V232" i="3"/>
  <c r="BO389" i="1"/>
  <c r="AT458" i="1"/>
  <c r="D12" i="6" s="1"/>
  <c r="CC26" i="7"/>
  <c r="V51" i="3"/>
  <c r="V224" i="3" s="1"/>
  <c r="AX117" i="1"/>
  <c r="BD38" i="1"/>
  <c r="BA369" i="1"/>
  <c r="BV398" i="1"/>
  <c r="BE346" i="1"/>
  <c r="AZ117" i="1"/>
  <c r="AZ124" i="1" s="1"/>
  <c r="L286" i="2"/>
  <c r="L295" i="2" s="1"/>
  <c r="AV38" i="1"/>
  <c r="CC31" i="7"/>
  <c r="AQ463" i="1"/>
  <c r="AQ467" i="1" s="1"/>
  <c r="BR398" i="1"/>
  <c r="BE143" i="1"/>
  <c r="AZ115" i="1"/>
  <c r="AZ135" i="1" s="1"/>
  <c r="BE154" i="1"/>
  <c r="U27" i="3"/>
  <c r="K39" i="2"/>
  <c r="BL222" i="1"/>
  <c r="AR369" i="1"/>
  <c r="V136" i="1"/>
  <c r="V283" i="1" s="1"/>
  <c r="S119" i="2"/>
  <c r="BB398" i="1"/>
  <c r="BN38" i="1"/>
  <c r="BE321" i="1"/>
  <c r="BR188" i="1"/>
  <c r="L80" i="1"/>
  <c r="I39" i="2"/>
  <c r="J39" i="2"/>
  <c r="BE358" i="1"/>
  <c r="D39" i="2"/>
  <c r="G136" i="1"/>
  <c r="G283" i="1" s="1"/>
  <c r="BP60" i="1"/>
  <c r="H44" i="2"/>
  <c r="AA75" i="1"/>
  <c r="AA64" i="1" s="1"/>
  <c r="AA65" i="1" s="1"/>
  <c r="G75" i="1"/>
  <c r="G64" i="1" s="1"/>
  <c r="G65" i="1" s="1"/>
  <c r="BA222" i="1"/>
  <c r="BF19" i="7"/>
  <c r="BS222" i="1"/>
  <c r="BS188" i="1"/>
  <c r="BN377" i="1"/>
  <c r="BT389" i="1"/>
  <c r="BF20" i="7"/>
  <c r="BS377" i="1"/>
  <c r="AZ321" i="1"/>
  <c r="BP312" i="1"/>
  <c r="AZ134" i="1"/>
  <c r="AW38" i="1"/>
  <c r="L82" i="1"/>
  <c r="BC38" i="1"/>
  <c r="V75" i="1"/>
  <c r="V64" i="1" s="1"/>
  <c r="V65" i="1" s="1"/>
  <c r="L78" i="2"/>
  <c r="DE439" i="1"/>
  <c r="BU2" i="1"/>
  <c r="BU503" i="1" s="1"/>
  <c r="BU49" i="1"/>
  <c r="BI188" i="1"/>
  <c r="BN188" i="1"/>
  <c r="L227" i="6"/>
  <c r="L229" i="6" s="1"/>
  <c r="E44" i="2"/>
  <c r="BE455" i="1"/>
  <c r="L44" i="2"/>
  <c r="BF382" i="1"/>
  <c r="BK379" i="1"/>
  <c r="BH377" i="1"/>
  <c r="BP67" i="1"/>
  <c r="I131" i="2"/>
  <c r="I129" i="2" s="1"/>
  <c r="C14" i="5"/>
  <c r="M57" i="2"/>
  <c r="M254" i="2" s="1"/>
  <c r="BJ350" i="1"/>
  <c r="BR222" i="1"/>
  <c r="R23" i="3"/>
  <c r="R24" i="3" s="1"/>
  <c r="R230" i="3" s="1"/>
  <c r="F259" i="2"/>
  <c r="BN398" i="1"/>
  <c r="CD388" i="1"/>
  <c r="CE388" i="1" s="1"/>
  <c r="CF388" i="1" s="1"/>
  <c r="CG388" i="1" s="1"/>
  <c r="CH388" i="1" s="1"/>
  <c r="CI388" i="1" s="1"/>
  <c r="CJ388" i="1" s="1"/>
  <c r="CK388" i="1" s="1"/>
  <c r="CL388" i="1" s="1"/>
  <c r="CM388" i="1" s="1"/>
  <c r="BP222" i="1"/>
  <c r="G81" i="1"/>
  <c r="J118" i="3"/>
  <c r="BP113" i="1"/>
  <c r="AK75" i="1"/>
  <c r="AK64" i="1" s="1"/>
  <c r="AK65" i="1" s="1"/>
  <c r="BN222" i="1"/>
  <c r="BB382" i="1"/>
  <c r="BE326" i="1"/>
  <c r="BV38" i="1"/>
  <c r="CB11" i="7"/>
  <c r="D20" i="2"/>
  <c r="BT197" i="1"/>
  <c r="B8" i="5"/>
  <c r="BT135" i="1"/>
  <c r="BT136" i="1" s="1"/>
  <c r="BT283" i="1" s="1"/>
  <c r="AP81" i="1"/>
  <c r="AP88" i="1" s="1"/>
  <c r="AA81" i="1"/>
  <c r="AA88" i="1" s="1"/>
  <c r="BM38" i="1"/>
  <c r="AP75" i="1"/>
  <c r="I227" i="6"/>
  <c r="I229" i="6" s="1"/>
  <c r="J258" i="2"/>
  <c r="J259" i="2" s="1"/>
  <c r="I258" i="2"/>
  <c r="I259" i="2" s="1"/>
  <c r="BV187" i="1"/>
  <c r="CA188" i="1" s="1"/>
  <c r="V81" i="1"/>
  <c r="V88" i="1" s="1"/>
  <c r="T112" i="3"/>
  <c r="BD307" i="1"/>
  <c r="S112" i="3"/>
  <c r="AU425" i="1"/>
  <c r="BG117" i="1"/>
  <c r="BG224" i="1" s="1"/>
  <c r="BG225" i="1" s="1"/>
  <c r="BG226" i="1" s="1"/>
  <c r="K58" i="2"/>
  <c r="B14" i="4"/>
  <c r="D44" i="2"/>
  <c r="N293" i="2"/>
  <c r="AP51" i="1"/>
  <c r="CA12" i="7" s="1"/>
  <c r="BI222" i="1"/>
  <c r="AV115" i="1"/>
  <c r="Q82" i="1"/>
  <c r="BQ398" i="1"/>
  <c r="CD134" i="1"/>
  <c r="BT107" i="1"/>
  <c r="BT108" i="1" s="1"/>
  <c r="AZ107" i="1"/>
  <c r="AZ108" i="1" s="1"/>
  <c r="BP188" i="1"/>
  <c r="L81" i="1"/>
  <c r="AP91" i="1"/>
  <c r="E297" i="2"/>
  <c r="J227" i="6"/>
  <c r="J229" i="6" s="1"/>
  <c r="BU115" i="1"/>
  <c r="G82" i="1"/>
  <c r="BE48" i="1"/>
  <c r="BE51" i="1"/>
  <c r="CD12" i="7" s="1"/>
  <c r="O58" i="2"/>
  <c r="F14" i="4"/>
  <c r="BL115" i="1"/>
  <c r="BH188" i="1"/>
  <c r="C259" i="2"/>
  <c r="C261" i="2" s="1"/>
  <c r="C262" i="2" s="1"/>
  <c r="Q136" i="1"/>
  <c r="Q283" i="1" s="1"/>
  <c r="Q81" i="1"/>
  <c r="T138" i="2"/>
  <c r="S25" i="2"/>
  <c r="BE389" i="1"/>
  <c r="BL382" i="1"/>
  <c r="N295" i="2"/>
  <c r="H124" i="2"/>
  <c r="BJ48" i="1"/>
  <c r="E12" i="4"/>
  <c r="BA114" i="1"/>
  <c r="BK188" i="1"/>
  <c r="L75" i="1"/>
  <c r="F12" i="4"/>
  <c r="BO48" i="1"/>
  <c r="BK205" i="1"/>
  <c r="AZ36" i="1"/>
  <c r="V19" i="3" s="1"/>
  <c r="AZ37" i="1"/>
  <c r="BL187" i="1"/>
  <c r="BI398" i="1"/>
  <c r="N58" i="2"/>
  <c r="E14" i="4"/>
  <c r="B75" i="1"/>
  <c r="B64" i="1" s="1"/>
  <c r="B65" i="1" s="1"/>
  <c r="P112" i="3"/>
  <c r="F58" i="2"/>
  <c r="F176" i="2"/>
  <c r="E7" i="2"/>
  <c r="E10" i="2" s="1"/>
  <c r="E20" i="2" s="1"/>
  <c r="W112" i="3"/>
  <c r="M258" i="2"/>
  <c r="M58" i="2"/>
  <c r="D14" i="4"/>
  <c r="I455" i="1"/>
  <c r="I457" i="1"/>
  <c r="AE455" i="1"/>
  <c r="AE457" i="1"/>
  <c r="BT397" i="1"/>
  <c r="BT387" i="1"/>
  <c r="BT386" i="1"/>
  <c r="P455" i="1"/>
  <c r="P457" i="1"/>
  <c r="BS30" i="1"/>
  <c r="BX31" i="1" s="1"/>
  <c r="BS29" i="1"/>
  <c r="BS336" i="1" s="1"/>
  <c r="AZ325" i="1"/>
  <c r="AX35" i="7"/>
  <c r="BE206" i="1"/>
  <c r="V112" i="3"/>
  <c r="L258" i="2"/>
  <c r="L58" i="2"/>
  <c r="C14" i="4"/>
  <c r="J312" i="2"/>
  <c r="J314" i="2"/>
  <c r="M7" i="3"/>
  <c r="M25" i="3" s="1"/>
  <c r="D131" i="2"/>
  <c r="D129" i="2" s="1"/>
  <c r="N7" i="3"/>
  <c r="N25" i="3" s="1"/>
  <c r="E131" i="2"/>
  <c r="E129" i="2" s="1"/>
  <c r="L111" i="3"/>
  <c r="B198" i="2"/>
  <c r="S111" i="3"/>
  <c r="I198" i="2"/>
  <c r="I200" i="2"/>
  <c r="Q7" i="3"/>
  <c r="Q25" i="3" s="1"/>
  <c r="H131" i="2"/>
  <c r="H129" i="2" s="1"/>
  <c r="J105" i="2"/>
  <c r="T21" i="3" s="1"/>
  <c r="BU490" i="1"/>
  <c r="BU30" i="1"/>
  <c r="BZ31" i="1" s="1"/>
  <c r="BU29" i="1"/>
  <c r="K254" i="2"/>
  <c r="K194" i="2"/>
  <c r="BQ30" i="1"/>
  <c r="BQ29" i="1"/>
  <c r="BQ336" i="1" s="1"/>
  <c r="DE463" i="1"/>
  <c r="W455" i="1"/>
  <c r="W457" i="1"/>
  <c r="T457" i="1"/>
  <c r="T455" i="1"/>
  <c r="L29" i="3"/>
  <c r="B222" i="2"/>
  <c r="Q180" i="6"/>
  <c r="AQ328" i="1"/>
  <c r="AU326" i="1"/>
  <c r="S180" i="6"/>
  <c r="AS328" i="1"/>
  <c r="BQ225" i="1"/>
  <c r="BQ226" i="1" s="1"/>
  <c r="K295" i="2"/>
  <c r="BI379" i="1"/>
  <c r="BA328" i="1"/>
  <c r="AS16" i="7"/>
  <c r="CD34" i="7"/>
  <c r="BG187" i="1"/>
  <c r="BE197" i="1"/>
  <c r="T285" i="1"/>
  <c r="T378" i="1" s="1"/>
  <c r="T376" i="1"/>
  <c r="Y377" i="1" s="1"/>
  <c r="T222" i="1"/>
  <c r="BF328" i="1"/>
  <c r="J376" i="1"/>
  <c r="O377" i="1" s="1"/>
  <c r="J285" i="1"/>
  <c r="J378" i="1" s="1"/>
  <c r="AK221" i="1"/>
  <c r="AP222" i="1" s="1"/>
  <c r="Q378" i="1"/>
  <c r="Q419" i="1" s="1"/>
  <c r="M109" i="3"/>
  <c r="M24" i="3"/>
  <c r="M230" i="3" s="1"/>
  <c r="M229" i="3"/>
  <c r="C298" i="2"/>
  <c r="G436" i="1"/>
  <c r="G377" i="1"/>
  <c r="CB29" i="7"/>
  <c r="AU214" i="1"/>
  <c r="F298" i="2"/>
  <c r="V500" i="1"/>
  <c r="V436" i="1"/>
  <c r="V377" i="1"/>
  <c r="CH33" i="7"/>
  <c r="N229" i="3"/>
  <c r="N24" i="3"/>
  <c r="N230" i="3" s="1"/>
  <c r="N109" i="3"/>
  <c r="BQ375" i="1"/>
  <c r="BQ312" i="1"/>
  <c r="BQ113" i="1"/>
  <c r="BQ94" i="1"/>
  <c r="BV2" i="1"/>
  <c r="BQ67" i="1"/>
  <c r="BQ60" i="1"/>
  <c r="BE108" i="1"/>
  <c r="AU110" i="1"/>
  <c r="AU108" i="1"/>
  <c r="O75" i="2"/>
  <c r="BJ325" i="1"/>
  <c r="N112" i="3"/>
  <c r="D258" i="2"/>
  <c r="D259" i="2" s="1"/>
  <c r="I312" i="2"/>
  <c r="I314" i="2"/>
  <c r="N111" i="3"/>
  <c r="D198" i="2"/>
  <c r="Z22" i="3"/>
  <c r="Z264" i="3" s="1"/>
  <c r="P73" i="2"/>
  <c r="BT474" i="1"/>
  <c r="BT48" i="1"/>
  <c r="G12" i="4"/>
  <c r="BA10" i="7"/>
  <c r="BA22" i="7" s="1"/>
  <c r="BH458" i="1"/>
  <c r="F44" i="2"/>
  <c r="V22" i="3"/>
  <c r="V264" i="3" s="1"/>
  <c r="L73" i="2"/>
  <c r="AZ48" i="1"/>
  <c r="C12" i="4"/>
  <c r="O27" i="3"/>
  <c r="E39" i="2"/>
  <c r="BF10" i="7"/>
  <c r="BF22" i="7" s="1"/>
  <c r="BN458" i="1"/>
  <c r="BP30" i="1"/>
  <c r="BP29" i="1"/>
  <c r="BP336" i="1" s="1"/>
  <c r="BD10" i="7"/>
  <c r="BD22" i="7" s="1"/>
  <c r="BL458" i="1"/>
  <c r="O455" i="1"/>
  <c r="O457" i="1"/>
  <c r="BV490" i="1"/>
  <c r="BV30" i="1"/>
  <c r="CA31" i="1" s="1"/>
  <c r="BV29" i="1"/>
  <c r="T10" i="7"/>
  <c r="T22" i="7" s="1"/>
  <c r="S463" i="1"/>
  <c r="S467" i="1" s="1"/>
  <c r="H455" i="1"/>
  <c r="H457" i="1"/>
  <c r="P29" i="3"/>
  <c r="F222" i="2"/>
  <c r="BT37" i="1"/>
  <c r="BY38" i="1" s="1"/>
  <c r="BT36" i="1"/>
  <c r="Z19" i="3" s="1"/>
  <c r="Z258" i="3" s="1"/>
  <c r="BE16" i="7"/>
  <c r="BO322" i="1"/>
  <c r="BO358" i="1"/>
  <c r="BH16" i="7"/>
  <c r="BO346" i="1"/>
  <c r="BA379" i="1"/>
  <c r="BM225" i="1"/>
  <c r="BM226" i="1" s="1"/>
  <c r="N226" i="3"/>
  <c r="L285" i="1"/>
  <c r="L376" i="1"/>
  <c r="Q377" i="1" s="1"/>
  <c r="AQ376" i="1"/>
  <c r="AQ285" i="1"/>
  <c r="AQ222" i="1"/>
  <c r="AU221" i="1"/>
  <c r="BS225" i="1"/>
  <c r="BS226" i="1" s="1"/>
  <c r="AU216" i="1"/>
  <c r="AU188" i="1"/>
  <c r="AU199" i="1"/>
  <c r="M52" i="6"/>
  <c r="M68" i="6" s="1"/>
  <c r="AG378" i="1"/>
  <c r="AG419" i="1" s="1"/>
  <c r="E298" i="2"/>
  <c r="Q500" i="1"/>
  <c r="Q436" i="1"/>
  <c r="X376" i="1"/>
  <c r="AC377" i="1" s="1"/>
  <c r="X285" i="1"/>
  <c r="X378" i="1" s="1"/>
  <c r="X222" i="1"/>
  <c r="X220" i="1"/>
  <c r="R52" i="6"/>
  <c r="R68" i="6" s="1"/>
  <c r="AM378" i="1"/>
  <c r="AM382" i="1" s="1"/>
  <c r="AA221" i="1"/>
  <c r="P109" i="3"/>
  <c r="P24" i="3"/>
  <c r="P230" i="3" s="1"/>
  <c r="P229" i="3"/>
  <c r="AI20" i="7"/>
  <c r="AL377" i="1"/>
  <c r="O20" i="7"/>
  <c r="M419" i="1"/>
  <c r="M445" i="1" s="1"/>
  <c r="M382" i="1"/>
  <c r="O8" i="7" s="1"/>
  <c r="O19" i="7" s="1"/>
  <c r="O38" i="7" s="1"/>
  <c r="M436" i="1"/>
  <c r="M289" i="2"/>
  <c r="M293" i="2"/>
  <c r="L375" i="1"/>
  <c r="L312" i="1"/>
  <c r="L164" i="1"/>
  <c r="L113" i="1"/>
  <c r="L94" i="1"/>
  <c r="L67" i="1"/>
  <c r="L60" i="1"/>
  <c r="Q2" i="1"/>
  <c r="Q503" i="1" s="1"/>
  <c r="F5" i="4"/>
  <c r="K105" i="2"/>
  <c r="U21" i="3" s="1"/>
  <c r="J93" i="2"/>
  <c r="CF133" i="1"/>
  <c r="V20" i="7"/>
  <c r="U419" i="1"/>
  <c r="U445" i="1" s="1"/>
  <c r="U436" i="1"/>
  <c r="U382" i="1"/>
  <c r="V8" i="7" s="1"/>
  <c r="V19" i="7" s="1"/>
  <c r="V38" i="7" s="1"/>
  <c r="G312" i="2"/>
  <c r="G314" i="2"/>
  <c r="D312" i="2"/>
  <c r="D314" i="2"/>
  <c r="C312" i="2"/>
  <c r="C314" i="2"/>
  <c r="B314" i="2"/>
  <c r="O111" i="3"/>
  <c r="E198" i="2"/>
  <c r="T7" i="3"/>
  <c r="T25" i="3" s="1"/>
  <c r="K75" i="2"/>
  <c r="BE37" i="1"/>
  <c r="BE36" i="1"/>
  <c r="W19" i="3" s="1"/>
  <c r="W258" i="3" s="1"/>
  <c r="W260" i="3" s="1"/>
  <c r="W261" i="3" s="1"/>
  <c r="W262" i="3" s="1"/>
  <c r="AY10" i="7"/>
  <c r="AY22" i="7" s="1"/>
  <c r="BF458" i="1"/>
  <c r="AX10" i="7"/>
  <c r="AX22" i="7" s="1"/>
  <c r="BD458" i="1"/>
  <c r="C269" i="2"/>
  <c r="C271" i="2" s="1"/>
  <c r="C81" i="2"/>
  <c r="C79" i="2"/>
  <c r="C196" i="2" s="1"/>
  <c r="C200" i="2" s="1"/>
  <c r="G455" i="1"/>
  <c r="G457" i="1"/>
  <c r="D79" i="2"/>
  <c r="D196" i="2" s="1"/>
  <c r="D200" i="2" s="1"/>
  <c r="D269" i="2"/>
  <c r="D81" i="2"/>
  <c r="L457" i="1"/>
  <c r="L455" i="1"/>
  <c r="AS467" i="1"/>
  <c r="BJ346" i="1"/>
  <c r="BO37" i="1"/>
  <c r="BO36" i="1"/>
  <c r="Y19" i="3" s="1"/>
  <c r="Y258" i="3" s="1"/>
  <c r="BS398" i="1"/>
  <c r="BE350" i="1"/>
  <c r="BH382" i="1"/>
  <c r="AY369" i="1"/>
  <c r="AW328" i="1"/>
  <c r="BI225" i="1"/>
  <c r="BI226" i="1" s="1"/>
  <c r="BC307" i="1"/>
  <c r="AF298" i="1"/>
  <c r="AK300" i="1"/>
  <c r="CG26" i="7"/>
  <c r="Z232" i="3"/>
  <c r="BT224" i="1"/>
  <c r="BT170" i="1"/>
  <c r="AI376" i="1"/>
  <c r="AN377" i="1" s="1"/>
  <c r="AI285" i="1"/>
  <c r="AI222" i="1"/>
  <c r="AI220" i="1"/>
  <c r="AE20" i="7"/>
  <c r="AN222" i="1"/>
  <c r="BJ218" i="1"/>
  <c r="B298" i="2"/>
  <c r="B436" i="1"/>
  <c r="B419" i="1"/>
  <c r="AC222" i="1"/>
  <c r="BT102" i="1"/>
  <c r="Q109" i="3"/>
  <c r="Q24" i="3"/>
  <c r="Q230" i="3" s="1"/>
  <c r="Q229" i="3"/>
  <c r="K293" i="2"/>
  <c r="K289" i="2"/>
  <c r="BB307" i="1"/>
  <c r="R167" i="2"/>
  <c r="R24" i="2"/>
  <c r="M111" i="3"/>
  <c r="C198" i="2"/>
  <c r="BR30" i="1"/>
  <c r="BW31" i="1" s="1"/>
  <c r="BR29" i="1"/>
  <c r="BR336" i="1" s="1"/>
  <c r="J44" i="2"/>
  <c r="BE325" i="1"/>
  <c r="CC25" i="7"/>
  <c r="V231" i="3"/>
  <c r="AZ125" i="1"/>
  <c r="AZ126" i="1" s="1"/>
  <c r="BE122" i="1"/>
  <c r="M227" i="6"/>
  <c r="M229" i="6" s="1"/>
  <c r="F314" i="2"/>
  <c r="F312" i="2"/>
  <c r="L7" i="3"/>
  <c r="L25" i="3" s="1"/>
  <c r="C131" i="2"/>
  <c r="C129" i="2" s="1"/>
  <c r="B131" i="2"/>
  <c r="B129" i="2" s="1"/>
  <c r="E314" i="2"/>
  <c r="E312" i="2"/>
  <c r="R111" i="3"/>
  <c r="H198" i="2"/>
  <c r="G44" i="2"/>
  <c r="F135" i="2"/>
  <c r="F131" i="2" s="1"/>
  <c r="F129" i="2" s="1"/>
  <c r="AQ10" i="7"/>
  <c r="AQ22" i="7" s="1"/>
  <c r="AV463" i="1"/>
  <c r="AV458" i="1"/>
  <c r="B14" i="5"/>
  <c r="K44" i="2"/>
  <c r="AK429" i="1"/>
  <c r="AK37" i="1"/>
  <c r="AK36" i="1"/>
  <c r="S19" i="3" s="1"/>
  <c r="S258" i="3" s="1"/>
  <c r="S260" i="3" s="1"/>
  <c r="N10" i="7"/>
  <c r="N22" i="7" s="1"/>
  <c r="K463" i="1"/>
  <c r="K467" i="1" s="1"/>
  <c r="AT464" i="1"/>
  <c r="AU469" i="1"/>
  <c r="H269" i="2"/>
  <c r="H81" i="2"/>
  <c r="H79" i="2"/>
  <c r="H196" i="2" s="1"/>
  <c r="H200" i="2" s="1"/>
  <c r="AF455" i="1"/>
  <c r="AF457" i="1"/>
  <c r="BY10" i="7" s="1"/>
  <c r="AZ397" i="1"/>
  <c r="AZ398" i="1" s="1"/>
  <c r="AZ386" i="1"/>
  <c r="AU37" i="1"/>
  <c r="AU36" i="1"/>
  <c r="U19" i="3" s="1"/>
  <c r="U258" i="3" s="1"/>
  <c r="BJ342" i="1"/>
  <c r="BO350" i="1"/>
  <c r="AZ378" i="1"/>
  <c r="BJ389" i="1"/>
  <c r="AW19" i="7"/>
  <c r="AW20" i="7"/>
  <c r="BC382" i="1"/>
  <c r="BC377" i="1"/>
  <c r="BC225" i="1"/>
  <c r="BC226" i="1" s="1"/>
  <c r="BE322" i="1"/>
  <c r="CF34" i="7"/>
  <c r="BQ187" i="1"/>
  <c r="BO197" i="1"/>
  <c r="BO187" i="1"/>
  <c r="AT19" i="7"/>
  <c r="AT20" i="7"/>
  <c r="AY382" i="1"/>
  <c r="AY377" i="1"/>
  <c r="CA35" i="7"/>
  <c r="AP207" i="1"/>
  <c r="D2" i="5"/>
  <c r="CD26" i="7"/>
  <c r="W232" i="3"/>
  <c r="BE170" i="1"/>
  <c r="BL225" i="1"/>
  <c r="BL226" i="1" s="1"/>
  <c r="AV382" i="1"/>
  <c r="BJ197" i="1"/>
  <c r="Y222" i="1"/>
  <c r="O295" i="2"/>
  <c r="AK20" i="7"/>
  <c r="P376" i="1"/>
  <c r="P285" i="1"/>
  <c r="P378" i="1" s="1"/>
  <c r="BF115" i="1"/>
  <c r="BF117" i="1"/>
  <c r="BF224" i="1" s="1"/>
  <c r="AJ20" i="7"/>
  <c r="P20" i="7"/>
  <c r="N419" i="1"/>
  <c r="N445" i="1" s="1"/>
  <c r="N436" i="1"/>
  <c r="N382" i="1"/>
  <c r="P8" i="7" s="1"/>
  <c r="P19" i="7" s="1"/>
  <c r="P38" i="7" s="1"/>
  <c r="N377" i="1"/>
  <c r="J52" i="6"/>
  <c r="J68" i="6" s="1"/>
  <c r="AC378" i="1"/>
  <c r="AC419" i="1" s="1"/>
  <c r="AC445" i="1" s="1"/>
  <c r="BE187" i="1"/>
  <c r="BO135" i="1"/>
  <c r="BO136" i="1" s="1"/>
  <c r="BO283" i="1" s="1"/>
  <c r="AD20" i="7"/>
  <c r="AE436" i="1"/>
  <c r="L63" i="6" s="1"/>
  <c r="Q52" i="6"/>
  <c r="Q68" i="6" s="1"/>
  <c r="AL378" i="1"/>
  <c r="AL419" i="1" s="1"/>
  <c r="Z112" i="3"/>
  <c r="P258" i="2"/>
  <c r="P58" i="2"/>
  <c r="G14" i="4"/>
  <c r="T172" i="2"/>
  <c r="H314" i="2"/>
  <c r="H312" i="2"/>
  <c r="AK499" i="1"/>
  <c r="M269" i="2"/>
  <c r="M81" i="2"/>
  <c r="M79" i="2"/>
  <c r="M196" i="2" s="1"/>
  <c r="BE457" i="1"/>
  <c r="BE386" i="1"/>
  <c r="BE397" i="1"/>
  <c r="G222" i="2"/>
  <c r="BF398" i="1"/>
  <c r="BO378" i="1"/>
  <c r="BO379" i="1" s="1"/>
  <c r="BR382" i="1"/>
  <c r="BT346" i="1"/>
  <c r="BJ358" i="1"/>
  <c r="BG398" i="1"/>
  <c r="BT342" i="1"/>
  <c r="CE26" i="7"/>
  <c r="X232" i="3"/>
  <c r="BJ224" i="1"/>
  <c r="BJ170" i="1"/>
  <c r="BT204" i="1"/>
  <c r="BT187" i="1"/>
  <c r="BJ187" i="1"/>
  <c r="BJ204" i="1"/>
  <c r="CF26" i="7"/>
  <c r="Y232" i="3"/>
  <c r="BO224" i="1"/>
  <c r="BO170" i="1"/>
  <c r="C2" i="5"/>
  <c r="AZ289" i="1"/>
  <c r="BQ379" i="1"/>
  <c r="AZ204" i="1"/>
  <c r="AZ187" i="1"/>
  <c r="S376" i="1"/>
  <c r="S285" i="1"/>
  <c r="S378" i="1" s="1"/>
  <c r="S222" i="1"/>
  <c r="T180" i="6"/>
  <c r="AT328" i="1"/>
  <c r="BD377" i="1"/>
  <c r="BU205" i="1"/>
  <c r="T52" i="6"/>
  <c r="T68" i="6" s="1"/>
  <c r="AO378" i="1"/>
  <c r="AO419" i="1" s="1"/>
  <c r="L20" i="7"/>
  <c r="I419" i="1"/>
  <c r="I445" i="1" s="1"/>
  <c r="I382" i="1"/>
  <c r="L8" i="7" s="1"/>
  <c r="L19" i="7" s="1"/>
  <c r="I436" i="1"/>
  <c r="I377" i="1"/>
  <c r="S52" i="6"/>
  <c r="S68" i="6" s="1"/>
  <c r="AN378" i="1"/>
  <c r="AN419" i="1" s="1"/>
  <c r="W20" i="7"/>
  <c r="W436" i="1"/>
  <c r="W419" i="1"/>
  <c r="W445" i="1" s="1"/>
  <c r="W382" i="1"/>
  <c r="W8" i="7" s="1"/>
  <c r="W19" i="7" s="1"/>
  <c r="W38" i="7" s="1"/>
  <c r="X52" i="6"/>
  <c r="X68" i="6" s="1"/>
  <c r="AT378" i="1"/>
  <c r="AT419" i="1" s="1"/>
  <c r="K52" i="6"/>
  <c r="K68" i="6" s="1"/>
  <c r="AD378" i="1"/>
  <c r="AD382" i="1" s="1"/>
  <c r="AB20" i="7"/>
  <c r="AC436" i="1"/>
  <c r="J63" i="6" s="1"/>
  <c r="BS375" i="1"/>
  <c r="BS312" i="1"/>
  <c r="BS113" i="1"/>
  <c r="BS67" i="1"/>
  <c r="BS60" i="1"/>
  <c r="BS94" i="1"/>
  <c r="BJ102" i="1"/>
  <c r="BO101" i="1"/>
  <c r="BO104" i="1" s="1"/>
  <c r="BO236" i="1" s="1"/>
  <c r="BO237" i="1" s="1"/>
  <c r="BO238" i="1" s="1"/>
  <c r="T109" i="3"/>
  <c r="T24" i="3"/>
  <c r="T230" i="3" s="1"/>
  <c r="T229" i="3"/>
  <c r="BE204" i="1"/>
  <c r="BT218" i="1"/>
  <c r="C179" i="3"/>
  <c r="K19" i="4"/>
  <c r="L19" i="4" s="1"/>
  <c r="M19" i="4" s="1"/>
  <c r="N19" i="4" s="1"/>
  <c r="O19" i="4" s="1"/>
  <c r="P19" i="4" s="1"/>
  <c r="Q19" i="4" s="1"/>
  <c r="R19" i="4" s="1"/>
  <c r="BJ108" i="1"/>
  <c r="E9" i="4"/>
  <c r="F3" i="4"/>
  <c r="O7" i="3"/>
  <c r="O25" i="3" s="1"/>
  <c r="J455" i="1"/>
  <c r="J457" i="1"/>
  <c r="AC10" i="7"/>
  <c r="AC22" i="7" s="1"/>
  <c r="AD463" i="1"/>
  <c r="AD467" i="1" s="1"/>
  <c r="R180" i="6"/>
  <c r="AR328" i="1"/>
  <c r="AZ350" i="1"/>
  <c r="BB328" i="1"/>
  <c r="AB285" i="1"/>
  <c r="AB376" i="1"/>
  <c r="AB222" i="1"/>
  <c r="AB220" i="1"/>
  <c r="AF221" i="1"/>
  <c r="BK117" i="1"/>
  <c r="BK224" i="1" s="1"/>
  <c r="BK225" i="1" s="1"/>
  <c r="BK115" i="1"/>
  <c r="G378" i="1"/>
  <c r="G379" i="1" s="1"/>
  <c r="G286" i="1"/>
  <c r="AO20" i="7"/>
  <c r="AS377" i="1"/>
  <c r="D55" i="4"/>
  <c r="R112" i="3"/>
  <c r="H258" i="2"/>
  <c r="H259" i="2" s="1"/>
  <c r="H58" i="2"/>
  <c r="S7" i="3"/>
  <c r="S25" i="3" s="1"/>
  <c r="J131" i="2"/>
  <c r="J129" i="2" s="1"/>
  <c r="O228" i="6"/>
  <c r="L223" i="2"/>
  <c r="L61" i="2"/>
  <c r="V116" i="3" s="1"/>
  <c r="Z455" i="1"/>
  <c r="Z457" i="1"/>
  <c r="Y455" i="1"/>
  <c r="Y457" i="1"/>
  <c r="R214" i="2"/>
  <c r="I53" i="4" s="1"/>
  <c r="CE469" i="1"/>
  <c r="DD463" i="1"/>
  <c r="AR467" i="1"/>
  <c r="X455" i="1"/>
  <c r="X457" i="1"/>
  <c r="BK458" i="1"/>
  <c r="K277" i="2"/>
  <c r="K316" i="2"/>
  <c r="K266" i="2"/>
  <c r="AU440" i="1"/>
  <c r="B6" i="5" s="1"/>
  <c r="AU51" i="1"/>
  <c r="CB12" i="7" s="1"/>
  <c r="BG379" i="1"/>
  <c r="BT378" i="1"/>
  <c r="BE342" i="1"/>
  <c r="BT350" i="1"/>
  <c r="BT322" i="1"/>
  <c r="BH225" i="1"/>
  <c r="BH226" i="1" s="1"/>
  <c r="AX328" i="1"/>
  <c r="CB45" i="7"/>
  <c r="AZ128" i="1"/>
  <c r="AR285" i="1"/>
  <c r="AR222" i="1"/>
  <c r="AR376" i="1"/>
  <c r="AW222" i="1"/>
  <c r="K376" i="1"/>
  <c r="K285" i="1"/>
  <c r="K378" i="1" s="1"/>
  <c r="BD382" i="1"/>
  <c r="AH376" i="1"/>
  <c r="AH222" i="1"/>
  <c r="AH220" i="1"/>
  <c r="AH285" i="1"/>
  <c r="AL20" i="7"/>
  <c r="BJ135" i="1"/>
  <c r="BJ136" i="1" s="1"/>
  <c r="BJ283" i="1" s="1"/>
  <c r="L52" i="6"/>
  <c r="L68" i="6" s="1"/>
  <c r="AE378" i="1"/>
  <c r="AE382" i="1" s="1"/>
  <c r="BB225" i="1"/>
  <c r="AP20" i="7"/>
  <c r="AT377" i="1"/>
  <c r="AC20" i="7"/>
  <c r="AD436" i="1"/>
  <c r="K63" i="6" s="1"/>
  <c r="AD377" i="1"/>
  <c r="BP115" i="1"/>
  <c r="BP117" i="1"/>
  <c r="BP224" i="1" s="1"/>
  <c r="P111" i="3"/>
  <c r="F198" i="2"/>
  <c r="CG7" i="7"/>
  <c r="G3" i="5"/>
  <c r="P173" i="2"/>
  <c r="P160" i="2"/>
  <c r="P156" i="2"/>
  <c r="P163" i="2"/>
  <c r="P153" i="2"/>
  <c r="BT489" i="1"/>
  <c r="BT30" i="1"/>
  <c r="BY31" i="1" s="1"/>
  <c r="BJ37" i="1"/>
  <c r="BJ36" i="1"/>
  <c r="X19" i="3" s="1"/>
  <c r="X258" i="3" s="1"/>
  <c r="X260" i="3" s="1"/>
  <c r="BT358" i="1"/>
  <c r="BC328" i="1"/>
  <c r="R376" i="1"/>
  <c r="W377" i="1" s="1"/>
  <c r="R222" i="1"/>
  <c r="R285" i="1"/>
  <c r="R378" i="1" s="1"/>
  <c r="L293" i="2"/>
  <c r="L289" i="2"/>
  <c r="AU104" i="1"/>
  <c r="AU102" i="1"/>
  <c r="P290" i="2"/>
  <c r="Q290" i="2" s="1"/>
  <c r="O289" i="2"/>
  <c r="O191" i="2"/>
  <c r="Q111" i="3"/>
  <c r="G198" i="2"/>
  <c r="T111" i="3"/>
  <c r="J198" i="2"/>
  <c r="E14" i="5"/>
  <c r="N44" i="2"/>
  <c r="R455" i="1"/>
  <c r="R457" i="1"/>
  <c r="E269" i="2"/>
  <c r="E81" i="2"/>
  <c r="E79" i="2"/>
  <c r="E196" i="2" s="1"/>
  <c r="E200" i="2" s="1"/>
  <c r="Q455" i="1"/>
  <c r="Q457" i="1"/>
  <c r="BV10" i="7" s="1"/>
  <c r="AB4" i="3"/>
  <c r="AB3" i="3" s="1"/>
  <c r="AB10" i="7"/>
  <c r="AB22" i="7" s="1"/>
  <c r="AC463" i="1"/>
  <c r="AC467" i="1" s="1"/>
  <c r="AB457" i="1"/>
  <c r="AB455" i="1"/>
  <c r="BJ397" i="1"/>
  <c r="BJ386" i="1"/>
  <c r="BM458" i="1"/>
  <c r="BO397" i="1"/>
  <c r="BO386" i="1"/>
  <c r="BI458" i="1"/>
  <c r="BC19" i="7"/>
  <c r="BC20" i="7"/>
  <c r="BO376" i="1"/>
  <c r="BK382" i="1"/>
  <c r="BK377" i="1"/>
  <c r="AZ346" i="1"/>
  <c r="AZ358" i="1"/>
  <c r="U180" i="6"/>
  <c r="AZ326" i="1"/>
  <c r="AV328" i="1"/>
  <c r="BK328" i="1"/>
  <c r="BJ322" i="1"/>
  <c r="BJ326" i="1"/>
  <c r="BM379" i="1"/>
  <c r="L297" i="2"/>
  <c r="BI328" i="1"/>
  <c r="AJ285" i="1"/>
  <c r="AJ222" i="1"/>
  <c r="AJ376" i="1"/>
  <c r="AO377" i="1" s="1"/>
  <c r="AJ220" i="1"/>
  <c r="AZ306" i="1"/>
  <c r="AZ310" i="1"/>
  <c r="AU325" i="1"/>
  <c r="Z376" i="1"/>
  <c r="Z220" i="1"/>
  <c r="Z285" i="1"/>
  <c r="Z378" i="1" s="1"/>
  <c r="Z222" i="1"/>
  <c r="Y20" i="7"/>
  <c r="Y419" i="1"/>
  <c r="Y445" i="1" s="1"/>
  <c r="Y382" i="1"/>
  <c r="Y8" i="7" s="1"/>
  <c r="Y19" i="7" s="1"/>
  <c r="Y38" i="7" s="1"/>
  <c r="Y436" i="1"/>
  <c r="AZ102" i="1"/>
  <c r="BE101" i="1"/>
  <c r="BE104" i="1" s="1"/>
  <c r="BE236" i="1" s="1"/>
  <c r="BE237" i="1" s="1"/>
  <c r="BE238" i="1" s="1"/>
  <c r="BO218" i="1"/>
  <c r="AF136" i="1"/>
  <c r="H285" i="1"/>
  <c r="H378" i="1" s="1"/>
  <c r="H376" i="1"/>
  <c r="AE222" i="1"/>
  <c r="Q20" i="7"/>
  <c r="O436" i="1"/>
  <c r="O382" i="1"/>
  <c r="Q8" i="7" s="1"/>
  <c r="Q19" i="7" s="1"/>
  <c r="Q38" i="7" s="1"/>
  <c r="O419" i="1"/>
  <c r="O445" i="1" s="1"/>
  <c r="AP376" i="1"/>
  <c r="AP285" i="1"/>
  <c r="AP169" i="1"/>
  <c r="V378" i="1"/>
  <c r="V286" i="1"/>
  <c r="W52" i="6"/>
  <c r="W68" i="6" s="1"/>
  <c r="AS378" i="1"/>
  <c r="AS419" i="1" s="1"/>
  <c r="L109" i="3"/>
  <c r="L24" i="3"/>
  <c r="L230" i="3" s="1"/>
  <c r="L229" i="3"/>
  <c r="P295" i="2"/>
  <c r="O229" i="3"/>
  <c r="O24" i="3"/>
  <c r="O230" i="3" s="1"/>
  <c r="O109" i="3"/>
  <c r="B121" i="1"/>
  <c r="G86" i="1"/>
  <c r="L86" i="1" s="1"/>
  <c r="Q86" i="1" s="1"/>
  <c r="V86" i="1" s="1"/>
  <c r="AA86" i="1" s="1"/>
  <c r="AF86" i="1" s="1"/>
  <c r="AK86" i="1" s="1"/>
  <c r="AP86" i="1" s="1"/>
  <c r="AU86" i="1" s="1"/>
  <c r="AZ86" i="1" s="1"/>
  <c r="BE86" i="1" s="1"/>
  <c r="BJ86" i="1" s="1"/>
  <c r="BO86" i="1" s="1"/>
  <c r="BT86" i="1" s="1"/>
  <c r="BT231" i="1"/>
  <c r="BT232" i="1" s="1"/>
  <c r="BO108" i="1"/>
  <c r="Q29" i="3" l="1"/>
  <c r="AA463" i="1"/>
  <c r="T20" i="3"/>
  <c r="T259" i="3" s="1"/>
  <c r="T260" i="3" s="1"/>
  <c r="T261" i="3" s="1"/>
  <c r="T262" i="3" s="1"/>
  <c r="J99" i="2"/>
  <c r="E54" i="2"/>
  <c r="D65" i="2"/>
  <c r="E275" i="2"/>
  <c r="E50" i="2"/>
  <c r="D275" i="2"/>
  <c r="D50" i="2"/>
  <c r="V463" i="1"/>
  <c r="P15" i="3" s="1"/>
  <c r="F271" i="2" s="1"/>
  <c r="BU353" i="1"/>
  <c r="BU331" i="1"/>
  <c r="BU361" i="1"/>
  <c r="BV361" i="1"/>
  <c r="BV331" i="1"/>
  <c r="BV336" i="1"/>
  <c r="BV353" i="1"/>
  <c r="M463" i="1"/>
  <c r="M467" i="1" s="1"/>
  <c r="CD100" i="1"/>
  <c r="CE100" i="1" s="1"/>
  <c r="CF100" i="1" s="1"/>
  <c r="CG100" i="1" s="1"/>
  <c r="CH100" i="1" s="1"/>
  <c r="CI100" i="1" s="1"/>
  <c r="CJ100" i="1" s="1"/>
  <c r="CK100" i="1" s="1"/>
  <c r="CL100" i="1" s="1"/>
  <c r="CM100" i="1" s="1"/>
  <c r="CD106" i="1"/>
  <c r="CE106" i="1" s="1"/>
  <c r="CF106" i="1" s="1"/>
  <c r="CG106" i="1" s="1"/>
  <c r="CH106" i="1" s="1"/>
  <c r="CI106" i="1" s="1"/>
  <c r="CJ106" i="1" s="1"/>
  <c r="CK106" i="1" s="1"/>
  <c r="CL106" i="1" s="1"/>
  <c r="CM106" i="1" s="1"/>
  <c r="BX503" i="1"/>
  <c r="CC2" i="1"/>
  <c r="H237" i="3"/>
  <c r="H250" i="3"/>
  <c r="U463" i="1"/>
  <c r="U467" i="1" s="1"/>
  <c r="N463" i="1"/>
  <c r="N467" i="1" s="1"/>
  <c r="L30" i="3"/>
  <c r="L31" i="3" s="1"/>
  <c r="CG230" i="1"/>
  <c r="BW503" i="1"/>
  <c r="CB2" i="1"/>
  <c r="B84" i="2"/>
  <c r="B275" i="2"/>
  <c r="AK463" i="1"/>
  <c r="S15" i="3" s="1"/>
  <c r="I271" i="2" s="1"/>
  <c r="I222" i="2"/>
  <c r="S29" i="3"/>
  <c r="BV503" i="1"/>
  <c r="CA2" i="1"/>
  <c r="AL516" i="1"/>
  <c r="AP452" i="1"/>
  <c r="J269" i="2" s="1"/>
  <c r="BV7" i="7"/>
  <c r="Q445" i="1"/>
  <c r="B136" i="2"/>
  <c r="B445" i="1"/>
  <c r="BW375" i="1"/>
  <c r="CH165" i="1"/>
  <c r="CM27" i="7" s="1"/>
  <c r="BX94" i="1"/>
  <c r="BX113" i="1"/>
  <c r="I2" i="3"/>
  <c r="H221" i="3"/>
  <c r="BX60" i="1"/>
  <c r="BX312" i="1"/>
  <c r="BX375" i="1"/>
  <c r="BX67" i="1"/>
  <c r="BU327" i="1"/>
  <c r="BU336" i="1"/>
  <c r="Z205" i="2"/>
  <c r="Z212" i="2"/>
  <c r="Y34" i="2"/>
  <c r="AP369" i="1"/>
  <c r="AP425" i="1"/>
  <c r="BT240" i="1"/>
  <c r="BT241" i="1" s="1"/>
  <c r="AS516" i="1"/>
  <c r="BY233" i="1"/>
  <c r="BT233" i="1"/>
  <c r="BJ238" i="1"/>
  <c r="BW60" i="1"/>
  <c r="BW312" i="1"/>
  <c r="BW113" i="1"/>
  <c r="BW94" i="1"/>
  <c r="BW67" i="1"/>
  <c r="CM28" i="7"/>
  <c r="AT516" i="1"/>
  <c r="CK98" i="1"/>
  <c r="CI167" i="1"/>
  <c r="CH235" i="1"/>
  <c r="F6" i="10"/>
  <c r="E7" i="10"/>
  <c r="AM9" i="10"/>
  <c r="AO6" i="10"/>
  <c r="AN7" i="10"/>
  <c r="D9" i="10"/>
  <c r="D26" i="10" s="1"/>
  <c r="D27" i="10"/>
  <c r="AG4" i="10"/>
  <c r="AF27" i="10"/>
  <c r="AF26" i="10"/>
  <c r="BG16" i="7"/>
  <c r="Q279" i="2"/>
  <c r="Q311" i="2"/>
  <c r="Q314" i="2" s="1"/>
  <c r="Q76" i="2"/>
  <c r="S182" i="2"/>
  <c r="R17" i="2"/>
  <c r="BO284" i="1"/>
  <c r="BT284" i="1"/>
  <c r="BU113" i="1"/>
  <c r="BZ2" i="1"/>
  <c r="CD175" i="1"/>
  <c r="BY86" i="1"/>
  <c r="CD86" i="1" s="1"/>
  <c r="CE86" i="1" s="1"/>
  <c r="CF86" i="1" s="1"/>
  <c r="CG86" i="1" s="1"/>
  <c r="CH86" i="1" s="1"/>
  <c r="CI86" i="1" s="1"/>
  <c r="CJ86" i="1" s="1"/>
  <c r="CK86" i="1" s="1"/>
  <c r="CL86" i="1" s="1"/>
  <c r="CM86" i="1" s="1"/>
  <c r="BY218" i="1"/>
  <c r="BY224" i="1"/>
  <c r="BY134" i="1"/>
  <c r="BY188" i="1"/>
  <c r="BY49" i="1"/>
  <c r="BY50" i="1"/>
  <c r="C84" i="2"/>
  <c r="BJ16" i="7"/>
  <c r="BT373" i="1"/>
  <c r="CD196" i="1"/>
  <c r="CH34" i="7"/>
  <c r="CH32" i="7"/>
  <c r="CH26" i="7"/>
  <c r="P298" i="2"/>
  <c r="P300" i="2" s="1"/>
  <c r="F382" i="1"/>
  <c r="J8" i="7" s="1"/>
  <c r="J19" i="7" s="1"/>
  <c r="BY398" i="1"/>
  <c r="F436" i="1"/>
  <c r="F419" i="1"/>
  <c r="R229" i="3"/>
  <c r="BE222" i="1"/>
  <c r="AO382" i="1"/>
  <c r="Q83" i="1"/>
  <c r="E84" i="2"/>
  <c r="Q267" i="3"/>
  <c r="D84" i="2"/>
  <c r="M75" i="2"/>
  <c r="M311" i="2" s="1"/>
  <c r="BE440" i="1"/>
  <c r="D6" i="5" s="1"/>
  <c r="Y265" i="3"/>
  <c r="X261" i="3"/>
  <c r="X262" i="3" s="1"/>
  <c r="X265" i="3"/>
  <c r="S261" i="3"/>
  <c r="S262" i="3" s="1"/>
  <c r="W265" i="3"/>
  <c r="W267" i="3" s="1"/>
  <c r="V265" i="3"/>
  <c r="V228" i="3"/>
  <c r="V258" i="3"/>
  <c r="Z265" i="3"/>
  <c r="R261" i="3"/>
  <c r="R262" i="3" s="1"/>
  <c r="D261" i="2"/>
  <c r="D262" i="2" s="1"/>
  <c r="BJ377" i="1"/>
  <c r="DD440" i="1"/>
  <c r="AU463" i="1"/>
  <c r="AU467" i="1" s="1"/>
  <c r="BJ382" i="1"/>
  <c r="M298" i="2"/>
  <c r="K222" i="2"/>
  <c r="N298" i="2"/>
  <c r="U29" i="3"/>
  <c r="BJ373" i="1"/>
  <c r="B12" i="5"/>
  <c r="B16" i="5" s="1"/>
  <c r="BJ189" i="1"/>
  <c r="CE47" i="7" s="1"/>
  <c r="BU312" i="1"/>
  <c r="AZ376" i="1"/>
  <c r="N75" i="2"/>
  <c r="N279" i="2" s="1"/>
  <c r="BU60" i="1"/>
  <c r="AF83" i="1"/>
  <c r="AF90" i="1" s="1"/>
  <c r="BG383" i="1"/>
  <c r="BU375" i="1"/>
  <c r="BU67" i="1"/>
  <c r="BB383" i="1"/>
  <c r="BF383" i="1"/>
  <c r="BU94" i="1"/>
  <c r="AV16" i="7"/>
  <c r="DE440" i="1"/>
  <c r="BF16" i="7"/>
  <c r="BS383" i="1"/>
  <c r="BN383" i="1"/>
  <c r="L84" i="1"/>
  <c r="L89" i="1" s="1"/>
  <c r="D288" i="2" s="1"/>
  <c r="V23" i="3"/>
  <c r="V229" i="3" s="1"/>
  <c r="R109" i="3"/>
  <c r="M295" i="2"/>
  <c r="AZ136" i="1"/>
  <c r="AZ283" i="1" s="1"/>
  <c r="AG377" i="1"/>
  <c r="BL383" i="1"/>
  <c r="BD16" i="7"/>
  <c r="AZ218" i="1"/>
  <c r="M194" i="2"/>
  <c r="W111" i="3" s="1"/>
  <c r="BQ383" i="1"/>
  <c r="E40" i="2"/>
  <c r="BI383" i="1"/>
  <c r="AA83" i="1"/>
  <c r="AA90" i="1" s="1"/>
  <c r="AY16" i="7"/>
  <c r="D40" i="2"/>
  <c r="AG382" i="1"/>
  <c r="AE8" i="7" s="1"/>
  <c r="AE19" i="7" s="1"/>
  <c r="AE38" i="7" s="1"/>
  <c r="AK83" i="1"/>
  <c r="AK90" i="1" s="1"/>
  <c r="E130" i="2"/>
  <c r="V83" i="1"/>
  <c r="V90" i="1" s="1"/>
  <c r="BR227" i="1"/>
  <c r="AM419" i="1"/>
  <c r="F130" i="2"/>
  <c r="Q84" i="1"/>
  <c r="Q87" i="1" s="1"/>
  <c r="BJ398" i="1"/>
  <c r="AP83" i="1"/>
  <c r="AP90" i="1" s="1"/>
  <c r="AP64" i="1"/>
  <c r="AP65" i="1" s="1"/>
  <c r="AC382" i="1"/>
  <c r="AB8" i="7" s="1"/>
  <c r="AB19" i="7" s="1"/>
  <c r="AB38" i="7" s="1"/>
  <c r="BE134" i="1"/>
  <c r="BE136" i="1" s="1"/>
  <c r="BE283" i="1" s="1"/>
  <c r="Q382" i="1"/>
  <c r="AD419" i="1"/>
  <c r="AD445" i="1" s="1"/>
  <c r="BE398" i="1"/>
  <c r="V379" i="1"/>
  <c r="V284" i="1"/>
  <c r="BO225" i="1"/>
  <c r="BO226" i="1" s="1"/>
  <c r="G83" i="1"/>
  <c r="AU369" i="1"/>
  <c r="CD11" i="7"/>
  <c r="D8" i="5"/>
  <c r="G84" i="1"/>
  <c r="G89" i="1" s="1"/>
  <c r="C288" i="2" s="1"/>
  <c r="AE419" i="1"/>
  <c r="AE445" i="1" s="1"/>
  <c r="CE11" i="7"/>
  <c r="E8" i="5"/>
  <c r="BJ49" i="1"/>
  <c r="BO398" i="1"/>
  <c r="BS227" i="1"/>
  <c r="L64" i="1"/>
  <c r="L65" i="1" s="1"/>
  <c r="L83" i="1"/>
  <c r="U138" i="2"/>
  <c r="T25" i="2"/>
  <c r="F7" i="2"/>
  <c r="F10" i="2" s="1"/>
  <c r="F20" i="2" s="1"/>
  <c r="F50" i="2" s="1"/>
  <c r="F52" i="2" s="1"/>
  <c r="G176" i="2"/>
  <c r="BE102" i="1"/>
  <c r="BO49" i="1"/>
  <c r="CF11" i="7"/>
  <c r="F8" i="5"/>
  <c r="BA117" i="1"/>
  <c r="BA224" i="1" s="1"/>
  <c r="BA115" i="1"/>
  <c r="S185" i="2"/>
  <c r="R23" i="2"/>
  <c r="BQ227" i="1"/>
  <c r="AI7" i="7"/>
  <c r="AI16" i="7" s="1"/>
  <c r="AL492" i="1"/>
  <c r="AL489" i="1"/>
  <c r="AL420" i="1"/>
  <c r="D273" i="2"/>
  <c r="D274" i="2" s="1"/>
  <c r="D85" i="2"/>
  <c r="E85" i="2"/>
  <c r="E273" i="2"/>
  <c r="E274" i="2" s="1"/>
  <c r="AK7" i="7"/>
  <c r="AK16" i="7" s="1"/>
  <c r="AN492" i="1"/>
  <c r="AN489" i="1"/>
  <c r="AO7" i="7"/>
  <c r="AO16" i="7" s="1"/>
  <c r="AS492" i="1"/>
  <c r="AS489" i="1"/>
  <c r="AS420" i="1"/>
  <c r="AD8" i="7"/>
  <c r="AD19" i="7" s="1"/>
  <c r="AD38" i="7" s="1"/>
  <c r="CD203" i="1"/>
  <c r="AZ328" i="1"/>
  <c r="O29" i="3"/>
  <c r="E222" i="2"/>
  <c r="Q463" i="1"/>
  <c r="M10" i="7"/>
  <c r="M22" i="7" s="1"/>
  <c r="J463" i="1"/>
  <c r="J467" i="1" s="1"/>
  <c r="AB7" i="7"/>
  <c r="AB16" i="7" s="1"/>
  <c r="AC489" i="1"/>
  <c r="AC435" i="1"/>
  <c r="J62" i="6" s="1"/>
  <c r="AC364" i="1"/>
  <c r="AC356" i="1"/>
  <c r="AC348" i="1"/>
  <c r="AC340" i="1"/>
  <c r="AC326" i="1"/>
  <c r="AC446" i="1"/>
  <c r="CA36" i="7"/>
  <c r="AT208" i="1"/>
  <c r="X40" i="6" s="1"/>
  <c r="AZ314" i="1"/>
  <c r="CD25" i="7"/>
  <c r="W231" i="3"/>
  <c r="BE124" i="1"/>
  <c r="BJ122" i="1"/>
  <c r="Z228" i="3"/>
  <c r="Z23" i="3"/>
  <c r="BP345" i="1"/>
  <c r="BP357" i="1"/>
  <c r="BP341" i="1"/>
  <c r="BP349" i="1"/>
  <c r="AP378" i="1"/>
  <c r="AP419" i="1" s="1"/>
  <c r="AP445" i="1" s="1"/>
  <c r="AP283" i="1"/>
  <c r="K20" i="7"/>
  <c r="H419" i="1"/>
  <c r="H436" i="1"/>
  <c r="H382" i="1"/>
  <c r="K8" i="7" s="1"/>
  <c r="K19" i="7" s="1"/>
  <c r="H377" i="1"/>
  <c r="BJ328" i="1"/>
  <c r="P191" i="2"/>
  <c r="Q191" i="2" s="1"/>
  <c r="Q192" i="2" s="1"/>
  <c r="BB226" i="1"/>
  <c r="Z10" i="7"/>
  <c r="Z22" i="7" s="1"/>
  <c r="Z463" i="1"/>
  <c r="Z467" i="1" s="1"/>
  <c r="AS382" i="1"/>
  <c r="BT188" i="1"/>
  <c r="Q15" i="3"/>
  <c r="G271" i="2" s="1"/>
  <c r="AA467" i="1"/>
  <c r="CD10" i="7"/>
  <c r="D12" i="5"/>
  <c r="D16" i="5" s="1"/>
  <c r="W29" i="3"/>
  <c r="M222" i="2"/>
  <c r="BQ188" i="1"/>
  <c r="BV188" i="1"/>
  <c r="C130" i="2"/>
  <c r="BR349" i="1"/>
  <c r="BR341" i="1"/>
  <c r="BR345" i="1"/>
  <c r="BR357" i="1"/>
  <c r="BT236" i="1"/>
  <c r="BT237" i="1" s="1"/>
  <c r="BT250" i="1" s="1"/>
  <c r="BT251" i="1" s="1"/>
  <c r="O52" i="6"/>
  <c r="O68" i="6" s="1"/>
  <c r="AI378" i="1"/>
  <c r="AI419" i="1" s="1"/>
  <c r="BA16" i="7"/>
  <c r="BH383" i="1"/>
  <c r="Q375" i="1"/>
  <c r="Q312" i="1"/>
  <c r="Q164" i="1"/>
  <c r="Q60" i="1"/>
  <c r="Q113" i="1"/>
  <c r="Q94" i="1"/>
  <c r="V2" i="1"/>
  <c r="V503" i="1" s="1"/>
  <c r="Q67" i="1"/>
  <c r="Q226" i="3"/>
  <c r="AA376" i="1"/>
  <c r="AA285" i="1"/>
  <c r="AA222" i="1"/>
  <c r="AA220" i="1"/>
  <c r="AA169" i="1"/>
  <c r="D298" i="2"/>
  <c r="L436" i="1"/>
  <c r="L377" i="1"/>
  <c r="BT38" i="1"/>
  <c r="BT39" i="1"/>
  <c r="BP39" i="1"/>
  <c r="BP50" i="1"/>
  <c r="L75" i="2"/>
  <c r="V419" i="1"/>
  <c r="G382" i="1"/>
  <c r="W10" i="7"/>
  <c r="W22" i="7" s="1"/>
  <c r="W463" i="1"/>
  <c r="W467" i="1" s="1"/>
  <c r="B273" i="2"/>
  <c r="B274" i="2" s="1"/>
  <c r="D130" i="2"/>
  <c r="BS39" i="1"/>
  <c r="BS50" i="1"/>
  <c r="CD385" i="1"/>
  <c r="CD397" i="1" s="1"/>
  <c r="O7" i="7"/>
  <c r="O16" i="7" s="1"/>
  <c r="M489" i="1"/>
  <c r="M435" i="1"/>
  <c r="M446" i="1"/>
  <c r="AM20" i="7"/>
  <c r="AQ377" i="1"/>
  <c r="AV377" i="1"/>
  <c r="BV375" i="1"/>
  <c r="BV312" i="1"/>
  <c r="BV113" i="1"/>
  <c r="BV94" i="1"/>
  <c r="BV67" i="1"/>
  <c r="BV60" i="1"/>
  <c r="J298" i="2"/>
  <c r="AP436" i="1"/>
  <c r="BC16" i="7"/>
  <c r="BK383" i="1"/>
  <c r="AA10" i="7"/>
  <c r="AA22" i="7" s="1"/>
  <c r="AB463" i="1"/>
  <c r="AB467" i="1" s="1"/>
  <c r="AF20" i="7"/>
  <c r="AH377" i="1"/>
  <c r="V52" i="6"/>
  <c r="V68" i="6" s="1"/>
  <c r="AR378" i="1"/>
  <c r="AR419" i="1" s="1"/>
  <c r="R226" i="3"/>
  <c r="AF376" i="1"/>
  <c r="AF285" i="1"/>
  <c r="AF222" i="1"/>
  <c r="AF169" i="1"/>
  <c r="BY26" i="7" s="1"/>
  <c r="AF220" i="1"/>
  <c r="AZ188" i="1"/>
  <c r="AZ216" i="1"/>
  <c r="BI16" i="7"/>
  <c r="BR383" i="1"/>
  <c r="AM377" i="1"/>
  <c r="R20" i="7"/>
  <c r="P419" i="1"/>
  <c r="P436" i="1"/>
  <c r="P382" i="1"/>
  <c r="R8" i="7" s="1"/>
  <c r="R19" i="7" s="1"/>
  <c r="R38" i="7" s="1"/>
  <c r="P377" i="1"/>
  <c r="BE125" i="1"/>
  <c r="BE126" i="1" s="1"/>
  <c r="BP383" i="1"/>
  <c r="CC29" i="7"/>
  <c r="AZ214" i="1"/>
  <c r="BR39" i="1"/>
  <c r="BR50" i="1"/>
  <c r="AG20" i="7"/>
  <c r="AI377" i="1"/>
  <c r="AP300" i="1"/>
  <c r="AK298" i="1"/>
  <c r="AA28" i="3"/>
  <c r="AA110" i="3" s="1"/>
  <c r="CG133" i="1"/>
  <c r="L286" i="1"/>
  <c r="L378" i="1"/>
  <c r="L379" i="1" s="1"/>
  <c r="L283" i="1"/>
  <c r="L284" i="1" s="1"/>
  <c r="Q10" i="7"/>
  <c r="Q22" i="7" s="1"/>
  <c r="O463" i="1"/>
  <c r="O467" i="1" s="1"/>
  <c r="CG11" i="7"/>
  <c r="G8" i="5"/>
  <c r="BT50" i="1"/>
  <c r="BT49" i="1"/>
  <c r="C304" i="2"/>
  <c r="G493" i="1"/>
  <c r="U111" i="3"/>
  <c r="K198" i="2"/>
  <c r="I273" i="2"/>
  <c r="I274" i="2" s="1"/>
  <c r="CD35" i="7"/>
  <c r="BE207" i="1"/>
  <c r="X10" i="7"/>
  <c r="X22" i="7" s="1"/>
  <c r="X463" i="1"/>
  <c r="X467" i="1" s="1"/>
  <c r="W7" i="7"/>
  <c r="W16" i="7" s="1"/>
  <c r="W489" i="1"/>
  <c r="W435" i="1"/>
  <c r="W356" i="1"/>
  <c r="W348" i="1"/>
  <c r="W364" i="1"/>
  <c r="W340" i="1"/>
  <c r="W326" i="1"/>
  <c r="W446" i="1"/>
  <c r="O279" i="2"/>
  <c r="O311" i="2"/>
  <c r="BS341" i="1"/>
  <c r="BS357" i="1"/>
  <c r="BS345" i="1"/>
  <c r="BS349" i="1"/>
  <c r="AS379" i="1"/>
  <c r="AX379" i="1"/>
  <c r="Y7" i="7"/>
  <c r="Y16" i="7" s="1"/>
  <c r="Y489" i="1"/>
  <c r="Y435" i="1"/>
  <c r="Y348" i="1"/>
  <c r="Y364" i="1"/>
  <c r="Y356" i="1"/>
  <c r="Y326" i="1"/>
  <c r="Y340" i="1"/>
  <c r="Y446" i="1"/>
  <c r="O298" i="2"/>
  <c r="BO382" i="1"/>
  <c r="BO377" i="1"/>
  <c r="BO373" i="1"/>
  <c r="BT377" i="1"/>
  <c r="BP225" i="1"/>
  <c r="BT225" i="1" s="1"/>
  <c r="AC8" i="7"/>
  <c r="AC19" i="7" s="1"/>
  <c r="AC38" i="7" s="1"/>
  <c r="AD383" i="1"/>
  <c r="AX16" i="7"/>
  <c r="BD383" i="1"/>
  <c r="CC45" i="7"/>
  <c r="BE128" i="1"/>
  <c r="K93" i="2"/>
  <c r="S214" i="2"/>
  <c r="CF469" i="1"/>
  <c r="E55" i="4"/>
  <c r="L7" i="7"/>
  <c r="L16" i="7" s="1"/>
  <c r="I489" i="1"/>
  <c r="I435" i="1"/>
  <c r="I420" i="1"/>
  <c r="I446" i="1"/>
  <c r="BO102" i="1"/>
  <c r="AJ8" i="7"/>
  <c r="AJ19" i="7" s="1"/>
  <c r="AJ38" i="7" s="1"/>
  <c r="AQ16" i="7"/>
  <c r="AT16" i="7"/>
  <c r="AY383" i="1"/>
  <c r="P7" i="3"/>
  <c r="P25" i="3" s="1"/>
  <c r="G131" i="2"/>
  <c r="G129" i="2" s="1"/>
  <c r="G130" i="2" s="1"/>
  <c r="AF299" i="1"/>
  <c r="AF304" i="1"/>
  <c r="AF305" i="1" s="1"/>
  <c r="BA383" i="1"/>
  <c r="Q286" i="1"/>
  <c r="U20" i="7"/>
  <c r="T419" i="1"/>
  <c r="T436" i="1"/>
  <c r="T382" i="1"/>
  <c r="U8" i="7" s="1"/>
  <c r="U19" i="7" s="1"/>
  <c r="U38" i="7" s="1"/>
  <c r="T377" i="1"/>
  <c r="BQ349" i="1"/>
  <c r="BQ345" i="1"/>
  <c r="BQ341" i="1"/>
  <c r="BQ357" i="1"/>
  <c r="R10" i="7"/>
  <c r="R22" i="7" s="1"/>
  <c r="P463" i="1"/>
  <c r="P467" i="1" s="1"/>
  <c r="AK38" i="1"/>
  <c r="AP38" i="1"/>
  <c r="F304" i="2"/>
  <c r="V493" i="1"/>
  <c r="Q7" i="7"/>
  <c r="Q16" i="7" s="1"/>
  <c r="O489" i="1"/>
  <c r="O435" i="1"/>
  <c r="O446" i="1"/>
  <c r="AZ307" i="1"/>
  <c r="BE306" i="1"/>
  <c r="BJ306" i="1" s="1"/>
  <c r="BO306" i="1" s="1"/>
  <c r="BT306" i="1" s="1"/>
  <c r="BY306" i="1" s="1"/>
  <c r="CD306" i="1" s="1"/>
  <c r="CE306" i="1" s="1"/>
  <c r="CF306" i="1" s="1"/>
  <c r="CG306" i="1" s="1"/>
  <c r="CH306" i="1" s="1"/>
  <c r="CI306" i="1" s="1"/>
  <c r="CJ306" i="1" s="1"/>
  <c r="CK306" i="1" s="1"/>
  <c r="CL306" i="1" s="1"/>
  <c r="CM306" i="1" s="1"/>
  <c r="BT29" i="1"/>
  <c r="BT336" i="1" s="1"/>
  <c r="F85" i="2"/>
  <c r="F273" i="2"/>
  <c r="F274" i="2" s="1"/>
  <c r="BT379" i="1"/>
  <c r="BT382" i="1"/>
  <c r="AC4" i="3"/>
  <c r="AC3" i="3" s="1"/>
  <c r="R215" i="2"/>
  <c r="AT379" i="1"/>
  <c r="AY379" i="1"/>
  <c r="BE216" i="1"/>
  <c r="BE188" i="1"/>
  <c r="AN382" i="1"/>
  <c r="AV469" i="1"/>
  <c r="K256" i="2"/>
  <c r="AU464" i="1"/>
  <c r="U14" i="3" s="1"/>
  <c r="AV465" i="1"/>
  <c r="AV467" i="1"/>
  <c r="AA232" i="3"/>
  <c r="M29" i="3"/>
  <c r="C222" i="2"/>
  <c r="AL382" i="1"/>
  <c r="E304" i="2"/>
  <c r="Q493" i="1"/>
  <c r="AZ104" i="1"/>
  <c r="AU328" i="1"/>
  <c r="BQ39" i="1"/>
  <c r="BQ50" i="1"/>
  <c r="BT398" i="1"/>
  <c r="L114" i="3"/>
  <c r="L118" i="3" s="1"/>
  <c r="Z20" i="7"/>
  <c r="Z436" i="1"/>
  <c r="Z419" i="1"/>
  <c r="Z445" i="1" s="1"/>
  <c r="Z382" i="1"/>
  <c r="Z8" i="7" s="1"/>
  <c r="Z19" i="7" s="1"/>
  <c r="Z38" i="7" s="1"/>
  <c r="Z377" i="1"/>
  <c r="AP7" i="7"/>
  <c r="AP16" i="7" s="1"/>
  <c r="AT492" i="1"/>
  <c r="AT489" i="1"/>
  <c r="AT420" i="1"/>
  <c r="AN20" i="7"/>
  <c r="AR377" i="1"/>
  <c r="AW377" i="1"/>
  <c r="BK226" i="1"/>
  <c r="M30" i="3"/>
  <c r="M31" i="3" s="1"/>
  <c r="C276" i="2"/>
  <c r="C281" i="2" s="1"/>
  <c r="C282" i="2" s="1"/>
  <c r="C283" i="2" s="1"/>
  <c r="V7" i="7"/>
  <c r="V16" i="7" s="1"/>
  <c r="U489" i="1"/>
  <c r="U435" i="1"/>
  <c r="U446" i="1"/>
  <c r="K10" i="7"/>
  <c r="K22" i="7" s="1"/>
  <c r="H463" i="1"/>
  <c r="H467" i="1" s="1"/>
  <c r="N114" i="3"/>
  <c r="N118" i="3" s="1"/>
  <c r="S10" i="7"/>
  <c r="S22" i="7" s="1"/>
  <c r="R463" i="1"/>
  <c r="R467" i="1" s="1"/>
  <c r="AL7" i="7"/>
  <c r="AL16" i="7" s="1"/>
  <c r="AO492" i="1"/>
  <c r="AO489" i="1"/>
  <c r="N20" i="7"/>
  <c r="K436" i="1"/>
  <c r="K377" i="1"/>
  <c r="K419" i="1"/>
  <c r="K445" i="1" s="1"/>
  <c r="K382" i="1"/>
  <c r="N8" i="7" s="1"/>
  <c r="N19" i="7" s="1"/>
  <c r="AA20" i="7"/>
  <c r="AB436" i="1"/>
  <c r="I63" i="6" s="1"/>
  <c r="AB377" i="1"/>
  <c r="U172" i="2"/>
  <c r="AE377" i="1"/>
  <c r="BF225" i="1"/>
  <c r="BJ225" i="1" s="1"/>
  <c r="BJ226" i="1" s="1"/>
  <c r="U23" i="3"/>
  <c r="U228" i="3"/>
  <c r="C85" i="2"/>
  <c r="C273" i="2"/>
  <c r="C274" i="2" s="1"/>
  <c r="B173" i="2"/>
  <c r="B163" i="2"/>
  <c r="B192" i="2"/>
  <c r="B156" i="2"/>
  <c r="B166" i="2"/>
  <c r="B153" i="2"/>
  <c r="B100" i="2"/>
  <c r="B160" i="2"/>
  <c r="B74" i="2"/>
  <c r="B492" i="1"/>
  <c r="B495" i="1" s="1"/>
  <c r="B85" i="2" s="1"/>
  <c r="B489" i="1"/>
  <c r="B435" i="1"/>
  <c r="B446" i="1"/>
  <c r="B496" i="1" s="1"/>
  <c r="AE7" i="7"/>
  <c r="AE16" i="7" s="1"/>
  <c r="AG492" i="1"/>
  <c r="AG489" i="1"/>
  <c r="K279" i="2"/>
  <c r="K311" i="2"/>
  <c r="U377" i="1"/>
  <c r="G5" i="4"/>
  <c r="M377" i="1"/>
  <c r="U226" i="3"/>
  <c r="T226" i="3"/>
  <c r="AU376" i="1"/>
  <c r="AU222" i="1"/>
  <c r="AU285" i="1"/>
  <c r="AZ222" i="1"/>
  <c r="P74" i="2"/>
  <c r="P100" i="2"/>
  <c r="P75" i="2"/>
  <c r="P92" i="2"/>
  <c r="CB39" i="7"/>
  <c r="AU173" i="1"/>
  <c r="AU215" i="1"/>
  <c r="S226" i="3"/>
  <c r="AK376" i="1"/>
  <c r="AK285" i="1"/>
  <c r="AK169" i="1"/>
  <c r="BZ26" i="7" s="1"/>
  <c r="AK222" i="1"/>
  <c r="AK220" i="1"/>
  <c r="BU324" i="1"/>
  <c r="BU349" i="1"/>
  <c r="BU341" i="1"/>
  <c r="BU357" i="1"/>
  <c r="BU345" i="1"/>
  <c r="AD10" i="7"/>
  <c r="AD22" i="7" s="1"/>
  <c r="AE463" i="1"/>
  <c r="AE467" i="1" s="1"/>
  <c r="N29" i="3"/>
  <c r="D222" i="2"/>
  <c r="L463" i="1"/>
  <c r="BV39" i="1"/>
  <c r="BV31" i="1"/>
  <c r="BV50" i="1"/>
  <c r="B132" i="1"/>
  <c r="G121" i="1"/>
  <c r="L121" i="1" s="1"/>
  <c r="Q121" i="1" s="1"/>
  <c r="V121" i="1" s="1"/>
  <c r="AA121" i="1" s="1"/>
  <c r="AF121" i="1" s="1"/>
  <c r="AK121" i="1" s="1"/>
  <c r="AP121" i="1" s="1"/>
  <c r="AU121" i="1" s="1"/>
  <c r="AZ121" i="1" s="1"/>
  <c r="BE121" i="1" s="1"/>
  <c r="BJ121" i="1" s="1"/>
  <c r="BO121" i="1" s="1"/>
  <c r="BT121" i="1" s="1"/>
  <c r="AH20" i="7"/>
  <c r="AJ377" i="1"/>
  <c r="BE328" i="1"/>
  <c r="G273" i="2"/>
  <c r="G274" i="2" s="1"/>
  <c r="X23" i="3"/>
  <c r="X228" i="3"/>
  <c r="I52" i="6"/>
  <c r="I68" i="6" s="1"/>
  <c r="AB378" i="1"/>
  <c r="AB419" i="1" s="1"/>
  <c r="T20" i="7"/>
  <c r="S436" i="1"/>
  <c r="S377" i="1"/>
  <c r="S419" i="1"/>
  <c r="S445" i="1" s="1"/>
  <c r="S382" i="1"/>
  <c r="T8" i="7" s="1"/>
  <c r="T19" i="7" s="1"/>
  <c r="T38" i="7" s="1"/>
  <c r="BJ188" i="1"/>
  <c r="AP499" i="1"/>
  <c r="P7" i="7"/>
  <c r="P16" i="7" s="1"/>
  <c r="N489" i="1"/>
  <c r="N435" i="1"/>
  <c r="N420" i="1"/>
  <c r="N446" i="1"/>
  <c r="AW16" i="7"/>
  <c r="BC383" i="1"/>
  <c r="AU38" i="1"/>
  <c r="AZ38" i="1"/>
  <c r="T119" i="2"/>
  <c r="B304" i="2"/>
  <c r="B493" i="1"/>
  <c r="Y228" i="3"/>
  <c r="Y23" i="3"/>
  <c r="W23" i="3"/>
  <c r="W228" i="3"/>
  <c r="E192" i="2"/>
  <c r="E153" i="2"/>
  <c r="E100" i="2"/>
  <c r="E166" i="2"/>
  <c r="E163" i="2"/>
  <c r="E160" i="2"/>
  <c r="E74" i="2"/>
  <c r="E156" i="2"/>
  <c r="E173" i="2"/>
  <c r="Q489" i="1"/>
  <c r="Q435" i="1"/>
  <c r="E136" i="2"/>
  <c r="E76" i="2"/>
  <c r="Q446" i="1"/>
  <c r="Q496" i="1" s="1"/>
  <c r="CB41" i="7"/>
  <c r="AU174" i="1"/>
  <c r="BM383" i="1"/>
  <c r="CC11" i="7"/>
  <c r="C8" i="5"/>
  <c r="AZ49" i="1"/>
  <c r="BE49" i="1"/>
  <c r="BG188" i="1"/>
  <c r="BL188" i="1"/>
  <c r="BU31" i="1"/>
  <c r="BU39" i="1"/>
  <c r="BU50" i="1"/>
  <c r="P52" i="6"/>
  <c r="P68" i="6" s="1"/>
  <c r="AJ378" i="1"/>
  <c r="AJ419" i="1" s="1"/>
  <c r="CA26" i="7"/>
  <c r="J296" i="2"/>
  <c r="AP176" i="1"/>
  <c r="CA43" i="7" s="1"/>
  <c r="AP125" i="1"/>
  <c r="AU170" i="1"/>
  <c r="S20" i="7"/>
  <c r="R436" i="1"/>
  <c r="R419" i="1"/>
  <c r="R382" i="1"/>
  <c r="S8" i="7" s="1"/>
  <c r="S19" i="7" s="1"/>
  <c r="S38" i="7" s="1"/>
  <c r="R377" i="1"/>
  <c r="BJ38" i="1"/>
  <c r="N52" i="6"/>
  <c r="N68" i="6" s="1"/>
  <c r="AH378" i="1"/>
  <c r="AH419" i="1" s="1"/>
  <c r="AH516" i="1" s="1"/>
  <c r="Y10" i="7"/>
  <c r="Y22" i="7" s="1"/>
  <c r="Y463" i="1"/>
  <c r="Y467" i="1" s="1"/>
  <c r="F9" i="4"/>
  <c r="G3" i="4"/>
  <c r="BO188" i="1"/>
  <c r="R29" i="3"/>
  <c r="H222" i="2"/>
  <c r="AF463" i="1"/>
  <c r="S228" i="3"/>
  <c r="S23" i="3"/>
  <c r="H273" i="2"/>
  <c r="H274" i="2" s="1"/>
  <c r="BO38" i="1"/>
  <c r="BE38" i="1"/>
  <c r="X20" i="7"/>
  <c r="X419" i="1"/>
  <c r="X436" i="1"/>
  <c r="X382" i="1"/>
  <c r="X8" i="7" s="1"/>
  <c r="X19" i="7" s="1"/>
  <c r="X38" i="7" s="1"/>
  <c r="X377" i="1"/>
  <c r="U52" i="6"/>
  <c r="U68" i="6" s="1"/>
  <c r="AQ378" i="1"/>
  <c r="BV349" i="1"/>
  <c r="BV345" i="1"/>
  <c r="BV341" i="1"/>
  <c r="BV357" i="1"/>
  <c r="V382" i="1"/>
  <c r="G419" i="1"/>
  <c r="G445" i="1" s="1"/>
  <c r="M114" i="3"/>
  <c r="M118" i="3" s="1"/>
  <c r="M20" i="7"/>
  <c r="J436" i="1"/>
  <c r="J419" i="1"/>
  <c r="J382" i="1"/>
  <c r="M8" i="7" s="1"/>
  <c r="M19" i="7" s="1"/>
  <c r="J377" i="1"/>
  <c r="U10" i="7"/>
  <c r="U22" i="7" s="1"/>
  <c r="T463" i="1"/>
  <c r="T467" i="1" s="1"/>
  <c r="L10" i="7"/>
  <c r="L22" i="7" s="1"/>
  <c r="I463" i="1"/>
  <c r="I467" i="1" s="1"/>
  <c r="I130" i="2"/>
  <c r="N270" i="3" l="1"/>
  <c r="N272" i="3" s="1"/>
  <c r="D52" i="2"/>
  <c r="O270" i="3"/>
  <c r="O272" i="3" s="1"/>
  <c r="E52" i="2"/>
  <c r="U20" i="3"/>
  <c r="U259" i="3" s="1"/>
  <c r="U260" i="3" s="1"/>
  <c r="U261" i="3" s="1"/>
  <c r="U262" i="3" s="1"/>
  <c r="K99" i="2"/>
  <c r="V467" i="1"/>
  <c r="F54" i="2"/>
  <c r="E65" i="2"/>
  <c r="E66" i="2" s="1"/>
  <c r="AP457" i="1"/>
  <c r="J79" i="2"/>
  <c r="J196" i="2" s="1"/>
  <c r="J200" i="2" s="1"/>
  <c r="J273" i="2" s="1"/>
  <c r="J274" i="2" s="1"/>
  <c r="J81" i="2"/>
  <c r="CC60" i="1"/>
  <c r="CC67" i="1"/>
  <c r="CC94" i="1"/>
  <c r="CC503" i="1"/>
  <c r="CC164" i="1"/>
  <c r="CC312" i="1"/>
  <c r="CC113" i="1"/>
  <c r="CC375" i="1"/>
  <c r="I237" i="3"/>
  <c r="I250" i="3"/>
  <c r="J53" i="4"/>
  <c r="B31" i="4"/>
  <c r="C31" i="4" s="1"/>
  <c r="AK467" i="1"/>
  <c r="AK465" i="1"/>
  <c r="AP455" i="1"/>
  <c r="B86" i="2"/>
  <c r="CB113" i="1"/>
  <c r="CB164" i="1"/>
  <c r="CB312" i="1"/>
  <c r="CB60" i="1"/>
  <c r="CB375" i="1"/>
  <c r="CB67" i="1"/>
  <c r="CB94" i="1"/>
  <c r="CB503" i="1"/>
  <c r="P270" i="3"/>
  <c r="P272" i="3" s="1"/>
  <c r="F275" i="2"/>
  <c r="CA60" i="1"/>
  <c r="CA375" i="1"/>
  <c r="CA67" i="1"/>
  <c r="CA94" i="1"/>
  <c r="CA503" i="1"/>
  <c r="CA113" i="1"/>
  <c r="CA164" i="1"/>
  <c r="CA312" i="1"/>
  <c r="O420" i="1"/>
  <c r="J445" i="1"/>
  <c r="W420" i="1"/>
  <c r="R445" i="1"/>
  <c r="M420" i="1"/>
  <c r="H445" i="1"/>
  <c r="AC420" i="1"/>
  <c r="X445" i="1"/>
  <c r="Y420" i="1"/>
  <c r="T445" i="1"/>
  <c r="BW7" i="7"/>
  <c r="V445" i="1"/>
  <c r="J7" i="7"/>
  <c r="J16" i="7" s="1"/>
  <c r="F445" i="1"/>
  <c r="CH230" i="1"/>
  <c r="AB516" i="1"/>
  <c r="AB445" i="1"/>
  <c r="U420" i="1"/>
  <c r="P445" i="1"/>
  <c r="CI165" i="1"/>
  <c r="CN27" i="7" s="1"/>
  <c r="J2" i="3"/>
  <c r="I221" i="3"/>
  <c r="W368" i="1"/>
  <c r="W425" i="1" s="1"/>
  <c r="BX26" i="7"/>
  <c r="AA296" i="2"/>
  <c r="AA297" i="2" s="1"/>
  <c r="AC368" i="1"/>
  <c r="AC425" i="1" s="1"/>
  <c r="Z34" i="2"/>
  <c r="AA212" i="2"/>
  <c r="AA205" i="2"/>
  <c r="BT238" i="1"/>
  <c r="BT245" i="1"/>
  <c r="BT246" i="1" s="1"/>
  <c r="AJ516" i="1"/>
  <c r="AR516" i="1"/>
  <c r="CN28" i="7"/>
  <c r="AI516" i="1"/>
  <c r="BZ164" i="1"/>
  <c r="BZ503" i="1"/>
  <c r="AG516" i="1"/>
  <c r="AD348" i="1"/>
  <c r="AD350" i="1" s="1"/>
  <c r="AD516" i="1"/>
  <c r="AE356" i="1"/>
  <c r="AJ358" i="1" s="1"/>
  <c r="AE516" i="1"/>
  <c r="AM516" i="1"/>
  <c r="AC516" i="1"/>
  <c r="AN516" i="1"/>
  <c r="AO516" i="1"/>
  <c r="CI235" i="1"/>
  <c r="CJ167" i="1"/>
  <c r="CL98" i="1"/>
  <c r="BY238" i="1"/>
  <c r="AN9" i="10"/>
  <c r="AP6" i="10"/>
  <c r="AO7" i="10"/>
  <c r="E27" i="10"/>
  <c r="E9" i="10"/>
  <c r="E26" i="10" s="1"/>
  <c r="AH4" i="10"/>
  <c r="AG27" i="10"/>
  <c r="AG26" i="10"/>
  <c r="G6" i="10"/>
  <c r="F7" i="10"/>
  <c r="T182" i="2"/>
  <c r="C86" i="2"/>
  <c r="CE175" i="1"/>
  <c r="CF175" i="1" s="1"/>
  <c r="BE284" i="1"/>
  <c r="BJ284" i="1"/>
  <c r="BZ375" i="1"/>
  <c r="BZ113" i="1"/>
  <c r="BZ94" i="1"/>
  <c r="BZ67" i="1"/>
  <c r="BZ60" i="1"/>
  <c r="BZ312" i="1"/>
  <c r="CE196" i="1"/>
  <c r="CJ34" i="7" s="1"/>
  <c r="CI34" i="7"/>
  <c r="AZ382" i="1"/>
  <c r="BY136" i="1"/>
  <c r="BY121" i="1"/>
  <c r="CD121" i="1" s="1"/>
  <c r="CE121" i="1" s="1"/>
  <c r="CF121" i="1" s="1"/>
  <c r="CG121" i="1" s="1"/>
  <c r="CH121" i="1" s="1"/>
  <c r="CI121" i="1" s="1"/>
  <c r="CJ121" i="1" s="1"/>
  <c r="CK121" i="1" s="1"/>
  <c r="CL121" i="1" s="1"/>
  <c r="CM121" i="1" s="1"/>
  <c r="BW38" i="7"/>
  <c r="CD206" i="1"/>
  <c r="AM492" i="1"/>
  <c r="AT383" i="1"/>
  <c r="AP170" i="1"/>
  <c r="AP377" i="1"/>
  <c r="CH36" i="7"/>
  <c r="CH35" i="7"/>
  <c r="AL8" i="7"/>
  <c r="AL19" i="7" s="1"/>
  <c r="AL38" i="7" s="1"/>
  <c r="F435" i="1"/>
  <c r="F489" i="1"/>
  <c r="F30" i="1" s="1"/>
  <c r="AD7" i="7"/>
  <c r="AD16" i="7" s="1"/>
  <c r="D86" i="2"/>
  <c r="E86" i="2"/>
  <c r="M279" i="2"/>
  <c r="BO189" i="1"/>
  <c r="BO216" i="1" s="1"/>
  <c r="CF41" i="7" s="1"/>
  <c r="B63" i="4"/>
  <c r="U15" i="3"/>
  <c r="K271" i="2" s="1"/>
  <c r="U30" i="3" s="1"/>
  <c r="E261" i="2"/>
  <c r="F261" i="2" s="1"/>
  <c r="R267" i="3"/>
  <c r="T267" i="3"/>
  <c r="S267" i="3"/>
  <c r="X267" i="3"/>
  <c r="BJ216" i="1"/>
  <c r="CE41" i="7" s="1"/>
  <c r="CE38" i="7" s="1"/>
  <c r="AD364" i="1"/>
  <c r="N311" i="2"/>
  <c r="N312" i="2" s="1"/>
  <c r="AD356" i="1"/>
  <c r="AD358" i="1" s="1"/>
  <c r="CC8" i="7"/>
  <c r="BE377" i="1"/>
  <c r="L298" i="2"/>
  <c r="AD489" i="1"/>
  <c r="AD30" i="1" s="1"/>
  <c r="AE326" i="1"/>
  <c r="AJ328" i="1" s="1"/>
  <c r="AE340" i="1"/>
  <c r="AJ342" i="1" s="1"/>
  <c r="AE348" i="1"/>
  <c r="AJ350" i="1" s="1"/>
  <c r="AE435" i="1"/>
  <c r="L62" i="6" s="1"/>
  <c r="AD446" i="1"/>
  <c r="L87" i="1"/>
  <c r="L88" i="1"/>
  <c r="L91" i="1"/>
  <c r="V24" i="3"/>
  <c r="V230" i="3" s="1"/>
  <c r="V109" i="3"/>
  <c r="L90" i="1"/>
  <c r="AD420" i="1"/>
  <c r="AE364" i="1"/>
  <c r="AD435" i="1"/>
  <c r="K62" i="6" s="1"/>
  <c r="AR382" i="1"/>
  <c r="AW383" i="1" s="1"/>
  <c r="AE420" i="1"/>
  <c r="AC7" i="7"/>
  <c r="AC16" i="7" s="1"/>
  <c r="AE446" i="1"/>
  <c r="AD326" i="1"/>
  <c r="AD340" i="1"/>
  <c r="AD342" i="1" s="1"/>
  <c r="M200" i="2"/>
  <c r="M198" i="2"/>
  <c r="AM489" i="1"/>
  <c r="AM29" i="1" s="1"/>
  <c r="AM336" i="1" s="1"/>
  <c r="AJ7" i="7"/>
  <c r="AJ16" i="7" s="1"/>
  <c r="Q91" i="1"/>
  <c r="Q89" i="1"/>
  <c r="E288" i="2" s="1"/>
  <c r="Q88" i="1"/>
  <c r="H130" i="2"/>
  <c r="Q90" i="1"/>
  <c r="AE489" i="1"/>
  <c r="AE30" i="1" s="1"/>
  <c r="AK500" i="1"/>
  <c r="Q379" i="1"/>
  <c r="AI382" i="1"/>
  <c r="AG8" i="7" s="1"/>
  <c r="AG19" i="7" s="1"/>
  <c r="AG38" i="7" s="1"/>
  <c r="BT226" i="1"/>
  <c r="BT227" i="1" s="1"/>
  <c r="AP382" i="1"/>
  <c r="G91" i="1"/>
  <c r="G87" i="1"/>
  <c r="G88" i="1"/>
  <c r="G90" i="1"/>
  <c r="BA225" i="1"/>
  <c r="BE225" i="1" s="1"/>
  <c r="BE224" i="1"/>
  <c r="F84" i="2"/>
  <c r="F86" i="2" s="1"/>
  <c r="F40" i="2"/>
  <c r="V138" i="2"/>
  <c r="U25" i="2"/>
  <c r="AJ382" i="1"/>
  <c r="AJ383" i="1" s="1"/>
  <c r="T185" i="2"/>
  <c r="S23" i="2"/>
  <c r="H176" i="2"/>
  <c r="G7" i="2"/>
  <c r="G10" i="2" s="1"/>
  <c r="G20" i="2" s="1"/>
  <c r="G50" i="2" s="1"/>
  <c r="G52" i="2" s="1"/>
  <c r="AF7" i="7"/>
  <c r="AF16" i="7" s="1"/>
  <c r="AH492" i="1"/>
  <c r="AH489" i="1"/>
  <c r="AH420" i="1"/>
  <c r="AM420" i="1"/>
  <c r="BJ221" i="1"/>
  <c r="AA7" i="7"/>
  <c r="AA16" i="7" s="1"/>
  <c r="AB489" i="1"/>
  <c r="AG490" i="1" s="1"/>
  <c r="AB435" i="1"/>
  <c r="I62" i="6" s="1"/>
  <c r="AB420" i="1"/>
  <c r="AB356" i="1"/>
  <c r="AB348" i="1"/>
  <c r="AB340" i="1"/>
  <c r="AB364" i="1"/>
  <c r="AB326" i="1"/>
  <c r="AB446" i="1"/>
  <c r="AG420" i="1"/>
  <c r="AH7" i="7"/>
  <c r="AH16" i="7" s="1"/>
  <c r="AJ492" i="1"/>
  <c r="AJ489" i="1"/>
  <c r="AO490" i="1" s="1"/>
  <c r="AJ420" i="1"/>
  <c r="AO420" i="1"/>
  <c r="AG7" i="7"/>
  <c r="AG16" i="7" s="1"/>
  <c r="AI420" i="1"/>
  <c r="AI492" i="1"/>
  <c r="AI489" i="1"/>
  <c r="AN490" i="1" s="1"/>
  <c r="AN420" i="1"/>
  <c r="T7" i="7"/>
  <c r="T16" i="7" s="1"/>
  <c r="S435" i="1"/>
  <c r="S420" i="1"/>
  <c r="S489" i="1"/>
  <c r="S446" i="1"/>
  <c r="N7" i="7"/>
  <c r="N16" i="7" s="1"/>
  <c r="K435" i="1"/>
  <c r="K420" i="1"/>
  <c r="K489" i="1"/>
  <c r="K446" i="1"/>
  <c r="K297" i="2"/>
  <c r="N490" i="1"/>
  <c r="N30" i="1"/>
  <c r="N29" i="1"/>
  <c r="CC39" i="7"/>
  <c r="AZ173" i="1"/>
  <c r="AZ215" i="1"/>
  <c r="AQ379" i="1"/>
  <c r="AV379" i="1"/>
  <c r="N15" i="3"/>
  <c r="D271" i="2" s="1"/>
  <c r="L467" i="1"/>
  <c r="I276" i="2"/>
  <c r="I281" i="2" s="1"/>
  <c r="I282" i="2" s="1"/>
  <c r="S30" i="3"/>
  <c r="S31" i="3" s="1"/>
  <c r="I270" i="2"/>
  <c r="CB42" i="7"/>
  <c r="AU181" i="1"/>
  <c r="AU176" i="1"/>
  <c r="AU219" i="1" s="1"/>
  <c r="CB40" i="7" s="1"/>
  <c r="BT383" i="1"/>
  <c r="P30" i="3"/>
  <c r="P31" i="3" s="1"/>
  <c r="F270" i="2"/>
  <c r="F276" i="2"/>
  <c r="F281" i="2" s="1"/>
  <c r="F282" i="2" s="1"/>
  <c r="BP226" i="1"/>
  <c r="O314" i="2"/>
  <c r="Q284" i="1"/>
  <c r="R7" i="7"/>
  <c r="R16" i="7" s="1"/>
  <c r="P489" i="1"/>
  <c r="U490" i="1" s="1"/>
  <c r="P435" i="1"/>
  <c r="P420" i="1"/>
  <c r="P446" i="1"/>
  <c r="R232" i="3"/>
  <c r="H296" i="2"/>
  <c r="AF176" i="1"/>
  <c r="BY43" i="7" s="1"/>
  <c r="AF125" i="1"/>
  <c r="AF170" i="1"/>
  <c r="S160" i="2"/>
  <c r="CD29" i="7"/>
  <c r="BE214" i="1"/>
  <c r="AS490" i="1"/>
  <c r="AS30" i="1"/>
  <c r="AS29" i="1"/>
  <c r="AS336" i="1" s="1"/>
  <c r="R15" i="3"/>
  <c r="H271" i="2" s="1"/>
  <c r="AF465" i="1"/>
  <c r="AF467" i="1"/>
  <c r="AG29" i="1"/>
  <c r="AG336" i="1" s="1"/>
  <c r="AG30" i="1"/>
  <c r="M314" i="2"/>
  <c r="CA10" i="7"/>
  <c r="T29" i="3"/>
  <c r="J222" i="2"/>
  <c r="AP463" i="1"/>
  <c r="AU458" i="1"/>
  <c r="Q30" i="3"/>
  <c r="Q31" i="3" s="1"/>
  <c r="G270" i="2"/>
  <c r="G276" i="2"/>
  <c r="G281" i="2" s="1"/>
  <c r="G282" i="2" s="1"/>
  <c r="C173" i="2"/>
  <c r="C156" i="2"/>
  <c r="C166" i="2"/>
  <c r="C153" i="2"/>
  <c r="C192" i="2"/>
  <c r="C163" i="2"/>
  <c r="C160" i="2"/>
  <c r="C100" i="2"/>
  <c r="C74" i="2"/>
  <c r="G489" i="1"/>
  <c r="G435" i="1"/>
  <c r="G420" i="1"/>
  <c r="G446" i="1"/>
  <c r="G496" i="1" s="1"/>
  <c r="C136" i="2"/>
  <c r="W229" i="3"/>
  <c r="W24" i="3"/>
  <c r="W230" i="3" s="1"/>
  <c r="W109" i="3"/>
  <c r="X109" i="3"/>
  <c r="X24" i="3"/>
  <c r="X230" i="3" s="1"/>
  <c r="X229" i="3"/>
  <c r="BF226" i="1"/>
  <c r="AB382" i="1"/>
  <c r="U7" i="7"/>
  <c r="U16" i="7" s="1"/>
  <c r="T489" i="1"/>
  <c r="Y490" i="1" s="1"/>
  <c r="T435" i="1"/>
  <c r="T420" i="1"/>
  <c r="T446" i="1"/>
  <c r="Y29" i="1"/>
  <c r="Y30" i="1"/>
  <c r="AH382" i="1"/>
  <c r="M30" i="1"/>
  <c r="M29" i="1"/>
  <c r="K7" i="7"/>
  <c r="K16" i="7" s="1"/>
  <c r="H489" i="1"/>
  <c r="H435" i="1"/>
  <c r="H420" i="1"/>
  <c r="H446" i="1"/>
  <c r="AC30" i="1"/>
  <c r="AC29" i="1"/>
  <c r="O15" i="3"/>
  <c r="E271" i="2" s="1"/>
  <c r="Q467" i="1"/>
  <c r="K298" i="2"/>
  <c r="AU377" i="1"/>
  <c r="AZ377" i="1"/>
  <c r="AW469" i="1"/>
  <c r="AW464" i="1" s="1"/>
  <c r="AV464" i="1"/>
  <c r="S156" i="2"/>
  <c r="V172" i="2"/>
  <c r="CB44" i="7"/>
  <c r="AU182" i="1"/>
  <c r="AU499" i="1"/>
  <c r="AP500" i="1"/>
  <c r="AC383" i="1"/>
  <c r="H5" i="4"/>
  <c r="Z7" i="7"/>
  <c r="Z16" i="7" s="1"/>
  <c r="Z489" i="1"/>
  <c r="Z435" i="1"/>
  <c r="Z420" i="1"/>
  <c r="Z348" i="1"/>
  <c r="Z364" i="1"/>
  <c r="Z326" i="1"/>
  <c r="Z340" i="1"/>
  <c r="Z356" i="1"/>
  <c r="Z446" i="1"/>
  <c r="I490" i="1"/>
  <c r="I29" i="1"/>
  <c r="I30" i="1"/>
  <c r="CD45" i="7"/>
  <c r="BJ128" i="1"/>
  <c r="AF378" i="1"/>
  <c r="AF419" i="1" s="1"/>
  <c r="AF445" i="1" s="1"/>
  <c r="AF286" i="1"/>
  <c r="AF283" i="1"/>
  <c r="AQ382" i="1"/>
  <c r="L311" i="2"/>
  <c r="L279" i="2"/>
  <c r="Q232" i="3"/>
  <c r="G296" i="2"/>
  <c r="G297" i="2" s="1"/>
  <c r="AA125" i="1"/>
  <c r="AA126" i="1" s="1"/>
  <c r="AA175" i="1"/>
  <c r="BX43" i="7" s="1"/>
  <c r="AA170" i="1"/>
  <c r="V375" i="1"/>
  <c r="V312" i="1"/>
  <c r="V164" i="1"/>
  <c r="V94" i="1"/>
  <c r="V67" i="1"/>
  <c r="V60" i="1"/>
  <c r="AA2" i="1"/>
  <c r="AA503" i="1" s="1"/>
  <c r="V113" i="1"/>
  <c r="AH328" i="1"/>
  <c r="AE383" i="1"/>
  <c r="AL490" i="1"/>
  <c r="AL30" i="1"/>
  <c r="AL29" i="1"/>
  <c r="AL336" i="1" s="1"/>
  <c r="U30" i="1"/>
  <c r="U29" i="1"/>
  <c r="D304" i="2"/>
  <c r="L493" i="1"/>
  <c r="AN29" i="1"/>
  <c r="AN336" i="1" s="1"/>
  <c r="AN30" i="1"/>
  <c r="X7" i="7"/>
  <c r="X16" i="7" s="1"/>
  <c r="X489" i="1"/>
  <c r="X435" i="1"/>
  <c r="X420" i="1"/>
  <c r="X356" i="1"/>
  <c r="AC358" i="1" s="1"/>
  <c r="X326" i="1"/>
  <c r="AC328" i="1" s="1"/>
  <c r="X348" i="1"/>
  <c r="X364" i="1"/>
  <c r="AC366" i="1" s="1"/>
  <c r="X340" i="1"/>
  <c r="AC342" i="1" s="1"/>
  <c r="X446" i="1"/>
  <c r="G9" i="4"/>
  <c r="H3" i="4"/>
  <c r="Z18" i="3"/>
  <c r="Z227" i="3" s="1"/>
  <c r="BT341" i="1"/>
  <c r="BT349" i="1"/>
  <c r="BT357" i="1"/>
  <c r="BT345" i="1"/>
  <c r="L419" i="1"/>
  <c r="L445" i="1" s="1"/>
  <c r="E300" i="2"/>
  <c r="E307" i="2"/>
  <c r="E308" i="2" s="1"/>
  <c r="Q29" i="1"/>
  <c r="O18" i="3" s="1"/>
  <c r="O227" i="3" s="1"/>
  <c r="Q30" i="1"/>
  <c r="E313" i="2"/>
  <c r="S232" i="3"/>
  <c r="I296" i="2"/>
  <c r="AK170" i="1"/>
  <c r="AK176" i="1"/>
  <c r="BZ43" i="7" s="1"/>
  <c r="AK125" i="1"/>
  <c r="AP126" i="1" s="1"/>
  <c r="U109" i="3"/>
  <c r="U24" i="3"/>
  <c r="U230" i="3" s="1"/>
  <c r="U229" i="3"/>
  <c r="S153" i="2"/>
  <c r="AT490" i="1"/>
  <c r="AT30" i="1"/>
  <c r="AT29" i="1"/>
  <c r="AT336" i="1" s="1"/>
  <c r="W30" i="1"/>
  <c r="W29" i="1"/>
  <c r="CH133" i="1"/>
  <c r="AK299" i="1"/>
  <c r="AK304" i="1"/>
  <c r="AK305" i="1" s="1"/>
  <c r="H298" i="2"/>
  <c r="AF436" i="1"/>
  <c r="AF377" i="1"/>
  <c r="AF500" i="1"/>
  <c r="CA7" i="7"/>
  <c r="J173" i="2"/>
  <c r="J163" i="2"/>
  <c r="J192" i="2"/>
  <c r="J156" i="2"/>
  <c r="J153" i="2"/>
  <c r="J100" i="2"/>
  <c r="J166" i="2"/>
  <c r="J160" i="2"/>
  <c r="J74" i="2"/>
  <c r="AP492" i="1"/>
  <c r="AP489" i="1"/>
  <c r="AP435" i="1"/>
  <c r="J76" i="2"/>
  <c r="J136" i="2"/>
  <c r="AP446" i="1"/>
  <c r="AP496" i="1" s="1"/>
  <c r="AQ419" i="1"/>
  <c r="AQ516" i="1" s="1"/>
  <c r="CD398" i="1"/>
  <c r="CE385" i="1"/>
  <c r="AO8" i="7"/>
  <c r="AO19" i="7" s="1"/>
  <c r="AO38" i="7" s="1"/>
  <c r="AS383" i="1"/>
  <c r="AX383" i="1"/>
  <c r="P192" i="2"/>
  <c r="AH342" i="1"/>
  <c r="CD36" i="7"/>
  <c r="CE25" i="7"/>
  <c r="X231" i="3"/>
  <c r="BO122" i="1"/>
  <c r="BJ124" i="1"/>
  <c r="BJ125" i="1"/>
  <c r="BJ126" i="1" s="1"/>
  <c r="CD187" i="1"/>
  <c r="CE203" i="1"/>
  <c r="U119" i="2"/>
  <c r="B213" i="1"/>
  <c r="B138" i="1"/>
  <c r="G132" i="1"/>
  <c r="L132" i="1" s="1"/>
  <c r="Q132" i="1" s="1"/>
  <c r="V132" i="1" s="1"/>
  <c r="AA132" i="1" s="1"/>
  <c r="AF132" i="1" s="1"/>
  <c r="AK132" i="1" s="1"/>
  <c r="AP132" i="1" s="1"/>
  <c r="AU132" i="1" s="1"/>
  <c r="AZ132" i="1" s="1"/>
  <c r="BE132" i="1" s="1"/>
  <c r="BJ132" i="1" s="1"/>
  <c r="BO132" i="1" s="1"/>
  <c r="BT132" i="1" s="1"/>
  <c r="AK378" i="1"/>
  <c r="AK286" i="1"/>
  <c r="AK283" i="1"/>
  <c r="AU378" i="1"/>
  <c r="AU283" i="1"/>
  <c r="AU286" i="1"/>
  <c r="AZ286" i="1"/>
  <c r="AI8" i="7"/>
  <c r="AI19" i="7" s="1"/>
  <c r="AI38" i="7" s="1"/>
  <c r="AL383" i="1"/>
  <c r="O30" i="1"/>
  <c r="O29" i="1"/>
  <c r="F55" i="4"/>
  <c r="T214" i="2"/>
  <c r="K53" i="4" s="1"/>
  <c r="CG469" i="1"/>
  <c r="AP298" i="1"/>
  <c r="AU300" i="1"/>
  <c r="BO227" i="1"/>
  <c r="BO221" i="1"/>
  <c r="J304" i="2"/>
  <c r="AP493" i="1"/>
  <c r="AP286" i="1"/>
  <c r="AH350" i="1"/>
  <c r="P311" i="2"/>
  <c r="Q312" i="2" s="1"/>
  <c r="P279" i="2"/>
  <c r="P76" i="2"/>
  <c r="K314" i="2"/>
  <c r="K312" i="2"/>
  <c r="AN7" i="7"/>
  <c r="AN16" i="7" s="1"/>
  <c r="AR492" i="1"/>
  <c r="AR489" i="1"/>
  <c r="AR420" i="1"/>
  <c r="F192" i="2"/>
  <c r="F173" i="2"/>
  <c r="F166" i="2"/>
  <c r="F163" i="2"/>
  <c r="F160" i="2"/>
  <c r="F74" i="2"/>
  <c r="F156" i="2"/>
  <c r="F153" i="2"/>
  <c r="F100" i="2"/>
  <c r="V489" i="1"/>
  <c r="V435" i="1"/>
  <c r="V420" i="1"/>
  <c r="F76" i="2"/>
  <c r="V446" i="1"/>
  <c r="V496" i="1" s="1"/>
  <c r="F136" i="2"/>
  <c r="G298" i="2"/>
  <c r="AA436" i="1"/>
  <c r="AA377" i="1"/>
  <c r="AA500" i="1"/>
  <c r="CD41" i="7"/>
  <c r="BE217" i="1"/>
  <c r="BE174" i="1"/>
  <c r="AH366" i="1"/>
  <c r="M7" i="7"/>
  <c r="M16" i="7" s="1"/>
  <c r="J489" i="1"/>
  <c r="O490" i="1" s="1"/>
  <c r="J435" i="1"/>
  <c r="J420" i="1"/>
  <c r="J446" i="1"/>
  <c r="AU126" i="1"/>
  <c r="S229" i="3"/>
  <c r="S109" i="3"/>
  <c r="S24" i="3"/>
  <c r="S230" i="3" s="1"/>
  <c r="S7" i="7"/>
  <c r="S16" i="7" s="1"/>
  <c r="R489" i="1"/>
  <c r="R435" i="1"/>
  <c r="R420" i="1"/>
  <c r="R446" i="1"/>
  <c r="Y109" i="3"/>
  <c r="Y24" i="3"/>
  <c r="Y230" i="3" s="1"/>
  <c r="Y229" i="3"/>
  <c r="I298" i="2"/>
  <c r="AK436" i="1"/>
  <c r="AK377" i="1"/>
  <c r="B307" i="2"/>
  <c r="B308" i="2" s="1"/>
  <c r="B300" i="2"/>
  <c r="B29" i="1"/>
  <c r="L18" i="3" s="1"/>
  <c r="L227" i="3" s="1"/>
  <c r="B30" i="1"/>
  <c r="B313" i="2"/>
  <c r="AO29" i="1"/>
  <c r="AO336" i="1" s="1"/>
  <c r="AO30" i="1"/>
  <c r="N228" i="6"/>
  <c r="K223" i="2"/>
  <c r="K61" i="2"/>
  <c r="U116" i="3" s="1"/>
  <c r="AK8" i="7"/>
  <c r="AK19" i="7" s="1"/>
  <c r="AK38" i="7" s="1"/>
  <c r="AD4" i="3"/>
  <c r="AD3" i="3" s="1"/>
  <c r="S215" i="2"/>
  <c r="R290" i="2"/>
  <c r="BO383" i="1"/>
  <c r="Y368" i="1"/>
  <c r="Y425" i="1" s="1"/>
  <c r="CC41" i="7"/>
  <c r="AZ217" i="1"/>
  <c r="AZ174" i="1"/>
  <c r="AR379" i="1"/>
  <c r="AW379" i="1"/>
  <c r="L382" i="1"/>
  <c r="AA378" i="1"/>
  <c r="AA379" i="1" s="1"/>
  <c r="AA283" i="1"/>
  <c r="AA284" i="1" s="1"/>
  <c r="AA286" i="1"/>
  <c r="Z229" i="3"/>
  <c r="Z24" i="3"/>
  <c r="Z230" i="3" s="1"/>
  <c r="Z109" i="3"/>
  <c r="AZ316" i="1"/>
  <c r="AZ318" i="1"/>
  <c r="AH358" i="1"/>
  <c r="U31" i="3" l="1"/>
  <c r="E67" i="2"/>
  <c r="O119" i="3"/>
  <c r="E69" i="2"/>
  <c r="I214" i="6" s="1"/>
  <c r="G54" i="2"/>
  <c r="F65" i="2"/>
  <c r="F66" i="2" s="1"/>
  <c r="J237" i="3"/>
  <c r="J250" i="3"/>
  <c r="Q270" i="3"/>
  <c r="Q272" i="3" s="1"/>
  <c r="G275" i="2"/>
  <c r="CJ165" i="1"/>
  <c r="CJ230" i="1" s="1"/>
  <c r="CI230" i="1"/>
  <c r="AE368" i="1"/>
  <c r="AB368" i="1"/>
  <c r="AB425" i="1" s="1"/>
  <c r="K2" i="3"/>
  <c r="J221" i="3"/>
  <c r="AD366" i="1"/>
  <c r="AD368" i="1"/>
  <c r="AA34" i="2"/>
  <c r="AI350" i="1"/>
  <c r="BY7" i="7"/>
  <c r="CM98" i="1"/>
  <c r="CK167" i="1"/>
  <c r="CJ235" i="1"/>
  <c r="AI4" i="10"/>
  <c r="AH27" i="10"/>
  <c r="AH26" i="10"/>
  <c r="F27" i="10"/>
  <c r="F9" i="10"/>
  <c r="F26" i="10" s="1"/>
  <c r="AO9" i="10"/>
  <c r="H6" i="10"/>
  <c r="G7" i="10"/>
  <c r="AQ6" i="10"/>
  <c r="AP7" i="10"/>
  <c r="S166" i="2"/>
  <c r="U182" i="2"/>
  <c r="CE206" i="1"/>
  <c r="CA38" i="7"/>
  <c r="CF196" i="1"/>
  <c r="CK34" i="7" s="1"/>
  <c r="CI35" i="7"/>
  <c r="CG175" i="1"/>
  <c r="BY132" i="1"/>
  <c r="CD132" i="1" s="1"/>
  <c r="CE132" i="1" s="1"/>
  <c r="CF132" i="1" s="1"/>
  <c r="CG132" i="1" s="1"/>
  <c r="CH132" i="1" s="1"/>
  <c r="CI132" i="1" s="1"/>
  <c r="CJ132" i="1" s="1"/>
  <c r="CK132" i="1" s="1"/>
  <c r="CL132" i="1" s="1"/>
  <c r="CM132" i="1" s="1"/>
  <c r="F29" i="1"/>
  <c r="AR383" i="1"/>
  <c r="AN8" i="7"/>
  <c r="AN19" i="7" s="1"/>
  <c r="AN38" i="7" s="1"/>
  <c r="E262" i="2"/>
  <c r="AI366" i="1"/>
  <c r="BJ217" i="1"/>
  <c r="CF47" i="7"/>
  <c r="BT189" i="1"/>
  <c r="K276" i="2"/>
  <c r="K281" i="2" s="1"/>
  <c r="K282" i="2" s="1"/>
  <c r="BT221" i="1"/>
  <c r="Z226" i="3" s="1"/>
  <c r="BO174" i="1"/>
  <c r="CF44" i="7" s="1"/>
  <c r="AE342" i="1"/>
  <c r="BO217" i="1"/>
  <c r="BJ174" i="1"/>
  <c r="CE44" i="7" s="1"/>
  <c r="AI358" i="1"/>
  <c r="U267" i="3"/>
  <c r="O312" i="2"/>
  <c r="N314" i="2"/>
  <c r="CC38" i="7"/>
  <c r="BE226" i="1"/>
  <c r="BJ227" i="1" s="1"/>
  <c r="AD490" i="1"/>
  <c r="AJ366" i="1"/>
  <c r="AE350" i="1"/>
  <c r="AI342" i="1"/>
  <c r="AD29" i="1"/>
  <c r="AE366" i="1"/>
  <c r="AM490" i="1"/>
  <c r="AI328" i="1"/>
  <c r="AO383" i="1"/>
  <c r="AD328" i="1"/>
  <c r="AA348" i="1"/>
  <c r="AM30" i="1"/>
  <c r="AM50" i="1" s="1"/>
  <c r="AA326" i="1"/>
  <c r="AA364" i="1"/>
  <c r="AK379" i="1"/>
  <c r="AF382" i="1"/>
  <c r="AN383" i="1"/>
  <c r="AK284" i="1"/>
  <c r="AE490" i="1"/>
  <c r="AE29" i="1"/>
  <c r="AI383" i="1"/>
  <c r="I297" i="2"/>
  <c r="AK126" i="1"/>
  <c r="AE328" i="1"/>
  <c r="AH8" i="7"/>
  <c r="AH19" i="7" s="1"/>
  <c r="AH38" i="7" s="1"/>
  <c r="AP379" i="1"/>
  <c r="AK419" i="1"/>
  <c r="AK445" i="1" s="1"/>
  <c r="BA226" i="1"/>
  <c r="AC350" i="1"/>
  <c r="CB43" i="7"/>
  <c r="AA340" i="1"/>
  <c r="AK382" i="1"/>
  <c r="AP284" i="1"/>
  <c r="W138" i="2"/>
  <c r="V25" i="2"/>
  <c r="U185" i="2"/>
  <c r="T23" i="2"/>
  <c r="AA356" i="1"/>
  <c r="CF38" i="7"/>
  <c r="G84" i="2"/>
  <c r="G40" i="2"/>
  <c r="I176" i="2"/>
  <c r="H7" i="2"/>
  <c r="H10" i="2" s="1"/>
  <c r="H20" i="2" s="1"/>
  <c r="H50" i="2" s="1"/>
  <c r="H52" i="2" s="1"/>
  <c r="P177" i="6"/>
  <c r="AO39" i="1"/>
  <c r="AO50" i="1"/>
  <c r="R490" i="1"/>
  <c r="R29" i="1"/>
  <c r="R30" i="1"/>
  <c r="W31" i="1" s="1"/>
  <c r="CD44" i="7"/>
  <c r="BE182" i="1"/>
  <c r="AA382" i="1"/>
  <c r="AU284" i="1"/>
  <c r="AZ284" i="1"/>
  <c r="CF385" i="1"/>
  <c r="CE397" i="1"/>
  <c r="CE398" i="1" s="1"/>
  <c r="J307" i="2"/>
  <c r="J308" i="2" s="1"/>
  <c r="J300" i="2"/>
  <c r="AP29" i="1"/>
  <c r="AP336" i="1" s="1"/>
  <c r="AP30" i="1"/>
  <c r="J313" i="2"/>
  <c r="H192" i="2"/>
  <c r="H173" i="2"/>
  <c r="H166" i="2"/>
  <c r="H163" i="2"/>
  <c r="H160" i="2"/>
  <c r="H74" i="2"/>
  <c r="H156" i="2"/>
  <c r="H153" i="2"/>
  <c r="H100" i="2"/>
  <c r="AF489" i="1"/>
  <c r="AF505" i="1"/>
  <c r="AF435" i="1"/>
  <c r="H136" i="2"/>
  <c r="AF446" i="1"/>
  <c r="AF496" i="1" s="1"/>
  <c r="H76" i="2"/>
  <c r="Q50" i="1"/>
  <c r="Q39" i="1"/>
  <c r="AF379" i="1"/>
  <c r="I50" i="1"/>
  <c r="I39" i="1"/>
  <c r="O30" i="3"/>
  <c r="O31" i="3" s="1"/>
  <c r="E276" i="2"/>
  <c r="E281" i="2" s="1"/>
  <c r="E282" i="2" s="1"/>
  <c r="E270" i="2"/>
  <c r="AE358" i="1"/>
  <c r="AF126" i="1"/>
  <c r="P490" i="1"/>
  <c r="P29" i="1"/>
  <c r="P30" i="1"/>
  <c r="U31" i="1" s="1"/>
  <c r="Y369" i="1"/>
  <c r="Y492" i="1"/>
  <c r="Y494" i="1" s="1"/>
  <c r="AF356" i="1"/>
  <c r="AB358" i="1"/>
  <c r="AG358" i="1"/>
  <c r="AO357" i="1"/>
  <c r="AO341" i="1"/>
  <c r="AO349" i="1"/>
  <c r="AO365" i="1"/>
  <c r="AO327" i="1"/>
  <c r="AA419" i="1"/>
  <c r="AA445" i="1" s="1"/>
  <c r="CE187" i="1"/>
  <c r="CF203" i="1"/>
  <c r="R191" i="2"/>
  <c r="AP494" i="1"/>
  <c r="AP495" i="1"/>
  <c r="J85" i="2" s="1"/>
  <c r="CI133" i="1"/>
  <c r="X368" i="1"/>
  <c r="AL349" i="1"/>
  <c r="AL365" i="1"/>
  <c r="AL357" i="1"/>
  <c r="AL327" i="1"/>
  <c r="AL341" i="1"/>
  <c r="Y50" i="1"/>
  <c r="Y39" i="1"/>
  <c r="G283" i="2"/>
  <c r="CD39" i="7"/>
  <c r="BE173" i="1"/>
  <c r="BE215" i="1"/>
  <c r="N31" i="1"/>
  <c r="N50" i="1"/>
  <c r="N39" i="1"/>
  <c r="H304" i="2"/>
  <c r="AF493" i="1"/>
  <c r="X490" i="1"/>
  <c r="X29" i="1"/>
  <c r="X30" i="1"/>
  <c r="AC31" i="1" s="1"/>
  <c r="S290" i="2"/>
  <c r="AH369" i="1"/>
  <c r="AC492" i="1"/>
  <c r="AC494" i="1" s="1"/>
  <c r="U214" i="2"/>
  <c r="L53" i="4" s="1"/>
  <c r="CH469" i="1"/>
  <c r="AU379" i="1"/>
  <c r="AU314" i="1"/>
  <c r="AZ379" i="1"/>
  <c r="B149" i="1"/>
  <c r="G149" i="1" s="1"/>
  <c r="L149" i="1" s="1"/>
  <c r="Q149" i="1" s="1"/>
  <c r="V149" i="1" s="1"/>
  <c r="AA149" i="1" s="1"/>
  <c r="AF149" i="1" s="1"/>
  <c r="AK149" i="1" s="1"/>
  <c r="AP149" i="1" s="1"/>
  <c r="AU149" i="1" s="1"/>
  <c r="AZ149" i="1" s="1"/>
  <c r="BE149" i="1" s="1"/>
  <c r="BJ149" i="1" s="1"/>
  <c r="BO149" i="1" s="1"/>
  <c r="BT149" i="1" s="1"/>
  <c r="G138" i="1"/>
  <c r="L138" i="1" s="1"/>
  <c r="Q138" i="1" s="1"/>
  <c r="V138" i="1" s="1"/>
  <c r="AA138" i="1" s="1"/>
  <c r="AF138" i="1" s="1"/>
  <c r="AK138" i="1" s="1"/>
  <c r="AP138" i="1" s="1"/>
  <c r="AU138" i="1" s="1"/>
  <c r="AZ138" i="1" s="1"/>
  <c r="BE138" i="1" s="1"/>
  <c r="BJ138" i="1" s="1"/>
  <c r="BO138" i="1" s="1"/>
  <c r="BT138" i="1" s="1"/>
  <c r="CD188" i="1"/>
  <c r="AM7" i="7"/>
  <c r="AM16" i="7" s="1"/>
  <c r="AQ492" i="1"/>
  <c r="AQ420" i="1"/>
  <c r="AQ489" i="1"/>
  <c r="O177" i="6"/>
  <c r="AN50" i="1"/>
  <c r="AN39" i="1"/>
  <c r="M177" i="6"/>
  <c r="AL31" i="1"/>
  <c r="AL39" i="1"/>
  <c r="AL50" i="1"/>
  <c r="L312" i="2"/>
  <c r="L314" i="2"/>
  <c r="Z368" i="1"/>
  <c r="Z425" i="1" s="1"/>
  <c r="AC50" i="1"/>
  <c r="AC39" i="1"/>
  <c r="AA8" i="7"/>
  <c r="AA19" i="7" s="1"/>
  <c r="AA38" i="7" s="1"/>
  <c r="AB383" i="1"/>
  <c r="AG383" i="1"/>
  <c r="M312" i="2"/>
  <c r="H297" i="2"/>
  <c r="AD31" i="1"/>
  <c r="AD50" i="1"/>
  <c r="AD39" i="1"/>
  <c r="AB490" i="1"/>
  <c r="AB29" i="1"/>
  <c r="AB30" i="1"/>
  <c r="AG31" i="1" s="1"/>
  <c r="Y226" i="3"/>
  <c r="BO222" i="1"/>
  <c r="H490" i="1"/>
  <c r="H29" i="1"/>
  <c r="H30" i="1"/>
  <c r="M31" i="1" s="1"/>
  <c r="BE378" i="1"/>
  <c r="G304" i="2"/>
  <c r="AA493" i="1"/>
  <c r="AE4" i="3"/>
  <c r="AE3" i="3" s="1"/>
  <c r="T215" i="2"/>
  <c r="O39" i="1"/>
  <c r="O50" i="1"/>
  <c r="B282" i="1"/>
  <c r="G213" i="1"/>
  <c r="L213" i="1" s="1"/>
  <c r="Q213" i="1" s="1"/>
  <c r="V213" i="1" s="1"/>
  <c r="AA213" i="1" s="1"/>
  <c r="AF213" i="1" s="1"/>
  <c r="AK213" i="1" s="1"/>
  <c r="AP213" i="1" s="1"/>
  <c r="AU213" i="1" s="1"/>
  <c r="AZ213" i="1" s="1"/>
  <c r="BE213" i="1" s="1"/>
  <c r="BJ213" i="1" s="1"/>
  <c r="BO213" i="1" s="1"/>
  <c r="BT213" i="1" s="1"/>
  <c r="AT349" i="1"/>
  <c r="AT365" i="1"/>
  <c r="AT357" i="1"/>
  <c r="AT345" i="1"/>
  <c r="AT341" i="1"/>
  <c r="AT324" i="1"/>
  <c r="AT327" i="1"/>
  <c r="F39" i="1"/>
  <c r="F50" i="1"/>
  <c r="AN365" i="1"/>
  <c r="AN341" i="1"/>
  <c r="AN357" i="1"/>
  <c r="AN349" i="1"/>
  <c r="AN327" i="1"/>
  <c r="U39" i="1"/>
  <c r="U50" i="1"/>
  <c r="AA375" i="1"/>
  <c r="AA312" i="1"/>
  <c r="AA164" i="1"/>
  <c r="AA113" i="1"/>
  <c r="AA94" i="1"/>
  <c r="AF2" i="1"/>
  <c r="AF503" i="1" s="1"/>
  <c r="AA67" i="1"/>
  <c r="AA60" i="1"/>
  <c r="AM8" i="7"/>
  <c r="AM19" i="7" s="1"/>
  <c r="AM38" i="7" s="1"/>
  <c r="AQ383" i="1"/>
  <c r="AV383" i="1"/>
  <c r="I5" i="4"/>
  <c r="AE39" i="1"/>
  <c r="AE50" i="1"/>
  <c r="W172" i="2"/>
  <c r="X172" i="2" s="1"/>
  <c r="AU382" i="1"/>
  <c r="AC490" i="1"/>
  <c r="M39" i="1"/>
  <c r="M50" i="1"/>
  <c r="T160" i="2"/>
  <c r="S490" i="1"/>
  <c r="S30" i="1"/>
  <c r="S29" i="1"/>
  <c r="AB328" i="1"/>
  <c r="AF326" i="1"/>
  <c r="AG328" i="1"/>
  <c r="X226" i="3"/>
  <c r="BJ222" i="1"/>
  <c r="CC44" i="7"/>
  <c r="AZ182" i="1"/>
  <c r="I304" i="2"/>
  <c r="AK493" i="1"/>
  <c r="F300" i="2"/>
  <c r="F307" i="2"/>
  <c r="F308" i="2" s="1"/>
  <c r="F309" i="2" s="1"/>
  <c r="V490" i="1"/>
  <c r="V30" i="1"/>
  <c r="V29" i="1"/>
  <c r="P18" i="3" s="1"/>
  <c r="P227" i="3" s="1"/>
  <c r="F313" i="2"/>
  <c r="G55" i="4"/>
  <c r="V119" i="2"/>
  <c r="CE29" i="7"/>
  <c r="BJ214" i="1"/>
  <c r="W39" i="1"/>
  <c r="W50" i="1"/>
  <c r="T177" i="6"/>
  <c r="D4" i="6"/>
  <c r="AT31" i="1"/>
  <c r="D5" i="6" s="1"/>
  <c r="AT39" i="1"/>
  <c r="D9" i="6" s="1"/>
  <c r="AT50" i="1"/>
  <c r="D192" i="2"/>
  <c r="D173" i="2"/>
  <c r="D166" i="2"/>
  <c r="D153" i="2"/>
  <c r="D100" i="2"/>
  <c r="D163" i="2"/>
  <c r="D160" i="2"/>
  <c r="D74" i="2"/>
  <c r="D156" i="2"/>
  <c r="L489" i="1"/>
  <c r="L435" i="1"/>
  <c r="L420" i="1"/>
  <c r="D136" i="2"/>
  <c r="D76" i="2"/>
  <c r="L446" i="1"/>
  <c r="L496" i="1" s="1"/>
  <c r="Q420" i="1"/>
  <c r="AU419" i="1"/>
  <c r="M490" i="1"/>
  <c r="T490" i="1"/>
  <c r="T29" i="1"/>
  <c r="T30" i="1"/>
  <c r="Y31" i="1" s="1"/>
  <c r="I177" i="6"/>
  <c r="AG50" i="1"/>
  <c r="AG39" i="1"/>
  <c r="AS357" i="1"/>
  <c r="AS345" i="1"/>
  <c r="AS349" i="1"/>
  <c r="AS324" i="1"/>
  <c r="AS341" i="1"/>
  <c r="AS365" i="1"/>
  <c r="AS327" i="1"/>
  <c r="D276" i="2"/>
  <c r="D281" i="2" s="1"/>
  <c r="D282" i="2" s="1"/>
  <c r="D283" i="2" s="1"/>
  <c r="N30" i="3"/>
  <c r="N31" i="3" s="1"/>
  <c r="D270" i="2"/>
  <c r="J297" i="2"/>
  <c r="AI490" i="1"/>
  <c r="AI30" i="1"/>
  <c r="AN31" i="1" s="1"/>
  <c r="AI29" i="1"/>
  <c r="AI336" i="1" s="1"/>
  <c r="AJ490" i="1"/>
  <c r="AJ29" i="1"/>
  <c r="AJ336" i="1" s="1"/>
  <c r="AJ30" i="1"/>
  <c r="AB366" i="1"/>
  <c r="AG366" i="1"/>
  <c r="AF364" i="1"/>
  <c r="AH490" i="1"/>
  <c r="AH29" i="1"/>
  <c r="AH336" i="1" s="1"/>
  <c r="AH30" i="1"/>
  <c r="F262" i="2"/>
  <c r="G261" i="2"/>
  <c r="AR490" i="1"/>
  <c r="AR29" i="1"/>
  <c r="AR336" i="1" s="1"/>
  <c r="AR30" i="1"/>
  <c r="P314" i="2"/>
  <c r="P312" i="2"/>
  <c r="P313" i="2"/>
  <c r="AU298" i="1"/>
  <c r="AZ300" i="1"/>
  <c r="CF25" i="7"/>
  <c r="Y231" i="3"/>
  <c r="BT122" i="1"/>
  <c r="BY122" i="1" s="1"/>
  <c r="BO124" i="1"/>
  <c r="BO125" i="1"/>
  <c r="BO126" i="1" s="1"/>
  <c r="W490" i="1"/>
  <c r="H9" i="4"/>
  <c r="I3" i="4"/>
  <c r="AM349" i="1"/>
  <c r="AM365" i="1"/>
  <c r="AM327" i="1"/>
  <c r="AM341" i="1"/>
  <c r="AM357" i="1"/>
  <c r="T156" i="2"/>
  <c r="AF8" i="7"/>
  <c r="AF19" i="7" s="1"/>
  <c r="AF38" i="7" s="1"/>
  <c r="AH383" i="1"/>
  <c r="AM383" i="1"/>
  <c r="T15" i="3"/>
  <c r="J271" i="2" s="1"/>
  <c r="AP467" i="1"/>
  <c r="AP465" i="1"/>
  <c r="AU465" i="1"/>
  <c r="AG357" i="1"/>
  <c r="AG365" i="1"/>
  <c r="AG327" i="1"/>
  <c r="AG341" i="1"/>
  <c r="AG349" i="1"/>
  <c r="R30" i="3"/>
  <c r="R31" i="3" s="1"/>
  <c r="H276" i="2"/>
  <c r="H281" i="2" s="1"/>
  <c r="H282" i="2" s="1"/>
  <c r="H283" i="2" s="1"/>
  <c r="H270" i="2"/>
  <c r="S177" i="6"/>
  <c r="AS31" i="1"/>
  <c r="AS50" i="1"/>
  <c r="AS39" i="1"/>
  <c r="AB342" i="1"/>
  <c r="AG342" i="1"/>
  <c r="AF340" i="1"/>
  <c r="W369" i="1"/>
  <c r="W492" i="1"/>
  <c r="W494" i="1" s="1"/>
  <c r="B39" i="1"/>
  <c r="B50" i="1"/>
  <c r="J490" i="1"/>
  <c r="J29" i="1"/>
  <c r="J30" i="1"/>
  <c r="AP304" i="1"/>
  <c r="AP305" i="1" s="1"/>
  <c r="AP299" i="1"/>
  <c r="T153" i="2"/>
  <c r="AF284" i="1"/>
  <c r="CE45" i="7"/>
  <c r="BO128" i="1"/>
  <c r="Z490" i="1"/>
  <c r="Z29" i="1"/>
  <c r="Z30" i="1"/>
  <c r="AZ499" i="1"/>
  <c r="AU500" i="1"/>
  <c r="C307" i="2"/>
  <c r="C308" i="2" s="1"/>
  <c r="C309" i="2" s="1"/>
  <c r="C300" i="2"/>
  <c r="G490" i="1"/>
  <c r="G30" i="1"/>
  <c r="G29" i="1"/>
  <c r="M18" i="3" s="1"/>
  <c r="M227" i="3" s="1"/>
  <c r="C313" i="2"/>
  <c r="BP227" i="1"/>
  <c r="CC42" i="7"/>
  <c r="AZ181" i="1"/>
  <c r="AZ176" i="1"/>
  <c r="AZ219" i="1" s="1"/>
  <c r="CC40" i="7" s="1"/>
  <c r="K490" i="1"/>
  <c r="K30" i="1"/>
  <c r="K29" i="1"/>
  <c r="AG350" i="1"/>
  <c r="AB350" i="1"/>
  <c r="AF348" i="1"/>
  <c r="AU516" i="1" l="1"/>
  <c r="K166" i="2"/>
  <c r="F67" i="2"/>
  <c r="P119" i="3"/>
  <c r="P120" i="3" s="1"/>
  <c r="F69" i="2"/>
  <c r="J214" i="6" s="1"/>
  <c r="H54" i="2"/>
  <c r="G65" i="2"/>
  <c r="G66" i="2" s="1"/>
  <c r="O120" i="3"/>
  <c r="O114" i="3"/>
  <c r="O118" i="3" s="1"/>
  <c r="T166" i="2"/>
  <c r="K237" i="3"/>
  <c r="K250" i="3"/>
  <c r="CK165" i="1"/>
  <c r="CK230" i="1" s="1"/>
  <c r="R270" i="3"/>
  <c r="R272" i="3" s="1"/>
  <c r="H275" i="2"/>
  <c r="L2" i="3"/>
  <c r="K221" i="3"/>
  <c r="AF368" i="1"/>
  <c r="AF425" i="1" s="1"/>
  <c r="Y172" i="2"/>
  <c r="W25" i="2"/>
  <c r="X138" i="2"/>
  <c r="AC369" i="1"/>
  <c r="X425" i="1"/>
  <c r="AE492" i="1"/>
  <c r="AE494" i="1" s="1"/>
  <c r="AE425" i="1"/>
  <c r="AD369" i="1"/>
  <c r="AD425" i="1"/>
  <c r="BX7" i="7"/>
  <c r="AA516" i="1"/>
  <c r="AK516" i="1"/>
  <c r="AP516" i="1"/>
  <c r="AF516" i="1"/>
  <c r="BZ7" i="7"/>
  <c r="CJ133" i="1"/>
  <c r="CK235" i="1"/>
  <c r="CL167" i="1"/>
  <c r="AQ7" i="10"/>
  <c r="AQ9" i="10" s="1"/>
  <c r="AR6" i="10"/>
  <c r="AR7" i="10" s="1"/>
  <c r="I6" i="10"/>
  <c r="H7" i="10"/>
  <c r="AP9" i="10"/>
  <c r="G9" i="10"/>
  <c r="G26" i="10" s="1"/>
  <c r="G27" i="10"/>
  <c r="AJ4" i="10"/>
  <c r="AI27" i="10"/>
  <c r="AI26" i="10"/>
  <c r="V182" i="2"/>
  <c r="CG196" i="1"/>
  <c r="CL34" i="7" s="1"/>
  <c r="CF206" i="1"/>
  <c r="CJ35" i="7"/>
  <c r="BZ38" i="7"/>
  <c r="BY38" i="7"/>
  <c r="BX38" i="7"/>
  <c r="BY124" i="1"/>
  <c r="BY125" i="1"/>
  <c r="BY138" i="1"/>
  <c r="CD138" i="1" s="1"/>
  <c r="CE138" i="1" s="1"/>
  <c r="CF138" i="1" s="1"/>
  <c r="CG138" i="1" s="1"/>
  <c r="CH138" i="1" s="1"/>
  <c r="CI138" i="1" s="1"/>
  <c r="CJ138" i="1" s="1"/>
  <c r="CK138" i="1" s="1"/>
  <c r="CL138" i="1" s="1"/>
  <c r="CM138" i="1" s="1"/>
  <c r="BY213" i="1"/>
  <c r="CD213" i="1" s="1"/>
  <c r="CE213" i="1" s="1"/>
  <c r="CF213" i="1" s="1"/>
  <c r="CG213" i="1" s="1"/>
  <c r="CH213" i="1" s="1"/>
  <c r="CI213" i="1" s="1"/>
  <c r="CJ213" i="1" s="1"/>
  <c r="CK213" i="1" s="1"/>
  <c r="CL213" i="1" s="1"/>
  <c r="CM213" i="1" s="1"/>
  <c r="BY149" i="1"/>
  <c r="CD149" i="1" s="1"/>
  <c r="CE149" i="1" s="1"/>
  <c r="CF149" i="1" s="1"/>
  <c r="CG149" i="1" s="1"/>
  <c r="CH149" i="1" s="1"/>
  <c r="CI149" i="1" s="1"/>
  <c r="CJ149" i="1" s="1"/>
  <c r="CK149" i="1" s="1"/>
  <c r="CL149" i="1" s="1"/>
  <c r="CM149" i="1" s="1"/>
  <c r="CG47" i="7"/>
  <c r="BY189" i="1"/>
  <c r="BY216" i="1" s="1"/>
  <c r="BY174" i="1" s="1"/>
  <c r="CH175" i="1"/>
  <c r="I153" i="2"/>
  <c r="AP383" i="1"/>
  <c r="BV38" i="7"/>
  <c r="BT216" i="1"/>
  <c r="BT222" i="1"/>
  <c r="G2" i="5"/>
  <c r="AE369" i="1"/>
  <c r="AJ369" i="1"/>
  <c r="BO182" i="1"/>
  <c r="AM39" i="1"/>
  <c r="BJ182" i="1"/>
  <c r="N177" i="6"/>
  <c r="N189" i="6" s="1"/>
  <c r="AI369" i="1"/>
  <c r="AK489" i="1"/>
  <c r="AP490" i="1" s="1"/>
  <c r="AD492" i="1"/>
  <c r="AD494" i="1" s="1"/>
  <c r="I74" i="2"/>
  <c r="I166" i="2"/>
  <c r="I160" i="2"/>
  <c r="AA368" i="1"/>
  <c r="AF383" i="1"/>
  <c r="AK383" i="1"/>
  <c r="AK492" i="1"/>
  <c r="AK494" i="1" s="1"/>
  <c r="AK420" i="1"/>
  <c r="I136" i="2"/>
  <c r="I192" i="2"/>
  <c r="AP420" i="1"/>
  <c r="AK435" i="1"/>
  <c r="I156" i="2"/>
  <c r="AK505" i="1"/>
  <c r="I173" i="2"/>
  <c r="I163" i="2"/>
  <c r="AK446" i="1"/>
  <c r="AK496" i="1" s="1"/>
  <c r="I100" i="2"/>
  <c r="I76" i="2"/>
  <c r="J176" i="2"/>
  <c r="I7" i="2"/>
  <c r="I10" i="2" s="1"/>
  <c r="I20" i="2" s="1"/>
  <c r="I50" i="2" s="1"/>
  <c r="I52" i="2" s="1"/>
  <c r="CC43" i="7"/>
  <c r="V185" i="2"/>
  <c r="U23" i="2"/>
  <c r="I283" i="2"/>
  <c r="H84" i="2"/>
  <c r="H40" i="2"/>
  <c r="AF350" i="1"/>
  <c r="AK350" i="1"/>
  <c r="U153" i="2"/>
  <c r="L177" i="6"/>
  <c r="AJ31" i="1"/>
  <c r="AJ39" i="1"/>
  <c r="AJ50" i="1"/>
  <c r="S31" i="1"/>
  <c r="S50" i="1"/>
  <c r="S39" i="1"/>
  <c r="F2" i="5"/>
  <c r="BO289" i="1"/>
  <c r="BO321" i="1"/>
  <c r="AQ490" i="1"/>
  <c r="AQ30" i="1"/>
  <c r="AQ29" i="1"/>
  <c r="AQ336" i="1" s="1"/>
  <c r="CD42" i="7"/>
  <c r="BE181" i="1"/>
  <c r="BE176" i="1"/>
  <c r="CF187" i="1"/>
  <c r="CG203" i="1"/>
  <c r="H300" i="2"/>
  <c r="H307" i="2"/>
  <c r="H308" i="2" s="1"/>
  <c r="AF29" i="1"/>
  <c r="R18" i="3" s="1"/>
  <c r="R227" i="3" s="1"/>
  <c r="AF30" i="1"/>
  <c r="H313" i="2"/>
  <c r="J39" i="1"/>
  <c r="J50" i="1"/>
  <c r="I9" i="4"/>
  <c r="J3" i="4"/>
  <c r="AH365" i="1"/>
  <c r="AH357" i="1"/>
  <c r="AH349" i="1"/>
  <c r="AH327" i="1"/>
  <c r="AH341" i="1"/>
  <c r="CB7" i="7"/>
  <c r="B3" i="5"/>
  <c r="K163" i="2"/>
  <c r="K156" i="2"/>
  <c r="K192" i="2"/>
  <c r="K153" i="2"/>
  <c r="K160" i="2"/>
  <c r="AU489" i="1"/>
  <c r="AU420" i="1"/>
  <c r="AU492" i="1"/>
  <c r="K136" i="2"/>
  <c r="K173" i="2"/>
  <c r="K74" i="2"/>
  <c r="K100" i="2"/>
  <c r="K76" i="2"/>
  <c r="E2" i="5"/>
  <c r="BJ321" i="1"/>
  <c r="U160" i="2"/>
  <c r="BE379" i="1"/>
  <c r="BE382" i="1"/>
  <c r="BJ379" i="1"/>
  <c r="AB31" i="1"/>
  <c r="AB39" i="1"/>
  <c r="AB50" i="1"/>
  <c r="Z369" i="1"/>
  <c r="Z492" i="1"/>
  <c r="Z494" i="1" s="1"/>
  <c r="O191" i="6"/>
  <c r="O192" i="6"/>
  <c r="O190" i="6"/>
  <c r="O189" i="6"/>
  <c r="O193" i="6"/>
  <c r="CE188" i="1"/>
  <c r="P31" i="1"/>
  <c r="P50" i="1"/>
  <c r="P39" i="1"/>
  <c r="S191" i="6"/>
  <c r="S192" i="6"/>
  <c r="S193" i="6"/>
  <c r="S190" i="6"/>
  <c r="S189" i="6"/>
  <c r="CG25" i="7"/>
  <c r="Z231" i="3"/>
  <c r="CH25" i="7"/>
  <c r="BT124" i="1"/>
  <c r="BT125" i="1"/>
  <c r="J177" i="6"/>
  <c r="AH39" i="1"/>
  <c r="AH31" i="1"/>
  <c r="AH50" i="1"/>
  <c r="AJ357" i="1"/>
  <c r="AJ349" i="1"/>
  <c r="AJ327" i="1"/>
  <c r="AJ365" i="1"/>
  <c r="AJ341" i="1"/>
  <c r="B291" i="1"/>
  <c r="G291" i="1" s="1"/>
  <c r="L291" i="1" s="1"/>
  <c r="Q291" i="1" s="1"/>
  <c r="V291" i="1" s="1"/>
  <c r="AA291" i="1" s="1"/>
  <c r="AF291" i="1" s="1"/>
  <c r="AK291" i="1" s="1"/>
  <c r="AP291" i="1" s="1"/>
  <c r="AU291" i="1" s="1"/>
  <c r="AZ291" i="1" s="1"/>
  <c r="BE291" i="1" s="1"/>
  <c r="BJ291" i="1" s="1"/>
  <c r="BO291" i="1" s="1"/>
  <c r="BT291" i="1" s="1"/>
  <c r="BY291" i="1" s="1"/>
  <c r="CD291" i="1" s="1"/>
  <c r="CE291" i="1" s="1"/>
  <c r="CF291" i="1" s="1"/>
  <c r="CG291" i="1" s="1"/>
  <c r="CH291" i="1" s="1"/>
  <c r="CI291" i="1" s="1"/>
  <c r="CJ291" i="1" s="1"/>
  <c r="CK291" i="1" s="1"/>
  <c r="CL291" i="1" s="1"/>
  <c r="CM291" i="1" s="1"/>
  <c r="G282" i="1"/>
  <c r="L282" i="1" s="1"/>
  <c r="Q282" i="1" s="1"/>
  <c r="V282" i="1" s="1"/>
  <c r="AA282" i="1" s="1"/>
  <c r="AF282" i="1" s="1"/>
  <c r="AK282" i="1" s="1"/>
  <c r="AP282" i="1" s="1"/>
  <c r="AU282" i="1" s="1"/>
  <c r="AZ282" i="1" s="1"/>
  <c r="BE282" i="1" s="1"/>
  <c r="BJ282" i="1" s="1"/>
  <c r="BO282" i="1" s="1"/>
  <c r="BT282" i="1" s="1"/>
  <c r="E283" i="2"/>
  <c r="K31" i="1"/>
  <c r="K50" i="1"/>
  <c r="K39" i="1"/>
  <c r="G31" i="1"/>
  <c r="G39" i="1"/>
  <c r="G50" i="1"/>
  <c r="U156" i="2"/>
  <c r="R177" i="6"/>
  <c r="AR31" i="1"/>
  <c r="AR50" i="1"/>
  <c r="AR39" i="1"/>
  <c r="AI365" i="1"/>
  <c r="AI349" i="1"/>
  <c r="AI327" i="1"/>
  <c r="AI357" i="1"/>
  <c r="AI341" i="1"/>
  <c r="CE39" i="7"/>
  <c r="BJ173" i="1"/>
  <c r="BJ215" i="1"/>
  <c r="H50" i="1"/>
  <c r="H39" i="1"/>
  <c r="AU316" i="1"/>
  <c r="AU315" i="1"/>
  <c r="AU318" i="1"/>
  <c r="AZ315" i="1"/>
  <c r="X31" i="1"/>
  <c r="X50" i="1"/>
  <c r="X39" i="1"/>
  <c r="G173" i="2"/>
  <c r="G166" i="2"/>
  <c r="G163" i="2"/>
  <c r="G160" i="2"/>
  <c r="G192" i="2"/>
  <c r="G156" i="2"/>
  <c r="G153" i="2"/>
  <c r="G100" i="2"/>
  <c r="G74" i="2"/>
  <c r="AA435" i="1"/>
  <c r="AA420" i="1"/>
  <c r="AA489" i="1"/>
  <c r="G76" i="2"/>
  <c r="G136" i="2"/>
  <c r="AA446" i="1"/>
  <c r="AA496" i="1" s="1"/>
  <c r="CF29" i="7"/>
  <c r="BO214" i="1"/>
  <c r="CB38" i="7"/>
  <c r="AU383" i="1"/>
  <c r="AZ383" i="1"/>
  <c r="X369" i="1"/>
  <c r="X492" i="1"/>
  <c r="X494" i="1" s="1"/>
  <c r="AA383" i="1"/>
  <c r="AZ500" i="1"/>
  <c r="BE499" i="1"/>
  <c r="AK342" i="1"/>
  <c r="AF342" i="1"/>
  <c r="K177" i="6"/>
  <c r="AI31" i="1"/>
  <c r="AI50" i="1"/>
  <c r="AI39" i="1"/>
  <c r="I193" i="6"/>
  <c r="I189" i="6"/>
  <c r="I190" i="6"/>
  <c r="I192" i="6"/>
  <c r="I191" i="6"/>
  <c r="AF358" i="1"/>
  <c r="AK358" i="1"/>
  <c r="R39" i="1"/>
  <c r="R31" i="1"/>
  <c r="R50" i="1"/>
  <c r="Z39" i="1"/>
  <c r="Z31" i="1"/>
  <c r="Z50" i="1"/>
  <c r="AM31" i="1"/>
  <c r="AZ298" i="1"/>
  <c r="BE300" i="1"/>
  <c r="V31" i="1"/>
  <c r="V50" i="1"/>
  <c r="V39" i="1"/>
  <c r="AK328" i="1"/>
  <c r="AF328" i="1"/>
  <c r="O31" i="1"/>
  <c r="V214" i="2"/>
  <c r="M53" i="4" s="1"/>
  <c r="CI469" i="1"/>
  <c r="T290" i="2"/>
  <c r="CF397" i="1"/>
  <c r="CF398" i="1" s="1"/>
  <c r="CG385" i="1"/>
  <c r="P190" i="6"/>
  <c r="P191" i="6"/>
  <c r="P192" i="6"/>
  <c r="P189" i="6"/>
  <c r="P193" i="6"/>
  <c r="CF45" i="7"/>
  <c r="BT128" i="1"/>
  <c r="BY128" i="1" s="1"/>
  <c r="J5" i="4"/>
  <c r="T30" i="3"/>
  <c r="T31" i="3" s="1"/>
  <c r="J270" i="2"/>
  <c r="J276" i="2"/>
  <c r="J281" i="2" s="1"/>
  <c r="J282" i="2" s="1"/>
  <c r="AR345" i="1"/>
  <c r="AR357" i="1"/>
  <c r="AR349" i="1"/>
  <c r="AR365" i="1"/>
  <c r="AR341" i="1"/>
  <c r="AR324" i="1"/>
  <c r="AR327" i="1"/>
  <c r="AK366" i="1"/>
  <c r="AF366" i="1"/>
  <c r="AO31" i="1"/>
  <c r="AU299" i="1"/>
  <c r="AU304" i="1"/>
  <c r="AU305" i="1" s="1"/>
  <c r="AB369" i="1"/>
  <c r="AG369" i="1"/>
  <c r="AB492" i="1"/>
  <c r="AB494" i="1" s="1"/>
  <c r="T31" i="1"/>
  <c r="T39" i="1"/>
  <c r="T50" i="1"/>
  <c r="D300" i="2"/>
  <c r="D307" i="2"/>
  <c r="D308" i="2" s="1"/>
  <c r="L490" i="1"/>
  <c r="L29" i="1"/>
  <c r="N18" i="3" s="1"/>
  <c r="N227" i="3" s="1"/>
  <c r="L30" i="1"/>
  <c r="D313" i="2"/>
  <c r="Q490" i="1"/>
  <c r="W119" i="2"/>
  <c r="X119" i="2" s="1"/>
  <c r="AE31" i="1"/>
  <c r="AF375" i="1"/>
  <c r="AF312" i="1"/>
  <c r="AF164" i="1"/>
  <c r="AF67" i="1"/>
  <c r="AF60" i="1"/>
  <c r="AK2" i="1"/>
  <c r="AK503" i="1" s="1"/>
  <c r="AF113" i="1"/>
  <c r="AF94" i="1"/>
  <c r="M189" i="6"/>
  <c r="M190" i="6"/>
  <c r="M193" i="6"/>
  <c r="M192" i="6"/>
  <c r="M191" i="6"/>
  <c r="AF4" i="3"/>
  <c r="AF3" i="3" s="1"/>
  <c r="U215" i="2"/>
  <c r="AF420" i="1"/>
  <c r="AP39" i="1"/>
  <c r="AP50" i="1"/>
  <c r="F283" i="2"/>
  <c r="G262" i="2"/>
  <c r="H261" i="2"/>
  <c r="T191" i="6"/>
  <c r="T190" i="6"/>
  <c r="T193" i="6"/>
  <c r="T192" i="6"/>
  <c r="T189" i="6"/>
  <c r="H55" i="4"/>
  <c r="S191" i="2"/>
  <c r="T18" i="3"/>
  <c r="T227" i="3" s="1"/>
  <c r="AP365" i="1"/>
  <c r="AP357" i="1"/>
  <c r="AP349" i="1"/>
  <c r="AP327" i="1"/>
  <c r="AP341" i="1"/>
  <c r="G67" i="2" l="1"/>
  <c r="G69" i="2"/>
  <c r="K214" i="6" s="1"/>
  <c r="Q119" i="3"/>
  <c r="I54" i="2"/>
  <c r="H65" i="2"/>
  <c r="H66" i="2" s="1"/>
  <c r="P114" i="3"/>
  <c r="P118" i="3" s="1"/>
  <c r="U166" i="2"/>
  <c r="CL165" i="1"/>
  <c r="CL230" i="1" s="1"/>
  <c r="L237" i="3"/>
  <c r="L250" i="3"/>
  <c r="S270" i="3"/>
  <c r="S272" i="3" s="1"/>
  <c r="I275" i="2"/>
  <c r="M2" i="3"/>
  <c r="L221" i="3"/>
  <c r="Y119" i="2"/>
  <c r="X25" i="2"/>
  <c r="Y138" i="2"/>
  <c r="Z172" i="2"/>
  <c r="AA369" i="1"/>
  <c r="AA425" i="1"/>
  <c r="CM167" i="1"/>
  <c r="CL235" i="1"/>
  <c r="W214" i="2"/>
  <c r="CJ469" i="1"/>
  <c r="CK133" i="1"/>
  <c r="AR9" i="10"/>
  <c r="AK4" i="10"/>
  <c r="AJ27" i="10"/>
  <c r="AJ26" i="10"/>
  <c r="H9" i="10"/>
  <c r="H26" i="10" s="1"/>
  <c r="H27" i="10"/>
  <c r="J6" i="10"/>
  <c r="I7" i="10"/>
  <c r="W182" i="2"/>
  <c r="CK35" i="7"/>
  <c r="CG206" i="1"/>
  <c r="CL35" i="7" s="1"/>
  <c r="CH196" i="1"/>
  <c r="CM34" i="7" s="1"/>
  <c r="CH47" i="7"/>
  <c r="BY282" i="1"/>
  <c r="CD282" i="1" s="1"/>
  <c r="CE282" i="1" s="1"/>
  <c r="CF282" i="1" s="1"/>
  <c r="CG282" i="1" s="1"/>
  <c r="CH282" i="1" s="1"/>
  <c r="CI282" i="1" s="1"/>
  <c r="CJ282" i="1" s="1"/>
  <c r="CK282" i="1" s="1"/>
  <c r="CL282" i="1" s="1"/>
  <c r="CM282" i="1" s="1"/>
  <c r="CI175" i="1"/>
  <c r="BY214" i="1"/>
  <c r="BT126" i="1"/>
  <c r="BY126" i="1"/>
  <c r="BT217" i="1"/>
  <c r="BY217" i="1"/>
  <c r="CD189" i="1"/>
  <c r="CG41" i="7"/>
  <c r="CG38" i="7" s="1"/>
  <c r="BT174" i="1"/>
  <c r="BT321" i="1"/>
  <c r="BT289" i="1"/>
  <c r="AK490" i="1"/>
  <c r="N191" i="6"/>
  <c r="N190" i="6"/>
  <c r="N193" i="6"/>
  <c r="I300" i="2"/>
  <c r="I313" i="2"/>
  <c r="N192" i="6"/>
  <c r="AK29" i="1"/>
  <c r="AK30" i="1"/>
  <c r="AP31" i="1" s="1"/>
  <c r="I307" i="2"/>
  <c r="I308" i="2" s="1"/>
  <c r="I309" i="2" s="1"/>
  <c r="AA492" i="1"/>
  <c r="AA494" i="1" s="1"/>
  <c r="AK495" i="1"/>
  <c r="I85" i="2" s="1"/>
  <c r="AF327" i="1"/>
  <c r="AF341" i="1"/>
  <c r="AF365" i="1"/>
  <c r="AF357" i="1"/>
  <c r="W185" i="2"/>
  <c r="V23" i="2"/>
  <c r="I40" i="2"/>
  <c r="I84" i="2"/>
  <c r="K176" i="2"/>
  <c r="J7" i="2"/>
  <c r="J10" i="2" s="1"/>
  <c r="J20" i="2" s="1"/>
  <c r="J50" i="2" s="1"/>
  <c r="J52" i="2" s="1"/>
  <c r="I261" i="2"/>
  <c r="H262" i="2"/>
  <c r="D309" i="2"/>
  <c r="E309" i="2"/>
  <c r="U290" i="2"/>
  <c r="BJ300" i="1"/>
  <c r="BE298" i="1"/>
  <c r="BE299" i="1" s="1"/>
  <c r="CE42" i="7"/>
  <c r="BJ181" i="1"/>
  <c r="BJ176" i="1"/>
  <c r="J9" i="4"/>
  <c r="K3" i="4"/>
  <c r="G307" i="2"/>
  <c r="G308" i="2" s="1"/>
  <c r="G309" i="2" s="1"/>
  <c r="G300" i="2"/>
  <c r="AA490" i="1"/>
  <c r="AA30" i="1"/>
  <c r="AF31" i="1" s="1"/>
  <c r="AA29" i="1"/>
  <c r="G313" i="2"/>
  <c r="BE219" i="1"/>
  <c r="CD40" i="7" s="1"/>
  <c r="CD43" i="7"/>
  <c r="AK369" i="1"/>
  <c r="AF369" i="1"/>
  <c r="AF492" i="1"/>
  <c r="J283" i="2"/>
  <c r="K283" i="2"/>
  <c r="AZ299" i="1"/>
  <c r="AZ304" i="1"/>
  <c r="V160" i="2"/>
  <c r="AU495" i="1"/>
  <c r="AF490" i="1"/>
  <c r="I55" i="4"/>
  <c r="K5" i="4"/>
  <c r="AG4" i="3"/>
  <c r="AG3" i="3" s="1"/>
  <c r="V215" i="2"/>
  <c r="AQ365" i="1"/>
  <c r="AQ345" i="1"/>
  <c r="AQ349" i="1"/>
  <c r="AQ357" i="1"/>
  <c r="AQ341" i="1"/>
  <c r="AQ324" i="1"/>
  <c r="AQ327" i="1"/>
  <c r="V153" i="2"/>
  <c r="AA231" i="3"/>
  <c r="CD122" i="1"/>
  <c r="CI25" i="7" s="1"/>
  <c r="CH29" i="7"/>
  <c r="BE500" i="1"/>
  <c r="BJ499" i="1"/>
  <c r="AK375" i="1"/>
  <c r="AK164" i="1"/>
  <c r="AK312" i="1"/>
  <c r="AK113" i="1"/>
  <c r="AK94" i="1"/>
  <c r="AP2" i="1"/>
  <c r="AP503" i="1" s="1"/>
  <c r="AK67" i="1"/>
  <c r="AK60" i="1"/>
  <c r="CG45" i="7"/>
  <c r="CG397" i="1"/>
  <c r="CG398" i="1" s="1"/>
  <c r="CH385" i="1"/>
  <c r="K191" i="6"/>
  <c r="K192" i="6"/>
  <c r="K193" i="6"/>
  <c r="K190" i="6"/>
  <c r="K189" i="6"/>
  <c r="R192" i="6"/>
  <c r="R193" i="6"/>
  <c r="R191" i="6"/>
  <c r="R190" i="6"/>
  <c r="R189" i="6"/>
  <c r="J193" i="6"/>
  <c r="J189" i="6"/>
  <c r="J192" i="6"/>
  <c r="J191" i="6"/>
  <c r="J190" i="6"/>
  <c r="K300" i="2"/>
  <c r="AU490" i="1"/>
  <c r="AU30" i="1"/>
  <c r="AU29" i="1"/>
  <c r="AU336" i="1" s="1"/>
  <c r="K313" i="2"/>
  <c r="Q177" i="6"/>
  <c r="AQ31" i="1"/>
  <c r="AQ39" i="1"/>
  <c r="AQ50" i="1"/>
  <c r="AF349" i="1"/>
  <c r="AF50" i="1"/>
  <c r="AF39" i="1"/>
  <c r="V156" i="2"/>
  <c r="CH203" i="1"/>
  <c r="CG187" i="1"/>
  <c r="L190" i="6"/>
  <c r="L191" i="6"/>
  <c r="L193" i="6"/>
  <c r="L189" i="6"/>
  <c r="L192" i="6"/>
  <c r="T191" i="2"/>
  <c r="L31" i="1"/>
  <c r="L39" i="1"/>
  <c r="L50" i="1"/>
  <c r="Q31" i="1"/>
  <c r="CF39" i="7"/>
  <c r="BO173" i="1"/>
  <c r="BO215" i="1"/>
  <c r="CG29" i="7"/>
  <c r="BT214" i="1"/>
  <c r="CD38" i="7"/>
  <c r="BE383" i="1"/>
  <c r="BJ383" i="1"/>
  <c r="CF188" i="1"/>
  <c r="R119" i="3" l="1"/>
  <c r="R120" i="3" s="1"/>
  <c r="H67" i="2"/>
  <c r="H69" i="2"/>
  <c r="L214" i="6" s="1"/>
  <c r="J54" i="2"/>
  <c r="I65" i="2"/>
  <c r="I66" i="2" s="1"/>
  <c r="Q114" i="3"/>
  <c r="Q118" i="3" s="1"/>
  <c r="Q120" i="3"/>
  <c r="V166" i="2"/>
  <c r="CM165" i="1"/>
  <c r="CM230" i="1" s="1"/>
  <c r="M237" i="3"/>
  <c r="M250" i="3"/>
  <c r="T270" i="3"/>
  <c r="T272" i="3" s="1"/>
  <c r="J275" i="2"/>
  <c r="AH4" i="3"/>
  <c r="AH3" i="3" s="1"/>
  <c r="N53" i="4"/>
  <c r="N2" i="3"/>
  <c r="M221" i="3"/>
  <c r="AK349" i="1"/>
  <c r="AK336" i="1"/>
  <c r="CK469" i="1"/>
  <c r="X214" i="2"/>
  <c r="X215" i="2" s="1"/>
  <c r="W23" i="2"/>
  <c r="X185" i="2"/>
  <c r="X182" i="2"/>
  <c r="AA172" i="2"/>
  <c r="Y25" i="2"/>
  <c r="Z138" i="2"/>
  <c r="Z119" i="2"/>
  <c r="CM235" i="1"/>
  <c r="W215" i="2"/>
  <c r="CJ175" i="1"/>
  <c r="CL133" i="1"/>
  <c r="K6" i="10"/>
  <c r="J7" i="10"/>
  <c r="AL4" i="10"/>
  <c r="AK27" i="10"/>
  <c r="AK26" i="10"/>
  <c r="I9" i="10"/>
  <c r="I26" i="10" s="1"/>
  <c r="I27" i="10"/>
  <c r="CI196" i="1"/>
  <c r="CH206" i="1"/>
  <c r="CD216" i="1"/>
  <c r="CI47" i="7"/>
  <c r="BY173" i="1"/>
  <c r="BY215" i="1"/>
  <c r="BT182" i="1"/>
  <c r="BY182" i="1"/>
  <c r="CG44" i="7"/>
  <c r="CH41" i="7"/>
  <c r="CE189" i="1"/>
  <c r="CD128" i="1"/>
  <c r="CH45" i="7"/>
  <c r="CH44" i="7"/>
  <c r="AK50" i="1"/>
  <c r="AK31" i="1"/>
  <c r="J309" i="2"/>
  <c r="AK341" i="1"/>
  <c r="AK357" i="1"/>
  <c r="AK39" i="1"/>
  <c r="S18" i="3"/>
  <c r="S227" i="3" s="1"/>
  <c r="AK327" i="1"/>
  <c r="AK365" i="1"/>
  <c r="AA495" i="1"/>
  <c r="G85" i="2" s="1"/>
  <c r="G86" i="2" s="1"/>
  <c r="I86" i="2"/>
  <c r="L176" i="2"/>
  <c r="K7" i="2"/>
  <c r="K10" i="2" s="1"/>
  <c r="K20" i="2" s="1"/>
  <c r="H309" i="2"/>
  <c r="J84" i="2"/>
  <c r="J86" i="2" s="1"/>
  <c r="J40" i="2"/>
  <c r="CF42" i="7"/>
  <c r="BO181" i="1"/>
  <c r="BO176" i="1"/>
  <c r="CG188" i="1"/>
  <c r="CI203" i="1"/>
  <c r="CJ203" i="1" s="1"/>
  <c r="CH187" i="1"/>
  <c r="Q190" i="6"/>
  <c r="Q193" i="6"/>
  <c r="Q192" i="6"/>
  <c r="Q191" i="6"/>
  <c r="Q189" i="6"/>
  <c r="BO499" i="1"/>
  <c r="BJ500" i="1"/>
  <c r="W160" i="2"/>
  <c r="X160" i="2" s="1"/>
  <c r="AP375" i="1"/>
  <c r="AP312" i="1"/>
  <c r="AP164" i="1"/>
  <c r="AP113" i="1"/>
  <c r="AP94" i="1"/>
  <c r="AP67" i="1"/>
  <c r="AP60" i="1"/>
  <c r="AU2" i="1"/>
  <c r="AU503" i="1" s="1"/>
  <c r="BE304" i="1"/>
  <c r="AZ305" i="1"/>
  <c r="BJ219" i="1"/>
  <c r="CE40" i="7" s="1"/>
  <c r="CE43" i="7"/>
  <c r="W156" i="2"/>
  <c r="X156" i="2" s="1"/>
  <c r="AB231" i="3"/>
  <c r="CE122" i="1"/>
  <c r="CJ25" i="7" s="1"/>
  <c r="U191" i="2"/>
  <c r="U18" i="3"/>
  <c r="U227" i="3" s="1"/>
  <c r="AU345" i="1"/>
  <c r="AU357" i="1"/>
  <c r="AU349" i="1"/>
  <c r="AU341" i="1"/>
  <c r="AU365" i="1"/>
  <c r="AU324" i="1"/>
  <c r="AU327" i="1"/>
  <c r="W153" i="2"/>
  <c r="X153" i="2" s="1"/>
  <c r="L5" i="4"/>
  <c r="AF495" i="1"/>
  <c r="H85" i="2" s="1"/>
  <c r="H86" i="2" s="1"/>
  <c r="AF494" i="1"/>
  <c r="I262" i="2"/>
  <c r="J261" i="2"/>
  <c r="W177" i="6"/>
  <c r="AU31" i="1"/>
  <c r="AU50" i="1"/>
  <c r="AU39" i="1"/>
  <c r="J55" i="4"/>
  <c r="Q18" i="3"/>
  <c r="Q227" i="3" s="1"/>
  <c r="AA327" i="1"/>
  <c r="CG39" i="7"/>
  <c r="BT215" i="1"/>
  <c r="BT173" i="1"/>
  <c r="AA31" i="1"/>
  <c r="AA50" i="1"/>
  <c r="AA39" i="1"/>
  <c r="L3" i="4"/>
  <c r="K9" i="4"/>
  <c r="BO300" i="1"/>
  <c r="BJ298" i="1"/>
  <c r="BJ299" i="1" s="1"/>
  <c r="CH397" i="1"/>
  <c r="CH398" i="1" s="1"/>
  <c r="CI385" i="1"/>
  <c r="CJ385" i="1" s="1"/>
  <c r="V290" i="2"/>
  <c r="R114" i="3" l="1"/>
  <c r="R118" i="3" s="1"/>
  <c r="I69" i="2"/>
  <c r="M214" i="6" s="1"/>
  <c r="I67" i="2"/>
  <c r="S119" i="3"/>
  <c r="K54" i="2"/>
  <c r="J65" i="2"/>
  <c r="J66" i="2" s="1"/>
  <c r="W166" i="2"/>
  <c r="K50" i="2"/>
  <c r="N237" i="3"/>
  <c r="N250" i="3"/>
  <c r="AI4" i="3"/>
  <c r="AI3" i="3" s="1"/>
  <c r="O53" i="4"/>
  <c r="O55" i="4" s="1"/>
  <c r="O2" i="3"/>
  <c r="N221" i="3"/>
  <c r="CL469" i="1"/>
  <c r="Y214" i="2"/>
  <c r="Y153" i="2"/>
  <c r="Y156" i="2"/>
  <c r="Y160" i="2"/>
  <c r="AA119" i="2"/>
  <c r="Z25" i="2"/>
  <c r="AA138" i="2"/>
  <c r="Y182" i="2"/>
  <c r="Y185" i="2"/>
  <c r="X23" i="2"/>
  <c r="CM133" i="1"/>
  <c r="CK175" i="1"/>
  <c r="CI206" i="1"/>
  <c r="CJ196" i="1"/>
  <c r="CJ187" i="1" s="1"/>
  <c r="CK203" i="1"/>
  <c r="CK385" i="1"/>
  <c r="CJ397" i="1"/>
  <c r="AM4" i="10"/>
  <c r="AL27" i="10"/>
  <c r="AL26" i="10"/>
  <c r="J9" i="10"/>
  <c r="J26" i="10" s="1"/>
  <c r="J27" i="10"/>
  <c r="L6" i="10"/>
  <c r="K7" i="10"/>
  <c r="CI187" i="1"/>
  <c r="CI188" i="1" s="1"/>
  <c r="CN34" i="7"/>
  <c r="CM35" i="7"/>
  <c r="CE128" i="1"/>
  <c r="CI45" i="7"/>
  <c r="CI41" i="7"/>
  <c r="CF189" i="1"/>
  <c r="CK47" i="7" s="1"/>
  <c r="CJ47" i="7"/>
  <c r="CD217" i="1"/>
  <c r="BY181" i="1"/>
  <c r="BY176" i="1"/>
  <c r="CE216" i="1"/>
  <c r="CH42" i="7"/>
  <c r="CH39" i="7"/>
  <c r="K84" i="2"/>
  <c r="K40" i="2"/>
  <c r="M176" i="2"/>
  <c r="L7" i="2"/>
  <c r="L10" i="2" s="1"/>
  <c r="L20" i="2" s="1"/>
  <c r="CI397" i="1"/>
  <c r="CI398" i="1" s="1"/>
  <c r="M3" i="4"/>
  <c r="L9" i="4"/>
  <c r="J262" i="2"/>
  <c r="BT499" i="1"/>
  <c r="BO500" i="1"/>
  <c r="H3" i="5"/>
  <c r="BY489" i="1"/>
  <c r="M5" i="4"/>
  <c r="AC231" i="3"/>
  <c r="CF122" i="1"/>
  <c r="CK25" i="7" s="1"/>
  <c r="BJ304" i="1"/>
  <c r="BE302" i="1"/>
  <c r="CH188" i="1"/>
  <c r="BO219" i="1"/>
  <c r="CF40" i="7" s="1"/>
  <c r="CF43" i="7"/>
  <c r="V191" i="2"/>
  <c r="BO298" i="1"/>
  <c r="BO299" i="1" s="1"/>
  <c r="BT300" i="1"/>
  <c r="CG42" i="7"/>
  <c r="BT181" i="1"/>
  <c r="BT176" i="1"/>
  <c r="W290" i="2"/>
  <c r="K55" i="4"/>
  <c r="AU375" i="1"/>
  <c r="AU312" i="1"/>
  <c r="AU164" i="1"/>
  <c r="AZ2" i="1"/>
  <c r="AZ503" i="1" s="1"/>
  <c r="AU67" i="1"/>
  <c r="AU60" i="1"/>
  <c r="AU113" i="1"/>
  <c r="AU94" i="1"/>
  <c r="U270" i="3" l="1"/>
  <c r="U272" i="3" s="1"/>
  <c r="T119" i="3"/>
  <c r="T120" i="3" s="1"/>
  <c r="J67" i="2"/>
  <c r="J69" i="2"/>
  <c r="N214" i="6" s="1"/>
  <c r="L54" i="2"/>
  <c r="S114" i="3"/>
  <c r="S118" i="3" s="1"/>
  <c r="S120" i="3"/>
  <c r="X166" i="2"/>
  <c r="L50" i="2"/>
  <c r="O237" i="3"/>
  <c r="O250" i="3"/>
  <c r="Y215" i="2"/>
  <c r="P53" i="4"/>
  <c r="P55" i="4" s="1"/>
  <c r="AJ4" i="3"/>
  <c r="AJ3" i="3" s="1"/>
  <c r="P2" i="3"/>
  <c r="O221" i="3"/>
  <c r="CM469" i="1"/>
  <c r="Z214" i="2"/>
  <c r="X290" i="2"/>
  <c r="Z185" i="2"/>
  <c r="Y23" i="2"/>
  <c r="Z182" i="2"/>
  <c r="AA25" i="2"/>
  <c r="Z160" i="2"/>
  <c r="Z156" i="2"/>
  <c r="Z153" i="2"/>
  <c r="CJ398" i="1"/>
  <c r="CN35" i="7"/>
  <c r="CJ188" i="1"/>
  <c r="CK397" i="1"/>
  <c r="CK398" i="1" s="1"/>
  <c r="CL385" i="1"/>
  <c r="CK196" i="1"/>
  <c r="CJ206" i="1"/>
  <c r="CL203" i="1"/>
  <c r="CL175" i="1"/>
  <c r="K9" i="10"/>
  <c r="K26" i="10" s="1"/>
  <c r="K27" i="10"/>
  <c r="M6" i="10"/>
  <c r="L7" i="10"/>
  <c r="AN4" i="10"/>
  <c r="AM27" i="10"/>
  <c r="AM26" i="10"/>
  <c r="BY29" i="1"/>
  <c r="Q307" i="2"/>
  <c r="Q308" i="2" s="1"/>
  <c r="Q313" i="2"/>
  <c r="CF216" i="1"/>
  <c r="CF217" i="1" s="1"/>
  <c r="CG189" i="1"/>
  <c r="CL47" i="7" s="1"/>
  <c r="CF128" i="1"/>
  <c r="CJ45" i="7"/>
  <c r="CJ41" i="7"/>
  <c r="CE217" i="1"/>
  <c r="L84" i="2"/>
  <c r="L40" i="2"/>
  <c r="L41" i="2" s="1"/>
  <c r="N176" i="2"/>
  <c r="M7" i="2"/>
  <c r="M10" i="2" s="1"/>
  <c r="M20" i="2" s="1"/>
  <c r="W191" i="2"/>
  <c r="X191" i="2" s="1"/>
  <c r="AD231" i="3"/>
  <c r="CG122" i="1"/>
  <c r="CL25" i="7" s="1"/>
  <c r="M9" i="4"/>
  <c r="N3" i="4"/>
  <c r="L55" i="4"/>
  <c r="BT298" i="1"/>
  <c r="BT299" i="1" s="1"/>
  <c r="BY300" i="1"/>
  <c r="N5" i="4"/>
  <c r="O5" i="4" s="1"/>
  <c r="BY490" i="1"/>
  <c r="AZ375" i="1"/>
  <c r="AZ312" i="1"/>
  <c r="AZ164" i="1"/>
  <c r="AZ113" i="1"/>
  <c r="AZ94" i="1"/>
  <c r="AZ67" i="1"/>
  <c r="AZ60" i="1"/>
  <c r="BE2" i="1"/>
  <c r="BE503" i="1" s="1"/>
  <c r="BT219" i="1"/>
  <c r="CG40" i="7" s="1"/>
  <c r="CG43" i="7"/>
  <c r="BE303" i="1"/>
  <c r="BE309" i="1"/>
  <c r="BE310" i="1" s="1"/>
  <c r="BF306" i="1"/>
  <c r="BF307" i="1" s="1"/>
  <c r="BJ302" i="1"/>
  <c r="BO304" i="1"/>
  <c r="BT500" i="1"/>
  <c r="BY499" i="1"/>
  <c r="V270" i="3" l="1"/>
  <c r="T114" i="3"/>
  <c r="T118" i="3" s="1"/>
  <c r="M54" i="2"/>
  <c r="Y166" i="2"/>
  <c r="M50" i="2"/>
  <c r="BY353" i="1"/>
  <c r="BY361" i="1"/>
  <c r="CD361" i="1" s="1"/>
  <c r="CE361" i="1" s="1"/>
  <c r="CF361" i="1" s="1"/>
  <c r="CG361" i="1" s="1"/>
  <c r="CH361" i="1" s="1"/>
  <c r="CI361" i="1" s="1"/>
  <c r="CJ361" i="1" s="1"/>
  <c r="CK361" i="1" s="1"/>
  <c r="CL361" i="1" s="1"/>
  <c r="CM361" i="1" s="1"/>
  <c r="BY331" i="1"/>
  <c r="P237" i="3"/>
  <c r="P250" i="3"/>
  <c r="Z215" i="2"/>
  <c r="Q53" i="4"/>
  <c r="Q55" i="4" s="1"/>
  <c r="AK4" i="3"/>
  <c r="Q2" i="3"/>
  <c r="P221" i="3"/>
  <c r="P5" i="4"/>
  <c r="N9" i="4"/>
  <c r="O3" i="4"/>
  <c r="BY357" i="1"/>
  <c r="BY336" i="1"/>
  <c r="BY349" i="1"/>
  <c r="BY341" i="1"/>
  <c r="BY345" i="1"/>
  <c r="CD345" i="1" s="1"/>
  <c r="CE345" i="1" s="1"/>
  <c r="CF345" i="1" s="1"/>
  <c r="CG345" i="1" s="1"/>
  <c r="CH345" i="1" s="1"/>
  <c r="CI345" i="1" s="1"/>
  <c r="CJ345" i="1" s="1"/>
  <c r="CK345" i="1" s="1"/>
  <c r="AA214" i="2"/>
  <c r="Y191" i="2"/>
  <c r="AA153" i="2"/>
  <c r="AA156" i="2"/>
  <c r="AA160" i="2"/>
  <c r="AA182" i="2"/>
  <c r="AA185" i="2"/>
  <c r="Z23" i="2"/>
  <c r="Y290" i="2"/>
  <c r="CL196" i="1"/>
  <c r="CL187" i="1" s="1"/>
  <c r="CK206" i="1"/>
  <c r="CM385" i="1"/>
  <c r="CL397" i="1"/>
  <c r="CL398" i="1" s="1"/>
  <c r="CM203" i="1"/>
  <c r="CM175" i="1"/>
  <c r="CK187" i="1"/>
  <c r="AO4" i="10"/>
  <c r="AN27" i="10"/>
  <c r="AN26" i="10"/>
  <c r="L9" i="10"/>
  <c r="L26" i="10" s="1"/>
  <c r="L27" i="10"/>
  <c r="N6" i="10"/>
  <c r="N7" i="10" s="1"/>
  <c r="M7" i="10"/>
  <c r="CK41" i="7"/>
  <c r="CH189" i="1"/>
  <c r="CM47" i="7" s="1"/>
  <c r="CG216" i="1"/>
  <c r="CL41" i="7" s="1"/>
  <c r="CG128" i="1"/>
  <c r="CK45" i="7"/>
  <c r="CH43" i="7"/>
  <c r="M84" i="2"/>
  <c r="M40" i="2"/>
  <c r="M41" i="2" s="1"/>
  <c r="O176" i="2"/>
  <c r="N7" i="2"/>
  <c r="N10" i="2" s="1"/>
  <c r="N20" i="2" s="1"/>
  <c r="BE375" i="1"/>
  <c r="BE113" i="1"/>
  <c r="BE312" i="1"/>
  <c r="BE164" i="1"/>
  <c r="BE60" i="1"/>
  <c r="BE94" i="1"/>
  <c r="BJ2" i="1"/>
  <c r="BJ503" i="1" s="1"/>
  <c r="BE67" i="1"/>
  <c r="AA18" i="3"/>
  <c r="AA227" i="3" s="1"/>
  <c r="CD300" i="1"/>
  <c r="BY298" i="1"/>
  <c r="BY299" i="1" s="1"/>
  <c r="CD499" i="1"/>
  <c r="AE231" i="3"/>
  <c r="CH122" i="1"/>
  <c r="CM25" i="7" s="1"/>
  <c r="M55" i="4"/>
  <c r="N55" i="4"/>
  <c r="BO302" i="1"/>
  <c r="BT304" i="1"/>
  <c r="BJ303" i="1"/>
  <c r="BJ309" i="1"/>
  <c r="BJ310" i="1" s="1"/>
  <c r="BK306" i="1"/>
  <c r="BK307" i="1" s="1"/>
  <c r="W270" i="3" l="1"/>
  <c r="W272" i="3" s="1"/>
  <c r="N54" i="2"/>
  <c r="Z166" i="2"/>
  <c r="N50" i="2"/>
  <c r="Q237" i="3"/>
  <c r="Q250" i="3"/>
  <c r="AK3" i="3"/>
  <c r="R2" i="3"/>
  <c r="Q221" i="3"/>
  <c r="AA215" i="2"/>
  <c r="R53" i="4"/>
  <c r="R55" i="4" s="1"/>
  <c r="Q5" i="4"/>
  <c r="O9" i="4"/>
  <c r="P3" i="4"/>
  <c r="Z290" i="2"/>
  <c r="AA23" i="2"/>
  <c r="Z191" i="2"/>
  <c r="CM397" i="1"/>
  <c r="CM398" i="1" s="1"/>
  <c r="CM196" i="1"/>
  <c r="CM206" i="1" s="1"/>
  <c r="CL206" i="1"/>
  <c r="CK188" i="1"/>
  <c r="CL188" i="1"/>
  <c r="CL345" i="1"/>
  <c r="M27" i="10"/>
  <c r="M9" i="10"/>
  <c r="M26" i="10" s="1"/>
  <c r="N27" i="10"/>
  <c r="N9" i="10"/>
  <c r="N26" i="10" s="1"/>
  <c r="AP4" i="10"/>
  <c r="AO27" i="10"/>
  <c r="AO26" i="10"/>
  <c r="CH216" i="1"/>
  <c r="CH217" i="1" s="1"/>
  <c r="CI189" i="1"/>
  <c r="CG217" i="1"/>
  <c r="CH128" i="1"/>
  <c r="CL45" i="7"/>
  <c r="AA112" i="3"/>
  <c r="H14" i="4"/>
  <c r="N84" i="2"/>
  <c r="N40" i="2"/>
  <c r="N41" i="2" s="1"/>
  <c r="P176" i="2"/>
  <c r="Q176" i="2" s="1"/>
  <c r="Q7" i="2" s="1"/>
  <c r="O7" i="2"/>
  <c r="O10" i="2" s="1"/>
  <c r="O20" i="2" s="1"/>
  <c r="BY304" i="1"/>
  <c r="BT302" i="1"/>
  <c r="CE499" i="1"/>
  <c r="BO309" i="1"/>
  <c r="BO310" i="1" s="1"/>
  <c r="BO303" i="1"/>
  <c r="BJ375" i="1"/>
  <c r="BJ312" i="1"/>
  <c r="BJ164" i="1"/>
  <c r="BJ113" i="1"/>
  <c r="BJ94" i="1"/>
  <c r="BJ67" i="1"/>
  <c r="BJ60" i="1"/>
  <c r="BO2" i="1"/>
  <c r="BO503" i="1" s="1"/>
  <c r="AF231" i="3"/>
  <c r="CI122" i="1"/>
  <c r="CD298" i="1"/>
  <c r="CD299" i="1" s="1"/>
  <c r="CE300" i="1"/>
  <c r="X270" i="3" l="1"/>
  <c r="X272" i="3" s="1"/>
  <c r="O54" i="2"/>
  <c r="AA166" i="2"/>
  <c r="O50" i="2"/>
  <c r="R237" i="3"/>
  <c r="R250" i="3"/>
  <c r="S2" i="3"/>
  <c r="R221" i="3"/>
  <c r="Q3" i="4"/>
  <c r="P9" i="4"/>
  <c r="R5" i="4"/>
  <c r="AA191" i="2"/>
  <c r="AA290" i="2"/>
  <c r="CM187" i="1"/>
  <c r="CM345" i="1"/>
  <c r="CN25" i="7"/>
  <c r="CJ122" i="1"/>
  <c r="AH231" i="3" s="1"/>
  <c r="CI216" i="1"/>
  <c r="CN41" i="7" s="1"/>
  <c r="CJ189" i="1"/>
  <c r="AQ4" i="10"/>
  <c r="AR4" i="10" s="1"/>
  <c r="AP27" i="10"/>
  <c r="AP26" i="10"/>
  <c r="CM41" i="7"/>
  <c r="Q9" i="2"/>
  <c r="CN47" i="7"/>
  <c r="CI128" i="1"/>
  <c r="CM45" i="7"/>
  <c r="O84" i="2"/>
  <c r="O40" i="2"/>
  <c r="O41" i="2" s="1"/>
  <c r="P7" i="2"/>
  <c r="P10" i="2" s="1"/>
  <c r="P20" i="2" s="1"/>
  <c r="BT309" i="1"/>
  <c r="BT310" i="1" s="1"/>
  <c r="BT303" i="1"/>
  <c r="AA22" i="3"/>
  <c r="AA264" i="3" s="1"/>
  <c r="BY474" i="1"/>
  <c r="CH11" i="7"/>
  <c r="H12" i="4"/>
  <c r="BO375" i="1"/>
  <c r="BO312" i="1"/>
  <c r="BO113" i="1"/>
  <c r="BO164" i="1"/>
  <c r="BO94" i="1"/>
  <c r="BT2" i="1"/>
  <c r="BT503" i="1" s="1"/>
  <c r="BO67" i="1"/>
  <c r="BO60" i="1"/>
  <c r="CD304" i="1"/>
  <c r="BY302" i="1"/>
  <c r="CE298" i="1"/>
  <c r="CE299" i="1" s="1"/>
  <c r="CF300" i="1"/>
  <c r="AG231" i="3"/>
  <c r="CF499" i="1"/>
  <c r="Y270" i="3" l="1"/>
  <c r="P54" i="2"/>
  <c r="P50" i="2"/>
  <c r="S237" i="3"/>
  <c r="S250" i="3"/>
  <c r="T2" i="3"/>
  <c r="S221" i="3"/>
  <c r="Q9" i="4"/>
  <c r="R3" i="4"/>
  <c r="R9" i="4" s="1"/>
  <c r="CI217" i="1"/>
  <c r="CN45" i="7"/>
  <c r="CJ128" i="1"/>
  <c r="CK128" i="1" s="1"/>
  <c r="CL128" i="1" s="1"/>
  <c r="CM128" i="1" s="1"/>
  <c r="CK189" i="1"/>
  <c r="CJ216" i="1"/>
  <c r="CK122" i="1"/>
  <c r="AI231" i="3" s="1"/>
  <c r="CM188" i="1"/>
  <c r="AR27" i="10"/>
  <c r="AR26" i="10"/>
  <c r="AQ27" i="10"/>
  <c r="AQ26" i="10"/>
  <c r="Q10" i="2"/>
  <c r="Q20" i="2" s="1"/>
  <c r="AA265" i="3"/>
  <c r="P84" i="2"/>
  <c r="P40" i="2"/>
  <c r="P41" i="2" s="1"/>
  <c r="R176" i="2"/>
  <c r="H8" i="5"/>
  <c r="CG499" i="1"/>
  <c r="CF298" i="1"/>
  <c r="CF299" i="1" s="1"/>
  <c r="CG300" i="1"/>
  <c r="BY309" i="1"/>
  <c r="BY310" i="1" s="1"/>
  <c r="BY303" i="1"/>
  <c r="BT375" i="1"/>
  <c r="BT312" i="1"/>
  <c r="BT164" i="1"/>
  <c r="BT113" i="1"/>
  <c r="BT67" i="1"/>
  <c r="BT60" i="1"/>
  <c r="BT94" i="1"/>
  <c r="BY2" i="1"/>
  <c r="BY503" i="1" s="1"/>
  <c r="CE304" i="1"/>
  <c r="CD302" i="1"/>
  <c r="Z270" i="3" l="1"/>
  <c r="Q54" i="2"/>
  <c r="Q275" i="2"/>
  <c r="Q50" i="2"/>
  <c r="Q52" i="2" s="1"/>
  <c r="T237" i="3"/>
  <c r="T250" i="3"/>
  <c r="U2" i="3"/>
  <c r="T221" i="3"/>
  <c r="CL189" i="1"/>
  <c r="CK216" i="1"/>
  <c r="CJ217" i="1"/>
  <c r="CL122" i="1"/>
  <c r="AJ231" i="3" s="1"/>
  <c r="Q84" i="2"/>
  <c r="BY164" i="1"/>
  <c r="BY67" i="1"/>
  <c r="BY113" i="1"/>
  <c r="BY60" i="1"/>
  <c r="BY94" i="1"/>
  <c r="S176" i="2"/>
  <c r="R7" i="2"/>
  <c r="BY375" i="1"/>
  <c r="BY312" i="1"/>
  <c r="CD2" i="1"/>
  <c r="CH300" i="1"/>
  <c r="CG298" i="1"/>
  <c r="CG299" i="1" s="1"/>
  <c r="CH499" i="1"/>
  <c r="CD309" i="1"/>
  <c r="CD310" i="1" s="1"/>
  <c r="CD303" i="1"/>
  <c r="CE302" i="1"/>
  <c r="CF304" i="1"/>
  <c r="CD41" i="1" a="1"/>
  <c r="R54" i="2" l="1"/>
  <c r="CD503" i="1"/>
  <c r="CD113" i="1"/>
  <c r="U237" i="3"/>
  <c r="U250" i="3"/>
  <c r="V2" i="3"/>
  <c r="U221" i="3"/>
  <c r="CD41" i="1"/>
  <c r="CM122" i="1"/>
  <c r="AK231" i="3" s="1"/>
  <c r="CK217" i="1"/>
  <c r="CM189" i="1"/>
  <c r="CM216" i="1" s="1"/>
  <c r="CL216" i="1"/>
  <c r="T176" i="2"/>
  <c r="CE309" i="1"/>
  <c r="CE310" i="1" s="1"/>
  <c r="CE303" i="1"/>
  <c r="CI499" i="1"/>
  <c r="CJ499" i="1" s="1"/>
  <c r="CD375" i="1"/>
  <c r="CD312" i="1"/>
  <c r="CD164" i="1"/>
  <c r="CD94" i="1"/>
  <c r="CD67" i="1"/>
  <c r="CD60" i="1"/>
  <c r="CE2" i="1"/>
  <c r="CE503" i="1" s="1"/>
  <c r="CG304" i="1"/>
  <c r="CF302" i="1"/>
  <c r="CI300" i="1"/>
  <c r="CH298" i="1"/>
  <c r="CH299" i="1" s="1"/>
  <c r="CE41" i="1" a="1"/>
  <c r="CD17" i="1" a="1"/>
  <c r="CD32" i="1" a="1"/>
  <c r="S54" i="2" l="1"/>
  <c r="V237" i="3"/>
  <c r="V250" i="3"/>
  <c r="CD17" i="1"/>
  <c r="CD32" i="1"/>
  <c r="CD43" i="1" s="1"/>
  <c r="W2" i="3"/>
  <c r="V221" i="3"/>
  <c r="CE41" i="1"/>
  <c r="CL217" i="1"/>
  <c r="CM217" i="1"/>
  <c r="CI298" i="1"/>
  <c r="CI299" i="1" s="1"/>
  <c r="CJ300" i="1"/>
  <c r="CK499" i="1"/>
  <c r="U176" i="2"/>
  <c r="CE375" i="1"/>
  <c r="CE164" i="1"/>
  <c r="CE312" i="1"/>
  <c r="CE113" i="1"/>
  <c r="CE94" i="1"/>
  <c r="CE67" i="1"/>
  <c r="CE60" i="1"/>
  <c r="CF2" i="1"/>
  <c r="CF503" i="1" s="1"/>
  <c r="CF309" i="1"/>
  <c r="CF310" i="1" s="1"/>
  <c r="CF303" i="1"/>
  <c r="CH304" i="1"/>
  <c r="CG302" i="1"/>
  <c r="CE17" i="1" a="1"/>
  <c r="CE32" i="1" a="1"/>
  <c r="T54" i="2" l="1"/>
  <c r="U54" i="2" s="1"/>
  <c r="V54" i="2" s="1"/>
  <c r="W54" i="2" s="1"/>
  <c r="X54" i="2" s="1"/>
  <c r="Y54" i="2" s="1"/>
  <c r="Z54" i="2" s="1"/>
  <c r="AA54" i="2" s="1"/>
  <c r="CE42" i="1"/>
  <c r="W237" i="3"/>
  <c r="W250" i="3"/>
  <c r="CE17" i="1"/>
  <c r="CE32" i="1"/>
  <c r="CE43" i="1" s="1"/>
  <c r="X2" i="3"/>
  <c r="W221" i="3"/>
  <c r="CK300" i="1"/>
  <c r="CJ298" i="1"/>
  <c r="CJ299" i="1" s="1"/>
  <c r="CL499" i="1"/>
  <c r="V176" i="2"/>
  <c r="CF375" i="1"/>
  <c r="CF312" i="1"/>
  <c r="CF113" i="1"/>
  <c r="CF164" i="1"/>
  <c r="CF94" i="1"/>
  <c r="CF67" i="1"/>
  <c r="CF60" i="1"/>
  <c r="CG2" i="1"/>
  <c r="CG503" i="1" s="1"/>
  <c r="CG309" i="1"/>
  <c r="CG310" i="1" s="1"/>
  <c r="CG303" i="1"/>
  <c r="CH302" i="1"/>
  <c r="CI304" i="1"/>
  <c r="CF32" i="1" a="1"/>
  <c r="CF41" i="1" a="1"/>
  <c r="CF17" i="1" a="1"/>
  <c r="X237" i="3" l="1"/>
  <c r="X250" i="3"/>
  <c r="CF32" i="1"/>
  <c r="CF41" i="1"/>
  <c r="CF17" i="1"/>
  <c r="Y2" i="3"/>
  <c r="X221" i="3"/>
  <c r="CI302" i="1"/>
  <c r="CI309" i="1" s="1"/>
  <c r="CJ304" i="1"/>
  <c r="CM499" i="1"/>
  <c r="CL300" i="1"/>
  <c r="CK298" i="1"/>
  <c r="CK299" i="1" s="1"/>
  <c r="W176" i="2"/>
  <c r="CH309" i="1"/>
  <c r="CH310" i="1" s="1"/>
  <c r="CH303" i="1"/>
  <c r="CG375" i="1"/>
  <c r="CG312" i="1"/>
  <c r="CG164" i="1"/>
  <c r="CG67" i="1"/>
  <c r="CG60" i="1"/>
  <c r="CH2" i="1"/>
  <c r="CH503" i="1" s="1"/>
  <c r="CG113" i="1"/>
  <c r="CG94" i="1"/>
  <c r="CG41" i="1" a="1"/>
  <c r="CG32" i="1" a="1"/>
  <c r="CG17" i="1" a="1"/>
  <c r="CF43" i="1" l="1"/>
  <c r="CF42" i="1"/>
  <c r="Y237" i="3"/>
  <c r="Y250" i="3"/>
  <c r="CG17" i="1"/>
  <c r="CG41" i="1"/>
  <c r="CG32" i="1"/>
  <c r="Z2" i="3"/>
  <c r="Y221" i="3"/>
  <c r="X176" i="2"/>
  <c r="CI303" i="1"/>
  <c r="CM300" i="1"/>
  <c r="CM298" i="1" s="1"/>
  <c r="CL298" i="1"/>
  <c r="CL299" i="1" s="1"/>
  <c r="CJ302" i="1"/>
  <c r="CK304" i="1"/>
  <c r="CI310" i="1"/>
  <c r="CH375" i="1"/>
  <c r="CH312" i="1"/>
  <c r="CH113" i="1"/>
  <c r="CH164" i="1"/>
  <c r="CH67" i="1"/>
  <c r="CH60" i="1"/>
  <c r="CI2" i="1"/>
  <c r="CI503" i="1" s="1"/>
  <c r="CH94" i="1"/>
  <c r="CH32" i="1" a="1"/>
  <c r="CH41" i="1" a="1"/>
  <c r="CH17" i="1" a="1"/>
  <c r="CG43" i="1" l="1"/>
  <c r="CG42" i="1"/>
  <c r="Z237" i="3"/>
  <c r="Z250" i="3"/>
  <c r="CH32" i="1"/>
  <c r="CH17" i="1"/>
  <c r="CH41" i="1"/>
  <c r="AA2" i="3"/>
  <c r="Z221" i="3"/>
  <c r="Y176" i="2"/>
  <c r="CJ2" i="1"/>
  <c r="CJ503" i="1" s="1"/>
  <c r="CL304" i="1"/>
  <c r="CK302" i="1"/>
  <c r="CJ309" i="1"/>
  <c r="CJ310" i="1" s="1"/>
  <c r="CJ303" i="1"/>
  <c r="CM299" i="1"/>
  <c r="CI375" i="1"/>
  <c r="CI113" i="1"/>
  <c r="CI164" i="1"/>
  <c r="CI312" i="1"/>
  <c r="CI60" i="1"/>
  <c r="CI94" i="1"/>
  <c r="CI67" i="1"/>
  <c r="CI32" i="1" a="1"/>
  <c r="CI17" i="1" a="1"/>
  <c r="CI41" i="1" a="1"/>
  <c r="CH43" i="1" l="1"/>
  <c r="CH42" i="1"/>
  <c r="AA237" i="3"/>
  <c r="AA250" i="3"/>
  <c r="CI41" i="1"/>
  <c r="CI17" i="1"/>
  <c r="CI32" i="1"/>
  <c r="AB2" i="3"/>
  <c r="AA221" i="3"/>
  <c r="Z176" i="2"/>
  <c r="CJ67" i="1"/>
  <c r="CJ375" i="1"/>
  <c r="CJ312" i="1"/>
  <c r="CJ60" i="1"/>
  <c r="CJ94" i="1"/>
  <c r="CJ164" i="1"/>
  <c r="CJ113" i="1"/>
  <c r="CK2" i="1"/>
  <c r="CK503" i="1" s="1"/>
  <c r="CK309" i="1"/>
  <c r="CK310" i="1" s="1"/>
  <c r="CK303" i="1"/>
  <c r="CM304" i="1"/>
  <c r="CM302" i="1" s="1"/>
  <c r="CL302" i="1"/>
  <c r="CJ41" i="1" a="1"/>
  <c r="CJ17" i="1" a="1"/>
  <c r="CJ32" i="1" a="1"/>
  <c r="CI42" i="1" l="1"/>
  <c r="CI43" i="1"/>
  <c r="AB237" i="3"/>
  <c r="AB250" i="3"/>
  <c r="CJ17" i="1"/>
  <c r="CJ41" i="1"/>
  <c r="CJ32" i="1"/>
  <c r="AC2" i="3"/>
  <c r="AB221" i="3"/>
  <c r="AA176" i="2"/>
  <c r="CK94" i="1"/>
  <c r="CK375" i="1"/>
  <c r="CL2" i="1"/>
  <c r="CK164" i="1"/>
  <c r="CK113" i="1"/>
  <c r="CK312" i="1"/>
  <c r="CK60" i="1"/>
  <c r="CK67" i="1"/>
  <c r="CL309" i="1"/>
  <c r="CL310" i="1" s="1"/>
  <c r="CL303" i="1"/>
  <c r="CM309" i="1"/>
  <c r="CM303" i="1"/>
  <c r="CL32" i="1" a="1"/>
  <c r="CK41" i="1" a="1"/>
  <c r="CK32" i="1" a="1"/>
  <c r="CK17" i="1" a="1"/>
  <c r="CJ42" i="1" l="1"/>
  <c r="CJ43" i="1"/>
  <c r="AC237" i="3"/>
  <c r="AC250" i="3"/>
  <c r="CK17" i="1"/>
  <c r="CK32" i="1"/>
  <c r="CK41" i="1"/>
  <c r="AD2" i="3"/>
  <c r="AC221" i="3"/>
  <c r="CL375" i="1"/>
  <c r="CL503" i="1"/>
  <c r="CL312" i="1"/>
  <c r="CL60" i="1"/>
  <c r="CM2" i="1"/>
  <c r="CL94" i="1"/>
  <c r="CL164" i="1"/>
  <c r="CL67" i="1"/>
  <c r="CL113" i="1"/>
  <c r="CL32" i="1"/>
  <c r="CM310" i="1"/>
  <c r="CL41" i="1" a="1"/>
  <c r="CL17" i="1" a="1"/>
  <c r="CM41" i="1" a="1"/>
  <c r="CK43" i="1" l="1"/>
  <c r="CK42" i="1"/>
  <c r="AD237" i="3"/>
  <c r="AD250" i="3"/>
  <c r="CL41" i="1"/>
  <c r="CL17" i="1"/>
  <c r="AE2" i="3"/>
  <c r="AD221" i="3"/>
  <c r="CM164" i="1"/>
  <c r="CM503" i="1"/>
  <c r="CM94" i="1"/>
  <c r="CM375" i="1"/>
  <c r="CM312" i="1"/>
  <c r="CM113" i="1"/>
  <c r="CM60" i="1"/>
  <c r="CM41" i="1"/>
  <c r="CM67" i="1"/>
  <c r="CM17" i="1" a="1"/>
  <c r="CM32" i="1" a="1"/>
  <c r="AE237" i="3" l="1"/>
  <c r="AE250" i="3"/>
  <c r="CM32" i="1"/>
  <c r="CM17" i="1"/>
  <c r="AF2" i="3"/>
  <c r="AE221" i="3"/>
  <c r="AF237" i="3" l="1"/>
  <c r="AF250" i="3"/>
  <c r="AG2" i="3"/>
  <c r="AF221" i="3"/>
  <c r="BS326" i="1"/>
  <c r="BX328" i="1" s="1"/>
  <c r="BS324" i="1"/>
  <c r="AG237" i="3" l="1"/>
  <c r="AG250" i="3"/>
  <c r="AG221" i="3"/>
  <c r="AH2" i="3"/>
  <c r="BS327" i="1"/>
  <c r="AH237" i="3" l="1"/>
  <c r="AH250" i="3"/>
  <c r="AH221" i="3"/>
  <c r="AI2" i="3"/>
  <c r="BW325" i="1"/>
  <c r="BR326" i="1"/>
  <c r="BR324" i="1"/>
  <c r="AI237" i="3" l="1"/>
  <c r="AI250" i="3"/>
  <c r="AJ2" i="3"/>
  <c r="AI221" i="3"/>
  <c r="BW328" i="1"/>
  <c r="BR327" i="1"/>
  <c r="AJ237" i="3" l="1"/>
  <c r="AJ250" i="3"/>
  <c r="AK2" i="3"/>
  <c r="AJ221" i="3"/>
  <c r="AE416" i="1"/>
  <c r="AD416" i="1"/>
  <c r="AC416" i="1"/>
  <c r="AK237" i="3" l="1"/>
  <c r="AK250" i="3"/>
  <c r="AK221" i="3"/>
  <c r="AL2" i="3"/>
  <c r="AC13" i="1"/>
  <c r="AD13" i="1"/>
  <c r="AE13" i="1"/>
  <c r="BM9" i="7"/>
  <c r="BM21" i="7" s="1"/>
  <c r="BW445" i="1"/>
  <c r="BW429" i="1"/>
  <c r="BW435" i="1"/>
  <c r="BD7" i="7"/>
  <c r="BQ420" i="1"/>
  <c r="BL489" i="1"/>
  <c r="BL29" i="1" s="1"/>
  <c r="BL336" i="1" s="1"/>
  <c r="BL474" i="1"/>
  <c r="BL421" i="1"/>
  <c r="BM474" i="1"/>
  <c r="BR420" i="1"/>
  <c r="BE7" i="7"/>
  <c r="BM420" i="1"/>
  <c r="BM489" i="1"/>
  <c r="BM29" i="1" s="1"/>
  <c r="BM336" i="1" s="1"/>
  <c r="BM421" i="1"/>
  <c r="BP420" i="1"/>
  <c r="BC7" i="7"/>
  <c r="BK474" i="1"/>
  <c r="BK420" i="1"/>
  <c r="BO419" i="1"/>
  <c r="O166" i="2" s="1"/>
  <c r="BK489" i="1"/>
  <c r="BK29" i="1" s="1"/>
  <c r="BK336" i="1" s="1"/>
  <c r="BK421" i="1"/>
  <c r="BS420" i="1"/>
  <c r="BF7" i="7"/>
  <c r="BN489" i="1"/>
  <c r="BN29" i="1" s="1"/>
  <c r="BN336" i="1" s="1"/>
  <c r="BN474" i="1"/>
  <c r="BN420" i="1"/>
  <c r="BN421" i="1"/>
  <c r="AL237" i="3" l="1"/>
  <c r="AL250" i="3"/>
  <c r="AM2" i="3"/>
  <c r="AL221" i="3"/>
  <c r="BT516" i="1"/>
  <c r="BN345" i="1"/>
  <c r="BN341" i="1"/>
  <c r="BN357" i="1"/>
  <c r="BN349" i="1"/>
  <c r="BL345" i="1"/>
  <c r="BL357" i="1"/>
  <c r="BL349" i="1"/>
  <c r="BL341" i="1"/>
  <c r="BM349" i="1"/>
  <c r="BM341" i="1"/>
  <c r="BM357" i="1"/>
  <c r="BM345" i="1"/>
  <c r="BB474" i="1"/>
  <c r="BB489" i="1"/>
  <c r="AV7" i="7"/>
  <c r="BB421" i="1"/>
  <c r="AW7" i="7"/>
  <c r="BC489" i="1"/>
  <c r="BC474" i="1"/>
  <c r="BC421" i="1"/>
  <c r="BK30" i="1"/>
  <c r="BP490" i="1"/>
  <c r="BR490" i="1"/>
  <c r="BM30" i="1"/>
  <c r="BL9" i="7"/>
  <c r="BL21" i="7" s="1"/>
  <c r="BV435" i="1"/>
  <c r="BV429" i="1"/>
  <c r="BV445" i="1"/>
  <c r="BO30" i="1"/>
  <c r="BO474" i="1"/>
  <c r="BT420" i="1"/>
  <c r="O153" i="2"/>
  <c r="O136" i="2"/>
  <c r="O156" i="2"/>
  <c r="O163" i="2"/>
  <c r="O173" i="2"/>
  <c r="CF7" i="7"/>
  <c r="F3" i="5"/>
  <c r="O74" i="2"/>
  <c r="O100" i="2"/>
  <c r="BO489" i="1"/>
  <c r="O160" i="2"/>
  <c r="O192" i="2"/>
  <c r="O76" i="2"/>
  <c r="BO421" i="1"/>
  <c r="AZ7" i="7"/>
  <c r="BG420" i="1"/>
  <c r="BG474" i="1"/>
  <c r="BG489" i="1"/>
  <c r="BL490" i="1" s="1"/>
  <c r="BG421" i="1"/>
  <c r="BN30" i="1"/>
  <c r="BS490" i="1"/>
  <c r="BL420" i="1"/>
  <c r="BH474" i="1"/>
  <c r="BA7" i="7"/>
  <c r="BH489" i="1"/>
  <c r="BM490" i="1" s="1"/>
  <c r="BH420" i="1"/>
  <c r="BH421" i="1"/>
  <c r="BD489" i="1"/>
  <c r="BD474" i="1"/>
  <c r="AX7" i="7"/>
  <c r="BD421" i="1"/>
  <c r="BQ490" i="1"/>
  <c r="BL30" i="1"/>
  <c r="AY7" i="7"/>
  <c r="BF474" i="1"/>
  <c r="BF489" i="1"/>
  <c r="BK490" i="1" s="1"/>
  <c r="BJ419" i="1"/>
  <c r="N166" i="2" s="1"/>
  <c r="BF421" i="1"/>
  <c r="N76" i="2"/>
  <c r="BI474" i="1"/>
  <c r="BI420" i="1"/>
  <c r="BB7" i="7"/>
  <c r="BI489" i="1"/>
  <c r="BN490" i="1" s="1"/>
  <c r="BI421" i="1"/>
  <c r="AM237" i="3" l="1"/>
  <c r="AM250" i="3"/>
  <c r="AN2" i="3"/>
  <c r="AN250" i="3" s="1"/>
  <c r="AM221" i="3"/>
  <c r="BO516" i="1"/>
  <c r="BO420" i="1"/>
  <c r="BQ31" i="1"/>
  <c r="BL39" i="1"/>
  <c r="BL50" i="1"/>
  <c r="BD29" i="1"/>
  <c r="BD336" i="1" s="1"/>
  <c r="BD30" i="1"/>
  <c r="BS31" i="1"/>
  <c r="BN39" i="1"/>
  <c r="BN50" i="1"/>
  <c r="BT490" i="1"/>
  <c r="BO29" i="1"/>
  <c r="BO336" i="1" s="1"/>
  <c r="O300" i="2"/>
  <c r="O313" i="2"/>
  <c r="BI490" i="1"/>
  <c r="BI30" i="1"/>
  <c r="BI29" i="1"/>
  <c r="BI336" i="1" s="1"/>
  <c r="BG29" i="1"/>
  <c r="BG336" i="1" s="1"/>
  <c r="BG490" i="1"/>
  <c r="BG30" i="1"/>
  <c r="BK327" i="1"/>
  <c r="BK324" i="1"/>
  <c r="BK341" i="1"/>
  <c r="BK357" i="1"/>
  <c r="BK349" i="1"/>
  <c r="BK345" i="1"/>
  <c r="BF29" i="1"/>
  <c r="BF336" i="1" s="1"/>
  <c r="BF30" i="1"/>
  <c r="BK31" i="1" s="1"/>
  <c r="BP31" i="1"/>
  <c r="BK50" i="1"/>
  <c r="BK39" i="1"/>
  <c r="BB30" i="1"/>
  <c r="BB29" i="1"/>
  <c r="BB336" i="1" s="1"/>
  <c r="BH490" i="1"/>
  <c r="BH29" i="1"/>
  <c r="BH336" i="1" s="1"/>
  <c r="BH30" i="1"/>
  <c r="BM31" i="1" s="1"/>
  <c r="CE7" i="7"/>
  <c r="N173" i="2"/>
  <c r="N192" i="2"/>
  <c r="N163" i="2"/>
  <c r="N160" i="2"/>
  <c r="N156" i="2"/>
  <c r="N153" i="2"/>
  <c r="N136" i="2"/>
  <c r="BJ489" i="1"/>
  <c r="BO490" i="1" s="1"/>
  <c r="BJ474" i="1"/>
  <c r="E3" i="5"/>
  <c r="BJ30" i="1"/>
  <c r="N74" i="2"/>
  <c r="BJ421" i="1"/>
  <c r="N100" i="2"/>
  <c r="BV446" i="1"/>
  <c r="BC30" i="1"/>
  <c r="BC29" i="1"/>
  <c r="BC336" i="1" s="1"/>
  <c r="BT31" i="1"/>
  <c r="BO50" i="1"/>
  <c r="BO39" i="1"/>
  <c r="BR31" i="1"/>
  <c r="BM39" i="1"/>
  <c r="BM50" i="1"/>
  <c r="AN221" i="3" l="1"/>
  <c r="AN237" i="3"/>
  <c r="BH349" i="1"/>
  <c r="BH341" i="1"/>
  <c r="BH345" i="1"/>
  <c r="BH357" i="1"/>
  <c r="BH324" i="1"/>
  <c r="BH327" i="1"/>
  <c r="BB327" i="1"/>
  <c r="BB324" i="1"/>
  <c r="BB349" i="1"/>
  <c r="BB341" i="1"/>
  <c r="BB357" i="1"/>
  <c r="BB345" i="1"/>
  <c r="BI31" i="1"/>
  <c r="BI39" i="1"/>
  <c r="BI50" i="1"/>
  <c r="BN31" i="1"/>
  <c r="BD39" i="1"/>
  <c r="BD50" i="1"/>
  <c r="BJ50" i="1"/>
  <c r="BJ39" i="1"/>
  <c r="BD357" i="1"/>
  <c r="BD345" i="1"/>
  <c r="BD324" i="1"/>
  <c r="BD327" i="1"/>
  <c r="BD349" i="1"/>
  <c r="BD341" i="1"/>
  <c r="BB50" i="1"/>
  <c r="BB39" i="1"/>
  <c r="BG31" i="1"/>
  <c r="BG50" i="1"/>
  <c r="BG39" i="1"/>
  <c r="BC50" i="1"/>
  <c r="BC39" i="1"/>
  <c r="BJ29" i="1"/>
  <c r="BJ336" i="1" s="1"/>
  <c r="N300" i="2"/>
  <c r="N313" i="2"/>
  <c r="BF39" i="1"/>
  <c r="BF50" i="1"/>
  <c r="BL31" i="1"/>
  <c r="BO31" i="1"/>
  <c r="BF327" i="1"/>
  <c r="BF349" i="1"/>
  <c r="BF345" i="1"/>
  <c r="BF341" i="1"/>
  <c r="BF324" i="1"/>
  <c r="BF357" i="1"/>
  <c r="BG327" i="1"/>
  <c r="BG324" i="1"/>
  <c r="BG341" i="1"/>
  <c r="BG357" i="1"/>
  <c r="BG349" i="1"/>
  <c r="BG345" i="1"/>
  <c r="BO357" i="1"/>
  <c r="BO349" i="1"/>
  <c r="BO341" i="1"/>
  <c r="BO345" i="1"/>
  <c r="Y18" i="3"/>
  <c r="Y227" i="3" s="1"/>
  <c r="BC327" i="1"/>
  <c r="BC341" i="1"/>
  <c r="BC357" i="1"/>
  <c r="BC349" i="1"/>
  <c r="BC345" i="1"/>
  <c r="BC324" i="1"/>
  <c r="BH31" i="1"/>
  <c r="BH50" i="1"/>
  <c r="BH39" i="1"/>
  <c r="BI327" i="1"/>
  <c r="BI349" i="1"/>
  <c r="BI324" i="1"/>
  <c r="BI341" i="1"/>
  <c r="BI345" i="1"/>
  <c r="BI357" i="1"/>
  <c r="X18" i="3" l="1"/>
  <c r="X227" i="3" s="1"/>
  <c r="BJ327" i="1"/>
  <c r="BJ349" i="1"/>
  <c r="BJ345" i="1"/>
  <c r="BJ357" i="1"/>
  <c r="BJ324" i="1"/>
  <c r="BJ341" i="1"/>
  <c r="BU435" i="1" l="1"/>
  <c r="BK9" i="7"/>
  <c r="BK21" i="7" s="1"/>
  <c r="BW427" i="1"/>
  <c r="BU429" i="1"/>
  <c r="BU445" i="1"/>
  <c r="BU446" i="1" l="1"/>
  <c r="BS429" i="1"/>
  <c r="BJ9" i="7"/>
  <c r="BJ21" i="7" s="1"/>
  <c r="BS436" i="1"/>
  <c r="BS493" i="1" s="1"/>
  <c r="BS435" i="1"/>
  <c r="BT439" i="1" l="1"/>
  <c r="P278" i="2" l="1"/>
  <c r="P317" i="2"/>
  <c r="P105" i="2" s="1"/>
  <c r="BH9" i="7"/>
  <c r="BH21" i="7" s="1"/>
  <c r="BQ429" i="1"/>
  <c r="BQ435" i="1"/>
  <c r="BQ436" i="1"/>
  <c r="BQ493" i="1" s="1"/>
  <c r="BV431" i="1"/>
  <c r="BR429" i="1"/>
  <c r="BR435" i="1"/>
  <c r="BI9" i="7"/>
  <c r="BI21" i="7" s="1"/>
  <c r="BR436" i="1"/>
  <c r="BR493" i="1" s="1"/>
  <c r="BW431" i="1"/>
  <c r="Z21" i="3" l="1"/>
  <c r="P106" i="2"/>
  <c r="P110" i="2" s="1"/>
  <c r="P109" i="2"/>
  <c r="BT430" i="1" l="1"/>
  <c r="BY431" i="1" s="1"/>
  <c r="BG9" i="7"/>
  <c r="BG21" i="7" s="1"/>
  <c r="BP429" i="1"/>
  <c r="BR427" i="1"/>
  <c r="BP435" i="1"/>
  <c r="BP436" i="1"/>
  <c r="BP493" i="1" s="1"/>
  <c r="BU431" i="1"/>
  <c r="BJ439" i="1"/>
  <c r="BO439" i="1" l="1"/>
  <c r="BF9" i="7"/>
  <c r="BF21" i="7" s="1"/>
  <c r="BN429" i="1"/>
  <c r="BN435" i="1"/>
  <c r="BN436" i="1"/>
  <c r="BN493" i="1" s="1"/>
  <c r="BS431" i="1"/>
  <c r="AA21" i="3"/>
  <c r="S109" i="2"/>
  <c r="N278" i="2"/>
  <c r="BT479" i="1"/>
  <c r="BT436" i="1"/>
  <c r="BT435" i="1"/>
  <c r="CG9" i="7"/>
  <c r="BT429" i="1"/>
  <c r="G4" i="5"/>
  <c r="G10" i="4"/>
  <c r="P303" i="2"/>
  <c r="Q305" i="2" s="1"/>
  <c r="P265" i="2"/>
  <c r="P252" i="2"/>
  <c r="O278" i="2" l="1"/>
  <c r="O317" i="2"/>
  <c r="O105" i="2" s="1"/>
  <c r="Y21" i="3" s="1"/>
  <c r="Y259" i="3" s="1"/>
  <c r="Y260" i="3" s="1"/>
  <c r="Y261" i="3" s="1"/>
  <c r="Y262" i="3" s="1"/>
  <c r="P55" i="2"/>
  <c r="P304" i="2"/>
  <c r="BT493" i="1"/>
  <c r="P307" i="2"/>
  <c r="P308" i="2" s="1"/>
  <c r="Q309" i="2" s="1"/>
  <c r="T109" i="2"/>
  <c r="U109" i="2" l="1"/>
  <c r="CH12" i="7"/>
  <c r="Y267" i="3"/>
  <c r="Y272" i="3"/>
  <c r="BE9" i="7" l="1"/>
  <c r="BE21" i="7" s="1"/>
  <c r="BM436" i="1"/>
  <c r="BM493" i="1" s="1"/>
  <c r="BM429" i="1"/>
  <c r="BM435" i="1"/>
  <c r="BR431" i="1"/>
  <c r="AB21" i="3"/>
  <c r="R278" i="2"/>
  <c r="V109" i="2"/>
  <c r="W109" i="2" l="1"/>
  <c r="X109" i="2" s="1"/>
  <c r="S104" i="2"/>
  <c r="R14" i="2"/>
  <c r="H4" i="5"/>
  <c r="BY479" i="1"/>
  <c r="BY480" i="1" s="1"/>
  <c r="H10" i="4"/>
  <c r="Y109" i="2" l="1"/>
  <c r="BD9" i="7"/>
  <c r="BD21" i="7" s="1"/>
  <c r="BL436" i="1"/>
  <c r="BL493" i="1" s="1"/>
  <c r="BL429" i="1"/>
  <c r="BL435" i="1"/>
  <c r="BQ431" i="1"/>
  <c r="AA19" i="3"/>
  <c r="S105" i="2"/>
  <c r="S317" i="2" s="1"/>
  <c r="Z109" i="2" l="1"/>
  <c r="BC9" i="7"/>
  <c r="BC21" i="7" s="1"/>
  <c r="BK429" i="1"/>
  <c r="BO430" i="1"/>
  <c r="BK435" i="1"/>
  <c r="BK436" i="1"/>
  <c r="BK493" i="1" s="1"/>
  <c r="BP431" i="1"/>
  <c r="H5" i="5"/>
  <c r="H4" i="4"/>
  <c r="H6" i="4" s="1"/>
  <c r="H11" i="4" s="1"/>
  <c r="H15" i="4" s="1"/>
  <c r="AC21" i="3"/>
  <c r="CE439" i="1"/>
  <c r="S278" i="2" s="1"/>
  <c r="AA258" i="3"/>
  <c r="AA23" i="3"/>
  <c r="AA228" i="3"/>
  <c r="AA109" i="2" l="1"/>
  <c r="H20" i="4"/>
  <c r="AA229" i="3"/>
  <c r="AA109" i="3"/>
  <c r="AA24" i="3"/>
  <c r="AA230" i="3" s="1"/>
  <c r="F10" i="4"/>
  <c r="BO479" i="1"/>
  <c r="BO429" i="1"/>
  <c r="O303" i="2"/>
  <c r="F4" i="5"/>
  <c r="CF9" i="7"/>
  <c r="BO435" i="1"/>
  <c r="O265" i="2"/>
  <c r="O252" i="2"/>
  <c r="BO436" i="1"/>
  <c r="BT431" i="1"/>
  <c r="BT480" i="1" l="1"/>
  <c r="O307" i="2"/>
  <c r="O308" i="2" s="1"/>
  <c r="P305" i="2"/>
  <c r="O55" i="2"/>
  <c r="O304" i="2"/>
  <c r="BO493" i="1"/>
  <c r="P309" i="2" l="1"/>
  <c r="BB9" i="7"/>
  <c r="BB21" i="7" s="1"/>
  <c r="BI429" i="1"/>
  <c r="BI435" i="1"/>
  <c r="BI436" i="1"/>
  <c r="BN431" i="1"/>
  <c r="BA9" i="7" l="1"/>
  <c r="BA21" i="7" s="1"/>
  <c r="BH429" i="1"/>
  <c r="BH435" i="1"/>
  <c r="BH444" i="1"/>
  <c r="BH445" i="1" s="1"/>
  <c r="BH436" i="1"/>
  <c r="BM431" i="1"/>
  <c r="BH446" i="1" l="1"/>
  <c r="BG435" i="1" l="1"/>
  <c r="BG444" i="1"/>
  <c r="BG445" i="1" s="1"/>
  <c r="AZ9" i="7"/>
  <c r="AZ21" i="7" s="1"/>
  <c r="BG436" i="1"/>
  <c r="BG493" i="1" s="1"/>
  <c r="BG429" i="1"/>
  <c r="BL431" i="1"/>
  <c r="AY9" i="7" l="1"/>
  <c r="AY21" i="7" s="1"/>
  <c r="BF429" i="1"/>
  <c r="BF435" i="1"/>
  <c r="BF431" i="1"/>
  <c r="BF444" i="1"/>
  <c r="BF445" i="1" s="1"/>
  <c r="BJ430" i="1"/>
  <c r="BF436" i="1"/>
  <c r="BF493" i="1" s="1"/>
  <c r="BK431" i="1"/>
  <c r="BG446" i="1"/>
  <c r="BJ429" i="1" l="1"/>
  <c r="E10" i="4"/>
  <c r="CE9" i="7"/>
  <c r="E4" i="5"/>
  <c r="N303" i="2"/>
  <c r="N265" i="2"/>
  <c r="BJ479" i="1"/>
  <c r="BO480" i="1" s="1"/>
  <c r="BJ435" i="1"/>
  <c r="N252" i="2"/>
  <c r="BJ436" i="1"/>
  <c r="BO431" i="1"/>
  <c r="BF446" i="1"/>
  <c r="N307" i="2" l="1"/>
  <c r="N308" i="2" s="1"/>
  <c r="O305" i="2"/>
  <c r="N304" i="2"/>
  <c r="BJ493" i="1"/>
  <c r="N55" i="2"/>
  <c r="O309" i="2" l="1"/>
  <c r="BC429" i="1" l="1"/>
  <c r="BC444" i="1"/>
  <c r="BC435" i="1"/>
  <c r="AW9" i="7"/>
  <c r="AW21" i="7" s="1"/>
  <c r="BC436" i="1"/>
  <c r="BC493" i="1" s="1"/>
  <c r="BH431" i="1"/>
  <c r="BC446" i="1" l="1"/>
  <c r="BC445" i="1"/>
  <c r="AV9" i="7"/>
  <c r="AV21" i="7" s="1"/>
  <c r="BB444" i="1"/>
  <c r="BB435" i="1"/>
  <c r="BB429" i="1"/>
  <c r="BB436" i="1"/>
  <c r="BB493" i="1" s="1"/>
  <c r="BG431" i="1"/>
  <c r="BB446" i="1" l="1"/>
  <c r="BB445" i="1"/>
  <c r="AY429" i="1"/>
  <c r="AT9" i="7"/>
  <c r="AT21" i="7" s="1"/>
  <c r="AY444" i="1"/>
  <c r="AY436" i="1"/>
  <c r="AX436" i="1" l="1"/>
  <c r="AS9" i="7"/>
  <c r="AS21" i="7" s="1"/>
  <c r="AX429" i="1"/>
  <c r="BC431" i="1"/>
  <c r="AZ439" i="1"/>
  <c r="L317" i="2" l="1"/>
  <c r="L278" i="2"/>
  <c r="L105" i="2" l="1"/>
  <c r="V21" i="3" s="1"/>
  <c r="AR9" i="7" l="1"/>
  <c r="AR21" i="7" s="1"/>
  <c r="AW444" i="1"/>
  <c r="AW436" i="1"/>
  <c r="AW429" i="1"/>
  <c r="BB431" i="1"/>
  <c r="AQ9" i="7"/>
  <c r="AQ21" i="7" s="1"/>
  <c r="AV429" i="1"/>
  <c r="Y72" i="6"/>
  <c r="Y73" i="6" s="1"/>
  <c r="AV436" i="1"/>
  <c r="Y63" i="6" s="1"/>
  <c r="AV444" i="1"/>
  <c r="BA431" i="1"/>
  <c r="AZ430" i="1"/>
  <c r="AZ429" i="1" l="1"/>
  <c r="L303" i="2"/>
  <c r="L265" i="2"/>
  <c r="AZ479" i="1"/>
  <c r="C10" i="4"/>
  <c r="CC9" i="7"/>
  <c r="C4" i="5"/>
  <c r="L252" i="2"/>
  <c r="AZ436" i="1"/>
  <c r="AZ493" i="1" l="1"/>
  <c r="L304" i="2"/>
  <c r="L55" i="2"/>
  <c r="L269" i="2" l="1"/>
  <c r="L79" i="2"/>
  <c r="L196" i="2" s="1"/>
  <c r="AA20" i="3" l="1"/>
  <c r="AA259" i="3" l="1"/>
  <c r="AA260" i="3" s="1"/>
  <c r="AA261" i="3" s="1"/>
  <c r="AA262" i="3" s="1"/>
  <c r="AA267" i="3" s="1"/>
  <c r="AA33" i="3"/>
  <c r="AA270" i="3" l="1"/>
  <c r="AA272" i="3" s="1"/>
  <c r="R277" i="2" l="1"/>
  <c r="R266" i="2"/>
  <c r="R126" i="2" l="1"/>
  <c r="R56" i="2" s="1"/>
  <c r="H14" i="5" l="1"/>
  <c r="R253" i="2"/>
  <c r="AB28" i="3"/>
  <c r="AB110" i="3" s="1"/>
  <c r="Q36" i="2" l="1"/>
  <c r="Q37" i="2" s="1"/>
  <c r="Q39" i="2" l="1"/>
  <c r="Q40" i="2" s="1"/>
  <c r="Q41" i="2" s="1"/>
  <c r="AA27" i="3"/>
  <c r="CH38" i="7" l="1"/>
  <c r="AA11" i="3" l="1"/>
  <c r="BJ466" i="1" l="1"/>
  <c r="X13" i="3" l="1"/>
  <c r="N256" i="2"/>
  <c r="N61" i="2" l="1"/>
  <c r="N223" i="2"/>
  <c r="Q228" i="6"/>
  <c r="X116" i="3" l="1"/>
  <c r="BE466" i="1" l="1"/>
  <c r="Q213" i="6" l="1"/>
  <c r="M256" i="2"/>
  <c r="W13" i="3"/>
  <c r="AY467" i="1"/>
  <c r="M61" i="2" l="1"/>
  <c r="M223" i="2"/>
  <c r="M221" i="2" s="1"/>
  <c r="P228" i="6"/>
  <c r="W116" i="3" l="1"/>
  <c r="AX425" i="1" l="1"/>
  <c r="AZ425" i="1" l="1"/>
  <c r="AX369" i="1"/>
  <c r="AZ369" i="1" l="1"/>
  <c r="BO276" i="1" l="1"/>
  <c r="BO279" i="1" s="1"/>
  <c r="BT276" i="1" l="1"/>
  <c r="BT279" i="1" s="1"/>
  <c r="CD277" i="1" l="1"/>
  <c r="CE277" i="1" l="1"/>
  <c r="CF277" i="1" l="1"/>
  <c r="CG277" i="1" l="1"/>
  <c r="CH277" i="1" l="1"/>
  <c r="CJ277" i="1"/>
  <c r="CI277" i="1" l="1"/>
  <c r="AB11" i="3" l="1"/>
  <c r="CA325" i="1" l="1"/>
  <c r="BV326" i="1" l="1"/>
  <c r="CA328" i="1" s="1"/>
  <c r="BY323" i="1"/>
  <c r="CD325" i="1" s="1"/>
  <c r="BV324" i="1"/>
  <c r="BY324" i="1" l="1"/>
  <c r="BY326" i="1"/>
  <c r="CD328" i="1" s="1"/>
  <c r="BV327" i="1"/>
  <c r="BY327" i="1" l="1"/>
  <c r="CA450" i="1" l="1"/>
  <c r="BV450" i="1"/>
  <c r="BU450" i="1" l="1"/>
  <c r="CA408" i="1" l="1"/>
  <c r="CA381" i="1" l="1"/>
  <c r="CA151" i="1"/>
  <c r="CA155" i="1" s="1"/>
  <c r="CA380" i="1"/>
  <c r="CA140" i="1"/>
  <c r="CA144" i="1" s="1"/>
  <c r="CA394" i="1"/>
  <c r="CA397" i="1" s="1"/>
  <c r="CA398" i="1" s="1"/>
  <c r="CA413" i="1"/>
  <c r="CA467" i="1"/>
  <c r="CA10" i="1" l="1"/>
  <c r="BP74" i="7"/>
  <c r="CA274" i="1"/>
  <c r="CA416" i="1"/>
  <c r="CA522" i="1" s="1"/>
  <c r="CA376" i="1"/>
  <c r="CA221" i="1"/>
  <c r="CA455" i="1"/>
  <c r="CA457" i="1"/>
  <c r="CA421" i="1"/>
  <c r="CA288" i="1"/>
  <c r="CA321" i="1" s="1"/>
  <c r="BZ450" i="1"/>
  <c r="CA459" i="1" l="1"/>
  <c r="CA464" i="1" s="1"/>
  <c r="BP10" i="7"/>
  <c r="BP22" i="7" s="1"/>
  <c r="BP8" i="7"/>
  <c r="CA13" i="1"/>
  <c r="CA15" i="1" s="1"/>
  <c r="CA519" i="1"/>
  <c r="CA520" i="1"/>
  <c r="CA521" i="1"/>
  <c r="CA382" i="1"/>
  <c r="BP16" i="7" s="1"/>
  <c r="BP19" i="7"/>
  <c r="BP20" i="7"/>
  <c r="CA436" i="1"/>
  <c r="CA493" i="1" s="1"/>
  <c r="CA225" i="1"/>
  <c r="CA226" i="1" s="1"/>
  <c r="BZ408" i="1"/>
  <c r="CD408" i="1" l="1"/>
  <c r="BZ413" i="1"/>
  <c r="BZ394" i="1"/>
  <c r="BZ397" i="1" s="1"/>
  <c r="BZ398" i="1" s="1"/>
  <c r="BZ380" i="1"/>
  <c r="BZ140" i="1"/>
  <c r="BU457" i="1"/>
  <c r="BU455" i="1"/>
  <c r="BZ457" i="1"/>
  <c r="BZ455" i="1"/>
  <c r="BZ467" i="1"/>
  <c r="BZ381" i="1"/>
  <c r="BZ151" i="1"/>
  <c r="BU288" i="1"/>
  <c r="BZ10" i="1" l="1"/>
  <c r="BO74" i="7"/>
  <c r="CD413" i="1"/>
  <c r="CI74" i="7" s="1"/>
  <c r="BZ458" i="1"/>
  <c r="BZ459" i="1"/>
  <c r="BZ464" i="1" s="1"/>
  <c r="BO10" i="7"/>
  <c r="BO22" i="7" s="1"/>
  <c r="BQ326" i="1"/>
  <c r="BQ324" i="1"/>
  <c r="BV325" i="1"/>
  <c r="BK10" i="7"/>
  <c r="BK22" i="7" s="1"/>
  <c r="BU459" i="1"/>
  <c r="BU464" i="1" s="1"/>
  <c r="BZ144" i="1"/>
  <c r="BZ288" i="1"/>
  <c r="BZ321" i="1" s="1"/>
  <c r="BZ221" i="1"/>
  <c r="BZ376" i="1"/>
  <c r="BP324" i="1"/>
  <c r="BP326" i="1"/>
  <c r="BP325" i="1"/>
  <c r="BU325" i="1"/>
  <c r="BT323" i="1"/>
  <c r="BZ155" i="1"/>
  <c r="BZ416" i="1"/>
  <c r="CD416" i="1" s="1"/>
  <c r="BU321" i="1"/>
  <c r="BU289" i="1"/>
  <c r="BZ274" i="1"/>
  <c r="BX450" i="1"/>
  <c r="CC465" i="1"/>
  <c r="BX408" i="1"/>
  <c r="BV405" i="1"/>
  <c r="BV9" i="1" s="1"/>
  <c r="BS405" i="1"/>
  <c r="BS9" i="1" s="1"/>
  <c r="BR405" i="1"/>
  <c r="BQ405" i="1"/>
  <c r="BP405" i="1"/>
  <c r="BP9" i="1" s="1"/>
  <c r="CB286" i="1"/>
  <c r="BV6" i="1" l="1"/>
  <c r="CA24" i="1"/>
  <c r="BP6" i="1"/>
  <c r="BP21" i="1" s="1"/>
  <c r="BP24" i="1"/>
  <c r="BS6" i="1"/>
  <c r="BS24" i="1"/>
  <c r="BX24" i="1"/>
  <c r="BR509" i="1"/>
  <c r="BR9" i="1"/>
  <c r="BQ509" i="1"/>
  <c r="BQ9" i="1"/>
  <c r="BV24" i="1" s="1"/>
  <c r="CD274" i="1"/>
  <c r="CD10" i="1"/>
  <c r="CC409" i="1"/>
  <c r="CC510" i="1"/>
  <c r="BX394" i="1"/>
  <c r="BX413" i="1"/>
  <c r="BP509" i="1"/>
  <c r="BT405" i="1"/>
  <c r="BU328" i="1"/>
  <c r="BP327" i="1"/>
  <c r="BP328" i="1"/>
  <c r="BX467" i="1"/>
  <c r="BO20" i="7"/>
  <c r="BZ436" i="1"/>
  <c r="BZ493" i="1" s="1"/>
  <c r="BZ225" i="1"/>
  <c r="BZ226" i="1" s="1"/>
  <c r="BO19" i="7"/>
  <c r="BZ519" i="1"/>
  <c r="BZ520" i="1"/>
  <c r="BO8" i="7"/>
  <c r="BZ13" i="1"/>
  <c r="BZ15" i="1" s="1"/>
  <c r="BZ521" i="1"/>
  <c r="BS509" i="1"/>
  <c r="BX509" i="1"/>
  <c r="BQ327" i="1"/>
  <c r="BV328" i="1"/>
  <c r="BW378" i="1"/>
  <c r="CB379" i="1" s="1"/>
  <c r="BW286" i="1"/>
  <c r="BZ522" i="1"/>
  <c r="BX457" i="1"/>
  <c r="CC458" i="1" s="1"/>
  <c r="BX455" i="1"/>
  <c r="BU405" i="1"/>
  <c r="BU9" i="1" s="1"/>
  <c r="BZ418" i="1"/>
  <c r="CD418" i="1" s="1"/>
  <c r="CD421" i="1" s="1"/>
  <c r="BX140" i="1"/>
  <c r="CC141" i="1" s="1"/>
  <c r="BX380" i="1"/>
  <c r="CA509" i="1"/>
  <c r="BV509" i="1"/>
  <c r="BW450" i="1"/>
  <c r="BY449" i="1"/>
  <c r="BT326" i="1"/>
  <c r="BT324" i="1"/>
  <c r="BY325" i="1"/>
  <c r="BX381" i="1"/>
  <c r="BX151" i="1"/>
  <c r="CC152" i="1" s="1"/>
  <c r="BW405" i="1"/>
  <c r="BW9" i="1" s="1"/>
  <c r="BZ289" i="1"/>
  <c r="BP408" i="1"/>
  <c r="BP409" i="1" s="1"/>
  <c r="BQ408" i="1"/>
  <c r="BQ409" i="1" s="1"/>
  <c r="BR408" i="1"/>
  <c r="BR409" i="1" s="1"/>
  <c r="BU408" i="1"/>
  <c r="BS408" i="1"/>
  <c r="BS409" i="1" s="1"/>
  <c r="BV408" i="1"/>
  <c r="BW408" i="1"/>
  <c r="BX10" i="1" l="1"/>
  <c r="CC25" i="1" s="1"/>
  <c r="BN74" i="7"/>
  <c r="BS21" i="1"/>
  <c r="BX21" i="1"/>
  <c r="BW6" i="1"/>
  <c r="BW24" i="1"/>
  <c r="CB24" i="1"/>
  <c r="BR6" i="1"/>
  <c r="BR21" i="1" s="1"/>
  <c r="BR24" i="1"/>
  <c r="BQ6" i="1"/>
  <c r="BQ21" i="1" s="1"/>
  <c r="BQ24" i="1"/>
  <c r="BU6" i="1"/>
  <c r="BU24" i="1"/>
  <c r="BZ24" i="1"/>
  <c r="BV21" i="1"/>
  <c r="CA21" i="1"/>
  <c r="BT509" i="1"/>
  <c r="BT9" i="1"/>
  <c r="CC414" i="1"/>
  <c r="BW409" i="1"/>
  <c r="CB409" i="1"/>
  <c r="BV409" i="1"/>
  <c r="CA409" i="1"/>
  <c r="BU409" i="1"/>
  <c r="BZ409" i="1"/>
  <c r="BX409" i="1"/>
  <c r="CC513" i="1"/>
  <c r="CB509" i="1"/>
  <c r="CB510" i="1"/>
  <c r="BY405" i="1"/>
  <c r="BY9" i="1" s="1"/>
  <c r="BZ509" i="1"/>
  <c r="BU509" i="1"/>
  <c r="BW446" i="1"/>
  <c r="BW379" i="1"/>
  <c r="BW510" i="1"/>
  <c r="BR510" i="1"/>
  <c r="BX459" i="1"/>
  <c r="BX464" i="1" s="1"/>
  <c r="BN10" i="7"/>
  <c r="BN22" i="7" s="1"/>
  <c r="BX152" i="1"/>
  <c r="BX155" i="1"/>
  <c r="BV510" i="1"/>
  <c r="CA510" i="1"/>
  <c r="BT408" i="1"/>
  <c r="BT409" i="1" s="1"/>
  <c r="BP510" i="1"/>
  <c r="BX288" i="1"/>
  <c r="CC289" i="1" s="1"/>
  <c r="BX221" i="1"/>
  <c r="BX376" i="1"/>
  <c r="CC377" i="1" s="1"/>
  <c r="BZ378" i="1"/>
  <c r="BZ286" i="1"/>
  <c r="BY408" i="1"/>
  <c r="BU510" i="1"/>
  <c r="BZ510" i="1"/>
  <c r="BS510" i="1"/>
  <c r="BT327" i="1"/>
  <c r="BY328" i="1"/>
  <c r="BX510" i="1"/>
  <c r="BQ510" i="1"/>
  <c r="BX416" i="1"/>
  <c r="BW509" i="1"/>
  <c r="BX144" i="1"/>
  <c r="BX141" i="1"/>
  <c r="BX365" i="1"/>
  <c r="BY452" i="1"/>
  <c r="BY450" i="1"/>
  <c r="Q267" i="2"/>
  <c r="Q78" i="2"/>
  <c r="BZ515" i="1"/>
  <c r="BZ421" i="1"/>
  <c r="BX418" i="1"/>
  <c r="CB465" i="1"/>
  <c r="BW21" i="1" l="1"/>
  <c r="CB21" i="1"/>
  <c r="BT6" i="1"/>
  <c r="BT21" i="1" s="1"/>
  <c r="BT24" i="1"/>
  <c r="BY6" i="1"/>
  <c r="BY24" i="1"/>
  <c r="CD24" i="1"/>
  <c r="BU21" i="1"/>
  <c r="BZ21" i="1"/>
  <c r="BY409" i="1"/>
  <c r="CD409" i="1"/>
  <c r="BX222" i="1"/>
  <c r="CC222" i="1"/>
  <c r="BX421" i="1"/>
  <c r="CC515" i="1"/>
  <c r="BX522" i="1"/>
  <c r="CC417" i="1"/>
  <c r="CC514" i="1"/>
  <c r="CC528" i="1"/>
  <c r="CC529" i="1"/>
  <c r="CC527" i="1"/>
  <c r="CC526" i="1"/>
  <c r="CC530" i="1"/>
  <c r="CC531" i="1"/>
  <c r="BW394" i="1"/>
  <c r="BW413" i="1"/>
  <c r="BZ379" i="1"/>
  <c r="BZ446" i="1"/>
  <c r="BZ382" i="1"/>
  <c r="BW380" i="1"/>
  <c r="BW140" i="1"/>
  <c r="CB141" i="1" s="1"/>
  <c r="BW151" i="1"/>
  <c r="CB152" i="1" s="1"/>
  <c r="BW381" i="1"/>
  <c r="BT510" i="1"/>
  <c r="Q79" i="2"/>
  <c r="Q196" i="2" s="1"/>
  <c r="Q269" i="2"/>
  <c r="BX520" i="1"/>
  <c r="BX13" i="1"/>
  <c r="BX519" i="1"/>
  <c r="BN8" i="7"/>
  <c r="BX521" i="1"/>
  <c r="BX377" i="1"/>
  <c r="BX225" i="1"/>
  <c r="BX226" i="1" s="1"/>
  <c r="BN20" i="7"/>
  <c r="BN19" i="7"/>
  <c r="BX436" i="1"/>
  <c r="BX493" i="1" s="1"/>
  <c r="BX374" i="1"/>
  <c r="BW455" i="1"/>
  <c r="BW457" i="1"/>
  <c r="CB458" i="1" s="1"/>
  <c r="BW467" i="1"/>
  <c r="BX289" i="1"/>
  <c r="BX321" i="1"/>
  <c r="BX492" i="1"/>
  <c r="BX425" i="1"/>
  <c r="BY510" i="1"/>
  <c r="CD509" i="1"/>
  <c r="BY509" i="1"/>
  <c r="BY418" i="1"/>
  <c r="BY515" i="1" s="1"/>
  <c r="BX515" i="1"/>
  <c r="BW288" i="1"/>
  <c r="CB289" i="1" s="1"/>
  <c r="CC286" i="1"/>
  <c r="BV288" i="1"/>
  <c r="BF416" i="1"/>
  <c r="BC416" i="1"/>
  <c r="BB416" i="1"/>
  <c r="BD416" i="1"/>
  <c r="BH416" i="1"/>
  <c r="BI416" i="1"/>
  <c r="BG416" i="1"/>
  <c r="BM416" i="1"/>
  <c r="BL416" i="1"/>
  <c r="BK416" i="1"/>
  <c r="BN416" i="1"/>
  <c r="BW10" i="1" l="1"/>
  <c r="BM74" i="7"/>
  <c r="BY21" i="1"/>
  <c r="CD21" i="1"/>
  <c r="CB25" i="1"/>
  <c r="CC14" i="1"/>
  <c r="BX15" i="1"/>
  <c r="CB414" i="1"/>
  <c r="BX227" i="1"/>
  <c r="CC227" i="1"/>
  <c r="CB513" i="1"/>
  <c r="BV151" i="1"/>
  <c r="BV381" i="1"/>
  <c r="BI514" i="1"/>
  <c r="BI13" i="1"/>
  <c r="BB8" i="7"/>
  <c r="BI417" i="1"/>
  <c r="BX378" i="1"/>
  <c r="CC379" i="1" s="1"/>
  <c r="BX286" i="1"/>
  <c r="BY285" i="1"/>
  <c r="BW141" i="1"/>
  <c r="BW144" i="1"/>
  <c r="BW221" i="1"/>
  <c r="BW376" i="1"/>
  <c r="CB377" i="1" s="1"/>
  <c r="BV140" i="1"/>
  <c r="BV380" i="1"/>
  <c r="BW155" i="1"/>
  <c r="BW152" i="1"/>
  <c r="BW416" i="1"/>
  <c r="AV8" i="7"/>
  <c r="BB13" i="1"/>
  <c r="BW289" i="1"/>
  <c r="BW321" i="1"/>
  <c r="BW459" i="1"/>
  <c r="BW464" i="1" s="1"/>
  <c r="BM10" i="7"/>
  <c r="BM22" i="7" s="1"/>
  <c r="BA8" i="7"/>
  <c r="BH13" i="1"/>
  <c r="BH514" i="1"/>
  <c r="BH417" i="1"/>
  <c r="BD13" i="1"/>
  <c r="AX8" i="7"/>
  <c r="BO16" i="7"/>
  <c r="BV457" i="1"/>
  <c r="BV455" i="1"/>
  <c r="BW365" i="1"/>
  <c r="BE8" i="7"/>
  <c r="BM13" i="1"/>
  <c r="BM417" i="1"/>
  <c r="BM514" i="1"/>
  <c r="BC13" i="1"/>
  <c r="AW8" i="7"/>
  <c r="BC8" i="7"/>
  <c r="BK514" i="1"/>
  <c r="BK417" i="1"/>
  <c r="BO416" i="1"/>
  <c r="BK13" i="1"/>
  <c r="BV413" i="1"/>
  <c r="BV394" i="1"/>
  <c r="BL13" i="1"/>
  <c r="BL514" i="1"/>
  <c r="BD8" i="7"/>
  <c r="BL417" i="1"/>
  <c r="CA465" i="1"/>
  <c r="BV467" i="1"/>
  <c r="BF8" i="7"/>
  <c r="BN514" i="1"/>
  <c r="BN417" i="1"/>
  <c r="BN13" i="1"/>
  <c r="BF13" i="1"/>
  <c r="AY8" i="7"/>
  <c r="BJ416" i="1"/>
  <c r="BW421" i="1"/>
  <c r="AZ8" i="7"/>
  <c r="BG514" i="1"/>
  <c r="BG417" i="1"/>
  <c r="BG13" i="1"/>
  <c r="CA289" i="1"/>
  <c r="BV321" i="1"/>
  <c r="BV289" i="1"/>
  <c r="BY288" i="1"/>
  <c r="BV10" i="1" l="1"/>
  <c r="CA25" i="1" s="1"/>
  <c r="BL74" i="7"/>
  <c r="CA414" i="1"/>
  <c r="BN14" i="1"/>
  <c r="BM14" i="1"/>
  <c r="BG14" i="1"/>
  <c r="BW222" i="1"/>
  <c r="CB222" i="1"/>
  <c r="CB417" i="1"/>
  <c r="CB514" i="1"/>
  <c r="CB528" i="1"/>
  <c r="CB526" i="1"/>
  <c r="CB527" i="1"/>
  <c r="CB529" i="1"/>
  <c r="CB530" i="1"/>
  <c r="CB531" i="1"/>
  <c r="BW522" i="1"/>
  <c r="BK14" i="1"/>
  <c r="Q57" i="2"/>
  <c r="Q80" i="2"/>
  <c r="BY455" i="1"/>
  <c r="BY457" i="1"/>
  <c r="Q81" i="2"/>
  <c r="BV221" i="1"/>
  <c r="BV376" i="1"/>
  <c r="BX379" i="1"/>
  <c r="BX446" i="1"/>
  <c r="BX382" i="1"/>
  <c r="CC383" i="1" s="1"/>
  <c r="CA458" i="1"/>
  <c r="BL10" i="7"/>
  <c r="BL22" i="7" s="1"/>
  <c r="BV459" i="1"/>
  <c r="BV464" i="1" s="1"/>
  <c r="BH14" i="1"/>
  <c r="BW382" i="1"/>
  <c r="CB383" i="1" s="1"/>
  <c r="BW436" i="1"/>
  <c r="BW493" i="1" s="1"/>
  <c r="BW377" i="1"/>
  <c r="BW374" i="1"/>
  <c r="BM20" i="7"/>
  <c r="BW225" i="1"/>
  <c r="BW226" i="1" s="1"/>
  <c r="BM19" i="7"/>
  <c r="BO13" i="1"/>
  <c r="BO417" i="1"/>
  <c r="BO514" i="1"/>
  <c r="CF8" i="7"/>
  <c r="BI14" i="1"/>
  <c r="BL14" i="1"/>
  <c r="BW520" i="1"/>
  <c r="BW13" i="1"/>
  <c r="BM8" i="7"/>
  <c r="BW519" i="1"/>
  <c r="BW521" i="1"/>
  <c r="BY321" i="1"/>
  <c r="BY289" i="1"/>
  <c r="H2" i="5"/>
  <c r="BV416" i="1"/>
  <c r="BV522" i="1" s="1"/>
  <c r="CA141" i="1"/>
  <c r="BV144" i="1"/>
  <c r="BV141" i="1"/>
  <c r="BV365" i="1"/>
  <c r="BJ13" i="1"/>
  <c r="CE8" i="7"/>
  <c r="CA513" i="1"/>
  <c r="BV421" i="1"/>
  <c r="BW492" i="1"/>
  <c r="BW425" i="1"/>
  <c r="BY286" i="1"/>
  <c r="BY378" i="1"/>
  <c r="BY283" i="1"/>
  <c r="CD283" i="1" s="1"/>
  <c r="CA152" i="1"/>
  <c r="BV155" i="1"/>
  <c r="BV152" i="1"/>
  <c r="CB14" i="1" l="1"/>
  <c r="BW15" i="1"/>
  <c r="BW227" i="1"/>
  <c r="CB227" i="1"/>
  <c r="CA531" i="1"/>
  <c r="BY284" i="1"/>
  <c r="CF284" i="1" s="1"/>
  <c r="CG284" i="1" s="1"/>
  <c r="CH284" i="1" s="1"/>
  <c r="CI284" i="1" s="1"/>
  <c r="CJ284" i="1" s="1"/>
  <c r="CK284" i="1" s="1"/>
  <c r="CL284" i="1" s="1"/>
  <c r="CM284" i="1" s="1"/>
  <c r="BY446" i="1"/>
  <c r="BY496" i="1" s="1"/>
  <c r="BY379" i="1"/>
  <c r="BV492" i="1"/>
  <c r="BV425" i="1"/>
  <c r="BY459" i="1"/>
  <c r="Q222" i="2"/>
  <c r="Q227" i="2"/>
  <c r="AA29" i="3"/>
  <c r="CH10" i="7"/>
  <c r="H12" i="5"/>
  <c r="H16" i="5" s="1"/>
  <c r="BX383" i="1"/>
  <c r="BN16" i="7"/>
  <c r="BM16" i="7"/>
  <c r="BW383" i="1"/>
  <c r="Q254" i="2"/>
  <c r="Q194" i="2"/>
  <c r="BO14" i="1"/>
  <c r="BV222" i="1"/>
  <c r="CA222" i="1"/>
  <c r="BL8" i="7"/>
  <c r="BV13" i="1"/>
  <c r="BV15" i="1" s="1"/>
  <c r="BV520" i="1"/>
  <c r="BV519" i="1"/>
  <c r="CA527" i="1"/>
  <c r="CA514" i="1"/>
  <c r="CA417" i="1"/>
  <c r="CA526" i="1"/>
  <c r="CA528" i="1"/>
  <c r="CA529" i="1"/>
  <c r="BV521" i="1"/>
  <c r="CA530" i="1"/>
  <c r="CA377" i="1"/>
  <c r="BV377" i="1"/>
  <c r="BL20" i="7"/>
  <c r="BV436" i="1"/>
  <c r="BV493" i="1" s="1"/>
  <c r="BV225" i="1"/>
  <c r="BV226" i="1" s="1"/>
  <c r="BL19" i="7"/>
  <c r="BV374" i="1"/>
  <c r="BV382" i="1"/>
  <c r="BV227" i="1" l="1"/>
  <c r="CA227" i="1"/>
  <c r="CA14" i="1"/>
  <c r="CA383" i="1"/>
  <c r="BL16" i="7"/>
  <c r="BV383" i="1"/>
  <c r="AA111" i="3"/>
  <c r="Q198" i="2"/>
  <c r="Q200" i="2"/>
  <c r="CE283" i="1"/>
  <c r="CF283" i="1" l="1"/>
  <c r="Q273" i="2"/>
  <c r="Q274" i="2" s="1"/>
  <c r="BU380" i="1" l="1"/>
  <c r="BU140" i="1"/>
  <c r="BS413" i="1"/>
  <c r="BS394" i="1"/>
  <c r="CG283" i="1"/>
  <c r="BP413" i="1"/>
  <c r="BG74" i="7" s="1"/>
  <c r="BP394" i="1"/>
  <c r="BS51" i="1"/>
  <c r="BJ12" i="7" s="1"/>
  <c r="BS444" i="1"/>
  <c r="BQ413" i="1"/>
  <c r="BQ394" i="1"/>
  <c r="BR394" i="1"/>
  <c r="BR413" i="1"/>
  <c r="BY463" i="1"/>
  <c r="BZ465" i="1"/>
  <c r="BU394" i="1"/>
  <c r="BU413" i="1"/>
  <c r="BY466" i="1"/>
  <c r="Q228" i="2" s="1"/>
  <c r="BU467" i="1"/>
  <c r="BU151" i="1"/>
  <c r="BU381" i="1"/>
  <c r="BY381" i="1" s="1"/>
  <c r="BR416" i="1"/>
  <c r="BP416" i="1"/>
  <c r="BS416" i="1"/>
  <c r="BQ416" i="1"/>
  <c r="BR10" i="1" l="1"/>
  <c r="BI74" i="7"/>
  <c r="BS10" i="1"/>
  <c r="BX25" i="1" s="1"/>
  <c r="BJ74" i="7"/>
  <c r="BQ10" i="1"/>
  <c r="BQ25" i="1" s="1"/>
  <c r="BH74" i="7"/>
  <c r="BU10" i="1"/>
  <c r="BK74" i="7"/>
  <c r="BR25" i="1"/>
  <c r="BW25" i="1"/>
  <c r="BS25" i="1"/>
  <c r="BP414" i="1"/>
  <c r="BP10" i="1"/>
  <c r="BP25" i="1" s="1"/>
  <c r="BR414" i="1"/>
  <c r="BW414" i="1"/>
  <c r="BQ414" i="1"/>
  <c r="BV414" i="1"/>
  <c r="BS414" i="1"/>
  <c r="BX414" i="1"/>
  <c r="BU414" i="1"/>
  <c r="BZ414" i="1"/>
  <c r="BS445" i="1"/>
  <c r="BS446" i="1"/>
  <c r="BS450" i="1"/>
  <c r="BQ513" i="1"/>
  <c r="BQ522" i="1"/>
  <c r="BQ421" i="1"/>
  <c r="BV513" i="1"/>
  <c r="BV531" i="1"/>
  <c r="BR520" i="1"/>
  <c r="BR514" i="1"/>
  <c r="BR417" i="1"/>
  <c r="BI8" i="7"/>
  <c r="BR519" i="1"/>
  <c r="BR13" i="1"/>
  <c r="BR15" i="1" s="1"/>
  <c r="BR521" i="1"/>
  <c r="BW526" i="1"/>
  <c r="BW530" i="1"/>
  <c r="BW527" i="1"/>
  <c r="BW529" i="1"/>
  <c r="BW528" i="1"/>
  <c r="BW417" i="1"/>
  <c r="BW514" i="1"/>
  <c r="BY364" i="1"/>
  <c r="BU365" i="1"/>
  <c r="BU416" i="1"/>
  <c r="BU522" i="1" s="1"/>
  <c r="BS522" i="1"/>
  <c r="BS513" i="1"/>
  <c r="BX513" i="1"/>
  <c r="BX531" i="1"/>
  <c r="BS421" i="1"/>
  <c r="BP13" i="1"/>
  <c r="BG8" i="7"/>
  <c r="BP514" i="1"/>
  <c r="BP519" i="1"/>
  <c r="BT416" i="1"/>
  <c r="BP520" i="1"/>
  <c r="BP417" i="1"/>
  <c r="BP521" i="1"/>
  <c r="CH283" i="1"/>
  <c r="BY413" i="1"/>
  <c r="BU513" i="1"/>
  <c r="BZ513" i="1"/>
  <c r="BU421" i="1"/>
  <c r="BH8" i="7"/>
  <c r="BQ514" i="1"/>
  <c r="BQ520" i="1"/>
  <c r="BQ519" i="1"/>
  <c r="BQ417" i="1"/>
  <c r="BQ13" i="1"/>
  <c r="BQ521" i="1"/>
  <c r="BV529" i="1"/>
  <c r="BV526" i="1"/>
  <c r="BV417" i="1"/>
  <c r="BV530" i="1"/>
  <c r="BV528" i="1"/>
  <c r="BV514" i="1"/>
  <c r="BV527" i="1"/>
  <c r="BU155" i="1"/>
  <c r="BU152" i="1"/>
  <c r="BZ152" i="1"/>
  <c r="AA15" i="3"/>
  <c r="Q271" i="2" s="1"/>
  <c r="BY464" i="1"/>
  <c r="AA14" i="3" s="1"/>
  <c r="H63" i="4"/>
  <c r="BP522" i="1"/>
  <c r="BT413" i="1"/>
  <c r="CG74" i="7" s="1"/>
  <c r="BP513" i="1"/>
  <c r="BP421" i="1"/>
  <c r="BU144" i="1"/>
  <c r="BU141" i="1"/>
  <c r="BZ141" i="1"/>
  <c r="AA13" i="3"/>
  <c r="BY467" i="1"/>
  <c r="Q256" i="2"/>
  <c r="BS520" i="1"/>
  <c r="BS417" i="1"/>
  <c r="BJ8" i="7"/>
  <c r="BS514" i="1"/>
  <c r="BS13" i="1"/>
  <c r="BS15" i="1" s="1"/>
  <c r="BS519" i="1"/>
  <c r="BS521" i="1"/>
  <c r="BX417" i="1"/>
  <c r="BX527" i="1"/>
  <c r="BX528" i="1"/>
  <c r="BX526" i="1"/>
  <c r="BX529" i="1"/>
  <c r="BX530" i="1"/>
  <c r="BX514" i="1"/>
  <c r="BR513" i="1"/>
  <c r="BR522" i="1"/>
  <c r="BR421" i="1"/>
  <c r="BW531" i="1"/>
  <c r="BW513" i="1"/>
  <c r="BY380" i="1"/>
  <c r="BU376" i="1"/>
  <c r="BU221" i="1"/>
  <c r="BU25" i="1" l="1"/>
  <c r="BZ25" i="1"/>
  <c r="BV25" i="1"/>
  <c r="BQ15" i="1"/>
  <c r="BY10" i="1"/>
  <c r="CD25" i="1" s="1"/>
  <c r="CH74" i="7"/>
  <c r="BT414" i="1"/>
  <c r="BT10" i="1"/>
  <c r="BT25" i="1" s="1"/>
  <c r="BP14" i="1"/>
  <c r="BP15" i="1"/>
  <c r="BY414" i="1"/>
  <c r="CD414" i="1"/>
  <c r="BU531" i="1"/>
  <c r="BS467" i="1"/>
  <c r="BX465" i="1"/>
  <c r="BS14" i="1"/>
  <c r="BX14" i="1"/>
  <c r="BY365" i="1"/>
  <c r="BU425" i="1"/>
  <c r="BU492" i="1"/>
  <c r="BR14" i="1"/>
  <c r="BW14" i="1"/>
  <c r="AA30" i="3"/>
  <c r="AA31" i="3" s="1"/>
  <c r="Q276" i="2"/>
  <c r="Q281" i="2" s="1"/>
  <c r="Q282" i="2" s="1"/>
  <c r="Q270" i="2"/>
  <c r="BY274" i="1"/>
  <c r="CD275" i="1" s="1"/>
  <c r="BY513" i="1"/>
  <c r="BY421" i="1"/>
  <c r="BU514" i="1"/>
  <c r="BU13" i="1"/>
  <c r="BU15" i="1" s="1"/>
  <c r="BU526" i="1"/>
  <c r="BU527" i="1"/>
  <c r="BK8" i="7"/>
  <c r="BU520" i="1"/>
  <c r="BY416" i="1"/>
  <c r="CD417" i="1" s="1"/>
  <c r="BU528" i="1"/>
  <c r="BU417" i="1"/>
  <c r="BU519" i="1"/>
  <c r="BZ527" i="1"/>
  <c r="BZ417" i="1"/>
  <c r="BZ528" i="1"/>
  <c r="BZ514" i="1"/>
  <c r="BZ526" i="1"/>
  <c r="BU529" i="1"/>
  <c r="BU521" i="1"/>
  <c r="BZ529" i="1"/>
  <c r="BU530" i="1"/>
  <c r="BZ530" i="1"/>
  <c r="BT13" i="1"/>
  <c r="CG8" i="7"/>
  <c r="BT520" i="1"/>
  <c r="BT417" i="1"/>
  <c r="BT514" i="1"/>
  <c r="BT519" i="1"/>
  <c r="BT521" i="1"/>
  <c r="CI283" i="1"/>
  <c r="BU382" i="1"/>
  <c r="BK19" i="7"/>
  <c r="BU436" i="1"/>
  <c r="BU493" i="1" s="1"/>
  <c r="BK20" i="7"/>
  <c r="BU377" i="1"/>
  <c r="BU225" i="1"/>
  <c r="BY376" i="1"/>
  <c r="BZ377" i="1"/>
  <c r="BU222" i="1"/>
  <c r="BZ222" i="1"/>
  <c r="BS455" i="1"/>
  <c r="BS457" i="1"/>
  <c r="Q223" i="2"/>
  <c r="Q61" i="2"/>
  <c r="Q64" i="2" s="1"/>
  <c r="Q229" i="2"/>
  <c r="BT513" i="1"/>
  <c r="BT522" i="1"/>
  <c r="BT421" i="1"/>
  <c r="BQ14" i="1"/>
  <c r="BV14" i="1"/>
  <c r="BZ531" i="1"/>
  <c r="BQ444" i="1"/>
  <c r="Q65" i="2" l="1"/>
  <c r="Q255" i="2"/>
  <c r="Q259" i="2" s="1"/>
  <c r="BY25" i="1"/>
  <c r="BT14" i="1"/>
  <c r="BT15" i="1"/>
  <c r="AB253" i="3"/>
  <c r="AA253" i="3"/>
  <c r="BQ467" i="1"/>
  <c r="BV465" i="1"/>
  <c r="BW465" i="1"/>
  <c r="BS368" i="1"/>
  <c r="BS365" i="1"/>
  <c r="BX366" i="1"/>
  <c r="BU14" i="1"/>
  <c r="BZ14" i="1"/>
  <c r="BY492" i="1"/>
  <c r="BY495" i="1" s="1"/>
  <c r="Q85" i="2" s="1"/>
  <c r="Q86" i="2" s="1"/>
  <c r="BY425" i="1"/>
  <c r="BQ445" i="1"/>
  <c r="BQ450" i="1"/>
  <c r="BQ446" i="1"/>
  <c r="BT442" i="1"/>
  <c r="BP444" i="1"/>
  <c r="BQ457" i="1"/>
  <c r="BQ455" i="1"/>
  <c r="BY373" i="1"/>
  <c r="BY382" i="1"/>
  <c r="BY383" i="1" s="1"/>
  <c r="BY500" i="1"/>
  <c r="Q298" i="2"/>
  <c r="Q300" i="2" s="1"/>
  <c r="BY436" i="1"/>
  <c r="BY377" i="1"/>
  <c r="CJ283" i="1"/>
  <c r="BY522" i="1"/>
  <c r="BY13" i="1"/>
  <c r="BY514" i="1"/>
  <c r="BY417" i="1"/>
  <c r="BY528" i="1"/>
  <c r="BY526" i="1"/>
  <c r="BY519" i="1"/>
  <c r="BY527" i="1"/>
  <c r="CH8" i="7"/>
  <c r="BY520" i="1"/>
  <c r="BY521" i="1"/>
  <c r="BY529" i="1"/>
  <c r="BY530" i="1"/>
  <c r="BY531" i="1"/>
  <c r="BR457" i="1"/>
  <c r="BR455" i="1"/>
  <c r="BU383" i="1"/>
  <c r="BK16" i="7"/>
  <c r="BZ383" i="1"/>
  <c r="AA116" i="3"/>
  <c r="BY225" i="1"/>
  <c r="BU226" i="1"/>
  <c r="CE274" i="1"/>
  <c r="AC253" i="3" s="1"/>
  <c r="BR51" i="1"/>
  <c r="BI12" i="7" s="1"/>
  <c r="BT438" i="1"/>
  <c r="P316" i="2" s="1"/>
  <c r="BR444" i="1"/>
  <c r="BR467" i="1"/>
  <c r="BS458" i="1"/>
  <c r="BS459" i="1"/>
  <c r="BS464" i="1" s="1"/>
  <c r="BJ10" i="7"/>
  <c r="BJ22" i="7" s="1"/>
  <c r="BX458" i="1"/>
  <c r="BY14" i="1" l="1"/>
  <c r="BY15" i="1"/>
  <c r="CE413" i="1"/>
  <c r="CJ74" i="7" s="1"/>
  <c r="CF274" i="1"/>
  <c r="AD253" i="3" s="1"/>
  <c r="BU227" i="1"/>
  <c r="BZ227" i="1"/>
  <c r="BR459" i="1"/>
  <c r="BR464" i="1" s="1"/>
  <c r="BR458" i="1"/>
  <c r="BI10" i="7"/>
  <c r="BI22" i="7" s="1"/>
  <c r="BW458" i="1"/>
  <c r="CK283" i="1"/>
  <c r="BQ459" i="1"/>
  <c r="BQ464" i="1" s="1"/>
  <c r="BH10" i="7"/>
  <c r="BH22" i="7" s="1"/>
  <c r="BQ458" i="1"/>
  <c r="BV458" i="1"/>
  <c r="BP445" i="1"/>
  <c r="BP446" i="1"/>
  <c r="BP450" i="1"/>
  <c r="BS425" i="1"/>
  <c r="BS492" i="1"/>
  <c r="BX369" i="1"/>
  <c r="BY493" i="1"/>
  <c r="Q304" i="2"/>
  <c r="CD513" i="1"/>
  <c r="BR445" i="1"/>
  <c r="BR450" i="1"/>
  <c r="BR446" i="1"/>
  <c r="P266" i="2"/>
  <c r="P275" i="2" s="1"/>
  <c r="BT440" i="1"/>
  <c r="G6" i="5" s="1"/>
  <c r="BT51" i="1"/>
  <c r="CG12" i="7" s="1"/>
  <c r="BT444" i="1"/>
  <c r="P46" i="2" s="1"/>
  <c r="P47" i="2" s="1"/>
  <c r="P48" i="2" s="1"/>
  <c r="P52" i="2" s="1"/>
  <c r="P277" i="2"/>
  <c r="BR368" i="1"/>
  <c r="BR365" i="1"/>
  <c r="BW366" i="1"/>
  <c r="CD225" i="1"/>
  <c r="BY219" i="1"/>
  <c r="CH40" i="7" s="1"/>
  <c r="BY226" i="1"/>
  <c r="BQ365" i="1"/>
  <c r="BQ368" i="1"/>
  <c r="BV366" i="1"/>
  <c r="BT449" i="1"/>
  <c r="CE414" i="1" l="1"/>
  <c r="CE10" i="1"/>
  <c r="CE25" i="1" s="1"/>
  <c r="BT466" i="1"/>
  <c r="BP467" i="1"/>
  <c r="BY221" i="1"/>
  <c r="BY227" i="1"/>
  <c r="BT445" i="1"/>
  <c r="G5" i="5"/>
  <c r="BT446" i="1"/>
  <c r="BT496" i="1" s="1"/>
  <c r="G4" i="4"/>
  <c r="G6" i="4" s="1"/>
  <c r="G11" i="4" s="1"/>
  <c r="G15" i="4" s="1"/>
  <c r="BO466" i="1"/>
  <c r="P93" i="2"/>
  <c r="P99" i="2" s="1"/>
  <c r="CL283" i="1"/>
  <c r="CE225" i="1"/>
  <c r="BT463" i="1"/>
  <c r="BU465" i="1"/>
  <c r="BP457" i="1"/>
  <c r="BP455" i="1"/>
  <c r="BQ492" i="1"/>
  <c r="BQ425" i="1"/>
  <c r="BV369" i="1"/>
  <c r="CF413" i="1"/>
  <c r="CK74" i="7" s="1"/>
  <c r="CG274" i="1"/>
  <c r="AE253" i="3" s="1"/>
  <c r="P78" i="2"/>
  <c r="BT450" i="1"/>
  <c r="P267" i="2"/>
  <c r="BR492" i="1"/>
  <c r="BR425" i="1"/>
  <c r="BW369" i="1"/>
  <c r="CE513" i="1"/>
  <c r="BG450" i="1"/>
  <c r="BH450" i="1"/>
  <c r="CF414" i="1" l="1"/>
  <c r="CF10" i="1"/>
  <c r="CF25" i="1" s="1"/>
  <c r="BO449" i="1"/>
  <c r="O267" i="2" s="1"/>
  <c r="CF225" i="1"/>
  <c r="P57" i="2"/>
  <c r="P80" i="2"/>
  <c r="BN326" i="1"/>
  <c r="BS325" i="1"/>
  <c r="BN325" i="1"/>
  <c r="BN324" i="1"/>
  <c r="BP459" i="1"/>
  <c r="BP464" i="1" s="1"/>
  <c r="BP458" i="1"/>
  <c r="BG10" i="7"/>
  <c r="BG22" i="7" s="1"/>
  <c r="BU458" i="1"/>
  <c r="P97" i="2"/>
  <c r="Z20" i="3"/>
  <c r="Z259" i="3" s="1"/>
  <c r="Z260" i="3" s="1"/>
  <c r="Z261" i="3" s="1"/>
  <c r="Z262" i="3" s="1"/>
  <c r="P94" i="2"/>
  <c r="BM51" i="1"/>
  <c r="BE12" i="7" s="1"/>
  <c r="BM444" i="1"/>
  <c r="CG413" i="1"/>
  <c r="CL74" i="7" s="1"/>
  <c r="CH274" i="1"/>
  <c r="AF253" i="3" s="1"/>
  <c r="CM283" i="1"/>
  <c r="BF450" i="1"/>
  <c r="BJ449" i="1"/>
  <c r="BL51" i="1"/>
  <c r="BD12" i="7" s="1"/>
  <c r="BL444" i="1"/>
  <c r="BT364" i="1"/>
  <c r="BP365" i="1"/>
  <c r="BP368" i="1"/>
  <c r="BU366" i="1"/>
  <c r="CF513" i="1"/>
  <c r="Y13" i="3"/>
  <c r="O256" i="2"/>
  <c r="AA226" i="3"/>
  <c r="BY279" i="1"/>
  <c r="BY222" i="1"/>
  <c r="BK444" i="1"/>
  <c r="BK51" i="1"/>
  <c r="BC12" i="7" s="1"/>
  <c r="G63" i="4"/>
  <c r="Z15" i="3"/>
  <c r="P271" i="2" s="1"/>
  <c r="BT452" i="1"/>
  <c r="BO442" i="1"/>
  <c r="BJ438" i="1"/>
  <c r="BI444" i="1"/>
  <c r="BI51" i="1"/>
  <c r="BB12" i="7" s="1"/>
  <c r="O78" i="2"/>
  <c r="H16" i="4"/>
  <c r="G20" i="4"/>
  <c r="Z13" i="3"/>
  <c r="BT467" i="1"/>
  <c r="P256" i="2"/>
  <c r="BO438" i="1"/>
  <c r="CG414" i="1" l="1"/>
  <c r="CG10" i="1"/>
  <c r="CG25" i="1" s="1"/>
  <c r="BO450" i="1"/>
  <c r="CG513" i="1"/>
  <c r="BI445" i="1"/>
  <c r="BI450" i="1"/>
  <c r="BI446" i="1"/>
  <c r="O266" i="2"/>
  <c r="O275" i="2" s="1"/>
  <c r="BO51" i="1"/>
  <c r="CF12" i="7" s="1"/>
  <c r="O277" i="2"/>
  <c r="BO444" i="1"/>
  <c r="O46" i="2" s="1"/>
  <c r="O47" i="2" s="1"/>
  <c r="O48" i="2" s="1"/>
  <c r="O52" i="2" s="1"/>
  <c r="N78" i="2"/>
  <c r="BJ450" i="1"/>
  <c r="N267" i="2"/>
  <c r="BM445" i="1"/>
  <c r="BM446" i="1"/>
  <c r="BM450" i="1"/>
  <c r="BN328" i="1"/>
  <c r="BS328" i="1"/>
  <c r="BN327" i="1"/>
  <c r="N266" i="2"/>
  <c r="N275" i="2" s="1"/>
  <c r="BJ444" i="1"/>
  <c r="N46" i="2" s="1"/>
  <c r="N277" i="2"/>
  <c r="BJ440" i="1"/>
  <c r="E6" i="5" s="1"/>
  <c r="BJ51" i="1"/>
  <c r="CE12" i="7" s="1"/>
  <c r="BK445" i="1"/>
  <c r="BK446" i="1"/>
  <c r="BK450" i="1"/>
  <c r="O61" i="2"/>
  <c r="Y116" i="3" s="1"/>
  <c r="O223" i="2"/>
  <c r="BP425" i="1"/>
  <c r="BP492" i="1"/>
  <c r="BU369" i="1"/>
  <c r="P254" i="2"/>
  <c r="P194" i="2"/>
  <c r="P79" i="2"/>
  <c r="P196" i="2" s="1"/>
  <c r="P269" i="2"/>
  <c r="P270" i="2" s="1"/>
  <c r="BT457" i="1"/>
  <c r="P81" i="2"/>
  <c r="Z272" i="3"/>
  <c r="Z267" i="3"/>
  <c r="BT455" i="1"/>
  <c r="BN444" i="1"/>
  <c r="BN51" i="1"/>
  <c r="BF12" i="7" s="1"/>
  <c r="P61" i="2"/>
  <c r="Z116" i="3" s="1"/>
  <c r="P223" i="2"/>
  <c r="BS465" i="1"/>
  <c r="BN467" i="1"/>
  <c r="Z30" i="3"/>
  <c r="Z31" i="3" s="1"/>
  <c r="P276" i="2"/>
  <c r="P281" i="2" s="1"/>
  <c r="P282" i="2" s="1"/>
  <c r="BT365" i="1"/>
  <c r="BT368" i="1"/>
  <c r="BY366" i="1"/>
  <c r="BL445" i="1"/>
  <c r="BL446" i="1"/>
  <c r="BL450" i="1"/>
  <c r="CH413" i="1"/>
  <c r="CI274" i="1"/>
  <c r="AG253" i="3" s="1"/>
  <c r="CG225" i="1"/>
  <c r="N47" i="2" l="1"/>
  <c r="N48" i="2" s="1"/>
  <c r="N52" i="2" s="1"/>
  <c r="P64" i="2"/>
  <c r="CH10" i="1"/>
  <c r="CH25" i="1" s="1"/>
  <c r="CM74" i="7"/>
  <c r="CH414" i="1"/>
  <c r="Q283" i="2"/>
  <c r="P200" i="2"/>
  <c r="P198" i="2"/>
  <c r="Z111" i="3"/>
  <c r="G12" i="5"/>
  <c r="G16" i="5" s="1"/>
  <c r="P222" i="2"/>
  <c r="BT459" i="1"/>
  <c r="BT464" i="1" s="1"/>
  <c r="Z14" i="3" s="1"/>
  <c r="Z29" i="3"/>
  <c r="CG10" i="7"/>
  <c r="BY458" i="1"/>
  <c r="CJ274" i="1"/>
  <c r="AH253" i="3" s="1"/>
  <c r="CI413" i="1"/>
  <c r="CN74" i="7" s="1"/>
  <c r="BN365" i="1"/>
  <c r="BS366" i="1"/>
  <c r="BN368" i="1"/>
  <c r="BT425" i="1"/>
  <c r="BT492" i="1"/>
  <c r="BT495" i="1" s="1"/>
  <c r="BY369" i="1"/>
  <c r="CH225" i="1"/>
  <c r="BJ445" i="1"/>
  <c r="E4" i="4"/>
  <c r="E6" i="4" s="1"/>
  <c r="E11" i="4" s="1"/>
  <c r="E15" i="4" s="1"/>
  <c r="BJ451" i="1"/>
  <c r="E5" i="5"/>
  <c r="BJ446" i="1"/>
  <c r="BJ496" i="1" s="1"/>
  <c r="BN445" i="1"/>
  <c r="BN450" i="1"/>
  <c r="BN446" i="1"/>
  <c r="CH513" i="1"/>
  <c r="BO445" i="1"/>
  <c r="BO446" i="1"/>
  <c r="BO496" i="1" s="1"/>
  <c r="F5" i="5"/>
  <c r="F4" i="4"/>
  <c r="F6" i="4" s="1"/>
  <c r="F11" i="4" s="1"/>
  <c r="F15" i="4" s="1"/>
  <c r="P65" i="2" l="1"/>
  <c r="P255" i="2"/>
  <c r="P259" i="2" s="1"/>
  <c r="CI414" i="1"/>
  <c r="CI10" i="1"/>
  <c r="CI25" i="1" s="1"/>
  <c r="BN425" i="1"/>
  <c r="BN492" i="1"/>
  <c r="BS369" i="1"/>
  <c r="CI513" i="1"/>
  <c r="CJ413" i="1"/>
  <c r="CK274" i="1"/>
  <c r="AI253" i="3" s="1"/>
  <c r="BJ452" i="1"/>
  <c r="BM467" i="1"/>
  <c r="BR465" i="1"/>
  <c r="BO452" i="1"/>
  <c r="BO455" i="1" s="1"/>
  <c r="CI225" i="1"/>
  <c r="F16" i="4"/>
  <c r="F20" i="4"/>
  <c r="G16" i="4"/>
  <c r="P273" i="2"/>
  <c r="P274" i="2" s="1"/>
  <c r="P85" i="2"/>
  <c r="P86" i="2" s="1"/>
  <c r="BR325" i="1"/>
  <c r="BM325" i="1"/>
  <c r="BM324" i="1"/>
  <c r="BM326" i="1"/>
  <c r="N80" i="2"/>
  <c r="N57" i="2"/>
  <c r="O80" i="2"/>
  <c r="O57" i="2"/>
  <c r="E20" i="4"/>
  <c r="N64" i="2" l="1"/>
  <c r="O64" i="2"/>
  <c r="O255" i="2" s="1"/>
  <c r="CJ414" i="1"/>
  <c r="CJ10" i="1"/>
  <c r="CJ25" i="1" s="1"/>
  <c r="CJ513" i="1"/>
  <c r="BM365" i="1"/>
  <c r="BR366" i="1"/>
  <c r="BJ455" i="1"/>
  <c r="N269" i="2"/>
  <c r="BJ457" i="1"/>
  <c r="N79" i="2"/>
  <c r="N196" i="2" s="1"/>
  <c r="N81" i="2"/>
  <c r="N194" i="2"/>
  <c r="N254" i="2"/>
  <c r="BM327" i="1"/>
  <c r="BM328" i="1"/>
  <c r="BR328" i="1"/>
  <c r="BM368" i="1"/>
  <c r="CJ225" i="1"/>
  <c r="O79" i="2"/>
  <c r="O196" i="2" s="1"/>
  <c r="O269" i="2"/>
  <c r="O81" i="2"/>
  <c r="BO457" i="1"/>
  <c r="O194" i="2"/>
  <c r="O254" i="2"/>
  <c r="CL274" i="1"/>
  <c r="AJ253" i="3" s="1"/>
  <c r="CK413" i="1"/>
  <c r="O259" i="2" l="1"/>
  <c r="N255" i="2"/>
  <c r="N259" i="2" s="1"/>
  <c r="N65" i="2"/>
  <c r="O65" i="2"/>
  <c r="CK414" i="1"/>
  <c r="CK10" i="1"/>
  <c r="CK25" i="1" s="1"/>
  <c r="BL325" i="1"/>
  <c r="BL326" i="1"/>
  <c r="BO323" i="1"/>
  <c r="BL324" i="1"/>
  <c r="BQ325" i="1"/>
  <c r="Y29" i="3"/>
  <c r="O222" i="2"/>
  <c r="BO458" i="1"/>
  <c r="CF10" i="7"/>
  <c r="F12" i="5"/>
  <c r="F16" i="5" s="1"/>
  <c r="BT458" i="1"/>
  <c r="O198" i="2"/>
  <c r="O200" i="2"/>
  <c r="O273" i="2" s="1"/>
  <c r="O274" i="2" s="1"/>
  <c r="Y111" i="3"/>
  <c r="BL467" i="1"/>
  <c r="BQ465" i="1"/>
  <c r="CK225" i="1"/>
  <c r="CK513" i="1"/>
  <c r="CM274" i="1"/>
  <c r="CL413" i="1"/>
  <c r="N198" i="2"/>
  <c r="X111" i="3"/>
  <c r="N200" i="2"/>
  <c r="N273" i="2" s="1"/>
  <c r="N274" i="2" s="1"/>
  <c r="Q227" i="6"/>
  <c r="Q229" i="6" s="1"/>
  <c r="BM425" i="1"/>
  <c r="BM492" i="1"/>
  <c r="BR369" i="1"/>
  <c r="BJ458" i="1"/>
  <c r="N222" i="2"/>
  <c r="N221" i="2" s="1"/>
  <c r="E12" i="5"/>
  <c r="E16" i="5" s="1"/>
  <c r="CE10" i="7"/>
  <c r="X29" i="3"/>
  <c r="BL368" i="1"/>
  <c r="CL414" i="1" l="1"/>
  <c r="CL10" i="1"/>
  <c r="CL25" i="1" s="1"/>
  <c r="CM413" i="1"/>
  <c r="AK253" i="3"/>
  <c r="O221" i="2"/>
  <c r="P221" i="2" s="1"/>
  <c r="Q221" i="2" s="1"/>
  <c r="BL425" i="1"/>
  <c r="BL492" i="1"/>
  <c r="BQ369" i="1"/>
  <c r="CL513" i="1"/>
  <c r="BO325" i="1"/>
  <c r="BO326" i="1"/>
  <c r="BO324" i="1"/>
  <c r="BT325" i="1"/>
  <c r="BL328" i="1"/>
  <c r="BL327" i="1"/>
  <c r="BQ328" i="1"/>
  <c r="CL225" i="1"/>
  <c r="BL365" i="1"/>
  <c r="BQ366" i="1"/>
  <c r="CM414" i="1" l="1"/>
  <c r="CM10" i="1"/>
  <c r="CM25" i="1" s="1"/>
  <c r="CM513" i="1"/>
  <c r="CM225" i="1"/>
  <c r="BO463" i="1"/>
  <c r="BK467" i="1"/>
  <c r="BP465" i="1"/>
  <c r="BO328" i="1"/>
  <c r="BO327" i="1"/>
  <c r="BT328" i="1"/>
  <c r="Y15" i="3" l="1"/>
  <c r="O271" i="2" s="1"/>
  <c r="F63" i="4"/>
  <c r="BT465" i="1"/>
  <c r="BO467" i="1"/>
  <c r="BO364" i="1"/>
  <c r="BK365" i="1"/>
  <c r="BK368" i="1"/>
  <c r="BP366" i="1"/>
  <c r="BO365" i="1" l="1"/>
  <c r="BT366" i="1"/>
  <c r="BO368" i="1"/>
  <c r="BG467" i="1"/>
  <c r="BL465" i="1"/>
  <c r="O270" i="2"/>
  <c r="O276" i="2"/>
  <c r="O281" i="2" s="1"/>
  <c r="O282" i="2" s="1"/>
  <c r="Y30" i="3"/>
  <c r="Y31" i="3" s="1"/>
  <c r="BH467" i="1"/>
  <c r="BM465" i="1"/>
  <c r="BJ463" i="1"/>
  <c r="BF467" i="1"/>
  <c r="BK465" i="1"/>
  <c r="BI467" i="1"/>
  <c r="BN465" i="1"/>
  <c r="BK492" i="1"/>
  <c r="BK425" i="1"/>
  <c r="BP369" i="1"/>
  <c r="P283" i="2" l="1"/>
  <c r="BO425" i="1"/>
  <c r="BO492" i="1"/>
  <c r="BO495" i="1" s="1"/>
  <c r="O85" i="2" s="1"/>
  <c r="O86" i="2" s="1"/>
  <c r="BT369" i="1"/>
  <c r="BJ467" i="1"/>
  <c r="E63" i="4"/>
  <c r="X15" i="3"/>
  <c r="N271" i="2" s="1"/>
  <c r="BO465" i="1"/>
  <c r="BH207" i="1"/>
  <c r="X30" i="3" l="1"/>
  <c r="X31" i="3" s="1"/>
  <c r="N276" i="2"/>
  <c r="N281" i="2" s="1"/>
  <c r="N282" i="2" s="1"/>
  <c r="N270" i="2"/>
  <c r="BI368" i="1"/>
  <c r="BI365" i="1"/>
  <c r="BN366" i="1"/>
  <c r="BA36" i="7"/>
  <c r="BH206" i="1"/>
  <c r="BA35" i="7" s="1"/>
  <c r="BH208" i="1"/>
  <c r="BI207" i="1"/>
  <c r="O283" i="2" l="1"/>
  <c r="BB36" i="7"/>
  <c r="BI208" i="1"/>
  <c r="BI206" i="1"/>
  <c r="BI425" i="1"/>
  <c r="BN369" i="1"/>
  <c r="BK207" i="1"/>
  <c r="BH368" i="1" l="1"/>
  <c r="BH365" i="1"/>
  <c r="BM366" i="1"/>
  <c r="BK206" i="1"/>
  <c r="BC35" i="7" s="1"/>
  <c r="BK208" i="1"/>
  <c r="BC36" i="7"/>
  <c r="BB35" i="7"/>
  <c r="BJ206" i="1"/>
  <c r="BL207" i="1"/>
  <c r="BJ207" i="1" l="1"/>
  <c r="CE36" i="7" s="1"/>
  <c r="CE35" i="7"/>
  <c r="BH425" i="1"/>
  <c r="BM369" i="1"/>
  <c r="BL206" i="1"/>
  <c r="BD35" i="7" s="1"/>
  <c r="BD36" i="7"/>
  <c r="BL208" i="1"/>
  <c r="BM207" i="1"/>
  <c r="BE36" i="7" l="1"/>
  <c r="BM206" i="1"/>
  <c r="BE35" i="7" s="1"/>
  <c r="BM208" i="1"/>
  <c r="BN207" i="1"/>
  <c r="BN208" i="1" l="1"/>
  <c r="BF36" i="7"/>
  <c r="BN206" i="1"/>
  <c r="BP207" i="1"/>
  <c r="BG36" i="7" l="1"/>
  <c r="BP206" i="1"/>
  <c r="BG35" i="7" s="1"/>
  <c r="BP208" i="1"/>
  <c r="BF35" i="7"/>
  <c r="BO206" i="1"/>
  <c r="BQ207" i="1"/>
  <c r="BH36" i="7" l="1"/>
  <c r="BQ206" i="1"/>
  <c r="BH35" i="7" s="1"/>
  <c r="BQ208" i="1"/>
  <c r="BO207" i="1"/>
  <c r="CF36" i="7" s="1"/>
  <c r="CF35" i="7"/>
  <c r="BR207" i="1"/>
  <c r="BV208" i="1" l="1"/>
  <c r="BR206" i="1"/>
  <c r="BI35" i="7" s="1"/>
  <c r="BR208" i="1"/>
  <c r="BI36" i="7"/>
  <c r="BS207" i="1"/>
  <c r="BW208" i="1" l="1"/>
  <c r="BS208" i="1"/>
  <c r="BS206" i="1"/>
  <c r="BJ36" i="7"/>
  <c r="BU207" i="1"/>
  <c r="BU206" i="1" l="1"/>
  <c r="BK35" i="7" s="1"/>
  <c r="BU208" i="1"/>
  <c r="BK36" i="7"/>
  <c r="BJ35" i="7"/>
  <c r="BT206" i="1"/>
  <c r="BT207" i="1" l="1"/>
  <c r="CG35" i="7"/>
  <c r="BX208" i="1" l="1"/>
  <c r="CG36" i="7"/>
  <c r="BJ442" i="1" l="1"/>
  <c r="BG368" i="1" l="1"/>
  <c r="BG365" i="1"/>
  <c r="BL366" i="1"/>
  <c r="BF368" i="1" l="1"/>
  <c r="BF365" i="1"/>
  <c r="BF366" i="1"/>
  <c r="BJ364" i="1"/>
  <c r="BK366" i="1"/>
  <c r="AX9" i="7"/>
  <c r="AX21" i="7" s="1"/>
  <c r="BE430" i="1"/>
  <c r="BD435" i="1"/>
  <c r="BI431" i="1"/>
  <c r="BD444" i="1"/>
  <c r="BD436" i="1"/>
  <c r="BD493" i="1" s="1"/>
  <c r="BD429" i="1"/>
  <c r="BD431" i="1"/>
  <c r="BG425" i="1"/>
  <c r="BG492" i="1"/>
  <c r="BL369" i="1"/>
  <c r="BE442" i="1"/>
  <c r="BE444" i="1" s="1"/>
  <c r="M46" i="2" s="1"/>
  <c r="M47" i="2" s="1"/>
  <c r="M48" i="2" s="1"/>
  <c r="M52" i="2" s="1"/>
  <c r="D5" i="5" l="1"/>
  <c r="D4" i="4"/>
  <c r="D6" i="4" s="1"/>
  <c r="D11" i="4" s="1"/>
  <c r="M265" i="2"/>
  <c r="M275" i="2" s="1"/>
  <c r="M303" i="2"/>
  <c r="D4" i="5"/>
  <c r="BE479" i="1"/>
  <c r="BE436" i="1"/>
  <c r="M252" i="2"/>
  <c r="BE429" i="1"/>
  <c r="BJ431" i="1"/>
  <c r="D10" i="4"/>
  <c r="BE431" i="1"/>
  <c r="CD9" i="7"/>
  <c r="BJ368" i="1"/>
  <c r="BJ365" i="1"/>
  <c r="BO366" i="1"/>
  <c r="BD446" i="1"/>
  <c r="BD445" i="1"/>
  <c r="BD467" i="1"/>
  <c r="BD465" i="1"/>
  <c r="BI465" i="1"/>
  <c r="BF425" i="1"/>
  <c r="BF492" i="1"/>
  <c r="BF369" i="1"/>
  <c r="BK369" i="1"/>
  <c r="D15" i="4" l="1"/>
  <c r="E16" i="4" s="1"/>
  <c r="BJ425" i="1"/>
  <c r="BJ492" i="1"/>
  <c r="BJ495" i="1" s="1"/>
  <c r="N85" i="2" s="1"/>
  <c r="N86" i="2" s="1"/>
  <c r="BO369" i="1"/>
  <c r="M304" i="2"/>
  <c r="BE493" i="1"/>
  <c r="N305" i="2"/>
  <c r="M305" i="2"/>
  <c r="BD368" i="1"/>
  <c r="BD366" i="1"/>
  <c r="BD365" i="1"/>
  <c r="BI366" i="1"/>
  <c r="M273" i="2"/>
  <c r="M274" i="2" s="1"/>
  <c r="M55" i="2"/>
  <c r="P227" i="6"/>
  <c r="P229" i="6" s="1"/>
  <c r="M259" i="2"/>
  <c r="M65" i="2" l="1"/>
  <c r="D20" i="4"/>
  <c r="BD425" i="1"/>
  <c r="BD369" i="1"/>
  <c r="BD492" i="1"/>
  <c r="BI369" i="1"/>
  <c r="BC467" i="1" l="1"/>
  <c r="BH465" i="1"/>
  <c r="BB467" i="1" l="1"/>
  <c r="BG465" i="1"/>
  <c r="BC368" i="1"/>
  <c r="BC366" i="1"/>
  <c r="BC365" i="1"/>
  <c r="BH366" i="1"/>
  <c r="AX419" i="1"/>
  <c r="AY419" i="1"/>
  <c r="BA419" i="1"/>
  <c r="BC425" i="1" l="1"/>
  <c r="BC492" i="1"/>
  <c r="BC369" i="1"/>
  <c r="BH369" i="1"/>
  <c r="BA445" i="1"/>
  <c r="AU7" i="7"/>
  <c r="BE419" i="1"/>
  <c r="M166" i="2" s="1"/>
  <c r="BA492" i="1"/>
  <c r="BA446" i="1"/>
  <c r="BA435" i="1"/>
  <c r="BA489" i="1"/>
  <c r="BA474" i="1"/>
  <c r="BF516" i="1"/>
  <c r="BA421" i="1"/>
  <c r="BF420" i="1"/>
  <c r="BB366" i="1"/>
  <c r="BE364" i="1"/>
  <c r="BB365" i="1"/>
  <c r="BB368" i="1"/>
  <c r="BG366" i="1"/>
  <c r="AY445" i="1"/>
  <c r="BD420" i="1"/>
  <c r="AY474" i="1"/>
  <c r="AY516" i="1"/>
  <c r="AY446" i="1"/>
  <c r="AT7" i="7"/>
  <c r="AY420" i="1"/>
  <c r="AY492" i="1"/>
  <c r="AY494" i="1" s="1"/>
  <c r="BD516" i="1"/>
  <c r="AY421" i="1"/>
  <c r="AY489" i="1"/>
  <c r="AY435" i="1"/>
  <c r="AX489" i="1"/>
  <c r="AX516" i="1"/>
  <c r="BC516" i="1"/>
  <c r="AX421" i="1"/>
  <c r="AX474" i="1"/>
  <c r="AS7" i="7"/>
  <c r="BC420" i="1"/>
  <c r="AX435" i="1"/>
  <c r="AX420" i="1"/>
  <c r="BA416" i="1"/>
  <c r="AY416" i="1"/>
  <c r="AX416" i="1"/>
  <c r="BE449" i="1"/>
  <c r="AX13" i="1" l="1"/>
  <c r="AS8" i="7"/>
  <c r="BC514" i="1"/>
  <c r="BE445" i="1"/>
  <c r="BJ516" i="1"/>
  <c r="M173" i="2"/>
  <c r="BE421" i="1"/>
  <c r="M76" i="2"/>
  <c r="M156" i="2"/>
  <c r="M163" i="2"/>
  <c r="M160" i="2"/>
  <c r="M153" i="2"/>
  <c r="M192" i="2"/>
  <c r="BE474" i="1"/>
  <c r="M100" i="2"/>
  <c r="M136" i="2"/>
  <c r="M74" i="2"/>
  <c r="BJ420" i="1"/>
  <c r="CD7" i="7"/>
  <c r="BE489" i="1"/>
  <c r="D3" i="5"/>
  <c r="BE446" i="1"/>
  <c r="BE496" i="1" s="1"/>
  <c r="BE435" i="1"/>
  <c r="AY13" i="1"/>
  <c r="AT8" i="7"/>
  <c r="BD514" i="1"/>
  <c r="BE416" i="1"/>
  <c r="AU8" i="7"/>
  <c r="BA13" i="1"/>
  <c r="BF417" i="1"/>
  <c r="BF514" i="1"/>
  <c r="BB425" i="1"/>
  <c r="BB369" i="1"/>
  <c r="BB492" i="1"/>
  <c r="BG369" i="1"/>
  <c r="AX30" i="1"/>
  <c r="AX29" i="1"/>
  <c r="AX490" i="1"/>
  <c r="BC490" i="1"/>
  <c r="BE368" i="1"/>
  <c r="BE366" i="1"/>
  <c r="BJ366" i="1"/>
  <c r="BA29" i="1"/>
  <c r="BF490" i="1"/>
  <c r="BA30" i="1"/>
  <c r="BA465" i="1"/>
  <c r="BA467" i="1"/>
  <c r="BE463" i="1"/>
  <c r="BF465" i="1"/>
  <c r="M78" i="2"/>
  <c r="BE450" i="1"/>
  <c r="M267" i="2"/>
  <c r="AY490" i="1"/>
  <c r="BD490" i="1"/>
  <c r="AY29" i="1"/>
  <c r="AY30" i="1"/>
  <c r="BE13" i="1" l="1"/>
  <c r="CD8" i="7"/>
  <c r="BJ514" i="1"/>
  <c r="BJ417" i="1"/>
  <c r="AY345" i="1"/>
  <c r="AY349" i="1"/>
  <c r="AY357" i="1"/>
  <c r="AY336" i="1"/>
  <c r="AY341" i="1"/>
  <c r="AY365" i="1"/>
  <c r="AY327" i="1"/>
  <c r="AY324" i="1"/>
  <c r="BE492" i="1"/>
  <c r="BE495" i="1" s="1"/>
  <c r="M85" i="2" s="1"/>
  <c r="M86" i="2" s="1"/>
  <c r="BE369" i="1"/>
  <c r="BE425" i="1"/>
  <c r="BJ369" i="1"/>
  <c r="BJ490" i="1"/>
  <c r="BE30" i="1"/>
  <c r="M300" i="2"/>
  <c r="M307" i="2"/>
  <c r="M308" i="2" s="1"/>
  <c r="M313" i="2"/>
  <c r="BE29" i="1"/>
  <c r="BF31" i="1"/>
  <c r="BA39" i="1"/>
  <c r="BA50" i="1"/>
  <c r="BD14" i="1"/>
  <c r="AX336" i="1"/>
  <c r="AX345" i="1"/>
  <c r="AX357" i="1"/>
  <c r="AX327" i="1"/>
  <c r="AX341" i="1"/>
  <c r="AX349" i="1"/>
  <c r="AX365" i="1"/>
  <c r="AX324" i="1"/>
  <c r="AY31" i="1"/>
  <c r="BD31" i="1"/>
  <c r="AY50" i="1"/>
  <c r="AY39" i="1"/>
  <c r="BA327" i="1"/>
  <c r="BA345" i="1"/>
  <c r="BA357" i="1"/>
  <c r="BA341" i="1"/>
  <c r="BA324" i="1"/>
  <c r="BA365" i="1"/>
  <c r="BA349" i="1"/>
  <c r="BA336" i="1"/>
  <c r="BC31" i="1"/>
  <c r="AX31" i="1"/>
  <c r="AX50" i="1"/>
  <c r="AX39" i="1"/>
  <c r="BF14" i="1"/>
  <c r="D63" i="4"/>
  <c r="BE464" i="1"/>
  <c r="W14" i="3" s="1"/>
  <c r="W15" i="3"/>
  <c r="M271" i="2" s="1"/>
  <c r="BE467" i="1"/>
  <c r="BJ465" i="1"/>
  <c r="BC14" i="1"/>
  <c r="AY207" i="1"/>
  <c r="AX207" i="1"/>
  <c r="BE349" i="1" l="1"/>
  <c r="BE357" i="1"/>
  <c r="BE324" i="1"/>
  <c r="BE336" i="1"/>
  <c r="BE341" i="1"/>
  <c r="BE345" i="1"/>
  <c r="W18" i="3"/>
  <c r="W227" i="3" s="1"/>
  <c r="BE327" i="1"/>
  <c r="BE365" i="1"/>
  <c r="N309" i="2"/>
  <c r="BB208" i="1"/>
  <c r="AX206" i="1"/>
  <c r="AS35" i="7" s="1"/>
  <c r="AX208" i="1"/>
  <c r="AS36" i="7"/>
  <c r="W30" i="3"/>
  <c r="W31" i="3" s="1"/>
  <c r="M276" i="2"/>
  <c r="M281" i="2" s="1"/>
  <c r="M282" i="2" s="1"/>
  <c r="M270" i="2"/>
  <c r="BE39" i="1"/>
  <c r="BE50" i="1"/>
  <c r="BJ31" i="1"/>
  <c r="AZ207" i="1"/>
  <c r="AY206" i="1"/>
  <c r="AY208" i="1"/>
  <c r="BC208" i="1"/>
  <c r="AT36" i="7"/>
  <c r="BJ14" i="1"/>
  <c r="CC36" i="7" l="1"/>
  <c r="BD208" i="1"/>
  <c r="AZ208" i="1"/>
  <c r="AT35" i="7"/>
  <c r="AZ206" i="1"/>
  <c r="CC35" i="7" s="1"/>
  <c r="N283" i="2"/>
  <c r="AW207" i="1" l="1"/>
  <c r="AR36" i="7" l="1"/>
  <c r="BA208" i="1"/>
  <c r="AW208" i="1"/>
  <c r="AW206" i="1"/>
  <c r="AR35" i="7" s="1"/>
  <c r="AX455" i="1" l="1"/>
  <c r="AX457" i="1"/>
  <c r="AX51" i="1"/>
  <c r="AS12" i="7" s="1"/>
  <c r="AX444" i="1"/>
  <c r="AZ438" i="1"/>
  <c r="AX492" i="1"/>
  <c r="AX494" i="1" s="1"/>
  <c r="AZ444" i="1" l="1"/>
  <c r="L46" i="2" s="1"/>
  <c r="L47" i="2" s="1"/>
  <c r="L48" i="2" s="1"/>
  <c r="L52" i="2" s="1"/>
  <c r="L277" i="2"/>
  <c r="L316" i="2"/>
  <c r="L266" i="2"/>
  <c r="L275" i="2" s="1"/>
  <c r="AZ440" i="1"/>
  <c r="C6" i="5" s="1"/>
  <c r="AZ51" i="1"/>
  <c r="CC12" i="7" s="1"/>
  <c r="AX446" i="1"/>
  <c r="AX445" i="1"/>
  <c r="BC458" i="1"/>
  <c r="AX458" i="1"/>
  <c r="AX463" i="1"/>
  <c r="AS10" i="7"/>
  <c r="AS22" i="7" s="1"/>
  <c r="AX467" i="1" l="1"/>
  <c r="AX465" i="1"/>
  <c r="BC465" i="1"/>
  <c r="L93" i="2"/>
  <c r="C5" i="5"/>
  <c r="C4" i="4"/>
  <c r="C6" i="4" s="1"/>
  <c r="C11" i="4" s="1"/>
  <c r="C15" i="4" s="1"/>
  <c r="V20" i="3" l="1"/>
  <c r="V259" i="3" s="1"/>
  <c r="V260" i="3" s="1"/>
  <c r="V261" i="3" s="1"/>
  <c r="V262" i="3" s="1"/>
  <c r="V272" i="3" s="1"/>
  <c r="L99" i="2"/>
  <c r="C20" i="4"/>
  <c r="D16" i="4"/>
  <c r="V267" i="3" l="1"/>
  <c r="AW419" i="1"/>
  <c r="AW445" i="1" l="1"/>
  <c r="AW446" i="1"/>
  <c r="AW435" i="1"/>
  <c r="AR7" i="7"/>
  <c r="BB516" i="1"/>
  <c r="AW421" i="1"/>
  <c r="AW492" i="1"/>
  <c r="AW494" i="1" s="1"/>
  <c r="AW516" i="1"/>
  <c r="AW489" i="1"/>
  <c r="AW474" i="1"/>
  <c r="BB420" i="1"/>
  <c r="AW420" i="1"/>
  <c r="AW457" i="1"/>
  <c r="AZ454" i="1"/>
  <c r="AW455" i="1"/>
  <c r="AW416" i="1"/>
  <c r="AG430" i="1"/>
  <c r="AH430" i="1"/>
  <c r="AI430" i="1"/>
  <c r="AJ430" i="1"/>
  <c r="AL430" i="1"/>
  <c r="AM430" i="1"/>
  <c r="AN430" i="1"/>
  <c r="AO430" i="1"/>
  <c r="AE9" i="7" l="1"/>
  <c r="AE21" i="7" s="1"/>
  <c r="AG429" i="1"/>
  <c r="AG444" i="1"/>
  <c r="AG435" i="1"/>
  <c r="M62" i="6" s="1"/>
  <c r="AG494" i="1"/>
  <c r="AG436" i="1"/>
  <c r="M63" i="6" s="1"/>
  <c r="M72" i="6"/>
  <c r="M73" i="6" s="1"/>
  <c r="AH436" i="1"/>
  <c r="N63" i="6" s="1"/>
  <c r="AH444" i="1"/>
  <c r="AH494" i="1"/>
  <c r="N72" i="6"/>
  <c r="N73" i="6" s="1"/>
  <c r="AH429" i="1"/>
  <c r="AF9" i="7"/>
  <c r="AF21" i="7" s="1"/>
  <c r="AH435" i="1"/>
  <c r="N62" i="6" s="1"/>
  <c r="L57" i="2"/>
  <c r="L80" i="2"/>
  <c r="L81" i="2"/>
  <c r="AZ455" i="1"/>
  <c r="AN429" i="1"/>
  <c r="AK9" i="7"/>
  <c r="AK21" i="7" s="1"/>
  <c r="AN436" i="1"/>
  <c r="S63" i="6" s="1"/>
  <c r="AN494" i="1"/>
  <c r="S72" i="6"/>
  <c r="S73" i="6" s="1"/>
  <c r="AN435" i="1"/>
  <c r="S62" i="6" s="1"/>
  <c r="AN444" i="1"/>
  <c r="AR8" i="7"/>
  <c r="AW13" i="1"/>
  <c r="BB14" i="1" s="1"/>
  <c r="BB514" i="1"/>
  <c r="BB458" i="1"/>
  <c r="AW463" i="1"/>
  <c r="AW458" i="1"/>
  <c r="AR10" i="7"/>
  <c r="AR22" i="7" s="1"/>
  <c r="AZ457" i="1"/>
  <c r="AM444" i="1"/>
  <c r="AM435" i="1"/>
  <c r="R62" i="6" s="1"/>
  <c r="AJ9" i="7"/>
  <c r="AJ21" i="7" s="1"/>
  <c r="R72" i="6"/>
  <c r="R73" i="6" s="1"/>
  <c r="AM494" i="1"/>
  <c r="AM429" i="1"/>
  <c r="AM436" i="1"/>
  <c r="R63" i="6" s="1"/>
  <c r="AO429" i="1"/>
  <c r="AO444" i="1"/>
  <c r="AO436" i="1"/>
  <c r="T63" i="6" s="1"/>
  <c r="AO494" i="1"/>
  <c r="T72" i="6"/>
  <c r="T73" i="6" s="1"/>
  <c r="AO435" i="1"/>
  <c r="T62" i="6" s="1"/>
  <c r="AL9" i="7"/>
  <c r="AL21" i="7" s="1"/>
  <c r="AL429" i="1"/>
  <c r="AL444" i="1"/>
  <c r="AL494" i="1"/>
  <c r="Q72" i="6"/>
  <c r="Q73" i="6" s="1"/>
  <c r="AL435" i="1"/>
  <c r="Q62" i="6" s="1"/>
  <c r="AL436" i="1"/>
  <c r="Q63" i="6" s="1"/>
  <c r="AI9" i="7"/>
  <c r="AI21" i="7" s="1"/>
  <c r="AJ436" i="1"/>
  <c r="P63" i="6" s="1"/>
  <c r="AH9" i="7"/>
  <c r="AH21" i="7" s="1"/>
  <c r="AJ435" i="1"/>
  <c r="P62" i="6" s="1"/>
  <c r="AJ494" i="1"/>
  <c r="AJ429" i="1"/>
  <c r="P72" i="6"/>
  <c r="P73" i="6" s="1"/>
  <c r="AJ444" i="1"/>
  <c r="AI435" i="1"/>
  <c r="O62" i="6" s="1"/>
  <c r="AI429" i="1"/>
  <c r="AG9" i="7"/>
  <c r="AG21" i="7" s="1"/>
  <c r="AI444" i="1"/>
  <c r="AI494" i="1"/>
  <c r="AI436" i="1"/>
  <c r="O63" i="6" s="1"/>
  <c r="O72" i="6"/>
  <c r="O73" i="6" s="1"/>
  <c r="AW29" i="1"/>
  <c r="AW490" i="1"/>
  <c r="BB490" i="1"/>
  <c r="AW30" i="1"/>
  <c r="AL416" i="1"/>
  <c r="AM416" i="1"/>
  <c r="AN416" i="1"/>
  <c r="AO416" i="1"/>
  <c r="AQ416" i="1"/>
  <c r="AR416" i="1"/>
  <c r="AS416" i="1"/>
  <c r="AT416" i="1"/>
  <c r="AV419" i="1"/>
  <c r="W416" i="1"/>
  <c r="AW39" i="1" l="1"/>
  <c r="AW50" i="1"/>
  <c r="BB31" i="1"/>
  <c r="AW31" i="1"/>
  <c r="AT514" i="1"/>
  <c r="AT13" i="1"/>
  <c r="AY514" i="1"/>
  <c r="AS514" i="1"/>
  <c r="AS13" i="1"/>
  <c r="AX514" i="1"/>
  <c r="L194" i="2"/>
  <c r="L65" i="2"/>
  <c r="L254" i="2"/>
  <c r="AW514" i="1"/>
  <c r="AR514" i="1"/>
  <c r="AR13" i="1"/>
  <c r="W13" i="1"/>
  <c r="W14" i="1" s="1"/>
  <c r="AW336" i="1"/>
  <c r="AW365" i="1"/>
  <c r="AW341" i="1"/>
  <c r="AW349" i="1"/>
  <c r="AW357" i="1"/>
  <c r="AW345" i="1"/>
  <c r="AW327" i="1"/>
  <c r="AW324" i="1"/>
  <c r="AJ445" i="1"/>
  <c r="AJ446" i="1"/>
  <c r="AJ452" i="1"/>
  <c r="AW465" i="1"/>
  <c r="AW467" i="1"/>
  <c r="BB465" i="1"/>
  <c r="AG445" i="1"/>
  <c r="AG446" i="1"/>
  <c r="AG452" i="1"/>
  <c r="AO445" i="1"/>
  <c r="AO446" i="1"/>
  <c r="AO452" i="1"/>
  <c r="AM445" i="1"/>
  <c r="AM452" i="1"/>
  <c r="AM446" i="1"/>
  <c r="AQ514" i="1"/>
  <c r="AU416" i="1"/>
  <c r="AQ13" i="1"/>
  <c r="AO13" i="1"/>
  <c r="AN13" i="1"/>
  <c r="AM13" i="1"/>
  <c r="AV445" i="1"/>
  <c r="AV489" i="1"/>
  <c r="AQ7" i="7"/>
  <c r="AV420" i="1"/>
  <c r="AV435" i="1"/>
  <c r="Y62" i="6" s="1"/>
  <c r="AV421" i="1"/>
  <c r="AV492" i="1"/>
  <c r="AV494" i="1" s="1"/>
  <c r="AV474" i="1"/>
  <c r="AV446" i="1"/>
  <c r="AZ419" i="1"/>
  <c r="L166" i="2" s="1"/>
  <c r="AV516" i="1"/>
  <c r="BA420" i="1"/>
  <c r="BA516" i="1"/>
  <c r="AP416" i="1"/>
  <c r="AL13" i="1"/>
  <c r="AI445" i="1"/>
  <c r="AI452" i="1"/>
  <c r="AI446" i="1"/>
  <c r="AL445" i="1"/>
  <c r="AL446" i="1"/>
  <c r="AL452" i="1"/>
  <c r="C12" i="5"/>
  <c r="C16" i="5" s="1"/>
  <c r="CC10" i="7"/>
  <c r="L222" i="2"/>
  <c r="BE458" i="1"/>
  <c r="AZ463" i="1"/>
  <c r="AZ458" i="1"/>
  <c r="V29" i="3"/>
  <c r="AN445" i="1"/>
  <c r="AN446" i="1"/>
  <c r="AN452" i="1"/>
  <c r="AH445" i="1"/>
  <c r="AH452" i="1"/>
  <c r="AH446" i="1"/>
  <c r="AV416" i="1"/>
  <c r="AQ14" i="1" l="1"/>
  <c r="AL455" i="1"/>
  <c r="AL457" i="1"/>
  <c r="AO455" i="1"/>
  <c r="AO457" i="1"/>
  <c r="AT14" i="1"/>
  <c r="AY14" i="1"/>
  <c r="AR431" i="1"/>
  <c r="AR429" i="1"/>
  <c r="AR436" i="1"/>
  <c r="V63" i="6" s="1"/>
  <c r="AR435" i="1"/>
  <c r="V62" i="6" s="1"/>
  <c r="AR494" i="1"/>
  <c r="AW431" i="1"/>
  <c r="AR444" i="1"/>
  <c r="AN9" i="7"/>
  <c r="AN21" i="7" s="1"/>
  <c r="V72" i="6"/>
  <c r="V73" i="6" s="1"/>
  <c r="AZ465" i="1"/>
  <c r="AZ467" i="1"/>
  <c r="C63" i="4"/>
  <c r="V15" i="3"/>
  <c r="L271" i="2" s="1"/>
  <c r="AJ455" i="1"/>
  <c r="AJ457" i="1"/>
  <c r="O227" i="6"/>
  <c r="O229" i="6" s="1"/>
  <c r="L259" i="2"/>
  <c r="AW14" i="1"/>
  <c r="AR14" i="1"/>
  <c r="U72" i="6"/>
  <c r="U73" i="6" s="1"/>
  <c r="AQ494" i="1"/>
  <c r="AM9" i="7"/>
  <c r="AM21" i="7" s="1"/>
  <c r="AQ431" i="1"/>
  <c r="AQ435" i="1"/>
  <c r="U62" i="6" s="1"/>
  <c r="AQ429" i="1"/>
  <c r="AV431" i="1"/>
  <c r="AQ444" i="1"/>
  <c r="AQ436" i="1"/>
  <c r="U63" i="6" s="1"/>
  <c r="AU430" i="1"/>
  <c r="AM457" i="1"/>
  <c r="AM455" i="1"/>
  <c r="AS431" i="1"/>
  <c r="AS444" i="1"/>
  <c r="AS436" i="1"/>
  <c r="W63" i="6" s="1"/>
  <c r="W72" i="6"/>
  <c r="W73" i="6" s="1"/>
  <c r="AS435" i="1"/>
  <c r="W62" i="6" s="1"/>
  <c r="AX431" i="1"/>
  <c r="AS494" i="1"/>
  <c r="AO9" i="7"/>
  <c r="AO21" i="7" s="1"/>
  <c r="AS429" i="1"/>
  <c r="AI455" i="1"/>
  <c r="AI457" i="1"/>
  <c r="AU13" i="1"/>
  <c r="AU514" i="1"/>
  <c r="CB8" i="7"/>
  <c r="AG457" i="1"/>
  <c r="AG455" i="1"/>
  <c r="L198" i="2"/>
  <c r="V111" i="3"/>
  <c r="L200" i="2"/>
  <c r="L273" i="2" s="1"/>
  <c r="L274" i="2" s="1"/>
  <c r="CA8" i="7"/>
  <c r="AP13" i="1"/>
  <c r="AH457" i="1"/>
  <c r="AH455" i="1"/>
  <c r="AY431" i="1"/>
  <c r="AT429" i="1"/>
  <c r="X72" i="6"/>
  <c r="X73" i="6" s="1"/>
  <c r="AT494" i="1"/>
  <c r="AT431" i="1"/>
  <c r="AT436" i="1"/>
  <c r="X63" i="6" s="1"/>
  <c r="AP9" i="7"/>
  <c r="AP21" i="7" s="1"/>
  <c r="AT444" i="1"/>
  <c r="AT435" i="1"/>
  <c r="X62" i="6" s="1"/>
  <c r="AV13" i="1"/>
  <c r="AV514" i="1"/>
  <c r="AZ416" i="1"/>
  <c r="AQ8" i="7"/>
  <c r="BA514" i="1"/>
  <c r="AN455" i="1"/>
  <c r="AN457" i="1"/>
  <c r="AZ445" i="1"/>
  <c r="AZ492" i="1"/>
  <c r="L100" i="2"/>
  <c r="AZ489" i="1"/>
  <c r="AZ421" i="1"/>
  <c r="L74" i="2"/>
  <c r="AZ474" i="1"/>
  <c r="AZ516" i="1"/>
  <c r="L173" i="2"/>
  <c r="L156" i="2"/>
  <c r="L136" i="2"/>
  <c r="CC7" i="7"/>
  <c r="CP7" i="7" s="1"/>
  <c r="L76" i="2"/>
  <c r="L153" i="2"/>
  <c r="L192" i="2"/>
  <c r="AZ420" i="1"/>
  <c r="L160" i="2"/>
  <c r="L163" i="2"/>
  <c r="AZ435" i="1"/>
  <c r="C3" i="5"/>
  <c r="BE420" i="1"/>
  <c r="BE516" i="1"/>
  <c r="AZ446" i="1"/>
  <c r="AZ496" i="1" s="1"/>
  <c r="AV29" i="1"/>
  <c r="AV30" i="1"/>
  <c r="AV490" i="1"/>
  <c r="BA490" i="1"/>
  <c r="AS14" i="1"/>
  <c r="AX14" i="1"/>
  <c r="AG416" i="1"/>
  <c r="AI416" i="1"/>
  <c r="Z416" i="1"/>
  <c r="X416" i="1"/>
  <c r="AH416" i="1"/>
  <c r="AJ416" i="1"/>
  <c r="Y416" i="1"/>
  <c r="AB416" i="1"/>
  <c r="AZ442" i="1"/>
  <c r="AV327" i="1" l="1"/>
  <c r="AV357" i="1"/>
  <c r="AV349" i="1"/>
  <c r="AV324" i="1"/>
  <c r="AV336" i="1"/>
  <c r="AV365" i="1"/>
  <c r="AV345" i="1"/>
  <c r="AV341" i="1"/>
  <c r="AH514" i="1"/>
  <c r="AH13" i="1"/>
  <c r="AM514" i="1"/>
  <c r="AN463" i="1"/>
  <c r="AK10" i="7"/>
  <c r="AK22" i="7" s="1"/>
  <c r="AT446" i="1"/>
  <c r="AT445" i="1"/>
  <c r="AJ463" i="1"/>
  <c r="AH10" i="7"/>
  <c r="AH22" i="7" s="1"/>
  <c r="AR446" i="1"/>
  <c r="AR445" i="1"/>
  <c r="AB514" i="1"/>
  <c r="AB13" i="1"/>
  <c r="AB14" i="1" s="1"/>
  <c r="AF416" i="1"/>
  <c r="AI514" i="1"/>
  <c r="AI13" i="1"/>
  <c r="AN514" i="1"/>
  <c r="AU436" i="1"/>
  <c r="B10" i="4"/>
  <c r="K252" i="2"/>
  <c r="AU435" i="1"/>
  <c r="AU431" i="1"/>
  <c r="K303" i="2"/>
  <c r="AU444" i="1"/>
  <c r="K46" i="2" s="1"/>
  <c r="K47" i="2" s="1"/>
  <c r="K48" i="2" s="1"/>
  <c r="K52" i="2" s="1"/>
  <c r="AZ431" i="1"/>
  <c r="K265" i="2"/>
  <c r="K275" i="2" s="1"/>
  <c r="CB9" i="7"/>
  <c r="AU494" i="1"/>
  <c r="AU479" i="1"/>
  <c r="B4" i="5"/>
  <c r="AG463" i="1"/>
  <c r="AE10" i="7"/>
  <c r="AE22" i="7" s="1"/>
  <c r="L270" i="2"/>
  <c r="L276" i="2"/>
  <c r="L281" i="2" s="1"/>
  <c r="L282" i="2" s="1"/>
  <c r="V30" i="3"/>
  <c r="V31" i="3" s="1"/>
  <c r="AL10" i="7"/>
  <c r="AL22" i="7" s="1"/>
  <c r="AO463" i="1"/>
  <c r="Y13" i="1"/>
  <c r="AD514" i="1"/>
  <c r="AC514" i="1"/>
  <c r="X13" i="1"/>
  <c r="AA416" i="1"/>
  <c r="AG13" i="1"/>
  <c r="AG514" i="1"/>
  <c r="AK416" i="1"/>
  <c r="AL514" i="1"/>
  <c r="L313" i="2"/>
  <c r="AZ490" i="1"/>
  <c r="L307" i="2"/>
  <c r="L308" i="2" s="1"/>
  <c r="AZ29" i="1"/>
  <c r="L300" i="2"/>
  <c r="AZ30" i="1"/>
  <c r="BE490" i="1"/>
  <c r="AZ13" i="1"/>
  <c r="AZ514" i="1"/>
  <c r="BE514" i="1"/>
  <c r="AU14" i="1"/>
  <c r="AQ446" i="1"/>
  <c r="AQ445" i="1"/>
  <c r="AM463" i="1"/>
  <c r="AJ10" i="7"/>
  <c r="AJ22" i="7" s="1"/>
  <c r="AG10" i="7"/>
  <c r="AG22" i="7" s="1"/>
  <c r="AI463" i="1"/>
  <c r="AI10" i="7"/>
  <c r="AI22" i="7" s="1"/>
  <c r="AL463" i="1"/>
  <c r="AF10" i="7"/>
  <c r="AF22" i="7" s="1"/>
  <c r="AH463" i="1"/>
  <c r="AJ514" i="1"/>
  <c r="AJ13" i="1"/>
  <c r="AO514" i="1"/>
  <c r="AE514" i="1"/>
  <c r="Z13" i="1"/>
  <c r="AV39" i="1"/>
  <c r="U177" i="6"/>
  <c r="AV50" i="1"/>
  <c r="AV31" i="1"/>
  <c r="BA31" i="1"/>
  <c r="AZ494" i="1"/>
  <c r="AZ495" i="1"/>
  <c r="L85" i="2" s="1"/>
  <c r="L86" i="2" s="1"/>
  <c r="AV14" i="1"/>
  <c r="BA14" i="1"/>
  <c r="AS446" i="1"/>
  <c r="AS445" i="1"/>
  <c r="AU429" i="1"/>
  <c r="AU445" i="1" l="1"/>
  <c r="AU452" i="1"/>
  <c r="AU446" i="1"/>
  <c r="AU496" i="1" s="1"/>
  <c r="B4" i="4"/>
  <c r="B6" i="4" s="1"/>
  <c r="B11" i="4" s="1"/>
  <c r="B15" i="4" s="1"/>
  <c r="B5" i="5"/>
  <c r="AI14" i="1"/>
  <c r="AN14" i="1"/>
  <c r="AZ14" i="1"/>
  <c r="BE14" i="1"/>
  <c r="Y14" i="1"/>
  <c r="AD14" i="1"/>
  <c r="AG467" i="1"/>
  <c r="AG465" i="1"/>
  <c r="K307" i="2"/>
  <c r="K308" i="2" s="1"/>
  <c r="K309" i="2" s="1"/>
  <c r="L305" i="2"/>
  <c r="K305" i="2"/>
  <c r="AI465" i="1"/>
  <c r="AI467" i="1"/>
  <c r="AJ465" i="1"/>
  <c r="AJ467" i="1"/>
  <c r="AJ14" i="1"/>
  <c r="AO14" i="1"/>
  <c r="BZ8" i="7"/>
  <c r="AK13" i="1"/>
  <c r="AK514" i="1"/>
  <c r="AP514" i="1"/>
  <c r="AO467" i="1"/>
  <c r="AO465" i="1"/>
  <c r="AT465" i="1"/>
  <c r="AF514" i="1"/>
  <c r="BY8" i="7"/>
  <c r="AF13" i="1"/>
  <c r="AM465" i="1"/>
  <c r="AR465" i="1"/>
  <c r="AM467" i="1"/>
  <c r="AZ50" i="1"/>
  <c r="AZ39" i="1"/>
  <c r="AZ31" i="1"/>
  <c r="BE31" i="1"/>
  <c r="K55" i="2"/>
  <c r="K259" i="2"/>
  <c r="K261" i="2" s="1"/>
  <c r="N227" i="6"/>
  <c r="N229" i="6" s="1"/>
  <c r="AS465" i="1"/>
  <c r="AN467" i="1"/>
  <c r="AN465" i="1"/>
  <c r="AH467" i="1"/>
  <c r="AH465" i="1"/>
  <c r="AG14" i="1"/>
  <c r="AL14" i="1"/>
  <c r="U191" i="6"/>
  <c r="U189" i="6"/>
  <c r="U193" i="6"/>
  <c r="U190" i="6"/>
  <c r="U192" i="6"/>
  <c r="AZ345" i="1"/>
  <c r="AZ324" i="1"/>
  <c r="V18" i="3"/>
  <c r="V227" i="3" s="1"/>
  <c r="AZ349" i="1"/>
  <c r="AZ357" i="1"/>
  <c r="AZ327" i="1"/>
  <c r="AZ336" i="1"/>
  <c r="AZ365" i="1"/>
  <c r="AZ341" i="1"/>
  <c r="AA514" i="1"/>
  <c r="BX8" i="7"/>
  <c r="AA13" i="1"/>
  <c r="AA14" i="1" s="1"/>
  <c r="L283" i="2"/>
  <c r="M283" i="2"/>
  <c r="AL467" i="1"/>
  <c r="AL465" i="1"/>
  <c r="AQ465" i="1"/>
  <c r="M309" i="2"/>
  <c r="X14" i="1"/>
  <c r="AC14" i="1"/>
  <c r="K304" i="2"/>
  <c r="AU493" i="1"/>
  <c r="AH14" i="1"/>
  <c r="AM14" i="1"/>
  <c r="AE14" i="1"/>
  <c r="Z14" i="1"/>
  <c r="K65" i="2" l="1"/>
  <c r="K66" i="2" s="1"/>
  <c r="L309" i="2"/>
  <c r="AF14" i="1"/>
  <c r="B20" i="4"/>
  <c r="C16" i="4"/>
  <c r="AK14" i="1"/>
  <c r="AP14" i="1"/>
  <c r="K79" i="2"/>
  <c r="K196" i="2" s="1"/>
  <c r="K200" i="2" s="1"/>
  <c r="AU455" i="1"/>
  <c r="K269" i="2"/>
  <c r="K270" i="2" s="1"/>
  <c r="K81" i="2"/>
  <c r="K262" i="2"/>
  <c r="L261" i="2"/>
  <c r="K69" i="2" l="1"/>
  <c r="O214" i="6" s="1"/>
  <c r="U119" i="3"/>
  <c r="U114" i="3" s="1"/>
  <c r="U118" i="3" s="1"/>
  <c r="B57" i="4"/>
  <c r="B58" i="4" s="1"/>
  <c r="B61" i="4" s="1"/>
  <c r="K67" i="2"/>
  <c r="K135" i="2"/>
  <c r="U7" i="3" s="1"/>
  <c r="U25" i="3" s="1"/>
  <c r="L66" i="2"/>
  <c r="L67" i="2" s="1"/>
  <c r="K85" i="2"/>
  <c r="K86" i="2" s="1"/>
  <c r="K273" i="2"/>
  <c r="K274" i="2" s="1"/>
  <c r="L262" i="2"/>
  <c r="M261" i="2"/>
  <c r="U120" i="3" l="1"/>
  <c r="B62" i="4"/>
  <c r="C57" i="4"/>
  <c r="C58" i="4" s="1"/>
  <c r="C61" i="4" s="1"/>
  <c r="L135" i="2"/>
  <c r="V7" i="3" s="1"/>
  <c r="V25" i="3" s="1"/>
  <c r="M66" i="2"/>
  <c r="W119" i="3" s="1"/>
  <c r="K131" i="2"/>
  <c r="K129" i="2" s="1"/>
  <c r="L69" i="2"/>
  <c r="P214" i="6" s="1"/>
  <c r="V119" i="3"/>
  <c r="V114" i="3" s="1"/>
  <c r="V118" i="3" s="1"/>
  <c r="N261" i="2"/>
  <c r="M262" i="2"/>
  <c r="C62" i="4" l="1"/>
  <c r="M131" i="2"/>
  <c r="M129" i="2" s="1"/>
  <c r="L131" i="2"/>
  <c r="L129" i="2" s="1"/>
  <c r="W114" i="3"/>
  <c r="W118" i="3" s="1"/>
  <c r="V120" i="3"/>
  <c r="M69" i="2"/>
  <c r="Q214" i="6" s="1"/>
  <c r="D57" i="4"/>
  <c r="D58" i="4" s="1"/>
  <c r="D61" i="4" s="1"/>
  <c r="N66" i="2"/>
  <c r="O66" i="2" s="1"/>
  <c r="P66" i="2" s="1"/>
  <c r="Q66" i="2" s="1"/>
  <c r="M67" i="2"/>
  <c r="M135" i="2"/>
  <c r="W7" i="3" s="1"/>
  <c r="W25" i="3" s="1"/>
  <c r="N262" i="2"/>
  <c r="O261" i="2"/>
  <c r="W120" i="3"/>
  <c r="X119" i="3" l="1"/>
  <c r="X114" i="3" s="1"/>
  <c r="X118" i="3" s="1"/>
  <c r="D62" i="4"/>
  <c r="N135" i="2"/>
  <c r="O131" i="2" s="1"/>
  <c r="O129" i="2" s="1"/>
  <c r="N69" i="2"/>
  <c r="N131" i="2"/>
  <c r="N129" i="2" s="1"/>
  <c r="E57" i="4"/>
  <c r="E58" i="4" s="1"/>
  <c r="E61" i="4" s="1"/>
  <c r="N67" i="2"/>
  <c r="O69" i="2"/>
  <c r="Y119" i="3"/>
  <c r="Y114" i="3" s="1"/>
  <c r="Y118" i="3" s="1"/>
  <c r="F57" i="4"/>
  <c r="F58" i="4" s="1"/>
  <c r="O135" i="2"/>
  <c r="O67" i="2"/>
  <c r="O262" i="2"/>
  <c r="P261" i="2"/>
  <c r="X120" i="3"/>
  <c r="X7" i="3" l="1"/>
  <c r="X25" i="3" s="1"/>
  <c r="E62" i="4"/>
  <c r="Y7" i="3"/>
  <c r="Y25" i="3" s="1"/>
  <c r="P131" i="2"/>
  <c r="P129" i="2" s="1"/>
  <c r="Q261" i="2"/>
  <c r="P262" i="2"/>
  <c r="F61" i="4"/>
  <c r="F62" i="4"/>
  <c r="Y120" i="3"/>
  <c r="P69" i="2"/>
  <c r="Z119" i="3"/>
  <c r="Z114" i="3" s="1"/>
  <c r="Z118" i="3" s="1"/>
  <c r="G57" i="4"/>
  <c r="G58" i="4" s="1"/>
  <c r="P67" i="2"/>
  <c r="P135" i="2"/>
  <c r="Q69" i="2" l="1"/>
  <c r="H57" i="4"/>
  <c r="H58" i="4" s="1"/>
  <c r="Q135" i="2"/>
  <c r="R131" i="2" s="1"/>
  <c r="R129" i="2" s="1"/>
  <c r="S129" i="2" s="1"/>
  <c r="T129" i="2" s="1"/>
  <c r="U129" i="2" s="1"/>
  <c r="V129" i="2" s="1"/>
  <c r="W129" i="2" s="1"/>
  <c r="X129" i="2" s="1"/>
  <c r="Y129" i="2" s="1"/>
  <c r="Z129" i="2" s="1"/>
  <c r="AA129" i="2" s="1"/>
  <c r="AA119" i="3"/>
  <c r="AA114" i="3" s="1"/>
  <c r="AA118" i="3" s="1"/>
  <c r="Q67" i="2"/>
  <c r="G61" i="4"/>
  <c r="G62" i="4"/>
  <c r="Q262" i="2"/>
  <c r="Z7" i="3"/>
  <c r="Z25" i="3" s="1"/>
  <c r="Q131" i="2"/>
  <c r="Q129" i="2" s="1"/>
  <c r="Z120" i="3"/>
  <c r="AA120" i="3" l="1"/>
  <c r="AA7" i="3"/>
  <c r="AA25" i="3" s="1"/>
  <c r="H62" i="4"/>
  <c r="H61" i="4"/>
  <c r="AU72" i="1" l="1"/>
  <c r="BY72" i="1"/>
  <c r="BT74" i="1"/>
  <c r="BT73" i="1"/>
  <c r="BT72" i="1"/>
  <c r="BT68" i="1"/>
  <c r="BO74" i="1"/>
  <c r="BO73" i="1"/>
  <c r="BO72" i="1"/>
  <c r="BJ72" i="1"/>
  <c r="BJ73" i="1"/>
  <c r="BE74" i="1"/>
  <c r="BE72" i="1"/>
  <c r="BE73" i="1"/>
  <c r="AZ74" i="1"/>
  <c r="AZ73" i="1"/>
  <c r="AZ72" i="1"/>
  <c r="AZ80" i="1" s="1"/>
  <c r="AZ87" i="1" s="1"/>
  <c r="AU76" i="1"/>
  <c r="AU73" i="1"/>
  <c r="BJ74" i="1"/>
  <c r="BY80" i="1" l="1"/>
  <c r="BY87" i="1" s="1"/>
  <c r="BJ82" i="1"/>
  <c r="BJ89" i="1" s="1"/>
  <c r="N288" i="2" s="1"/>
  <c r="AU81" i="1"/>
  <c r="AU88" i="1" s="1"/>
  <c r="AU62" i="1"/>
  <c r="AU84" i="1"/>
  <c r="AU91" i="1" s="1"/>
  <c r="AU77" i="1"/>
  <c r="AU63" i="1"/>
  <c r="K287" i="2" s="1"/>
  <c r="AU75" i="1"/>
  <c r="AZ81" i="1"/>
  <c r="AZ88" i="1" s="1"/>
  <c r="AZ82" i="1"/>
  <c r="AZ89" i="1" s="1"/>
  <c r="L288" i="2" s="1"/>
  <c r="BE81" i="1"/>
  <c r="BE88" i="1" s="1"/>
  <c r="BE80" i="1"/>
  <c r="BE87" i="1" s="1"/>
  <c r="BE82" i="1"/>
  <c r="BE89" i="1" s="1"/>
  <c r="M288" i="2" s="1"/>
  <c r="BJ81" i="1"/>
  <c r="BJ88" i="1" s="1"/>
  <c r="BJ80" i="1"/>
  <c r="BJ87" i="1" s="1"/>
  <c r="BO80" i="1"/>
  <c r="BO87" i="1" s="1"/>
  <c r="BO81" i="1"/>
  <c r="BO88" i="1" s="1"/>
  <c r="BO82" i="1"/>
  <c r="BO89" i="1" s="1"/>
  <c r="O288" i="2" s="1"/>
  <c r="Z55" i="3"/>
  <c r="Z223" i="3" s="1"/>
  <c r="P292" i="2"/>
  <c r="BT80" i="1"/>
  <c r="BT87" i="1" s="1"/>
  <c r="BT81" i="1"/>
  <c r="BT88" i="1" s="1"/>
  <c r="BY81" i="1"/>
  <c r="BY88" i="1" s="1"/>
  <c r="BT82" i="1"/>
  <c r="BT89" i="1" s="1"/>
  <c r="P288" i="2" s="1"/>
  <c r="BY82" i="1"/>
  <c r="BY89" i="1" s="1"/>
  <c r="Q288" i="2" s="1"/>
  <c r="AU61" i="1"/>
  <c r="AU80" i="1"/>
  <c r="AU87" i="1" s="1"/>
  <c r="BY68" i="1"/>
  <c r="AZ76" i="1"/>
  <c r="AZ62" i="1" s="1"/>
  <c r="AZ63" i="1" l="1"/>
  <c r="L287" i="2" s="1"/>
  <c r="AZ61" i="1"/>
  <c r="AZ75" i="1"/>
  <c r="AZ77" i="1"/>
  <c r="AZ84" i="1"/>
  <c r="AZ91" i="1" s="1"/>
  <c r="Q292" i="2"/>
  <c r="AA55" i="3"/>
  <c r="AA223" i="3" s="1"/>
  <c r="P289" i="2"/>
  <c r="P293" i="2"/>
  <c r="AU64" i="1"/>
  <c r="AU65" i="1" s="1"/>
  <c r="AU83" i="1"/>
  <c r="AU90" i="1" s="1"/>
  <c r="Q289" i="2" l="1"/>
  <c r="Q293" i="2"/>
  <c r="AZ83" i="1"/>
  <c r="AZ90" i="1" s="1"/>
  <c r="AZ64" i="1"/>
  <c r="AZ65" i="1" s="1"/>
  <c r="BJ76" i="1" l="1"/>
  <c r="BJ63" i="1" l="1"/>
  <c r="N287" i="2" s="1"/>
  <c r="BJ62" i="1"/>
  <c r="BJ61" i="1"/>
  <c r="BJ75" i="1"/>
  <c r="BE76" i="1"/>
  <c r="BJ65" i="1" l="1"/>
  <c r="BE61" i="1"/>
  <c r="BE63" i="1"/>
  <c r="M287" i="2" s="1"/>
  <c r="BE62" i="1"/>
  <c r="BJ84" i="1"/>
  <c r="BJ91" i="1" s="1"/>
  <c r="BJ77" i="1"/>
  <c r="BE84" i="1"/>
  <c r="BE91" i="1" s="1"/>
  <c r="BE77" i="1"/>
  <c r="BE75" i="1"/>
  <c r="BJ83" i="1" l="1"/>
  <c r="BJ90" i="1" s="1"/>
  <c r="BE64" i="1"/>
  <c r="BE65" i="1" s="1"/>
  <c r="BE83" i="1"/>
  <c r="BE90" i="1" s="1"/>
  <c r="BO76" i="1" l="1"/>
  <c r="BO61" i="1" l="1"/>
  <c r="BO62" i="1"/>
  <c r="BO63" i="1"/>
  <c r="O287" i="2" s="1"/>
  <c r="BO75" i="1"/>
  <c r="BO83" i="1" s="1"/>
  <c r="BO90" i="1" s="1"/>
  <c r="BO77" i="1"/>
  <c r="BO84" i="1"/>
  <c r="BO91" i="1" s="1"/>
  <c r="BO65" i="1" l="1"/>
  <c r="BT76" i="1" l="1"/>
  <c r="BT61" i="1" l="1"/>
  <c r="BT62" i="1"/>
  <c r="BT63" i="1"/>
  <c r="P287" i="2" s="1"/>
  <c r="BT84" i="1"/>
  <c r="BT91" i="1" s="1"/>
  <c r="BT75" i="1"/>
  <c r="BT83" i="1" s="1"/>
  <c r="BT90" i="1" s="1"/>
  <c r="BT77" i="1"/>
  <c r="BT70" i="1"/>
  <c r="BT65" i="1" l="1"/>
  <c r="BY76" i="1" l="1"/>
  <c r="BY61" i="1" l="1"/>
  <c r="BY75" i="1"/>
  <c r="BY83" i="1" s="1"/>
  <c r="BY90" i="1" s="1"/>
  <c r="BY62" i="1"/>
  <c r="BY63" i="1"/>
  <c r="Q287" i="2" s="1"/>
  <c r="BY77" i="1"/>
  <c r="BY84" i="1"/>
  <c r="BY91" i="1" s="1"/>
  <c r="BY70" i="1"/>
  <c r="BY65" i="1" l="1"/>
  <c r="CD70" i="1"/>
  <c r="CE70" i="1" l="1"/>
  <c r="CD76" i="1" l="1"/>
  <c r="CF70" i="1"/>
  <c r="CD77" i="1" l="1"/>
  <c r="CD84" i="1"/>
  <c r="CD91" i="1" s="1"/>
  <c r="CG70" i="1"/>
  <c r="CD135" i="1" l="1"/>
  <c r="CD136" i="1" s="1"/>
  <c r="CD285" i="1" s="1"/>
  <c r="CD286" i="1" s="1"/>
  <c r="CI31" i="7"/>
  <c r="CD207" i="1"/>
  <c r="CI36" i="7" s="1"/>
  <c r="AB51" i="3"/>
  <c r="AB224" i="3" s="1"/>
  <c r="CE114" i="1"/>
  <c r="CE134" i="1" s="1"/>
  <c r="R286" i="2"/>
  <c r="R295" i="2" s="1"/>
  <c r="CE107" i="1"/>
  <c r="CE101" i="1"/>
  <c r="CH70" i="1"/>
  <c r="CI33" i="7" l="1"/>
  <c r="CI32" i="7"/>
  <c r="CD124" i="1"/>
  <c r="CD174" i="1"/>
  <c r="CD218" i="1"/>
  <c r="CD119" i="1"/>
  <c r="CD378" i="1"/>
  <c r="CD379" i="1" s="1"/>
  <c r="CD515" i="1"/>
  <c r="CI70" i="1"/>
  <c r="CI44" i="7" l="1"/>
  <c r="CD182" i="1"/>
  <c r="CD214" i="1"/>
  <c r="CI29" i="7"/>
  <c r="CJ70" i="1"/>
  <c r="CD506" i="1" l="1"/>
  <c r="CI18" i="7"/>
  <c r="CI17" i="7"/>
  <c r="CD507" i="1"/>
  <c r="CD173" i="1"/>
  <c r="CD215" i="1"/>
  <c r="CI39" i="7"/>
  <c r="CK70" i="1"/>
  <c r="CI42" i="7" l="1"/>
  <c r="CD181" i="1"/>
  <c r="CD125" i="1"/>
  <c r="CD126" i="1" s="1"/>
  <c r="CD176" i="1"/>
  <c r="AB232" i="3"/>
  <c r="CI26" i="7"/>
  <c r="CD224" i="1"/>
  <c r="CI19" i="7"/>
  <c r="CI38" i="7" s="1"/>
  <c r="CD510" i="1"/>
  <c r="CL70" i="1"/>
  <c r="CD521" i="1" l="1"/>
  <c r="CD530" i="1"/>
  <c r="CD219" i="1"/>
  <c r="CI40" i="7" s="1"/>
  <c r="CI43" i="7"/>
  <c r="CD526" i="1"/>
  <c r="CD519" i="1"/>
  <c r="CD527" i="1"/>
  <c r="CD529" i="1"/>
  <c r="CD514" i="1"/>
  <c r="CD520" i="1"/>
  <c r="CD528" i="1"/>
  <c r="CI8" i="7"/>
  <c r="CD531" i="1"/>
  <c r="CD13" i="1"/>
  <c r="CD15" i="1" s="1"/>
  <c r="CD522" i="1"/>
  <c r="CD376" i="1"/>
  <c r="CD226" i="1"/>
  <c r="CM70" i="1" l="1"/>
  <c r="CD221" i="1"/>
  <c r="CD227" i="1"/>
  <c r="CD382" i="1"/>
  <c r="CD383" i="1" s="1"/>
  <c r="CD500" i="1"/>
  <c r="CD377" i="1"/>
  <c r="R298" i="2"/>
  <c r="CD14" i="1"/>
  <c r="CD18" i="1"/>
  <c r="R73" i="2"/>
  <c r="R173" i="2"/>
  <c r="I3" i="5"/>
  <c r="CD387" i="1"/>
  <c r="CI7" i="7"/>
  <c r="R192" i="2"/>
  <c r="CD489" i="1"/>
  <c r="CD516" i="1"/>
  <c r="CD30" i="1"/>
  <c r="R92" i="2" l="1"/>
  <c r="R94" i="2" s="1"/>
  <c r="R99" i="2"/>
  <c r="CD31" i="1"/>
  <c r="CD33" i="1"/>
  <c r="CD344" i="1"/>
  <c r="CD346" i="1" s="1"/>
  <c r="R300" i="2"/>
  <c r="CD29" i="1"/>
  <c r="CD490" i="1"/>
  <c r="R22" i="2"/>
  <c r="R27" i="2" s="1"/>
  <c r="R5" i="2"/>
  <c r="R6" i="2"/>
  <c r="R75" i="2"/>
  <c r="R100" i="2"/>
  <c r="R4" i="2"/>
  <c r="AB226" i="3"/>
  <c r="CD288" i="1"/>
  <c r="CD279" i="1"/>
  <c r="CD222" i="1"/>
  <c r="R9" i="2" l="1"/>
  <c r="S9" i="2" s="1"/>
  <c r="T9" i="2" s="1"/>
  <c r="U9" i="2" s="1"/>
  <c r="V9" i="2" s="1"/>
  <c r="W9" i="2" s="1"/>
  <c r="X9" i="2" s="1"/>
  <c r="Y9" i="2" s="1"/>
  <c r="Z9" i="2" s="1"/>
  <c r="AA9" i="2" s="1"/>
  <c r="R134" i="2"/>
  <c r="CD341" i="1"/>
  <c r="CE341" i="1" s="1"/>
  <c r="CF341" i="1" s="1"/>
  <c r="CG341" i="1" s="1"/>
  <c r="CH341" i="1" s="1"/>
  <c r="CI341" i="1" s="1"/>
  <c r="CJ341" i="1" s="1"/>
  <c r="CK341" i="1" s="1"/>
  <c r="CL341" i="1" s="1"/>
  <c r="CM341" i="1" s="1"/>
  <c r="CD357" i="1"/>
  <c r="CE357" i="1" s="1"/>
  <c r="CF357" i="1" s="1"/>
  <c r="CG357" i="1" s="1"/>
  <c r="CH357" i="1" s="1"/>
  <c r="CI357" i="1" s="1"/>
  <c r="CJ357" i="1" s="1"/>
  <c r="CK357" i="1" s="1"/>
  <c r="CL357" i="1" s="1"/>
  <c r="CM357" i="1" s="1"/>
  <c r="CD324" i="1"/>
  <c r="CE324" i="1" s="1"/>
  <c r="CF324" i="1" s="1"/>
  <c r="CG324" i="1" s="1"/>
  <c r="CH324" i="1" s="1"/>
  <c r="CI324" i="1" s="1"/>
  <c r="CJ324" i="1" s="1"/>
  <c r="CK324" i="1" s="1"/>
  <c r="CL324" i="1" s="1"/>
  <c r="CM324" i="1" s="1"/>
  <c r="CD331" i="1"/>
  <c r="CE331" i="1" s="1"/>
  <c r="CF331" i="1" s="1"/>
  <c r="CG331" i="1" s="1"/>
  <c r="CH331" i="1" s="1"/>
  <c r="CI331" i="1" s="1"/>
  <c r="CJ331" i="1" s="1"/>
  <c r="CK331" i="1" s="1"/>
  <c r="CL331" i="1" s="1"/>
  <c r="CM331" i="1" s="1"/>
  <c r="CD353" i="1"/>
  <c r="CE353" i="1" s="1"/>
  <c r="CF353" i="1" s="1"/>
  <c r="CG353" i="1" s="1"/>
  <c r="CH353" i="1" s="1"/>
  <c r="CI353" i="1" s="1"/>
  <c r="CJ353" i="1" s="1"/>
  <c r="CK353" i="1" s="1"/>
  <c r="CL353" i="1" s="1"/>
  <c r="CM353" i="1" s="1"/>
  <c r="CD349" i="1"/>
  <c r="CE349" i="1" s="1"/>
  <c r="CF349" i="1" s="1"/>
  <c r="CG349" i="1" s="1"/>
  <c r="CH349" i="1" s="1"/>
  <c r="CI349" i="1" s="1"/>
  <c r="CJ349" i="1" s="1"/>
  <c r="CK349" i="1" s="1"/>
  <c r="CL349" i="1" s="1"/>
  <c r="CM349" i="1" s="1"/>
  <c r="CD327" i="1"/>
  <c r="CD321" i="1"/>
  <c r="CE321" i="1" s="1"/>
  <c r="CF321" i="1" s="1"/>
  <c r="CG321" i="1" s="1"/>
  <c r="CH321" i="1" s="1"/>
  <c r="CI321" i="1" s="1"/>
  <c r="CJ321" i="1" s="1"/>
  <c r="CK321" i="1" s="1"/>
  <c r="CL321" i="1" s="1"/>
  <c r="CM321" i="1" s="1"/>
  <c r="R10" i="2"/>
  <c r="R169" i="2"/>
  <c r="I2" i="5"/>
  <c r="CD289" i="1"/>
  <c r="R12" i="2"/>
  <c r="AB33" i="3"/>
  <c r="S91" i="2"/>
  <c r="R96" i="2"/>
  <c r="R311" i="2"/>
  <c r="R279" i="2"/>
  <c r="R76" i="2"/>
  <c r="AB18" i="3"/>
  <c r="AB227" i="3" s="1"/>
  <c r="CD335" i="1"/>
  <c r="CD337" i="1" s="1"/>
  <c r="I14" i="4" l="1"/>
  <c r="R58" i="2"/>
  <c r="R136" i="2"/>
  <c r="S136" i="2" s="1"/>
  <c r="T136" i="2" s="1"/>
  <c r="U136" i="2" s="1"/>
  <c r="V136" i="2" s="1"/>
  <c r="W136" i="2" s="1"/>
  <c r="X136" i="2" s="1"/>
  <c r="Y136" i="2" s="1"/>
  <c r="Z136" i="2" s="1"/>
  <c r="AA136" i="2" s="1"/>
  <c r="S118" i="2"/>
  <c r="R179" i="2"/>
  <c r="R258" i="2"/>
  <c r="AB112" i="3"/>
  <c r="R313" i="2"/>
  <c r="R314" i="2"/>
  <c r="R312" i="2"/>
  <c r="R16" i="2" l="1"/>
  <c r="R18" i="2" s="1"/>
  <c r="R20" i="2" s="1"/>
  <c r="R84" i="2" s="1"/>
  <c r="S179" i="2"/>
  <c r="CD51" i="1"/>
  <c r="CI12" i="7" s="1"/>
  <c r="CD48" i="1"/>
  <c r="I12" i="4"/>
  <c r="AB22" i="3"/>
  <c r="AB264" i="3" s="1"/>
  <c r="R50" i="2" l="1"/>
  <c r="S16" i="2"/>
  <c r="T179" i="2"/>
  <c r="AB265" i="3"/>
  <c r="CI11" i="7"/>
  <c r="CD49" i="1"/>
  <c r="I8" i="5"/>
  <c r="CD50" i="1"/>
  <c r="CI9" i="7"/>
  <c r="R265" i="2"/>
  <c r="R275" i="2" s="1"/>
  <c r="CD479" i="1"/>
  <c r="CD480" i="1" s="1"/>
  <c r="I10" i="4"/>
  <c r="I4" i="5"/>
  <c r="R252" i="2"/>
  <c r="R55" i="2" s="1"/>
  <c r="CD436" i="1"/>
  <c r="R303" i="2"/>
  <c r="CD435" i="1"/>
  <c r="AB270" i="3" l="1"/>
  <c r="R52" i="2"/>
  <c r="T16" i="2"/>
  <c r="U179" i="2"/>
  <c r="R305" i="2"/>
  <c r="R307" i="2"/>
  <c r="R308" i="2" s="1"/>
  <c r="R309" i="2" s="1"/>
  <c r="CD36" i="1"/>
  <c r="AB19" i="3" s="1"/>
  <c r="CD37" i="1"/>
  <c r="R304" i="2"/>
  <c r="CD493" i="1"/>
  <c r="U16" i="2" l="1"/>
  <c r="V179" i="2"/>
  <c r="CD44" i="1"/>
  <c r="CD39" i="1"/>
  <c r="CD38" i="1"/>
  <c r="I4" i="4"/>
  <c r="I6" i="4" s="1"/>
  <c r="I11" i="4" s="1"/>
  <c r="I15" i="4" s="1"/>
  <c r="CD445" i="1"/>
  <c r="I5" i="5"/>
  <c r="CD452" i="1"/>
  <c r="CD446" i="1"/>
  <c r="CD496" i="1" s="1"/>
  <c r="AB228" i="3"/>
  <c r="AB258" i="3"/>
  <c r="AB23" i="3"/>
  <c r="V16" i="2" l="1"/>
  <c r="W179" i="2"/>
  <c r="AB24" i="3"/>
  <c r="AB230" i="3" s="1"/>
  <c r="AB229" i="3"/>
  <c r="AB109" i="3"/>
  <c r="R269" i="2"/>
  <c r="R79" i="2"/>
  <c r="R196" i="2" s="1"/>
  <c r="I16" i="4"/>
  <c r="I20" i="4"/>
  <c r="W16" i="2" l="1"/>
  <c r="X179" i="2"/>
  <c r="X16" i="2" l="1"/>
  <c r="Y179" i="2"/>
  <c r="R81" i="2"/>
  <c r="CD457" i="1"/>
  <c r="R227" i="2" s="1"/>
  <c r="CD455" i="1"/>
  <c r="R80" i="2"/>
  <c r="Y16" i="2" l="1"/>
  <c r="Z179" i="2"/>
  <c r="R254" i="2"/>
  <c r="CD458" i="1"/>
  <c r="I12" i="5"/>
  <c r="I16" i="5" s="1"/>
  <c r="AB29" i="3"/>
  <c r="R222" i="2"/>
  <c r="CD459" i="1"/>
  <c r="CI10" i="7"/>
  <c r="Z16" i="2" l="1"/>
  <c r="AA179" i="2"/>
  <c r="AA16" i="2" s="1"/>
  <c r="AB15" i="3"/>
  <c r="R271" i="2" s="1"/>
  <c r="AB14" i="3"/>
  <c r="I63" i="4"/>
  <c r="AB13" i="3" l="1"/>
  <c r="R256" i="2"/>
  <c r="AB30" i="3"/>
  <c r="R276" i="2"/>
  <c r="R281" i="2" s="1"/>
  <c r="R282" i="2" s="1"/>
  <c r="R283" i="2" s="1"/>
  <c r="R270" i="2"/>
  <c r="R229" i="2" l="1"/>
  <c r="R61" i="2"/>
  <c r="R223" i="2"/>
  <c r="R221" i="2" s="1"/>
  <c r="R36" i="2" l="1"/>
  <c r="R37" i="2" s="1"/>
  <c r="AB27" i="3" s="1"/>
  <c r="AB116" i="3"/>
  <c r="AC11" i="3" l="1"/>
  <c r="S123" i="2" l="1"/>
  <c r="T123" i="2" s="1"/>
  <c r="U123" i="2" s="1"/>
  <c r="V123" i="2" s="1"/>
  <c r="W123" i="2" s="1"/>
  <c r="X123" i="2" s="1"/>
  <c r="Y123" i="2" s="1"/>
  <c r="Z123" i="2" s="1"/>
  <c r="AA123" i="2" s="1"/>
  <c r="R29" i="2"/>
  <c r="R30" i="2" s="1"/>
  <c r="S30" i="2" s="1"/>
  <c r="T30" i="2" s="1"/>
  <c r="U30" i="2" s="1"/>
  <c r="V30" i="2" s="1"/>
  <c r="W30" i="2" s="1"/>
  <c r="X30" i="2" s="1"/>
  <c r="Y30" i="2" s="1"/>
  <c r="Z30" i="2" s="1"/>
  <c r="AA30" i="2" s="1"/>
  <c r="S122" i="2" l="1"/>
  <c r="R43" i="2"/>
  <c r="R32" i="2"/>
  <c r="R39" i="2" s="1"/>
  <c r="R40" i="2" s="1"/>
  <c r="R41" i="2" s="1"/>
  <c r="CE450" i="1" l="1"/>
  <c r="CE449" i="1"/>
  <c r="S115" i="2"/>
  <c r="S126" i="2"/>
  <c r="S56" i="2" s="1"/>
  <c r="I14" i="5"/>
  <c r="R44" i="2"/>
  <c r="R64" i="2" s="1"/>
  <c r="S113" i="2"/>
  <c r="S116" i="2"/>
  <c r="S78" i="2" l="1"/>
  <c r="S267" i="2"/>
  <c r="AC28" i="3"/>
  <c r="AC110" i="3" s="1"/>
  <c r="R65" i="2"/>
  <c r="R66" i="2" s="1"/>
  <c r="R255" i="2"/>
  <c r="R259" i="2" s="1"/>
  <c r="R261" i="2" s="1"/>
  <c r="R262" i="2" s="1"/>
  <c r="S253" i="2"/>
  <c r="BZ364" i="1"/>
  <c r="CA364" i="1"/>
  <c r="CB364" i="1"/>
  <c r="CB365" i="1" s="1"/>
  <c r="CC364" i="1"/>
  <c r="CC365" i="1" s="1"/>
  <c r="BZ369" i="1"/>
  <c r="CA369" i="1"/>
  <c r="CB369" i="1"/>
  <c r="CC369" i="1"/>
  <c r="BZ425" i="1"/>
  <c r="CA425" i="1"/>
  <c r="CB425" i="1"/>
  <c r="CC425" i="1"/>
  <c r="BZ492" i="1"/>
  <c r="CA492" i="1"/>
  <c r="CB492" i="1"/>
  <c r="CC492" i="1"/>
  <c r="R135" i="2" l="1"/>
  <c r="I57" i="4"/>
  <c r="I58" i="4" s="1"/>
  <c r="R69" i="2"/>
  <c r="AB119" i="3"/>
  <c r="AB120" i="3" s="1"/>
  <c r="R67" i="2"/>
  <c r="CB366" i="1"/>
  <c r="CC366" i="1"/>
  <c r="CD364" i="1"/>
  <c r="CD365" i="1" s="1"/>
  <c r="CE365" i="1" s="1"/>
  <c r="CF365" i="1" s="1"/>
  <c r="CG365" i="1" s="1"/>
  <c r="CH365" i="1" s="1"/>
  <c r="CI365" i="1" s="1"/>
  <c r="CJ365" i="1" s="1"/>
  <c r="CK365" i="1" s="1"/>
  <c r="CL365" i="1" s="1"/>
  <c r="CM365" i="1" s="1"/>
  <c r="BZ366" i="1"/>
  <c r="BZ365" i="1"/>
  <c r="CA366" i="1"/>
  <c r="CA365" i="1"/>
  <c r="I61" i="4" l="1"/>
  <c r="I62" i="4"/>
  <c r="AB7" i="3"/>
  <c r="AB25" i="3" s="1"/>
  <c r="S131" i="2"/>
  <c r="CD366" i="1"/>
  <c r="CD492" i="1"/>
  <c r="CD495" i="1" s="1"/>
  <c r="CD425" i="1"/>
  <c r="CD369" i="1"/>
  <c r="CD72" i="1"/>
  <c r="CD61" i="1" s="1"/>
  <c r="CD80" i="1" l="1"/>
  <c r="CD87" i="1" s="1"/>
  <c r="CD73" i="1" l="1"/>
  <c r="CD62" i="1" s="1"/>
  <c r="CD74" i="1"/>
  <c r="CD63" i="1" s="1"/>
  <c r="R287" i="2" s="1"/>
  <c r="CD82" i="1" l="1"/>
  <c r="CD89" i="1" s="1"/>
  <c r="R288" i="2" s="1"/>
  <c r="CD81" i="1"/>
  <c r="CD88" i="1" s="1"/>
  <c r="CD65" i="1"/>
  <c r="CD75" i="1"/>
  <c r="CD83" i="1" s="1"/>
  <c r="CD90" i="1" s="1"/>
  <c r="CE258" i="1" l="1"/>
  <c r="AC242" i="3" l="1"/>
  <c r="CE267" i="1"/>
  <c r="CJ62" i="7"/>
  <c r="CE270" i="1"/>
  <c r="CE260" i="1"/>
  <c r="CF258" i="1"/>
  <c r="CE271" i="1" l="1"/>
  <c r="CE272" i="1" s="1"/>
  <c r="CE268" i="1"/>
  <c r="AD242" i="3"/>
  <c r="CK62" i="7"/>
  <c r="CG258" i="1"/>
  <c r="CF260" i="1"/>
  <c r="CF267" i="1"/>
  <c r="AC243" i="3"/>
  <c r="CE406" i="1"/>
  <c r="CJ55" i="7" l="1"/>
  <c r="CE405" i="1"/>
  <c r="CE9" i="1" s="1"/>
  <c r="CF268" i="1"/>
  <c r="CF270" i="1"/>
  <c r="AE242" i="3"/>
  <c r="CL62" i="7"/>
  <c r="CH258" i="1"/>
  <c r="CG260" i="1"/>
  <c r="CG267" i="1"/>
  <c r="CE24" i="1" l="1"/>
  <c r="CG270" i="1"/>
  <c r="CG271" i="1" s="1"/>
  <c r="CF271" i="1"/>
  <c r="CF272" i="1" s="1"/>
  <c r="CG268" i="1"/>
  <c r="CE509" i="1"/>
  <c r="AF242" i="3"/>
  <c r="CM62" i="7"/>
  <c r="CI258" i="1"/>
  <c r="CH260" i="1"/>
  <c r="CH267" i="1"/>
  <c r="CG272" i="1" l="1"/>
  <c r="CH268" i="1"/>
  <c r="AE243" i="3"/>
  <c r="CG406" i="1"/>
  <c r="CH270" i="1"/>
  <c r="AG242" i="3"/>
  <c r="CN62" i="7"/>
  <c r="CJ258" i="1"/>
  <c r="CI260" i="1"/>
  <c r="CI267" i="1"/>
  <c r="AD243" i="3"/>
  <c r="CF406" i="1"/>
  <c r="CI270" i="1" l="1"/>
  <c r="CI271" i="1" s="1"/>
  <c r="CL55" i="7"/>
  <c r="CG405" i="1"/>
  <c r="CG9" i="1" s="1"/>
  <c r="AH242" i="3"/>
  <c r="CJ267" i="1"/>
  <c r="CK258" i="1"/>
  <c r="CJ260" i="1"/>
  <c r="CK55" i="7"/>
  <c r="CF405" i="1"/>
  <c r="CF9" i="1" s="1"/>
  <c r="CI268" i="1"/>
  <c r="CH271" i="1"/>
  <c r="CH272" i="1" s="1"/>
  <c r="CG24" i="1" l="1"/>
  <c r="CF24" i="1"/>
  <c r="CJ270" i="1"/>
  <c r="CI272" i="1"/>
  <c r="AF243" i="3"/>
  <c r="CH406" i="1"/>
  <c r="AI242" i="3"/>
  <c r="CL258" i="1"/>
  <c r="CK260" i="1"/>
  <c r="CK267" i="1"/>
  <c r="AG243" i="3"/>
  <c r="CI406" i="1"/>
  <c r="CJ268" i="1"/>
  <c r="CJ271" i="1"/>
  <c r="CJ272" i="1" s="1"/>
  <c r="CF509" i="1"/>
  <c r="CG509" i="1"/>
  <c r="CK268" i="1" l="1"/>
  <c r="AJ242" i="3"/>
  <c r="CM258" i="1"/>
  <c r="CL260" i="1"/>
  <c r="CL267" i="1"/>
  <c r="AH243" i="3"/>
  <c r="CJ406" i="1"/>
  <c r="CK270" i="1"/>
  <c r="CK271" i="1" s="1"/>
  <c r="CK272" i="1" s="1"/>
  <c r="CH405" i="1"/>
  <c r="CH9" i="1" s="1"/>
  <c r="CH24" i="1" s="1"/>
  <c r="CM55" i="7"/>
  <c r="CI405" i="1"/>
  <c r="CI9" i="1" s="1"/>
  <c r="CN55" i="7"/>
  <c r="CI24" i="1" l="1"/>
  <c r="CI509" i="1"/>
  <c r="CJ405" i="1"/>
  <c r="CJ9" i="1" s="1"/>
  <c r="CJ24" i="1" s="1"/>
  <c r="AK242" i="3"/>
  <c r="CM260" i="1"/>
  <c r="CM267" i="1"/>
  <c r="AI243" i="3"/>
  <c r="CK406" i="1"/>
  <c r="CL268" i="1"/>
  <c r="CH509" i="1"/>
  <c r="CL270" i="1"/>
  <c r="CM268" i="1" l="1"/>
  <c r="CM270" i="1"/>
  <c r="CM271" i="1" s="1"/>
  <c r="CL271" i="1"/>
  <c r="CL272" i="1" s="1"/>
  <c r="CJ509" i="1"/>
  <c r="CK405" i="1"/>
  <c r="CK9" i="1" s="1"/>
  <c r="CK24" i="1" s="1"/>
  <c r="CM272" i="1" l="1"/>
  <c r="AK243" i="3"/>
  <c r="CM406" i="1"/>
  <c r="CK509" i="1"/>
  <c r="AJ243" i="3"/>
  <c r="CL406" i="1"/>
  <c r="CL405" i="1" l="1"/>
  <c r="CL9" i="1" s="1"/>
  <c r="CL24" i="1" s="1"/>
  <c r="CM405" i="1"/>
  <c r="CM9" i="1" s="1"/>
  <c r="CM24" i="1" l="1"/>
  <c r="CM509" i="1"/>
  <c r="CL509" i="1"/>
  <c r="CD68" i="1" l="1"/>
  <c r="CE68" i="1"/>
  <c r="CF68" i="1"/>
  <c r="CG68" i="1"/>
  <c r="AE55" i="3" s="1"/>
  <c r="AE223" i="3" s="1"/>
  <c r="CH68" i="1"/>
  <c r="V292" i="2" s="1"/>
  <c r="CI68" i="1"/>
  <c r="CJ68" i="1"/>
  <c r="AH55" i="3" s="1"/>
  <c r="AH223" i="3" s="1"/>
  <c r="CK68" i="1"/>
  <c r="CL68" i="1"/>
  <c r="CM68" i="1"/>
  <c r="CE72" i="1"/>
  <c r="CE95" i="1" s="1"/>
  <c r="CE103" i="1" s="1"/>
  <c r="CF72" i="1"/>
  <c r="CF80" i="1" s="1"/>
  <c r="CF87" i="1" s="1"/>
  <c r="CG72" i="1"/>
  <c r="CH72" i="1"/>
  <c r="CI72" i="1"/>
  <c r="CI116" i="1" s="1"/>
  <c r="CN31" i="7" s="1"/>
  <c r="CJ72" i="1"/>
  <c r="CJ96" i="1" s="1"/>
  <c r="CK72" i="1"/>
  <c r="CL72" i="1"/>
  <c r="CL80" i="1" s="1"/>
  <c r="CL87" i="1" s="1"/>
  <c r="CM72" i="1"/>
  <c r="CM95" i="1" s="1"/>
  <c r="CM103" i="1" s="1"/>
  <c r="CE73" i="1"/>
  <c r="CE81" i="1" s="1"/>
  <c r="CE88" i="1" s="1"/>
  <c r="CF73" i="1"/>
  <c r="CG73" i="1"/>
  <c r="CH73" i="1"/>
  <c r="CI73" i="1"/>
  <c r="CI81" i="1" s="1"/>
  <c r="CI88" i="1" s="1"/>
  <c r="CJ73" i="1"/>
  <c r="CK73" i="1"/>
  <c r="CK81" i="1" s="1"/>
  <c r="CK88" i="1" s="1"/>
  <c r="CL73" i="1"/>
  <c r="CM73" i="1"/>
  <c r="CE74" i="1"/>
  <c r="CF74" i="1"/>
  <c r="CG74" i="1"/>
  <c r="CH74" i="1"/>
  <c r="CI82" i="1" s="1"/>
  <c r="CI89" i="1" s="1"/>
  <c r="W288" i="2" s="1"/>
  <c r="CI74" i="1"/>
  <c r="CJ74" i="1"/>
  <c r="CJ82" i="1" s="1"/>
  <c r="CJ89" i="1" s="1"/>
  <c r="X288" i="2" s="1"/>
  <c r="CK74" i="1"/>
  <c r="CL74" i="1"/>
  <c r="CL82" i="1" s="1"/>
  <c r="CL89" i="1" s="1"/>
  <c r="Z288" i="2" s="1"/>
  <c r="CM74" i="1"/>
  <c r="CE76" i="1"/>
  <c r="CE77" i="1" s="1"/>
  <c r="CF76" i="1"/>
  <c r="CF84" i="1" s="1"/>
  <c r="CF91" i="1" s="1"/>
  <c r="CG76" i="1"/>
  <c r="CG84" i="1" s="1"/>
  <c r="CG91" i="1" s="1"/>
  <c r="CH76" i="1"/>
  <c r="CI76" i="1"/>
  <c r="CJ76" i="1"/>
  <c r="CJ84" i="1" s="1"/>
  <c r="CJ91" i="1" s="1"/>
  <c r="CK76" i="1"/>
  <c r="CK61" i="1" s="1"/>
  <c r="CL76" i="1"/>
  <c r="CL61" i="1" s="1"/>
  <c r="CM76" i="1"/>
  <c r="CL78" i="1"/>
  <c r="CK95" i="1"/>
  <c r="CK103" i="1" s="1"/>
  <c r="CK96" i="1"/>
  <c r="CL96" i="1"/>
  <c r="CK116" i="1"/>
  <c r="Y286" i="2" s="1"/>
  <c r="CL116" i="1"/>
  <c r="CL207" i="1" s="1"/>
  <c r="CH78" i="1" l="1"/>
  <c r="CH84" i="1"/>
  <c r="CH91" i="1" s="1"/>
  <c r="CI95" i="1"/>
  <c r="CJ109" i="1"/>
  <c r="CK107" i="1"/>
  <c r="CK78" i="1"/>
  <c r="CL101" i="1"/>
  <c r="CJ95" i="1"/>
  <c r="CJ103" i="1" s="1"/>
  <c r="CM63" i="1"/>
  <c r="AA287" i="2" s="1"/>
  <c r="CE63" i="1"/>
  <c r="S287" i="2" s="1"/>
  <c r="CF62" i="1"/>
  <c r="CG61" i="1"/>
  <c r="CF96" i="1"/>
  <c r="CF109" i="1" s="1"/>
  <c r="CK32" i="7" s="1"/>
  <c r="CJ81" i="1"/>
  <c r="CJ88" i="1" s="1"/>
  <c r="CE84" i="1"/>
  <c r="CE91" i="1" s="1"/>
  <c r="CM62" i="1"/>
  <c r="CL95" i="1"/>
  <c r="CM101" i="1" s="1"/>
  <c r="CM104" i="1" s="1"/>
  <c r="CM236" i="1" s="1"/>
  <c r="CM237" i="1" s="1"/>
  <c r="CM245" i="1" s="1"/>
  <c r="CH77" i="1"/>
  <c r="CJ62" i="1"/>
  <c r="CE104" i="1"/>
  <c r="CE105" i="1" s="1"/>
  <c r="CE102" i="1"/>
  <c r="CM75" i="1"/>
  <c r="CG116" i="1"/>
  <c r="CI77" i="1"/>
  <c r="CL114" i="1"/>
  <c r="CL134" i="1" s="1"/>
  <c r="CM82" i="1"/>
  <c r="CM89" i="1" s="1"/>
  <c r="AA288" i="2" s="1"/>
  <c r="CG77" i="1"/>
  <c r="CK207" i="1"/>
  <c r="CG107" i="1"/>
  <c r="CG108" i="1" s="1"/>
  <c r="CG95" i="1"/>
  <c r="CH101" i="1" s="1"/>
  <c r="CM84" i="1"/>
  <c r="CM91" i="1" s="1"/>
  <c r="CH63" i="1"/>
  <c r="V287" i="2" s="1"/>
  <c r="CJ61" i="1"/>
  <c r="CF81" i="1"/>
  <c r="CF88" i="1" s="1"/>
  <c r="CG96" i="1"/>
  <c r="CG109" i="1" s="1"/>
  <c r="CL32" i="7" s="1"/>
  <c r="CG63" i="1"/>
  <c r="U287" i="2" s="1"/>
  <c r="CH62" i="1"/>
  <c r="CI61" i="1"/>
  <c r="CE62" i="1"/>
  <c r="CI62" i="1"/>
  <c r="CK62" i="1"/>
  <c r="CK75" i="1"/>
  <c r="CH107" i="1"/>
  <c r="CI96" i="1"/>
  <c r="CK84" i="1"/>
  <c r="CK91" i="1" s="1"/>
  <c r="CJ78" i="1"/>
  <c r="CJ77" i="1"/>
  <c r="CE75" i="1"/>
  <c r="CE83" i="1" s="1"/>
  <c r="CE90" i="1" s="1"/>
  <c r="CI80" i="1"/>
  <c r="CI87" i="1" s="1"/>
  <c r="CH82" i="1"/>
  <c r="CH89" i="1" s="1"/>
  <c r="V288" i="2" s="1"/>
  <c r="CK80" i="1"/>
  <c r="CK87" i="1" s="1"/>
  <c r="CG78" i="1"/>
  <c r="X292" i="2"/>
  <c r="CJ33" i="7"/>
  <c r="CE82" i="1"/>
  <c r="CE89" i="1" s="1"/>
  <c r="S288" i="2" s="1"/>
  <c r="CJ80" i="1"/>
  <c r="CJ87" i="1" s="1"/>
  <c r="U292" i="2"/>
  <c r="V293" i="2" s="1"/>
  <c r="CI207" i="1"/>
  <c r="CN36" i="7" s="1"/>
  <c r="CM81" i="1"/>
  <c r="CM88" i="1" s="1"/>
  <c r="CG80" i="1"/>
  <c r="CG87" i="1" s="1"/>
  <c r="CJ116" i="1"/>
  <c r="CK118" i="1" s="1"/>
  <c r="AF55" i="3"/>
  <c r="AF223" i="3" s="1"/>
  <c r="CF63" i="1"/>
  <c r="T287" i="2" s="1"/>
  <c r="CF82" i="1"/>
  <c r="CF89" i="1" s="1"/>
  <c r="T288" i="2" s="1"/>
  <c r="CH75" i="1"/>
  <c r="V289" i="2"/>
  <c r="CL63" i="1"/>
  <c r="Z287" i="2" s="1"/>
  <c r="CG62" i="1"/>
  <c r="CG65" i="1" s="1"/>
  <c r="CG81" i="1"/>
  <c r="CG88" i="1" s="1"/>
  <c r="X286" i="2"/>
  <c r="Y295" i="2" s="1"/>
  <c r="CG110" i="1"/>
  <c r="CH81" i="1"/>
  <c r="CH88" i="1" s="1"/>
  <c r="CG75" i="1"/>
  <c r="CF75" i="1"/>
  <c r="CF116" i="1"/>
  <c r="CF78" i="1"/>
  <c r="CF95" i="1"/>
  <c r="CJ63" i="1"/>
  <c r="X287" i="2" s="1"/>
  <c r="CF61" i="1"/>
  <c r="CL77" i="1"/>
  <c r="CL75" i="1"/>
  <c r="CL83" i="1" s="1"/>
  <c r="CL90" i="1" s="1"/>
  <c r="CL84" i="1"/>
  <c r="CL91" i="1" s="1"/>
  <c r="CJ75" i="1"/>
  <c r="CK77" i="1"/>
  <c r="CI75" i="1"/>
  <c r="CI84" i="1"/>
  <c r="CI91" i="1" s="1"/>
  <c r="AG55" i="3"/>
  <c r="AG223" i="3" s="1"/>
  <c r="W292" i="2"/>
  <c r="AG51" i="3"/>
  <c r="AG224" i="3" s="1"/>
  <c r="W286" i="2"/>
  <c r="CJ114" i="1"/>
  <c r="CF101" i="1"/>
  <c r="CK82" i="1"/>
  <c r="CK89" i="1" s="1"/>
  <c r="Y288" i="2" s="1"/>
  <c r="CK63" i="1"/>
  <c r="Y287" i="2" s="1"/>
  <c r="CL81" i="1"/>
  <c r="CL88" i="1" s="1"/>
  <c r="CL62" i="1"/>
  <c r="CM116" i="1"/>
  <c r="CM78" i="1"/>
  <c r="CM80" i="1"/>
  <c r="CM87" i="1" s="1"/>
  <c r="CM61" i="1"/>
  <c r="CM96" i="1"/>
  <c r="CM109" i="1" s="1"/>
  <c r="CE116" i="1"/>
  <c r="CE78" i="1"/>
  <c r="CE80" i="1"/>
  <c r="CE87" i="1" s="1"/>
  <c r="CE61" i="1"/>
  <c r="CE65" i="1" s="1"/>
  <c r="CE96" i="1"/>
  <c r="AD55" i="3"/>
  <c r="AD223" i="3" s="1"/>
  <c r="T292" i="2"/>
  <c r="CI63" i="1"/>
  <c r="W287" i="2" s="1"/>
  <c r="CL107" i="1"/>
  <c r="CK109" i="1"/>
  <c r="AJ51" i="3"/>
  <c r="AJ224" i="3" s="1"/>
  <c r="Z286" i="2"/>
  <c r="CL117" i="1"/>
  <c r="CL118" i="1"/>
  <c r="CM114" i="1"/>
  <c r="CM134" i="1" s="1"/>
  <c r="CH95" i="1"/>
  <c r="CH61" i="1"/>
  <c r="CH96" i="1"/>
  <c r="CH116" i="1"/>
  <c r="CI78" i="1"/>
  <c r="CH80" i="1"/>
  <c r="CH87" i="1" s="1"/>
  <c r="CM107" i="1"/>
  <c r="CL109" i="1"/>
  <c r="CG82" i="1"/>
  <c r="CG89" i="1" s="1"/>
  <c r="U288" i="2" s="1"/>
  <c r="CM77" i="1"/>
  <c r="AI51" i="3"/>
  <c r="AI224" i="3" s="1"/>
  <c r="AK55" i="3"/>
  <c r="AK223" i="3" s="1"/>
  <c r="AA292" i="2"/>
  <c r="AC55" i="3"/>
  <c r="AC223" i="3" s="1"/>
  <c r="S292" i="2"/>
  <c r="AE51" i="3"/>
  <c r="AE224" i="3" s="1"/>
  <c r="U286" i="2"/>
  <c r="CF77" i="1"/>
  <c r="AJ55" i="3"/>
  <c r="AJ223" i="3" s="1"/>
  <c r="Z292" i="2"/>
  <c r="AB55" i="3"/>
  <c r="AB223" i="3" s="1"/>
  <c r="R292" i="2"/>
  <c r="CH114" i="1"/>
  <c r="CH134" i="1" s="1"/>
  <c r="Y292" i="2"/>
  <c r="AI55" i="3"/>
  <c r="AI223" i="3" s="1"/>
  <c r="CH65" i="1" l="1"/>
  <c r="CE236" i="1"/>
  <c r="CE237" i="1" s="1"/>
  <c r="CG103" i="1"/>
  <c r="X293" i="2"/>
  <c r="CM102" i="1"/>
  <c r="CL115" i="1"/>
  <c r="CL135" i="1" s="1"/>
  <c r="CL136" i="1" s="1"/>
  <c r="CL285" i="1" s="1"/>
  <c r="CL378" i="1" s="1"/>
  <c r="CK114" i="1"/>
  <c r="CK115" i="1" s="1"/>
  <c r="CK135" i="1" s="1"/>
  <c r="X289" i="2"/>
  <c r="U289" i="2"/>
  <c r="CL103" i="1"/>
  <c r="CJ101" i="1"/>
  <c r="CI103" i="1"/>
  <c r="CN33" i="7" s="1"/>
  <c r="CF83" i="1"/>
  <c r="CF90" i="1" s="1"/>
  <c r="CM65" i="1"/>
  <c r="CK101" i="1"/>
  <c r="CK102" i="1" s="1"/>
  <c r="CG207" i="1"/>
  <c r="CL36" i="7" s="1"/>
  <c r="CL31" i="7"/>
  <c r="CF65" i="1"/>
  <c r="CI83" i="1"/>
  <c r="CI90" i="1" s="1"/>
  <c r="CK117" i="1"/>
  <c r="CJ207" i="1"/>
  <c r="CJ118" i="1"/>
  <c r="CG83" i="1"/>
  <c r="CG90" i="1" s="1"/>
  <c r="CJ117" i="1"/>
  <c r="CJ174" i="1" s="1"/>
  <c r="CL65" i="1"/>
  <c r="AH51" i="3"/>
  <c r="AH224" i="3" s="1"/>
  <c r="CJ65" i="1"/>
  <c r="CJ107" i="1"/>
  <c r="CJ108" i="1" s="1"/>
  <c r="CI109" i="1"/>
  <c r="AF51" i="3"/>
  <c r="AF224" i="3" s="1"/>
  <c r="V286" i="2"/>
  <c r="W295" i="2" s="1"/>
  <c r="CI114" i="1"/>
  <c r="CH115" i="1"/>
  <c r="CH135" i="1" s="1"/>
  <c r="CH136" i="1" s="1"/>
  <c r="CH285" i="1" s="1"/>
  <c r="CH207" i="1"/>
  <c r="CM36" i="7" s="1"/>
  <c r="CM31" i="7"/>
  <c r="CI117" i="1"/>
  <c r="CH118" i="1"/>
  <c r="CH117" i="1"/>
  <c r="CL218" i="1"/>
  <c r="CL124" i="1"/>
  <c r="CL214" i="1" s="1"/>
  <c r="CL174" i="1"/>
  <c r="AK51" i="3"/>
  <c r="AK224" i="3" s="1"/>
  <c r="CM207" i="1"/>
  <c r="AA286" i="2"/>
  <c r="AA295" i="2" s="1"/>
  <c r="CM118" i="1"/>
  <c r="CM115" i="1"/>
  <c r="CM135" i="1" s="1"/>
  <c r="CM136" i="1" s="1"/>
  <c r="CM285" i="1" s="1"/>
  <c r="R293" i="2"/>
  <c r="R289" i="2"/>
  <c r="S289" i="2"/>
  <c r="S293" i="2"/>
  <c r="CL108" i="1"/>
  <c r="CM110" i="1"/>
  <c r="CI107" i="1"/>
  <c r="CH109" i="1"/>
  <c r="CI118" i="1"/>
  <c r="CG231" i="1"/>
  <c r="CG232" i="1" s="1"/>
  <c r="CG101" i="1"/>
  <c r="CF103" i="1"/>
  <c r="AA289" i="2"/>
  <c r="AA293" i="2"/>
  <c r="AC51" i="3"/>
  <c r="AC224" i="3" s="1"/>
  <c r="CE207" i="1"/>
  <c r="CJ36" i="7" s="1"/>
  <c r="CE117" i="1"/>
  <c r="CJ31" i="7"/>
  <c r="CF117" i="1"/>
  <c r="CE118" i="1"/>
  <c r="S286" i="2"/>
  <c r="CE115" i="1"/>
  <c r="CE135" i="1" s="1"/>
  <c r="CE136" i="1" s="1"/>
  <c r="CE285" i="1" s="1"/>
  <c r="CF114" i="1"/>
  <c r="CF134" i="1" s="1"/>
  <c r="AD51" i="3"/>
  <c r="AD224" i="3" s="1"/>
  <c r="CG114" i="1"/>
  <c r="CF207" i="1"/>
  <c r="CK36" i="7" s="1"/>
  <c r="CG117" i="1"/>
  <c r="CF118" i="1"/>
  <c r="T286" i="2"/>
  <c r="U295" i="2" s="1"/>
  <c r="CG118" i="1"/>
  <c r="CK31" i="7"/>
  <c r="Z293" i="2"/>
  <c r="Z289" i="2"/>
  <c r="CI101" i="1"/>
  <c r="CH103" i="1"/>
  <c r="CH104" i="1" s="1"/>
  <c r="CM83" i="1"/>
  <c r="CM90" i="1" s="1"/>
  <c r="CM108" i="1"/>
  <c r="CJ134" i="1"/>
  <c r="CJ115" i="1"/>
  <c r="CJ135" i="1" s="1"/>
  <c r="CJ83" i="1"/>
  <c r="CJ90" i="1" s="1"/>
  <c r="CK83" i="1"/>
  <c r="CK90" i="1" s="1"/>
  <c r="CE245" i="1"/>
  <c r="CE238" i="1"/>
  <c r="CK108" i="1"/>
  <c r="CK110" i="1"/>
  <c r="CL110" i="1"/>
  <c r="T289" i="2"/>
  <c r="T293" i="2"/>
  <c r="X295" i="2"/>
  <c r="CL33" i="7"/>
  <c r="CH83" i="1"/>
  <c r="CH90" i="1" s="1"/>
  <c r="CK65" i="1"/>
  <c r="Y293" i="2"/>
  <c r="Y289" i="2"/>
  <c r="CF104" i="1"/>
  <c r="Z295" i="2"/>
  <c r="CM117" i="1"/>
  <c r="CF107" i="1"/>
  <c r="CF108" i="1" s="1"/>
  <c r="CE109" i="1"/>
  <c r="W293" i="2"/>
  <c r="W289" i="2"/>
  <c r="U293" i="2"/>
  <c r="CI65" i="1"/>
  <c r="CK134" i="1" l="1"/>
  <c r="CK136" i="1" s="1"/>
  <c r="CK285" i="1" s="1"/>
  <c r="CK378" i="1" s="1"/>
  <c r="CL379" i="1" s="1"/>
  <c r="CG104" i="1"/>
  <c r="CL418" i="1"/>
  <c r="CK104" i="1"/>
  <c r="CK236" i="1" s="1"/>
  <c r="CK237" i="1" s="1"/>
  <c r="CK119" i="1"/>
  <c r="CF115" i="1"/>
  <c r="CF135" i="1" s="1"/>
  <c r="CF136" i="1" s="1"/>
  <c r="CF285" i="1" s="1"/>
  <c r="CJ104" i="1"/>
  <c r="CJ236" i="1" s="1"/>
  <c r="CJ237" i="1" s="1"/>
  <c r="CJ245" i="1" s="1"/>
  <c r="CJ102" i="1"/>
  <c r="CL104" i="1"/>
  <c r="CL102" i="1"/>
  <c r="CJ124" i="1"/>
  <c r="CJ214" i="1" s="1"/>
  <c r="CJ173" i="1" s="1"/>
  <c r="CJ119" i="1"/>
  <c r="CL119" i="1"/>
  <c r="CG102" i="1"/>
  <c r="CJ218" i="1"/>
  <c r="CI108" i="1"/>
  <c r="CN32" i="7"/>
  <c r="CJ110" i="1"/>
  <c r="CJ231" i="1" s="1"/>
  <c r="CJ232" i="1" s="1"/>
  <c r="V295" i="2"/>
  <c r="CK174" i="1"/>
  <c r="CK182" i="1" s="1"/>
  <c r="CK218" i="1"/>
  <c r="CK124" i="1"/>
  <c r="CK214" i="1" s="1"/>
  <c r="CL215" i="1" s="1"/>
  <c r="CH236" i="1"/>
  <c r="CH237" i="1" s="1"/>
  <c r="CH105" i="1"/>
  <c r="CH418" i="1"/>
  <c r="CH378" i="1"/>
  <c r="CE378" i="1"/>
  <c r="CE379" i="1" s="1"/>
  <c r="CE286" i="1"/>
  <c r="CE418" i="1"/>
  <c r="CE515" i="1" s="1"/>
  <c r="CK231" i="1"/>
  <c r="CK232" i="1" s="1"/>
  <c r="CI104" i="1"/>
  <c r="CI102" i="1"/>
  <c r="CL231" i="1"/>
  <c r="CL232" i="1" s="1"/>
  <c r="CL111" i="1"/>
  <c r="T295" i="2"/>
  <c r="S295" i="2"/>
  <c r="CI124" i="1"/>
  <c r="CI174" i="1"/>
  <c r="CJ182" i="1" s="1"/>
  <c r="CI218" i="1"/>
  <c r="CI119" i="1"/>
  <c r="CF105" i="1"/>
  <c r="CF236" i="1"/>
  <c r="CF237" i="1" s="1"/>
  <c r="CM378" i="1"/>
  <c r="CM379" i="1" s="1"/>
  <c r="CM286" i="1"/>
  <c r="CM418" i="1"/>
  <c r="CJ136" i="1"/>
  <c r="CJ285" i="1" s="1"/>
  <c r="CL173" i="1"/>
  <c r="CF174" i="1"/>
  <c r="CF218" i="1"/>
  <c r="CF119" i="1"/>
  <c r="CF124" i="1"/>
  <c r="CJ32" i="7"/>
  <c r="CE108" i="1"/>
  <c r="CF110" i="1"/>
  <c r="CE110" i="1"/>
  <c r="CG134" i="1"/>
  <c r="CG115" i="1"/>
  <c r="CG135" i="1" s="1"/>
  <c r="CE119" i="1"/>
  <c r="CE218" i="1"/>
  <c r="CE174" i="1"/>
  <c r="CE124" i="1"/>
  <c r="CF102" i="1"/>
  <c r="CK33" i="7"/>
  <c r="CH110" i="1"/>
  <c r="CM32" i="7"/>
  <c r="CI110" i="1"/>
  <c r="CH108" i="1"/>
  <c r="CI134" i="1"/>
  <c r="CI115" i="1"/>
  <c r="CI135" i="1" s="1"/>
  <c r="CM33" i="7"/>
  <c r="CH102" i="1"/>
  <c r="CG124" i="1"/>
  <c r="CG174" i="1"/>
  <c r="CG218" i="1"/>
  <c r="CG119" i="1"/>
  <c r="CE246" i="1"/>
  <c r="CE247" i="1" s="1"/>
  <c r="CG105" i="1"/>
  <c r="CG236" i="1"/>
  <c r="CG237" i="1" s="1"/>
  <c r="CG250" i="1" s="1"/>
  <c r="CM119" i="1"/>
  <c r="CM218" i="1"/>
  <c r="CM124" i="1"/>
  <c r="CM214" i="1" s="1"/>
  <c r="CM174" i="1"/>
  <c r="CM182" i="1" s="1"/>
  <c r="CG240" i="1"/>
  <c r="CM231" i="1"/>
  <c r="CM232" i="1" s="1"/>
  <c r="CM111" i="1"/>
  <c r="CH119" i="1"/>
  <c r="CH218" i="1"/>
  <c r="CH124" i="1"/>
  <c r="CH174" i="1"/>
  <c r="CK286" i="1" l="1"/>
  <c r="CM515" i="1"/>
  <c r="CL286" i="1"/>
  <c r="CK418" i="1"/>
  <c r="CL515" i="1" s="1"/>
  <c r="CK105" i="1"/>
  <c r="CM105" i="1"/>
  <c r="CL236" i="1"/>
  <c r="CL237" i="1" s="1"/>
  <c r="CL238" i="1" s="1"/>
  <c r="CL105" i="1"/>
  <c r="CK111" i="1"/>
  <c r="CL182" i="1"/>
  <c r="CK245" i="1"/>
  <c r="CK238" i="1"/>
  <c r="CJ240" i="1"/>
  <c r="CJ250" i="1"/>
  <c r="CJ169" i="1" s="1"/>
  <c r="CK173" i="1"/>
  <c r="CK181" i="1" s="1"/>
  <c r="CK215" i="1"/>
  <c r="CG169" i="1"/>
  <c r="CE402" i="1"/>
  <c r="CE248" i="1"/>
  <c r="CI111" i="1"/>
  <c r="CJ111" i="1"/>
  <c r="CI231" i="1"/>
  <c r="CI232" i="1" s="1"/>
  <c r="CE214" i="1"/>
  <c r="CJ29" i="7"/>
  <c r="CF231" i="1"/>
  <c r="CF232" i="1" s="1"/>
  <c r="CF111" i="1"/>
  <c r="CG111" i="1"/>
  <c r="CK233" i="1"/>
  <c r="CK240" i="1"/>
  <c r="CK250" i="1"/>
  <c r="CM240" i="1"/>
  <c r="CM250" i="1"/>
  <c r="CM233" i="1"/>
  <c r="CH111" i="1"/>
  <c r="CH231" i="1"/>
  <c r="CH232" i="1" s="1"/>
  <c r="CF214" i="1"/>
  <c r="CK29" i="7"/>
  <c r="CG182" i="1"/>
  <c r="CL44" i="7"/>
  <c r="CM215" i="1"/>
  <c r="CM173" i="1"/>
  <c r="CM181" i="1" s="1"/>
  <c r="CJ44" i="7"/>
  <c r="CE182" i="1"/>
  <c r="CJ378" i="1"/>
  <c r="CJ418" i="1"/>
  <c r="CM44" i="7"/>
  <c r="CH182" i="1"/>
  <c r="CG238" i="1"/>
  <c r="CG245" i="1"/>
  <c r="CL29" i="7"/>
  <c r="CG214" i="1"/>
  <c r="CI182" i="1"/>
  <c r="CN44" i="7"/>
  <c r="CL233" i="1"/>
  <c r="CL240" i="1"/>
  <c r="CM29" i="7"/>
  <c r="CH214" i="1"/>
  <c r="CF418" i="1"/>
  <c r="CF515" i="1" s="1"/>
  <c r="CF286" i="1"/>
  <c r="CF378" i="1"/>
  <c r="CF379" i="1" s="1"/>
  <c r="CI136" i="1"/>
  <c r="CI285" i="1" s="1"/>
  <c r="CG136" i="1"/>
  <c r="CG285" i="1" s="1"/>
  <c r="CN29" i="7"/>
  <c r="CI214" i="1"/>
  <c r="CE231" i="1"/>
  <c r="CE232" i="1" s="1"/>
  <c r="CE111" i="1"/>
  <c r="CF182" i="1"/>
  <c r="CK44" i="7"/>
  <c r="CF238" i="1"/>
  <c r="CF245" i="1"/>
  <c r="CF246" i="1" s="1"/>
  <c r="CI236" i="1"/>
  <c r="CI237" i="1" s="1"/>
  <c r="CI105" i="1"/>
  <c r="CJ105" i="1"/>
  <c r="CH238" i="1"/>
  <c r="CH245" i="1"/>
  <c r="CL250" i="1" l="1"/>
  <c r="CM238" i="1"/>
  <c r="CL245" i="1"/>
  <c r="CL181" i="1"/>
  <c r="CG246" i="1"/>
  <c r="CH246" i="1" s="1"/>
  <c r="CH247" i="1" s="1"/>
  <c r="CJ176" i="1"/>
  <c r="CJ219" i="1" s="1"/>
  <c r="CJ125" i="1"/>
  <c r="AH232" i="3"/>
  <c r="CJ224" i="1"/>
  <c r="CI245" i="1"/>
  <c r="CI238" i="1"/>
  <c r="CJ238" i="1"/>
  <c r="CI286" i="1"/>
  <c r="CI418" i="1"/>
  <c r="CI515" i="1" s="1"/>
  <c r="CI378" i="1"/>
  <c r="CI379" i="1" s="1"/>
  <c r="CL169" i="1"/>
  <c r="CM169" i="1"/>
  <c r="CF247" i="1"/>
  <c r="CK169" i="1"/>
  <c r="CN39" i="7"/>
  <c r="CI215" i="1"/>
  <c r="CI173" i="1"/>
  <c r="CJ215" i="1"/>
  <c r="CH173" i="1"/>
  <c r="CM39" i="7"/>
  <c r="CH215" i="1"/>
  <c r="CF215" i="1"/>
  <c r="CF173" i="1"/>
  <c r="CK39" i="7"/>
  <c r="CE215" i="1"/>
  <c r="CE173" i="1"/>
  <c r="CJ39" i="7"/>
  <c r="CH240" i="1"/>
  <c r="CH250" i="1"/>
  <c r="CH233" i="1"/>
  <c r="CI233" i="1"/>
  <c r="CI250" i="1"/>
  <c r="CI240" i="1"/>
  <c r="CJ233" i="1"/>
  <c r="CF240" i="1"/>
  <c r="CF250" i="1"/>
  <c r="CF233" i="1"/>
  <c r="CG233" i="1"/>
  <c r="CE7" i="1"/>
  <c r="CE506" i="1"/>
  <c r="CJ18" i="7"/>
  <c r="CK379" i="1"/>
  <c r="CL39" i="7"/>
  <c r="CG173" i="1"/>
  <c r="CG176" i="1" s="1"/>
  <c r="CG215" i="1"/>
  <c r="CE240" i="1"/>
  <c r="CE250" i="1"/>
  <c r="CE233" i="1"/>
  <c r="CG286" i="1"/>
  <c r="CG418" i="1"/>
  <c r="CG378" i="1"/>
  <c r="CH286" i="1"/>
  <c r="CJ286" i="1"/>
  <c r="CK515" i="1"/>
  <c r="AE232" i="3"/>
  <c r="CG224" i="1"/>
  <c r="CL26" i="7"/>
  <c r="CG125" i="1"/>
  <c r="CG247" i="1" l="1"/>
  <c r="CG248" i="1" s="1"/>
  <c r="CJ376" i="1"/>
  <c r="CJ226" i="1"/>
  <c r="CJ221" i="1" s="1"/>
  <c r="CJ288" i="1" s="1"/>
  <c r="CH169" i="1"/>
  <c r="CH248" i="1"/>
  <c r="CH402" i="1"/>
  <c r="AJ232" i="3"/>
  <c r="CL170" i="1"/>
  <c r="CL224" i="1"/>
  <c r="CL125" i="1"/>
  <c r="CL176" i="1"/>
  <c r="CL219" i="1" s="1"/>
  <c r="CG515" i="1"/>
  <c r="CH515" i="1"/>
  <c r="CF248" i="1"/>
  <c r="CF402" i="1"/>
  <c r="CG226" i="1"/>
  <c r="CG376" i="1"/>
  <c r="CF169" i="1"/>
  <c r="AI232" i="3"/>
  <c r="CK170" i="1"/>
  <c r="CK125" i="1"/>
  <c r="CK126" i="1" s="1"/>
  <c r="CK176" i="1"/>
  <c r="CK219" i="1" s="1"/>
  <c r="CK224" i="1"/>
  <c r="CH181" i="1"/>
  <c r="CM42" i="7"/>
  <c r="CE241" i="1"/>
  <c r="CF241" i="1" s="1"/>
  <c r="CG241" i="1" s="1"/>
  <c r="AK232" i="3"/>
  <c r="CM170" i="1"/>
  <c r="CM224" i="1"/>
  <c r="CM176" i="1"/>
  <c r="CM219" i="1" s="1"/>
  <c r="CM125" i="1"/>
  <c r="CJ515" i="1"/>
  <c r="CI169" i="1"/>
  <c r="CI181" i="1"/>
  <c r="CN42" i="7"/>
  <c r="CJ181" i="1"/>
  <c r="CJ379" i="1"/>
  <c r="AH226" i="3"/>
  <c r="CJ279" i="1"/>
  <c r="CE181" i="1"/>
  <c r="CJ42" i="7"/>
  <c r="CG402" i="1"/>
  <c r="CE169" i="1"/>
  <c r="CE251" i="1"/>
  <c r="CF251" i="1" s="1"/>
  <c r="CG251" i="1" s="1"/>
  <c r="CE22" i="1"/>
  <c r="CG219" i="1"/>
  <c r="CL40" i="7" s="1"/>
  <c r="CL43" i="7"/>
  <c r="CG379" i="1"/>
  <c r="CH379" i="1"/>
  <c r="CG181" i="1"/>
  <c r="CL42" i="7"/>
  <c r="CK42" i="7"/>
  <c r="CF181" i="1"/>
  <c r="CI246" i="1"/>
  <c r="CJ246" i="1" s="1"/>
  <c r="CM126" i="1" l="1"/>
  <c r="CF242" i="1"/>
  <c r="CF403" i="1" s="1"/>
  <c r="CF408" i="1" s="1"/>
  <c r="CI247" i="1"/>
  <c r="CI402" i="1" s="1"/>
  <c r="CE242" i="1"/>
  <c r="CE403" i="1" s="1"/>
  <c r="X298" i="2"/>
  <c r="CJ382" i="1"/>
  <c r="CJ500" i="1"/>
  <c r="CJ320" i="1"/>
  <c r="CF252" i="1"/>
  <c r="AD232" i="3"/>
  <c r="CF224" i="1"/>
  <c r="CK26" i="7"/>
  <c r="CF170" i="1"/>
  <c r="CF125" i="1"/>
  <c r="CF176" i="1"/>
  <c r="CG170" i="1"/>
  <c r="CL126" i="1"/>
  <c r="CG221" i="1"/>
  <c r="CE252" i="1"/>
  <c r="CM226" i="1"/>
  <c r="CM376" i="1"/>
  <c r="CK226" i="1"/>
  <c r="CK376" i="1"/>
  <c r="U298" i="2"/>
  <c r="CG500" i="1"/>
  <c r="CG382" i="1"/>
  <c r="CL376" i="1"/>
  <c r="CL226" i="1"/>
  <c r="CH7" i="1"/>
  <c r="CM18" i="7"/>
  <c r="CH506" i="1"/>
  <c r="AC232" i="3"/>
  <c r="CJ26" i="7"/>
  <c r="CE170" i="1"/>
  <c r="CE176" i="1"/>
  <c r="CE224" i="1"/>
  <c r="CE125" i="1"/>
  <c r="CE126" i="1" s="1"/>
  <c r="AG232" i="3"/>
  <c r="CI125" i="1"/>
  <c r="CI176" i="1"/>
  <c r="CI224" i="1"/>
  <c r="CI170" i="1"/>
  <c r="CN26" i="7"/>
  <c r="CJ170" i="1"/>
  <c r="CF7" i="1"/>
  <c r="CK18" i="7"/>
  <c r="CF506" i="1"/>
  <c r="CI248" i="1"/>
  <c r="CH251" i="1"/>
  <c r="CG252" i="1"/>
  <c r="CK246" i="1"/>
  <c r="CJ247" i="1"/>
  <c r="CL18" i="7"/>
  <c r="CG7" i="1"/>
  <c r="CG506" i="1"/>
  <c r="CH241" i="1"/>
  <c r="CG242" i="1"/>
  <c r="AF232" i="3"/>
  <c r="CH125" i="1"/>
  <c r="CH126" i="1" s="1"/>
  <c r="CH176" i="1"/>
  <c r="CH224" i="1"/>
  <c r="CH170" i="1"/>
  <c r="CM26" i="7"/>
  <c r="CE243" i="1" l="1"/>
  <c r="CF243" i="1"/>
  <c r="CG403" i="1"/>
  <c r="CG243" i="1"/>
  <c r="CL246" i="1"/>
  <c r="CK247" i="1"/>
  <c r="CI219" i="1"/>
  <c r="CN40" i="7" s="1"/>
  <c r="CN43" i="7"/>
  <c r="CL227" i="1"/>
  <c r="CL221" i="1"/>
  <c r="AA298" i="2"/>
  <c r="CM377" i="1"/>
  <c r="CM500" i="1"/>
  <c r="CM382" i="1"/>
  <c r="CF126" i="1"/>
  <c r="CG126" i="1"/>
  <c r="CI251" i="1"/>
  <c r="CH252" i="1"/>
  <c r="CF22" i="1"/>
  <c r="CI241" i="1"/>
  <c r="CH242" i="1"/>
  <c r="CL19" i="7"/>
  <c r="CL38" i="7" s="1"/>
  <c r="CG253" i="1"/>
  <c r="CF416" i="1"/>
  <c r="CF521" i="1" s="1"/>
  <c r="CI126" i="1"/>
  <c r="CJ126" i="1"/>
  <c r="CL377" i="1"/>
  <c r="CL500" i="1"/>
  <c r="Z298" i="2"/>
  <c r="CL382" i="1"/>
  <c r="CM227" i="1"/>
  <c r="CM221" i="1"/>
  <c r="CF226" i="1"/>
  <c r="CF376" i="1"/>
  <c r="CH226" i="1"/>
  <c r="CH376" i="1"/>
  <c r="CE8" i="1"/>
  <c r="CJ17" i="7"/>
  <c r="CE507" i="1"/>
  <c r="CE408" i="1"/>
  <c r="CE226" i="1"/>
  <c r="CE376" i="1"/>
  <c r="CE253" i="1"/>
  <c r="CJ19" i="7"/>
  <c r="CJ38" i="7" s="1"/>
  <c r="AE226" i="3"/>
  <c r="CG288" i="1"/>
  <c r="CG279" i="1"/>
  <c r="CH219" i="1"/>
  <c r="CM40" i="7" s="1"/>
  <c r="CM43" i="7"/>
  <c r="CG22" i="1"/>
  <c r="CI7" i="1"/>
  <c r="CN18" i="7"/>
  <c r="CI506" i="1"/>
  <c r="CE219" i="1"/>
  <c r="CJ40" i="7" s="1"/>
  <c r="CJ43" i="7"/>
  <c r="CH22" i="1"/>
  <c r="CF253" i="1"/>
  <c r="CK19" i="7"/>
  <c r="CK38" i="7" s="1"/>
  <c r="CK377" i="1"/>
  <c r="CK500" i="1"/>
  <c r="Y298" i="2"/>
  <c r="CK382" i="1"/>
  <c r="CK383" i="1" s="1"/>
  <c r="CJ402" i="1"/>
  <c r="CJ248" i="1"/>
  <c r="CI226" i="1"/>
  <c r="CI376" i="1"/>
  <c r="CF8" i="1"/>
  <c r="CK17" i="7"/>
  <c r="CF507" i="1"/>
  <c r="CK221" i="1"/>
  <c r="CK227" i="1"/>
  <c r="CF219" i="1"/>
  <c r="CK40" i="7" s="1"/>
  <c r="CK43" i="7"/>
  <c r="CL383" i="1" l="1"/>
  <c r="CM383" i="1"/>
  <c r="CF23" i="1"/>
  <c r="CF227" i="1"/>
  <c r="CF221" i="1"/>
  <c r="CG227" i="1"/>
  <c r="W298" i="2"/>
  <c r="CI382" i="1"/>
  <c r="CI377" i="1"/>
  <c r="CI500" i="1"/>
  <c r="CJ377" i="1"/>
  <c r="CG320" i="1"/>
  <c r="L2" i="5"/>
  <c r="CH243" i="1"/>
  <c r="CH403" i="1"/>
  <c r="S298" i="2"/>
  <c r="CE377" i="1"/>
  <c r="CE500" i="1"/>
  <c r="CE382" i="1"/>
  <c r="CE383" i="1" s="1"/>
  <c r="CH221" i="1"/>
  <c r="CH227" i="1"/>
  <c r="CJ251" i="1"/>
  <c r="CI252" i="1"/>
  <c r="CE227" i="1"/>
  <c r="CE221" i="1"/>
  <c r="T298" i="2"/>
  <c r="CF500" i="1"/>
  <c r="CF377" i="1"/>
  <c r="CF382" i="1"/>
  <c r="CG377" i="1"/>
  <c r="CK402" i="1"/>
  <c r="CK248" i="1"/>
  <c r="CI221" i="1"/>
  <c r="CI227" i="1"/>
  <c r="CJ227" i="1"/>
  <c r="CF419" i="1"/>
  <c r="CF520" i="1"/>
  <c r="CF519" i="1"/>
  <c r="CK8" i="7"/>
  <c r="CF13" i="1"/>
  <c r="CF522" i="1"/>
  <c r="CJ241" i="1"/>
  <c r="CI242" i="1"/>
  <c r="CM246" i="1"/>
  <c r="CM247" i="1" s="1"/>
  <c r="CL247" i="1"/>
  <c r="CE409" i="1"/>
  <c r="CE416" i="1"/>
  <c r="CF417" i="1" s="1"/>
  <c r="CE510" i="1"/>
  <c r="CI22" i="1"/>
  <c r="CF409" i="1"/>
  <c r="AI226" i="3"/>
  <c r="CK279" i="1"/>
  <c r="CK222" i="1"/>
  <c r="CK288" i="1"/>
  <c r="CJ506" i="1"/>
  <c r="CJ7" i="1"/>
  <c r="CE23" i="1"/>
  <c r="CE6" i="1"/>
  <c r="CE21" i="1" s="1"/>
  <c r="CF510" i="1"/>
  <c r="CF6" i="1"/>
  <c r="CG8" i="1"/>
  <c r="CG507" i="1"/>
  <c r="CL17" i="7"/>
  <c r="CG408" i="1"/>
  <c r="AK226" i="3"/>
  <c r="CM222" i="1"/>
  <c r="CM288" i="1"/>
  <c r="CM279" i="1"/>
  <c r="V298" i="2"/>
  <c r="CH382" i="1"/>
  <c r="CH383" i="1" s="1"/>
  <c r="CH500" i="1"/>
  <c r="CH377" i="1"/>
  <c r="CH253" i="1"/>
  <c r="CM19" i="7"/>
  <c r="CM38" i="7" s="1"/>
  <c r="AJ226" i="3"/>
  <c r="CL279" i="1"/>
  <c r="CL288" i="1"/>
  <c r="CL222" i="1"/>
  <c r="T162" i="2" l="1"/>
  <c r="T26" i="2" s="1"/>
  <c r="T165" i="2"/>
  <c r="CF21" i="1"/>
  <c r="CF531" i="1"/>
  <c r="CM402" i="1"/>
  <c r="CM248" i="1"/>
  <c r="CI403" i="1"/>
  <c r="CI243" i="1"/>
  <c r="AG226" i="3"/>
  <c r="CI279" i="1"/>
  <c r="CI222" i="1"/>
  <c r="CI288" i="1"/>
  <c r="CJ222" i="1"/>
  <c r="AC226" i="3"/>
  <c r="CE222" i="1"/>
  <c r="CE279" i="1"/>
  <c r="CE288" i="1"/>
  <c r="CK289" i="1"/>
  <c r="CK320" i="1"/>
  <c r="CF529" i="1"/>
  <c r="CI383" i="1"/>
  <c r="CJ383" i="1"/>
  <c r="CG23" i="1"/>
  <c r="CG6" i="1"/>
  <c r="CG21" i="1" s="1"/>
  <c r="CM289" i="1"/>
  <c r="CM320" i="1"/>
  <c r="CF526" i="1"/>
  <c r="CE521" i="1"/>
  <c r="CF514" i="1"/>
  <c r="CK251" i="1"/>
  <c r="CJ252" i="1"/>
  <c r="CJ253" i="1" s="1"/>
  <c r="CK7" i="1"/>
  <c r="CK506" i="1"/>
  <c r="CG416" i="1"/>
  <c r="CG521" i="1" s="1"/>
  <c r="CG510" i="1"/>
  <c r="CG409" i="1"/>
  <c r="CE530" i="1"/>
  <c r="CF528" i="1"/>
  <c r="CF383" i="1"/>
  <c r="CG383" i="1"/>
  <c r="CJ22" i="1"/>
  <c r="CK241" i="1"/>
  <c r="CJ242" i="1"/>
  <c r="CH8" i="1"/>
  <c r="CM17" i="7"/>
  <c r="CH507" i="1"/>
  <c r="CH408" i="1"/>
  <c r="CF530" i="1"/>
  <c r="T73" i="2"/>
  <c r="T192" i="2"/>
  <c r="T155" i="2"/>
  <c r="T134" i="2"/>
  <c r="T159" i="2"/>
  <c r="CF387" i="1"/>
  <c r="K3" i="5"/>
  <c r="T152" i="2"/>
  <c r="CF30" i="1"/>
  <c r="T173" i="2"/>
  <c r="CK7" i="7"/>
  <c r="CF489" i="1"/>
  <c r="CF421" i="1"/>
  <c r="AF226" i="3"/>
  <c r="CH222" i="1"/>
  <c r="CH288" i="1"/>
  <c r="CH279" i="1"/>
  <c r="AD226" i="3"/>
  <c r="CF288" i="1"/>
  <c r="CF222" i="1"/>
  <c r="CF279" i="1"/>
  <c r="CG222" i="1"/>
  <c r="CE529" i="1"/>
  <c r="CE519" i="1"/>
  <c r="CJ8" i="7"/>
  <c r="CE520" i="1"/>
  <c r="CE531" i="1"/>
  <c r="CE514" i="1"/>
  <c r="CE522" i="1"/>
  <c r="CE417" i="1"/>
  <c r="CE528" i="1"/>
  <c r="CE13" i="1"/>
  <c r="CF14" i="1" s="1"/>
  <c r="CE419" i="1"/>
  <c r="S165" i="2" s="1"/>
  <c r="CE526" i="1"/>
  <c r="CE527" i="1"/>
  <c r="CF527" i="1"/>
  <c r="CN19" i="7"/>
  <c r="CN38" i="7" s="1"/>
  <c r="CI253" i="1"/>
  <c r="CL320" i="1"/>
  <c r="CL289" i="1"/>
  <c r="CL248" i="1"/>
  <c r="CL402" i="1"/>
  <c r="CF18" i="1"/>
  <c r="CF15" i="1"/>
  <c r="T24" i="2" l="1"/>
  <c r="T167" i="2"/>
  <c r="S167" i="2"/>
  <c r="S24" i="2"/>
  <c r="CG530" i="1"/>
  <c r="T22" i="2"/>
  <c r="T27" i="2" s="1"/>
  <c r="CI289" i="1"/>
  <c r="N2" i="5"/>
  <c r="CI320" i="1"/>
  <c r="CJ289" i="1"/>
  <c r="U118" i="2"/>
  <c r="T141" i="2"/>
  <c r="T4" i="2" s="1"/>
  <c r="CK322" i="1"/>
  <c r="CF289" i="1"/>
  <c r="CF320" i="1"/>
  <c r="K2" i="5"/>
  <c r="CG289" i="1"/>
  <c r="T6" i="2"/>
  <c r="CH23" i="1"/>
  <c r="CH6" i="1"/>
  <c r="CH21" i="1" s="1"/>
  <c r="CL7" i="1"/>
  <c r="CL506" i="1"/>
  <c r="T5" i="2"/>
  <c r="CJ243" i="1"/>
  <c r="CJ403" i="1"/>
  <c r="CE289" i="1"/>
  <c r="CE320" i="1"/>
  <c r="J2" i="5"/>
  <c r="CF33" i="1"/>
  <c r="S155" i="2"/>
  <c r="T157" i="2" s="1"/>
  <c r="S134" i="2"/>
  <c r="S159" i="2"/>
  <c r="S73" i="2"/>
  <c r="S152" i="2"/>
  <c r="S173" i="2"/>
  <c r="CE420" i="1"/>
  <c r="CE516" i="1"/>
  <c r="J3" i="5"/>
  <c r="S192" i="2"/>
  <c r="CJ7" i="7"/>
  <c r="CE30" i="1"/>
  <c r="CE387" i="1"/>
  <c r="CE489" i="1"/>
  <c r="CF490" i="1" s="1"/>
  <c r="CE421" i="1"/>
  <c r="T300" i="2"/>
  <c r="CF29" i="1"/>
  <c r="T75" i="2"/>
  <c r="T100" i="2"/>
  <c r="T92" i="2"/>
  <c r="CL241" i="1"/>
  <c r="CK242" i="1"/>
  <c r="CK22" i="1"/>
  <c r="CH289" i="1"/>
  <c r="M2" i="5"/>
  <c r="CH320" i="1"/>
  <c r="CM322" i="1"/>
  <c r="CE15" i="1"/>
  <c r="CE14" i="1"/>
  <c r="CE18" i="1"/>
  <c r="CF516" i="1"/>
  <c r="CI507" i="1"/>
  <c r="CN17" i="7"/>
  <c r="CI8" i="1"/>
  <c r="CI408" i="1"/>
  <c r="CL322" i="1"/>
  <c r="CF420" i="1"/>
  <c r="CH510" i="1"/>
  <c r="CH409" i="1"/>
  <c r="CH416" i="1"/>
  <c r="CH521" i="1" s="1"/>
  <c r="CG13" i="1"/>
  <c r="CG514" i="1"/>
  <c r="CG419" i="1"/>
  <c r="CG528" i="1"/>
  <c r="CG529" i="1"/>
  <c r="CG519" i="1"/>
  <c r="CL8" i="7"/>
  <c r="CG522" i="1"/>
  <c r="CG531" i="1"/>
  <c r="CG520" i="1"/>
  <c r="CG417" i="1"/>
  <c r="CG526" i="1"/>
  <c r="CG527" i="1"/>
  <c r="CL251" i="1"/>
  <c r="CK252" i="1"/>
  <c r="CK253" i="1" s="1"/>
  <c r="CM7" i="1"/>
  <c r="CM506" i="1"/>
  <c r="U162" i="2" l="1"/>
  <c r="U26" i="2" s="1"/>
  <c r="U165" i="2"/>
  <c r="CH530" i="1"/>
  <c r="CM251" i="1"/>
  <c r="CM252" i="1" s="1"/>
  <c r="CL252" i="1"/>
  <c r="CL253" i="1" s="1"/>
  <c r="CI416" i="1"/>
  <c r="CI530" i="1" s="1"/>
  <c r="CI510" i="1"/>
  <c r="CI409" i="1"/>
  <c r="AD18" i="3"/>
  <c r="AD227" i="3" s="1"/>
  <c r="CF348" i="1"/>
  <c r="CF330" i="1"/>
  <c r="CF335" i="1"/>
  <c r="CF352" i="1"/>
  <c r="CF356" i="1"/>
  <c r="CF344" i="1"/>
  <c r="CF364" i="1"/>
  <c r="CF360" i="1"/>
  <c r="CF323" i="1"/>
  <c r="CF340" i="1"/>
  <c r="CM241" i="1"/>
  <c r="CM242" i="1" s="1"/>
  <c r="CL242" i="1"/>
  <c r="CE31" i="1"/>
  <c r="CE33" i="1"/>
  <c r="S100" i="2"/>
  <c r="S92" i="2"/>
  <c r="BO440" i="1"/>
  <c r="F6" i="5" s="1"/>
  <c r="S75" i="2"/>
  <c r="CL22" i="1"/>
  <c r="CI322" i="1"/>
  <c r="CJ322" i="1"/>
  <c r="S5" i="2"/>
  <c r="S154" i="2"/>
  <c r="U73" i="2"/>
  <c r="U152" i="2"/>
  <c r="U173" i="2"/>
  <c r="U192" i="2"/>
  <c r="U155" i="2"/>
  <c r="U159" i="2"/>
  <c r="CG387" i="1"/>
  <c r="CG420" i="1"/>
  <c r="CG516" i="1"/>
  <c r="L3" i="5"/>
  <c r="CG489" i="1"/>
  <c r="CL7" i="7"/>
  <c r="CG30" i="1"/>
  <c r="U134" i="2"/>
  <c r="CG421" i="1"/>
  <c r="S22" i="2"/>
  <c r="S161" i="2"/>
  <c r="CJ8" i="1"/>
  <c r="CJ507" i="1"/>
  <c r="CJ408" i="1"/>
  <c r="CK243" i="1"/>
  <c r="CK403" i="1"/>
  <c r="CF322" i="1"/>
  <c r="CF326" i="1"/>
  <c r="CG322" i="1"/>
  <c r="CH322" i="1"/>
  <c r="T118" i="2"/>
  <c r="S141" i="2"/>
  <c r="S4" i="2" s="1"/>
  <c r="T76" i="2"/>
  <c r="T279" i="2"/>
  <c r="T311" i="2"/>
  <c r="CI23" i="1"/>
  <c r="CI6" i="1"/>
  <c r="CI21" i="1" s="1"/>
  <c r="CE322" i="1"/>
  <c r="CG14" i="1"/>
  <c r="CG15" i="1"/>
  <c r="CG18" i="1"/>
  <c r="CE29" i="1"/>
  <c r="S300" i="2"/>
  <c r="CE490" i="1"/>
  <c r="S6" i="2"/>
  <c r="S157" i="2"/>
  <c r="T154" i="2"/>
  <c r="T161" i="2"/>
  <c r="CM22" i="1"/>
  <c r="CH417" i="1"/>
  <c r="CH514" i="1"/>
  <c r="CH419" i="1"/>
  <c r="CH528" i="1"/>
  <c r="CH529" i="1"/>
  <c r="CM8" i="7"/>
  <c r="CH519" i="1"/>
  <c r="CH522" i="1"/>
  <c r="CH520" i="1"/>
  <c r="CH531" i="1"/>
  <c r="CH13" i="1"/>
  <c r="CH526" i="1"/>
  <c r="CH527" i="1"/>
  <c r="CF31" i="1"/>
  <c r="T10" i="2"/>
  <c r="V162" i="2" l="1"/>
  <c r="V26" i="2" s="1"/>
  <c r="V165" i="2"/>
  <c r="U167" i="2"/>
  <c r="U24" i="2"/>
  <c r="CI521" i="1"/>
  <c r="CF368" i="1"/>
  <c r="CF425" i="1" s="1"/>
  <c r="CF430" i="1" s="1"/>
  <c r="CE330" i="1"/>
  <c r="CE335" i="1"/>
  <c r="CE337" i="1" s="1"/>
  <c r="CE352" i="1"/>
  <c r="CE356" i="1"/>
  <c r="CE358" i="1" s="1"/>
  <c r="CE323" i="1"/>
  <c r="CE340" i="1"/>
  <c r="CE342" i="1" s="1"/>
  <c r="AC18" i="3"/>
  <c r="AC227" i="3" s="1"/>
  <c r="CE344" i="1"/>
  <c r="CE346" i="1" s="1"/>
  <c r="CE364" i="1"/>
  <c r="CE366" i="1" s="1"/>
  <c r="CE348" i="1"/>
  <c r="CE350" i="1" s="1"/>
  <c r="CE360" i="1"/>
  <c r="V118" i="2"/>
  <c r="U141" i="2"/>
  <c r="U4" i="2" s="1"/>
  <c r="U75" i="2"/>
  <c r="U100" i="2"/>
  <c r="U92" i="2"/>
  <c r="BY440" i="1"/>
  <c r="H6" i="5" s="1"/>
  <c r="T313" i="2"/>
  <c r="T314" i="2"/>
  <c r="CF473" i="1"/>
  <c r="S76" i="2"/>
  <c r="S279" i="2"/>
  <c r="S311" i="2"/>
  <c r="CJ409" i="1"/>
  <c r="CJ416" i="1"/>
  <c r="CJ521" i="1" s="1"/>
  <c r="CJ510" i="1"/>
  <c r="CG33" i="1"/>
  <c r="CG31" i="1"/>
  <c r="CL403" i="1"/>
  <c r="CL243" i="1"/>
  <c r="CF327" i="1"/>
  <c r="CJ23" i="1"/>
  <c r="CJ6" i="1"/>
  <c r="CJ21" i="1" s="1"/>
  <c r="U6" i="2"/>
  <c r="U157" i="2"/>
  <c r="CM403" i="1"/>
  <c r="CM243" i="1"/>
  <c r="CH14" i="1"/>
  <c r="CH18" i="1"/>
  <c r="CH15" i="1"/>
  <c r="V73" i="2"/>
  <c r="V152" i="2"/>
  <c r="V173" i="2"/>
  <c r="V192" i="2"/>
  <c r="V155" i="2"/>
  <c r="CH516" i="1"/>
  <c r="V159" i="2"/>
  <c r="CH387" i="1"/>
  <c r="M3" i="5"/>
  <c r="CH420" i="1"/>
  <c r="V134" i="2"/>
  <c r="CM7" i="7"/>
  <c r="CH30" i="1"/>
  <c r="CH489" i="1"/>
  <c r="CH421" i="1"/>
  <c r="S10" i="2"/>
  <c r="CI13" i="1"/>
  <c r="CI522" i="1"/>
  <c r="CI417" i="1"/>
  <c r="CI514" i="1"/>
  <c r="CI528" i="1"/>
  <c r="CI419" i="1"/>
  <c r="CI520" i="1"/>
  <c r="CI531" i="1"/>
  <c r="CI519" i="1"/>
  <c r="CN8" i="7"/>
  <c r="CI529" i="1"/>
  <c r="CI526" i="1"/>
  <c r="CI527" i="1"/>
  <c r="U22" i="2"/>
  <c r="U27" i="2" s="1"/>
  <c r="U161" i="2"/>
  <c r="U300" i="2"/>
  <c r="CG29" i="1"/>
  <c r="CG490" i="1"/>
  <c r="CK8" i="1"/>
  <c r="CK507" i="1"/>
  <c r="CK408" i="1"/>
  <c r="U5" i="2"/>
  <c r="U154" i="2"/>
  <c r="CM253" i="1"/>
  <c r="W162" i="2" l="1"/>
  <c r="W26" i="2" s="1"/>
  <c r="W165" i="2"/>
  <c r="CF366" i="1"/>
  <c r="V167" i="2"/>
  <c r="V24" i="2"/>
  <c r="CF346" i="1"/>
  <c r="CF350" i="1"/>
  <c r="CF342" i="1"/>
  <c r="CJ530" i="1"/>
  <c r="CF337" i="1"/>
  <c r="W73" i="2"/>
  <c r="W152" i="2"/>
  <c r="W173" i="2"/>
  <c r="W192" i="2"/>
  <c r="W134" i="2"/>
  <c r="W159" i="2"/>
  <c r="CI489" i="1"/>
  <c r="W155" i="2"/>
  <c r="CI387" i="1"/>
  <c r="CI30" i="1"/>
  <c r="CI420" i="1"/>
  <c r="CI516" i="1"/>
  <c r="N3" i="5"/>
  <c r="CN7" i="7"/>
  <c r="CQ7" i="7" s="1"/>
  <c r="CI421" i="1"/>
  <c r="V5" i="2"/>
  <c r="V154" i="2"/>
  <c r="CM8" i="1"/>
  <c r="CM507" i="1"/>
  <c r="CM408" i="1"/>
  <c r="CL8" i="1"/>
  <c r="CL507" i="1"/>
  <c r="CL408" i="1"/>
  <c r="S313" i="2"/>
  <c r="S314" i="2"/>
  <c r="CE473" i="1"/>
  <c r="S312" i="2"/>
  <c r="V75" i="2"/>
  <c r="V100" i="2"/>
  <c r="V92" i="2"/>
  <c r="V300" i="2"/>
  <c r="CH490" i="1"/>
  <c r="CH29" i="1"/>
  <c r="V22" i="2"/>
  <c r="V161" i="2"/>
  <c r="CE325" i="1"/>
  <c r="CE326" i="1"/>
  <c r="CE368" i="1"/>
  <c r="CK23" i="1"/>
  <c r="CK6" i="1"/>
  <c r="CK21" i="1" s="1"/>
  <c r="CH31" i="1"/>
  <c r="CH33" i="1"/>
  <c r="K12" i="4"/>
  <c r="AD22" i="3"/>
  <c r="AD264" i="3" s="1"/>
  <c r="CF474" i="1"/>
  <c r="CF48" i="1"/>
  <c r="AE18" i="3"/>
  <c r="AE227" i="3" s="1"/>
  <c r="CG348" i="1"/>
  <c r="CG350" i="1" s="1"/>
  <c r="CG330" i="1"/>
  <c r="CG335" i="1"/>
  <c r="CG337" i="1" s="1"/>
  <c r="CG352" i="1"/>
  <c r="CG360" i="1"/>
  <c r="CG364" i="1"/>
  <c r="CG366" i="1" s="1"/>
  <c r="CG340" i="1"/>
  <c r="CG342" i="1" s="1"/>
  <c r="CG356" i="1"/>
  <c r="CG358" i="1" s="1"/>
  <c r="CG323" i="1"/>
  <c r="CG344" i="1"/>
  <c r="CG346" i="1" s="1"/>
  <c r="CK510" i="1"/>
  <c r="CK409" i="1"/>
  <c r="CK416" i="1"/>
  <c r="CK530" i="1" s="1"/>
  <c r="CF325" i="1"/>
  <c r="CI14" i="1"/>
  <c r="CI15" i="1"/>
  <c r="CI18" i="1"/>
  <c r="V141" i="2"/>
  <c r="V4" i="2" s="1"/>
  <c r="W118" i="2"/>
  <c r="V6" i="2"/>
  <c r="V157" i="2"/>
  <c r="CF358" i="1"/>
  <c r="CJ13" i="1"/>
  <c r="CJ522" i="1"/>
  <c r="CJ417" i="1"/>
  <c r="CJ514" i="1"/>
  <c r="CJ519" i="1"/>
  <c r="CJ529" i="1"/>
  <c r="CJ520" i="1"/>
  <c r="CJ528" i="1"/>
  <c r="CJ419" i="1"/>
  <c r="CJ531" i="1"/>
  <c r="CJ526" i="1"/>
  <c r="CJ527" i="1"/>
  <c r="U311" i="2"/>
  <c r="U76" i="2"/>
  <c r="U279" i="2"/>
  <c r="T265" i="2"/>
  <c r="T303" i="2"/>
  <c r="T252" i="2"/>
  <c r="K10" i="4"/>
  <c r="CF436" i="1"/>
  <c r="CF479" i="1"/>
  <c r="K4" i="5"/>
  <c r="CF428" i="1"/>
  <c r="CF435" i="1"/>
  <c r="CK9" i="7"/>
  <c r="T312" i="2"/>
  <c r="U10" i="2"/>
  <c r="V27" i="2" l="1"/>
  <c r="X162" i="2"/>
  <c r="X26" i="2" s="1"/>
  <c r="X165" i="2"/>
  <c r="W167" i="2"/>
  <c r="W24" i="2"/>
  <c r="V10" i="2"/>
  <c r="CK521" i="1"/>
  <c r="W22" i="2"/>
  <c r="W161" i="2"/>
  <c r="T55" i="2"/>
  <c r="CG325" i="1"/>
  <c r="CG368" i="1"/>
  <c r="CG326" i="1"/>
  <c r="W141" i="2"/>
  <c r="W4" i="2" s="1"/>
  <c r="X118" i="2"/>
  <c r="T307" i="2"/>
  <c r="T308" i="2" s="1"/>
  <c r="X152" i="2"/>
  <c r="X173" i="2"/>
  <c r="CJ489" i="1"/>
  <c r="X159" i="2"/>
  <c r="X192" i="2"/>
  <c r="X155" i="2"/>
  <c r="X134" i="2"/>
  <c r="X73" i="2"/>
  <c r="CJ420" i="1"/>
  <c r="CJ516" i="1"/>
  <c r="CJ387" i="1"/>
  <c r="CJ30" i="1"/>
  <c r="CJ421" i="1"/>
  <c r="CJ14" i="1"/>
  <c r="CJ15" i="1"/>
  <c r="CJ18" i="1"/>
  <c r="AF18" i="3"/>
  <c r="AF227" i="3" s="1"/>
  <c r="CH344" i="1"/>
  <c r="CH346" i="1" s="1"/>
  <c r="CH364" i="1"/>
  <c r="CH366" i="1" s="1"/>
  <c r="CH348" i="1"/>
  <c r="CH350" i="1" s="1"/>
  <c r="CH330" i="1"/>
  <c r="CH323" i="1"/>
  <c r="CH340" i="1"/>
  <c r="CH342" i="1" s="1"/>
  <c r="CH360" i="1"/>
  <c r="CH352" i="1"/>
  <c r="CH356" i="1"/>
  <c r="CH358" i="1" s="1"/>
  <c r="CH335" i="1"/>
  <c r="CH337" i="1" s="1"/>
  <c r="CM23" i="1"/>
  <c r="CM6" i="1"/>
  <c r="CI33" i="1"/>
  <c r="CI31" i="1"/>
  <c r="AC22" i="3"/>
  <c r="AC264" i="3" s="1"/>
  <c r="J12" i="4"/>
  <c r="CE474" i="1"/>
  <c r="CE48" i="1"/>
  <c r="CF49" i="1" s="1"/>
  <c r="CF36" i="1"/>
  <c r="AD19" i="3" s="1"/>
  <c r="CF37" i="1"/>
  <c r="CL409" i="1"/>
  <c r="CL416" i="1"/>
  <c r="CL521" i="1" s="1"/>
  <c r="CL510" i="1"/>
  <c r="W5" i="2"/>
  <c r="W154" i="2"/>
  <c r="K8" i="5"/>
  <c r="CK11" i="7"/>
  <c r="CF50" i="1"/>
  <c r="CE369" i="1"/>
  <c r="CE425" i="1"/>
  <c r="CE430" i="1" s="1"/>
  <c r="CF369" i="1"/>
  <c r="W6" i="2"/>
  <c r="W157" i="2"/>
  <c r="U312" i="2"/>
  <c r="U313" i="2"/>
  <c r="U314" i="2"/>
  <c r="CG473" i="1"/>
  <c r="CE327" i="1"/>
  <c r="CE328" i="1"/>
  <c r="CF328" i="1"/>
  <c r="V311" i="2"/>
  <c r="V76" i="2"/>
  <c r="V279" i="2"/>
  <c r="CL23" i="1"/>
  <c r="CL6" i="1"/>
  <c r="CL21" i="1" s="1"/>
  <c r="W300" i="2"/>
  <c r="CI490" i="1"/>
  <c r="CI29" i="1"/>
  <c r="W92" i="2"/>
  <c r="W75" i="2"/>
  <c r="W100" i="2"/>
  <c r="T304" i="2"/>
  <c r="CF493" i="1"/>
  <c r="CK13" i="1"/>
  <c r="CK520" i="1"/>
  <c r="CK531" i="1"/>
  <c r="CK522" i="1"/>
  <c r="CK417" i="1"/>
  <c r="CK529" i="1"/>
  <c r="CK419" i="1"/>
  <c r="CK519" i="1"/>
  <c r="CK528" i="1"/>
  <c r="CK514" i="1"/>
  <c r="CK526" i="1"/>
  <c r="CK527" i="1"/>
  <c r="CM409" i="1"/>
  <c r="CM416" i="1"/>
  <c r="CM521" i="1" s="1"/>
  <c r="CM510" i="1"/>
  <c r="W27" i="2" l="1"/>
  <c r="Y162" i="2"/>
  <c r="Y26" i="2" s="1"/>
  <c r="Y165" i="2"/>
  <c r="X24" i="2"/>
  <c r="X167" i="2"/>
  <c r="CM21" i="1"/>
  <c r="X92" i="2"/>
  <c r="X75" i="2"/>
  <c r="X100" i="2"/>
  <c r="Y134" i="2"/>
  <c r="Y159" i="2"/>
  <c r="Y155" i="2"/>
  <c r="CK30" i="1"/>
  <c r="CK489" i="1"/>
  <c r="Y192" i="2"/>
  <c r="Y73" i="2"/>
  <c r="CK420" i="1"/>
  <c r="CK516" i="1"/>
  <c r="Y173" i="2"/>
  <c r="Y152" i="2"/>
  <c r="CK387" i="1"/>
  <c r="CK421" i="1"/>
  <c r="W311" i="2"/>
  <c r="W279" i="2"/>
  <c r="W76" i="2"/>
  <c r="CF39" i="1"/>
  <c r="CF44" i="1"/>
  <c r="X141" i="2"/>
  <c r="X4" i="2" s="1"/>
  <c r="Y118" i="2"/>
  <c r="X5" i="2"/>
  <c r="X154" i="2"/>
  <c r="W10" i="2"/>
  <c r="CL13" i="1"/>
  <c r="CL519" i="1"/>
  <c r="CL522" i="1"/>
  <c r="CL520" i="1"/>
  <c r="CL531" i="1"/>
  <c r="CL419" i="1"/>
  <c r="CL528" i="1"/>
  <c r="CL529" i="1"/>
  <c r="CL417" i="1"/>
  <c r="CL514" i="1"/>
  <c r="CL526" i="1"/>
  <c r="CL527" i="1"/>
  <c r="AD23" i="3"/>
  <c r="AD228" i="3"/>
  <c r="AD258" i="3"/>
  <c r="CH325" i="1"/>
  <c r="CH326" i="1"/>
  <c r="CH368" i="1"/>
  <c r="X6" i="2"/>
  <c r="X157" i="2"/>
  <c r="AG18" i="3"/>
  <c r="AG227" i="3" s="1"/>
  <c r="CI360" i="1"/>
  <c r="CI344" i="1"/>
  <c r="CI346" i="1" s="1"/>
  <c r="CI364" i="1"/>
  <c r="CI366" i="1" s="1"/>
  <c r="CI348" i="1"/>
  <c r="CI350" i="1" s="1"/>
  <c r="CI356" i="1"/>
  <c r="CI358" i="1" s="1"/>
  <c r="CI335" i="1"/>
  <c r="CI337" i="1" s="1"/>
  <c r="CI323" i="1"/>
  <c r="CI330" i="1"/>
  <c r="CI352" i="1"/>
  <c r="CI340" i="1"/>
  <c r="CI342" i="1" s="1"/>
  <c r="V312" i="2"/>
  <c r="V313" i="2"/>
  <c r="CH473" i="1"/>
  <c r="V314" i="2"/>
  <c r="CL530" i="1"/>
  <c r="CG327" i="1"/>
  <c r="CG328" i="1"/>
  <c r="S265" i="2"/>
  <c r="S303" i="2"/>
  <c r="S252" i="2"/>
  <c r="J10" i="4"/>
  <c r="CE479" i="1"/>
  <c r="CE428" i="1"/>
  <c r="CE435" i="1"/>
  <c r="CJ9" i="7"/>
  <c r="CE431" i="1"/>
  <c r="J4" i="5"/>
  <c r="CE436" i="1"/>
  <c r="CF431" i="1"/>
  <c r="CJ31" i="1"/>
  <c r="CJ33" i="1"/>
  <c r="X22" i="2"/>
  <c r="X27" i="2" s="1"/>
  <c r="X161" i="2"/>
  <c r="CG369" i="1"/>
  <c r="CG425" i="1"/>
  <c r="CG430" i="1" s="1"/>
  <c r="CJ11" i="7"/>
  <c r="CE49" i="1"/>
  <c r="CE50" i="1"/>
  <c r="J8" i="5"/>
  <c r="CJ490" i="1"/>
  <c r="CJ29" i="1"/>
  <c r="X300" i="2"/>
  <c r="AC265" i="3"/>
  <c r="AD265" i="3"/>
  <c r="CM13" i="1"/>
  <c r="CM529" i="1"/>
  <c r="CM519" i="1"/>
  <c r="CM520" i="1"/>
  <c r="CM531" i="1"/>
  <c r="CM514" i="1"/>
  <c r="CM417" i="1"/>
  <c r="CM522" i="1"/>
  <c r="CM528" i="1"/>
  <c r="CM419" i="1"/>
  <c r="CM526" i="1"/>
  <c r="CM527" i="1"/>
  <c r="CM530" i="1"/>
  <c r="CK14" i="1"/>
  <c r="CK15" i="1"/>
  <c r="CK18" i="1"/>
  <c r="AE22" i="3"/>
  <c r="AE264" i="3" s="1"/>
  <c r="L12" i="4"/>
  <c r="CG474" i="1"/>
  <c r="CG48" i="1"/>
  <c r="Z162" i="2" l="1"/>
  <c r="Z26" i="2" s="1"/>
  <c r="Z165" i="2"/>
  <c r="AA162" i="2"/>
  <c r="AA26" i="2" s="1"/>
  <c r="AA165" i="2"/>
  <c r="Y24" i="2"/>
  <c r="Y167" i="2"/>
  <c r="U265" i="2"/>
  <c r="U303" i="2"/>
  <c r="U252" i="2"/>
  <c r="CG435" i="1"/>
  <c r="CL9" i="7"/>
  <c r="CG436" i="1"/>
  <c r="L10" i="4"/>
  <c r="CG479" i="1"/>
  <c r="CG480" i="1" s="1"/>
  <c r="CG431" i="1"/>
  <c r="CG428" i="1"/>
  <c r="L4" i="5"/>
  <c r="S305" i="2"/>
  <c r="S307" i="2"/>
  <c r="S308" i="2" s="1"/>
  <c r="T305" i="2"/>
  <c r="AH18" i="3"/>
  <c r="AH227" i="3" s="1"/>
  <c r="CJ323" i="1"/>
  <c r="CJ340" i="1"/>
  <c r="CJ342" i="1" s="1"/>
  <c r="CJ360" i="1"/>
  <c r="CJ344" i="1"/>
  <c r="CJ346" i="1" s="1"/>
  <c r="CJ364" i="1"/>
  <c r="CJ366" i="1" s="1"/>
  <c r="CJ335" i="1"/>
  <c r="CJ337" i="1" s="1"/>
  <c r="CJ352" i="1"/>
  <c r="CJ330" i="1"/>
  <c r="CJ348" i="1"/>
  <c r="CJ350" i="1" s="1"/>
  <c r="CJ356" i="1"/>
  <c r="CJ358" i="1" s="1"/>
  <c r="CI325" i="1"/>
  <c r="CI326" i="1"/>
  <c r="CI368" i="1"/>
  <c r="X10" i="2"/>
  <c r="CK490" i="1"/>
  <c r="CK29" i="1"/>
  <c r="Y300" i="2"/>
  <c r="L8" i="5"/>
  <c r="CL11" i="7"/>
  <c r="CG50" i="1"/>
  <c r="CG49" i="1"/>
  <c r="AF22" i="3"/>
  <c r="AF264" i="3" s="1"/>
  <c r="M12" i="4"/>
  <c r="CH474" i="1"/>
  <c r="CH48" i="1"/>
  <c r="CH327" i="1"/>
  <c r="CH328" i="1"/>
  <c r="CL14" i="1"/>
  <c r="CL15" i="1"/>
  <c r="CL18" i="1"/>
  <c r="CM14" i="1"/>
  <c r="CM15" i="1"/>
  <c r="CM18" i="1"/>
  <c r="CE37" i="1"/>
  <c r="CE36" i="1"/>
  <c r="AC19" i="3" s="1"/>
  <c r="Y157" i="2"/>
  <c r="Y6" i="2"/>
  <c r="Y5" i="2"/>
  <c r="Y154" i="2"/>
  <c r="CE480" i="1"/>
  <c r="CF480" i="1"/>
  <c r="X311" i="2"/>
  <c r="X76" i="2"/>
  <c r="X279" i="2"/>
  <c r="CH369" i="1"/>
  <c r="CH425" i="1"/>
  <c r="CH430" i="1" s="1"/>
  <c r="AA155" i="2"/>
  <c r="AA134" i="2"/>
  <c r="AA159" i="2"/>
  <c r="AA73" i="2"/>
  <c r="AA152" i="2"/>
  <c r="AA173" i="2"/>
  <c r="CM420" i="1"/>
  <c r="CM516" i="1"/>
  <c r="CM30" i="1"/>
  <c r="AA192" i="2"/>
  <c r="CM387" i="1"/>
  <c r="CM489" i="1"/>
  <c r="CM421" i="1"/>
  <c r="CK31" i="1"/>
  <c r="CK33" i="1"/>
  <c r="Z73" i="2"/>
  <c r="Z134" i="2"/>
  <c r="Z159" i="2"/>
  <c r="Z192" i="2"/>
  <c r="Z173" i="2"/>
  <c r="CL30" i="1"/>
  <c r="CL489" i="1"/>
  <c r="CL387" i="1"/>
  <c r="Z152" i="2"/>
  <c r="Z155" i="2"/>
  <c r="CL420" i="1"/>
  <c r="CL516" i="1"/>
  <c r="CL421" i="1"/>
  <c r="Y22" i="2"/>
  <c r="Y27" i="2" s="1"/>
  <c r="Y161" i="2"/>
  <c r="AE265" i="3"/>
  <c r="S304" i="2"/>
  <c r="CE493" i="1"/>
  <c r="S55" i="2"/>
  <c r="AD24" i="3"/>
  <c r="AD230" i="3" s="1"/>
  <c r="AD229" i="3"/>
  <c r="AD109" i="3"/>
  <c r="W312" i="2"/>
  <c r="W313" i="2"/>
  <c r="W314" i="2"/>
  <c r="CI473" i="1"/>
  <c r="Y92" i="2"/>
  <c r="Y100" i="2"/>
  <c r="Y75" i="2"/>
  <c r="Y141" i="2"/>
  <c r="Y4" i="2" s="1"/>
  <c r="Z118" i="2"/>
  <c r="AA167" i="2" l="1"/>
  <c r="AA24" i="2"/>
  <c r="Z167" i="2"/>
  <c r="Z24" i="2"/>
  <c r="Y10" i="2"/>
  <c r="Z157" i="2"/>
  <c r="Z6" i="2"/>
  <c r="AA100" i="2"/>
  <c r="AA75" i="2"/>
  <c r="AA92" i="2"/>
  <c r="Z5" i="2"/>
  <c r="Z154" i="2"/>
  <c r="Z22" i="2"/>
  <c r="Z161" i="2"/>
  <c r="AA22" i="2"/>
  <c r="AA161" i="2"/>
  <c r="X314" i="2"/>
  <c r="X313" i="2"/>
  <c r="X312" i="2"/>
  <c r="CJ473" i="1"/>
  <c r="CE39" i="1"/>
  <c r="CE44" i="1"/>
  <c r="CE38" i="1"/>
  <c r="CF38" i="1"/>
  <c r="CI425" i="1"/>
  <c r="CI430" i="1" s="1"/>
  <c r="CI369" i="1"/>
  <c r="AA6" i="2"/>
  <c r="AA157" i="2"/>
  <c r="CI327" i="1"/>
  <c r="CI328" i="1"/>
  <c r="S309" i="2"/>
  <c r="T309" i="2"/>
  <c r="CM31" i="1"/>
  <c r="CM33" i="1"/>
  <c r="AI18" i="3"/>
  <c r="AI227" i="3" s="1"/>
  <c r="CK356" i="1"/>
  <c r="CK358" i="1" s="1"/>
  <c r="CK323" i="1"/>
  <c r="CK340" i="1"/>
  <c r="CK342" i="1" s="1"/>
  <c r="CK360" i="1"/>
  <c r="CK344" i="1"/>
  <c r="CK346" i="1" s="1"/>
  <c r="CK364" i="1"/>
  <c r="CK366" i="1" s="1"/>
  <c r="CK330" i="1"/>
  <c r="CK348" i="1"/>
  <c r="CK350" i="1" s="1"/>
  <c r="CK335" i="1"/>
  <c r="CK337" i="1" s="1"/>
  <c r="CK352" i="1"/>
  <c r="AG22" i="3"/>
  <c r="AG264" i="3" s="1"/>
  <c r="N12" i="4"/>
  <c r="CI48" i="1"/>
  <c r="CI474" i="1"/>
  <c r="M10" i="4"/>
  <c r="V265" i="2"/>
  <c r="V303" i="2"/>
  <c r="CH431" i="1"/>
  <c r="M4" i="5"/>
  <c r="CH435" i="1"/>
  <c r="CM9" i="7"/>
  <c r="CH436" i="1"/>
  <c r="V252" i="2"/>
  <c r="CH428" i="1"/>
  <c r="CH479" i="1"/>
  <c r="CH480" i="1" s="1"/>
  <c r="U55" i="2"/>
  <c r="AA118" i="2"/>
  <c r="Z141" i="2"/>
  <c r="Z4" i="2" s="1"/>
  <c r="AA141" i="2"/>
  <c r="AA4" i="2" s="1"/>
  <c r="U304" i="2"/>
  <c r="CG493" i="1"/>
  <c r="Y76" i="2"/>
  <c r="Y279" i="2"/>
  <c r="Y311" i="2"/>
  <c r="CM29" i="1"/>
  <c r="AA300" i="2"/>
  <c r="CM490" i="1"/>
  <c r="AF265" i="3"/>
  <c r="CJ325" i="1"/>
  <c r="CJ368" i="1"/>
  <c r="CJ326" i="1"/>
  <c r="CG37" i="1"/>
  <c r="CG36" i="1"/>
  <c r="AE19" i="3" s="1"/>
  <c r="U305" i="2"/>
  <c r="U307" i="2"/>
  <c r="U308" i="2" s="1"/>
  <c r="U309" i="2" s="1"/>
  <c r="CM11" i="7"/>
  <c r="M8" i="5"/>
  <c r="CH49" i="1"/>
  <c r="CH50" i="1"/>
  <c r="Z92" i="2"/>
  <c r="Z75" i="2"/>
  <c r="CD440" i="1"/>
  <c r="I6" i="5" s="1"/>
  <c r="Z100" i="2"/>
  <c r="Z300" i="2"/>
  <c r="CL29" i="1"/>
  <c r="CL490" i="1"/>
  <c r="CL31" i="1"/>
  <c r="CL33" i="1"/>
  <c r="AA5" i="2"/>
  <c r="AA154" i="2"/>
  <c r="AC258" i="3"/>
  <c r="AC228" i="3"/>
  <c r="AC23" i="3"/>
  <c r="Z27" i="2" l="1"/>
  <c r="AA27" i="2"/>
  <c r="Z10" i="2"/>
  <c r="CJ327" i="1"/>
  <c r="CJ328" i="1"/>
  <c r="Y313" i="2"/>
  <c r="Y312" i="2"/>
  <c r="CK473" i="1"/>
  <c r="Y314" i="2"/>
  <c r="AJ18" i="3"/>
  <c r="AJ227" i="3" s="1"/>
  <c r="CL335" i="1"/>
  <c r="CL337" i="1" s="1"/>
  <c r="CL352" i="1"/>
  <c r="CL356" i="1"/>
  <c r="CL358" i="1" s="1"/>
  <c r="CL323" i="1"/>
  <c r="CL340" i="1"/>
  <c r="CL342" i="1" s="1"/>
  <c r="CL360" i="1"/>
  <c r="CL348" i="1"/>
  <c r="CL350" i="1" s="1"/>
  <c r="CL344" i="1"/>
  <c r="CL346" i="1" s="1"/>
  <c r="CL364" i="1"/>
  <c r="CL366" i="1" s="1"/>
  <c r="CL330" i="1"/>
  <c r="CJ425" i="1"/>
  <c r="CJ430" i="1" s="1"/>
  <c r="CJ369" i="1"/>
  <c r="V305" i="2"/>
  <c r="V307" i="2"/>
  <c r="V308" i="2" s="1"/>
  <c r="V309" i="2" s="1"/>
  <c r="CH36" i="1"/>
  <c r="AF19" i="3" s="1"/>
  <c r="CH37" i="1"/>
  <c r="CK325" i="1"/>
  <c r="CK326" i="1"/>
  <c r="CK368" i="1"/>
  <c r="AH22" i="3"/>
  <c r="AH264" i="3" s="1"/>
  <c r="AH265" i="3" s="1"/>
  <c r="O12" i="4"/>
  <c r="CJ474" i="1"/>
  <c r="CJ48" i="1"/>
  <c r="CG38" i="1"/>
  <c r="CG39" i="1"/>
  <c r="CG44" i="1"/>
  <c r="AK18" i="3"/>
  <c r="AK227" i="3" s="1"/>
  <c r="CM330" i="1"/>
  <c r="CM335" i="1"/>
  <c r="CM352" i="1"/>
  <c r="CM356" i="1"/>
  <c r="CM323" i="1"/>
  <c r="CM340" i="1"/>
  <c r="CM344" i="1"/>
  <c r="CM360" i="1"/>
  <c r="CM364" i="1"/>
  <c r="CM348" i="1"/>
  <c r="AG265" i="3"/>
  <c r="V55" i="2"/>
  <c r="AA76" i="2"/>
  <c r="AA279" i="2"/>
  <c r="AA311" i="2"/>
  <c r="CI50" i="1"/>
  <c r="N8" i="5"/>
  <c r="CI49" i="1"/>
  <c r="CN11" i="7"/>
  <c r="V304" i="2"/>
  <c r="CH493" i="1"/>
  <c r="N10" i="4"/>
  <c r="CI436" i="1"/>
  <c r="W265" i="2"/>
  <c r="CI431" i="1"/>
  <c r="N4" i="5"/>
  <c r="CI435" i="1"/>
  <c r="CN9" i="7"/>
  <c r="CI479" i="1"/>
  <c r="CI480" i="1" s="1"/>
  <c r="W252" i="2"/>
  <c r="W303" i="2"/>
  <c r="CI428" i="1"/>
  <c r="AC24" i="3"/>
  <c r="AC230" i="3" s="1"/>
  <c r="AC229" i="3"/>
  <c r="AC109" i="3"/>
  <c r="Z311" i="2"/>
  <c r="Z76" i="2"/>
  <c r="Z279" i="2"/>
  <c r="AE23" i="3"/>
  <c r="AE228" i="3"/>
  <c r="AE258" i="3"/>
  <c r="AA10" i="2"/>
  <c r="CM350" i="1" l="1"/>
  <c r="CM358" i="1"/>
  <c r="CM337" i="1"/>
  <c r="CM366" i="1"/>
  <c r="CM346" i="1"/>
  <c r="CK425" i="1"/>
  <c r="CK430" i="1" s="1"/>
  <c r="CK369" i="1"/>
  <c r="CK327" i="1"/>
  <c r="CK328" i="1"/>
  <c r="W305" i="2"/>
  <c r="W307" i="2"/>
  <c r="W308" i="2" s="1"/>
  <c r="W309" i="2" s="1"/>
  <c r="CJ49" i="1"/>
  <c r="CJ50" i="1"/>
  <c r="CI493" i="1"/>
  <c r="W304" i="2"/>
  <c r="AE24" i="3"/>
  <c r="AE230" i="3" s="1"/>
  <c r="AE229" i="3"/>
  <c r="AE109" i="3"/>
  <c r="AI22" i="3"/>
  <c r="AI264" i="3" s="1"/>
  <c r="CK48" i="1"/>
  <c r="P12" i="4"/>
  <c r="CK474" i="1"/>
  <c r="Z314" i="2"/>
  <c r="Z312" i="2"/>
  <c r="CL473" i="1"/>
  <c r="Z313" i="2"/>
  <c r="CM342" i="1"/>
  <c r="CH38" i="1"/>
  <c r="CH39" i="1"/>
  <c r="CH44" i="1"/>
  <c r="CL325" i="1"/>
  <c r="CL368" i="1"/>
  <c r="CL326" i="1"/>
  <c r="CI36" i="1"/>
  <c r="AG19" i="3" s="1"/>
  <c r="CI37" i="1"/>
  <c r="AA313" i="2"/>
  <c r="AA314" i="2"/>
  <c r="CM473" i="1"/>
  <c r="AA312" i="2"/>
  <c r="CM325" i="1"/>
  <c r="CM368" i="1"/>
  <c r="CM326" i="1"/>
  <c r="AF23" i="3"/>
  <c r="AF228" i="3"/>
  <c r="AF258" i="3"/>
  <c r="O10" i="4"/>
  <c r="X252" i="2"/>
  <c r="X303" i="2"/>
  <c r="CJ428" i="1"/>
  <c r="X265" i="2"/>
  <c r="CJ431" i="1"/>
  <c r="CJ435" i="1"/>
  <c r="CJ436" i="1"/>
  <c r="CJ479" i="1"/>
  <c r="CJ480" i="1" s="1"/>
  <c r="W55" i="2"/>
  <c r="X55" i="2" l="1"/>
  <c r="AG23" i="3"/>
  <c r="AG228" i="3"/>
  <c r="AG258" i="3"/>
  <c r="AK22" i="3"/>
  <c r="AK264" i="3" s="1"/>
  <c r="CM474" i="1"/>
  <c r="CM48" i="1"/>
  <c r="R12" i="4"/>
  <c r="AF24" i="3"/>
  <c r="AF230" i="3" s="1"/>
  <c r="AF229" i="3"/>
  <c r="AF109" i="3"/>
  <c r="CM327" i="1"/>
  <c r="CM328" i="1"/>
  <c r="Q12" i="4"/>
  <c r="CL474" i="1"/>
  <c r="AJ22" i="3"/>
  <c r="AJ264" i="3" s="1"/>
  <c r="CL48" i="1"/>
  <c r="X304" i="2"/>
  <c r="CJ493" i="1"/>
  <c r="CJ36" i="1"/>
  <c r="AH19" i="3" s="1"/>
  <c r="CJ37" i="1"/>
  <c r="CM369" i="1"/>
  <c r="CM425" i="1"/>
  <c r="CM430" i="1" s="1"/>
  <c r="P10" i="4"/>
  <c r="Y265" i="2"/>
  <c r="Y303" i="2"/>
  <c r="Y252" i="2"/>
  <c r="CK479" i="1"/>
  <c r="CK480" i="1" s="1"/>
  <c r="CK428" i="1"/>
  <c r="CK431" i="1"/>
  <c r="CK436" i="1"/>
  <c r="CK435" i="1"/>
  <c r="CI38" i="1"/>
  <c r="CI39" i="1"/>
  <c r="CI44" i="1"/>
  <c r="CK49" i="1"/>
  <c r="CK50" i="1"/>
  <c r="CL328" i="1"/>
  <c r="CL327" i="1"/>
  <c r="CL425" i="1"/>
  <c r="CL430" i="1" s="1"/>
  <c r="CL369" i="1"/>
  <c r="X305" i="2"/>
  <c r="X307" i="2"/>
  <c r="X308" i="2" s="1"/>
  <c r="X309" i="2" s="1"/>
  <c r="AI265" i="3"/>
  <c r="AK265" i="3" l="1"/>
  <c r="CK36" i="1"/>
  <c r="AI19" i="3" s="1"/>
  <c r="CK37" i="1"/>
  <c r="AH258" i="3"/>
  <c r="AH23" i="3"/>
  <c r="AH228" i="3"/>
  <c r="AG109" i="3"/>
  <c r="AG24" i="3"/>
  <c r="AG230" i="3" s="1"/>
  <c r="AG229" i="3"/>
  <c r="Y55" i="2"/>
  <c r="Y305" i="2"/>
  <c r="Y307" i="2"/>
  <c r="Y308" i="2" s="1"/>
  <c r="Y309" i="2" s="1"/>
  <c r="CL49" i="1"/>
  <c r="CL50" i="1"/>
  <c r="AJ265" i="3"/>
  <c r="CK493" i="1"/>
  <c r="Y304" i="2"/>
  <c r="CM49" i="1"/>
  <c r="CM50" i="1"/>
  <c r="Z252" i="2"/>
  <c r="Z303" i="2"/>
  <c r="CL479" i="1"/>
  <c r="CL480" i="1" s="1"/>
  <c r="CL428" i="1"/>
  <c r="Z265" i="2"/>
  <c r="CL436" i="1"/>
  <c r="Q10" i="4"/>
  <c r="CL435" i="1"/>
  <c r="CL431" i="1"/>
  <c r="AA265" i="2"/>
  <c r="AA303" i="2"/>
  <c r="AA252" i="2"/>
  <c r="CM479" i="1"/>
  <c r="CM428" i="1"/>
  <c r="CM435" i="1"/>
  <c r="CM436" i="1"/>
  <c r="CM431" i="1"/>
  <c r="R10" i="4"/>
  <c r="CJ44" i="1"/>
  <c r="CJ39" i="1"/>
  <c r="CJ38" i="1"/>
  <c r="CM480" i="1" l="1"/>
  <c r="CM37" i="1"/>
  <c r="CM36" i="1"/>
  <c r="AK19" i="3" s="1"/>
  <c r="CL36" i="1"/>
  <c r="AJ19" i="3" s="1"/>
  <c r="CL37" i="1"/>
  <c r="AH24" i="3"/>
  <c r="AH230" i="3" s="1"/>
  <c r="AH229" i="3"/>
  <c r="AH109" i="3"/>
  <c r="Z305" i="2"/>
  <c r="Z307" i="2"/>
  <c r="Z308" i="2" s="1"/>
  <c r="Z309" i="2" s="1"/>
  <c r="CK39" i="1"/>
  <c r="CK38" i="1"/>
  <c r="CK44" i="1"/>
  <c r="Z304" i="2"/>
  <c r="CL493" i="1"/>
  <c r="AA55" i="2"/>
  <c r="AA304" i="2"/>
  <c r="CM493" i="1"/>
  <c r="Z55" i="2"/>
  <c r="AI258" i="3"/>
  <c r="AI228" i="3"/>
  <c r="AI23" i="3"/>
  <c r="AA305" i="2"/>
  <c r="AA307" i="2"/>
  <c r="AA308" i="2" s="1"/>
  <c r="AJ258" i="3" l="1"/>
  <c r="AJ23" i="3"/>
  <c r="AJ228" i="3"/>
  <c r="AI109" i="3"/>
  <c r="AI24" i="3"/>
  <c r="AI230" i="3" s="1"/>
  <c r="AI229" i="3"/>
  <c r="AK258" i="3"/>
  <c r="AK23" i="3"/>
  <c r="AK228" i="3"/>
  <c r="AA309" i="2"/>
  <c r="CL44" i="1"/>
  <c r="CL38" i="1"/>
  <c r="CL39" i="1"/>
  <c r="CM39" i="1"/>
  <c r="CM44" i="1"/>
  <c r="CM38" i="1"/>
  <c r="AK24" i="3" l="1"/>
  <c r="AK230" i="3" s="1"/>
  <c r="AK229" i="3"/>
  <c r="AK109" i="3"/>
  <c r="AJ109" i="3"/>
  <c r="AJ24" i="3"/>
  <c r="AJ230" i="3" s="1"/>
  <c r="AJ229" i="3"/>
  <c r="AB20" i="3" l="1"/>
  <c r="AB259" i="3" s="1"/>
  <c r="AB260" i="3" s="1"/>
  <c r="R97" i="2"/>
  <c r="S97" i="2" s="1"/>
  <c r="T97" i="2" s="1"/>
  <c r="AB31" i="3" l="1"/>
  <c r="S93" i="2"/>
  <c r="U97" i="2"/>
  <c r="AB261" i="3"/>
  <c r="AB262" i="3" s="1"/>
  <c r="S99" i="2" l="1"/>
  <c r="S95" i="2"/>
  <c r="CE438" i="1"/>
  <c r="CE492" i="1" s="1"/>
  <c r="CE495" i="1" s="1"/>
  <c r="S316" i="2"/>
  <c r="AC20" i="3"/>
  <c r="AC259" i="3" s="1"/>
  <c r="AC260" i="3" s="1"/>
  <c r="AB267" i="3"/>
  <c r="AB272" i="3"/>
  <c r="CE444" i="1"/>
  <c r="S46" i="2" s="1"/>
  <c r="V97" i="2"/>
  <c r="S47" i="2" l="1"/>
  <c r="S48" i="2" s="1"/>
  <c r="S277" i="2"/>
  <c r="CE51" i="1"/>
  <c r="CJ12" i="7" s="1"/>
  <c r="CE440" i="1"/>
  <c r="J6" i="5" s="1"/>
  <c r="S266" i="2"/>
  <c r="S12" i="2"/>
  <c r="S96" i="2"/>
  <c r="T91" i="2"/>
  <c r="AC33" i="3"/>
  <c r="AC261" i="3"/>
  <c r="AC262" i="3" s="1"/>
  <c r="W97" i="2"/>
  <c r="CE452" i="1"/>
  <c r="J5" i="5"/>
  <c r="J4" i="4"/>
  <c r="J6" i="4" s="1"/>
  <c r="J11" i="4" s="1"/>
  <c r="CE445" i="1"/>
  <c r="CE446" i="1"/>
  <c r="CE496" i="1" s="1"/>
  <c r="T93" i="2" l="1"/>
  <c r="AC267" i="3"/>
  <c r="S269" i="2"/>
  <c r="S79" i="2"/>
  <c r="S196" i="2" s="1"/>
  <c r="X97" i="2"/>
  <c r="T316" i="2" l="1"/>
  <c r="T99" i="2"/>
  <c r="T95" i="2"/>
  <c r="T96" i="2" s="1"/>
  <c r="CF438" i="1"/>
  <c r="AD20" i="3"/>
  <c r="Y97" i="2"/>
  <c r="AD33" i="3" l="1"/>
  <c r="U91" i="2"/>
  <c r="U93" i="2" s="1"/>
  <c r="T12" i="2"/>
  <c r="CF51" i="1"/>
  <c r="CK12" i="7" s="1"/>
  <c r="T277" i="2"/>
  <c r="CF440" i="1"/>
  <c r="K6" i="5" s="1"/>
  <c r="Z97" i="2"/>
  <c r="U99" i="2" l="1"/>
  <c r="CG438" i="1"/>
  <c r="CG51" i="1" s="1"/>
  <c r="CL12" i="7" s="1"/>
  <c r="AE20" i="3"/>
  <c r="U316" i="2"/>
  <c r="U95" i="2"/>
  <c r="AE33" i="3" s="1"/>
  <c r="AA97" i="2"/>
  <c r="U12" i="2" l="1"/>
  <c r="U277" i="2"/>
  <c r="CG440" i="1"/>
  <c r="L6" i="5" s="1"/>
  <c r="U96" i="2"/>
  <c r="V91" i="2"/>
  <c r="V93" i="2" s="1"/>
  <c r="CH438" i="1" l="1"/>
  <c r="CH51" i="1" s="1"/>
  <c r="CM12" i="7" s="1"/>
  <c r="AF20" i="3"/>
  <c r="V95" i="2"/>
  <c r="V96" i="2" s="1"/>
  <c r="V316" i="2"/>
  <c r="V99" i="2"/>
  <c r="W91" i="2"/>
  <c r="AF33" i="3"/>
  <c r="V12" i="2"/>
  <c r="V277" i="2"/>
  <c r="CH440" i="1"/>
  <c r="M6" i="5" s="1"/>
  <c r="W93" i="2" l="1"/>
  <c r="W95" i="2" l="1"/>
  <c r="W99" i="2"/>
  <c r="W316" i="2"/>
  <c r="AG33" i="3"/>
  <c r="W12" i="2"/>
  <c r="W96" i="2"/>
  <c r="X91" i="2"/>
  <c r="AG20" i="3"/>
  <c r="CI438" i="1"/>
  <c r="CI51" i="1" l="1"/>
  <c r="CN12" i="7" s="1"/>
  <c r="W277" i="2"/>
  <c r="CI440" i="1"/>
  <c r="N6" i="5" s="1"/>
  <c r="X93" i="2"/>
  <c r="X95" i="2" l="1"/>
  <c r="AH33" i="3" s="1"/>
  <c r="X99" i="2"/>
  <c r="X316" i="2"/>
  <c r="CJ438" i="1"/>
  <c r="AH20" i="3"/>
  <c r="Y91" i="2" l="1"/>
  <c r="X12" i="2"/>
  <c r="X96" i="2"/>
  <c r="X277" i="2"/>
  <c r="CJ51" i="1"/>
  <c r="CJ440" i="1"/>
  <c r="Y93" i="2"/>
  <c r="Y316" i="2" l="1"/>
  <c r="Y99" i="2"/>
  <c r="Y95" i="2"/>
  <c r="AI20" i="3"/>
  <c r="CK438" i="1"/>
  <c r="Y12" i="2" l="1"/>
  <c r="Z91" i="2"/>
  <c r="Y96" i="2"/>
  <c r="AI33" i="3"/>
  <c r="CK51" i="1"/>
  <c r="Y277" i="2"/>
  <c r="CK440" i="1"/>
  <c r="Z93" i="2" l="1"/>
  <c r="Z316" i="2" l="1"/>
  <c r="Z99" i="2"/>
  <c r="Z95" i="2"/>
  <c r="AJ20" i="3"/>
  <c r="CL438" i="1"/>
  <c r="CL440" i="1" l="1"/>
  <c r="Z277" i="2"/>
  <c r="CL51" i="1"/>
  <c r="Z12" i="2"/>
  <c r="Z96" i="2"/>
  <c r="AA91" i="2"/>
  <c r="AJ33" i="3"/>
  <c r="AA93" i="2" l="1"/>
  <c r="AA316" i="2" l="1"/>
  <c r="AA99" i="2"/>
  <c r="AA95" i="2"/>
  <c r="AK20" i="3"/>
  <c r="CM438" i="1"/>
  <c r="AA96" i="2" l="1"/>
  <c r="AA12" i="2"/>
  <c r="AK33" i="3"/>
  <c r="CM440" i="1"/>
  <c r="CM51" i="1"/>
  <c r="AA277" i="2"/>
  <c r="S106" i="2"/>
  <c r="S107" i="2" s="1"/>
  <c r="S64" i="2" l="1"/>
  <c r="S255" i="2" s="1"/>
  <c r="T104" i="2" l="1"/>
  <c r="T106" i="2" s="1"/>
  <c r="S14" i="2"/>
  <c r="S18" i="2" s="1"/>
  <c r="S20" i="2" l="1"/>
  <c r="T64" i="2"/>
  <c r="T255" i="2" s="1"/>
  <c r="T108" i="2"/>
  <c r="T105" i="2"/>
  <c r="T317" i="2" s="1"/>
  <c r="AD21" i="3" l="1"/>
  <c r="AD259" i="3" s="1"/>
  <c r="AD260" i="3" s="1"/>
  <c r="CF439" i="1"/>
  <c r="T107" i="2"/>
  <c r="U104" i="2" l="1"/>
  <c r="T14" i="2"/>
  <c r="T278" i="2"/>
  <c r="T266" i="2"/>
  <c r="CF492" i="1"/>
  <c r="CF495" i="1" s="1"/>
  <c r="CF444" i="1"/>
  <c r="T46" i="2" s="1"/>
  <c r="AD261" i="3"/>
  <c r="AD262" i="3" s="1"/>
  <c r="T47" i="2" l="1"/>
  <c r="T48" i="2" s="1"/>
  <c r="T18" i="2"/>
  <c r="K5" i="5"/>
  <c r="CF446" i="1"/>
  <c r="CF496" i="1" s="1"/>
  <c r="K4" i="4"/>
  <c r="K6" i="4" s="1"/>
  <c r="K11" i="4" s="1"/>
  <c r="CF445" i="1"/>
  <c r="AD267" i="3"/>
  <c r="U105" i="2"/>
  <c r="U317" i="2" s="1"/>
  <c r="U106" i="2"/>
  <c r="U108" i="2" l="1"/>
  <c r="U64" i="2"/>
  <c r="U255" i="2" s="1"/>
  <c r="T20" i="2"/>
  <c r="CG439" i="1"/>
  <c r="AE21" i="3"/>
  <c r="AE259" i="3" s="1"/>
  <c r="AE260" i="3" s="1"/>
  <c r="U107" i="2"/>
  <c r="T275" i="2" l="1"/>
  <c r="T84" i="2"/>
  <c r="T50" i="2"/>
  <c r="AE261" i="3"/>
  <c r="AE262" i="3" s="1"/>
  <c r="U278" i="2"/>
  <c r="CG444" i="1"/>
  <c r="U46" i="2" s="1"/>
  <c r="CG492" i="1"/>
  <c r="CG495" i="1" s="1"/>
  <c r="U266" i="2"/>
  <c r="U14" i="2"/>
  <c r="V104" i="2"/>
  <c r="AD270" i="3" l="1"/>
  <c r="AD272" i="3" s="1"/>
  <c r="T52" i="2"/>
  <c r="U47" i="2"/>
  <c r="U48" i="2" s="1"/>
  <c r="U18" i="2"/>
  <c r="L4" i="4"/>
  <c r="L6" i="4" s="1"/>
  <c r="L11" i="4" s="1"/>
  <c r="CG446" i="1"/>
  <c r="CG496" i="1" s="1"/>
  <c r="L5" i="5"/>
  <c r="CG445" i="1"/>
  <c r="AE267" i="3"/>
  <c r="V105" i="2"/>
  <c r="V317" i="2" s="1"/>
  <c r="V106" i="2"/>
  <c r="V108" i="2" l="1"/>
  <c r="V64" i="2"/>
  <c r="V255" i="2" s="1"/>
  <c r="U20" i="2"/>
  <c r="V107" i="2"/>
  <c r="W104" i="2" s="1"/>
  <c r="CH439" i="1"/>
  <c r="AF21" i="3"/>
  <c r="AF259" i="3" s="1"/>
  <c r="AF260" i="3" s="1"/>
  <c r="U50" i="2" l="1"/>
  <c r="U84" i="2"/>
  <c r="U275" i="2"/>
  <c r="V14" i="2"/>
  <c r="V18" i="2" s="1"/>
  <c r="V20" i="2" s="1"/>
  <c r="V50" i="2" s="1"/>
  <c r="AF270" i="3" s="1"/>
  <c r="W105" i="2"/>
  <c r="W317" i="2" s="1"/>
  <c r="W106" i="2"/>
  <c r="AF261" i="3"/>
  <c r="AF262" i="3" s="1"/>
  <c r="CH492" i="1"/>
  <c r="CH495" i="1" s="1"/>
  <c r="V266" i="2"/>
  <c r="V278" i="2"/>
  <c r="CH444" i="1"/>
  <c r="V46" i="2" s="1"/>
  <c r="AE270" i="3" l="1"/>
  <c r="AE272" i="3" s="1"/>
  <c r="U52" i="2"/>
  <c r="V47" i="2"/>
  <c r="V48" i="2" s="1"/>
  <c r="V52" i="2" s="1"/>
  <c r="V84" i="2"/>
  <c r="W108" i="2"/>
  <c r="W64" i="2"/>
  <c r="W255" i="2" s="1"/>
  <c r="V275" i="2"/>
  <c r="AF272" i="3"/>
  <c r="AF267" i="3"/>
  <c r="CH445" i="1"/>
  <c r="M4" i="4"/>
  <c r="M6" i="4" s="1"/>
  <c r="M11" i="4" s="1"/>
  <c r="M5" i="5"/>
  <c r="CH446" i="1"/>
  <c r="CH496" i="1" s="1"/>
  <c r="AG21" i="3"/>
  <c r="AG259" i="3" s="1"/>
  <c r="AG260" i="3" s="1"/>
  <c r="CI439" i="1"/>
  <c r="W107" i="2"/>
  <c r="W266" i="2" l="1"/>
  <c r="W278" i="2"/>
  <c r="CI492" i="1"/>
  <c r="CI495" i="1" s="1"/>
  <c r="CI444" i="1"/>
  <c r="W46" i="2" s="1"/>
  <c r="AG261" i="3"/>
  <c r="AG262" i="3" s="1"/>
  <c r="X104" i="2"/>
  <c r="W14" i="2"/>
  <c r="W18" i="2" s="1"/>
  <c r="W20" i="2" s="1"/>
  <c r="W47" i="2" l="1"/>
  <c r="W48" i="2" s="1"/>
  <c r="AG267" i="3"/>
  <c r="W275" i="2"/>
  <c r="W50" i="2"/>
  <c r="AG270" i="3" s="1"/>
  <c r="AG272" i="3" s="1"/>
  <c r="W84" i="2"/>
  <c r="CI446" i="1"/>
  <c r="CI496" i="1" s="1"/>
  <c r="N5" i="5"/>
  <c r="CI445" i="1"/>
  <c r="N4" i="4"/>
  <c r="N6" i="4" s="1"/>
  <c r="N11" i="4" s="1"/>
  <c r="X105" i="2"/>
  <c r="X317" i="2" s="1"/>
  <c r="X106" i="2"/>
  <c r="W52" i="2" l="1"/>
  <c r="X64" i="2"/>
  <c r="X255" i="2" s="1"/>
  <c r="X108" i="2"/>
  <c r="CJ439" i="1"/>
  <c r="AH21" i="3"/>
  <c r="AH259" i="3" s="1"/>
  <c r="AH260" i="3" s="1"/>
  <c r="X107" i="2"/>
  <c r="X14" i="2" l="1"/>
  <c r="X18" i="2" s="1"/>
  <c r="X20" i="2" s="1"/>
  <c r="Y104" i="2"/>
  <c r="AH261" i="3"/>
  <c r="AH262" i="3" s="1"/>
  <c r="X278" i="2"/>
  <c r="CJ444" i="1"/>
  <c r="X46" i="2" s="1"/>
  <c r="CJ492" i="1"/>
  <c r="CJ495" i="1" s="1"/>
  <c r="X266" i="2"/>
  <c r="X47" i="2" l="1"/>
  <c r="X48" i="2" s="1"/>
  <c r="X275" i="2"/>
  <c r="AH267" i="3"/>
  <c r="Y105" i="2"/>
  <c r="Y317" i="2" s="1"/>
  <c r="Y106" i="2"/>
  <c r="O4" i="4"/>
  <c r="O6" i="4" s="1"/>
  <c r="O11" i="4" s="1"/>
  <c r="CJ446" i="1"/>
  <c r="CJ496" i="1" s="1"/>
  <c r="CJ445" i="1"/>
  <c r="X50" i="2"/>
  <c r="AH270" i="3" s="1"/>
  <c r="AH272" i="3" s="1"/>
  <c r="X84" i="2"/>
  <c r="X52" i="2" l="1"/>
  <c r="Y64" i="2"/>
  <c r="Y108" i="2"/>
  <c r="Y255" i="2"/>
  <c r="CK439" i="1"/>
  <c r="AI21" i="3"/>
  <c r="AI259" i="3" s="1"/>
  <c r="AI260" i="3" s="1"/>
  <c r="Y107" i="2"/>
  <c r="Z104" i="2" l="1"/>
  <c r="Y14" i="2"/>
  <c r="Y18" i="2" s="1"/>
  <c r="Y20" i="2" s="1"/>
  <c r="AI261" i="3"/>
  <c r="AI262" i="3" s="1"/>
  <c r="Y278" i="2"/>
  <c r="CK492" i="1"/>
  <c r="CK495" i="1" s="1"/>
  <c r="CK444" i="1"/>
  <c r="Y46" i="2" s="1"/>
  <c r="Y266" i="2"/>
  <c r="Y47" i="2" l="1"/>
  <c r="Y48" i="2"/>
  <c r="Y52" i="2" s="1"/>
  <c r="Z105" i="2"/>
  <c r="Z317" i="2" s="1"/>
  <c r="Z106" i="2"/>
  <c r="Z64" i="2" s="1"/>
  <c r="CK446" i="1"/>
  <c r="CK496" i="1" s="1"/>
  <c r="CK445" i="1"/>
  <c r="P4" i="4"/>
  <c r="P6" i="4" s="1"/>
  <c r="P11" i="4" s="1"/>
  <c r="AI267" i="3"/>
  <c r="Y50" i="2"/>
  <c r="AI270" i="3" s="1"/>
  <c r="AI272" i="3" s="1"/>
  <c r="Y84" i="2"/>
  <c r="Y275" i="2"/>
  <c r="Z255" i="2" l="1"/>
  <c r="CL439" i="1"/>
  <c r="AJ21" i="3"/>
  <c r="AJ259" i="3" s="1"/>
  <c r="AJ260" i="3" s="1"/>
  <c r="Z107" i="2"/>
  <c r="AJ261" i="3" l="1"/>
  <c r="AJ262" i="3" s="1"/>
  <c r="Z14" i="2"/>
  <c r="Z18" i="2" s="1"/>
  <c r="Z20" i="2" s="1"/>
  <c r="AA104" i="2"/>
  <c r="Z266" i="2"/>
  <c r="CL444" i="1"/>
  <c r="Z46" i="2" s="1"/>
  <c r="Z47" i="2" s="1"/>
  <c r="Z48" i="2" s="1"/>
  <c r="CL492" i="1"/>
  <c r="CL495" i="1" s="1"/>
  <c r="Z278" i="2"/>
  <c r="Z275" i="2" l="1"/>
  <c r="AJ267" i="3"/>
  <c r="Q4" i="4"/>
  <c r="Q6" i="4" s="1"/>
  <c r="Q11" i="4" s="1"/>
  <c r="CL445" i="1"/>
  <c r="CL446" i="1"/>
  <c r="CL496" i="1" s="1"/>
  <c r="AA105" i="2"/>
  <c r="AA317" i="2" s="1"/>
  <c r="AA106" i="2"/>
  <c r="AA64" i="2" s="1"/>
  <c r="Z50" i="2"/>
  <c r="AJ270" i="3" s="1"/>
  <c r="AJ272" i="3" s="1"/>
  <c r="Z84" i="2"/>
  <c r="Z52" i="2" l="1"/>
  <c r="AA255" i="2"/>
  <c r="AK21" i="3"/>
  <c r="AK259" i="3" s="1"/>
  <c r="AK260" i="3" s="1"/>
  <c r="CM439" i="1"/>
  <c r="AA107" i="2"/>
  <c r="AA14" i="2" s="1"/>
  <c r="AA18" i="2" s="1"/>
  <c r="AA20" i="2" s="1"/>
  <c r="AK261" i="3" l="1"/>
  <c r="AK262" i="3" s="1"/>
  <c r="AA50" i="2"/>
  <c r="AK270" i="3" s="1"/>
  <c r="AA84" i="2"/>
  <c r="CM492" i="1"/>
  <c r="CM495" i="1" s="1"/>
  <c r="AA266" i="2"/>
  <c r="AA275" i="2" s="1"/>
  <c r="CM444" i="1"/>
  <c r="AA46" i="2" s="1"/>
  <c r="AA278" i="2"/>
  <c r="AA47" i="2" l="1"/>
  <c r="AA48" i="2"/>
  <c r="AA52" i="2" s="1"/>
  <c r="AK267" i="3"/>
  <c r="AK272" i="3"/>
  <c r="R4" i="4"/>
  <c r="R6" i="4" s="1"/>
  <c r="R11" i="4" s="1"/>
  <c r="CM446" i="1"/>
  <c r="CM496" i="1" s="1"/>
  <c r="CM445" i="1"/>
  <c r="S162" i="2" l="1"/>
  <c r="S164" i="2" l="1"/>
  <c r="S169" i="2" s="1"/>
  <c r="S258" i="2" s="1"/>
  <c r="S26" i="2"/>
  <c r="S27" i="2" s="1"/>
  <c r="S58" i="2" l="1"/>
  <c r="AC112" i="3"/>
  <c r="J14" i="4"/>
  <c r="J15" i="4" s="1"/>
  <c r="J20" i="4" s="1"/>
  <c r="S84" i="2"/>
  <c r="S50" i="2"/>
  <c r="S275" i="2"/>
  <c r="T164" i="2"/>
  <c r="T169" i="2" s="1"/>
  <c r="AC270" i="3" l="1"/>
  <c r="AC272" i="3" s="1"/>
  <c r="S52" i="2"/>
  <c r="J16" i="4"/>
  <c r="AD112" i="3"/>
  <c r="T58" i="2"/>
  <c r="T258" i="2"/>
  <c r="K14" i="4"/>
  <c r="K15" i="4" s="1"/>
  <c r="U164" i="2"/>
  <c r="U169" i="2" s="1"/>
  <c r="K16" i="4" l="1"/>
  <c r="K20" i="4"/>
  <c r="V164" i="2"/>
  <c r="V169" i="2" s="1"/>
  <c r="U258" i="2"/>
  <c r="L14" i="4"/>
  <c r="L15" i="4" s="1"/>
  <c r="AE112" i="3"/>
  <c r="U58" i="2"/>
  <c r="W164" i="2" l="1"/>
  <c r="W169" i="2" s="1"/>
  <c r="V58" i="2"/>
  <c r="AF112" i="3"/>
  <c r="M14" i="4"/>
  <c r="M15" i="4" s="1"/>
  <c r="V258" i="2"/>
  <c r="L20" i="4"/>
  <c r="L16" i="4"/>
  <c r="X164" i="2" l="1"/>
  <c r="X169" i="2" s="1"/>
  <c r="M16" i="4"/>
  <c r="M20" i="4"/>
  <c r="AG112" i="3"/>
  <c r="W258" i="2"/>
  <c r="N14" i="4"/>
  <c r="N15" i="4" s="1"/>
  <c r="W58" i="2"/>
  <c r="AH112" i="3" l="1"/>
  <c r="O14" i="4"/>
  <c r="O15" i="4" s="1"/>
  <c r="X258" i="2"/>
  <c r="X58" i="2"/>
  <c r="Y164" i="2"/>
  <c r="Y169" i="2" s="1"/>
  <c r="N20" i="4"/>
  <c r="N16" i="4"/>
  <c r="Z164" i="2" l="1"/>
  <c r="Z169" i="2" s="1"/>
  <c r="AI112" i="3"/>
  <c r="Y58" i="2"/>
  <c r="P14" i="4"/>
  <c r="P15" i="4" s="1"/>
  <c r="Y258" i="2"/>
  <c r="O20" i="4"/>
  <c r="O16" i="4"/>
  <c r="AA164" i="2" l="1"/>
  <c r="AA169" i="2" s="1"/>
  <c r="AJ112" i="3"/>
  <c r="Z58" i="2"/>
  <c r="Q14" i="4"/>
  <c r="Q15" i="4" s="1"/>
  <c r="Z258" i="2"/>
  <c r="P20" i="4"/>
  <c r="P16" i="4"/>
  <c r="Q16" i="4" l="1"/>
  <c r="Q20" i="4"/>
  <c r="R14" i="4"/>
  <c r="R15" i="4" s="1"/>
  <c r="AA58" i="2"/>
  <c r="AK112" i="3"/>
  <c r="AA258" i="2"/>
  <c r="B25" i="4" l="1"/>
  <c r="R16" i="4"/>
  <c r="R20" i="4"/>
  <c r="B24" i="4" s="1"/>
  <c r="B27" i="4" l="1"/>
  <c r="E25" i="4"/>
  <c r="B28" i="4" l="1"/>
  <c r="AB111" i="3"/>
  <c r="AB114" i="3" s="1"/>
  <c r="R200" i="2"/>
  <c r="R85" i="2" s="1"/>
  <c r="R86" i="2" s="1"/>
  <c r="R198" i="2"/>
  <c r="S85" i="2" l="1"/>
  <c r="S86" i="2" s="1"/>
  <c r="S194" i="2"/>
  <c r="S273" i="2"/>
  <c r="S274" i="2" s="1"/>
  <c r="AB118" i="3"/>
  <c r="R273" i="2"/>
  <c r="R274" i="2" s="1"/>
  <c r="AC111" i="3" l="1"/>
  <c r="S198" i="2"/>
  <c r="CE454" i="1"/>
  <c r="T273" i="2"/>
  <c r="T274" i="2" s="1"/>
  <c r="T85" i="2"/>
  <c r="T86" i="2" s="1"/>
  <c r="U85" i="2" l="1"/>
  <c r="U86" i="2" s="1"/>
  <c r="U273" i="2"/>
  <c r="U274" i="2" s="1"/>
  <c r="S57" i="2"/>
  <c r="CE455" i="1"/>
  <c r="CE457" i="1"/>
  <c r="S81" i="2"/>
  <c r="S80" i="2"/>
  <c r="S254" i="2" l="1"/>
  <c r="S222" i="2"/>
  <c r="AC29" i="3"/>
  <c r="CJ10" i="7"/>
  <c r="CE463" i="1"/>
  <c r="J12" i="5"/>
  <c r="J16" i="5" s="1"/>
  <c r="S227" i="2"/>
  <c r="CE459" i="1"/>
  <c r="CE458" i="1"/>
  <c r="V85" i="2"/>
  <c r="V86" i="2" s="1"/>
  <c r="V273" i="2"/>
  <c r="V274" i="2" s="1"/>
  <c r="CE466" i="1" l="1"/>
  <c r="S228" i="2" s="1"/>
  <c r="S230" i="2" s="1"/>
  <c r="CE464" i="1"/>
  <c r="AC14" i="3" s="1"/>
  <c r="AC15" i="3"/>
  <c r="S271" i="2" s="1"/>
  <c r="J63" i="4"/>
  <c r="W85" i="2"/>
  <c r="W86" i="2" s="1"/>
  <c r="W273" i="2"/>
  <c r="W274" i="2" s="1"/>
  <c r="AC30" i="3" l="1"/>
  <c r="AC31" i="3" s="1"/>
  <c r="S276" i="2"/>
  <c r="S281" i="2" s="1"/>
  <c r="S282" i="2" s="1"/>
  <c r="S283" i="2" s="1"/>
  <c r="S270" i="2"/>
  <c r="X85" i="2"/>
  <c r="X86" i="2" s="1"/>
  <c r="X273" i="2"/>
  <c r="X274" i="2" s="1"/>
  <c r="B33" i="4"/>
  <c r="C33" i="4" s="1"/>
  <c r="C32" i="4" s="1"/>
  <c r="C30" i="4" s="1"/>
  <c r="AC13" i="3"/>
  <c r="S256" i="2"/>
  <c r="S61" i="2" l="1"/>
  <c r="S65" i="2" s="1"/>
  <c r="S223" i="2"/>
  <c r="S221" i="2" s="1"/>
  <c r="S259" i="2"/>
  <c r="S261" i="2" s="1"/>
  <c r="Y85" i="2"/>
  <c r="Y86" i="2" s="1"/>
  <c r="Y273" i="2"/>
  <c r="Y274" i="2" s="1"/>
  <c r="T226" i="2" l="1"/>
  <c r="S36" i="2"/>
  <c r="AC116" i="3"/>
  <c r="S66" i="2"/>
  <c r="Z273" i="2"/>
  <c r="Z274" i="2" s="1"/>
  <c r="Z85" i="2"/>
  <c r="Z86" i="2" s="1"/>
  <c r="S262" i="2"/>
  <c r="S37" i="2" l="1"/>
  <c r="AC27" i="3" s="1"/>
  <c r="J57" i="4"/>
  <c r="J58" i="4" s="1"/>
  <c r="S69" i="2"/>
  <c r="AC119" i="3"/>
  <c r="S135" i="2"/>
  <c r="AA85" i="2"/>
  <c r="AA86" i="2" s="1"/>
  <c r="AA273" i="2"/>
  <c r="AA274" i="2" s="1"/>
  <c r="AC120" i="3" l="1"/>
  <c r="AC114" i="3"/>
  <c r="AC118" i="3" s="1"/>
  <c r="B29" i="4"/>
  <c r="S133" i="2"/>
  <c r="AC7" i="3"/>
  <c r="AC25" i="3" s="1"/>
  <c r="T131" i="2"/>
  <c r="J62" i="4"/>
  <c r="J61" i="4"/>
  <c r="B30" i="4" l="1"/>
  <c r="B32" i="4" s="1"/>
  <c r="B34" i="4" s="1"/>
  <c r="A1" i="2" s="1"/>
  <c r="C29" i="4"/>
  <c r="C27" i="4" s="1"/>
  <c r="S139" i="2"/>
  <c r="S29" i="2" s="1"/>
  <c r="T122" i="2"/>
  <c r="CF449" i="1" s="1"/>
  <c r="T78" i="2" l="1"/>
  <c r="T267" i="2"/>
  <c r="CF452" i="1"/>
  <c r="S43" i="2"/>
  <c r="S32" i="2"/>
  <c r="CF450" i="1"/>
  <c r="T115" i="2"/>
  <c r="T126" i="2"/>
  <c r="T269" i="2" l="1"/>
  <c r="T79" i="2"/>
  <c r="T196" i="2" s="1"/>
  <c r="T194" i="2" s="1"/>
  <c r="S39" i="2"/>
  <c r="S40" i="2" s="1"/>
  <c r="S41" i="2" s="1"/>
  <c r="S44" i="2"/>
  <c r="S67" i="2"/>
  <c r="J14" i="5"/>
  <c r="T56" i="2"/>
  <c r="T253" i="2"/>
  <c r="AD28" i="3"/>
  <c r="AD110" i="3" s="1"/>
  <c r="T113" i="2"/>
  <c r="T116" i="2"/>
  <c r="S1" i="2" l="1"/>
  <c r="AD111" i="3"/>
  <c r="CF454" i="1"/>
  <c r="T198" i="2"/>
  <c r="CF457" i="1" l="1"/>
  <c r="T57" i="2"/>
  <c r="T80" i="2"/>
  <c r="CF455" i="1"/>
  <c r="T81" i="2"/>
  <c r="T254" i="2" l="1"/>
  <c r="T222" i="2"/>
  <c r="CF459" i="1"/>
  <c r="CF458" i="1"/>
  <c r="CK10" i="7"/>
  <c r="T227" i="2"/>
  <c r="CF463" i="1"/>
  <c r="AD29" i="3"/>
  <c r="K12" i="5"/>
  <c r="K16" i="5" s="1"/>
  <c r="CF464" i="1" l="1"/>
  <c r="AD14" i="3" s="1"/>
  <c r="AD15" i="3"/>
  <c r="T271" i="2" s="1"/>
  <c r="K63" i="4"/>
  <c r="CF466" i="1"/>
  <c r="AD30" i="3" l="1"/>
  <c r="AD31" i="3" s="1"/>
  <c r="T270" i="2"/>
  <c r="T276" i="2"/>
  <c r="T281" i="2" s="1"/>
  <c r="T282" i="2" s="1"/>
  <c r="T283" i="2" s="1"/>
  <c r="T228" i="2"/>
  <c r="T230" i="2" s="1"/>
  <c r="AD13" i="3"/>
  <c r="T256" i="2"/>
  <c r="T223" i="2" l="1"/>
  <c r="T221" i="2" s="1"/>
  <c r="T61" i="2"/>
  <c r="T259" i="2"/>
  <c r="T261" i="2" s="1"/>
  <c r="T262" i="2" s="1"/>
  <c r="T36" i="2"/>
  <c r="T37" i="2" s="1"/>
  <c r="U226" i="2"/>
  <c r="AD27" i="3" l="1"/>
  <c r="K56" i="4"/>
  <c r="AD116" i="3"/>
  <c r="T65" i="2"/>
  <c r="T66" i="2" s="1"/>
  <c r="AD11" i="3" l="1"/>
  <c r="T69" i="2"/>
  <c r="K57" i="4"/>
  <c r="K58" i="4" s="1"/>
  <c r="T135" i="2"/>
  <c r="AD119" i="3"/>
  <c r="AD120" i="3" l="1"/>
  <c r="AD114" i="3"/>
  <c r="AD118" i="3" s="1"/>
  <c r="U131" i="2"/>
  <c r="T133" i="2"/>
  <c r="AD7" i="3"/>
  <c r="AD25" i="3" s="1"/>
  <c r="K61" i="4"/>
  <c r="K62" i="4"/>
  <c r="T139" i="2" l="1"/>
  <c r="T29" i="2" s="1"/>
  <c r="U122" i="2"/>
  <c r="U115" i="2" l="1"/>
  <c r="CG449" i="1"/>
  <c r="CG450" i="1"/>
  <c r="U126" i="2"/>
  <c r="T43" i="2"/>
  <c r="T32" i="2"/>
  <c r="T39" i="2" s="1"/>
  <c r="T40" i="2" s="1"/>
  <c r="T1" i="2" l="1"/>
  <c r="T41" i="2"/>
  <c r="U56" i="2"/>
  <c r="U253" i="2"/>
  <c r="AE28" i="3"/>
  <c r="AE110" i="3" s="1"/>
  <c r="T44" i="2"/>
  <c r="T67" i="2"/>
  <c r="K14" i="5"/>
  <c r="U78" i="2"/>
  <c r="U267" i="2"/>
  <c r="CG452" i="1"/>
  <c r="U113" i="2"/>
  <c r="U116" i="2"/>
  <c r="U269" i="2" l="1"/>
  <c r="U79" i="2"/>
  <c r="U196" i="2" s="1"/>
  <c r="U194" i="2" s="1"/>
  <c r="U198" i="2" l="1"/>
  <c r="AE111" i="3"/>
  <c r="CG454" i="1"/>
  <c r="CG455" i="1" l="1"/>
  <c r="U57" i="2"/>
  <c r="U80" i="2"/>
  <c r="CG457" i="1"/>
  <c r="U81" i="2"/>
  <c r="U254" i="2" l="1"/>
  <c r="CG459" i="1"/>
  <c r="U227" i="2"/>
  <c r="L12" i="5"/>
  <c r="L16" i="5" s="1"/>
  <c r="CL10" i="7"/>
  <c r="CG458" i="1"/>
  <c r="AE29" i="3"/>
  <c r="U222" i="2"/>
  <c r="CG463" i="1"/>
  <c r="CG464" i="1" l="1"/>
  <c r="AE14" i="3" s="1"/>
  <c r="AE15" i="3"/>
  <c r="U271" i="2" s="1"/>
  <c r="CG466" i="1"/>
  <c r="L63" i="4"/>
  <c r="U276" i="2" l="1"/>
  <c r="U281" i="2" s="1"/>
  <c r="U282" i="2" s="1"/>
  <c r="U283" i="2" s="1"/>
  <c r="U270" i="2"/>
  <c r="AE30" i="3"/>
  <c r="AE31" i="3" s="1"/>
  <c r="U228" i="2"/>
  <c r="U230" i="2" s="1"/>
  <c r="AE13" i="3"/>
  <c r="U256" i="2"/>
  <c r="U223" i="2" l="1"/>
  <c r="U221" i="2" s="1"/>
  <c r="U61" i="2"/>
  <c r="U259" i="2"/>
  <c r="U261" i="2" s="1"/>
  <c r="U262" i="2" s="1"/>
  <c r="V226" i="2"/>
  <c r="U36" i="2"/>
  <c r="U37" i="2" s="1"/>
  <c r="AE27" i="3" l="1"/>
  <c r="AE116" i="3"/>
  <c r="L56" i="4"/>
  <c r="U65" i="2"/>
  <c r="U66" i="2" s="1"/>
  <c r="U135" i="2" l="1"/>
  <c r="L57" i="4"/>
  <c r="L58" i="4" s="1"/>
  <c r="U69" i="2"/>
  <c r="AE119" i="3"/>
  <c r="AE11" i="3"/>
  <c r="AE114" i="3" l="1"/>
  <c r="AE118" i="3" s="1"/>
  <c r="AE120" i="3"/>
  <c r="L62" i="4"/>
  <c r="L61" i="4"/>
  <c r="AE7" i="3"/>
  <c r="AE25" i="3" s="1"/>
  <c r="U133" i="2"/>
  <c r="V131" i="2"/>
  <c r="V122" i="2" l="1"/>
  <c r="U139" i="2"/>
  <c r="U29" i="2" s="1"/>
  <c r="U43" i="2" l="1"/>
  <c r="U32" i="2"/>
  <c r="U39" i="2" s="1"/>
  <c r="U40" i="2" s="1"/>
  <c r="CH449" i="1"/>
  <c r="V126" i="2"/>
  <c r="CH450" i="1"/>
  <c r="V115" i="2"/>
  <c r="V253" i="2" l="1"/>
  <c r="AF28" i="3"/>
  <c r="AF110" i="3" s="1"/>
  <c r="V56" i="2"/>
  <c r="U41" i="2"/>
  <c r="U1" i="2"/>
  <c r="V113" i="2"/>
  <c r="V116" i="2"/>
  <c r="V267" i="2"/>
  <c r="CH452" i="1"/>
  <c r="V78" i="2"/>
  <c r="L14" i="5"/>
  <c r="U44" i="2"/>
  <c r="U67" i="2"/>
  <c r="V79" i="2" l="1"/>
  <c r="V196" i="2" s="1"/>
  <c r="V194" i="2" s="1"/>
  <c r="V269" i="2"/>
  <c r="V198" i="2" l="1"/>
  <c r="AF111" i="3"/>
  <c r="CH454" i="1"/>
  <c r="CH455" i="1" l="1"/>
  <c r="V57" i="2"/>
  <c r="V80" i="2"/>
  <c r="V81" i="2"/>
  <c r="CH457" i="1"/>
  <c r="CM10" i="7" l="1"/>
  <c r="V227" i="2"/>
  <c r="CH458" i="1"/>
  <c r="V222" i="2"/>
  <c r="CH459" i="1"/>
  <c r="AF29" i="3"/>
  <c r="CH463" i="1"/>
  <c r="M12" i="5"/>
  <c r="M16" i="5" s="1"/>
  <c r="V254" i="2"/>
  <c r="AF15" i="3" l="1"/>
  <c r="V271" i="2" s="1"/>
  <c r="M63" i="4"/>
  <c r="CH464" i="1"/>
  <c r="AF14" i="3" s="1"/>
  <c r="CH466" i="1"/>
  <c r="V256" i="2" l="1"/>
  <c r="V228" i="2"/>
  <c r="V230" i="2" s="1"/>
  <c r="AF13" i="3"/>
  <c r="V276" i="2"/>
  <c r="V281" i="2" s="1"/>
  <c r="V282" i="2" s="1"/>
  <c r="V283" i="2" s="1"/>
  <c r="V270" i="2"/>
  <c r="AF30" i="3"/>
  <c r="AF31" i="3" s="1"/>
  <c r="V36" i="2" l="1"/>
  <c r="V37" i="2" s="1"/>
  <c r="AF27" i="3" s="1"/>
  <c r="W226" i="2"/>
  <c r="V223" i="2"/>
  <c r="V221" i="2" s="1"/>
  <c r="V61" i="2"/>
  <c r="V259" i="2"/>
  <c r="V261" i="2" s="1"/>
  <c r="V262" i="2" s="1"/>
  <c r="AF116" i="3" l="1"/>
  <c r="M56" i="4"/>
  <c r="V65" i="2"/>
  <c r="V66" i="2" s="1"/>
  <c r="AF11" i="3" l="1"/>
  <c r="V135" i="2"/>
  <c r="AF119" i="3"/>
  <c r="M57" i="4"/>
  <c r="M58" i="4" s="1"/>
  <c r="V69" i="2"/>
  <c r="M61" i="4" l="1"/>
  <c r="M62" i="4"/>
  <c r="AF120" i="3"/>
  <c r="AF114" i="3"/>
  <c r="AF118" i="3" s="1"/>
  <c r="AF7" i="3"/>
  <c r="AF25" i="3" s="1"/>
  <c r="W131" i="2"/>
  <c r="V133" i="2"/>
  <c r="V139" i="2" l="1"/>
  <c r="V29" i="2" s="1"/>
  <c r="W122" i="2"/>
  <c r="W115" i="2" l="1"/>
  <c r="W126" i="2"/>
  <c r="CI450" i="1"/>
  <c r="CI449" i="1"/>
  <c r="V32" i="2"/>
  <c r="V39" i="2" s="1"/>
  <c r="V40" i="2" s="1"/>
  <c r="V43" i="2"/>
  <c r="V1" i="2" l="1"/>
  <c r="V41" i="2"/>
  <c r="AG28" i="3"/>
  <c r="AG110" i="3" s="1"/>
  <c r="W253" i="2"/>
  <c r="W56" i="2"/>
  <c r="V44" i="2"/>
  <c r="V67" i="2"/>
  <c r="M14" i="5"/>
  <c r="CI452" i="1"/>
  <c r="W78" i="2"/>
  <c r="W267" i="2"/>
  <c r="W116" i="2"/>
  <c r="W113" i="2"/>
  <c r="W269" i="2" l="1"/>
  <c r="W79" i="2"/>
  <c r="W196" i="2" s="1"/>
  <c r="W194" i="2" s="1"/>
  <c r="AG111" i="3" l="1"/>
  <c r="CI454" i="1"/>
  <c r="W198" i="2"/>
  <c r="W80" i="2" l="1"/>
  <c r="W57" i="2"/>
  <c r="CI455" i="1"/>
  <c r="CI457" i="1"/>
  <c r="W81" i="2"/>
  <c r="W254" i="2" l="1"/>
  <c r="CN10" i="7"/>
  <c r="CI459" i="1"/>
  <c r="CI463" i="1"/>
  <c r="CI458" i="1"/>
  <c r="W222" i="2"/>
  <c r="N12" i="5"/>
  <c r="N16" i="5" s="1"/>
  <c r="W227" i="2"/>
  <c r="AG29" i="3"/>
  <c r="AG15" i="3" l="1"/>
  <c r="W271" i="2" s="1"/>
  <c r="CI466" i="1"/>
  <c r="N63" i="4"/>
  <c r="CI464" i="1"/>
  <c r="AG14" i="3" s="1"/>
  <c r="W228" i="2" l="1"/>
  <c r="W230" i="2" s="1"/>
  <c r="AG13" i="3"/>
  <c r="W256" i="2"/>
  <c r="AG30" i="3"/>
  <c r="AG31" i="3" s="1"/>
  <c r="W276" i="2"/>
  <c r="W281" i="2" s="1"/>
  <c r="W282" i="2" s="1"/>
  <c r="W283" i="2" s="1"/>
  <c r="W270" i="2"/>
  <c r="W223" i="2" l="1"/>
  <c r="W221" i="2" s="1"/>
  <c r="W61" i="2"/>
  <c r="W259" i="2"/>
  <c r="W261" i="2" s="1"/>
  <c r="W262" i="2" s="1"/>
  <c r="W36" i="2"/>
  <c r="W37" i="2" s="1"/>
  <c r="AG27" i="3" s="1"/>
  <c r="X226" i="2"/>
  <c r="AG116" i="3" l="1"/>
  <c r="N56" i="4"/>
  <c r="W65" i="2"/>
  <c r="W66" i="2" s="1"/>
  <c r="W135" i="2" l="1"/>
  <c r="AG119" i="3"/>
  <c r="N57" i="4"/>
  <c r="N58" i="4" s="1"/>
  <c r="W69" i="2"/>
  <c r="AG11" i="3"/>
  <c r="AG120" i="3" l="1"/>
  <c r="AG114" i="3"/>
  <c r="AG118" i="3" s="1"/>
  <c r="N61" i="4"/>
  <c r="N62" i="4"/>
  <c r="AG7" i="3"/>
  <c r="AG25" i="3" s="1"/>
  <c r="X131" i="2"/>
  <c r="W133" i="2"/>
  <c r="W139" i="2" l="1"/>
  <c r="W29" i="2" s="1"/>
  <c r="X122" i="2"/>
  <c r="X115" i="2" l="1"/>
  <c r="X126" i="2"/>
  <c r="CJ449" i="1"/>
  <c r="CJ450" i="1"/>
  <c r="W32" i="2"/>
  <c r="W39" i="2" s="1"/>
  <c r="W40" i="2" s="1"/>
  <c r="W43" i="2"/>
  <c r="N14" i="5" l="1"/>
  <c r="W67" i="2"/>
  <c r="W44" i="2"/>
  <c r="X78" i="2"/>
  <c r="X267" i="2"/>
  <c r="CJ452" i="1"/>
  <c r="AH28" i="3"/>
  <c r="AH110" i="3" s="1"/>
  <c r="X56" i="2"/>
  <c r="X253" i="2"/>
  <c r="W41" i="2"/>
  <c r="W1" i="2"/>
  <c r="X113" i="2"/>
  <c r="X116" i="2"/>
  <c r="X269" i="2" l="1"/>
  <c r="X79" i="2"/>
  <c r="X196" i="2" s="1"/>
  <c r="X194" i="2" s="1"/>
  <c r="AH111" i="3" l="1"/>
  <c r="CJ454" i="1"/>
  <c r="X198" i="2"/>
  <c r="X57" i="2" l="1"/>
  <c r="X80" i="2"/>
  <c r="CJ455" i="1"/>
  <c r="X81" i="2"/>
  <c r="CJ457" i="1"/>
  <c r="CJ463" i="1" l="1"/>
  <c r="CJ458" i="1"/>
  <c r="X227" i="2"/>
  <c r="X222" i="2"/>
  <c r="AH29" i="3"/>
  <c r="CJ459" i="1"/>
  <c r="X254" i="2"/>
  <c r="CJ464" i="1" l="1"/>
  <c r="AH14" i="3" s="1"/>
  <c r="CJ466" i="1"/>
  <c r="O63" i="4"/>
  <c r="AH15" i="3"/>
  <c r="X271" i="2" s="1"/>
  <c r="AH30" i="3" l="1"/>
  <c r="AH31" i="3" s="1"/>
  <c r="X276" i="2"/>
  <c r="X281" i="2" s="1"/>
  <c r="X282" i="2" s="1"/>
  <c r="X283" i="2" s="1"/>
  <c r="X270" i="2"/>
  <c r="X256" i="2"/>
  <c r="X228" i="2"/>
  <c r="X230" i="2" s="1"/>
  <c r="AH13" i="3"/>
  <c r="X61" i="2" l="1"/>
  <c r="X223" i="2"/>
  <c r="X221" i="2" s="1"/>
  <c r="X259" i="2"/>
  <c r="X261" i="2" s="1"/>
  <c r="X262" i="2" s="1"/>
  <c r="Y226" i="2"/>
  <c r="X36" i="2"/>
  <c r="X37" i="2" s="1"/>
  <c r="AH27" i="3" s="1"/>
  <c r="AH116" i="3" l="1"/>
  <c r="O56" i="4"/>
  <c r="X65" i="2"/>
  <c r="X66" i="2" s="1"/>
  <c r="AH11" i="3" l="1"/>
  <c r="AH119" i="3"/>
  <c r="X69" i="2"/>
  <c r="O57" i="4"/>
  <c r="O58" i="4" s="1"/>
  <c r="X135" i="2"/>
  <c r="O61" i="4" l="1"/>
  <c r="O62" i="4"/>
  <c r="AH120" i="3"/>
  <c r="AH114" i="3"/>
  <c r="AH118" i="3" s="1"/>
  <c r="X133" i="2"/>
  <c r="AH7" i="3"/>
  <c r="AH25" i="3" s="1"/>
  <c r="Y131" i="2"/>
  <c r="Y122" i="2" l="1"/>
  <c r="X139" i="2"/>
  <c r="X29" i="2" s="1"/>
  <c r="X32" i="2" l="1"/>
  <c r="X39" i="2" s="1"/>
  <c r="X40" i="2" s="1"/>
  <c r="X43" i="2"/>
  <c r="CK449" i="1"/>
  <c r="CK450" i="1"/>
  <c r="Y126" i="2"/>
  <c r="Y115" i="2"/>
  <c r="Y113" i="2" l="1"/>
  <c r="Y116" i="2"/>
  <c r="Y78" i="2"/>
  <c r="CK452" i="1"/>
  <c r="Y267" i="2"/>
  <c r="X67" i="2"/>
  <c r="X44" i="2"/>
  <c r="Y253" i="2"/>
  <c r="AI28" i="3"/>
  <c r="AI110" i="3" s="1"/>
  <c r="Y56" i="2"/>
  <c r="X1" i="2"/>
  <c r="X41" i="2"/>
  <c r="Y79" i="2" l="1"/>
  <c r="Y196" i="2" s="1"/>
  <c r="Y194" i="2" s="1"/>
  <c r="Y269" i="2"/>
  <c r="CK454" i="1" l="1"/>
  <c r="Y198" i="2"/>
  <c r="AI111" i="3"/>
  <c r="Y57" i="2" l="1"/>
  <c r="Y80" i="2"/>
  <c r="CK455" i="1"/>
  <c r="Y81" i="2"/>
  <c r="CK457" i="1"/>
  <c r="CK463" i="1" l="1"/>
  <c r="CK458" i="1"/>
  <c r="CK459" i="1"/>
  <c r="AI29" i="3"/>
  <c r="Y222" i="2"/>
  <c r="Y227" i="2"/>
  <c r="Y254" i="2"/>
  <c r="CK466" i="1" l="1"/>
  <c r="P63" i="4"/>
  <c r="AI15" i="3"/>
  <c r="Y271" i="2" s="1"/>
  <c r="CK464" i="1"/>
  <c r="AI14" i="3" s="1"/>
  <c r="AI30" i="3" l="1"/>
  <c r="AI31" i="3" s="1"/>
  <c r="Y276" i="2"/>
  <c r="Y281" i="2" s="1"/>
  <c r="Y282" i="2" s="1"/>
  <c r="Y283" i="2" s="1"/>
  <c r="Y270" i="2"/>
  <c r="Y256" i="2"/>
  <c r="AI13" i="3"/>
  <c r="Y228" i="2"/>
  <c r="Y230" i="2" s="1"/>
  <c r="Y61" i="2" l="1"/>
  <c r="Y223" i="2"/>
  <c r="Y221" i="2" s="1"/>
  <c r="Y259" i="2"/>
  <c r="Y261" i="2" s="1"/>
  <c r="Y262" i="2" s="1"/>
  <c r="Z226" i="2"/>
  <c r="Y36" i="2"/>
  <c r="Y37" i="2" s="1"/>
  <c r="AI27" i="3" s="1"/>
  <c r="AI116" i="3" l="1"/>
  <c r="P56" i="4"/>
  <c r="Y65" i="2"/>
  <c r="Y66" i="2" s="1"/>
  <c r="P57" i="4" l="1"/>
  <c r="P58" i="4" s="1"/>
  <c r="AI119" i="3"/>
  <c r="Y135" i="2"/>
  <c r="Y69" i="2"/>
  <c r="AI11" i="3"/>
  <c r="AI120" i="3" l="1"/>
  <c r="AI114" i="3"/>
  <c r="AI118" i="3" s="1"/>
  <c r="AI7" i="3"/>
  <c r="AI25" i="3" s="1"/>
  <c r="Y133" i="2"/>
  <c r="Z131" i="2"/>
  <c r="P62" i="4"/>
  <c r="P61" i="4"/>
  <c r="Z122" i="2" l="1"/>
  <c r="Y139" i="2"/>
  <c r="Y29" i="2" s="1"/>
  <c r="Y43" i="2" l="1"/>
  <c r="Y32" i="2"/>
  <c r="Y39" i="2" s="1"/>
  <c r="Y40" i="2" s="1"/>
  <c r="Z126" i="2"/>
  <c r="CL450" i="1"/>
  <c r="Z115" i="2"/>
  <c r="CL449" i="1"/>
  <c r="Z267" i="2" l="1"/>
  <c r="Z78" i="2"/>
  <c r="CL452" i="1"/>
  <c r="Z113" i="2"/>
  <c r="Z116" i="2"/>
  <c r="AJ28" i="3"/>
  <c r="AJ110" i="3" s="1"/>
  <c r="Z56" i="2"/>
  <c r="Z253" i="2"/>
  <c r="Y41" i="2"/>
  <c r="Y1" i="2"/>
  <c r="Y44" i="2"/>
  <c r="Y67" i="2"/>
  <c r="Z79" i="2" l="1"/>
  <c r="Z196" i="2" s="1"/>
  <c r="Z194" i="2" s="1"/>
  <c r="Z269" i="2"/>
  <c r="AJ111" i="3" l="1"/>
  <c r="Z198" i="2"/>
  <c r="CL454" i="1"/>
  <c r="CL455" i="1" l="1"/>
  <c r="Z57" i="2"/>
  <c r="Z80" i="2"/>
  <c r="CL457" i="1"/>
  <c r="Z81" i="2"/>
  <c r="Z254" i="2" l="1"/>
  <c r="Z222" i="2"/>
  <c r="Z227" i="2"/>
  <c r="AJ29" i="3"/>
  <c r="CL458" i="1"/>
  <c r="CL459" i="1"/>
  <c r="CL463" i="1"/>
  <c r="CL464" i="1" l="1"/>
  <c r="AJ14" i="3" s="1"/>
  <c r="AJ15" i="3"/>
  <c r="Z271" i="2" s="1"/>
  <c r="CL466" i="1"/>
  <c r="Q63" i="4"/>
  <c r="Z276" i="2" l="1"/>
  <c r="Z281" i="2" s="1"/>
  <c r="Z282" i="2" s="1"/>
  <c r="Z283" i="2" s="1"/>
  <c r="Z270" i="2"/>
  <c r="AJ30" i="3"/>
  <c r="AJ31" i="3" s="1"/>
  <c r="Z256" i="2"/>
  <c r="Z228" i="2"/>
  <c r="Z230" i="2" s="1"/>
  <c r="AJ13" i="3"/>
  <c r="Z36" i="2" l="1"/>
  <c r="Z37" i="2" s="1"/>
  <c r="AJ27" i="3" s="1"/>
  <c r="AA226" i="2"/>
  <c r="Z223" i="2"/>
  <c r="Z221" i="2" s="1"/>
  <c r="Z61" i="2"/>
  <c r="Z259" i="2"/>
  <c r="Z261" i="2" s="1"/>
  <c r="Z262" i="2" s="1"/>
  <c r="AJ116" i="3" l="1"/>
  <c r="Q56" i="4"/>
  <c r="Z65" i="2"/>
  <c r="Z66" i="2" s="1"/>
  <c r="AJ11" i="3" l="1"/>
  <c r="Z69" i="2"/>
  <c r="Q57" i="4"/>
  <c r="Q58" i="4" s="1"/>
  <c r="Z135" i="2"/>
  <c r="AJ119" i="3"/>
  <c r="AA131" i="2" l="1"/>
  <c r="AJ7" i="3"/>
  <c r="AJ25" i="3" s="1"/>
  <c r="Z133" i="2"/>
  <c r="AJ120" i="3"/>
  <c r="AJ114" i="3"/>
  <c r="AJ118" i="3" s="1"/>
  <c r="Q61" i="4"/>
  <c r="Q62" i="4"/>
  <c r="Z139" i="2" l="1"/>
  <c r="Z29" i="2" s="1"/>
  <c r="AA122" i="2"/>
  <c r="AA115" i="2" l="1"/>
  <c r="AA126" i="2"/>
  <c r="CM450" i="1"/>
  <c r="CM449" i="1"/>
  <c r="Z32" i="2"/>
  <c r="Z39" i="2" s="1"/>
  <c r="Z40" i="2" s="1"/>
  <c r="Z43" i="2"/>
  <c r="AA267" i="2" l="1"/>
  <c r="CM452" i="1"/>
  <c r="AA78" i="2"/>
  <c r="Z1" i="2"/>
  <c r="Z41" i="2"/>
  <c r="AA253" i="2"/>
  <c r="AA56" i="2"/>
  <c r="AK28" i="3"/>
  <c r="AK110" i="3" s="1"/>
  <c r="Z44" i="2"/>
  <c r="Z67" i="2"/>
  <c r="AA116" i="2"/>
  <c r="AA113" i="2"/>
  <c r="AA269" i="2" l="1"/>
  <c r="AA79" i="2"/>
  <c r="AA196" i="2" s="1"/>
  <c r="AA194" i="2" s="1"/>
  <c r="AA198" i="2" l="1"/>
  <c r="CM454" i="1"/>
  <c r="AK111" i="3"/>
  <c r="CM455" i="1" l="1"/>
  <c r="AA57" i="2"/>
  <c r="AA80" i="2"/>
  <c r="AA81" i="2"/>
  <c r="CM457" i="1"/>
  <c r="CM459" i="1" l="1"/>
  <c r="CM463" i="1"/>
  <c r="AK29" i="3"/>
  <c r="CM458" i="1"/>
  <c r="AA227" i="2"/>
  <c r="AA222" i="2"/>
  <c r="AA254" i="2"/>
  <c r="R63" i="4" l="1"/>
  <c r="CM464" i="1"/>
  <c r="AK14" i="3" s="1"/>
  <c r="AK15" i="3"/>
  <c r="AA271" i="2" s="1"/>
  <c r="CM466" i="1"/>
  <c r="AA228" i="2" l="1"/>
  <c r="AA230" i="2" s="1"/>
  <c r="AA36" i="2" s="1"/>
  <c r="AA37" i="2" s="1"/>
  <c r="AK27" i="3" s="1"/>
  <c r="AA256" i="2"/>
  <c r="AK13" i="3"/>
  <c r="AK30" i="3"/>
  <c r="AK31" i="3" s="1"/>
  <c r="AA276" i="2"/>
  <c r="AA281" i="2" s="1"/>
  <c r="AA282" i="2" s="1"/>
  <c r="AA283" i="2" s="1"/>
  <c r="AA270" i="2"/>
  <c r="AA61" i="2" l="1"/>
  <c r="AA223" i="2"/>
  <c r="AA221" i="2" s="1"/>
  <c r="AA259" i="2"/>
  <c r="AA261" i="2" s="1"/>
  <c r="AA262" i="2" s="1"/>
  <c r="AK116" i="3" l="1"/>
  <c r="R56" i="4"/>
  <c r="AK11" i="3" s="1"/>
  <c r="AA65" i="2"/>
  <c r="AA66" i="2" s="1"/>
  <c r="AA135" i="2" l="1"/>
  <c r="R57" i="4"/>
  <c r="R58" i="4" s="1"/>
  <c r="AK119" i="3"/>
  <c r="AA69" i="2"/>
  <c r="AK120" i="3" l="1"/>
  <c r="AK114" i="3"/>
  <c r="AK118" i="3" s="1"/>
  <c r="R61" i="4"/>
  <c r="R62" i="4"/>
  <c r="AK7" i="3"/>
  <c r="AK25" i="3" s="1"/>
  <c r="AA133" i="2"/>
  <c r="AA139" i="2" s="1"/>
  <c r="AA29" i="2" s="1"/>
  <c r="AA32" i="2" l="1"/>
  <c r="AA39" i="2" s="1"/>
  <c r="AA40" i="2" s="1"/>
  <c r="AA43" i="2"/>
  <c r="AA44" i="2" l="1"/>
  <c r="AA67" i="2"/>
  <c r="AA41" i="2"/>
  <c r="AA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Casper Erskine</author>
    <author>ijohnston</author>
    <author>New Street Research LLP</author>
    <author>Kelvin</author>
  </authors>
  <commentList>
    <comment ref="AZ36" authorId="0" shapeId="0" xr:uid="{00000000-0006-0000-0300-000001000000}">
      <text>
        <r>
          <rPr>
            <b/>
            <sz val="9"/>
            <color indexed="81"/>
            <rFont val="Tahoma"/>
            <family val="2"/>
          </rPr>
          <t>Casper Erskine:</t>
        </r>
        <r>
          <rPr>
            <sz val="9"/>
            <color indexed="81"/>
            <rFont val="Tahoma"/>
            <family val="2"/>
          </rPr>
          <t xml:space="preserve">
Guidance for similar levels to 2016</t>
        </r>
      </text>
    </comment>
    <comment ref="L61" authorId="1" shapeId="0" xr:uid="{00000000-0006-0000-0300-000002000000}">
      <text>
        <r>
          <rPr>
            <b/>
            <sz val="8"/>
            <color indexed="81"/>
            <rFont val="Tahoma"/>
            <family val="2"/>
          </rPr>
          <t>ijohnston:</t>
        </r>
        <r>
          <rPr>
            <sz val="8"/>
            <color indexed="81"/>
            <rFont val="Tahoma"/>
            <family val="2"/>
          </rPr>
          <t xml:space="preserve">
25.6 Q3</t>
        </r>
      </text>
    </comment>
    <comment ref="CW88" authorId="2" shapeId="0" xr:uid="{00000000-0006-0000-0300-000003000000}">
      <text>
        <r>
          <rPr>
            <b/>
            <sz val="8"/>
            <color indexed="81"/>
            <rFont val="Tahoma"/>
            <family val="2"/>
          </rPr>
          <t>New Street Research LLP:</t>
        </r>
        <r>
          <rPr>
            <sz val="8"/>
            <color indexed="81"/>
            <rFont val="Tahoma"/>
            <family val="2"/>
          </rPr>
          <t xml:space="preserve">
-11000 Q1</t>
        </r>
      </text>
    </comment>
    <comment ref="CW91" authorId="2" shapeId="0" xr:uid="{00000000-0006-0000-0300-000004000000}">
      <text>
        <r>
          <rPr>
            <b/>
            <sz val="8"/>
            <color indexed="81"/>
            <rFont val="Tahoma"/>
            <family val="2"/>
          </rPr>
          <t>New Street Research LLP:</t>
        </r>
        <r>
          <rPr>
            <sz val="8"/>
            <color indexed="81"/>
            <rFont val="Tahoma"/>
            <family val="2"/>
          </rPr>
          <t xml:space="preserve">
+16000 q1</t>
        </r>
      </text>
    </comment>
    <comment ref="CW94" authorId="2" shapeId="0" xr:uid="{00000000-0006-0000-0300-000005000000}">
      <text>
        <r>
          <rPr>
            <b/>
            <sz val="8"/>
            <color indexed="81"/>
            <rFont val="Tahoma"/>
            <family val="2"/>
          </rPr>
          <t>New Street Research LLP:</t>
        </r>
        <r>
          <rPr>
            <sz val="8"/>
            <color indexed="81"/>
            <rFont val="Tahoma"/>
            <family val="2"/>
          </rPr>
          <t xml:space="preserve">
1815 q1</t>
        </r>
      </text>
    </comment>
    <comment ref="Q103" authorId="1" shapeId="0" xr:uid="{00000000-0006-0000-0300-000006000000}">
      <text>
        <r>
          <rPr>
            <b/>
            <sz val="8"/>
            <color indexed="81"/>
            <rFont val="Tahoma"/>
            <family val="2"/>
          </rPr>
          <t>ijohnston:q1 966</t>
        </r>
      </text>
    </comment>
    <comment ref="Q109" authorId="1" shapeId="0" xr:uid="{00000000-0006-0000-0300-000007000000}">
      <text>
        <r>
          <rPr>
            <b/>
            <sz val="8"/>
            <color indexed="81"/>
            <rFont val="Tahoma"/>
            <family val="2"/>
          </rPr>
          <t>ijohnston:</t>
        </r>
        <r>
          <rPr>
            <sz val="8"/>
            <color indexed="81"/>
            <rFont val="Tahoma"/>
            <family val="2"/>
          </rPr>
          <t xml:space="preserve">
q1 1009</t>
        </r>
      </text>
    </comment>
    <comment ref="Q116" authorId="1" shapeId="0" xr:uid="{00000000-0006-0000-0300-000008000000}">
      <text>
        <r>
          <rPr>
            <b/>
            <sz val="8"/>
            <color indexed="81"/>
            <rFont val="Tahoma"/>
            <family val="2"/>
          </rPr>
          <t>ijohnston:</t>
        </r>
        <r>
          <rPr>
            <sz val="8"/>
            <color indexed="81"/>
            <rFont val="Tahoma"/>
            <family val="2"/>
          </rPr>
          <t xml:space="preserve">
q1 1009</t>
        </r>
      </text>
    </comment>
    <comment ref="AP173" authorId="0" shapeId="0" xr:uid="{00000000-0006-0000-0300-000009000000}">
      <text>
        <r>
          <rPr>
            <b/>
            <sz val="9"/>
            <color indexed="81"/>
            <rFont val="Tahoma"/>
            <family val="2"/>
          </rPr>
          <t>Casper Erskine:</t>
        </r>
        <r>
          <rPr>
            <sz val="9"/>
            <color indexed="81"/>
            <rFont val="Tahoma"/>
            <family val="2"/>
          </rPr>
          <t xml:space="preserve">
Estimates only</t>
        </r>
      </text>
    </comment>
    <comment ref="AU189" authorId="0" shapeId="0" xr:uid="{00000000-0006-0000-0300-00000A000000}">
      <text>
        <r>
          <rPr>
            <b/>
            <sz val="9"/>
            <color indexed="81"/>
            <rFont val="Tahoma"/>
            <family val="2"/>
          </rPr>
          <t>Casper Erskine:</t>
        </r>
        <r>
          <rPr>
            <sz val="9"/>
            <color indexed="81"/>
            <rFont val="Tahoma"/>
            <family val="2"/>
          </rPr>
          <t xml:space="preserve">
Estimate cost/GB, based on Digi -15% due to offers</t>
        </r>
      </text>
    </comment>
    <comment ref="AZ190" authorId="0" shapeId="0" xr:uid="{00000000-0006-0000-0300-00000B000000}">
      <text>
        <r>
          <rPr>
            <b/>
            <sz val="9"/>
            <color indexed="81"/>
            <rFont val="Tahoma"/>
            <family val="2"/>
          </rPr>
          <t>Casper Erskine:</t>
        </r>
        <r>
          <rPr>
            <sz val="9"/>
            <color indexed="81"/>
            <rFont val="Tahoma"/>
            <family val="2"/>
          </rPr>
          <t xml:space="preserve">
Drops same as Digi, slightly lower in first year as discount to Digi drops out</t>
        </r>
      </text>
    </comment>
    <comment ref="CD275" authorId="3" shapeId="0" xr:uid="{DF1F071E-E187-4A5C-B1AE-D81F9B9C3C80}">
      <text>
        <r>
          <rPr>
            <b/>
            <sz val="9"/>
            <color indexed="81"/>
            <rFont val="Tahoma"/>
            <family val="2"/>
          </rPr>
          <t>Kelvin:</t>
        </r>
        <r>
          <rPr>
            <sz val="9"/>
            <color indexed="81"/>
            <rFont val="Tahoma"/>
            <family val="2"/>
          </rPr>
          <t xml:space="preserve">
lower growth rate due to absence of wholesale voice</t>
        </r>
      </text>
    </comment>
    <comment ref="CX286" authorId="1" shapeId="0" xr:uid="{00000000-0006-0000-0300-00000C000000}">
      <text>
        <r>
          <rPr>
            <b/>
            <sz val="8"/>
            <color indexed="81"/>
            <rFont val="Tahoma"/>
            <family val="2"/>
          </rPr>
          <t>ijohnston:</t>
        </r>
        <r>
          <rPr>
            <sz val="8"/>
            <color indexed="81"/>
            <rFont val="Tahoma"/>
            <family val="2"/>
          </rPr>
          <t xml:space="preserve">
q1 527</t>
        </r>
      </text>
    </comment>
    <comment ref="CW292" authorId="1" shapeId="0" xr:uid="{00000000-0006-0000-0300-00000D000000}">
      <text>
        <r>
          <rPr>
            <b/>
            <sz val="8"/>
            <color indexed="81"/>
            <rFont val="Tahoma"/>
            <family val="2"/>
          </rPr>
          <t>ijohnston:</t>
        </r>
        <r>
          <rPr>
            <sz val="8"/>
            <color indexed="81"/>
            <rFont val="Tahoma"/>
            <family val="2"/>
          </rPr>
          <t xml:space="preserve">
+5% q1</t>
        </r>
      </text>
    </comment>
    <comment ref="CW297" authorId="1" shapeId="0" xr:uid="{00000000-0006-0000-0300-00000E000000}">
      <text>
        <r>
          <rPr>
            <b/>
            <sz val="8"/>
            <color indexed="81"/>
            <rFont val="Tahoma"/>
            <family val="2"/>
          </rPr>
          <t>ijohnston:</t>
        </r>
        <r>
          <rPr>
            <sz val="8"/>
            <color indexed="81"/>
            <rFont val="Tahoma"/>
            <family val="2"/>
          </rPr>
          <t xml:space="preserve">
55 Q1
51 q2
50 q3</t>
        </r>
      </text>
    </comment>
    <comment ref="AZ382" authorId="0" shapeId="0" xr:uid="{00000000-0006-0000-0300-00000F000000}">
      <text>
        <r>
          <rPr>
            <b/>
            <sz val="9"/>
            <color indexed="81"/>
            <rFont val="Tahoma"/>
            <family val="2"/>
          </rPr>
          <t xml:space="preserve">Casper Erskine: </t>
        </r>
        <r>
          <rPr>
            <sz val="9"/>
            <color indexed="81"/>
            <rFont val="Tahoma"/>
            <family val="2"/>
          </rPr>
          <t>Guidance: Similar levels to 2016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Hoare</author>
    <author>ijohnston</author>
    <author>Casper Erskine</author>
    <author>Kelvin</author>
    <author>New Street Research LLP</author>
  </authors>
  <commentList>
    <comment ref="L64" authorId="0" shapeId="0" xr:uid="{00000000-0006-0000-0400-000001000000}">
      <text>
        <r>
          <rPr>
            <b/>
            <sz val="9"/>
            <color indexed="81"/>
            <rFont val="Tahoma"/>
            <family val="2"/>
          </rPr>
          <t>Chris Hoare:</t>
        </r>
        <r>
          <rPr>
            <sz val="9"/>
            <color indexed="81"/>
            <rFont val="Tahoma"/>
            <family val="2"/>
          </rPr>
          <t xml:space="preserve">
placing 300m at 5.7</t>
        </r>
      </text>
    </comment>
    <comment ref="D74" authorId="1" shapeId="0" xr:uid="{00000000-0006-0000-0400-000002000000}">
      <text>
        <r>
          <rPr>
            <b/>
            <sz val="8"/>
            <color indexed="81"/>
            <rFont val="Tahoma"/>
            <family val="2"/>
          </rPr>
          <t>ijohnston:</t>
        </r>
        <r>
          <rPr>
            <sz val="8"/>
            <color indexed="81"/>
            <rFont val="Tahoma"/>
            <family val="2"/>
          </rPr>
          <t xml:space="preserve">
estimate
</t>
        </r>
      </text>
    </comment>
    <comment ref="A118" authorId="2" shapeId="0" xr:uid="{00000000-0006-0000-0400-000003000000}">
      <text>
        <r>
          <rPr>
            <b/>
            <sz val="9"/>
            <color indexed="81"/>
            <rFont val="Tahoma"/>
            <family val="2"/>
          </rPr>
          <t>Casper Erskine:</t>
        </r>
        <r>
          <rPr>
            <sz val="9"/>
            <color indexed="81"/>
            <rFont val="Tahoma"/>
            <family val="2"/>
          </rPr>
          <t xml:space="preserve">
Normalised from presentation
</t>
        </r>
      </text>
    </comment>
    <comment ref="L124" authorId="2" shapeId="0" xr:uid="{00000000-0006-0000-0400-000004000000}">
      <text>
        <r>
          <rPr>
            <b/>
            <sz val="9"/>
            <color indexed="81"/>
            <rFont val="Tahoma"/>
            <family val="2"/>
          </rPr>
          <t>Casper Erskine:</t>
        </r>
        <r>
          <rPr>
            <sz val="9"/>
            <color indexed="81"/>
            <rFont val="Tahoma"/>
            <family val="2"/>
          </rPr>
          <t xml:space="preserve">
Rate hike in-line with FED expectations</t>
        </r>
      </text>
    </comment>
    <comment ref="K136" authorId="2" shapeId="0" xr:uid="{00000000-0006-0000-0400-000005000000}">
      <text>
        <r>
          <rPr>
            <b/>
            <sz val="9"/>
            <color indexed="81"/>
            <rFont val="Tahoma"/>
            <family val="2"/>
          </rPr>
          <t>Casper Erskine:</t>
        </r>
        <r>
          <rPr>
            <sz val="9"/>
            <color indexed="81"/>
            <rFont val="Tahoma"/>
            <family val="2"/>
          </rPr>
          <t xml:space="preserve">
When rolling forward, re-link to income statement as its quarterly!!!!</t>
        </r>
      </text>
    </comment>
    <comment ref="R159" authorId="3" shapeId="0" xr:uid="{91AB5CE2-35A9-414F-B294-66AFB6B101F8}">
      <text>
        <r>
          <rPr>
            <b/>
            <sz val="9"/>
            <color indexed="81"/>
            <rFont val="Tahoma"/>
            <charset val="1"/>
          </rPr>
          <t>Kelvin:</t>
        </r>
        <r>
          <rPr>
            <sz val="9"/>
            <color indexed="81"/>
            <rFont val="Tahoma"/>
            <charset val="1"/>
          </rPr>
          <t xml:space="preserve">
restated</t>
        </r>
      </text>
    </comment>
    <comment ref="M212" authorId="3" shapeId="0" xr:uid="{61AFA2E2-99B3-4473-86C0-26E2ED5B34F3}">
      <text>
        <r>
          <rPr>
            <b/>
            <sz val="9"/>
            <color indexed="81"/>
            <rFont val="Tahoma"/>
            <family val="2"/>
          </rPr>
          <t>Kelvin:</t>
        </r>
        <r>
          <rPr>
            <sz val="9"/>
            <color indexed="81"/>
            <rFont val="Tahoma"/>
            <family val="2"/>
          </rPr>
          <t xml:space="preserve">
share capital prior to here seems to be mistaken for shares outstanding</t>
        </r>
      </text>
    </comment>
    <comment ref="Q230" authorId="3" shapeId="0" xr:uid="{CF194617-0093-4EC6-B4E4-0A571E226969}">
      <text>
        <r>
          <rPr>
            <b/>
            <sz val="9"/>
            <color indexed="81"/>
            <rFont val="Tahoma"/>
            <family val="2"/>
          </rPr>
          <t>Kelvin:</t>
        </r>
        <r>
          <rPr>
            <sz val="9"/>
            <color indexed="81"/>
            <rFont val="Tahoma"/>
            <family val="2"/>
          </rPr>
          <t xml:space="preserve">
Reserves and NCI</t>
        </r>
      </text>
    </comment>
    <comment ref="B255" authorId="4" shapeId="0" xr:uid="{00000000-0006-0000-0400-000006000000}">
      <text>
        <r>
          <rPr>
            <b/>
            <sz val="8"/>
            <color indexed="81"/>
            <rFont val="Tahoma"/>
            <family val="2"/>
          </rPr>
          <t>New Street Research LLP:</t>
        </r>
        <r>
          <rPr>
            <sz val="8"/>
            <color indexed="81"/>
            <rFont val="Tahoma"/>
            <family val="2"/>
          </rPr>
          <t xml:space="preserve">
capital distribution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<sst xmlns="http://schemas.openxmlformats.org/spreadsheetml/2006/main" count="1367" uniqueCount="832">
  <si>
    <t>% change</t>
  </si>
  <si>
    <t>Consensus</t>
  </si>
  <si>
    <t>EBITDA</t>
  </si>
  <si>
    <t>EBITDA margin</t>
  </si>
  <si>
    <t>Revenues</t>
  </si>
  <si>
    <t>Total</t>
  </si>
  <si>
    <t>Mobile Market share</t>
  </si>
  <si>
    <t>Mobile Subscribers, 000s</t>
  </si>
  <si>
    <t>% growth</t>
  </si>
  <si>
    <t>Share of Net additions</t>
  </si>
  <si>
    <t>Penetration</t>
  </si>
  <si>
    <t>Mobile net additions, 000s</t>
  </si>
  <si>
    <t>Split pre-pay/post-pay</t>
  </si>
  <si>
    <t>Postpay</t>
  </si>
  <si>
    <t xml:space="preserve">Prepay </t>
  </si>
  <si>
    <t>Postpay %</t>
  </si>
  <si>
    <t>Prepay %</t>
  </si>
  <si>
    <t>Postpay Subscribers, 000s</t>
  </si>
  <si>
    <t>Subscribers - Jan 1st</t>
  </si>
  <si>
    <t>Net adds</t>
  </si>
  <si>
    <t>Subscribers - Dec 31st</t>
  </si>
  <si>
    <t>Average subscribers</t>
  </si>
  <si>
    <t>2010E</t>
  </si>
  <si>
    <t>2011E</t>
  </si>
  <si>
    <t>2012E</t>
  </si>
  <si>
    <t>2013E</t>
  </si>
  <si>
    <t>2014E</t>
  </si>
  <si>
    <t>2015E</t>
  </si>
  <si>
    <t>Prepay Subscribers, mn</t>
  </si>
  <si>
    <t>MOU</t>
  </si>
  <si>
    <t>YOY Change</t>
  </si>
  <si>
    <t>Total Minutes (million, estimate)</t>
  </si>
  <si>
    <t>Mobile Churn</t>
  </si>
  <si>
    <t>Churn</t>
  </si>
  <si>
    <t>Disconnections (000s)</t>
  </si>
  <si>
    <t>Net Additions</t>
  </si>
  <si>
    <t>Gross Additions (000s)</t>
  </si>
  <si>
    <t>Prepay Revenues</t>
  </si>
  <si>
    <t>Total Revenues</t>
  </si>
  <si>
    <t>Change</t>
  </si>
  <si>
    <t>ARPU per sub/month/S$</t>
  </si>
  <si>
    <t>Postpay Revenues</t>
  </si>
  <si>
    <t>2006A</t>
  </si>
  <si>
    <t>2007A</t>
  </si>
  <si>
    <t>2008A</t>
  </si>
  <si>
    <t>2009E</t>
  </si>
  <si>
    <t>Prepay as % of service revs</t>
  </si>
  <si>
    <t>Postpay as % of service revs</t>
  </si>
  <si>
    <t>ARPU</t>
  </si>
  <si>
    <t>Service Revenues</t>
  </si>
  <si>
    <t>Equipment revenues/costs</t>
  </si>
  <si>
    <t>Equipment revenues</t>
  </si>
  <si>
    <t>StarHub Pay TV subs</t>
  </si>
  <si>
    <t>Population</t>
  </si>
  <si>
    <t>No of lines (000s)</t>
  </si>
  <si>
    <t>Market share</t>
  </si>
  <si>
    <t>ARPU/sub/month</t>
  </si>
  <si>
    <t>Total Pay-TV Revs</t>
  </si>
  <si>
    <t>Broadband Revenues</t>
  </si>
  <si>
    <t>As % of BB lines</t>
  </si>
  <si>
    <t>pp change</t>
  </si>
  <si>
    <t>Growth</t>
  </si>
  <si>
    <t>Cost breakdown</t>
  </si>
  <si>
    <t>Cost of services</t>
  </si>
  <si>
    <t>As % of sales</t>
  </si>
  <si>
    <t>Growth %</t>
  </si>
  <si>
    <t>Labour Cost</t>
  </si>
  <si>
    <t>Marketing and promotion</t>
  </si>
  <si>
    <t>Traffic Expenses</t>
  </si>
  <si>
    <t>Equipment Costs</t>
  </si>
  <si>
    <t>per gross add</t>
  </si>
  <si>
    <t>% of equipment sales</t>
  </si>
  <si>
    <t>Bad Debt</t>
  </si>
  <si>
    <t>Other Costs</t>
  </si>
  <si>
    <t xml:space="preserve">Total Operating costs </t>
  </si>
  <si>
    <t>EBITDA margin % on serv revs</t>
  </si>
  <si>
    <t>EBIT</t>
  </si>
  <si>
    <t>EBIT margin %</t>
  </si>
  <si>
    <t>Data as % of serv revs</t>
  </si>
  <si>
    <t>Data</t>
  </si>
  <si>
    <t>Mobile revenues</t>
  </si>
  <si>
    <t>Prepay service revenues</t>
  </si>
  <si>
    <t>Postpay service revenues</t>
  </si>
  <si>
    <t>Pay-TV Revenues</t>
  </si>
  <si>
    <t>Fixed network revenues</t>
  </si>
  <si>
    <t>Operating Revenues</t>
  </si>
  <si>
    <t>Revenue growth</t>
  </si>
  <si>
    <t>Net Revenues</t>
  </si>
  <si>
    <t>EBITDA Growth</t>
  </si>
  <si>
    <t>EBITDA margin % on service revs</t>
  </si>
  <si>
    <t>Depreciation</t>
  </si>
  <si>
    <t xml:space="preserve"> Operating Revenues</t>
  </si>
  <si>
    <t>Amortisation</t>
  </si>
  <si>
    <t>Other revenues</t>
  </si>
  <si>
    <t>EBIT margin % on service revs</t>
  </si>
  <si>
    <t>Depreciation/Capex</t>
  </si>
  <si>
    <t>Interest expense (income)/other</t>
  </si>
  <si>
    <t>Tax</t>
  </si>
  <si>
    <t>Tax Rate</t>
  </si>
  <si>
    <t>Net Income</t>
  </si>
  <si>
    <t>Reported EPS</t>
  </si>
  <si>
    <t>Reported DPS</t>
  </si>
  <si>
    <t>OpCo Capex</t>
  </si>
  <si>
    <t>Est UnderlyingCapex</t>
  </si>
  <si>
    <t>Total Capex</t>
  </si>
  <si>
    <t>Capex as a % of sales</t>
  </si>
  <si>
    <t>Finance expenses</t>
  </si>
  <si>
    <t>Pretax</t>
  </si>
  <si>
    <t>Taxation</t>
  </si>
  <si>
    <t>Net income</t>
  </si>
  <si>
    <t>Cash and cash equivalents</t>
  </si>
  <si>
    <t>Inventory</t>
  </si>
  <si>
    <t xml:space="preserve">Receivables </t>
  </si>
  <si>
    <t>Short term investments</t>
  </si>
  <si>
    <t>Pre-payments and other receivables</t>
  </si>
  <si>
    <t>Other current assets</t>
  </si>
  <si>
    <t>Current assets</t>
  </si>
  <si>
    <t>Net PP&amp;E</t>
  </si>
  <si>
    <t>Goodwill</t>
  </si>
  <si>
    <t>Intangibles</t>
  </si>
  <si>
    <t>Non-current assets</t>
  </si>
  <si>
    <t>Total assets</t>
  </si>
  <si>
    <t>Trade payables</t>
  </si>
  <si>
    <t>Other payables</t>
  </si>
  <si>
    <t>Related Party balances</t>
  </si>
  <si>
    <t>Short-term bank loans</t>
  </si>
  <si>
    <t>Provisions</t>
  </si>
  <si>
    <t>Current liabilites</t>
  </si>
  <si>
    <t>Long-term debt</t>
  </si>
  <si>
    <t>Deferred income</t>
  </si>
  <si>
    <t>Total Liabilities</t>
  </si>
  <si>
    <t>Minority Interests</t>
  </si>
  <si>
    <t>Share capital and premium</t>
  </si>
  <si>
    <t>Other Reserves</t>
  </si>
  <si>
    <t>Retained Earnings</t>
  </si>
  <si>
    <t>Total Equity</t>
  </si>
  <si>
    <t>Total liabilities and book equity</t>
  </si>
  <si>
    <t>Check</t>
  </si>
  <si>
    <t>Net debt/(cash)</t>
  </si>
  <si>
    <t>Change in net debt</t>
  </si>
  <si>
    <t>Cash flow statement</t>
  </si>
  <si>
    <t>OpFCF</t>
  </si>
  <si>
    <t>Less: Interest payments</t>
  </si>
  <si>
    <t>Less: Tax</t>
  </si>
  <si>
    <t>Less: Working capital movements</t>
  </si>
  <si>
    <t>Less: Restructuring payments</t>
  </si>
  <si>
    <t>Less: Minority dividends paid</t>
  </si>
  <si>
    <t>Less: Dividends paid</t>
  </si>
  <si>
    <t>Less: Share buyback/ special dividend</t>
  </si>
  <si>
    <t>Plus: M&amp;A/ other</t>
  </si>
  <si>
    <t>Net debt</t>
  </si>
  <si>
    <t>Difference</t>
  </si>
  <si>
    <t>Net Debt/EBITDA</t>
  </si>
  <si>
    <t>ROCE</t>
  </si>
  <si>
    <t>Capital Employed</t>
  </si>
  <si>
    <t>EBIAT</t>
  </si>
  <si>
    <t>Acquisitions</t>
  </si>
  <si>
    <t>Capex/ depreciation</t>
  </si>
  <si>
    <t>Capex/sales</t>
  </si>
  <si>
    <t>Interest/ debt</t>
  </si>
  <si>
    <t>Interest payments</t>
  </si>
  <si>
    <t>Exceptional interest charges</t>
  </si>
  <si>
    <t>Clean interest payments</t>
  </si>
  <si>
    <t>Investment Income</t>
  </si>
  <si>
    <t>Average interest rate on cash</t>
  </si>
  <si>
    <t>Interest expense</t>
  </si>
  <si>
    <t>Average interest rate on debt</t>
  </si>
  <si>
    <t>Currency/Exchange Losses</t>
  </si>
  <si>
    <t>Average interest rate</t>
  </si>
  <si>
    <t>Average debt/ (cash)</t>
  </si>
  <si>
    <t>Gross debt</t>
  </si>
  <si>
    <t>Net cash (incl. derivatives)</t>
  </si>
  <si>
    <t>Net debt (cash)</t>
  </si>
  <si>
    <t>Cash as % of sales</t>
  </si>
  <si>
    <t xml:space="preserve"> - of which short-term debt</t>
  </si>
  <si>
    <t xml:space="preserve"> - of which long-term debt</t>
  </si>
  <si>
    <t>Share of Results of associates</t>
  </si>
  <si>
    <t>Associate (Income Statement)</t>
  </si>
  <si>
    <t>Investment in Associates (Balance Sheet)</t>
  </si>
  <si>
    <t>Working capital analysis</t>
  </si>
  <si>
    <t>% of sales</t>
  </si>
  <si>
    <t>Change in inventory</t>
  </si>
  <si>
    <t>Receivables</t>
  </si>
  <si>
    <t>Change in receivables</t>
  </si>
  <si>
    <t>Trade and other payables</t>
  </si>
  <si>
    <t>Change in payables</t>
  </si>
  <si>
    <t>Change in Provisions</t>
  </si>
  <si>
    <t>Related party balances</t>
  </si>
  <si>
    <t>Change in current tax liabilities</t>
  </si>
  <si>
    <t>Change in working capital</t>
  </si>
  <si>
    <t>Prepayments</t>
  </si>
  <si>
    <t>Short term Investments</t>
  </si>
  <si>
    <t xml:space="preserve">Deferred Tax Liabilities </t>
  </si>
  <si>
    <t>Provision</t>
  </si>
  <si>
    <t>Other Long-term liabilities</t>
  </si>
  <si>
    <t>% sales</t>
  </si>
  <si>
    <t>Group Profit Before Tax</t>
  </si>
  <si>
    <t>Group Taxation Charge</t>
  </si>
  <si>
    <t>Effective Tax rate</t>
  </si>
  <si>
    <t>Minority interests</t>
  </si>
  <si>
    <t>Ordinary shares and share premium</t>
  </si>
  <si>
    <t>Share capital</t>
  </si>
  <si>
    <t>Average shares</t>
  </si>
  <si>
    <t>Hedging Reserves</t>
  </si>
  <si>
    <t>Other reserves</t>
  </si>
  <si>
    <t>Dividends</t>
  </si>
  <si>
    <t>Other</t>
  </si>
  <si>
    <t>Exceptional cash-flow items</t>
  </si>
  <si>
    <t>Other financial assets</t>
  </si>
  <si>
    <t>Other: Disposals of assets etc..</t>
  </si>
  <si>
    <t>Issue of shares</t>
  </si>
  <si>
    <t>Exceptional cash flow items</t>
  </si>
  <si>
    <t>Cash Flow</t>
  </si>
  <si>
    <t>Less: interest</t>
  </si>
  <si>
    <t>Less: tax</t>
  </si>
  <si>
    <t>Less: Other</t>
  </si>
  <si>
    <t>Less dividend</t>
  </si>
  <si>
    <t>Capital increase</t>
  </si>
  <si>
    <t>Less: change in WC</t>
  </si>
  <si>
    <t>(Net debt)/Cash</t>
  </si>
  <si>
    <t xml:space="preserve">Clean Earnings </t>
  </si>
  <si>
    <t>less Depreciation</t>
  </si>
  <si>
    <t>less interest</t>
  </si>
  <si>
    <t>Add associates</t>
  </si>
  <si>
    <t>less clean tax</t>
  </si>
  <si>
    <t>Clean net income estimate</t>
  </si>
  <si>
    <t>Op FCF</t>
  </si>
  <si>
    <t>ROIC</t>
  </si>
  <si>
    <t>Clean earnings</t>
  </si>
  <si>
    <t>Add: depreciation</t>
  </si>
  <si>
    <t>Add: amortisation</t>
  </si>
  <si>
    <t>Less: capex</t>
  </si>
  <si>
    <t>Add: P&amp;L minority interest</t>
  </si>
  <si>
    <t>Clean EFCF</t>
  </si>
  <si>
    <t>Clean EFCF/ share</t>
  </si>
  <si>
    <t>Subscribers (000s)</t>
  </si>
  <si>
    <t>Share of net adds</t>
  </si>
  <si>
    <t>Market subscribers</t>
  </si>
  <si>
    <t>Penetration added</t>
  </si>
  <si>
    <t>Population (000s)</t>
  </si>
  <si>
    <t>Average subs</t>
  </si>
  <si>
    <t>ARPU (S$)</t>
  </si>
  <si>
    <t>Other revenues / Adjustments</t>
  </si>
  <si>
    <t>% Change</t>
  </si>
  <si>
    <t>EBITDA margin on service revs</t>
  </si>
  <si>
    <t>Reported EBITDA growth</t>
  </si>
  <si>
    <t>Opex</t>
  </si>
  <si>
    <t>Opex/sub</t>
  </si>
  <si>
    <t>Capex</t>
  </si>
  <si>
    <t>Capex/sub</t>
  </si>
  <si>
    <t>FCF</t>
  </si>
  <si>
    <t>WACC</t>
  </si>
  <si>
    <t>EV</t>
  </si>
  <si>
    <t>Maxis</t>
  </si>
  <si>
    <t>Celcom</t>
  </si>
  <si>
    <t>Digi</t>
  </si>
  <si>
    <t xml:space="preserve">Average MoU </t>
  </si>
  <si>
    <t>Revenue Breakdown</t>
  </si>
  <si>
    <t>Voice revenues</t>
  </si>
  <si>
    <t>Messaging</t>
  </si>
  <si>
    <t>VAS</t>
  </si>
  <si>
    <t>Operating and Maintenance</t>
  </si>
  <si>
    <t>USP &amp; Licence</t>
  </si>
  <si>
    <t>Service revenue</t>
  </si>
  <si>
    <t>Malaysia Revenues</t>
  </si>
  <si>
    <t>Malaysia</t>
  </si>
  <si>
    <t>Margin</t>
  </si>
  <si>
    <t>ARPU per sub/month (MYR)</t>
  </si>
  <si>
    <t>Total ARPU/min (MYR)</t>
  </si>
  <si>
    <t>Voice ARPU/min (MYR)</t>
  </si>
  <si>
    <t>ARPU by stream</t>
  </si>
  <si>
    <t xml:space="preserve">Voice </t>
  </si>
  <si>
    <t>Internet</t>
  </si>
  <si>
    <t>Months</t>
  </si>
  <si>
    <t>Equipment Revenues per gross add (MYR)</t>
  </si>
  <si>
    <t xml:space="preserve">ARPU growth </t>
  </si>
  <si>
    <t>Mobile Internet</t>
  </si>
  <si>
    <t>Data Traffic (TB)</t>
  </si>
  <si>
    <t>Price/GB</t>
  </si>
  <si>
    <t xml:space="preserve">YoY </t>
  </si>
  <si>
    <t>QoQ</t>
  </si>
  <si>
    <t>Mobile Internet Subscribers</t>
  </si>
  <si>
    <t>Smartphones</t>
  </si>
  <si>
    <t>% of base</t>
  </si>
  <si>
    <t>EBITDA margins</t>
  </si>
  <si>
    <t>Pay-out ratio</t>
  </si>
  <si>
    <t>Capex (MYR, mn)</t>
  </si>
  <si>
    <t>Less: SPECTRUM</t>
  </si>
  <si>
    <t>Valuation</t>
  </si>
  <si>
    <t>Number of shares, ords</t>
  </si>
  <si>
    <t>Average number of shares, ords</t>
  </si>
  <si>
    <t>Number of shares, Savs</t>
  </si>
  <si>
    <t>Average number of shares, Savs</t>
  </si>
  <si>
    <t>Consolidated Net debt</t>
  </si>
  <si>
    <t>Other financial liabilities</t>
  </si>
  <si>
    <t>Associates (for EV calc)</t>
  </si>
  <si>
    <t>Minorities (for EV calc)</t>
  </si>
  <si>
    <t>Cumulative dividends</t>
  </si>
  <si>
    <t>Tax credit</t>
  </si>
  <si>
    <t>DPS</t>
  </si>
  <si>
    <t>Clean EPS</t>
  </si>
  <si>
    <t>Group forecasts</t>
  </si>
  <si>
    <t>Consolidated Revenues</t>
  </si>
  <si>
    <t>Consolidated EBITDA</t>
  </si>
  <si>
    <t>Consolidated Depreciation</t>
  </si>
  <si>
    <t>Consolidated Amortisation</t>
  </si>
  <si>
    <t>Consolidated Capex</t>
  </si>
  <si>
    <t>Consolidated OpFCF</t>
  </si>
  <si>
    <t>Consolidated FCF (OpFCF * (1-tax rate))</t>
  </si>
  <si>
    <t>Minority interests (b/s)</t>
  </si>
  <si>
    <t>Book equity</t>
  </si>
  <si>
    <t>Net interest</t>
  </si>
  <si>
    <t>Reported earnings</t>
  </si>
  <si>
    <t>Equity free cash flow</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</si>
  <si>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</si>
  <si>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</si>
  <si>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</si>
  <si>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</si>
  <si>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</si>
  <si>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</si>
  <si>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</si>
  <si>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</si>
  <si>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</si>
  <si>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</si>
  <si>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</si>
  <si>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</si>
  <si>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</si>
  <si>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</si>
  <si>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</si>
  <si>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</si>
  <si>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</si>
  <si>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</si>
  <si>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</si>
  <si>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</si>
  <si>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</si>
  <si>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</si>
  <si>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</si>
  <si>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</si>
  <si>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</si>
  <si>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</si>
  <si>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</si>
  <si>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</si>
  <si>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</si>
  <si>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</si>
  <si>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</si>
  <si>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</si>
  <si>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</si>
  <si>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</si>
  <si>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</si>
  <si>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</si>
  <si>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</si>
  <si>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</si>
  <si>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</si>
  <si>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Public debt EOY balance</t>
  </si>
  <si>
    <t>Public debt repayment</t>
  </si>
  <si>
    <t>Interest on public debt</t>
  </si>
  <si>
    <t>Average interest rate on public debt</t>
  </si>
  <si>
    <t>Maturing non-public debt EOY balance</t>
  </si>
  <si>
    <t>Maturing non-public debt repayment</t>
  </si>
  <si>
    <t>Interest rate on maturing non-public debt</t>
  </si>
  <si>
    <t>Bank interest on maturing non-public debt</t>
  </si>
  <si>
    <t>Other debt EOY balance</t>
  </si>
  <si>
    <t>Interest rate on other debt</t>
  </si>
  <si>
    <t>Interest on other debt</t>
  </si>
  <si>
    <t>Gross cash &amp; STI</t>
  </si>
  <si>
    <t>Interest rate on cash</t>
  </si>
  <si>
    <t>Interest income</t>
  </si>
  <si>
    <t>FFO (see note)</t>
  </si>
  <si>
    <t>Cap ex</t>
  </si>
  <si>
    <t>Debt amortisation</t>
  </si>
  <si>
    <t>Gross interest expense</t>
  </si>
  <si>
    <t>Net interest expense</t>
  </si>
  <si>
    <t>Operating leases</t>
  </si>
  <si>
    <t>Ongoing interest on pension deficit</t>
  </si>
  <si>
    <t>Additional pension contributions to civil servants</t>
  </si>
  <si>
    <t>Adjusted EBITDA</t>
  </si>
  <si>
    <t>Operating leases x 7</t>
  </si>
  <si>
    <t>Unfunded pension liabilities to civil servants</t>
  </si>
  <si>
    <t>Unfunded pension liabilities</t>
  </si>
  <si>
    <t>Debt in joint ventures</t>
  </si>
  <si>
    <t>Guarantees</t>
  </si>
  <si>
    <t>Adjusted gross debt</t>
  </si>
  <si>
    <t>Adjusted Net debt</t>
  </si>
  <si>
    <t>Maturing debt</t>
  </si>
  <si>
    <t>Cash flow</t>
  </si>
  <si>
    <t>Less: Tax paid</t>
  </si>
  <si>
    <t>Less: Change in WC</t>
  </si>
  <si>
    <t>Less: Disposals/acquis.</t>
  </si>
  <si>
    <t>EFCF adjustments</t>
  </si>
  <si>
    <t>Adj 1</t>
  </si>
  <si>
    <t>Adj 2</t>
  </si>
  <si>
    <t>Adj 3</t>
  </si>
  <si>
    <t>Adj 4</t>
  </si>
  <si>
    <t>Adj 5</t>
  </si>
  <si>
    <t>Adj 6</t>
  </si>
  <si>
    <t>Divisional</t>
  </si>
  <si>
    <t>Sum of the parts</t>
  </si>
  <si>
    <t>Mobile businesses</t>
  </si>
  <si>
    <t>Operator subs</t>
  </si>
  <si>
    <t>Mkt Share</t>
  </si>
  <si>
    <t>Total revenue</t>
  </si>
  <si>
    <t>MOU (incoming and outgoing)</t>
  </si>
  <si>
    <t>Outgoing MOU</t>
  </si>
  <si>
    <t>Outgoing ARPU</t>
  </si>
  <si>
    <t>Data ARPU</t>
  </si>
  <si>
    <t>Share Capital</t>
  </si>
  <si>
    <t>Share Price</t>
  </si>
  <si>
    <t>DCF</t>
  </si>
  <si>
    <t>Adjusted tax</t>
  </si>
  <si>
    <t>Free cash flow</t>
  </si>
  <si>
    <t>Year</t>
  </si>
  <si>
    <t>Discount factor</t>
  </si>
  <si>
    <t>Discounted cash Flow</t>
  </si>
  <si>
    <t>Terminal value</t>
  </si>
  <si>
    <t>Future licence payments</t>
  </si>
  <si>
    <t>EV (MYR m)</t>
  </si>
  <si>
    <t>EV (US$ m)</t>
  </si>
  <si>
    <t>Market cap (MYR m)</t>
  </si>
  <si>
    <t>Current price</t>
  </si>
  <si>
    <t>Upside/downside</t>
  </si>
  <si>
    <t>Implied EV/EBITDA</t>
  </si>
  <si>
    <t>Implied FCF Yield</t>
  </si>
  <si>
    <t>Rf</t>
  </si>
  <si>
    <t>Tax rate</t>
  </si>
  <si>
    <t>Equity premium</t>
  </si>
  <si>
    <t>Debt Premium</t>
  </si>
  <si>
    <t>Cost of Equity</t>
  </si>
  <si>
    <t>Cost of Debt</t>
  </si>
  <si>
    <t>Debt/Equity</t>
  </si>
  <si>
    <t>Terminal growth</t>
  </si>
  <si>
    <t>Market capital</t>
  </si>
  <si>
    <t>Cumulative Divs</t>
  </si>
  <si>
    <t>MYR m</t>
  </si>
  <si>
    <t>Serv revs</t>
  </si>
  <si>
    <t>Reported EBITDA</t>
  </si>
  <si>
    <t>Licence fees</t>
  </si>
  <si>
    <t>Net profit</t>
  </si>
  <si>
    <t>Earnings</t>
  </si>
  <si>
    <t>Forecasts</t>
  </si>
  <si>
    <t>Actual</t>
  </si>
  <si>
    <t>VOICE</t>
  </si>
  <si>
    <t>Q1 13</t>
  </si>
  <si>
    <t>Q2 13</t>
  </si>
  <si>
    <t>Q3 13</t>
  </si>
  <si>
    <t>Q4 13</t>
  </si>
  <si>
    <t>Q1 14</t>
  </si>
  <si>
    <t>Q2 14</t>
  </si>
  <si>
    <t>Q3 14</t>
  </si>
  <si>
    <t>Q4 14</t>
  </si>
  <si>
    <t>Q1 15</t>
  </si>
  <si>
    <t>Q2 15</t>
  </si>
  <si>
    <t>Q3 15</t>
  </si>
  <si>
    <t>Q4 15</t>
  </si>
  <si>
    <t>Q1 16</t>
  </si>
  <si>
    <t>Q2 16</t>
  </si>
  <si>
    <t>Pricing</t>
  </si>
  <si>
    <t>MoU</t>
  </si>
  <si>
    <t>Subscribers</t>
  </si>
  <si>
    <t>Dividend</t>
  </si>
  <si>
    <t>Voice</t>
  </si>
  <si>
    <t>Service revenues</t>
  </si>
  <si>
    <t>DATA</t>
  </si>
  <si>
    <t>Q3 16</t>
  </si>
  <si>
    <t>Est. Traffic</t>
  </si>
  <si>
    <t>Est. Pricing</t>
  </si>
  <si>
    <t xml:space="preserve">Traffic </t>
  </si>
  <si>
    <t xml:space="preserve">Pricing </t>
  </si>
  <si>
    <t>Internet subs</t>
  </si>
  <si>
    <t>Q4 16</t>
  </si>
  <si>
    <t xml:space="preserve">Data </t>
  </si>
  <si>
    <t>SMS</t>
  </si>
  <si>
    <t>Equipment</t>
  </si>
  <si>
    <t>Margins</t>
  </si>
  <si>
    <t>Service rev margins</t>
  </si>
  <si>
    <t>Handset margins</t>
  </si>
  <si>
    <t>Handest revenues</t>
  </si>
  <si>
    <t>Handset EBITDA</t>
  </si>
  <si>
    <t>Service revs</t>
  </si>
  <si>
    <t xml:space="preserve">Mobile internet growth </t>
  </si>
  <si>
    <t>revenue</t>
  </si>
  <si>
    <t>Q1 2007</t>
  </si>
  <si>
    <t>Q2 2007</t>
  </si>
  <si>
    <t>Q3 2007</t>
  </si>
  <si>
    <t>Q4 2007</t>
  </si>
  <si>
    <t>Q1 08</t>
  </si>
  <si>
    <t>Q2 08</t>
  </si>
  <si>
    <t>Q3 08</t>
  </si>
  <si>
    <t>Q4 08</t>
  </si>
  <si>
    <t>Q1 09</t>
  </si>
  <si>
    <t>Q2 09</t>
  </si>
  <si>
    <t>Q3 09</t>
  </si>
  <si>
    <t>Q4 09</t>
  </si>
  <si>
    <t>Q1 10</t>
  </si>
  <si>
    <t>Q2 10</t>
  </si>
  <si>
    <t>Q3 10</t>
  </si>
  <si>
    <t>Q4 10</t>
  </si>
  <si>
    <t>Q1 11</t>
  </si>
  <si>
    <t>Q2 11</t>
  </si>
  <si>
    <t>Q3 11</t>
  </si>
  <si>
    <t>Q4 11</t>
  </si>
  <si>
    <t>Q1 12</t>
  </si>
  <si>
    <t>Q2 12</t>
  </si>
  <si>
    <t>Q3 12</t>
  </si>
  <si>
    <t>Q4 12</t>
  </si>
  <si>
    <t>Population (millions)</t>
  </si>
  <si>
    <t>General</t>
  </si>
  <si>
    <t>Total Revenue</t>
  </si>
  <si>
    <t>Service Revenue</t>
  </si>
  <si>
    <t>Capex/Depreciation</t>
  </si>
  <si>
    <t>Cellular</t>
  </si>
  <si>
    <t>Service Revenue ex-IC</t>
  </si>
  <si>
    <t>MoU (Outgoing)</t>
  </si>
  <si>
    <t>Total minutes</t>
  </si>
  <si>
    <t xml:space="preserve">Data subscribers </t>
  </si>
  <si>
    <t>Smartphone penetration</t>
  </si>
  <si>
    <t>Data as % of Sales</t>
  </si>
  <si>
    <t>Mobile internet as % of sales</t>
  </si>
  <si>
    <t>Implied voice revs</t>
  </si>
  <si>
    <t>Implied data revs</t>
  </si>
  <si>
    <t>Implied MI revs</t>
  </si>
  <si>
    <t>Voice ARPU</t>
  </si>
  <si>
    <t>Mobile internet ARPU</t>
  </si>
  <si>
    <t>Voice yield</t>
  </si>
  <si>
    <t xml:space="preserve">Data yield </t>
  </si>
  <si>
    <t>Mobile internet yield</t>
  </si>
  <si>
    <t>2G BTS</t>
  </si>
  <si>
    <t>3G BTS</t>
  </si>
  <si>
    <t>4G BTS</t>
  </si>
  <si>
    <t>BTS</t>
  </si>
  <si>
    <t>Towers owned</t>
  </si>
  <si>
    <t>Broadband and Cable</t>
  </si>
  <si>
    <t>Homes Passed</t>
  </si>
  <si>
    <t>Broadband Subscribers</t>
  </si>
  <si>
    <t>Broadband ARPU</t>
  </si>
  <si>
    <t>Fibre Subscribers</t>
  </si>
  <si>
    <t>Voice subs</t>
  </si>
  <si>
    <t>IPTV subs</t>
  </si>
  <si>
    <t>VoIP Subs</t>
  </si>
  <si>
    <t>Cable Subs</t>
  </si>
  <si>
    <t>Data revenues</t>
  </si>
  <si>
    <t>IPTV Revs</t>
  </si>
  <si>
    <t>Capex/depn</t>
  </si>
  <si>
    <t>MYR/USD</t>
  </si>
  <si>
    <t>Equipment revenues (Est)</t>
  </si>
  <si>
    <t>Fixed line Revenues</t>
  </si>
  <si>
    <t>TM subs</t>
  </si>
  <si>
    <t>TM market share</t>
  </si>
  <si>
    <t>Estimated market subs</t>
  </si>
  <si>
    <t>Maxis All Broadband subs</t>
  </si>
  <si>
    <t>Mobile Service revenues</t>
  </si>
  <si>
    <t>Total Mobile Revenues</t>
  </si>
  <si>
    <t>Integrated Revenues</t>
  </si>
  <si>
    <t>Exceptionals</t>
  </si>
  <si>
    <t>Adjustments</t>
  </si>
  <si>
    <t>Deferred Expenses</t>
  </si>
  <si>
    <t>Deferred expenses</t>
  </si>
  <si>
    <t>Minority interests (BS)</t>
  </si>
  <si>
    <t>Minority Interest (IS)</t>
  </si>
  <si>
    <t>Other Long-term creditors</t>
  </si>
  <si>
    <t>Other Long term creditors</t>
  </si>
  <si>
    <t>Underlying EPS</t>
  </si>
  <si>
    <t>Underlying Capex as a % of sales</t>
  </si>
  <si>
    <t>NOTE! When rolling forward working capital, update formulas to link up correctly with quarterly income statement</t>
  </si>
  <si>
    <t>2G</t>
  </si>
  <si>
    <t>3G</t>
  </si>
  <si>
    <t>4G</t>
  </si>
  <si>
    <t>Usage/ MI Subscriber (Prepaid) (GB)</t>
  </si>
  <si>
    <t>Usage/ MI Subscriber (Postpaid) (GB)</t>
  </si>
  <si>
    <t>Weight (pre/postpaid)</t>
  </si>
  <si>
    <t xml:space="preserve">Data usage </t>
  </si>
  <si>
    <t>Prepaid</t>
  </si>
  <si>
    <t>Direct costs</t>
  </si>
  <si>
    <t>Marketing</t>
  </si>
  <si>
    <t>Staff costs</t>
  </si>
  <si>
    <t>General and admin</t>
  </si>
  <si>
    <t>Bad debt</t>
  </si>
  <si>
    <t>Q3 17</t>
  </si>
  <si>
    <t>Clean tax</t>
  </si>
  <si>
    <t>less minority interests/other</t>
  </si>
  <si>
    <t>Data traffic</t>
  </si>
  <si>
    <t>ARPUs</t>
  </si>
  <si>
    <t>Q1 17</t>
  </si>
  <si>
    <t>Blended</t>
  </si>
  <si>
    <t>Network costs</t>
  </si>
  <si>
    <t>Income Statement (MYR, mn)</t>
  </si>
  <si>
    <t>DPS (LHS)</t>
  </si>
  <si>
    <t>Net debt/EBITDA (RHS)</t>
  </si>
  <si>
    <t>OpFCF - interest - tax</t>
  </si>
  <si>
    <t>Non-mobile revenues</t>
  </si>
  <si>
    <t>Enterprise fixed</t>
  </si>
  <si>
    <t>Q2 17</t>
  </si>
  <si>
    <t>Q4 17</t>
  </si>
  <si>
    <t>Q1 18</t>
  </si>
  <si>
    <t>Q2 18</t>
  </si>
  <si>
    <t>Q3 18</t>
  </si>
  <si>
    <t>Q4 18</t>
  </si>
  <si>
    <t>Q1 19</t>
  </si>
  <si>
    <t>Q2 19</t>
  </si>
  <si>
    <t>Diff.</t>
  </si>
  <si>
    <t>Total MSR</t>
  </si>
  <si>
    <t xml:space="preserve"> </t>
  </si>
  <si>
    <t>Q1</t>
  </si>
  <si>
    <t>Q2</t>
  </si>
  <si>
    <t>Q3</t>
  </si>
  <si>
    <t>Q4</t>
  </si>
  <si>
    <t>YoY</t>
  </si>
  <si>
    <t>MI &amp; VAS</t>
  </si>
  <si>
    <t>Multiples</t>
  </si>
  <si>
    <t>ARPUxSubs</t>
  </si>
  <si>
    <t>MSR not in ARPU</t>
  </si>
  <si>
    <t>MSR</t>
  </si>
  <si>
    <t>SHOUT</t>
  </si>
  <si>
    <t>Q3 19</t>
  </si>
  <si>
    <t>In line with 2019</t>
  </si>
  <si>
    <t>Flat to low single digit increase</t>
  </si>
  <si>
    <t>Q4 19</t>
  </si>
  <si>
    <t>Q1 20</t>
  </si>
  <si>
    <t>Q2 20</t>
  </si>
  <si>
    <t>Q3 20</t>
  </si>
  <si>
    <t>Q4 20</t>
  </si>
  <si>
    <t>Reported Net income</t>
  </si>
  <si>
    <t>DISCLAIMER</t>
  </si>
  <si>
    <t xml:space="preserve">This document has been communicated to its clients by New Street Research LLP in accordance with its terms and conditions. This document is confidential and should not be communicated to persons other than the clients of New Street Research LLP. </t>
  </si>
  <si>
    <t xml:space="preserve">New Street Research LLP is authorised and regulated in the conduct of its designated investment business in the United Kingdom by the Financial Conduct Authority. </t>
  </si>
  <si>
    <t>The contents of this Spreadsheet are subject to updating, completion, revision, further verification and amendment.</t>
  </si>
  <si>
    <t>The value of shares and other investments and the income derived from them may go down as well as up, and you may not get back the full amount you originally invested.</t>
  </si>
  <si>
    <t>12 month historical recommendation changes are available on request</t>
  </si>
  <si>
    <t>New Street Research LLP is authorised and regulated in the UK by the Financial Conduct Authority and is registered in the United States with the Securities and Exchange Commission as an investment adviser.  It may be distributed in the United States by New Street Research LLC which is a partner of New Street Research LLP.</t>
  </si>
  <si>
    <t>Regulatory Disclosures: This research is directed only at persons classified as Professional Clients under the rules of the Financial Conduct Authority (‘FCA’), and must not be re-distributed to Retail Clients as defined in the rules of the FCA.</t>
  </si>
  <si>
    <t>This research is for our clients only. It is based on current public information which we consider reliable, but we do not represent that it is accurate or complete, and it should not be relied on as such. We seek to update our research as appropriate, but various regulations may prevent us from doing so. Most of our reports are published at irregular intervals as appropriate in the analyst's judgment.</t>
  </si>
  <si>
    <t>This research is not an offer to sell or the solicitation of an offer to buy any security in any jurisdiction where such an offer or solicitation would be illegal. It does not constitute a personal recommendation or take into account the particular investment objectives, financial situations, or needs of individual clients. </t>
  </si>
  <si>
    <t>All our research reports are disseminated and available to all clients simultaneously through electronic publication to our website. </t>
  </si>
  <si>
    <t>No part of this material may be copied, photocopied or duplicated in any form by any means or redistributed without the prior written consent of New Street Research LLP.</t>
  </si>
  <si>
    <t>Ticker (BBG):</t>
  </si>
  <si>
    <t>Rating</t>
  </si>
  <si>
    <t>Target price</t>
  </si>
  <si>
    <t>Analyst</t>
  </si>
  <si>
    <t>Chris Hoare</t>
  </si>
  <si>
    <t>email</t>
  </si>
  <si>
    <t>chris@newstreetresearch.com</t>
  </si>
  <si>
    <t>Phone</t>
  </si>
  <si>
    <t>+44 207375 9130</t>
  </si>
  <si>
    <t>MAXIS</t>
  </si>
  <si>
    <t>MAXIS MK Equity</t>
  </si>
  <si>
    <t>Consensus - revenues</t>
  </si>
  <si>
    <t>© Copyright 2021 New Street Research LLP</t>
  </si>
  <si>
    <t>Lead analyst</t>
  </si>
  <si>
    <t>David Lopes</t>
  </si>
  <si>
    <t>david@newstreetresearch.com</t>
  </si>
  <si>
    <t>+44 207375 9147</t>
  </si>
  <si>
    <t>Q1 21</t>
  </si>
  <si>
    <t>RoU assets</t>
  </si>
  <si>
    <t>Enterprise</t>
  </si>
  <si>
    <t>Implied consumer</t>
  </si>
  <si>
    <t>Q2 21</t>
  </si>
  <si>
    <t>Q3 21</t>
  </si>
  <si>
    <t>Q4 21</t>
  </si>
  <si>
    <t xml:space="preserve">BOP </t>
  </si>
  <si>
    <t>EOP</t>
  </si>
  <si>
    <t>Cash</t>
  </si>
  <si>
    <t>Net PPE</t>
  </si>
  <si>
    <t>BOP</t>
  </si>
  <si>
    <t>(+) Capex</t>
  </si>
  <si>
    <t>(-) Depreciation</t>
  </si>
  <si>
    <t>Plug</t>
  </si>
  <si>
    <t>Dep as % of BOP PPE</t>
  </si>
  <si>
    <t>Intangible assets</t>
  </si>
  <si>
    <t>(+) Acquisitions</t>
  </si>
  <si>
    <t>(-) Amortisation</t>
  </si>
  <si>
    <t>Amortisation as % of BOP Intangible assets</t>
  </si>
  <si>
    <t>Acquisitions/(impairment) as % of BOP intangible assets</t>
  </si>
  <si>
    <t>RM m</t>
  </si>
  <si>
    <t>Total Subscribers ('000)</t>
  </si>
  <si>
    <t>Q1 22</t>
  </si>
  <si>
    <t>Blended average data per subscriber</t>
  </si>
  <si>
    <t>Data Traffic (based on total subs)</t>
  </si>
  <si>
    <t>Q2 22</t>
  </si>
  <si>
    <t>Source</t>
  </si>
  <si>
    <t>Income Statement</t>
  </si>
  <si>
    <t>Prepaid ARPU</t>
  </si>
  <si>
    <t>Postpaid ARPU</t>
  </si>
  <si>
    <t xml:space="preserve">Data traffic </t>
  </si>
  <si>
    <t>Prepaid subscribers</t>
  </si>
  <si>
    <t>Postpaid subscribers</t>
  </si>
  <si>
    <t>Prepaid ARPU per sub/month (MYR)</t>
  </si>
  <si>
    <t>Postpaid ARPU per sub/month (MYR)</t>
  </si>
  <si>
    <t>Comments</t>
  </si>
  <si>
    <t>Prepaid + Postpaid + WBB</t>
  </si>
  <si>
    <t>Exclude WBB from Q1 17 onwards</t>
  </si>
  <si>
    <t>Excludes WBB subs from Q1 17 onwards</t>
  </si>
  <si>
    <t xml:space="preserve">Mobile + Fibre + Enterprise </t>
  </si>
  <si>
    <t>Service revenue change &gt;</t>
  </si>
  <si>
    <t>Fibre</t>
  </si>
  <si>
    <t>Mobile = Prepaid + postpaid</t>
  </si>
  <si>
    <t>Linked to Malaysian Enterprise model</t>
  </si>
  <si>
    <t>Low to MSD</t>
  </si>
  <si>
    <t>ROIC workings</t>
  </si>
  <si>
    <t>Group</t>
  </si>
  <si>
    <t>Less: D&amp;A</t>
  </si>
  <si>
    <t>Less: Taxes</t>
  </si>
  <si>
    <t>=EBIT(1-T)</t>
  </si>
  <si>
    <t>5Y rolling average capex * 5</t>
  </si>
  <si>
    <t>ROIC1</t>
  </si>
  <si>
    <t>ROIC2</t>
  </si>
  <si>
    <t>Invested Capital</t>
  </si>
  <si>
    <t>ROIC = EBIT(1-T)/5Y rolling capex</t>
  </si>
  <si>
    <t>ROIC = EBIT(1-T)/Invested capital</t>
  </si>
  <si>
    <t>Q3 22</t>
  </si>
  <si>
    <t>Q4 22</t>
  </si>
  <si>
    <t>BUY</t>
  </si>
  <si>
    <t>MYR 5.6</t>
  </si>
  <si>
    <t>Mobile Enterprise</t>
  </si>
  <si>
    <t>Fixed &amp; Solutions</t>
  </si>
  <si>
    <t>Q1 23</t>
  </si>
  <si>
    <t>Home connections</t>
  </si>
  <si>
    <t>Fibre ARPU</t>
  </si>
  <si>
    <t>Restated &gt;</t>
  </si>
  <si>
    <t>© 2023 New Street Research LLP. All rights reserved.</t>
  </si>
  <si>
    <t>This report was produced by New Street Research LLP | 100 Bishopsgate, 18th Floor |London EC2M 1GT| T:+44 20 7375 9140</t>
  </si>
  <si>
    <t>Others</t>
  </si>
  <si>
    <t>Non-service revenue</t>
  </si>
  <si>
    <t xml:space="preserve">New reporting </t>
  </si>
  <si>
    <t>Postpaid</t>
  </si>
  <si>
    <t>Home Connectivity</t>
  </si>
  <si>
    <t>WBB - Wireless broadband</t>
  </si>
  <si>
    <t>Consumer Revenue</t>
  </si>
  <si>
    <t>Mobile</t>
  </si>
  <si>
    <t>Enterprise Revenue</t>
  </si>
  <si>
    <t>Profit before tax</t>
  </si>
  <si>
    <t>Share price</t>
  </si>
  <si>
    <t>(x) shares</t>
  </si>
  <si>
    <t>Market cap</t>
  </si>
  <si>
    <t>Enterprise Value</t>
  </si>
  <si>
    <t>(+) Net debt</t>
  </si>
  <si>
    <t>Rolling EV/EBITDA</t>
  </si>
  <si>
    <t>1Y forward valuation</t>
  </si>
  <si>
    <t>Rolling P/E</t>
  </si>
  <si>
    <t>Financials - NSRe</t>
  </si>
  <si>
    <t>Outstanding shares</t>
  </si>
  <si>
    <t>+ new shares issued</t>
  </si>
  <si>
    <t>- shares repurchased</t>
  </si>
  <si>
    <t>Date</t>
  </si>
  <si>
    <t>Last Price</t>
  </si>
  <si>
    <t>Volume</t>
  </si>
  <si>
    <t>SMAVG (15)</t>
  </si>
  <si>
    <t>Revised dates to account for weekends</t>
  </si>
  <si>
    <t>NSRe net debt; FY22 would use FY23E figure</t>
  </si>
  <si>
    <t>NPV</t>
  </si>
  <si>
    <t>Prepaid mobile revenue</t>
  </si>
  <si>
    <t>x Average subscribers</t>
  </si>
  <si>
    <t>Postpaid mobile revenue</t>
  </si>
  <si>
    <t>Total mobile service revenue</t>
  </si>
  <si>
    <t>Reported mobile service revenue</t>
  </si>
  <si>
    <t>Mobile service revenue</t>
  </si>
  <si>
    <t>KPIs</t>
  </si>
  <si>
    <t>Fibre home subscribers</t>
  </si>
  <si>
    <t>Average fibre home subs</t>
  </si>
  <si>
    <t>Fibre revenue</t>
  </si>
  <si>
    <t>Fibre net adds</t>
  </si>
  <si>
    <t>Pasted as values from industry model</t>
  </si>
  <si>
    <t>Reported fibre revenue</t>
  </si>
  <si>
    <t>Linked to Enterprise growth in our industry model</t>
  </si>
  <si>
    <t>Elimination</t>
  </si>
  <si>
    <t>Guidance</t>
  </si>
  <si>
    <t>Flat to LSD increase</t>
  </si>
  <si>
    <t>RM3.9bn</t>
  </si>
  <si>
    <t>RM1.1bn</t>
  </si>
  <si>
    <t xml:space="preserve">Revenue analysis </t>
  </si>
  <si>
    <t xml:space="preserve">Per share items </t>
  </si>
  <si>
    <t>% contribution to incremental service revenue growth</t>
  </si>
  <si>
    <t>% of service revenue</t>
  </si>
  <si>
    <t>Consumer revenue</t>
  </si>
  <si>
    <t>Enterprise revenue</t>
  </si>
  <si>
    <t>Fibre ARPU/Postpaid ARPU</t>
  </si>
  <si>
    <t>Summary</t>
  </si>
  <si>
    <t>Figures in MYR m, except subscribers in '000</t>
  </si>
  <si>
    <t>Prepaid service revenue</t>
  </si>
  <si>
    <t>Postpaid service revenue</t>
  </si>
  <si>
    <t>Enterprise service revenue</t>
  </si>
  <si>
    <t xml:space="preserve">Mobile Service Revenue </t>
  </si>
  <si>
    <t>Maxis revenue in enterprise model</t>
  </si>
  <si>
    <t xml:space="preserve">% change </t>
  </si>
  <si>
    <t>Calculated prepaid mobile revenue</t>
  </si>
  <si>
    <t>Reported prepaid mobile revenue</t>
  </si>
  <si>
    <t>Calculated postpaid mobile revenue</t>
  </si>
  <si>
    <t>Reported postpaid mobile revenue</t>
  </si>
  <si>
    <t>Operating costs</t>
  </si>
  <si>
    <t>Cost of devices</t>
  </si>
  <si>
    <t>Forecast</t>
  </si>
  <si>
    <t>/ Shares outstanding</t>
  </si>
  <si>
    <t>NSR target</t>
  </si>
  <si>
    <t>Implied P/E</t>
  </si>
  <si>
    <t>Implied based on current price</t>
  </si>
  <si>
    <t>EBIT margin</t>
  </si>
  <si>
    <t>Q2 23</t>
  </si>
  <si>
    <t>Q3 23</t>
  </si>
  <si>
    <t>Add dividend</t>
  </si>
  <si>
    <t>(-) net debt</t>
  </si>
  <si>
    <t>Fixed broadband</t>
  </si>
  <si>
    <t>Operator subs ('000)</t>
  </si>
  <si>
    <t>FBB capex</t>
  </si>
  <si>
    <t>Corporate customers</t>
  </si>
  <si>
    <t xml:space="preserve">Guidance </t>
  </si>
  <si>
    <t>Unchange</t>
  </si>
  <si>
    <t>Guidance - service revenue</t>
  </si>
  <si>
    <t xml:space="preserve">LSD </t>
  </si>
  <si>
    <t>Unchanged</t>
  </si>
  <si>
    <t>&lt;RM 1bn</t>
  </si>
  <si>
    <t>Government grants and other income, net</t>
  </si>
  <si>
    <t>Spectrum licence fees</t>
  </si>
  <si>
    <t>Consumer</t>
  </si>
  <si>
    <t xml:space="preserve">Enterprise </t>
  </si>
  <si>
    <t>Implied % change</t>
  </si>
  <si>
    <t>Implied margin</t>
  </si>
  <si>
    <t>Q4 23</t>
  </si>
  <si>
    <t>Derivative financial instruments + Taxation</t>
  </si>
  <si>
    <t>x</t>
  </si>
  <si>
    <t>WC</t>
  </si>
  <si>
    <t>SL</t>
  </si>
  <si>
    <t>Net Financial Charges</t>
  </si>
  <si>
    <t>Sum</t>
  </si>
  <si>
    <t>Average</t>
  </si>
  <si>
    <t>Running Total</t>
  </si>
  <si>
    <t>Count</t>
  </si>
  <si>
    <t>(-) Adjusted tax</t>
  </si>
  <si>
    <t>(-) Capex</t>
  </si>
  <si>
    <t>(-) Spectrum</t>
  </si>
  <si>
    <t>(-) Changes in Working capital</t>
  </si>
  <si>
    <t>Balance sheet, RM m</t>
  </si>
  <si>
    <t>(-) Adjusted taxes</t>
  </si>
  <si>
    <t>NOPAT</t>
  </si>
  <si>
    <t>&lt; 1bn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</si>
</sst>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5">
    <numFmt numFmtId="6" formatCode="&quot;$&quot;#,##0;[Red]\-&quot;$&quot;#,##0"/>
    <numFmt numFmtId="8" formatCode="&quot;$&quot;#,##0.00;[Red]\-&quot;$&quot;#,##0.00"/>
    <numFmt numFmtId="42" formatCode="_-&quot;$&quot;* #,##0_-;\-&quot;$&quot;* #,##0_-;_-&quot;$&quot;* &quot;-&quot;_-;_-@_-"/>
    <numFmt numFmtId="41" formatCode="_-* #,##0_-;\-* #,##0_-;_-* &quot;-&quot;_-;_-@_-"/>
    <numFmt numFmtId="43" formatCode="_-* #,##0.00_-;\-* #,##0.00_-;_-* &quot;-&quot;??_-;_-@_-"/>
    <numFmt numFmtId="164" formatCode="0_ ;\-0\ "/>
    <numFmt numFmtId="165" formatCode="_-* #,##0.0_-;\-* #,##0.0_-;_-* &quot;-&quot;??_-;_-@_-"/>
    <numFmt numFmtId="166" formatCode="_-* #,##0_-;\-* #,##0_-;_-* &quot;-&quot;??_-;_-@_-"/>
    <numFmt numFmtId="167" formatCode="0.0%"/>
    <numFmt numFmtId="168" formatCode="0.0"/>
    <numFmt numFmtId="169" formatCode="#,##0.0"/>
    <numFmt numFmtId="170" formatCode="#,##0.0%;[Red]\-#,##0.0%;0.0%;@_)"/>
    <numFmt numFmtId="171" formatCode="#,##0.00_);[Red]\-#,##0.00_);0.00_);@_)"/>
    <numFmt numFmtId="172" formatCode="0.0000"/>
    <numFmt numFmtId="173" formatCode="#,##0.0_ ;[Red]\-#,##0.0\ "/>
    <numFmt numFmtId="174" formatCode="_(* #,##0.0_);_(* \(#,##0.0\);_(* &quot;-&quot;_);_(@_)"/>
    <numFmt numFmtId="175" formatCode="_(* #,##0_);_(* \(#,##0\);_(* &quot;-&quot;_);_(@_)"/>
    <numFmt numFmtId="176" formatCode="_-* #,##0.0_-;\-* #,##0.0_-;_-* &quot;-&quot;?_-;_-@_-"/>
    <numFmt numFmtId="177" formatCode="_-* #,##0.000_-;\-* #,##0.000_-;_-* &quot;-&quot;??_-;_-@_-"/>
    <numFmt numFmtId="178" formatCode="#,##0_);[Red]\-#,##0_);0_);@_)"/>
    <numFmt numFmtId="179" formatCode="#,##0.0_);[Red]\-#,##0.0_);0.0_);@_)"/>
    <numFmt numFmtId="180" formatCode="0.000"/>
    <numFmt numFmtId="181" formatCode="0.0\x"/>
    <numFmt numFmtId="182" formatCode="#,##0.000"/>
    <numFmt numFmtId="183" formatCode="#,##0;\(#,##0\)"/>
    <numFmt numFmtId="184" formatCode="_([$€-2]* #,##0.00_);_([$€-2]* \(#,##0.00\);_([$€-2]* &quot;-&quot;??_)"/>
    <numFmt numFmtId="185" formatCode="####&quot;E&quot;"/>
    <numFmt numFmtId="186" formatCode="0.00_);\(0.00\);0.00"/>
    <numFmt numFmtId="187" formatCode="0.00_);\(0.00\);0.00_)"/>
    <numFmt numFmtId="188" formatCode="0.00\%;\-0.00\%;0.00\%"/>
    <numFmt numFmtId="189" formatCode="0.00\x;\-0.00\x;0.00\x"/>
    <numFmt numFmtId="190" formatCode="#,##0%;[Red]\-#,##0%;0%;@_)"/>
    <numFmt numFmtId="191" formatCode="#,##0.00%;[Red]\-#,##0.00%;0.00%;@_)"/>
    <numFmt numFmtId="192" formatCode="* _(#,##0.00_);[Red]* \(#,##0.00\);* _(&quot;-&quot;?_);@_)"/>
    <numFmt numFmtId="193" formatCode="\€\ * _(#,##0_);[Red]\€\ * \(#,##0\);\€\ * _(&quot;-&quot;?_);@_)"/>
    <numFmt numFmtId="194" formatCode="\€\ * _(#,##0.00_);[Red]\€\ * \(#,##0.00\);\€\ * _(&quot;-&quot;?_);@_)"/>
    <numFmt numFmtId="195" formatCode="[$EUR]\ * _(#,##0_);[Red][$EUR]\ * \(#,##0\);[$EUR]\ * _(&quot;-&quot;?_);@_)"/>
    <numFmt numFmtId="196" formatCode="[$EUR]\ * _(#,##0.00_);[Red][$EUR]\ * \(#,##0.00\);[$EUR]\ * _(&quot;-&quot;?_);@_)"/>
    <numFmt numFmtId="197" formatCode="\$\ * _(#,##0_);[Red]\$\ * \(#,##0\);\$\ * _(&quot;-&quot;?_);@_)"/>
    <numFmt numFmtId="198" formatCode="\$\ * _(#,##0.00_);[Red]\$\ * \(#,##0.00\);\$\ * _(&quot;-&quot;?_);@_)"/>
    <numFmt numFmtId="199" formatCode="[$USD]\ * _(#,##0_);[Red][$USD]\ * \(#,##0\);[$USD]\ * _(&quot;-&quot;?_);@_)"/>
    <numFmt numFmtId="200" formatCode="[$USD]\ * _(#,##0.00_);[Red][$USD]\ * \(#,##0.00\);[$USD]\ * _(&quot;-&quot;?_);@_)"/>
    <numFmt numFmtId="201" formatCode="\£\ * _(#,##0_);[Red]\£\ * \(#,##0\);\£\ * _(&quot;-&quot;?_);@_)"/>
    <numFmt numFmtId="202" formatCode="\£\ * _(#,##0.00_);[Red]\£\ * \(#,##0.00\);\£\ * _(&quot;-&quot;?_);@_)"/>
    <numFmt numFmtId="203" formatCode="[$GBP]\ * _(#,##0_);[Red][$GBP]\ * \(#,##0\);[$GBP]\ * _(&quot;-&quot;?_);@_)"/>
    <numFmt numFmtId="204" formatCode="[$GBP]\ * _(#,##0.00_);[Red][$GBP]\ * \(#,##0.00\);[$GBP]\ * _(&quot;-&quot;?_);@_)"/>
    <numFmt numFmtId="205" formatCode="mmm\ yy_)"/>
    <numFmt numFmtId="206" formatCode="yyyy_)"/>
    <numFmt numFmtId="207" formatCode="0.0000%"/>
    <numFmt numFmtId="208" formatCode="0.0000000"/>
    <numFmt numFmtId="209" formatCode="#,##0.0\ ;\(#,##0.0\)"/>
    <numFmt numFmtId="210" formatCode="dd\-mm\-yy"/>
    <numFmt numFmtId="211" formatCode="&quot;*&quot;0&quot;#&quot;"/>
    <numFmt numFmtId="212" formatCode="#,##0.0_);\(#,##0.0\)"/>
    <numFmt numFmtId="213" formatCode="0;\(#\)"/>
    <numFmt numFmtId="214" formatCode="dd\ mmm\ yy_)"/>
    <numFmt numFmtId="215" formatCode="##0.00000"/>
    <numFmt numFmtId="216" formatCode="_-\€* #,##0_-;\-\€* #,##0_-;_-\€* &quot;-&quot;_-;_-@_-"/>
    <numFmt numFmtId="217" formatCode="_-\€* #,##0.00_-;\-\€* #,##0.00_-;_-\€* &quot;-&quot;??_-;_-@_-"/>
    <numFmt numFmtId="218" formatCode="0.0_ ;[Red]\-0.0\ "/>
    <numFmt numFmtId="219" formatCode="_-* #,##0&quot; F&quot;_-;\-* #,##0&quot; F&quot;_-;_-* &quot;-&quot;&quot; F&quot;_-;_-@_-"/>
    <numFmt numFmtId="220" formatCode="_-* #,##0_ _F_-;\-* #,##0_ _F_-;_-* &quot;-&quot;_ _F_-;_-@_-"/>
    <numFmt numFmtId="221" formatCode="_-* #,##0.00&quot; F&quot;_-;\-* #,##0.00&quot; F&quot;_-;_-* &quot;-&quot;??&quot; F&quot;_-;_-@_-"/>
    <numFmt numFmtId="222" formatCode="_-* #,##0.00_ _F_-;\-* #,##0.00_ _F_-;_-* &quot;-&quot;??_ _F_-;_-@_-"/>
    <numFmt numFmtId="223" formatCode="#,##0.0;\(#,##0.0\)"/>
    <numFmt numFmtId="224" formatCode="00000"/>
    <numFmt numFmtId="225" formatCode="0.00%_);\(0.00%\)"/>
    <numFmt numFmtId="226" formatCode="0.0%_);\(0.0%\)"/>
    <numFmt numFmtId="227" formatCode="0_);\(0\)"/>
    <numFmt numFmtId="228" formatCode="#,##0_);\(#,##0\);0_)"/>
    <numFmt numFmtId="229" formatCode="#,##0.0000_);[Red]\(#,##0.0000\);0.0000_)"/>
    <numFmt numFmtId="230" formatCode="#,##0.00_);[Red]\(#,##0.00\);0.00_)"/>
    <numFmt numFmtId="231" formatCode="#,##0.00_)&quot; F&quot;;[Red]\(#,##0.00\)&quot; F&quot;;0.00_)&quot; F&quot;"/>
    <numFmt numFmtId="232" formatCode="0&quot;E&quot;;\(0\)&quot;E&quot;"/>
    <numFmt numFmtId="233" formatCode="#,##0_);\(#,##0\);;"/>
    <numFmt numFmtId="234" formatCode="0%;[Red]\-0%"/>
    <numFmt numFmtId="235" formatCode="0\.00%;[Red]\-0\.00%"/>
    <numFmt numFmtId="236" formatCode="#,##0,;\-#,##0,"/>
    <numFmt numFmtId="237" formatCode="_ * #,##0_ ;_ * &quot;₩&quot;&quot;₩&quot;&quot;₩&quot;&quot;₩&quot;&quot;₩&quot;&quot;₩&quot;\-#,##0_ ;_ * &quot;-&quot;_ ;_ @_ "/>
    <numFmt numFmtId="238" formatCode="#,##0;[Red]&quot;₩&quot;&quot;₩&quot;&quot;₩&quot;&quot;₩&quot;&quot;₩&quot;&quot;₩&quot;\(#,##0&quot;₩&quot;&quot;₩&quot;&quot;₩&quot;&quot;₩&quot;&quot;₩&quot;&quot;₩&quot;\)"/>
    <numFmt numFmtId="239" formatCode="#,##0.0;[Red]&quot;₩&quot;&quot;₩&quot;&quot;₩&quot;&quot;₩&quot;&quot;₩&quot;&quot;₩&quot;\(#,##0.0&quot;₩&quot;&quot;₩&quot;&quot;₩&quot;&quot;₩&quot;&quot;₩&quot;&quot;₩&quot;\)"/>
    <numFmt numFmtId="240" formatCode="#,##0.00%;[Red]&quot;₩&quot;&quot;₩&quot;&quot;₩&quot;&quot;₩&quot;&quot;₩&quot;&quot;₩&quot;\(#,##0.00%&quot;₩&quot;&quot;₩&quot;&quot;₩&quot;&quot;₩&quot;&quot;₩&quot;&quot;₩&quot;\)"/>
    <numFmt numFmtId="241" formatCode="&quot;$&quot;#.##0_);&quot;₩&quot;&quot;₩&quot;&quot;₩&quot;&quot;₩&quot;&quot;₩&quot;&quot;₩&quot;\(&quot;$&quot;#.##0&quot;₩&quot;&quot;₩&quot;&quot;₩&quot;&quot;₩&quot;&quot;₩&quot;&quot;₩&quot;\)"/>
    <numFmt numFmtId="242" formatCode="_-[$€-2]* #,##0.00_-;\-[$€-2]* #,##0.00_-;_-[$€-2]* &quot;-&quot;??_-"/>
    <numFmt numFmtId="243" formatCode="_ * #,##0_ ;_ * \-#,##0_ ;_ * &quot;-&quot;_ ;_ @_ "/>
    <numFmt numFmtId="244" formatCode="_ * #,##0.00_ ;_ * \-#,##0.00_ ;_ * &quot;-&quot;??_ ;_ @_ "/>
    <numFmt numFmtId="245" formatCode="&quot;₩&quot;#,##0;&quot;₩&quot;\-#,##0"/>
    <numFmt numFmtId="246" formatCode="&quot;$&quot;_(#,##0.00_);&quot;$&quot;\(#,##0.00\)"/>
    <numFmt numFmtId="247" formatCode="#,##0.0_)\x;\(#,##0.0\)\x"/>
    <numFmt numFmtId="248" formatCode="#,##0.0_)_x;\(#,##0.0\)_x"/>
    <numFmt numFmtId="249" formatCode="0.0_)\%;\(0.0\)\%"/>
    <numFmt numFmtId="250" formatCode="#,##0.0_)_%;\(#,##0.0\)_%"/>
    <numFmt numFmtId="251" formatCode="0.000%"/>
    <numFmt numFmtId="252" formatCode="#,##0.00\ &quot;Kč&quot;;[Red]\-#,##0.00\ &quot;Kč&quot;"/>
    <numFmt numFmtId="253" formatCode="#,##0.000_);[Red]\(#,##0.000\)"/>
    <numFmt numFmtId="254" formatCode="0.0%_);\(0.0%\)_)"/>
    <numFmt numFmtId="255" formatCode="&quot;$&quot;#,##0.00000000000000000000000000_);[Red]\(&quot;$&quot;#,##0.00000000000000000000000000\)"/>
    <numFmt numFmtId="256" formatCode="#,##0.000;\(#,##0.000\)"/>
    <numFmt numFmtId="257" formatCode="#,##0.00;\(#,##0.00\)"/>
    <numFmt numFmtId="258" formatCode="yyyy"/>
    <numFmt numFmtId="259" formatCode="&quot;$&quot;#,##0.00&quot;A&quot;;[Red]\(&quot;$&quot;#,##0.00\)&quot;A&quot;"/>
    <numFmt numFmtId="260" formatCode="&quot;$&quot;#,##0.00&quot;E&quot;;[Red]\(&quot;$&quot;#,##0.00\)&quot;E&quot;"/>
    <numFmt numFmtId="261" formatCode="#\ ##0.0"/>
    <numFmt numFmtId="262" formatCode="#,##0.0_);[Red]\(#,##0.0\)"/>
    <numFmt numFmtId="263" formatCode="0.0%_);[Red]\(0.0%\)"/>
    <numFmt numFmtId="264" formatCode="0.00%;\(0.00%\)"/>
    <numFmt numFmtId="265" formatCode="###0"/>
    <numFmt numFmtId="266" formatCode="General_)"/>
    <numFmt numFmtId="267" formatCode="_-* #,##0.00\ _K_č_-;\-* #,##0.00\ _K_č_-;_-* &quot;-&quot;??\ _K_č_-;_-@_-"/>
    <numFmt numFmtId="268" formatCode="#.0"/>
    <numFmt numFmtId="269" formatCode="&quot;kr&quot;\ #,##0_);[Red]\(&quot;kr&quot;\ #,##0\)"/>
    <numFmt numFmtId="270" formatCode="#,##0.00_)\ \x;\(#,##0.00\)\ \x"/>
    <numFmt numFmtId="271" formatCode="&quot;kr&quot;\ #,##0.00_);[Red]\(&quot;kr&quot;\ #,##0.00\)"/>
    <numFmt numFmtId="272" formatCode="#,##0.00\ ;\(#,##0.00\)"/>
    <numFmt numFmtId="273" formatCode="#,##0;\(#,##0\);&quot;--&quot;_)"/>
  </numFmts>
  <fonts count="175">
    <font>
      <sz val="11"/>
      <color theme="1"/>
      <name val="Calibri"/>
      <family val="2"/>
      <scheme val="minor"/>
    </font>
    <font>
      <sz val="11"/>
      <color theme="1"/>
      <name val="Calibri"/>
      <family val="2"/>
      <scheme val="minor"/>
    </font>
    <font>
      <sz val="10"/>
      <name val="Arial"/>
      <family val="2"/>
    </font>
    <font>
      <sz val="10"/>
      <name val="Trebuchet MS"/>
      <family val="2"/>
    </font>
    <font>
      <b/>
      <sz val="10"/>
      <name val="Trebuchet MS"/>
      <family val="2"/>
    </font>
    <font>
      <sz val="10"/>
      <name val="MS Sans Serif"/>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0"/>
      <name val="Arial"/>
      <family val="2"/>
    </font>
    <font>
      <b/>
      <sz val="10"/>
      <color indexed="9"/>
      <name val="Arial"/>
      <family val="2"/>
    </font>
    <font>
      <i/>
      <sz val="10"/>
      <name val="Arial"/>
      <family val="2"/>
    </font>
    <font>
      <sz val="10"/>
      <color theme="1"/>
      <name val="Arial"/>
      <family val="2"/>
    </font>
    <font>
      <sz val="10"/>
      <color indexed="9"/>
      <name val="Trebuchet MS"/>
      <family val="2"/>
    </font>
    <font>
      <b/>
      <sz val="12"/>
      <color indexed="9"/>
      <name val="Trebuchet MS"/>
      <family val="2"/>
    </font>
    <font>
      <b/>
      <sz val="8"/>
      <color indexed="9"/>
      <name val="Trebuchet MS"/>
      <family val="2"/>
    </font>
    <font>
      <b/>
      <sz val="10"/>
      <color indexed="48"/>
      <name val="Trebuchet MS"/>
      <family val="2"/>
    </font>
    <font>
      <sz val="10"/>
      <color indexed="48"/>
      <name val="Trebuchet MS"/>
      <family val="2"/>
    </font>
    <font>
      <sz val="10"/>
      <color indexed="48"/>
      <name val="Arial"/>
      <family val="2"/>
    </font>
    <font>
      <sz val="8"/>
      <name val="Trebuchet MS"/>
      <family val="2"/>
    </font>
    <font>
      <b/>
      <sz val="8"/>
      <name val="Trebuchet MS"/>
      <family val="2"/>
    </font>
    <font>
      <b/>
      <sz val="10"/>
      <color rgb="FF000000"/>
      <name val="Trebuchet MS"/>
      <family val="2"/>
    </font>
    <font>
      <sz val="10"/>
      <color rgb="FF000000"/>
      <name val="Trebuchet MS"/>
      <family val="2"/>
    </font>
    <font>
      <sz val="10"/>
      <color indexed="52"/>
      <name val="Trebuchet MS"/>
      <family val="2"/>
    </font>
    <font>
      <u/>
      <sz val="11"/>
      <color theme="10"/>
      <name val="Calibri"/>
      <family val="2"/>
      <scheme val="minor"/>
    </font>
    <font>
      <b/>
      <sz val="11"/>
      <color theme="1"/>
      <name val="Calibri"/>
      <family val="2"/>
      <scheme val="minor"/>
    </font>
    <font>
      <b/>
      <sz val="10"/>
      <color theme="0"/>
      <name val="Arial"/>
      <family val="2"/>
    </font>
    <font>
      <b/>
      <sz val="10"/>
      <color theme="0"/>
      <name val="Roboto"/>
    </font>
    <font>
      <b/>
      <sz val="10"/>
      <name val="Roboto"/>
    </font>
    <font>
      <sz val="10"/>
      <color rgb="FF0000FF"/>
      <name val="Arial"/>
      <family val="2"/>
    </font>
    <font>
      <sz val="10"/>
      <name val="Roboto"/>
    </font>
    <font>
      <sz val="10"/>
      <color theme="1"/>
      <name val="Roboto"/>
    </font>
    <font>
      <b/>
      <sz val="11"/>
      <color rgb="FF0000FF"/>
      <name val="Calibri"/>
      <family val="2"/>
      <scheme val="minor"/>
    </font>
    <font>
      <sz val="11"/>
      <color rgb="FF0000FF"/>
      <name val="Calibri"/>
      <family val="2"/>
      <scheme val="minor"/>
    </font>
    <font>
      <b/>
      <sz val="11"/>
      <name val="Calibri"/>
      <family val="2"/>
      <scheme val="minor"/>
    </font>
    <font>
      <sz val="11"/>
      <name val="Calibri"/>
      <family val="2"/>
      <scheme val="minor"/>
    </font>
    <font>
      <i/>
      <sz val="10"/>
      <name val="Roboto"/>
    </font>
    <font>
      <sz val="10"/>
      <color rgb="FF0000FF"/>
      <name val="Roboto"/>
    </font>
    <font>
      <b/>
      <sz val="10"/>
      <color rgb="FF0000FF"/>
      <name val="Roboto"/>
    </font>
    <font>
      <b/>
      <sz val="10"/>
      <color rgb="FF00B0F0"/>
      <name val="Roboto"/>
    </font>
    <font>
      <sz val="10"/>
      <color rgb="FFFF0000"/>
      <name val="Roboto"/>
    </font>
    <font>
      <b/>
      <sz val="10"/>
      <color rgb="FFFF0000"/>
      <name val="Roboto"/>
    </font>
    <font>
      <b/>
      <sz val="10"/>
      <color rgb="FF00B050"/>
      <name val="Roboto"/>
    </font>
    <font>
      <sz val="10"/>
      <color rgb="FF00B0F0"/>
      <name val="Roboto"/>
    </font>
    <font>
      <sz val="10"/>
      <color rgb="FFC00000"/>
      <name val="Roboto"/>
    </font>
    <font>
      <b/>
      <sz val="10"/>
      <color theme="1"/>
      <name val="Roboto"/>
    </font>
    <font>
      <sz val="10"/>
      <name val="Arial Narrow"/>
      <family val="2"/>
    </font>
    <font>
      <b/>
      <sz val="22"/>
      <name val="Arial"/>
      <family val="2"/>
    </font>
    <font>
      <sz val="9"/>
      <name val="Arial"/>
      <family val="2"/>
    </font>
    <font>
      <i/>
      <sz val="9"/>
      <color indexed="16"/>
      <name val="Arial"/>
      <family val="2"/>
    </font>
    <font>
      <sz val="8"/>
      <name val="Helvetica"/>
      <family val="2"/>
    </font>
    <font>
      <sz val="10"/>
      <name val="Frutiger 45 Light"/>
      <family val="2"/>
    </font>
    <font>
      <sz val="24"/>
      <name val="MS Sans Serif"/>
      <family val="2"/>
    </font>
    <font>
      <sz val="9"/>
      <color indexed="18"/>
      <name val="Arial"/>
      <family val="2"/>
    </font>
    <font>
      <sz val="10"/>
      <name val="Times New Roman"/>
      <family val="1"/>
    </font>
    <font>
      <sz val="10"/>
      <color indexed="12"/>
      <name val="Times New Roman"/>
      <family val="1"/>
    </font>
    <font>
      <sz val="10"/>
      <color indexed="12"/>
      <name val="Arial"/>
      <family val="2"/>
    </font>
    <font>
      <b/>
      <sz val="10"/>
      <name val="MS Sans Serif"/>
      <family val="2"/>
    </font>
    <font>
      <sz val="10"/>
      <name val="Geneva"/>
    </font>
    <font>
      <sz val="10"/>
      <color indexed="23"/>
      <name val="MS Sans Serif"/>
      <family val="2"/>
    </font>
    <font>
      <b/>
      <sz val="12"/>
      <name val="MS Sans Serif"/>
      <family val="2"/>
    </font>
    <font>
      <b/>
      <sz val="10"/>
      <name val="Times New Roman"/>
      <family val="1"/>
    </font>
    <font>
      <b/>
      <sz val="12"/>
      <name val="Arial"/>
      <family val="2"/>
    </font>
    <font>
      <i/>
      <sz val="9"/>
      <color indexed="55"/>
      <name val="Arial"/>
      <family val="2"/>
    </font>
    <font>
      <b/>
      <sz val="9"/>
      <name val="Arial"/>
      <family val="2"/>
    </font>
    <font>
      <b/>
      <sz val="18"/>
      <name val="Arial"/>
      <family val="2"/>
    </font>
    <font>
      <b/>
      <sz val="14"/>
      <name val="Arial"/>
      <family val="2"/>
    </font>
    <font>
      <sz val="11"/>
      <name val="ＭＳ Ｐゴシック"/>
      <family val="2"/>
      <charset val="128"/>
    </font>
    <font>
      <sz val="8"/>
      <color indexed="12"/>
      <name val="Arial"/>
      <family val="2"/>
    </font>
    <font>
      <b/>
      <sz val="8"/>
      <color indexed="10"/>
      <name val="Tms Rmn"/>
      <family val="1"/>
    </font>
    <font>
      <sz val="9"/>
      <color indexed="12"/>
      <name val="Times New Roman"/>
      <family val="1"/>
    </font>
    <font>
      <sz val="8"/>
      <name val="Times New Roman"/>
      <family val="1"/>
    </font>
    <font>
      <b/>
      <sz val="12"/>
      <color indexed="10"/>
      <name val="FrankfurtGothic"/>
      <family val="2"/>
    </font>
    <font>
      <sz val="10"/>
      <name val="Palatino"/>
      <family val="1"/>
    </font>
    <font>
      <sz val="8"/>
      <color indexed="12"/>
      <name val="Helv"/>
      <family val="2"/>
    </font>
    <font>
      <i/>
      <sz val="10"/>
      <name val="Times New Roman"/>
      <family val="1"/>
    </font>
    <font>
      <sz val="8"/>
      <color indexed="16"/>
      <name val="Helv"/>
      <family val="2"/>
    </font>
    <font>
      <b/>
      <sz val="8"/>
      <color indexed="10"/>
      <name val="FrankfurtGothic"/>
      <family val="2"/>
    </font>
    <font>
      <sz val="12"/>
      <name val="Times New Roman"/>
      <family val="1"/>
    </font>
    <font>
      <sz val="12"/>
      <name val="Arial"/>
      <family val="2"/>
    </font>
    <font>
      <b/>
      <sz val="12"/>
      <name val="Helv"/>
    </font>
    <font>
      <sz val="10"/>
      <color indexed="10"/>
      <name val="Times New Roman"/>
      <family val="1"/>
    </font>
    <font>
      <sz val="12"/>
      <color indexed="10"/>
      <name val="Times New Roman"/>
      <family val="1"/>
    </font>
    <font>
      <sz val="12"/>
      <color indexed="14"/>
      <name val="Times New Roman"/>
      <family val="1"/>
    </font>
    <font>
      <b/>
      <sz val="10"/>
      <name val="Helv"/>
    </font>
    <font>
      <b/>
      <sz val="18"/>
      <name val="Times New Roman"/>
      <family val="1"/>
    </font>
    <font>
      <i/>
      <sz val="12"/>
      <color indexed="10"/>
      <name val="Times New Roman"/>
      <family val="1"/>
    </font>
    <font>
      <i/>
      <sz val="10"/>
      <name val="Helv"/>
    </font>
    <font>
      <sz val="12"/>
      <color indexed="12"/>
      <name val="Times New Roman"/>
      <family val="1"/>
    </font>
    <font>
      <b/>
      <sz val="14"/>
      <name val="Times New Roman"/>
      <family val="1"/>
    </font>
    <font>
      <b/>
      <sz val="8"/>
      <name val="Arial"/>
      <family val="2"/>
    </font>
    <font>
      <sz val="8"/>
      <color indexed="12"/>
      <name val="Tms Rmn"/>
      <family val="1"/>
    </font>
    <font>
      <sz val="10"/>
      <color indexed="18"/>
      <name val="Times New Roman"/>
      <family val="1"/>
    </font>
    <font>
      <sz val="10"/>
      <name val="Helv"/>
    </font>
    <font>
      <sz val="12"/>
      <name val="Helv"/>
    </font>
    <font>
      <sz val="10"/>
      <color indexed="2"/>
      <name val="Tahoma"/>
      <family val="2"/>
    </font>
    <font>
      <b/>
      <sz val="10"/>
      <color indexed="0"/>
      <name val="Tahoma"/>
      <family val="2"/>
    </font>
    <font>
      <sz val="10"/>
      <name val="Tahoma"/>
      <family val="2"/>
    </font>
    <font>
      <b/>
      <i/>
      <sz val="10"/>
      <color indexed="4"/>
      <name val="Tahoma"/>
      <family val="2"/>
    </font>
    <font>
      <sz val="10"/>
      <color indexed="4"/>
      <name val="Tahoma"/>
      <family val="2"/>
    </font>
    <font>
      <u val="singleAccounting"/>
      <sz val="10"/>
      <name val="Arial"/>
      <family val="2"/>
    </font>
    <font>
      <u val="doubleAccounting"/>
      <sz val="10"/>
      <name val="Arial"/>
      <family val="2"/>
    </font>
    <font>
      <b/>
      <sz val="7"/>
      <color indexed="12"/>
      <name val="Arial"/>
      <family val="2"/>
    </font>
    <font>
      <sz val="8"/>
      <color indexed="10"/>
      <name val="Helv"/>
    </font>
    <font>
      <sz val="10"/>
      <color indexed="16"/>
      <name val="MS Sans Serif"/>
      <family val="2"/>
    </font>
    <font>
      <sz val="7"/>
      <color indexed="12"/>
      <name val="Arial"/>
      <family val="2"/>
    </font>
    <font>
      <sz val="8"/>
      <name val="COUR"/>
    </font>
    <font>
      <b/>
      <sz val="10"/>
      <name val="Helv"/>
      <family val="2"/>
    </font>
    <font>
      <sz val="11"/>
      <name val="돋움"/>
      <family val="3"/>
      <charset val="129"/>
    </font>
    <font>
      <sz val="12"/>
      <name val="바탕체"/>
      <family val="1"/>
      <charset val="129"/>
    </font>
    <font>
      <b/>
      <sz val="12"/>
      <name val="Helv"/>
      <family val="2"/>
    </font>
    <font>
      <b/>
      <sz val="11"/>
      <name val="Helv"/>
      <family val="2"/>
    </font>
    <font>
      <sz val="9"/>
      <name val="굴림"/>
      <family val="3"/>
      <charset val="129"/>
    </font>
    <font>
      <sz val="10"/>
      <color theme="1"/>
      <name val="Calibri"/>
      <family val="3"/>
      <charset val="129"/>
      <scheme val="minor"/>
    </font>
    <font>
      <sz val="10"/>
      <name val="Helv"/>
      <family val="2"/>
    </font>
    <font>
      <sz val="10"/>
      <name val="돋움"/>
      <family val="3"/>
      <charset val="129"/>
    </font>
    <font>
      <sz val="11"/>
      <color theme="1"/>
      <name val="Calibri"/>
      <family val="3"/>
      <charset val="129"/>
      <scheme val="minor"/>
    </font>
    <font>
      <sz val="12"/>
      <name val="¹UAAA¼"/>
      <family val="3"/>
      <charset val="129"/>
    </font>
    <font>
      <sz val="12"/>
      <color indexed="24"/>
      <name val="바탕체"/>
      <family val="1"/>
      <charset val="129"/>
    </font>
    <font>
      <b/>
      <sz val="18"/>
      <color indexed="24"/>
      <name val="바탕체"/>
      <family val="1"/>
      <charset val="129"/>
    </font>
    <font>
      <b/>
      <sz val="15"/>
      <color indexed="24"/>
      <name val="바탕체"/>
      <family val="1"/>
      <charset val="129"/>
    </font>
    <font>
      <sz val="14"/>
      <name val="뼻뮝"/>
      <family val="3"/>
      <charset val="129"/>
    </font>
    <font>
      <sz val="11"/>
      <name val="가는각진제목체"/>
      <family val="1"/>
      <charset val="129"/>
    </font>
    <font>
      <sz val="12"/>
      <name val="뼻뮝"/>
      <family val="3"/>
      <charset val="129"/>
    </font>
    <font>
      <sz val="11"/>
      <color indexed="8"/>
      <name val="맑은 고딕"/>
      <family val="3"/>
      <charset val="129"/>
    </font>
    <font>
      <sz val="11"/>
      <name val="굴림"/>
      <family val="3"/>
      <charset val="129"/>
    </font>
    <font>
      <b/>
      <sz val="11"/>
      <color theme="1"/>
      <name val="Calibri"/>
      <family val="3"/>
      <charset val="129"/>
      <scheme val="minor"/>
    </font>
    <font>
      <sz val="10"/>
      <color theme="1"/>
      <name val="Trebuchet MS"/>
      <family val="2"/>
    </font>
    <font>
      <u/>
      <sz val="10"/>
      <color theme="10"/>
      <name val="Trebuchet MS"/>
      <family val="2"/>
    </font>
    <font>
      <sz val="10"/>
      <color indexed="8"/>
      <name val="MS Sans Serif"/>
      <family val="2"/>
    </font>
    <font>
      <sz val="12"/>
      <name val="·s²Ó©úÅé"/>
      <charset val="136"/>
    </font>
    <font>
      <sz val="8"/>
      <color indexed="8"/>
      <name val="MS Sans Serif"/>
      <family val="2"/>
    </font>
    <font>
      <b/>
      <sz val="11"/>
      <color indexed="10"/>
      <name val="Times New Roman"/>
      <family val="1"/>
    </font>
    <font>
      <b/>
      <i/>
      <sz val="11"/>
      <color indexed="9"/>
      <name val="Times New Roman"/>
      <family val="1"/>
    </font>
    <font>
      <b/>
      <sz val="9"/>
      <color indexed="9"/>
      <name val="Arial"/>
      <family val="2"/>
    </font>
    <font>
      <sz val="10"/>
      <color indexed="22"/>
      <name val="Arial"/>
      <family val="2"/>
    </font>
    <font>
      <b/>
      <sz val="8"/>
      <name val="Times New Roman"/>
      <family val="1"/>
    </font>
    <font>
      <b/>
      <i/>
      <sz val="8"/>
      <color indexed="12"/>
      <name val="HelveticaNeue Condensed"/>
    </font>
    <font>
      <u/>
      <sz val="10"/>
      <color indexed="36"/>
      <name val="Arial"/>
      <family val="2"/>
    </font>
    <font>
      <i/>
      <sz val="8"/>
      <color indexed="17"/>
      <name val="Times New Roman"/>
      <family val="1"/>
    </font>
    <font>
      <sz val="8"/>
      <color indexed="21"/>
      <name val="Arial"/>
      <family val="2"/>
    </font>
    <font>
      <sz val="8"/>
      <color indexed="12"/>
      <name val="Times New Roman"/>
      <family val="1"/>
    </font>
    <font>
      <b/>
      <sz val="12"/>
      <color indexed="10"/>
      <name val="Arial"/>
      <family val="2"/>
    </font>
    <font>
      <b/>
      <sz val="10"/>
      <color indexed="16"/>
      <name val="Times New Roman"/>
      <family val="1"/>
    </font>
    <font>
      <b/>
      <sz val="10"/>
      <color indexed="18"/>
      <name val="Times New Roman"/>
      <family val="1"/>
    </font>
    <font>
      <sz val="8"/>
      <color indexed="8"/>
      <name val="Helvetica"/>
      <family val="2"/>
    </font>
    <font>
      <u/>
      <sz val="6"/>
      <color indexed="12"/>
      <name val="Arial"/>
      <family val="2"/>
    </font>
    <font>
      <sz val="8"/>
      <color indexed="39"/>
      <name val="Arial"/>
      <family val="2"/>
    </font>
    <font>
      <b/>
      <sz val="12"/>
      <color indexed="17"/>
      <name val="Wingdings"/>
      <charset val="2"/>
    </font>
    <font>
      <b/>
      <sz val="8"/>
      <color indexed="14"/>
      <name val="MS Sans Serif"/>
      <family val="2"/>
    </font>
    <font>
      <sz val="8"/>
      <color indexed="18"/>
      <name val="Times New Roman"/>
      <family val="1"/>
    </font>
    <font>
      <sz val="7"/>
      <name val="Small Fonts"/>
      <family val="2"/>
    </font>
    <font>
      <b/>
      <u/>
      <sz val="12"/>
      <name val="L Serifa Light"/>
    </font>
    <font>
      <i/>
      <sz val="10"/>
      <name val="Helvetica"/>
      <family val="2"/>
    </font>
    <font>
      <b/>
      <sz val="8"/>
      <color indexed="18"/>
      <name val="Times New Roman"/>
      <family val="1"/>
    </font>
    <font>
      <sz val="8"/>
      <name val="Univers"/>
      <family val="2"/>
    </font>
    <font>
      <sz val="8"/>
      <color indexed="10"/>
      <name val="Arial"/>
      <family val="2"/>
    </font>
    <font>
      <sz val="10"/>
      <name val="GillSans Light"/>
    </font>
    <font>
      <b/>
      <sz val="10"/>
      <name val="GillSans"/>
    </font>
    <font>
      <b/>
      <sz val="16"/>
      <name val="Times New Roman"/>
      <family val="1"/>
    </font>
    <font>
      <sz val="8"/>
      <name val="MS Sans Serif"/>
      <family val="2"/>
    </font>
    <font>
      <i/>
      <sz val="9"/>
      <name val="Times New Roman"/>
      <family val="1"/>
    </font>
    <font>
      <b/>
      <i/>
      <sz val="10"/>
      <name val="Arial"/>
      <family val="2"/>
    </font>
    <font>
      <sz val="8"/>
      <color indexed="9"/>
      <name val="Arial"/>
      <family val="2"/>
    </font>
    <font>
      <u/>
      <sz val="8"/>
      <color indexed="12"/>
      <name val="Trebuchet MS"/>
      <family val="2"/>
    </font>
    <font>
      <sz val="9"/>
      <color indexed="81"/>
      <name val="Tahoma"/>
      <charset val="1"/>
    </font>
    <font>
      <b/>
      <sz val="9"/>
      <color indexed="81"/>
      <name val="Tahoma"/>
      <charset val="1"/>
    </font>
    <font>
      <b/>
      <sz val="11"/>
      <color theme="0"/>
      <name val="Roboto"/>
    </font>
    <font>
      <sz val="10"/>
      <color theme="0"/>
      <name val="Roboto"/>
    </font>
    <font>
      <sz val="11"/>
      <color theme="1"/>
      <name val="Roboto"/>
    </font>
    <font>
      <u/>
      <sz val="11"/>
      <color theme="10"/>
      <name val="Roboto"/>
    </font>
    <font>
      <b/>
      <sz val="10"/>
      <color indexed="9"/>
      <name val="Roboto"/>
    </font>
    <font>
      <b/>
      <sz val="11"/>
      <color theme="1"/>
      <name val="Roboto"/>
    </font>
  </fonts>
  <fills count="52">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41"/>
        <bgColor indexed="64"/>
      </patternFill>
    </fill>
    <fill>
      <patternFill patternType="solid">
        <fgColor rgb="FFFFC000"/>
        <bgColor indexed="64"/>
      </patternFill>
    </fill>
    <fill>
      <patternFill patternType="solid">
        <fgColor indexed="44"/>
        <bgColor indexed="64"/>
      </patternFill>
    </fill>
    <fill>
      <patternFill patternType="solid">
        <fgColor indexed="18"/>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E7E7FF"/>
        <bgColor indexed="64"/>
      </patternFill>
    </fill>
    <fill>
      <patternFill patternType="solid">
        <fgColor theme="4" tint="-0.499984740745262"/>
        <bgColor indexed="64"/>
      </patternFill>
    </fill>
    <fill>
      <patternFill patternType="solid">
        <fgColor rgb="FF205395"/>
        <bgColor indexed="64"/>
      </patternFill>
    </fill>
    <fill>
      <patternFill patternType="solid">
        <fgColor theme="0"/>
        <bgColor indexed="64"/>
      </patternFill>
    </fill>
    <fill>
      <patternFill patternType="solid">
        <fgColor rgb="FF1F4E7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tint="0.14999847407452621"/>
        <bgColor indexed="64"/>
      </patternFill>
    </fill>
    <fill>
      <patternFill patternType="solid">
        <fgColor theme="5"/>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indexed="9"/>
      </patternFill>
    </fill>
    <fill>
      <patternFill patternType="lightGray">
        <fgColor indexed="12"/>
      </patternFill>
    </fill>
    <fill>
      <patternFill patternType="solid">
        <fgColor indexed="42"/>
        <bgColor indexed="64"/>
      </patternFill>
    </fill>
    <fill>
      <patternFill patternType="gray0625"/>
    </fill>
    <fill>
      <patternFill patternType="solid">
        <fgColor indexed="13"/>
        <bgColor indexed="15"/>
      </patternFill>
    </fill>
    <fill>
      <patternFill patternType="solid">
        <fgColor indexed="11"/>
        <bgColor indexed="64"/>
      </patternFill>
    </fill>
    <fill>
      <patternFill patternType="gray0625">
        <fgColor indexed="22"/>
      </patternFill>
    </fill>
    <fill>
      <patternFill patternType="solid">
        <fgColor indexed="13"/>
      </patternFill>
    </fill>
    <fill>
      <patternFill patternType="solid">
        <fgColor indexed="51"/>
        <bgColor indexed="64"/>
      </patternFill>
    </fill>
    <fill>
      <patternFill patternType="solid">
        <fgColor indexed="16"/>
        <bgColor indexed="64"/>
      </patternFill>
    </fill>
    <fill>
      <patternFill patternType="solid">
        <fgColor indexed="8"/>
        <bgColor indexed="64"/>
      </patternFill>
    </fill>
    <fill>
      <patternFill patternType="solid">
        <fgColor indexed="22"/>
        <bgColor indexed="64"/>
      </patternFill>
    </fill>
    <fill>
      <patternFill patternType="solid">
        <fgColor indexed="62"/>
        <bgColor indexed="64"/>
      </patternFill>
    </fill>
    <fill>
      <patternFill patternType="solid">
        <fgColor indexed="54"/>
        <bgColor indexed="64"/>
      </patternFill>
    </fill>
    <fill>
      <patternFill patternType="gray0625">
        <fgColor indexed="13"/>
        <bgColor indexed="9"/>
      </patternFill>
    </fill>
    <fill>
      <patternFill patternType="solid">
        <fgColor indexed="15"/>
        <bgColor indexed="64"/>
      </patternFill>
    </fill>
    <fill>
      <patternFill patternType="solid">
        <fgColor indexed="27"/>
        <bgColor indexed="64"/>
      </patternFill>
    </fill>
    <fill>
      <patternFill patternType="gray0625">
        <fgColor indexed="15"/>
      </patternFill>
    </fill>
    <fill>
      <patternFill patternType="solid">
        <fgColor indexed="48"/>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lightGray"/>
    </fill>
    <fill>
      <patternFill patternType="solid">
        <fgColor indexed="43"/>
        <bgColor indexed="64"/>
      </patternFill>
    </fill>
    <fill>
      <patternFill patternType="solid">
        <fgColor indexed="22"/>
      </patternFill>
    </fill>
    <fill>
      <patternFill patternType="solid">
        <fgColor indexed="19"/>
      </patternFill>
    </fill>
    <fill>
      <patternFill patternType="solid">
        <fgColor rgb="FFF9663E"/>
        <bgColor indexed="64"/>
      </patternFill>
    </fill>
  </fills>
  <borders count="46">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theme="4"/>
      </top>
      <bottom style="double">
        <color theme="4"/>
      </bottom>
      <diagonal/>
    </border>
    <border>
      <left/>
      <right/>
      <top/>
      <bottom style="dotted">
        <color indexed="64"/>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41"/>
      </top>
      <bottom style="medium">
        <color indexed="41"/>
      </bottom>
      <diagonal/>
    </border>
    <border>
      <left/>
      <right/>
      <top style="medium">
        <color indexed="41"/>
      </top>
      <bottom/>
      <diagonal/>
    </border>
    <border>
      <left/>
      <right/>
      <top/>
      <bottom style="thin">
        <color indexed="23"/>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style="medium">
        <color indexed="9"/>
      </left>
      <right style="medium">
        <color indexed="49"/>
      </right>
      <top/>
      <bottom/>
      <diagonal/>
    </border>
    <border>
      <left style="medium">
        <color indexed="12"/>
      </left>
      <right style="medium">
        <color indexed="12"/>
      </right>
      <top style="medium">
        <color indexed="12"/>
      </top>
      <bottom style="medium">
        <color indexed="12"/>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top style="medium">
        <color indexed="64"/>
      </top>
      <bottom style="medium">
        <color indexed="64"/>
      </bottom>
      <diagonal/>
    </border>
    <border>
      <left style="dotted">
        <color indexed="12"/>
      </left>
      <right style="dotted">
        <color indexed="12"/>
      </right>
      <top style="dotted">
        <color indexed="12"/>
      </top>
      <bottom style="dotted">
        <color indexed="12"/>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thick">
        <color indexed="64"/>
      </top>
      <bottom/>
      <diagonal/>
    </border>
    <border>
      <left/>
      <right/>
      <top/>
      <bottom style="thick">
        <color indexed="18"/>
      </bottom>
      <diagonal/>
    </border>
  </borders>
  <cellStyleXfs count="63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5" fillId="0" borderId="0"/>
    <xf numFmtId="0" fontId="2" fillId="0" borderId="0"/>
    <xf numFmtId="0" fontId="2" fillId="0" borderId="0" applyFont="0" applyFill="0" applyBorder="0" applyAlignment="0" applyProtection="0"/>
    <xf numFmtId="0" fontId="6" fillId="0" borderId="0"/>
    <xf numFmtId="43" fontId="2" fillId="0" borderId="0" applyFont="0" applyFill="0" applyBorder="0" applyAlignment="0" applyProtection="0"/>
    <xf numFmtId="0" fontId="2" fillId="0" borderId="0"/>
    <xf numFmtId="0" fontId="5" fillId="0" borderId="0"/>
    <xf numFmtId="0" fontId="2" fillId="0" borderId="0"/>
    <xf numFmtId="0" fontId="2" fillId="0" borderId="0"/>
    <xf numFmtId="0" fontId="2" fillId="0" borderId="0"/>
    <xf numFmtId="9" fontId="5"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6" fillId="0" borderId="0" applyNumberFormat="0" applyFill="0" applyBorder="0" applyAlignment="0" applyProtection="0"/>
    <xf numFmtId="0" fontId="14" fillId="0" borderId="0"/>
    <xf numFmtId="0" fontId="2" fillId="0" borderId="0"/>
    <xf numFmtId="184" fontId="1" fillId="0" borderId="0"/>
    <xf numFmtId="0" fontId="3" fillId="0" borderId="0"/>
    <xf numFmtId="0" fontId="3" fillId="0" borderId="0"/>
    <xf numFmtId="0" fontId="3" fillId="0" borderId="0"/>
    <xf numFmtId="0" fontId="2" fillId="0" borderId="0"/>
    <xf numFmtId="0" fontId="50" fillId="0" borderId="0" applyNumberFormat="0" applyAlignment="0">
      <alignment vertical="center"/>
    </xf>
    <xf numFmtId="171" fontId="65" fillId="0" borderId="0" applyNumberFormat="0" applyAlignment="0">
      <alignment vertical="center"/>
    </xf>
    <xf numFmtId="0" fontId="5" fillId="0" borderId="0">
      <alignment horizontal="center" wrapText="1"/>
      <protection hidden="1"/>
    </xf>
    <xf numFmtId="0" fontId="66" fillId="4" borderId="0" applyNumberFormat="0">
      <alignment horizontal="center" vertical="top" wrapText="1"/>
    </xf>
    <xf numFmtId="0" fontId="66" fillId="4" borderId="0" applyNumberFormat="0">
      <alignment horizontal="left" vertical="top" wrapText="1"/>
    </xf>
    <xf numFmtId="0" fontId="66" fillId="4" borderId="0" applyNumberFormat="0">
      <alignment horizontal="centerContinuous" vertical="top"/>
    </xf>
    <xf numFmtId="0" fontId="50" fillId="4" borderId="0" applyNumberFormat="0">
      <alignment horizontal="center" vertical="top" wrapText="1"/>
    </xf>
    <xf numFmtId="43" fontId="3" fillId="0" borderId="0" applyFont="0" applyFill="0" applyBorder="0" applyAlignment="0" applyProtection="0"/>
    <xf numFmtId="169" fontId="52"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alignment horizontal="right"/>
    </xf>
    <xf numFmtId="0" fontId="53" fillId="0" borderId="0" applyFont="0" applyFill="0" applyBorder="0" applyAlignment="0" applyProtection="0">
      <alignment horizontal="right"/>
    </xf>
    <xf numFmtId="43" fontId="3" fillId="0" borderId="0" applyFont="0" applyFill="0" applyBorder="0" applyAlignment="0" applyProtection="0"/>
    <xf numFmtId="0" fontId="54" fillId="25" borderId="0">
      <alignment horizontal="center" vertical="center" wrapText="1"/>
    </xf>
    <xf numFmtId="186" fontId="5" fillId="0" borderId="0" applyFill="0" applyBorder="0">
      <alignment horizontal="right"/>
      <protection locked="0"/>
    </xf>
    <xf numFmtId="192" fontId="50" fillId="0" borderId="0" applyFont="0" applyFill="0" applyBorder="0" applyAlignment="0" applyProtection="0">
      <alignment vertical="center"/>
    </xf>
    <xf numFmtId="0" fontId="53" fillId="0" borderId="0" applyFont="0" applyFill="0" applyBorder="0" applyAlignment="0" applyProtection="0">
      <alignment horizontal="right"/>
    </xf>
    <xf numFmtId="0" fontId="53" fillId="0" borderId="0" applyFont="0" applyFill="0" applyBorder="0" applyAlignment="0" applyProtection="0">
      <alignment horizontal="right"/>
    </xf>
    <xf numFmtId="197" fontId="50" fillId="0" borderId="0" applyFont="0" applyFill="0" applyBorder="0" applyAlignment="0" applyProtection="0">
      <alignment vertical="center"/>
    </xf>
    <xf numFmtId="198" fontId="50" fillId="0" borderId="0" applyFont="0" applyFill="0" applyBorder="0" applyAlignment="0" applyProtection="0">
      <alignment vertical="center"/>
    </xf>
    <xf numFmtId="195" fontId="50" fillId="0" borderId="0" applyFont="0" applyFill="0" applyBorder="0" applyAlignment="0" applyProtection="0">
      <alignment vertical="center"/>
    </xf>
    <xf numFmtId="196" fontId="50" fillId="0" borderId="0" applyFont="0" applyFill="0" applyBorder="0" applyAlignment="0" applyProtection="0">
      <alignment vertical="center"/>
    </xf>
    <xf numFmtId="193" fontId="50" fillId="0" borderId="0" applyFont="0" applyFill="0" applyBorder="0" applyAlignment="0" applyProtection="0">
      <alignment vertical="center"/>
    </xf>
    <xf numFmtId="194" fontId="50" fillId="0" borderId="0" applyFont="0" applyFill="0" applyBorder="0" applyAlignment="0" applyProtection="0">
      <alignment vertical="center"/>
    </xf>
    <xf numFmtId="203" fontId="50" fillId="0" borderId="0" applyFont="0" applyFill="0" applyBorder="0" applyAlignment="0" applyProtection="0">
      <alignment vertical="center"/>
    </xf>
    <xf numFmtId="204" fontId="50" fillId="0" borderId="0" applyFont="0" applyFill="0" applyBorder="0" applyAlignment="0" applyProtection="0">
      <alignment vertical="center"/>
    </xf>
    <xf numFmtId="201" fontId="50" fillId="0" borderId="0" applyFont="0" applyFill="0" applyBorder="0" applyAlignment="0" applyProtection="0">
      <alignment vertical="center"/>
    </xf>
    <xf numFmtId="202" fontId="50" fillId="0" borderId="0" applyFont="0" applyFill="0" applyBorder="0" applyAlignment="0" applyProtection="0">
      <alignment vertical="center"/>
    </xf>
    <xf numFmtId="199" fontId="50" fillId="0" borderId="0" applyFont="0" applyFill="0" applyBorder="0" applyAlignment="0" applyProtection="0">
      <alignment vertical="center"/>
    </xf>
    <xf numFmtId="200" fontId="50" fillId="0" borderId="0" applyFont="0" applyFill="0" applyBorder="0" applyAlignment="0" applyProtection="0">
      <alignment vertical="center"/>
    </xf>
    <xf numFmtId="0" fontId="2" fillId="0" borderId="0">
      <alignment horizontal="right"/>
      <protection locked="0"/>
    </xf>
    <xf numFmtId="205" fontId="50" fillId="0" borderId="0" applyFont="0" applyFill="0" applyBorder="0" applyAlignment="0" applyProtection="0">
      <alignment vertical="center"/>
    </xf>
    <xf numFmtId="206" fontId="50" fillId="0" borderId="0" applyFont="0" applyFill="0" applyBorder="0" applyAlignment="0" applyProtection="0">
      <alignment vertical="center"/>
    </xf>
    <xf numFmtId="0" fontId="53" fillId="0" borderId="0" applyFont="0" applyFill="0" applyBorder="0" applyAlignment="0" applyProtection="0"/>
    <xf numFmtId="0" fontId="55" fillId="0" borderId="0">
      <protection locked="0"/>
    </xf>
    <xf numFmtId="0" fontId="53" fillId="0" borderId="15" applyNumberFormat="0" applyFont="0" applyFill="0" applyAlignment="0" applyProtection="0"/>
    <xf numFmtId="0" fontId="2" fillId="0" borderId="0" applyFill="0" applyBorder="0" applyProtection="0">
      <alignment horizontal="left"/>
    </xf>
    <xf numFmtId="0" fontId="56" fillId="0" borderId="0"/>
    <xf numFmtId="0" fontId="56" fillId="0" borderId="0"/>
    <xf numFmtId="0" fontId="56" fillId="0" borderId="0"/>
    <xf numFmtId="0" fontId="56" fillId="0" borderId="0"/>
    <xf numFmtId="0" fontId="56" fillId="0" borderId="0"/>
    <xf numFmtId="0" fontId="49" fillId="26" borderId="0" applyNumberFormat="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4" fillId="0" borderId="0" applyNumberFormat="0" applyFill="0" applyBorder="0" applyAlignment="0" applyProtection="0">
      <alignment horizontal="left" vertical="center"/>
    </xf>
    <xf numFmtId="0" fontId="66" fillId="0" borderId="0" applyNumberFormat="0" applyFill="0" applyBorder="0" applyAlignment="0" applyProtection="0">
      <alignment vertical="center"/>
    </xf>
    <xf numFmtId="2" fontId="57" fillId="27" borderId="0"/>
    <xf numFmtId="0" fontId="53" fillId="0" borderId="0" applyFont="0" applyFill="0" applyBorder="0" applyAlignment="0" applyProtection="0">
      <alignment horizontal="right"/>
    </xf>
    <xf numFmtId="0" fontId="2" fillId="0" borderId="0" applyProtection="0">
      <alignment horizontal="right"/>
    </xf>
    <xf numFmtId="0" fontId="2" fillId="0" borderId="0" applyProtection="0">
      <alignment horizontal="left"/>
    </xf>
    <xf numFmtId="0" fontId="2" fillId="0" borderId="0" applyProtection="0">
      <alignment horizontal="left"/>
    </xf>
    <xf numFmtId="0" fontId="50" fillId="2" borderId="0" applyNumberFormat="0" applyFont="0" applyBorder="0" applyAlignment="0" applyProtection="0">
      <alignment vertical="center"/>
    </xf>
    <xf numFmtId="0" fontId="53" fillId="0" borderId="0" applyNumberFormat="0" applyFill="0" applyBorder="0" applyAlignment="0" applyProtection="0"/>
    <xf numFmtId="16" fontId="2" fillId="0" borderId="0" applyNumberFormat="0" applyFill="0" applyBorder="0" applyAlignment="0" applyProtection="0">
      <alignment horizontal="right"/>
    </xf>
    <xf numFmtId="0" fontId="50" fillId="0" borderId="16" applyNumberFormat="0" applyAlignment="0">
      <alignment vertical="center"/>
    </xf>
    <xf numFmtId="0" fontId="50" fillId="0" borderId="17" applyNumberFormat="0" applyAlignment="0">
      <alignment vertical="center"/>
      <protection locked="0"/>
    </xf>
    <xf numFmtId="178" fontId="50" fillId="28" borderId="17" applyNumberFormat="0" applyAlignment="0">
      <alignment vertical="center"/>
      <protection locked="0"/>
    </xf>
    <xf numFmtId="0" fontId="50" fillId="26" borderId="0" applyNumberFormat="0" applyAlignment="0">
      <alignment vertical="center"/>
    </xf>
    <xf numFmtId="0" fontId="50" fillId="29" borderId="0" applyNumberFormat="0" applyAlignment="0">
      <alignment vertical="center"/>
    </xf>
    <xf numFmtId="0" fontId="50" fillId="0" borderId="18" applyNumberFormat="0" applyAlignment="0">
      <alignment vertical="center"/>
      <protection locked="0"/>
    </xf>
    <xf numFmtId="10" fontId="2" fillId="0" borderId="0">
      <protection locked="0"/>
    </xf>
    <xf numFmtId="0" fontId="58" fillId="0" borderId="0" applyNumberFormat="0" applyFill="0" applyBorder="0" applyAlignment="0">
      <protection locked="0"/>
    </xf>
    <xf numFmtId="15" fontId="2" fillId="0" borderId="0">
      <protection locked="0"/>
    </xf>
    <xf numFmtId="2" fontId="2" fillId="0" borderId="19">
      <protection locked="0"/>
    </xf>
    <xf numFmtId="0" fontId="2" fillId="0" borderId="0">
      <protection locked="0"/>
    </xf>
    <xf numFmtId="0" fontId="5" fillId="0" borderId="0" applyFill="0" applyBorder="0">
      <alignment horizontal="right"/>
      <protection locked="0"/>
    </xf>
    <xf numFmtId="187" fontId="5" fillId="0" borderId="0" applyFill="0" applyBorder="0">
      <alignment horizontal="right"/>
      <protection locked="0"/>
    </xf>
    <xf numFmtId="0" fontId="53" fillId="30" borderId="0" applyBorder="0"/>
    <xf numFmtId="0" fontId="59" fillId="31" borderId="20">
      <alignment horizontal="left" vertical="center" wrapText="1"/>
    </xf>
    <xf numFmtId="4" fontId="57" fillId="27" borderId="0"/>
    <xf numFmtId="0" fontId="53" fillId="30" borderId="0" applyBorder="0" applyAlignment="0">
      <alignment horizontal="right"/>
    </xf>
    <xf numFmtId="40" fontId="5" fillId="0" borderId="0" applyFont="0" applyFill="0" applyBorder="0" applyAlignment="0" applyProtection="0"/>
    <xf numFmtId="167" fontId="2" fillId="0" borderId="0"/>
    <xf numFmtId="0" fontId="53" fillId="0" borderId="0" applyFont="0" applyFill="0" applyBorder="0" applyAlignment="0" applyProtection="0">
      <alignment horizontal="right"/>
    </xf>
    <xf numFmtId="0" fontId="51" fillId="0" borderId="0" applyNumberFormat="0" applyAlignment="0">
      <alignment vertical="center"/>
    </xf>
    <xf numFmtId="0" fontId="2" fillId="0" borderId="21" applyBorder="0" applyAlignment="0" applyProtection="0">
      <alignment horizontal="center"/>
    </xf>
    <xf numFmtId="0" fontId="2" fillId="0" borderId="0"/>
    <xf numFmtId="0" fontId="3" fillId="0" borderId="0"/>
    <xf numFmtId="0" fontId="6" fillId="0" borderId="0" applyNumberFormat="0" applyFill="0" applyBorder="0" applyAlignment="0" applyProtection="0">
      <alignment vertical="center"/>
    </xf>
    <xf numFmtId="178" fontId="50" fillId="0" borderId="0" applyFont="0" applyFill="0" applyBorder="0" applyAlignment="0" applyProtection="0">
      <alignment vertical="center"/>
    </xf>
    <xf numFmtId="171" fontId="50" fillId="0" borderId="0" applyFont="0" applyFill="0" applyBorder="0" applyAlignment="0" applyProtection="0">
      <alignment vertical="center"/>
    </xf>
    <xf numFmtId="0" fontId="50" fillId="32" borderId="0" applyNumberFormat="0" applyFont="0" applyBorder="0" applyAlignment="0" applyProtection="0">
      <alignment vertical="center"/>
    </xf>
    <xf numFmtId="1" fontId="2" fillId="0" borderId="0" applyProtection="0">
      <alignment horizontal="right" vertical="center"/>
    </xf>
    <xf numFmtId="0" fontId="2" fillId="0" borderId="2">
      <alignment vertical="center"/>
    </xf>
    <xf numFmtId="9" fontId="3" fillId="0" borderId="0" applyFont="0" applyFill="0" applyBorder="0" applyAlignment="0" applyProtection="0"/>
    <xf numFmtId="0" fontId="5" fillId="0" borderId="0" applyFont="0" applyFill="0" applyBorder="0" applyAlignment="0" applyProtection="0"/>
    <xf numFmtId="9" fontId="3" fillId="0" borderId="0" applyFont="0" applyFill="0" applyBorder="0" applyAlignment="0" applyProtection="0"/>
    <xf numFmtId="190" fontId="50" fillId="0" borderId="0" applyFont="0" applyFill="0" applyBorder="0" applyAlignment="0" applyProtection="0">
      <alignment horizontal="right" vertical="center"/>
    </xf>
    <xf numFmtId="191" fontId="50" fillId="0" borderId="0" applyFont="0" applyFill="0" applyBorder="0" applyAlignment="0" applyProtection="0">
      <alignment vertical="center"/>
    </xf>
    <xf numFmtId="188" fontId="5" fillId="0" borderId="0" applyFill="0" applyBorder="0">
      <alignment horizontal="right"/>
      <protection locked="0"/>
    </xf>
    <xf numFmtId="0" fontId="2" fillId="0" borderId="0">
      <alignment horizontal="right"/>
    </xf>
    <xf numFmtId="189" fontId="5" fillId="0" borderId="0">
      <alignment horizontal="right"/>
      <protection locked="0"/>
    </xf>
    <xf numFmtId="0" fontId="2" fillId="0" borderId="0">
      <alignment horizontal="right"/>
    </xf>
    <xf numFmtId="0" fontId="2" fillId="0" borderId="0">
      <alignment horizontal="right"/>
    </xf>
    <xf numFmtId="0" fontId="2" fillId="0" borderId="0" applyFill="0" applyBorder="0" applyProtection="0">
      <alignment horizontal="right"/>
    </xf>
    <xf numFmtId="0" fontId="2" fillId="0" borderId="0">
      <alignment horizontal="right"/>
    </xf>
    <xf numFmtId="0" fontId="66" fillId="0" borderId="0" applyNumberFormat="0" applyFill="0" applyBorder="0">
      <alignment horizontal="left" vertical="center" wrapText="1"/>
    </xf>
    <xf numFmtId="0" fontId="50" fillId="0" borderId="0" applyNumberFormat="0" applyFill="0" applyBorder="0">
      <alignment horizontal="left" vertical="center" wrapText="1" indent="1"/>
    </xf>
    <xf numFmtId="0" fontId="61" fillId="0" borderId="0" applyFill="0" applyBorder="0">
      <alignment horizontal="right"/>
      <protection hidden="1"/>
    </xf>
    <xf numFmtId="0" fontId="62" fillId="25" borderId="5">
      <alignment horizontal="center" vertical="center" wrapText="1"/>
      <protection hidden="1"/>
    </xf>
    <xf numFmtId="178" fontId="66" fillId="0" borderId="22" applyNumberFormat="0" applyFill="0" applyAlignment="0" applyProtection="0">
      <alignment vertical="center"/>
    </xf>
    <xf numFmtId="178" fontId="50" fillId="0" borderId="23" applyNumberFormat="0" applyFont="0" applyFill="0" applyAlignment="0" applyProtection="0">
      <alignment vertical="center"/>
    </xf>
    <xf numFmtId="0" fontId="2" fillId="0" borderId="0" applyBorder="0" applyProtection="0">
      <alignment vertical="center"/>
    </xf>
    <xf numFmtId="0" fontId="53" fillId="0" borderId="2" applyBorder="0" applyProtection="0">
      <alignment horizontal="right" vertical="center"/>
    </xf>
    <xf numFmtId="0" fontId="2" fillId="33" borderId="0" applyBorder="0" applyProtection="0">
      <alignment horizontal="centerContinuous" vertical="center"/>
    </xf>
    <xf numFmtId="0" fontId="2" fillId="34" borderId="2" applyBorder="0" applyProtection="0">
      <alignment horizontal="centerContinuous" vertical="center"/>
    </xf>
    <xf numFmtId="0" fontId="50" fillId="35" borderId="0" applyNumberFormat="0" applyFont="0" applyBorder="0" applyAlignment="0" applyProtection="0">
      <alignment vertical="center"/>
    </xf>
    <xf numFmtId="0" fontId="2" fillId="0" borderId="0" applyFill="0" applyBorder="0" applyProtection="0">
      <alignment horizontal="left"/>
    </xf>
    <xf numFmtId="0" fontId="50" fillId="0" borderId="0" applyNumberFormat="0" applyFont="0" applyFill="0" applyAlignment="0" applyProtection="0">
      <alignment vertical="center"/>
    </xf>
    <xf numFmtId="0" fontId="2" fillId="0" borderId="8" applyFill="0" applyBorder="0" applyProtection="0">
      <alignment horizontal="left" vertical="top"/>
    </xf>
    <xf numFmtId="178" fontId="50" fillId="0" borderId="0" applyNumberFormat="0" applyFont="0" applyBorder="0" applyAlignment="0" applyProtection="0">
      <alignment vertical="center"/>
    </xf>
    <xf numFmtId="0" fontId="2" fillId="24" borderId="24" applyNumberFormat="0" applyAlignment="0" applyProtection="0">
      <alignment vertical="center"/>
    </xf>
    <xf numFmtId="49" fontId="53" fillId="0" borderId="2">
      <alignment vertical="center"/>
    </xf>
    <xf numFmtId="49" fontId="50" fillId="0" borderId="0" applyFont="0" applyFill="0" applyBorder="0" applyAlignment="0" applyProtection="0">
      <alignment horizontal="center" vertical="center"/>
    </xf>
    <xf numFmtId="42" fontId="53" fillId="0" borderId="2" applyFill="0" applyAlignment="0" applyProtection="0"/>
    <xf numFmtId="0" fontId="5" fillId="0" borderId="0" applyBorder="0"/>
    <xf numFmtId="178" fontId="66" fillId="0" borderId="0" applyNumberFormat="0" applyFill="0" applyBorder="0" applyAlignment="0" applyProtection="0">
      <alignment vertical="center"/>
    </xf>
    <xf numFmtId="178" fontId="66" fillId="4" borderId="0" applyNumberFormat="0" applyAlignment="0" applyProtection="0">
      <alignment vertical="center"/>
    </xf>
    <xf numFmtId="0" fontId="50" fillId="0" borderId="0" applyNumberFormat="0" applyFont="0" applyBorder="0" applyAlignment="0" applyProtection="0">
      <alignment vertical="center"/>
    </xf>
    <xf numFmtId="0" fontId="50" fillId="0" borderId="0" applyNumberFormat="0" applyFont="0" applyAlignment="0" applyProtection="0">
      <alignment vertical="center"/>
    </xf>
    <xf numFmtId="0" fontId="63" fillId="0" borderId="2">
      <alignment horizontal="right"/>
    </xf>
    <xf numFmtId="0" fontId="69" fillId="0" borderId="0"/>
    <xf numFmtId="0" fontId="3" fillId="0" borderId="0"/>
    <xf numFmtId="0" fontId="2" fillId="0" borderId="30" applyNumberFormat="0">
      <alignment vertical="center"/>
      <protection locked="0"/>
    </xf>
    <xf numFmtId="0" fontId="2" fillId="36" borderId="30" applyNumberFormat="0">
      <alignment horizontal="centerContinuous" vertical="center" wrapText="1"/>
    </xf>
    <xf numFmtId="0" fontId="2" fillId="37" borderId="30" applyNumberFormat="0">
      <alignment horizontal="left" vertical="center"/>
    </xf>
    <xf numFmtId="10" fontId="70" fillId="4" borderId="0" applyBorder="0"/>
    <xf numFmtId="40" fontId="69" fillId="0" borderId="0" applyFont="0" applyFill="0" applyBorder="0" applyAlignment="0" applyProtection="0"/>
    <xf numFmtId="38" fontId="69" fillId="0" borderId="0" applyFont="0" applyFill="0" applyBorder="0" applyAlignment="0" applyProtection="0"/>
    <xf numFmtId="169" fontId="56" fillId="0" borderId="0" applyFont="0" applyFill="0" applyBorder="0" applyAlignment="0" applyProtection="0"/>
    <xf numFmtId="211" fontId="56" fillId="0" borderId="0" applyFont="0" applyFill="0" applyBorder="0" applyAlignment="0" applyProtection="0"/>
    <xf numFmtId="15" fontId="71" fillId="0" borderId="0">
      <alignment horizontal="right"/>
    </xf>
    <xf numFmtId="1" fontId="56" fillId="0" borderId="0" applyFont="0" applyFill="0" applyBorder="0" applyAlignment="0" applyProtection="0">
      <alignment horizontal="right"/>
    </xf>
    <xf numFmtId="209" fontId="72" fillId="0" borderId="4" applyNumberFormat="0" applyBorder="0"/>
    <xf numFmtId="0" fontId="73" fillId="38" borderId="31" applyNumberFormat="0" applyFont="0" applyAlignment="0">
      <protection locked="0"/>
    </xf>
    <xf numFmtId="180" fontId="56" fillId="0" borderId="0" applyFont="0" applyFill="0" applyBorder="0" applyAlignment="0" applyProtection="0"/>
    <xf numFmtId="212" fontId="56" fillId="0" borderId="0" applyFont="0" applyFill="0" applyBorder="0" applyAlignment="0" applyProtection="0">
      <alignment horizontal="right"/>
    </xf>
    <xf numFmtId="210" fontId="56" fillId="0" borderId="0" applyProtection="0"/>
    <xf numFmtId="0" fontId="74" fillId="39" borderId="0"/>
    <xf numFmtId="213" fontId="2" fillId="0" borderId="0"/>
    <xf numFmtId="213" fontId="2" fillId="0" borderId="0"/>
    <xf numFmtId="0" fontId="75" fillId="0" borderId="0"/>
    <xf numFmtId="208" fontId="2" fillId="0" borderId="0">
      <alignment horizontal="right"/>
    </xf>
    <xf numFmtId="0" fontId="76" fillId="0" borderId="0"/>
    <xf numFmtId="9" fontId="69" fillId="0" borderId="0" applyFont="0" applyFill="0" applyBorder="0" applyAlignment="0" applyProtection="0"/>
    <xf numFmtId="169" fontId="56" fillId="0" borderId="2" applyFont="0" applyFill="0" applyBorder="0" applyAlignment="0" applyProtection="0">
      <alignment horizontal="right"/>
    </xf>
    <xf numFmtId="0" fontId="77" fillId="0" borderId="0" applyNumberFormat="0" applyFill="0" applyBorder="0" applyAlignment="0" applyProtection="0"/>
    <xf numFmtId="209" fontId="78" fillId="0" borderId="0" applyNumberFormat="0"/>
    <xf numFmtId="0" fontId="13" fillId="40" borderId="32">
      <alignment horizontal="left"/>
    </xf>
    <xf numFmtId="1" fontId="79" fillId="0" borderId="0">
      <alignment horizontal="right"/>
    </xf>
    <xf numFmtId="0" fontId="69"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95" fillId="0" borderId="0">
      <protection locked="0"/>
    </xf>
    <xf numFmtId="227" fontId="56" fillId="0" borderId="0" applyFont="0" applyFill="0" applyBorder="0" applyAlignment="0" applyProtection="0"/>
    <xf numFmtId="232" fontId="82" fillId="0" borderId="0" applyFont="0" applyFill="0" applyBorder="0" applyAlignment="0" applyProtection="0"/>
    <xf numFmtId="0" fontId="73" fillId="0" borderId="0">
      <alignment horizontal="center" wrapText="1"/>
      <protection locked="0"/>
    </xf>
    <xf numFmtId="0" fontId="2" fillId="0" borderId="0" applyNumberFormat="0" applyFill="0" applyBorder="0" applyAlignment="0" applyProtection="0"/>
    <xf numFmtId="0" fontId="81" fillId="0" borderId="0" applyNumberFormat="0" applyFill="0" applyBorder="0" applyAlignment="0" applyProtection="0"/>
    <xf numFmtId="0" fontId="83" fillId="0" borderId="33" applyNumberFormat="0" applyFill="0" applyAlignment="0" applyProtection="0"/>
    <xf numFmtId="236" fontId="2" fillId="0" borderId="0" applyFont="0" applyFill="0" applyBorder="0" applyAlignment="0" applyProtection="0"/>
    <xf numFmtId="0" fontId="93" fillId="0" borderId="0" applyNumberFormat="0" applyFill="0" applyBorder="0" applyAlignment="0" applyProtection="0"/>
    <xf numFmtId="0" fontId="102" fillId="0" borderId="0" applyFont="0" applyFill="0" applyBorder="0" applyAlignment="0" applyProtection="0"/>
    <xf numFmtId="39" fontId="84" fillId="0" borderId="8" applyNumberFormat="0" applyFill="0" applyBorder="0"/>
    <xf numFmtId="0" fontId="86" fillId="0" borderId="0"/>
    <xf numFmtId="1" fontId="94" fillId="0" borderId="0"/>
    <xf numFmtId="0" fontId="63" fillId="41" borderId="28" applyNumberFormat="0" applyProtection="0">
      <alignment horizontal="center" vertical="center" wrapText="1"/>
    </xf>
    <xf numFmtId="0" fontId="63" fillId="41" borderId="0" applyNumberFormat="0" applyBorder="0" applyProtection="0">
      <alignment horizontal="centerContinuous" vertical="center"/>
    </xf>
    <xf numFmtId="0" fontId="63" fillId="41" borderId="5" applyNumberFormat="0" applyBorder="0" applyProtection="0">
      <alignment horizontal="center" vertical="center" wrapText="1"/>
    </xf>
    <xf numFmtId="0" fontId="66" fillId="26" borderId="0" applyNumberFormat="0">
      <alignment horizontal="center" vertical="top" wrapText="1"/>
    </xf>
    <xf numFmtId="0" fontId="66" fillId="26" borderId="0" applyNumberFormat="0">
      <alignment horizontal="left" vertical="top" wrapText="1"/>
    </xf>
    <xf numFmtId="0" fontId="66" fillId="26" borderId="0" applyNumberFormat="0">
      <alignment horizontal="centerContinuous" vertical="top"/>
    </xf>
    <xf numFmtId="0" fontId="50" fillId="26" borderId="0" applyNumberFormat="0">
      <alignment horizontal="center" vertical="top" wrapText="1"/>
    </xf>
    <xf numFmtId="0" fontId="56" fillId="0" borderId="34" applyNumberFormat="0" applyFont="0" applyFill="0" applyAlignment="0" applyProtection="0">
      <alignment horizontal="left"/>
    </xf>
    <xf numFmtId="217" fontId="80" fillId="0" borderId="0" applyFont="0"/>
    <xf numFmtId="216" fontId="80" fillId="0" borderId="0" applyFont="0"/>
    <xf numFmtId="214" fontId="50" fillId="0" borderId="0" applyFont="0" applyFill="0" applyBorder="0" applyAlignment="0" applyProtection="0">
      <alignment vertical="center"/>
    </xf>
    <xf numFmtId="228" fontId="85" fillId="0" borderId="8" applyNumberFormat="0" applyFill="0" applyBorder="0" applyAlignment="0">
      <alignment horizontal="left"/>
      <protection locked="0"/>
    </xf>
    <xf numFmtId="229" fontId="56" fillId="0" borderId="0" applyFont="0" applyFill="0" applyBorder="0" applyAlignment="0" applyProtection="0"/>
    <xf numFmtId="0" fontId="48" fillId="0" borderId="0">
      <protection locked="0"/>
    </xf>
    <xf numFmtId="0" fontId="103" fillId="0" borderId="0" applyFill="0" applyBorder="0" applyAlignment="0" applyProtection="0"/>
    <xf numFmtId="224" fontId="56" fillId="0" borderId="0" applyFont="0" applyFill="0" applyBorder="0" applyAlignment="0"/>
    <xf numFmtId="8" fontId="2" fillId="0" borderId="0"/>
    <xf numFmtId="167" fontId="2" fillId="0" borderId="0"/>
    <xf numFmtId="212" fontId="2" fillId="0" borderId="0"/>
    <xf numFmtId="0" fontId="97" fillId="0" borderId="0"/>
    <xf numFmtId="3" fontId="104" fillId="0" borderId="0" applyNumberFormat="0" applyFont="0" applyFill="0" applyBorder="0" applyAlignment="0" applyProtection="0">
      <alignment horizontal="left"/>
    </xf>
    <xf numFmtId="0" fontId="98" fillId="42" borderId="0"/>
    <xf numFmtId="0" fontId="6" fillId="0" borderId="0"/>
    <xf numFmtId="38" fontId="6" fillId="35" borderId="0" applyNumberFormat="0" applyBorder="0" applyAlignment="0" applyProtection="0"/>
    <xf numFmtId="0" fontId="99" fillId="0" borderId="0">
      <alignment wrapText="1"/>
    </xf>
    <xf numFmtId="0" fontId="53" fillId="0" borderId="0" applyNumberFormat="0" applyFill="0" applyBorder="0" applyAlignment="0" applyProtection="0"/>
    <xf numFmtId="10" fontId="6" fillId="43" borderId="5" applyNumberFormat="0" applyBorder="0" applyAlignment="0" applyProtection="0"/>
    <xf numFmtId="212" fontId="96" fillId="44" borderId="0"/>
    <xf numFmtId="0" fontId="57" fillId="0" borderId="0" applyNumberFormat="0" applyFill="0" applyBorder="0" applyAlignment="0" applyProtection="0"/>
    <xf numFmtId="0" fontId="48" fillId="0" borderId="0" applyNumberFormat="0" applyFill="0" applyBorder="0" applyAlignment="0">
      <protection locked="0"/>
    </xf>
    <xf numFmtId="1" fontId="105" fillId="1" borderId="25">
      <protection locked="0"/>
    </xf>
    <xf numFmtId="183" fontId="86" fillId="0" borderId="2" applyNumberFormat="0" applyFill="0">
      <alignment vertical="center"/>
    </xf>
    <xf numFmtId="37" fontId="106" fillId="0" borderId="0" applyNumberFormat="0" applyFill="0" applyBorder="0" applyAlignment="0" applyProtection="0">
      <alignment horizontal="right"/>
    </xf>
    <xf numFmtId="212" fontId="2" fillId="45" borderId="0"/>
    <xf numFmtId="0" fontId="87" fillId="0" borderId="0" applyNumberFormat="0" applyFill="0" applyBorder="0" applyProtection="0">
      <alignment horizontal="left" vertical="center"/>
    </xf>
    <xf numFmtId="218" fontId="81" fillId="30" borderId="0" applyBorder="0" applyAlignment="0">
      <alignment horizontal="right"/>
    </xf>
    <xf numFmtId="0" fontId="98" fillId="0" borderId="0"/>
    <xf numFmtId="0" fontId="100" fillId="0" borderId="0"/>
    <xf numFmtId="0" fontId="101" fillId="0" borderId="0"/>
    <xf numFmtId="38" fontId="5" fillId="0" borderId="0" applyFont="0" applyFill="0" applyBorder="0" applyAlignment="0" applyProtection="0"/>
    <xf numFmtId="40" fontId="5" fillId="0" borderId="0" applyFont="0" applyFill="0" applyBorder="0" applyAlignment="0" applyProtection="0"/>
    <xf numFmtId="220" fontId="60" fillId="0" borderId="0" applyFont="0" applyFill="0" applyBorder="0" applyAlignment="0" applyProtection="0"/>
    <xf numFmtId="230" fontId="56" fillId="0" borderId="0" applyFont="0" applyFill="0" applyBorder="0" applyAlignment="0" applyProtection="0"/>
    <xf numFmtId="222" fontId="60" fillId="0" borderId="0" applyFont="0" applyFill="0" applyBorder="0" applyAlignment="0" applyProtection="0"/>
    <xf numFmtId="0" fontId="2" fillId="0" borderId="28"/>
    <xf numFmtId="0" fontId="5" fillId="0" borderId="0" applyFont="0" applyFill="0" applyBorder="0" applyAlignment="0" applyProtection="0"/>
    <xf numFmtId="8" fontId="5" fillId="0" borderId="0" applyFont="0" applyFill="0" applyBorder="0" applyAlignment="0" applyProtection="0"/>
    <xf numFmtId="219" fontId="60" fillId="0" borderId="0" applyFont="0" applyFill="0" applyBorder="0" applyAlignment="0" applyProtection="0"/>
    <xf numFmtId="231" fontId="2" fillId="0" borderId="0" applyFont="0" applyFill="0" applyBorder="0" applyAlignment="0"/>
    <xf numFmtId="221" fontId="60" fillId="0" borderId="0" applyFont="0" applyFill="0" applyBorder="0" applyAlignment="0" applyProtection="0"/>
    <xf numFmtId="0" fontId="48" fillId="0" borderId="21" applyBorder="0" applyAlignment="0" applyProtection="0">
      <alignment horizontal="center"/>
    </xf>
    <xf numFmtId="37" fontId="107" fillId="0" borderId="0" applyNumberFormat="0" applyFont="0" applyFill="0" applyBorder="0" applyAlignment="0" applyProtection="0"/>
    <xf numFmtId="0" fontId="6" fillId="0" borderId="0" applyNumberFormat="0" applyFill="0" applyBorder="0" applyAlignment="0" applyProtection="0">
      <alignment vertical="center"/>
    </xf>
    <xf numFmtId="38" fontId="56" fillId="0" borderId="9" applyFont="0" applyFill="0" applyBorder="0" applyAlignment="0" applyProtection="0"/>
    <xf numFmtId="43" fontId="56" fillId="0" borderId="0" applyFont="0" applyFill="0" applyBorder="0" applyAlignment="0" applyProtection="0"/>
    <xf numFmtId="41" fontId="56" fillId="0" borderId="0" applyFont="0" applyFill="0" applyBorder="0" applyAlignment="0" applyProtection="0"/>
    <xf numFmtId="233" fontId="88" fillId="47" borderId="8" applyFont="0" applyBorder="0"/>
    <xf numFmtId="0" fontId="101" fillId="0" borderId="0"/>
    <xf numFmtId="14" fontId="73" fillId="0" borderId="0">
      <alignment horizontal="center" wrapText="1"/>
      <protection locked="0"/>
    </xf>
    <xf numFmtId="10" fontId="2" fillId="0" borderId="0" applyFont="0" applyFill="0" applyBorder="0" applyAlignment="0" applyProtection="0"/>
    <xf numFmtId="234" fontId="56" fillId="0" borderId="0" applyFont="0" applyFill="0" applyBorder="0" applyAlignment="0" applyProtection="0"/>
    <xf numFmtId="226" fontId="89" fillId="0" borderId="0" applyFill="0" applyBorder="0" applyAlignment="0" applyProtection="0"/>
    <xf numFmtId="225" fontId="2" fillId="0" borderId="0" applyFont="0" applyFill="0" applyBorder="0" applyAlignment="0"/>
    <xf numFmtId="9" fontId="60" fillId="0" borderId="0" applyFont="0" applyFill="0" applyBorder="0" applyAlignment="0" applyProtection="0"/>
    <xf numFmtId="0" fontId="56" fillId="0" borderId="35" applyNumberFormat="0" applyFont="0" applyFill="0" applyAlignment="0" applyProtection="0"/>
    <xf numFmtId="0" fontId="63" fillId="41" borderId="27" applyNumberFormat="0" applyBorder="0" applyProtection="0">
      <alignment horizontal="left" wrapText="1"/>
    </xf>
    <xf numFmtId="0" fontId="63" fillId="41" borderId="0" applyNumberFormat="0" applyBorder="0" applyProtection="0">
      <alignment horizontal="left"/>
    </xf>
    <xf numFmtId="0" fontId="108" fillId="24" borderId="0" applyFont="0" applyFill="0" applyAlignment="0"/>
    <xf numFmtId="0" fontId="6" fillId="0" borderId="0" applyNumberFormat="0" applyFont="0" applyFill="0" applyBorder="0" applyAlignment="0" applyProtection="0"/>
    <xf numFmtId="0" fontId="56" fillId="0" borderId="0" applyNumberFormat="0" applyFont="0" applyFill="0" applyBorder="0" applyAlignment="0" applyProtection="0"/>
    <xf numFmtId="0" fontId="56" fillId="0" borderId="0" applyNumberFormat="0" applyFont="0" applyFill="0" applyBorder="0" applyAlignment="0" applyProtection="0"/>
    <xf numFmtId="0" fontId="56" fillId="0" borderId="0" applyNumberFormat="0" applyFont="0" applyFill="0" applyBorder="0" applyAlignment="0" applyProtection="0"/>
    <xf numFmtId="0" fontId="56" fillId="0" borderId="36" applyNumberFormat="0" applyFont="0" applyFill="0" applyAlignment="0" applyProtection="0"/>
    <xf numFmtId="228" fontId="90" fillId="0" borderId="8" applyNumberFormat="0" applyFill="0" applyBorder="0">
      <protection locked="0"/>
    </xf>
    <xf numFmtId="215" fontId="61" fillId="0" borderId="0" applyFill="0" applyBorder="0">
      <alignment horizontal="right"/>
      <protection hidden="1"/>
    </xf>
    <xf numFmtId="0" fontId="91" fillId="0" borderId="0" applyNumberFormat="0" applyFill="0" applyBorder="0" applyProtection="0">
      <alignment horizontal="left" vertical="center"/>
    </xf>
    <xf numFmtId="40" fontId="5" fillId="0" borderId="0" applyFont="0" applyFill="0" applyBorder="0" applyAlignment="0" applyProtection="0"/>
    <xf numFmtId="0" fontId="102" fillId="0" borderId="0" applyFill="0" applyBorder="0" applyAlignment="0" applyProtection="0"/>
    <xf numFmtId="40" fontId="56" fillId="0" borderId="0" applyFont="0" applyFill="0" applyBorder="0" applyAlignment="0" applyProtection="0"/>
    <xf numFmtId="235" fontId="56" fillId="0" borderId="0" applyFont="0" applyFill="0" applyBorder="0" applyAlignment="0" applyProtection="0"/>
    <xf numFmtId="183" fontId="86" fillId="0" borderId="0" applyNumberFormat="0" applyFill="0" applyBorder="0" applyAlignment="0"/>
    <xf numFmtId="0" fontId="56" fillId="0" borderId="0" applyFont="0" applyFill="0" applyBorder="0" applyAlignment="0" applyProtection="0"/>
    <xf numFmtId="0" fontId="2" fillId="0" borderId="0"/>
    <xf numFmtId="223" fontId="6" fillId="0" borderId="0">
      <alignment horizontal="right"/>
    </xf>
    <xf numFmtId="3" fontId="6" fillId="0" borderId="0">
      <alignment horizontal="right"/>
    </xf>
    <xf numFmtId="0" fontId="56" fillId="0" borderId="0" applyNumberFormat="0" applyFill="0" applyBorder="0" applyAlignment="0" applyProtection="0"/>
    <xf numFmtId="0" fontId="80" fillId="0" borderId="0" applyNumberFormat="0" applyFill="0" applyBorder="0" applyAlignment="0" applyProtection="0"/>
    <xf numFmtId="0" fontId="2" fillId="0" borderId="2" applyFill="0" applyAlignment="0" applyProtection="0"/>
    <xf numFmtId="0" fontId="63" fillId="41" borderId="28" applyNumberFormat="0" applyProtection="0">
      <alignment horizontal="left" vertical="center"/>
    </xf>
    <xf numFmtId="228" fontId="82" fillId="0" borderId="0" applyNumberFormat="0" applyFill="0" applyBorder="0" applyAlignment="0"/>
    <xf numFmtId="0" fontId="66" fillId="26" borderId="0" applyNumberFormat="0" applyAlignment="0" applyProtection="0">
      <alignment horizontal="left" vertical="center" wrapText="1"/>
    </xf>
    <xf numFmtId="209" fontId="2" fillId="0" borderId="0" applyNumberFormat="0"/>
    <xf numFmtId="0" fontId="56" fillId="41" borderId="0" applyNumberFormat="0" applyBorder="0" applyProtection="0">
      <alignment horizontal="left"/>
    </xf>
    <xf numFmtId="0" fontId="102" fillId="0" borderId="0" applyFont="0" applyFill="0" applyBorder="0" applyAlignment="0" applyProtection="0"/>
    <xf numFmtId="41" fontId="3" fillId="0" borderId="0" applyFont="0" applyFill="0" applyBorder="0" applyAlignment="0" applyProtection="0"/>
    <xf numFmtId="0" fontId="109" fillId="0" borderId="0"/>
    <xf numFmtId="237" fontId="111" fillId="0" borderId="0"/>
    <xf numFmtId="238" fontId="111" fillId="0" borderId="0"/>
    <xf numFmtId="239" fontId="111" fillId="0" borderId="0"/>
    <xf numFmtId="0" fontId="64" fillId="0" borderId="37" applyNumberFormat="0" applyAlignment="0" applyProtection="0">
      <alignment horizontal="left" vertical="center"/>
    </xf>
    <xf numFmtId="0" fontId="64" fillId="0" borderId="1">
      <alignment horizontal="left" vertical="center"/>
    </xf>
    <xf numFmtId="10" fontId="6" fillId="46" borderId="5" applyNumberFormat="0" applyBorder="0" applyAlignment="0" applyProtection="0"/>
    <xf numFmtId="0" fontId="113" fillId="0" borderId="28"/>
    <xf numFmtId="240" fontId="110" fillId="0" borderId="0"/>
    <xf numFmtId="9" fontId="110" fillId="0" borderId="0" applyFont="0" applyFill="0" applyBorder="0" applyAlignment="0" applyProtection="0">
      <alignment vertical="center"/>
    </xf>
    <xf numFmtId="9" fontId="110" fillId="0" borderId="0" applyFont="0" applyFill="0" applyBorder="0" applyAlignment="0" applyProtection="0">
      <alignment vertical="center"/>
    </xf>
    <xf numFmtId="41" fontId="110" fillId="0" borderId="0" applyFont="0" applyFill="0" applyBorder="0" applyAlignment="0" applyProtection="0">
      <alignment vertical="center"/>
    </xf>
    <xf numFmtId="241" fontId="111" fillId="0" borderId="0" applyFont="0" applyFill="0" applyBorder="0" applyAlignment="0" applyProtection="0"/>
    <xf numFmtId="0" fontId="114" fillId="0" borderId="0">
      <alignment vertical="top"/>
    </xf>
    <xf numFmtId="0" fontId="115" fillId="0" borderId="0">
      <alignment vertical="center"/>
    </xf>
    <xf numFmtId="0" fontId="110" fillId="0" borderId="0">
      <alignment vertical="top"/>
    </xf>
    <xf numFmtId="9" fontId="110" fillId="0" borderId="0" applyFont="0" applyFill="0" applyBorder="0" applyAlignment="0" applyProtection="0">
      <alignment vertical="center"/>
    </xf>
    <xf numFmtId="41" fontId="110" fillId="0" borderId="0" applyFont="0" applyFill="0" applyBorder="0" applyAlignment="0" applyProtection="0">
      <alignment vertical="center"/>
    </xf>
    <xf numFmtId="0" fontId="110" fillId="0" borderId="0"/>
    <xf numFmtId="0" fontId="109" fillId="0" borderId="0"/>
    <xf numFmtId="38" fontId="6" fillId="46" borderId="0" applyNumberFormat="0" applyBorder="0" applyAlignment="0" applyProtection="0"/>
    <xf numFmtId="0" fontId="112" fillId="0" borderId="0">
      <alignment horizontal="left"/>
    </xf>
    <xf numFmtId="10" fontId="6" fillId="46" borderId="5" applyNumberFormat="0" applyBorder="0" applyAlignment="0" applyProtection="0"/>
    <xf numFmtId="0" fontId="113" fillId="0" borderId="28"/>
    <xf numFmtId="240" fontId="110" fillId="0" borderId="0"/>
    <xf numFmtId="0" fontId="113" fillId="0" borderId="0"/>
    <xf numFmtId="0" fontId="110" fillId="0" borderId="0">
      <alignment vertical="top"/>
    </xf>
    <xf numFmtId="9" fontId="110" fillId="0" borderId="0" applyFont="0" applyFill="0" applyBorder="0" applyAlignment="0" applyProtection="0">
      <alignment vertical="center"/>
    </xf>
    <xf numFmtId="0" fontId="111" fillId="0" borderId="0"/>
    <xf numFmtId="0" fontId="116" fillId="0" borderId="0"/>
    <xf numFmtId="0" fontId="2" fillId="0" borderId="0"/>
    <xf numFmtId="0" fontId="111" fillId="0" borderId="0"/>
    <xf numFmtId="0" fontId="80" fillId="0" borderId="0"/>
    <xf numFmtId="38" fontId="117" fillId="0" borderId="31">
      <alignment horizontal="right" vertical="center"/>
      <protection locked="0"/>
    </xf>
    <xf numFmtId="0" fontId="110" fillId="0" borderId="0"/>
    <xf numFmtId="0" fontId="110" fillId="0" borderId="0"/>
    <xf numFmtId="0" fontId="119" fillId="0" borderId="0" applyFont="0" applyFill="0" applyBorder="0" applyAlignment="0" applyProtection="0"/>
    <xf numFmtId="0" fontId="119" fillId="0" borderId="0" applyFont="0" applyFill="0" applyBorder="0" applyAlignment="0" applyProtection="0"/>
    <xf numFmtId="0" fontId="119" fillId="0" borderId="0" applyFont="0" applyFill="0" applyBorder="0" applyAlignment="0" applyProtection="0"/>
    <xf numFmtId="0" fontId="119" fillId="0" borderId="0" applyFont="0" applyFill="0" applyBorder="0" applyAlignment="0" applyProtection="0"/>
    <xf numFmtId="0" fontId="119" fillId="0" borderId="0"/>
    <xf numFmtId="242" fontId="110" fillId="0" borderId="0" applyFont="0" applyFill="0" applyBorder="0" applyAlignment="0" applyProtection="0"/>
    <xf numFmtId="2" fontId="81" fillId="0" borderId="0" applyFill="0" applyBorder="0" applyAlignment="0" applyProtection="0"/>
    <xf numFmtId="0" fontId="67" fillId="0" borderId="0" applyNumberFormat="0" applyFill="0" applyBorder="0" applyAlignment="0" applyProtection="0"/>
    <xf numFmtId="0" fontId="64" fillId="0" borderId="0" applyNumberFormat="0" applyFill="0" applyBorder="0" applyAlignment="0" applyProtection="0"/>
    <xf numFmtId="2" fontId="120" fillId="0" borderId="0" applyFon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0" fillId="0" borderId="0" applyFont="0" applyFill="0" applyBorder="0" applyAlignment="0" applyProtection="0"/>
    <xf numFmtId="0" fontId="120" fillId="0" borderId="0" applyFont="0" applyFill="0" applyBorder="0" applyAlignment="0" applyProtection="0"/>
    <xf numFmtId="38" fontId="123" fillId="0" borderId="0" applyFont="0" applyFill="0" applyBorder="0" applyAlignment="0" applyProtection="0"/>
    <xf numFmtId="0" fontId="123" fillId="0" borderId="0" applyFont="0" applyFill="0" applyBorder="0" applyAlignment="0" applyProtection="0"/>
    <xf numFmtId="0" fontId="123" fillId="0" borderId="0" applyFont="0" applyFill="0" applyBorder="0" applyAlignment="0" applyProtection="0"/>
    <xf numFmtId="0" fontId="125" fillId="0" borderId="0"/>
    <xf numFmtId="41" fontId="110"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26" fillId="0" borderId="0" applyFont="0" applyFill="0" applyBorder="0" applyAlignment="0" applyProtection="0">
      <alignment vertical="center"/>
    </xf>
    <xf numFmtId="41" fontId="110" fillId="0" borderId="0" applyFont="0" applyFill="0" applyBorder="0" applyAlignment="0" applyProtection="0">
      <alignment vertical="center"/>
    </xf>
    <xf numFmtId="41" fontId="110" fillId="0" borderId="0" applyFont="0" applyFill="0" applyBorder="0" applyAlignment="0" applyProtection="0"/>
    <xf numFmtId="41" fontId="127" fillId="0" borderId="0" applyFont="0" applyFill="0" applyBorder="0" applyAlignment="0" applyProtection="0">
      <alignment vertical="center"/>
    </xf>
    <xf numFmtId="41" fontId="124" fillId="0" borderId="0" applyFont="0" applyFill="0" applyBorder="0" applyAlignment="0" applyProtection="0">
      <alignment vertical="center"/>
    </xf>
    <xf numFmtId="41" fontId="110" fillId="0" borderId="0" applyFont="0" applyFill="0" applyBorder="0" applyAlignment="0" applyProtection="0">
      <alignment vertical="center"/>
    </xf>
    <xf numFmtId="0" fontId="128" fillId="0" borderId="14" applyNumberFormat="0" applyFill="0" applyAlignment="0" applyProtection="0">
      <alignment vertical="center"/>
    </xf>
    <xf numFmtId="4" fontId="120" fillId="0" borderId="0" applyFont="0" applyFill="0" applyBorder="0" applyAlignment="0" applyProtection="0"/>
    <xf numFmtId="3" fontId="120" fillId="0" borderId="0" applyFont="0" applyFill="0" applyBorder="0" applyAlignment="0" applyProtection="0"/>
    <xf numFmtId="243" fontId="111" fillId="0" borderId="0" applyFont="0" applyFill="0" applyBorder="0" applyAlignment="0" applyProtection="0"/>
    <xf numFmtId="244" fontId="111" fillId="0" borderId="0" applyFont="0" applyFill="0" applyBorder="0" applyAlignment="0" applyProtection="0"/>
    <xf numFmtId="10" fontId="120" fillId="0" borderId="0" applyFont="0" applyFill="0" applyBorder="0" applyAlignment="0" applyProtection="0"/>
    <xf numFmtId="0" fontId="118" fillId="0" borderId="0">
      <alignment vertical="center"/>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24" fillId="0" borderId="0"/>
    <xf numFmtId="0" fontId="110" fillId="0" borderId="0">
      <alignment vertical="center"/>
    </xf>
    <xf numFmtId="0" fontId="110" fillId="0" borderId="0">
      <alignment vertical="center"/>
    </xf>
    <xf numFmtId="0" fontId="118" fillId="0" borderId="0">
      <alignment vertical="center"/>
    </xf>
    <xf numFmtId="0" fontId="118" fillId="0" borderId="0">
      <alignment vertical="center"/>
    </xf>
    <xf numFmtId="0" fontId="120" fillId="0" borderId="36" applyNumberFormat="0" applyFont="0" applyFill="0" applyAlignment="0" applyProtection="0"/>
    <xf numFmtId="0" fontId="110" fillId="0" borderId="0" applyFont="0" applyFill="0" applyBorder="0" applyAlignment="0" applyProtection="0"/>
    <xf numFmtId="245" fontId="120" fillId="0" borderId="0" applyFont="0" applyFill="0" applyBorder="0" applyAlignment="0" applyProtection="0"/>
    <xf numFmtId="0" fontId="3" fillId="0" borderId="0"/>
    <xf numFmtId="0" fontId="130" fillId="0" borderId="0" applyNumberFormat="0" applyFill="0" applyBorder="0" applyAlignment="0" applyProtection="0"/>
    <xf numFmtId="0" fontId="59" fillId="0" borderId="0" applyNumberFormat="0" applyFill="0" applyBorder="0" applyAlignment="0" applyProtection="0"/>
    <xf numFmtId="0" fontId="3" fillId="0" borderId="0"/>
    <xf numFmtId="0" fontId="131" fillId="0" borderId="0" applyNumberFormat="0" applyFont="0" applyFill="0" applyBorder="0" applyAlignment="0" applyProtection="0"/>
    <xf numFmtId="0" fontId="2" fillId="0" borderId="0"/>
    <xf numFmtId="0" fontId="2" fillId="0" borderId="0"/>
    <xf numFmtId="212" fontId="2" fillId="0" borderId="0" applyFont="0" applyFill="0" applyBorder="0" applyAlignment="0" applyProtection="0"/>
    <xf numFmtId="246"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131" fillId="0" borderId="0" applyNumberFormat="0" applyFill="0" applyBorder="0" applyAlignment="0" applyProtection="0"/>
    <xf numFmtId="0" fontId="2" fillId="0" borderId="0" applyFont="0" applyFill="0" applyBorder="0" applyAlignment="0" applyProtection="0"/>
    <xf numFmtId="0" fontId="2" fillId="0" borderId="0"/>
    <xf numFmtId="247" fontId="2" fillId="0" borderId="0" applyFont="0" applyFill="0" applyBorder="0" applyAlignment="0" applyProtection="0"/>
    <xf numFmtId="248" fontId="2" fillId="0" borderId="0" applyFont="0" applyFill="0" applyBorder="0" applyAlignment="0" applyProtection="0"/>
    <xf numFmtId="249" fontId="2" fillId="0" borderId="0" applyFont="0" applyFill="0" applyBorder="0" applyAlignment="0" applyProtection="0"/>
    <xf numFmtId="250" fontId="2" fillId="0" borderId="0" applyFont="0" applyFill="0" applyBorder="0" applyAlignment="0" applyProtection="0"/>
    <xf numFmtId="0" fontId="132" fillId="0" borderId="0"/>
    <xf numFmtId="0" fontId="2" fillId="0" borderId="0"/>
    <xf numFmtId="0" fontId="2" fillId="0" borderId="0"/>
    <xf numFmtId="0" fontId="2" fillId="0" borderId="0" applyFont="0" applyFill="0" applyBorder="0" applyAlignment="0" applyProtection="0"/>
    <xf numFmtId="251" fontId="2" fillId="0" borderId="0" applyFont="0" applyFill="0" applyBorder="0" applyAlignment="0" applyProtection="0"/>
    <xf numFmtId="168" fontId="2" fillId="0" borderId="0" applyNumberFormat="0" applyFill="0" applyBorder="0" applyAlignment="0"/>
    <xf numFmtId="252" fontId="2" fillId="0" borderId="0" applyFill="0" applyBorder="0" applyProtection="0">
      <alignment horizontal="right"/>
    </xf>
    <xf numFmtId="0" fontId="2" fillId="0" borderId="0" applyFont="0" applyFill="0" applyBorder="0" applyAlignment="0" applyProtection="0"/>
    <xf numFmtId="0" fontId="2" fillId="0" borderId="0" applyFont="0" applyFill="0" applyBorder="0" applyAlignment="0" applyProtection="0"/>
    <xf numFmtId="169" fontId="133" fillId="43" borderId="0">
      <alignment horizontal="left"/>
    </xf>
    <xf numFmtId="183" fontId="134" fillId="46" borderId="0" applyNumberFormat="0" applyFill="0" applyBorder="0" applyAlignment="0" applyProtection="0">
      <alignment horizontal="right"/>
    </xf>
    <xf numFmtId="0" fontId="2" fillId="0" borderId="0" applyFont="0" applyFill="0" applyBorder="0" applyAlignment="0" applyProtection="0"/>
    <xf numFmtId="43" fontId="2" fillId="0" borderId="0" applyFont="0" applyFill="0" applyBorder="0" applyAlignment="0" applyProtection="0"/>
    <xf numFmtId="253" fontId="73" fillId="0" borderId="0" applyFill="0" applyBorder="0" applyAlignment="0" applyProtection="0">
      <protection locked="0"/>
    </xf>
    <xf numFmtId="0" fontId="135" fillId="34" borderId="0"/>
    <xf numFmtId="212" fontId="56" fillId="0" borderId="0" applyNumberFormat="0" applyFont="0" applyAlignment="0" applyProtection="0"/>
    <xf numFmtId="0" fontId="136" fillId="7" borderId="0" applyNumberFormat="0" applyBorder="0">
      <alignment horizontal="center" vertical="center"/>
    </xf>
    <xf numFmtId="0" fontId="2" fillId="0" borderId="0"/>
    <xf numFmtId="253" fontId="73" fillId="0" borderId="0" applyFont="0" applyFill="0" applyBorder="0" applyAlignment="0" applyProtection="0">
      <protection locked="0"/>
    </xf>
    <xf numFmtId="0" fontId="66" fillId="26" borderId="0" applyNumberFormat="0">
      <alignment horizontal="left" vertical="top" wrapText="1"/>
    </xf>
    <xf numFmtId="0" fontId="66" fillId="26" borderId="0" applyNumberFormat="0">
      <alignment horizontal="centerContinuous" vertical="top"/>
    </xf>
    <xf numFmtId="0" fontId="50" fillId="26" borderId="0" applyNumberFormat="0">
      <alignment horizontal="center" vertical="top" wrapText="1"/>
    </xf>
    <xf numFmtId="0" fontId="66" fillId="4" borderId="0" applyNumberFormat="0">
      <alignment horizontal="center" vertical="top" wrapText="1"/>
    </xf>
    <xf numFmtId="43" fontId="2" fillId="0" borderId="0" applyFont="0" applyFill="0" applyBorder="0" applyAlignment="0" applyProtection="0"/>
    <xf numFmtId="178" fontId="50" fillId="0" borderId="0" applyFont="0" applyFill="0" applyBorder="0" applyAlignment="0" applyProtection="0">
      <alignment vertical="center"/>
    </xf>
    <xf numFmtId="43" fontId="3" fillId="0" borderId="0" applyFont="0" applyFill="0" applyBorder="0" applyAlignment="0" applyProtection="0"/>
    <xf numFmtId="0" fontId="60" fillId="0" borderId="0" applyFont="0" applyFill="0" applyBorder="0" applyAlignment="0" applyProtection="0"/>
    <xf numFmtId="212" fontId="6" fillId="0" borderId="0"/>
    <xf numFmtId="3" fontId="137" fillId="0" borderId="0" applyFont="0" applyFill="0" applyBorder="0" applyAlignment="0" applyProtection="0"/>
    <xf numFmtId="0" fontId="2" fillId="0" borderId="0">
      <alignment horizontal="left"/>
    </xf>
    <xf numFmtId="0" fontId="2" fillId="0" borderId="0"/>
    <xf numFmtId="0" fontId="2" fillId="0" borderId="0">
      <alignment horizontal="left"/>
    </xf>
    <xf numFmtId="254" fontId="2" fillId="0" borderId="0"/>
    <xf numFmtId="8" fontId="2" fillId="0" borderId="0" applyFont="0" applyFill="0" applyBorder="0" applyAlignment="0"/>
    <xf numFmtId="255" fontId="2" fillId="0" borderId="0" applyFont="0" applyFill="0" applyBorder="0" applyAlignment="0" applyProtection="0"/>
    <xf numFmtId="15" fontId="92" fillId="0" borderId="0" applyFill="0" applyBorder="0" applyAlignment="0"/>
    <xf numFmtId="0" fontId="92" fillId="43" borderId="0" applyFont="0" applyFill="0" applyBorder="0" applyAlignment="0" applyProtection="0"/>
    <xf numFmtId="256" fontId="2" fillId="43" borderId="29" applyFont="0" applyFill="0" applyBorder="0" applyAlignment="0" applyProtection="0"/>
    <xf numFmtId="257" fontId="2" fillId="43" borderId="0" applyFont="0" applyFill="0" applyBorder="0" applyAlignment="0" applyProtection="0"/>
    <xf numFmtId="17" fontId="92" fillId="0" borderId="0" applyFill="0" applyBorder="0">
      <alignment horizontal="right"/>
    </xf>
    <xf numFmtId="166" fontId="2" fillId="0" borderId="2" applyFont="0" applyFill="0" applyBorder="0" applyAlignment="0" applyProtection="0"/>
    <xf numFmtId="0" fontId="2" fillId="0" borderId="0">
      <alignment horizontal="right"/>
      <protection locked="0"/>
    </xf>
    <xf numFmtId="257" fontId="2" fillId="0" borderId="0" applyFill="0" applyBorder="0">
      <alignment horizontal="right"/>
    </xf>
    <xf numFmtId="14" fontId="138" fillId="0" borderId="0" applyFont="0" applyFill="0" applyBorder="0" applyAlignment="0" applyProtection="0">
      <alignment horizontal="center"/>
    </xf>
    <xf numFmtId="258" fontId="138" fillId="0" borderId="0" applyFont="0" applyFill="0" applyBorder="0" applyAlignment="0" applyProtection="0">
      <alignment horizontal="center"/>
    </xf>
    <xf numFmtId="0" fontId="48" fillId="0" borderId="0">
      <protection locked="0"/>
    </xf>
    <xf numFmtId="8" fontId="73" fillId="0" borderId="0" applyFont="0" applyFill="0" applyBorder="0" applyAlignment="0" applyProtection="0"/>
    <xf numFmtId="0" fontId="6" fillId="0" borderId="0"/>
    <xf numFmtId="6" fontId="73" fillId="0" borderId="0" applyFont="0" applyFill="0" applyBorder="0" applyAlignment="0" applyProtection="0"/>
    <xf numFmtId="167" fontId="139" fillId="0" borderId="38" applyNumberFormat="0" applyAlignment="0" applyProtection="0">
      <alignment vertical="top"/>
    </xf>
    <xf numFmtId="0" fontId="6" fillId="48" borderId="0" applyNumberFormat="0" applyFont="0" applyBorder="0" applyAlignment="0" applyProtection="0"/>
    <xf numFmtId="167" fontId="58" fillId="0" borderId="0" applyNumberFormat="0"/>
    <xf numFmtId="8" fontId="73" fillId="0" borderId="0" applyFont="0" applyFill="0" applyBorder="0" applyAlignment="0" applyProtection="0">
      <alignment horizontal="right"/>
    </xf>
    <xf numFmtId="259" fontId="56" fillId="0" borderId="0" applyFont="0" applyFill="0" applyBorder="0" applyProtection="0">
      <alignment horizontal="left"/>
      <protection locked="0"/>
    </xf>
    <xf numFmtId="260" fontId="56" fillId="0" borderId="0" applyFont="0" applyFill="0" applyBorder="0" applyProtection="0">
      <alignment horizontal="left"/>
      <protection locked="0"/>
    </xf>
    <xf numFmtId="261" fontId="56" fillId="46" borderId="0">
      <alignment horizontal="right"/>
    </xf>
    <xf numFmtId="2" fontId="137" fillId="0" borderId="0" applyFont="0" applyFill="0" applyBorder="0" applyAlignment="0" applyProtection="0"/>
    <xf numFmtId="0" fontId="2" fillId="43" borderId="0" applyFont="0" applyFill="0" applyBorder="0" applyAlignment="0"/>
    <xf numFmtId="0" fontId="6" fillId="0" borderId="0"/>
    <xf numFmtId="0" fontId="140" fillId="0" borderId="0" applyNumberFormat="0" applyFill="0" applyBorder="0" applyAlignment="0" applyProtection="0">
      <alignment vertical="top"/>
      <protection locked="0"/>
    </xf>
    <xf numFmtId="0" fontId="2" fillId="0" borderId="0">
      <alignment horizontal="left"/>
    </xf>
    <xf numFmtId="0" fontId="2" fillId="0" borderId="0">
      <alignment horizontal="left"/>
    </xf>
    <xf numFmtId="0" fontId="2" fillId="0" borderId="0">
      <alignment horizontal="left"/>
    </xf>
    <xf numFmtId="0" fontId="2" fillId="0" borderId="0">
      <alignment horizontal="left"/>
    </xf>
    <xf numFmtId="262" fontId="73" fillId="0" borderId="0" applyFill="0" applyBorder="0" applyAlignment="0" applyProtection="0">
      <protection locked="0"/>
    </xf>
    <xf numFmtId="38" fontId="6" fillId="35" borderId="0" applyNumberFormat="0" applyFont="0" applyBorder="0" applyAlignment="0">
      <protection hidden="1"/>
    </xf>
    <xf numFmtId="263" fontId="141" fillId="0" borderId="0" applyFill="0" applyBorder="0" applyAlignment="0" applyProtection="0"/>
    <xf numFmtId="263" fontId="142" fillId="0" borderId="0" applyAlignment="0">
      <alignment horizontal="left"/>
      <protection locked="0"/>
    </xf>
    <xf numFmtId="0" fontId="56" fillId="0" borderId="0"/>
    <xf numFmtId="223" fontId="143" fillId="0" borderId="0" applyNumberFormat="0" applyFill="0" applyBorder="0" applyAlignment="0" applyProtection="0"/>
    <xf numFmtId="264" fontId="92" fillId="43" borderId="5" applyNumberFormat="0" applyFont="0" applyAlignment="0"/>
    <xf numFmtId="0" fontId="2" fillId="1" borderId="0" applyNumberFormat="0" applyBorder="0" applyProtection="0">
      <alignment horizontal="left" vertical="center"/>
    </xf>
    <xf numFmtId="0" fontId="2" fillId="0" borderId="0">
      <alignment horizontal="left"/>
    </xf>
    <xf numFmtId="0" fontId="144" fillId="39" borderId="0">
      <alignment horizontal="left"/>
    </xf>
    <xf numFmtId="0" fontId="2" fillId="49" borderId="0"/>
    <xf numFmtId="0" fontId="2" fillId="0" borderId="0">
      <alignment horizontal="left"/>
    </xf>
    <xf numFmtId="0" fontId="2" fillId="0" borderId="8">
      <alignment horizontal="left" vertical="top"/>
    </xf>
    <xf numFmtId="0" fontId="2" fillId="0" borderId="0">
      <alignment horizontal="left"/>
    </xf>
    <xf numFmtId="0" fontId="2" fillId="0" borderId="8">
      <alignment horizontal="left" vertical="top"/>
    </xf>
    <xf numFmtId="0" fontId="2" fillId="0" borderId="0">
      <alignment horizontal="left"/>
    </xf>
    <xf numFmtId="0" fontId="146" fillId="0" borderId="0"/>
    <xf numFmtId="265" fontId="147" fillId="0" borderId="0" applyNumberFormat="0" applyFill="0" applyBorder="0" applyAlignment="0"/>
    <xf numFmtId="0" fontId="148" fillId="0" borderId="0" applyNumberFormat="0" applyFill="0" applyBorder="0" applyAlignment="0" applyProtection="0">
      <alignment vertical="top"/>
      <protection locked="0"/>
    </xf>
    <xf numFmtId="262" fontId="73" fillId="0" borderId="0" applyFill="0" applyBorder="0" applyAlignment="0" applyProtection="0">
      <alignment horizontal="right"/>
      <protection locked="0"/>
    </xf>
    <xf numFmtId="8" fontId="6" fillId="0" borderId="0"/>
    <xf numFmtId="257" fontId="2" fillId="43" borderId="0" applyFont="0" applyBorder="0" applyAlignment="0" applyProtection="0">
      <protection locked="0"/>
    </xf>
    <xf numFmtId="0" fontId="6" fillId="43" borderId="0" applyFont="0" applyBorder="0" applyAlignment="0">
      <protection locked="0"/>
    </xf>
    <xf numFmtId="262" fontId="6" fillId="43" borderId="0">
      <protection locked="0"/>
    </xf>
    <xf numFmtId="266" fontId="2" fillId="43" borderId="0" applyFont="0" applyBorder="0" applyAlignment="0">
      <protection locked="0"/>
    </xf>
    <xf numFmtId="10" fontId="6" fillId="43" borderId="0">
      <protection locked="0"/>
    </xf>
    <xf numFmtId="0" fontId="6" fillId="43" borderId="0" applyFont="0" applyBorder="0" applyAlignment="0">
      <protection locked="0"/>
    </xf>
    <xf numFmtId="262" fontId="149" fillId="43" borderId="0" applyNumberFormat="0" applyBorder="0" applyAlignment="0">
      <protection locked="0"/>
    </xf>
    <xf numFmtId="0" fontId="2" fillId="43" borderId="5"/>
    <xf numFmtId="0" fontId="2" fillId="43" borderId="5"/>
    <xf numFmtId="0" fontId="48" fillId="0" borderId="0" applyNumberFormat="0" applyFill="0" applyBorder="0" applyAlignment="0">
      <protection locked="0"/>
    </xf>
    <xf numFmtId="212" fontId="150" fillId="0" borderId="0" applyNumberFormat="0" applyFont="0" applyFill="0" applyBorder="0" applyAlignment="0">
      <protection hidden="1"/>
    </xf>
    <xf numFmtId="0" fontId="151" fillId="0" borderId="0"/>
    <xf numFmtId="218" fontId="81" fillId="30" borderId="0" applyBorder="0" applyAlignment="0">
      <alignment horizontal="right"/>
    </xf>
    <xf numFmtId="226" fontId="152" fillId="0" borderId="0" applyFill="0" applyBorder="0" applyAlignment="0" applyProtection="0"/>
    <xf numFmtId="168" fontId="2" fillId="35" borderId="0" applyFont="0" applyBorder="0" applyAlignment="0" applyProtection="0">
      <alignment horizontal="right"/>
      <protection hidden="1"/>
    </xf>
    <xf numFmtId="0" fontId="48" fillId="0" borderId="21" applyBorder="0" applyAlignment="0" applyProtection="0">
      <alignment horizontal="center"/>
    </xf>
    <xf numFmtId="37" fontId="153" fillId="0" borderId="0"/>
    <xf numFmtId="1" fontId="154" fillId="0" borderId="0" applyFill="0" applyBorder="0"/>
    <xf numFmtId="38" fontId="6" fillId="0" borderId="0" applyFont="0" applyFill="0" applyBorder="0" applyAlignment="0"/>
    <xf numFmtId="262" fontId="2" fillId="0" borderId="0" applyFont="0" applyFill="0" applyBorder="0" applyAlignment="0"/>
    <xf numFmtId="40" fontId="6" fillId="0" borderId="0" applyFont="0" applyFill="0" applyBorder="0" applyAlignment="0"/>
    <xf numFmtId="244" fontId="2" fillId="0" borderId="0" applyFont="0" applyFill="0" applyBorder="0" applyAlignment="0"/>
    <xf numFmtId="0" fontId="129" fillId="0" borderId="0"/>
    <xf numFmtId="0" fontId="50" fillId="0" borderId="0"/>
    <xf numFmtId="0" fontId="129" fillId="0" borderId="0"/>
    <xf numFmtId="0" fontId="129" fillId="0" borderId="0"/>
    <xf numFmtId="262" fontId="92" fillId="0" borderId="0" applyNumberFormat="0" applyFill="0" applyBorder="0" applyAlignment="0" applyProtection="0"/>
    <xf numFmtId="0" fontId="6" fillId="0" borderId="0" applyFont="0" applyFill="0" applyBorder="0" applyAlignment="0" applyProtection="0"/>
    <xf numFmtId="223" fontId="56" fillId="0" borderId="0" applyFill="0" applyBorder="0" applyAlignment="0" applyProtection="0"/>
    <xf numFmtId="0" fontId="2" fillId="0" borderId="0"/>
    <xf numFmtId="165" fontId="2" fillId="0" borderId="0"/>
    <xf numFmtId="0" fontId="89" fillId="0" borderId="19"/>
    <xf numFmtId="267" fontId="2" fillId="0" borderId="0" applyFont="0" applyFill="0" applyBorder="0" applyAlignment="0" applyProtection="0"/>
    <xf numFmtId="172" fontId="2" fillId="0" borderId="0" applyFont="0" applyFill="0" applyBorder="0" applyAlignment="0" applyProtection="0"/>
    <xf numFmtId="0" fontId="2" fillId="0" borderId="5">
      <alignment vertical="center" wrapText="1"/>
    </xf>
    <xf numFmtId="0" fontId="63" fillId="0" borderId="39" applyNumberFormat="0" applyAlignment="0" applyProtection="0"/>
    <xf numFmtId="0" fontId="56" fillId="26" borderId="0" applyNumberFormat="0" applyFont="0" applyBorder="0" applyAlignment="0" applyProtection="0"/>
    <xf numFmtId="0" fontId="6" fillId="4" borderId="19" applyNumberFormat="0" applyFont="0" applyBorder="0" applyAlignment="0" applyProtection="0">
      <alignment horizontal="center"/>
    </xf>
    <xf numFmtId="0" fontId="6" fillId="6" borderId="19" applyNumberFormat="0" applyFont="0" applyBorder="0" applyAlignment="0" applyProtection="0">
      <alignment horizontal="center"/>
    </xf>
    <xf numFmtId="0" fontId="56" fillId="0" borderId="40" applyNumberFormat="0" applyAlignment="0" applyProtection="0"/>
    <xf numFmtId="0" fontId="56" fillId="0" borderId="41" applyNumberFormat="0" applyAlignment="0" applyProtection="0"/>
    <xf numFmtId="0" fontId="63" fillId="0" borderId="42" applyNumberFormat="0" applyAlignment="0" applyProtection="0"/>
    <xf numFmtId="0" fontId="6" fillId="0" borderId="0"/>
    <xf numFmtId="167" fontId="155" fillId="0" borderId="0" applyFill="0" applyBorder="0" applyProtection="0">
      <alignment vertical="top"/>
    </xf>
    <xf numFmtId="167" fontId="95" fillId="0" borderId="0" applyFont="0" applyFill="0" applyBorder="0" applyAlignment="0" applyProtection="0"/>
    <xf numFmtId="10" fontId="95" fillId="0" borderId="0" applyFont="0" applyFill="0" applyBorder="0" applyAlignment="0" applyProtection="0"/>
    <xf numFmtId="0" fontId="2" fillId="0" borderId="0" applyFont="0" applyFill="0" applyBorder="0" applyAlignment="0"/>
    <xf numFmtId="266" fontId="2" fillId="0" borderId="0" applyFont="0" applyFill="0" applyBorder="0" applyAlignment="0"/>
    <xf numFmtId="9" fontId="56" fillId="0" borderId="0"/>
    <xf numFmtId="10" fontId="56" fillId="0" borderId="0"/>
    <xf numFmtId="9" fontId="56" fillId="0" borderId="0"/>
    <xf numFmtId="190" fontId="50" fillId="0" borderId="0" applyFon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263" fontId="73" fillId="0" borderId="0" applyFont="0" applyFill="0" applyBorder="0" applyAlignment="0" applyProtection="0"/>
    <xf numFmtId="251" fontId="2" fillId="0" borderId="0" applyFont="0" applyFill="0" applyBorder="0" applyAlignment="0" applyProtection="0"/>
    <xf numFmtId="8" fontId="73" fillId="0" borderId="0" applyFont="0" applyFill="0" applyBorder="0" applyAlignment="0" applyProtection="0"/>
    <xf numFmtId="262" fontId="73" fillId="0" borderId="0" applyFont="0" applyFill="0" applyBorder="0" applyAlignment="0" applyProtection="0">
      <protection locked="0"/>
    </xf>
    <xf numFmtId="262" fontId="73" fillId="0" borderId="0" applyFill="0" applyBorder="0" applyAlignment="0" applyProtection="0"/>
    <xf numFmtId="38" fontId="73" fillId="0" borderId="0" applyFont="0" applyFill="0" applyBorder="0" applyAlignment="0" applyProtection="0"/>
    <xf numFmtId="8" fontId="156" fillId="0" borderId="26">
      <alignment horizontal="right"/>
    </xf>
    <xf numFmtId="0" fontId="2" fillId="0" borderId="0"/>
    <xf numFmtId="268" fontId="2" fillId="0" borderId="0"/>
    <xf numFmtId="269" fontId="157" fillId="0" borderId="0"/>
    <xf numFmtId="268" fontId="2" fillId="0" borderId="0"/>
    <xf numFmtId="269" fontId="157" fillId="0" borderId="0"/>
    <xf numFmtId="269" fontId="157" fillId="0" borderId="0"/>
    <xf numFmtId="268" fontId="2" fillId="0" borderId="0"/>
    <xf numFmtId="269" fontId="157" fillId="0" borderId="0"/>
    <xf numFmtId="269" fontId="157" fillId="0" borderId="0"/>
    <xf numFmtId="269" fontId="157" fillId="0" borderId="0"/>
    <xf numFmtId="268" fontId="2" fillId="0" borderId="0"/>
    <xf numFmtId="269" fontId="157" fillId="0" borderId="0"/>
    <xf numFmtId="269" fontId="157" fillId="0" borderId="0"/>
    <xf numFmtId="268" fontId="2" fillId="0" borderId="0"/>
    <xf numFmtId="269" fontId="157" fillId="0" borderId="0"/>
    <xf numFmtId="269" fontId="157" fillId="0" borderId="0"/>
    <xf numFmtId="0" fontId="2" fillId="0" borderId="0"/>
    <xf numFmtId="0" fontId="2" fillId="0" borderId="0"/>
    <xf numFmtId="0" fontId="2" fillId="0" borderId="0"/>
    <xf numFmtId="262" fontId="158" fillId="0" borderId="0" applyNumberFormat="0" applyFill="0" applyBorder="0" applyAlignment="0" applyProtection="0">
      <alignment horizontal="left"/>
    </xf>
    <xf numFmtId="262" fontId="138" fillId="0" borderId="0" applyFont="0" applyFill="0" applyBorder="0" applyAlignment="0" applyProtection="0"/>
    <xf numFmtId="0" fontId="159" fillId="0" borderId="0" applyNumberFormat="0" applyFill="0" applyBorder="0" applyProtection="0">
      <alignment horizontal="right" vertical="center"/>
    </xf>
    <xf numFmtId="0" fontId="2" fillId="0" borderId="43">
      <alignment vertical="center"/>
    </xf>
    <xf numFmtId="215" fontId="61" fillId="0" borderId="0" applyFill="0" applyBorder="0">
      <alignment horizontal="right"/>
      <protection hidden="1"/>
    </xf>
    <xf numFmtId="253" fontId="73" fillId="0" borderId="0" applyFill="0" applyBorder="0" applyAlignment="0" applyProtection="0">
      <protection locked="0"/>
    </xf>
    <xf numFmtId="0" fontId="5" fillId="0" borderId="0"/>
    <xf numFmtId="0" fontId="6" fillId="26" borderId="0" applyNumberFormat="0" applyFont="0" applyBorder="0" applyAlignment="0">
      <protection hidden="1"/>
    </xf>
    <xf numFmtId="0" fontId="95" fillId="0" borderId="0"/>
    <xf numFmtId="0" fontId="160" fillId="0" borderId="0" applyNumberFormat="0" applyFill="0" applyBorder="0" applyProtection="0">
      <alignment horizontal="left" vertical="center"/>
    </xf>
    <xf numFmtId="0" fontId="73" fillId="0" borderId="0"/>
    <xf numFmtId="0" fontId="2" fillId="0" borderId="0" applyBorder="0" applyProtection="0">
      <alignment vertical="center"/>
    </xf>
    <xf numFmtId="0" fontId="2" fillId="0" borderId="0">
      <alignment horizontal="left"/>
    </xf>
    <xf numFmtId="0" fontId="2" fillId="0" borderId="0"/>
    <xf numFmtId="0" fontId="73" fillId="0" borderId="0"/>
    <xf numFmtId="0" fontId="161" fillId="0" borderId="0">
      <alignment horizontal="centerContinuous"/>
    </xf>
    <xf numFmtId="0" fontId="2" fillId="29" borderId="0" applyNumberFormat="0" applyFon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207" fontId="2" fillId="0" borderId="0" applyFill="0" applyBorder="0" applyAlignment="0" applyProtection="0">
      <alignment horizontal="right"/>
    </xf>
    <xf numFmtId="1" fontId="138" fillId="0" borderId="1" applyFill="0" applyBorder="0" applyProtection="0">
      <alignment horizontal="right"/>
    </xf>
    <xf numFmtId="270" fontId="2" fillId="0" borderId="0"/>
    <xf numFmtId="271" fontId="157" fillId="0" borderId="0"/>
    <xf numFmtId="0" fontId="138" fillId="0" borderId="0" applyFill="0" applyBorder="0" applyProtection="0"/>
    <xf numFmtId="0" fontId="2" fillId="0" borderId="44"/>
    <xf numFmtId="262" fontId="145" fillId="0" borderId="45"/>
    <xf numFmtId="262" fontId="156" fillId="0" borderId="0" applyNumberFormat="0" applyFill="0" applyBorder="0" applyAlignment="0" applyProtection="0"/>
    <xf numFmtId="0" fontId="2" fillId="0" borderId="0"/>
    <xf numFmtId="0" fontId="2" fillId="0" borderId="0"/>
    <xf numFmtId="0" fontId="2" fillId="0" borderId="0" applyNumberFormat="0" applyFont="0" applyFill="0" applyBorder="0" applyAlignment="0">
      <alignment horizontal="left" vertical="center"/>
    </xf>
    <xf numFmtId="212" fontId="2" fillId="0" borderId="4" applyNumberFormat="0" applyFont="0" applyFill="0" applyAlignment="0"/>
    <xf numFmtId="0" fontId="66" fillId="26" borderId="0" applyNumberFormat="0" applyAlignment="0" applyProtection="0">
      <alignment horizontal="left" vertical="center" wrapText="1"/>
    </xf>
    <xf numFmtId="2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69" fontId="162" fillId="0" borderId="2" applyAlignment="0">
      <alignment horizontal="left"/>
      <protection locked="0"/>
    </xf>
    <xf numFmtId="0" fontId="2" fillId="0" borderId="0"/>
    <xf numFmtId="0" fontId="163" fillId="0" borderId="0"/>
    <xf numFmtId="42" fontId="2" fillId="0" borderId="0" applyFont="0" applyFill="0" applyBorder="0" applyAlignment="0" applyProtection="0"/>
    <xf numFmtId="0" fontId="164" fillId="0" borderId="0" applyNumberFormat="0" applyFont="0" applyFill="0" applyBorder="0" applyAlignment="0" applyProtection="0">
      <alignment horizontal="left"/>
    </xf>
    <xf numFmtId="0" fontId="165" fillId="0" borderId="0" applyNumberFormat="0" applyFill="0" applyBorder="0" applyAlignment="0" applyProtection="0"/>
    <xf numFmtId="1" fontId="73" fillId="0" borderId="0" applyFont="0" applyFill="0" applyBorder="0" applyAlignment="0" applyProtection="0"/>
    <xf numFmtId="1" fontId="2" fillId="50" borderId="0"/>
    <xf numFmtId="40" fontId="123" fillId="0" borderId="0" applyFont="0" applyFill="0" applyBorder="0" applyAlignment="0" applyProtection="0"/>
    <xf numFmtId="272" fontId="2" fillId="0" borderId="0" applyFont="0" applyFill="0" applyBorder="0" applyAlignment="0" applyProtection="0"/>
    <xf numFmtId="0" fontId="110" fillId="0" borderId="0" applyFont="0" applyFill="0" applyBorder="0" applyAlignment="0" applyProtection="0"/>
    <xf numFmtId="0" fontId="50" fillId="0" borderId="0"/>
    <xf numFmtId="0" fontId="2" fillId="0" borderId="0" applyFont="0" applyFill="0" applyBorder="0" applyAlignment="0" applyProtection="0"/>
    <xf numFmtId="0" fontId="129" fillId="0" borderId="0"/>
    <xf numFmtId="0" fontId="50" fillId="0" borderId="0"/>
    <xf numFmtId="0" fontId="50" fillId="0" borderId="0"/>
    <xf numFmtId="0" fontId="3" fillId="0" borderId="0"/>
    <xf numFmtId="0" fontId="3" fillId="0" borderId="0"/>
    <xf numFmtId="0" fontId="1" fillId="0" borderId="0"/>
    <xf numFmtId="0" fontId="2" fillId="0" borderId="0"/>
    <xf numFmtId="0" fontId="2" fillId="0" borderId="0"/>
    <xf numFmtId="43" fontId="2" fillId="0" borderId="0" applyFont="0" applyFill="0" applyBorder="0" applyAlignment="0" applyProtection="0"/>
    <xf numFmtId="0" fontId="166" fillId="0" borderId="0" applyNumberFormat="0" applyFill="0" applyBorder="0" applyAlignment="0" applyProtection="0">
      <alignment vertical="top"/>
      <protection locked="0"/>
    </xf>
    <xf numFmtId="9" fontId="2" fillId="0" borderId="0" applyFont="0" applyFill="0" applyBorder="0" applyAlignment="0" applyProtection="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6" fillId="0" borderId="0"/>
  </cellStyleXfs>
  <cellXfs count="770">
    <xf numFmtId="0" fontId="0" fillId="0" borderId="0" xfId="0"/>
    <xf numFmtId="0" fontId="3" fillId="0" borderId="0" xfId="3" applyFont="1"/>
    <xf numFmtId="167" fontId="3" fillId="0" borderId="0" xfId="2" applyNumberFormat="1" applyFont="1"/>
    <xf numFmtId="0" fontId="4" fillId="0" borderId="0" xfId="3" applyFont="1"/>
    <xf numFmtId="166" fontId="3" fillId="0" borderId="0" xfId="1" applyNumberFormat="1" applyFont="1" applyFill="1"/>
    <xf numFmtId="0" fontId="4" fillId="0" borderId="1" xfId="9" applyFont="1" applyBorder="1"/>
    <xf numFmtId="0" fontId="4" fillId="0" borderId="1" xfId="9" applyFont="1" applyBorder="1" applyAlignment="1">
      <alignment horizontal="right"/>
    </xf>
    <xf numFmtId="0" fontId="3" fillId="0" borderId="0" xfId="9" applyFont="1"/>
    <xf numFmtId="0" fontId="3" fillId="2" borderId="0" xfId="9" applyFont="1" applyFill="1"/>
    <xf numFmtId="0" fontId="3" fillId="6" borderId="0" xfId="9" applyFont="1" applyFill="1" applyAlignment="1">
      <alignment horizontal="right"/>
    </xf>
    <xf numFmtId="1" fontId="3" fillId="6" borderId="0" xfId="9" applyNumberFormat="1" applyFont="1" applyFill="1" applyAlignment="1">
      <alignment horizontal="right"/>
    </xf>
    <xf numFmtId="0" fontId="3" fillId="6" borderId="0" xfId="9" applyFont="1" applyFill="1"/>
    <xf numFmtId="1" fontId="3" fillId="6" borderId="0" xfId="10" applyNumberFormat="1" applyFont="1" applyFill="1" applyAlignment="1">
      <alignment horizontal="right"/>
    </xf>
    <xf numFmtId="2" fontId="3" fillId="6" borderId="0" xfId="9" applyNumberFormat="1" applyFont="1" applyFill="1" applyAlignment="1">
      <alignment horizontal="right"/>
    </xf>
    <xf numFmtId="0" fontId="3" fillId="0" borderId="0" xfId="9" applyFont="1" applyAlignment="1">
      <alignment horizontal="right"/>
    </xf>
    <xf numFmtId="1" fontId="3" fillId="0" borderId="0" xfId="9" applyNumberFormat="1" applyFont="1" applyAlignment="1">
      <alignment horizontal="right"/>
    </xf>
    <xf numFmtId="1" fontId="4" fillId="0" borderId="1" xfId="9" applyNumberFormat="1" applyFont="1" applyBorder="1" applyAlignment="1">
      <alignment horizontal="right"/>
    </xf>
    <xf numFmtId="166" fontId="3" fillId="6" borderId="0" xfId="10" applyNumberFormat="1" applyFont="1" applyFill="1" applyAlignment="1">
      <alignment horizontal="right"/>
    </xf>
    <xf numFmtId="0" fontId="3" fillId="0" borderId="0" xfId="11" applyFont="1"/>
    <xf numFmtId="0" fontId="3" fillId="6" borderId="0" xfId="11" applyFont="1" applyFill="1" applyAlignment="1">
      <alignment horizontal="right"/>
    </xf>
    <xf numFmtId="0" fontId="4" fillId="0" borderId="0" xfId="11" applyFont="1" applyAlignment="1">
      <alignment horizontal="left"/>
    </xf>
    <xf numFmtId="0" fontId="4" fillId="0" borderId="0" xfId="11" applyFont="1" applyAlignment="1">
      <alignment horizontal="right"/>
    </xf>
    <xf numFmtId="166" fontId="3" fillId="0" borderId="0" xfId="9" applyNumberFormat="1" applyFont="1" applyAlignment="1">
      <alignment horizontal="right"/>
    </xf>
    <xf numFmtId="0" fontId="4" fillId="2" borderId="0" xfId="9" applyFont="1" applyFill="1"/>
    <xf numFmtId="0" fontId="4" fillId="6" borderId="0" xfId="9" applyFont="1" applyFill="1" applyAlignment="1">
      <alignment horizontal="right"/>
    </xf>
    <xf numFmtId="0" fontId="3" fillId="2" borderId="0" xfId="3" applyFont="1" applyFill="1" applyAlignment="1">
      <alignment vertical="center"/>
    </xf>
    <xf numFmtId="0" fontId="0" fillId="2" borderId="0" xfId="3" applyFont="1" applyFill="1" applyAlignment="1">
      <alignment vertical="center"/>
    </xf>
    <xf numFmtId="1" fontId="4" fillId="6" borderId="0" xfId="9" applyNumberFormat="1" applyFont="1" applyFill="1" applyAlignment="1">
      <alignment horizontal="right"/>
    </xf>
    <xf numFmtId="0" fontId="4" fillId="0" borderId="0" xfId="9" applyFont="1"/>
    <xf numFmtId="9" fontId="5" fillId="6" borderId="0" xfId="2" applyFont="1" applyFill="1" applyAlignment="1">
      <alignment horizontal="right"/>
    </xf>
    <xf numFmtId="0" fontId="5" fillId="6" borderId="0" xfId="12" applyFill="1" applyAlignment="1">
      <alignment horizontal="right"/>
    </xf>
    <xf numFmtId="166" fontId="3" fillId="6" borderId="0" xfId="10" applyNumberFormat="1" applyFont="1" applyFill="1" applyBorder="1" applyAlignment="1">
      <alignment horizontal="right"/>
    </xf>
    <xf numFmtId="166" fontId="3" fillId="6" borderId="0" xfId="9" applyNumberFormat="1" applyFont="1" applyFill="1" applyAlignment="1">
      <alignment horizontal="right"/>
    </xf>
    <xf numFmtId="166" fontId="3" fillId="0" borderId="0" xfId="10" applyNumberFormat="1" applyFont="1" applyFill="1"/>
    <xf numFmtId="0" fontId="4" fillId="0" borderId="1" xfId="13" applyFont="1" applyBorder="1"/>
    <xf numFmtId="0" fontId="4" fillId="0" borderId="1" xfId="13" applyFont="1" applyBorder="1" applyAlignment="1">
      <alignment horizontal="right"/>
    </xf>
    <xf numFmtId="0" fontId="2" fillId="6" borderId="0" xfId="3" applyFill="1" applyAlignment="1">
      <alignment horizontal="right"/>
    </xf>
    <xf numFmtId="0" fontId="3" fillId="6" borderId="0" xfId="3" applyFont="1" applyFill="1" applyAlignment="1">
      <alignment horizontal="right"/>
    </xf>
    <xf numFmtId="0" fontId="2" fillId="6" borderId="0" xfId="13" applyFill="1" applyAlignment="1">
      <alignment horizontal="right"/>
    </xf>
    <xf numFmtId="0" fontId="2" fillId="6" borderId="0" xfId="13" applyFill="1"/>
    <xf numFmtId="0" fontId="2" fillId="0" borderId="0" xfId="3"/>
    <xf numFmtId="166" fontId="0" fillId="6" borderId="0" xfId="1" applyNumberFormat="1" applyFont="1" applyFill="1" applyAlignment="1">
      <alignment horizontal="right"/>
    </xf>
    <xf numFmtId="166" fontId="0" fillId="4" borderId="0" xfId="1" applyNumberFormat="1" applyFont="1" applyFill="1" applyAlignment="1">
      <alignment horizontal="right"/>
    </xf>
    <xf numFmtId="9" fontId="0" fillId="6" borderId="0" xfId="2" applyFont="1" applyFill="1" applyAlignment="1">
      <alignment horizontal="right"/>
    </xf>
    <xf numFmtId="9" fontId="0" fillId="4" borderId="0" xfId="2" applyFont="1" applyFill="1" applyAlignment="1">
      <alignment horizontal="right"/>
    </xf>
    <xf numFmtId="0" fontId="0" fillId="6" borderId="0" xfId="3" applyFont="1" applyFill="1" applyAlignment="1">
      <alignment horizontal="right"/>
    </xf>
    <xf numFmtId="0" fontId="0" fillId="6" borderId="0" xfId="3" applyFont="1" applyFill="1"/>
    <xf numFmtId="178" fontId="0" fillId="6" borderId="0" xfId="1" applyNumberFormat="1" applyFont="1" applyFill="1" applyAlignment="1">
      <alignment horizontal="right"/>
    </xf>
    <xf numFmtId="179" fontId="0" fillId="6" borderId="0" xfId="1" applyNumberFormat="1" applyFont="1" applyFill="1" applyAlignment="1">
      <alignment horizontal="right"/>
    </xf>
    <xf numFmtId="166" fontId="3" fillId="6" borderId="0" xfId="1" applyNumberFormat="1" applyFont="1" applyFill="1" applyAlignment="1">
      <alignment horizontal="right"/>
    </xf>
    <xf numFmtId="0" fontId="0" fillId="0" borderId="0" xfId="0" applyAlignment="1">
      <alignment vertical="center"/>
    </xf>
    <xf numFmtId="0" fontId="12" fillId="7" borderId="0" xfId="6" applyFont="1" applyFill="1"/>
    <xf numFmtId="43" fontId="11" fillId="6" borderId="0" xfId="1" applyFont="1" applyFill="1" applyAlignment="1"/>
    <xf numFmtId="43" fontId="11" fillId="6" borderId="0" xfId="1" applyFont="1" applyFill="1" applyBorder="1" applyAlignment="1">
      <alignment horizontal="left"/>
    </xf>
    <xf numFmtId="0" fontId="13" fillId="6" borderId="0" xfId="6" applyFont="1" applyFill="1" applyAlignment="1">
      <alignment horizontal="left"/>
    </xf>
    <xf numFmtId="0" fontId="2" fillId="6" borderId="3" xfId="15" applyFill="1" applyBorder="1"/>
    <xf numFmtId="17" fontId="12" fillId="7" borderId="0" xfId="6" applyNumberFormat="1" applyFont="1" applyFill="1" applyAlignment="1">
      <alignment horizontal="center"/>
    </xf>
    <xf numFmtId="167" fontId="2" fillId="6" borderId="0" xfId="5" applyNumberFormat="1" applyFont="1" applyFill="1" applyAlignment="1">
      <alignment horizontal="center"/>
    </xf>
    <xf numFmtId="167" fontId="2" fillId="6" borderId="0" xfId="16" applyNumberFormat="1" applyFont="1" applyFill="1" applyBorder="1" applyAlignment="1">
      <alignment horizontal="center"/>
    </xf>
    <xf numFmtId="166" fontId="11" fillId="6" borderId="0" xfId="1" applyNumberFormat="1" applyFont="1" applyFill="1" applyAlignment="1">
      <alignment horizontal="center"/>
    </xf>
    <xf numFmtId="9" fontId="0" fillId="0" borderId="0" xfId="2" applyFont="1" applyAlignment="1">
      <alignment vertical="center"/>
    </xf>
    <xf numFmtId="179" fontId="0" fillId="0" borderId="0" xfId="1" applyNumberFormat="1" applyFont="1" applyAlignment="1">
      <alignment vertical="center"/>
    </xf>
    <xf numFmtId="170" fontId="0" fillId="0" borderId="0" xfId="2" applyNumberFormat="1" applyFont="1" applyAlignment="1">
      <alignment vertical="center"/>
    </xf>
    <xf numFmtId="1" fontId="0" fillId="0" borderId="0" xfId="0" applyNumberFormat="1" applyAlignment="1">
      <alignment vertical="center"/>
    </xf>
    <xf numFmtId="178" fontId="0" fillId="0" borderId="0" xfId="0" applyNumberFormat="1" applyAlignment="1">
      <alignment vertical="center"/>
    </xf>
    <xf numFmtId="167" fontId="0" fillId="0" borderId="0" xfId="2" applyNumberFormat="1" applyFont="1" applyAlignment="1">
      <alignment vertical="center"/>
    </xf>
    <xf numFmtId="166" fontId="0" fillId="0" borderId="0" xfId="1" applyNumberFormat="1" applyFont="1" applyAlignment="1">
      <alignment vertical="center"/>
    </xf>
    <xf numFmtId="178" fontId="0" fillId="0" borderId="0" xfId="1" applyNumberFormat="1" applyFont="1" applyAlignment="1">
      <alignment vertical="center"/>
    </xf>
    <xf numFmtId="0" fontId="11" fillId="0" borderId="0" xfId="0" applyFont="1"/>
    <xf numFmtId="0" fontId="11" fillId="0" borderId="0" xfId="0" applyFont="1" applyAlignment="1">
      <alignment horizontal="center"/>
    </xf>
    <xf numFmtId="0" fontId="11" fillId="9" borderId="0" xfId="0" applyFont="1" applyFill="1"/>
    <xf numFmtId="3" fontId="11" fillId="9" borderId="0" xfId="0" applyNumberFormat="1" applyFont="1" applyFill="1" applyAlignment="1">
      <alignment horizontal="center"/>
    </xf>
    <xf numFmtId="3" fontId="11" fillId="10" borderId="0" xfId="0" applyNumberFormat="1" applyFont="1" applyFill="1" applyAlignment="1">
      <alignment horizontal="left"/>
    </xf>
    <xf numFmtId="167" fontId="11" fillId="0" borderId="0" xfId="17" applyNumberFormat="1" applyFont="1" applyFill="1" applyAlignment="1">
      <alignment horizontal="center"/>
    </xf>
    <xf numFmtId="3" fontId="2" fillId="10" borderId="0" xfId="0" applyNumberFormat="1" applyFont="1" applyFill="1" applyAlignment="1">
      <alignment horizontal="center"/>
    </xf>
    <xf numFmtId="182" fontId="2" fillId="10" borderId="0" xfId="0" applyNumberFormat="1" applyFont="1" applyFill="1" applyAlignment="1">
      <alignment horizontal="center"/>
    </xf>
    <xf numFmtId="3" fontId="11" fillId="11" borderId="0" xfId="0" applyNumberFormat="1" applyFont="1" applyFill="1" applyAlignment="1">
      <alignment horizontal="left"/>
    </xf>
    <xf numFmtId="3" fontId="11" fillId="0" borderId="0" xfId="0" applyNumberFormat="1" applyFont="1" applyAlignment="1">
      <alignment horizontal="center"/>
    </xf>
    <xf numFmtId="3" fontId="2" fillId="0" borderId="0" xfId="0" applyNumberFormat="1" applyFont="1" applyAlignment="1">
      <alignment horizontal="center"/>
    </xf>
    <xf numFmtId="3" fontId="11" fillId="11" borderId="0" xfId="0" applyNumberFormat="1" applyFont="1" applyFill="1" applyAlignment="1">
      <alignment horizontal="center"/>
    </xf>
    <xf numFmtId="0" fontId="2" fillId="11" borderId="0" xfId="0" applyFont="1" applyFill="1" applyAlignment="1">
      <alignment horizontal="left"/>
    </xf>
    <xf numFmtId="0" fontId="11" fillId="11" borderId="0" xfId="0" applyFont="1" applyFill="1" applyAlignment="1">
      <alignment horizontal="center"/>
    </xf>
    <xf numFmtId="0" fontId="2" fillId="11" borderId="0" xfId="18" applyFill="1"/>
    <xf numFmtId="167" fontId="11" fillId="11" borderId="0" xfId="17" applyNumberFormat="1" applyFont="1" applyFill="1" applyAlignment="1">
      <alignment horizontal="center"/>
    </xf>
    <xf numFmtId="167" fontId="0" fillId="0" borderId="0" xfId="2" applyNumberFormat="1" applyFont="1"/>
    <xf numFmtId="169" fontId="2" fillId="10" borderId="0" xfId="0" applyNumberFormat="1" applyFont="1" applyFill="1" applyAlignment="1">
      <alignment horizontal="center"/>
    </xf>
    <xf numFmtId="165" fontId="0" fillId="0" borderId="0" xfId="1" applyNumberFormat="1" applyFont="1" applyAlignment="1">
      <alignment vertical="center"/>
    </xf>
    <xf numFmtId="1" fontId="3" fillId="6" borderId="0" xfId="9" applyNumberFormat="1" applyFont="1" applyFill="1"/>
    <xf numFmtId="0" fontId="0" fillId="3" borderId="0" xfId="0" applyFill="1" applyAlignment="1">
      <alignment vertical="center"/>
    </xf>
    <xf numFmtId="43" fontId="0" fillId="0" borderId="0" xfId="0" applyNumberFormat="1" applyAlignment="1">
      <alignment vertical="center"/>
    </xf>
    <xf numFmtId="2" fontId="0" fillId="0" borderId="0" xfId="0" applyNumberFormat="1" applyAlignment="1">
      <alignment vertical="center"/>
    </xf>
    <xf numFmtId="0" fontId="14" fillId="0" borderId="0" xfId="0" applyFont="1"/>
    <xf numFmtId="3" fontId="2" fillId="10" borderId="0" xfId="0" applyNumberFormat="1" applyFont="1" applyFill="1" applyAlignment="1">
      <alignment horizontal="left"/>
    </xf>
    <xf numFmtId="166" fontId="2" fillId="8" borderId="0" xfId="1" applyNumberFormat="1" applyFont="1" applyFill="1" applyAlignment="1"/>
    <xf numFmtId="166" fontId="2" fillId="8" borderId="0" xfId="1" applyNumberFormat="1" applyFont="1" applyFill="1" applyAlignment="1">
      <alignment horizontal="center"/>
    </xf>
    <xf numFmtId="0" fontId="14" fillId="8" borderId="0" xfId="0" applyFont="1" applyFill="1"/>
    <xf numFmtId="0" fontId="14" fillId="8" borderId="0" xfId="0" applyFont="1" applyFill="1" applyAlignment="1">
      <alignment horizontal="center"/>
    </xf>
    <xf numFmtId="0" fontId="14" fillId="0" borderId="0" xfId="0" applyFont="1" applyAlignment="1">
      <alignment horizontal="center"/>
    </xf>
    <xf numFmtId="0" fontId="14" fillId="9" borderId="0" xfId="0" applyFont="1" applyFill="1"/>
    <xf numFmtId="3" fontId="14" fillId="9" borderId="0" xfId="0" applyNumberFormat="1" applyFont="1" applyFill="1" applyAlignment="1">
      <alignment horizontal="center"/>
    </xf>
    <xf numFmtId="9" fontId="2" fillId="9" borderId="0" xfId="17" applyFont="1" applyFill="1" applyAlignment="1">
      <alignment horizontal="center"/>
    </xf>
    <xf numFmtId="167" fontId="14" fillId="0" borderId="0" xfId="17" applyNumberFormat="1" applyFont="1" applyFill="1" applyAlignment="1">
      <alignment horizontal="center"/>
    </xf>
    <xf numFmtId="3" fontId="14" fillId="10" borderId="0" xfId="0" applyNumberFormat="1" applyFont="1" applyFill="1" applyAlignment="1">
      <alignment horizontal="left"/>
    </xf>
    <xf numFmtId="3" fontId="14" fillId="10" borderId="0" xfId="0" applyNumberFormat="1" applyFont="1" applyFill="1" applyAlignment="1">
      <alignment horizontal="center"/>
    </xf>
    <xf numFmtId="167" fontId="14" fillId="10" borderId="0" xfId="2" applyNumberFormat="1" applyFont="1" applyFill="1" applyAlignment="1">
      <alignment horizontal="left"/>
    </xf>
    <xf numFmtId="167" fontId="14" fillId="10" borderId="0" xfId="2" applyNumberFormat="1" applyFont="1" applyFill="1" applyAlignment="1">
      <alignment horizontal="center"/>
    </xf>
    <xf numFmtId="9" fontId="2" fillId="10" borderId="0" xfId="17" applyFont="1" applyFill="1" applyAlignment="1">
      <alignment horizontal="center"/>
    </xf>
    <xf numFmtId="169" fontId="14" fillId="10" borderId="0" xfId="0" applyNumberFormat="1" applyFont="1" applyFill="1" applyAlignment="1">
      <alignment horizontal="center"/>
    </xf>
    <xf numFmtId="182" fontId="14" fillId="10" borderId="0" xfId="0" applyNumberFormat="1" applyFont="1" applyFill="1" applyAlignment="1">
      <alignment horizontal="center"/>
    </xf>
    <xf numFmtId="182" fontId="14" fillId="10" borderId="0" xfId="0" applyNumberFormat="1" applyFont="1" applyFill="1" applyAlignment="1">
      <alignment horizontal="left"/>
    </xf>
    <xf numFmtId="3" fontId="14" fillId="0" borderId="0" xfId="0" applyNumberFormat="1" applyFont="1" applyAlignment="1">
      <alignment horizontal="center"/>
    </xf>
    <xf numFmtId="3" fontId="14" fillId="11" borderId="0" xfId="0" applyNumberFormat="1" applyFont="1" applyFill="1" applyAlignment="1">
      <alignment horizontal="left"/>
    </xf>
    <xf numFmtId="3" fontId="14" fillId="11" borderId="0" xfId="0" applyNumberFormat="1" applyFont="1" applyFill="1" applyAlignment="1">
      <alignment horizontal="center"/>
    </xf>
    <xf numFmtId="0" fontId="14" fillId="11" borderId="0" xfId="0" applyFont="1" applyFill="1" applyAlignment="1">
      <alignment horizontal="center"/>
    </xf>
    <xf numFmtId="167" fontId="2" fillId="11" borderId="0" xfId="17" applyNumberFormat="1" applyFont="1" applyFill="1" applyBorder="1"/>
    <xf numFmtId="0" fontId="14" fillId="11" borderId="0" xfId="0" applyFont="1" applyFill="1"/>
    <xf numFmtId="167" fontId="2" fillId="11" borderId="0" xfId="17" applyNumberFormat="1" applyFont="1" applyFill="1" applyAlignment="1">
      <alignment horizontal="center"/>
    </xf>
    <xf numFmtId="166" fontId="2" fillId="11" borderId="0" xfId="1" applyNumberFormat="1" applyFont="1" applyFill="1" applyAlignment="1">
      <alignment horizontal="center"/>
    </xf>
    <xf numFmtId="166" fontId="2" fillId="6" borderId="0" xfId="1" applyNumberFormat="1" applyFont="1" applyFill="1" applyBorder="1" applyAlignment="1">
      <alignment horizontal="center"/>
    </xf>
    <xf numFmtId="0" fontId="2" fillId="8" borderId="0" xfId="0" applyFont="1" applyFill="1"/>
    <xf numFmtId="2" fontId="2" fillId="8" borderId="0" xfId="0" applyNumberFormat="1" applyFont="1" applyFill="1" applyAlignment="1">
      <alignment horizontal="center"/>
    </xf>
    <xf numFmtId="3" fontId="2" fillId="10" borderId="0" xfId="0" quotePrefix="1" applyNumberFormat="1" applyFont="1" applyFill="1" applyAlignment="1">
      <alignment horizontal="center"/>
    </xf>
    <xf numFmtId="167" fontId="2" fillId="10" borderId="0" xfId="2" quotePrefix="1" applyNumberFormat="1" applyFont="1" applyFill="1" applyAlignment="1">
      <alignment horizontal="center"/>
    </xf>
    <xf numFmtId="167" fontId="1" fillId="0" borderId="0" xfId="2" applyNumberFormat="1" applyFont="1"/>
    <xf numFmtId="3" fontId="2" fillId="9" borderId="0" xfId="0" applyNumberFormat="1" applyFont="1" applyFill="1" applyAlignment="1">
      <alignment horizontal="center"/>
    </xf>
    <xf numFmtId="0" fontId="2" fillId="15" borderId="0" xfId="3" applyFill="1"/>
    <xf numFmtId="0" fontId="15" fillId="15" borderId="0" xfId="3" applyFont="1" applyFill="1"/>
    <xf numFmtId="0" fontId="16" fillId="15" borderId="0" xfId="19" applyFont="1" applyFill="1" applyAlignment="1">
      <alignment vertical="top"/>
    </xf>
    <xf numFmtId="0" fontId="17" fillId="15" borderId="0" xfId="3" applyFont="1" applyFill="1" applyAlignment="1">
      <alignment horizontal="right"/>
    </xf>
    <xf numFmtId="0" fontId="0" fillId="16" borderId="0" xfId="0" applyFill="1"/>
    <xf numFmtId="0" fontId="18" fillId="16" borderId="12" xfId="3" applyFont="1" applyFill="1" applyBorder="1"/>
    <xf numFmtId="0" fontId="4" fillId="16" borderId="0" xfId="3" applyFont="1" applyFill="1"/>
    <xf numFmtId="168" fontId="4" fillId="16" borderId="0" xfId="3" applyNumberFormat="1" applyFont="1" applyFill="1"/>
    <xf numFmtId="0" fontId="19" fillId="16" borderId="0" xfId="3" applyFont="1" applyFill="1"/>
    <xf numFmtId="0" fontId="3" fillId="16" borderId="0" xfId="0" applyFont="1" applyFill="1"/>
    <xf numFmtId="2" fontId="4" fillId="16" borderId="0" xfId="3" applyNumberFormat="1" applyFont="1" applyFill="1"/>
    <xf numFmtId="0" fontId="3" fillId="16" borderId="0" xfId="3" applyFont="1" applyFill="1" applyAlignment="1">
      <alignment vertical="center"/>
    </xf>
    <xf numFmtId="0" fontId="3" fillId="16" borderId="0" xfId="3" applyFont="1" applyFill="1" applyAlignment="1">
      <alignment vertical="center" wrapText="1"/>
    </xf>
    <xf numFmtId="0" fontId="20" fillId="16" borderId="0" xfId="3" applyFont="1" applyFill="1"/>
    <xf numFmtId="0" fontId="21" fillId="16" borderId="0" xfId="3" quotePrefix="1" applyFont="1" applyFill="1"/>
    <xf numFmtId="0" fontId="21" fillId="16" borderId="0" xfId="3" applyFont="1" applyFill="1"/>
    <xf numFmtId="166" fontId="21" fillId="16" borderId="0" xfId="1" applyNumberFormat="1" applyFont="1" applyFill="1"/>
    <xf numFmtId="167" fontId="21" fillId="16" borderId="0" xfId="3" applyNumberFormat="1" applyFont="1" applyFill="1"/>
    <xf numFmtId="166" fontId="4" fillId="16" borderId="0" xfId="1" applyNumberFormat="1" applyFont="1" applyFill="1"/>
    <xf numFmtId="166" fontId="22" fillId="16" borderId="0" xfId="1" applyNumberFormat="1" applyFont="1" applyFill="1"/>
    <xf numFmtId="0" fontId="23" fillId="16" borderId="0" xfId="0" applyFont="1" applyFill="1"/>
    <xf numFmtId="166" fontId="3" fillId="16" borderId="0" xfId="1" applyNumberFormat="1" applyFont="1" applyFill="1"/>
    <xf numFmtId="167" fontId="21" fillId="16" borderId="0" xfId="20" applyNumberFormat="1" applyFont="1" applyFill="1"/>
    <xf numFmtId="0" fontId="24" fillId="16" borderId="0" xfId="0" applyFont="1" applyFill="1"/>
    <xf numFmtId="166" fontId="22" fillId="16" borderId="0" xfId="1" applyNumberFormat="1" applyFont="1" applyFill="1" applyAlignment="1">
      <alignment horizontal="right"/>
    </xf>
    <xf numFmtId="167" fontId="21" fillId="16" borderId="0" xfId="1" applyNumberFormat="1" applyFont="1" applyFill="1" applyAlignment="1">
      <alignment horizontal="right"/>
    </xf>
    <xf numFmtId="0" fontId="3" fillId="16" borderId="0" xfId="3" applyFont="1" applyFill="1"/>
    <xf numFmtId="0" fontId="2" fillId="16" borderId="0" xfId="3" applyFill="1"/>
    <xf numFmtId="0" fontId="25" fillId="16" borderId="0" xfId="3" applyFont="1" applyFill="1"/>
    <xf numFmtId="0" fontId="3" fillId="16" borderId="0" xfId="3" applyFont="1" applyFill="1" applyAlignment="1">
      <alignment horizontal="right"/>
    </xf>
    <xf numFmtId="1" fontId="4" fillId="16" borderId="0" xfId="3" applyNumberFormat="1" applyFont="1" applyFill="1"/>
    <xf numFmtId="0" fontId="22" fillId="16" borderId="0" xfId="3" applyFont="1" applyFill="1"/>
    <xf numFmtId="0" fontId="15" fillId="16" borderId="0" xfId="3" applyFont="1" applyFill="1"/>
    <xf numFmtId="165" fontId="21" fillId="16" borderId="0" xfId="1" applyNumberFormat="1" applyFont="1" applyFill="1"/>
    <xf numFmtId="0" fontId="27" fillId="0" borderId="0" xfId="0" applyFont="1"/>
    <xf numFmtId="3" fontId="2" fillId="10" borderId="0" xfId="23" applyNumberFormat="1" applyFill="1" applyAlignment="1">
      <alignment horizontal="left"/>
    </xf>
    <xf numFmtId="3" fontId="0" fillId="10" borderId="0" xfId="0" applyNumberFormat="1" applyFill="1" applyAlignment="1">
      <alignment horizontal="left"/>
    </xf>
    <xf numFmtId="0" fontId="2" fillId="0" borderId="0" xfId="23"/>
    <xf numFmtId="0" fontId="3" fillId="0" borderId="0" xfId="3" quotePrefix="1" applyFont="1"/>
    <xf numFmtId="0" fontId="28" fillId="20" borderId="0" xfId="0" applyFont="1" applyFill="1"/>
    <xf numFmtId="0" fontId="28" fillId="20" borderId="0" xfId="0" applyFont="1" applyFill="1" applyAlignment="1">
      <alignment horizontal="center"/>
    </xf>
    <xf numFmtId="0" fontId="29" fillId="20" borderId="0" xfId="0" applyFont="1" applyFill="1" applyAlignment="1">
      <alignment horizontal="center"/>
    </xf>
    <xf numFmtId="17" fontId="29" fillId="20" borderId="0" xfId="0" applyNumberFormat="1" applyFont="1" applyFill="1" applyAlignment="1">
      <alignment horizontal="center"/>
    </xf>
    <xf numFmtId="0" fontId="30" fillId="21" borderId="0" xfId="0" applyFont="1" applyFill="1"/>
    <xf numFmtId="3" fontId="2" fillId="11" borderId="0" xfId="1" applyNumberFormat="1" applyFont="1" applyFill="1" applyAlignment="1">
      <alignment horizontal="center"/>
    </xf>
    <xf numFmtId="3" fontId="2" fillId="11" borderId="0" xfId="17" applyNumberFormat="1" applyFont="1" applyFill="1" applyAlignment="1">
      <alignment horizontal="center"/>
    </xf>
    <xf numFmtId="3" fontId="14" fillId="5" borderId="0" xfId="0" applyNumberFormat="1" applyFont="1" applyFill="1" applyAlignment="1">
      <alignment horizontal="center"/>
    </xf>
    <xf numFmtId="3" fontId="2" fillId="5" borderId="0" xfId="0" applyNumberFormat="1" applyFont="1" applyFill="1" applyAlignment="1">
      <alignment horizontal="center"/>
    </xf>
    <xf numFmtId="0" fontId="32" fillId="0" borderId="0" xfId="24" applyNumberFormat="1" applyFont="1" applyAlignment="1">
      <alignment horizontal="left" indent="1"/>
    </xf>
    <xf numFmtId="0" fontId="32" fillId="0" borderId="0" xfId="24" applyNumberFormat="1" applyFont="1" applyAlignment="1">
      <alignment horizontal="left" indent="2"/>
    </xf>
    <xf numFmtId="0" fontId="30" fillId="0" borderId="4" xfId="24" applyNumberFormat="1" applyFont="1" applyBorder="1" applyAlignment="1">
      <alignment horizontal="left"/>
    </xf>
    <xf numFmtId="17" fontId="0" fillId="0" borderId="1" xfId="0" applyNumberFormat="1" applyBorder="1"/>
    <xf numFmtId="17" fontId="27" fillId="0" borderId="1" xfId="0" applyNumberFormat="1" applyFont="1" applyBorder="1"/>
    <xf numFmtId="185" fontId="27" fillId="0" borderId="0" xfId="0" applyNumberFormat="1" applyFont="1"/>
    <xf numFmtId="0" fontId="0" fillId="0" borderId="1" xfId="0" applyBorder="1"/>
    <xf numFmtId="0" fontId="27" fillId="18" borderId="0" xfId="0" applyFont="1" applyFill="1"/>
    <xf numFmtId="0" fontId="0" fillId="18" borderId="0" xfId="0" applyFill="1"/>
    <xf numFmtId="3" fontId="0" fillId="0" borderId="0" xfId="0" applyNumberFormat="1"/>
    <xf numFmtId="14" fontId="0" fillId="0" borderId="0" xfId="0" applyNumberFormat="1"/>
    <xf numFmtId="17" fontId="34" fillId="0" borderId="1" xfId="0" applyNumberFormat="1" applyFont="1" applyBorder="1"/>
    <xf numFmtId="14" fontId="35" fillId="0" borderId="0" xfId="0" applyNumberFormat="1" applyFont="1"/>
    <xf numFmtId="0" fontId="35" fillId="0" borderId="0" xfId="0" applyFont="1"/>
    <xf numFmtId="185" fontId="35" fillId="0" borderId="0" xfId="0" applyNumberFormat="1" applyFont="1"/>
    <xf numFmtId="17" fontId="36" fillId="0" borderId="1" xfId="0" applyNumberFormat="1" applyFont="1" applyBorder="1"/>
    <xf numFmtId="0" fontId="37" fillId="0" borderId="0" xfId="0" applyFont="1"/>
    <xf numFmtId="3" fontId="37" fillId="0" borderId="0" xfId="0" applyNumberFormat="1" applyFont="1"/>
    <xf numFmtId="185" fontId="37" fillId="0" borderId="0" xfId="0" applyNumberFormat="1" applyFont="1"/>
    <xf numFmtId="168" fontId="37" fillId="0" borderId="0" xfId="0" applyNumberFormat="1" applyFont="1"/>
    <xf numFmtId="0" fontId="37" fillId="3" borderId="0" xfId="0" applyFont="1" applyFill="1"/>
    <xf numFmtId="4" fontId="32" fillId="0" borderId="0" xfId="3" applyNumberFormat="1" applyFont="1"/>
    <xf numFmtId="3" fontId="32" fillId="0" borderId="0" xfId="3" applyNumberFormat="1" applyFont="1"/>
    <xf numFmtId="167" fontId="32" fillId="0" borderId="0" xfId="2" applyNumberFormat="1" applyFont="1"/>
    <xf numFmtId="167" fontId="32" fillId="0" borderId="0" xfId="2" applyNumberFormat="1" applyFont="1" applyBorder="1"/>
    <xf numFmtId="1" fontId="32" fillId="0" borderId="0" xfId="3" applyNumberFormat="1" applyFont="1"/>
    <xf numFmtId="164" fontId="32" fillId="0" borderId="0" xfId="1" applyNumberFormat="1" applyFont="1"/>
    <xf numFmtId="0" fontId="32" fillId="0" borderId="0" xfId="3" applyFont="1"/>
    <xf numFmtId="0" fontId="30" fillId="18" borderId="1" xfId="4" applyFont="1" applyFill="1" applyBorder="1"/>
    <xf numFmtId="3" fontId="30" fillId="0" borderId="0" xfId="3" applyNumberFormat="1" applyFont="1"/>
    <xf numFmtId="166" fontId="32" fillId="0" borderId="0" xfId="1" applyNumberFormat="1" applyFont="1"/>
    <xf numFmtId="166" fontId="32" fillId="0" borderId="0" xfId="1" applyNumberFormat="1" applyFont="1" applyFill="1"/>
    <xf numFmtId="166" fontId="32" fillId="0" borderId="0" xfId="1" applyNumberFormat="1" applyFont="1" applyBorder="1"/>
    <xf numFmtId="166" fontId="32" fillId="0" borderId="0" xfId="3" applyNumberFormat="1" applyFont="1"/>
    <xf numFmtId="167" fontId="32" fillId="0" borderId="0" xfId="3" applyNumberFormat="1" applyFont="1"/>
    <xf numFmtId="3" fontId="32" fillId="13" borderId="0" xfId="3" applyNumberFormat="1" applyFont="1" applyFill="1"/>
    <xf numFmtId="166" fontId="30" fillId="13" borderId="0" xfId="1" applyNumberFormat="1" applyFont="1" applyFill="1" applyAlignment="1"/>
    <xf numFmtId="166" fontId="32" fillId="13" borderId="0" xfId="1" applyNumberFormat="1" applyFont="1" applyFill="1" applyAlignment="1"/>
    <xf numFmtId="166" fontId="32" fillId="13" borderId="0" xfId="1" applyNumberFormat="1" applyFont="1" applyFill="1" applyBorder="1" applyAlignment="1"/>
    <xf numFmtId="167" fontId="32" fillId="13" borderId="0" xfId="2" applyNumberFormat="1" applyFont="1" applyFill="1" applyAlignment="1"/>
    <xf numFmtId="167" fontId="32" fillId="13" borderId="0" xfId="2" applyNumberFormat="1" applyFont="1" applyFill="1" applyBorder="1" applyAlignment="1"/>
    <xf numFmtId="166" fontId="30" fillId="0" borderId="0" xfId="1" applyNumberFormat="1" applyFont="1" applyFill="1" applyAlignment="1"/>
    <xf numFmtId="166" fontId="30" fillId="0" borderId="0" xfId="1" applyNumberFormat="1" applyFont="1" applyFill="1" applyBorder="1" applyAlignment="1"/>
    <xf numFmtId="167" fontId="32" fillId="0" borderId="0" xfId="3" applyNumberFormat="1" applyFont="1" applyAlignment="1">
      <alignment horizontal="right"/>
    </xf>
    <xf numFmtId="167" fontId="30" fillId="13" borderId="0" xfId="5" applyNumberFormat="1" applyFont="1" applyFill="1" applyAlignment="1">
      <alignment horizontal="center"/>
    </xf>
    <xf numFmtId="167" fontId="30" fillId="13" borderId="0" xfId="5" applyNumberFormat="1" applyFont="1" applyFill="1" applyBorder="1" applyAlignment="1">
      <alignment horizontal="center"/>
    </xf>
    <xf numFmtId="167" fontId="30" fillId="0" borderId="0" xfId="5" applyNumberFormat="1" applyFont="1" applyFill="1" applyAlignment="1">
      <alignment horizontal="center"/>
    </xf>
    <xf numFmtId="167" fontId="38" fillId="0" borderId="0" xfId="2" applyNumberFormat="1" applyFont="1" applyFill="1" applyAlignment="1"/>
    <xf numFmtId="167" fontId="38" fillId="0" borderId="0" xfId="2" applyNumberFormat="1" applyFont="1" applyFill="1" applyBorder="1" applyAlignment="1"/>
    <xf numFmtId="167" fontId="32" fillId="0" borderId="0" xfId="2" applyNumberFormat="1" applyFont="1" applyFill="1" applyBorder="1"/>
    <xf numFmtId="167" fontId="32" fillId="13" borderId="0" xfId="3" applyNumberFormat="1" applyFont="1" applyFill="1"/>
    <xf numFmtId="166" fontId="32" fillId="13" borderId="0" xfId="1" applyNumberFormat="1" applyFont="1" applyFill="1"/>
    <xf numFmtId="0" fontId="32" fillId="13" borderId="0" xfId="3" applyFont="1" applyFill="1"/>
    <xf numFmtId="166" fontId="32" fillId="0" borderId="0" xfId="1" applyNumberFormat="1" applyFont="1" applyFill="1" applyAlignment="1">
      <alignment horizontal="center"/>
    </xf>
    <xf numFmtId="37" fontId="32" fillId="0" borderId="0" xfId="6" applyNumberFormat="1" applyFont="1" applyAlignment="1">
      <alignment horizontal="center"/>
    </xf>
    <xf numFmtId="9" fontId="32" fillId="0" borderId="0" xfId="3" applyNumberFormat="1" applyFont="1"/>
    <xf numFmtId="167" fontId="32" fillId="0" borderId="0" xfId="6" applyNumberFormat="1" applyFont="1" applyAlignment="1">
      <alignment horizontal="right"/>
    </xf>
    <xf numFmtId="3" fontId="30" fillId="18" borderId="1" xfId="3" applyNumberFormat="1" applyFont="1" applyFill="1" applyBorder="1"/>
    <xf numFmtId="9" fontId="30" fillId="18" borderId="1" xfId="3" applyNumberFormat="1" applyFont="1" applyFill="1" applyBorder="1"/>
    <xf numFmtId="166" fontId="30" fillId="18" borderId="1" xfId="1" applyNumberFormat="1" applyFont="1" applyFill="1" applyBorder="1" applyAlignment="1">
      <alignment horizontal="center"/>
    </xf>
    <xf numFmtId="37" fontId="30" fillId="18" borderId="1" xfId="6" applyNumberFormat="1" applyFont="1" applyFill="1" applyBorder="1" applyAlignment="1">
      <alignment horizontal="center"/>
    </xf>
    <xf numFmtId="166" fontId="30" fillId="0" borderId="0" xfId="1" applyNumberFormat="1" applyFont="1" applyFill="1" applyAlignment="1">
      <alignment horizontal="center"/>
    </xf>
    <xf numFmtId="43" fontId="30" fillId="0" borderId="0" xfId="1" applyFont="1" applyFill="1" applyBorder="1" applyAlignment="1"/>
    <xf numFmtId="167" fontId="30" fillId="0" borderId="0" xfId="6" applyNumberFormat="1" applyFont="1" applyAlignment="1">
      <alignment horizontal="right"/>
    </xf>
    <xf numFmtId="0" fontId="30" fillId="0" borderId="1" xfId="4" applyFont="1" applyBorder="1"/>
    <xf numFmtId="167" fontId="39" fillId="0" borderId="0" xfId="2" applyNumberFormat="1" applyFont="1" applyFill="1"/>
    <xf numFmtId="167" fontId="32" fillId="0" borderId="0" xfId="2" applyNumberFormat="1" applyFont="1" applyFill="1" applyAlignment="1">
      <alignment horizontal="right"/>
    </xf>
    <xf numFmtId="167" fontId="32" fillId="0" borderId="0" xfId="2" applyNumberFormat="1" applyFont="1" applyFill="1" applyBorder="1" applyAlignment="1">
      <alignment horizontal="right"/>
    </xf>
    <xf numFmtId="0" fontId="30" fillId="0" borderId="0" xfId="4" applyFont="1"/>
    <xf numFmtId="0" fontId="30" fillId="0" borderId="0" xfId="4" applyFont="1" applyAlignment="1">
      <alignment horizontal="right"/>
    </xf>
    <xf numFmtId="167" fontId="32" fillId="0" borderId="0" xfId="2" applyNumberFormat="1" applyFont="1" applyFill="1"/>
    <xf numFmtId="167" fontId="30" fillId="0" borderId="0" xfId="3" applyNumberFormat="1" applyFont="1"/>
    <xf numFmtId="167" fontId="32" fillId="0" borderId="0" xfId="6" applyNumberFormat="1" applyFont="1" applyAlignment="1">
      <alignment horizontal="center"/>
    </xf>
    <xf numFmtId="167" fontId="30" fillId="0" borderId="0" xfId="6" applyNumberFormat="1" applyFont="1" applyAlignment="1">
      <alignment horizontal="center"/>
    </xf>
    <xf numFmtId="166" fontId="40" fillId="0" borderId="0" xfId="1" applyNumberFormat="1" applyFont="1" applyBorder="1"/>
    <xf numFmtId="166" fontId="30" fillId="0" borderId="0" xfId="1" applyNumberFormat="1" applyFont="1" applyBorder="1"/>
    <xf numFmtId="166" fontId="41" fillId="0" borderId="0" xfId="1" applyNumberFormat="1" applyFont="1" applyBorder="1"/>
    <xf numFmtId="166" fontId="30" fillId="0" borderId="0" xfId="1" applyNumberFormat="1" applyFont="1" applyFill="1" applyBorder="1"/>
    <xf numFmtId="167" fontId="30" fillId="0" borderId="0" xfId="2" applyNumberFormat="1" applyFont="1" applyBorder="1"/>
    <xf numFmtId="9" fontId="41" fillId="0" borderId="0" xfId="2" applyFont="1" applyBorder="1"/>
    <xf numFmtId="167" fontId="30" fillId="0" borderId="0" xfId="2" applyNumberFormat="1" applyFont="1" applyFill="1" applyBorder="1"/>
    <xf numFmtId="166" fontId="32" fillId="0" borderId="0" xfId="1" applyNumberFormat="1" applyFont="1" applyFill="1" applyBorder="1"/>
    <xf numFmtId="3" fontId="30" fillId="0" borderId="4" xfId="3" applyNumberFormat="1" applyFont="1" applyBorder="1"/>
    <xf numFmtId="166" fontId="41" fillId="0" borderId="4" xfId="1" applyNumberFormat="1" applyFont="1" applyBorder="1"/>
    <xf numFmtId="3" fontId="41" fillId="0" borderId="4" xfId="3" applyNumberFormat="1" applyFont="1" applyBorder="1"/>
    <xf numFmtId="9" fontId="30" fillId="0" borderId="0" xfId="2" applyFont="1" applyAlignment="1"/>
    <xf numFmtId="167" fontId="30" fillId="0" borderId="0" xfId="2" applyNumberFormat="1" applyFont="1"/>
    <xf numFmtId="167" fontId="30" fillId="0" borderId="0" xfId="2" applyNumberFormat="1" applyFont="1" applyFill="1"/>
    <xf numFmtId="9" fontId="32" fillId="0" borderId="0" xfId="2" applyFont="1"/>
    <xf numFmtId="3" fontId="32" fillId="0" borderId="0" xfId="2" applyNumberFormat="1" applyFont="1"/>
    <xf numFmtId="168" fontId="30" fillId="0" borderId="0" xfId="3" applyNumberFormat="1" applyFont="1"/>
    <xf numFmtId="43" fontId="32" fillId="0" borderId="0" xfId="3" applyNumberFormat="1" applyFont="1"/>
    <xf numFmtId="0" fontId="30" fillId="0" borderId="0" xfId="3" applyFont="1"/>
    <xf numFmtId="166" fontId="30" fillId="0" borderId="4" xfId="1" applyNumberFormat="1" applyFont="1" applyBorder="1"/>
    <xf numFmtId="166" fontId="30" fillId="0" borderId="4" xfId="1" applyNumberFormat="1" applyFont="1" applyFill="1" applyBorder="1"/>
    <xf numFmtId="9" fontId="30" fillId="0" borderId="0" xfId="6" applyNumberFormat="1" applyFont="1" applyAlignment="1">
      <alignment horizontal="center"/>
    </xf>
    <xf numFmtId="9" fontId="38" fillId="0" borderId="0" xfId="2" applyFont="1" applyAlignment="1"/>
    <xf numFmtId="167" fontId="38" fillId="0" borderId="0" xfId="2" applyNumberFormat="1" applyFont="1"/>
    <xf numFmtId="167" fontId="30" fillId="0" borderId="4" xfId="3" applyNumberFormat="1" applyFont="1" applyBorder="1"/>
    <xf numFmtId="0" fontId="32" fillId="0" borderId="0" xfId="7" applyFont="1"/>
    <xf numFmtId="43" fontId="32" fillId="0" borderId="0" xfId="1" applyFont="1" applyFill="1" applyAlignment="1"/>
    <xf numFmtId="1" fontId="32" fillId="2" borderId="0" xfId="3" applyNumberFormat="1" applyFont="1" applyFill="1"/>
    <xf numFmtId="1" fontId="32" fillId="3" borderId="0" xfId="3" applyNumberFormat="1" applyFont="1" applyFill="1"/>
    <xf numFmtId="0" fontId="32" fillId="0" borderId="0" xfId="6" applyFont="1"/>
    <xf numFmtId="9" fontId="32" fillId="0" borderId="0" xfId="2" applyFont="1" applyFill="1"/>
    <xf numFmtId="9" fontId="32" fillId="2" borderId="0" xfId="2" applyFont="1" applyFill="1"/>
    <xf numFmtId="9" fontId="32" fillId="0" borderId="0" xfId="2" applyFont="1" applyFill="1" applyBorder="1"/>
    <xf numFmtId="166" fontId="30" fillId="3" borderId="0" xfId="1" applyNumberFormat="1" applyFont="1" applyFill="1"/>
    <xf numFmtId="166" fontId="30" fillId="0" borderId="0" xfId="1" applyNumberFormat="1" applyFont="1" applyFill="1"/>
    <xf numFmtId="166" fontId="30" fillId="3" borderId="0" xfId="1" applyNumberFormat="1" applyFont="1" applyFill="1" applyBorder="1"/>
    <xf numFmtId="2" fontId="32" fillId="0" borderId="0" xfId="3" applyNumberFormat="1" applyFont="1"/>
    <xf numFmtId="166" fontId="30" fillId="0" borderId="0" xfId="1" applyNumberFormat="1" applyFont="1"/>
    <xf numFmtId="37" fontId="32" fillId="0" borderId="0" xfId="7" applyNumberFormat="1" applyFont="1"/>
    <xf numFmtId="0" fontId="30" fillId="0" borderId="0" xfId="6" applyFont="1"/>
    <xf numFmtId="170" fontId="32" fillId="0" borderId="0" xfId="2" applyNumberFormat="1" applyFont="1" applyFill="1" applyAlignment="1">
      <alignment horizontal="right"/>
    </xf>
    <xf numFmtId="170" fontId="32" fillId="0" borderId="0" xfId="2" applyNumberFormat="1" applyFont="1" applyFill="1" applyBorder="1" applyAlignment="1">
      <alignment horizontal="right"/>
    </xf>
    <xf numFmtId="166" fontId="32" fillId="2" borderId="0" xfId="1" applyNumberFormat="1" applyFont="1" applyFill="1" applyAlignment="1">
      <alignment horizontal="center"/>
    </xf>
    <xf numFmtId="166" fontId="32" fillId="3" borderId="0" xfId="1" applyNumberFormat="1" applyFont="1" applyFill="1" applyAlignment="1">
      <alignment horizontal="center"/>
    </xf>
    <xf numFmtId="43" fontId="32" fillId="0" borderId="0" xfId="1" applyFont="1" applyFill="1" applyAlignment="1">
      <alignment horizontal="center"/>
    </xf>
    <xf numFmtId="166" fontId="32" fillId="0" borderId="0" xfId="1" applyNumberFormat="1" applyFont="1" applyFill="1" applyBorder="1" applyAlignment="1">
      <alignment horizontal="center"/>
    </xf>
    <xf numFmtId="171" fontId="32" fillId="0" borderId="0" xfId="1" applyNumberFormat="1" applyFont="1" applyFill="1" applyAlignment="1">
      <alignment horizontal="right"/>
    </xf>
    <xf numFmtId="171" fontId="32" fillId="0" borderId="0" xfId="1" applyNumberFormat="1" applyFont="1" applyFill="1" applyBorder="1" applyAlignment="1">
      <alignment horizontal="right"/>
    </xf>
    <xf numFmtId="177" fontId="32" fillId="0" borderId="0" xfId="1" applyNumberFormat="1" applyFont="1" applyFill="1" applyAlignment="1">
      <alignment horizontal="right"/>
    </xf>
    <xf numFmtId="177" fontId="32" fillId="0" borderId="0" xfId="1" applyNumberFormat="1" applyFont="1" applyFill="1" applyAlignment="1">
      <alignment horizontal="center"/>
    </xf>
    <xf numFmtId="177" fontId="32" fillId="0" borderId="0" xfId="1" applyNumberFormat="1" applyFont="1" applyFill="1" applyBorder="1" applyAlignment="1">
      <alignment horizontal="center"/>
    </xf>
    <xf numFmtId="170" fontId="32" fillId="3" borderId="0" xfId="2" applyNumberFormat="1" applyFont="1" applyFill="1" applyAlignment="1">
      <alignment horizontal="right"/>
    </xf>
    <xf numFmtId="9" fontId="32" fillId="2" borderId="0" xfId="3" applyNumberFormat="1" applyFont="1" applyFill="1"/>
    <xf numFmtId="165" fontId="32" fillId="0" borderId="0" xfId="1" applyNumberFormat="1" applyFont="1" applyFill="1" applyAlignment="1"/>
    <xf numFmtId="165" fontId="32" fillId="2" borderId="0" xfId="3" applyNumberFormat="1" applyFont="1" applyFill="1"/>
    <xf numFmtId="165" fontId="32" fillId="3" borderId="0" xfId="3" applyNumberFormat="1" applyFont="1" applyFill="1"/>
    <xf numFmtId="165" fontId="32" fillId="0" borderId="0" xfId="3" applyNumberFormat="1" applyFont="1"/>
    <xf numFmtId="2" fontId="32" fillId="3" borderId="0" xfId="3" applyNumberFormat="1" applyFont="1" applyFill="1"/>
    <xf numFmtId="43" fontId="32" fillId="3" borderId="0" xfId="3" applyNumberFormat="1" applyFont="1" applyFill="1"/>
    <xf numFmtId="165" fontId="32" fillId="0" borderId="0" xfId="1" applyNumberFormat="1" applyFont="1" applyFill="1"/>
    <xf numFmtId="165" fontId="32" fillId="0" borderId="0" xfId="1" applyNumberFormat="1" applyFont="1" applyFill="1" applyBorder="1"/>
    <xf numFmtId="166" fontId="32" fillId="3" borderId="0" xfId="1" applyNumberFormat="1" applyFont="1" applyFill="1"/>
    <xf numFmtId="166" fontId="32" fillId="0" borderId="0" xfId="2" applyNumberFormat="1" applyFont="1" applyFill="1"/>
    <xf numFmtId="166" fontId="32" fillId="3" borderId="0" xfId="1" applyNumberFormat="1" applyFont="1" applyFill="1" applyBorder="1"/>
    <xf numFmtId="170" fontId="32" fillId="0" borderId="0" xfId="3" applyNumberFormat="1" applyFont="1"/>
    <xf numFmtId="167" fontId="32" fillId="2" borderId="0" xfId="2" applyNumberFormat="1" applyFont="1" applyFill="1"/>
    <xf numFmtId="167" fontId="32" fillId="0" borderId="2" xfId="2" applyNumberFormat="1" applyFont="1" applyFill="1" applyBorder="1"/>
    <xf numFmtId="43" fontId="30" fillId="0" borderId="0" xfId="1" applyFont="1" applyFill="1" applyAlignment="1"/>
    <xf numFmtId="169" fontId="30" fillId="3" borderId="0" xfId="3" applyNumberFormat="1" applyFont="1" applyFill="1"/>
    <xf numFmtId="169" fontId="30" fillId="0" borderId="0" xfId="3" applyNumberFormat="1" applyFont="1"/>
    <xf numFmtId="168" fontId="30" fillId="0" borderId="0" xfId="4" applyNumberFormat="1" applyFont="1"/>
    <xf numFmtId="170" fontId="30" fillId="0" borderId="0" xfId="2" applyNumberFormat="1" applyFont="1" applyFill="1" applyAlignment="1">
      <alignment horizontal="right"/>
    </xf>
    <xf numFmtId="170" fontId="30" fillId="0" borderId="0" xfId="2" applyNumberFormat="1" applyFont="1" applyFill="1" applyBorder="1" applyAlignment="1">
      <alignment horizontal="right"/>
    </xf>
    <xf numFmtId="165" fontId="32" fillId="0" borderId="0" xfId="1" applyNumberFormat="1" applyFont="1" applyFill="1" applyAlignment="1">
      <alignment horizontal="right"/>
    </xf>
    <xf numFmtId="165" fontId="32" fillId="5" borderId="0" xfId="1" applyNumberFormat="1" applyFont="1" applyFill="1" applyAlignment="1">
      <alignment horizontal="right"/>
    </xf>
    <xf numFmtId="165" fontId="32" fillId="0" borderId="0" xfId="1" applyNumberFormat="1" applyFont="1" applyFill="1" applyBorder="1" applyAlignment="1">
      <alignment horizontal="right"/>
    </xf>
    <xf numFmtId="165" fontId="32" fillId="3" borderId="0" xfId="1" applyNumberFormat="1" applyFont="1" applyFill="1" applyAlignment="1">
      <alignment horizontal="right"/>
    </xf>
    <xf numFmtId="166" fontId="32" fillId="0" borderId="0" xfId="1" applyNumberFormat="1" applyFont="1" applyFill="1" applyAlignment="1">
      <alignment horizontal="right"/>
    </xf>
    <xf numFmtId="166" fontId="32" fillId="0" borderId="0" xfId="1" applyNumberFormat="1" applyFont="1" applyFill="1" applyBorder="1" applyAlignment="1">
      <alignment horizontal="right"/>
    </xf>
    <xf numFmtId="170" fontId="32" fillId="3" borderId="0" xfId="2" applyNumberFormat="1" applyFont="1" applyFill="1" applyBorder="1" applyAlignment="1">
      <alignment horizontal="right"/>
    </xf>
    <xf numFmtId="165" fontId="32" fillId="3" borderId="0" xfId="1" applyNumberFormat="1" applyFont="1" applyFill="1" applyBorder="1"/>
    <xf numFmtId="165" fontId="32" fillId="0" borderId="0" xfId="1" applyNumberFormat="1" applyFont="1" applyFill="1" applyAlignment="1">
      <alignment horizontal="center"/>
    </xf>
    <xf numFmtId="165" fontId="32" fillId="0" borderId="0" xfId="1" applyNumberFormat="1" applyFont="1" applyFill="1" applyBorder="1" applyAlignment="1">
      <alignment horizontal="center"/>
    </xf>
    <xf numFmtId="167" fontId="32" fillId="3" borderId="0" xfId="2" applyNumberFormat="1" applyFont="1" applyFill="1" applyBorder="1"/>
    <xf numFmtId="9" fontId="32" fillId="3" borderId="0" xfId="2" applyFont="1" applyFill="1" applyBorder="1"/>
    <xf numFmtId="3" fontId="32" fillId="0" borderId="0" xfId="2" applyNumberFormat="1" applyFont="1" applyFill="1" applyBorder="1"/>
    <xf numFmtId="166" fontId="32" fillId="3" borderId="0" xfId="1" applyNumberFormat="1" applyFont="1" applyFill="1" applyBorder="1" applyAlignment="1">
      <alignment horizontal="center"/>
    </xf>
    <xf numFmtId="43" fontId="32" fillId="3" borderId="0" xfId="1" applyFont="1" applyFill="1" applyBorder="1"/>
    <xf numFmtId="43" fontId="32" fillId="0" borderId="0" xfId="1" applyFont="1" applyFill="1" applyBorder="1"/>
    <xf numFmtId="43" fontId="32" fillId="3" borderId="0" xfId="1" applyFont="1" applyFill="1" applyAlignment="1">
      <alignment horizontal="center"/>
    </xf>
    <xf numFmtId="43" fontId="32" fillId="3" borderId="0" xfId="1" applyFont="1" applyFill="1" applyBorder="1" applyAlignment="1">
      <alignment horizontal="center"/>
    </xf>
    <xf numFmtId="166" fontId="32" fillId="0" borderId="0" xfId="1" applyNumberFormat="1" applyFont="1" applyFill="1" applyBorder="1" applyAlignment="1"/>
    <xf numFmtId="0" fontId="32" fillId="0" borderId="0" xfId="2" applyNumberFormat="1" applyFont="1" applyFill="1" applyBorder="1"/>
    <xf numFmtId="0" fontId="32" fillId="0" borderId="2" xfId="6" applyFont="1" applyBorder="1"/>
    <xf numFmtId="0" fontId="42" fillId="0" borderId="0" xfId="6" applyFont="1"/>
    <xf numFmtId="0" fontId="43" fillId="0" borderId="0" xfId="6" applyFont="1"/>
    <xf numFmtId="0" fontId="30" fillId="18" borderId="0" xfId="6" applyFont="1" applyFill="1"/>
    <xf numFmtId="166" fontId="44" fillId="0" borderId="0" xfId="1" applyNumberFormat="1" applyFont="1" applyFill="1"/>
    <xf numFmtId="166" fontId="44" fillId="0" borderId="0" xfId="1" applyNumberFormat="1" applyFont="1" applyFill="1" applyBorder="1"/>
    <xf numFmtId="0" fontId="32" fillId="0" borderId="0" xfId="6" applyFont="1" applyAlignment="1">
      <alignment horizontal="left" indent="1"/>
    </xf>
    <xf numFmtId="166" fontId="32" fillId="0" borderId="0" xfId="2" applyNumberFormat="1" applyFont="1" applyFill="1" applyBorder="1"/>
    <xf numFmtId="0" fontId="30" fillId="0" borderId="0" xfId="6" applyFont="1" applyAlignment="1">
      <alignment horizontal="left" indent="1"/>
    </xf>
    <xf numFmtId="0" fontId="30" fillId="0" borderId="4" xfId="6" applyFont="1" applyBorder="1"/>
    <xf numFmtId="166" fontId="32" fillId="0" borderId="4" xfId="2" applyNumberFormat="1" applyFont="1" applyFill="1" applyBorder="1"/>
    <xf numFmtId="169" fontId="32" fillId="0" borderId="0" xfId="2" applyNumberFormat="1" applyFont="1" applyFill="1" applyAlignment="1">
      <alignment horizontal="right"/>
    </xf>
    <xf numFmtId="3" fontId="32" fillId="0" borderId="0" xfId="2" applyNumberFormat="1" applyFont="1" applyFill="1" applyAlignment="1">
      <alignment horizontal="right"/>
    </xf>
    <xf numFmtId="14" fontId="32" fillId="0" borderId="0" xfId="3" applyNumberFormat="1" applyFont="1"/>
    <xf numFmtId="172" fontId="32" fillId="0" borderId="0" xfId="3" applyNumberFormat="1" applyFont="1"/>
    <xf numFmtId="3" fontId="32" fillId="3" borderId="0" xfId="3" applyNumberFormat="1" applyFont="1" applyFill="1"/>
    <xf numFmtId="0" fontId="43" fillId="0" borderId="4" xfId="6" applyFont="1" applyBorder="1"/>
    <xf numFmtId="167" fontId="30" fillId="0" borderId="4" xfId="2" applyNumberFormat="1" applyFont="1" applyFill="1" applyBorder="1"/>
    <xf numFmtId="43" fontId="32" fillId="0" borderId="0" xfId="1" applyFont="1"/>
    <xf numFmtId="168" fontId="32" fillId="0" borderId="0" xfId="3" applyNumberFormat="1" applyFont="1"/>
    <xf numFmtId="3" fontId="30" fillId="3" borderId="0" xfId="3" applyNumberFormat="1" applyFont="1" applyFill="1"/>
    <xf numFmtId="17" fontId="32" fillId="0" borderId="0" xfId="3" applyNumberFormat="1" applyFont="1"/>
    <xf numFmtId="1" fontId="32" fillId="0" borderId="0" xfId="6" applyNumberFormat="1" applyFont="1"/>
    <xf numFmtId="1" fontId="32" fillId="2" borderId="0" xfId="2" applyNumberFormat="1" applyFont="1" applyFill="1"/>
    <xf numFmtId="3" fontId="32" fillId="0" borderId="0" xfId="2" applyNumberFormat="1" applyFont="1" applyFill="1"/>
    <xf numFmtId="169" fontId="32" fillId="2" borderId="0" xfId="3" applyNumberFormat="1" applyFont="1" applyFill="1"/>
    <xf numFmtId="169" fontId="32" fillId="2" borderId="0" xfId="2" applyNumberFormat="1" applyFont="1" applyFill="1"/>
    <xf numFmtId="169" fontId="32" fillId="0" borderId="0" xfId="2" applyNumberFormat="1" applyFont="1" applyFill="1"/>
    <xf numFmtId="43" fontId="32" fillId="0" borderId="0" xfId="1" applyFont="1" applyBorder="1" applyAlignment="1"/>
    <xf numFmtId="1" fontId="32" fillId="0" borderId="0" xfId="2" applyNumberFormat="1" applyFont="1" applyFill="1"/>
    <xf numFmtId="1" fontId="32" fillId="3" borderId="0" xfId="2" applyNumberFormat="1" applyFont="1" applyFill="1"/>
    <xf numFmtId="1" fontId="32" fillId="3" borderId="0" xfId="2" applyNumberFormat="1" applyFont="1" applyFill="1" applyBorder="1"/>
    <xf numFmtId="1" fontId="30" fillId="0" borderId="1" xfId="4" applyNumberFormat="1" applyFont="1" applyBorder="1"/>
    <xf numFmtId="168" fontId="32" fillId="0" borderId="0" xfId="2" applyNumberFormat="1" applyFont="1" applyFill="1"/>
    <xf numFmtId="1" fontId="32" fillId="0" borderId="0" xfId="2" applyNumberFormat="1" applyFont="1" applyFill="1" applyBorder="1"/>
    <xf numFmtId="167" fontId="32" fillId="3" borderId="0" xfId="2" applyNumberFormat="1" applyFont="1" applyFill="1"/>
    <xf numFmtId="3" fontId="32" fillId="3" borderId="0" xfId="2" applyNumberFormat="1" applyFont="1" applyFill="1"/>
    <xf numFmtId="167" fontId="32" fillId="2" borderId="0" xfId="2" applyNumberFormat="1" applyFont="1" applyFill="1" applyBorder="1"/>
    <xf numFmtId="168" fontId="32" fillId="0" borderId="0" xfId="2" applyNumberFormat="1" applyFont="1" applyFill="1" applyBorder="1"/>
    <xf numFmtId="169" fontId="30" fillId="0" borderId="0" xfId="2" applyNumberFormat="1" applyFont="1" applyFill="1"/>
    <xf numFmtId="169" fontId="30" fillId="2" borderId="0" xfId="2" applyNumberFormat="1" applyFont="1" applyFill="1"/>
    <xf numFmtId="169" fontId="30" fillId="3" borderId="0" xfId="2" applyNumberFormat="1" applyFont="1" applyFill="1"/>
    <xf numFmtId="169" fontId="30" fillId="0" borderId="0" xfId="2" applyNumberFormat="1" applyFont="1" applyFill="1" applyBorder="1"/>
    <xf numFmtId="0" fontId="30" fillId="18" borderId="1" xfId="6" applyFont="1" applyFill="1" applyBorder="1"/>
    <xf numFmtId="0" fontId="30" fillId="18" borderId="1" xfId="2" applyNumberFormat="1" applyFont="1" applyFill="1" applyBorder="1"/>
    <xf numFmtId="165" fontId="32" fillId="0" borderId="0" xfId="2" applyNumberFormat="1" applyFont="1" applyFill="1"/>
    <xf numFmtId="165" fontId="30" fillId="0" borderId="0" xfId="2" applyNumberFormat="1" applyFont="1" applyFill="1"/>
    <xf numFmtId="165" fontId="30" fillId="5" borderId="0" xfId="2" applyNumberFormat="1" applyFont="1" applyFill="1"/>
    <xf numFmtId="165" fontId="30" fillId="0" borderId="0" xfId="2" applyNumberFormat="1" applyFont="1" applyFill="1" applyBorder="1"/>
    <xf numFmtId="167" fontId="32" fillId="2" borderId="0" xfId="3" applyNumberFormat="1" applyFont="1" applyFill="1"/>
    <xf numFmtId="165" fontId="32" fillId="3" borderId="0" xfId="2" applyNumberFormat="1" applyFont="1" applyFill="1"/>
    <xf numFmtId="165" fontId="32" fillId="3" borderId="0" xfId="1" applyNumberFormat="1" applyFont="1" applyFill="1"/>
    <xf numFmtId="165" fontId="32" fillId="0" borderId="4" xfId="2" applyNumberFormat="1" applyFont="1" applyFill="1" applyBorder="1"/>
    <xf numFmtId="165" fontId="32" fillId="3" borderId="4" xfId="2" applyNumberFormat="1" applyFont="1" applyFill="1" applyBorder="1"/>
    <xf numFmtId="165" fontId="32" fillId="3" borderId="0" xfId="2" applyNumberFormat="1" applyFont="1" applyFill="1" applyBorder="1"/>
    <xf numFmtId="165" fontId="32" fillId="0" borderId="0" xfId="2" applyNumberFormat="1" applyFont="1" applyFill="1" applyBorder="1"/>
    <xf numFmtId="3" fontId="30" fillId="0" borderId="4" xfId="6" applyNumberFormat="1" applyFont="1" applyBorder="1"/>
    <xf numFmtId="3" fontId="30" fillId="0" borderId="4" xfId="2" applyNumberFormat="1" applyFont="1" applyFill="1" applyBorder="1"/>
    <xf numFmtId="0" fontId="30" fillId="0" borderId="0" xfId="2" applyNumberFormat="1" applyFont="1" applyFill="1"/>
    <xf numFmtId="0" fontId="32" fillId="0" borderId="0" xfId="2" applyNumberFormat="1" applyFont="1" applyFill="1"/>
    <xf numFmtId="43" fontId="32" fillId="0" borderId="0" xfId="1" applyFont="1" applyFill="1" applyAlignment="1">
      <alignment vertical="center"/>
    </xf>
    <xf numFmtId="167" fontId="32" fillId="0" borderId="0" xfId="2" applyNumberFormat="1" applyFont="1" applyFill="1" applyAlignment="1">
      <alignment vertical="center"/>
    </xf>
    <xf numFmtId="43" fontId="32" fillId="0" borderId="0" xfId="1" applyFont="1" applyFill="1" applyBorder="1" applyAlignment="1">
      <alignment vertical="center"/>
    </xf>
    <xf numFmtId="0" fontId="29" fillId="22" borderId="1" xfId="4" applyFont="1" applyFill="1" applyBorder="1"/>
    <xf numFmtId="0" fontId="29" fillId="22" borderId="1" xfId="2" applyNumberFormat="1" applyFont="1" applyFill="1" applyBorder="1"/>
    <xf numFmtId="0" fontId="43" fillId="0" borderId="0" xfId="6" applyFont="1" applyAlignment="1">
      <alignment horizontal="left" indent="1"/>
    </xf>
    <xf numFmtId="0" fontId="42" fillId="0" borderId="0" xfId="6" applyFont="1" applyAlignment="1">
      <alignment horizontal="left" indent="1"/>
    </xf>
    <xf numFmtId="0" fontId="42" fillId="0" borderId="0" xfId="6" applyFont="1" applyAlignment="1">
      <alignment horizontal="left"/>
    </xf>
    <xf numFmtId="3" fontId="32" fillId="3" borderId="0" xfId="2" applyNumberFormat="1" applyFont="1" applyFill="1" applyAlignment="1">
      <alignment horizontal="right"/>
    </xf>
    <xf numFmtId="3" fontId="32" fillId="3" borderId="0" xfId="2" applyNumberFormat="1" applyFont="1" applyFill="1" applyBorder="1" applyAlignment="1">
      <alignment horizontal="right"/>
    </xf>
    <xf numFmtId="0" fontId="42" fillId="0" borderId="2" xfId="6" applyFont="1" applyBorder="1" applyAlignment="1">
      <alignment horizontal="left"/>
    </xf>
    <xf numFmtId="169" fontId="32" fillId="0" borderId="2" xfId="2" applyNumberFormat="1" applyFont="1" applyFill="1" applyBorder="1" applyAlignment="1">
      <alignment horizontal="right"/>
    </xf>
    <xf numFmtId="3" fontId="32" fillId="0" borderId="2" xfId="2" applyNumberFormat="1" applyFont="1" applyFill="1" applyBorder="1" applyAlignment="1">
      <alignment horizontal="right"/>
    </xf>
    <xf numFmtId="3" fontId="32" fillId="3" borderId="2" xfId="2" applyNumberFormat="1" applyFont="1" applyFill="1" applyBorder="1" applyAlignment="1">
      <alignment horizontal="right"/>
    </xf>
    <xf numFmtId="0" fontId="43" fillId="11" borderId="0" xfId="6" applyFont="1" applyFill="1"/>
    <xf numFmtId="169" fontId="30" fillId="0" borderId="0" xfId="2" applyNumberFormat="1" applyFont="1" applyFill="1" applyAlignment="1">
      <alignment horizontal="right"/>
    </xf>
    <xf numFmtId="3" fontId="30" fillId="0" borderId="0" xfId="2" applyNumberFormat="1" applyFont="1" applyFill="1" applyAlignment="1">
      <alignment horizontal="right"/>
    </xf>
    <xf numFmtId="3" fontId="30" fillId="0" borderId="0" xfId="2" applyNumberFormat="1" applyFont="1" applyFill="1" applyBorder="1" applyAlignment="1">
      <alignment horizontal="right"/>
    </xf>
    <xf numFmtId="167" fontId="30" fillId="0" borderId="0" xfId="2" applyNumberFormat="1" applyFont="1" applyFill="1" applyAlignment="1">
      <alignment horizontal="right"/>
    </xf>
    <xf numFmtId="167" fontId="30" fillId="0" borderId="0" xfId="2" applyNumberFormat="1" applyFont="1" applyFill="1" applyBorder="1" applyAlignment="1">
      <alignment horizontal="right"/>
    </xf>
    <xf numFmtId="166" fontId="30" fillId="0" borderId="0" xfId="1" applyNumberFormat="1" applyFont="1" applyFill="1" applyAlignment="1">
      <alignment horizontal="right"/>
    </xf>
    <xf numFmtId="166" fontId="30" fillId="0" borderId="0" xfId="1" applyNumberFormat="1" applyFont="1" applyFill="1" applyBorder="1" applyAlignment="1">
      <alignment horizontal="right"/>
    </xf>
    <xf numFmtId="0" fontId="43" fillId="11" borderId="4" xfId="6" applyFont="1" applyFill="1" applyBorder="1"/>
    <xf numFmtId="43" fontId="30" fillId="0" borderId="0" xfId="1" applyFont="1" applyFill="1" applyAlignment="1">
      <alignment horizontal="left"/>
    </xf>
    <xf numFmtId="173" fontId="30" fillId="0" borderId="0" xfId="3" applyNumberFormat="1" applyFont="1"/>
    <xf numFmtId="14" fontId="30" fillId="0" borderId="0" xfId="3" applyNumberFormat="1" applyFont="1"/>
    <xf numFmtId="172" fontId="30" fillId="0" borderId="0" xfId="3" applyNumberFormat="1" applyFont="1"/>
    <xf numFmtId="166" fontId="32" fillId="0" borderId="4" xfId="1" applyNumberFormat="1" applyFont="1" applyFill="1" applyBorder="1" applyAlignment="1">
      <alignment horizontal="right"/>
    </xf>
    <xf numFmtId="170" fontId="32" fillId="0" borderId="4" xfId="2" applyNumberFormat="1" applyFont="1" applyFill="1" applyBorder="1" applyAlignment="1">
      <alignment horizontal="right"/>
    </xf>
    <xf numFmtId="3" fontId="30" fillId="3" borderId="4" xfId="3" applyNumberFormat="1" applyFont="1" applyFill="1" applyBorder="1"/>
    <xf numFmtId="170" fontId="38" fillId="0" borderId="4" xfId="2" applyNumberFormat="1" applyFont="1" applyFill="1" applyBorder="1" applyAlignment="1">
      <alignment horizontal="right"/>
    </xf>
    <xf numFmtId="170" fontId="38" fillId="0" borderId="0" xfId="2" applyNumberFormat="1" applyFont="1" applyFill="1" applyAlignment="1">
      <alignment horizontal="right"/>
    </xf>
    <xf numFmtId="3" fontId="30" fillId="3" borderId="2" xfId="3" applyNumberFormat="1" applyFont="1" applyFill="1" applyBorder="1"/>
    <xf numFmtId="3" fontId="30" fillId="0" borderId="2" xfId="3" applyNumberFormat="1" applyFont="1" applyBorder="1"/>
    <xf numFmtId="166" fontId="30" fillId="0" borderId="2" xfId="1" applyNumberFormat="1" applyFont="1" applyFill="1" applyBorder="1"/>
    <xf numFmtId="0" fontId="30" fillId="18" borderId="4" xfId="6" applyFont="1" applyFill="1" applyBorder="1"/>
    <xf numFmtId="3" fontId="30" fillId="18" borderId="4" xfId="3" applyNumberFormat="1" applyFont="1" applyFill="1" applyBorder="1"/>
    <xf numFmtId="0" fontId="38" fillId="9" borderId="0" xfId="6" applyFont="1" applyFill="1"/>
    <xf numFmtId="170" fontId="38" fillId="9" borderId="0" xfId="2" applyNumberFormat="1" applyFont="1" applyFill="1" applyAlignment="1">
      <alignment horizontal="right"/>
    </xf>
    <xf numFmtId="3" fontId="30" fillId="9" borderId="0" xfId="2" applyNumberFormat="1" applyFont="1" applyFill="1" applyBorder="1"/>
    <xf numFmtId="0" fontId="32" fillId="13" borderId="0" xfId="6" applyFont="1" applyFill="1"/>
    <xf numFmtId="170" fontId="32" fillId="13" borderId="0" xfId="2" applyNumberFormat="1" applyFont="1" applyFill="1" applyAlignment="1">
      <alignment horizontal="right"/>
    </xf>
    <xf numFmtId="167" fontId="30" fillId="13" borderId="0" xfId="2" applyNumberFormat="1" applyFont="1" applyFill="1"/>
    <xf numFmtId="166" fontId="32" fillId="13" borderId="0" xfId="1" applyNumberFormat="1" applyFont="1" applyFill="1" applyAlignment="1">
      <alignment horizontal="right"/>
    </xf>
    <xf numFmtId="166" fontId="32" fillId="13" borderId="0" xfId="1" applyNumberFormat="1" applyFont="1" applyFill="1" applyBorder="1" applyAlignment="1">
      <alignment horizontal="right"/>
    </xf>
    <xf numFmtId="0" fontId="38" fillId="0" borderId="0" xfId="6" applyFont="1"/>
    <xf numFmtId="170" fontId="32" fillId="13" borderId="0" xfId="2" applyNumberFormat="1" applyFont="1" applyFill="1" applyAlignment="1">
      <alignment horizontal="left"/>
    </xf>
    <xf numFmtId="170" fontId="32" fillId="13" borderId="0" xfId="2" applyNumberFormat="1" applyFont="1" applyFill="1" applyBorder="1" applyAlignment="1">
      <alignment horizontal="left"/>
    </xf>
    <xf numFmtId="170" fontId="32" fillId="13" borderId="0" xfId="2" applyNumberFormat="1" applyFont="1" applyFill="1" applyBorder="1" applyAlignment="1"/>
    <xf numFmtId="170" fontId="38" fillId="0" borderId="0" xfId="2" applyNumberFormat="1" applyFont="1" applyFill="1" applyBorder="1" applyAlignment="1">
      <alignment horizontal="right"/>
    </xf>
    <xf numFmtId="166" fontId="32" fillId="3" borderId="0" xfId="1" applyNumberFormat="1" applyFont="1" applyFill="1" applyAlignment="1">
      <alignment horizontal="right"/>
    </xf>
    <xf numFmtId="166" fontId="32" fillId="3" borderId="0" xfId="1" applyNumberFormat="1" applyFont="1" applyFill="1" applyBorder="1" applyAlignment="1">
      <alignment horizontal="right"/>
    </xf>
    <xf numFmtId="3" fontId="32" fillId="0" borderId="0" xfId="6" applyNumberFormat="1" applyFont="1"/>
    <xf numFmtId="3" fontId="32" fillId="0" borderId="0" xfId="1" applyNumberFormat="1" applyFont="1" applyFill="1" applyAlignment="1">
      <alignment horizontal="right"/>
    </xf>
    <xf numFmtId="3" fontId="30" fillId="0" borderId="0" xfId="2" applyNumberFormat="1" applyFont="1" applyFill="1"/>
    <xf numFmtId="3" fontId="38" fillId="0" borderId="0" xfId="2" applyNumberFormat="1" applyFont="1" applyFill="1" applyAlignment="1">
      <alignment horizontal="right"/>
    </xf>
    <xf numFmtId="3" fontId="32" fillId="0" borderId="0" xfId="1" applyNumberFormat="1" applyFont="1" applyFill="1" applyBorder="1" applyAlignment="1">
      <alignment horizontal="right"/>
    </xf>
    <xf numFmtId="3" fontId="30" fillId="0" borderId="0" xfId="2" applyNumberFormat="1" applyFont="1" applyFill="1" applyBorder="1"/>
    <xf numFmtId="169" fontId="30" fillId="3" borderId="4" xfId="2" applyNumberFormat="1" applyFont="1" applyFill="1" applyBorder="1"/>
    <xf numFmtId="166" fontId="30" fillId="3" borderId="4" xfId="1" applyNumberFormat="1" applyFont="1" applyFill="1" applyBorder="1" applyAlignment="1">
      <alignment horizontal="right"/>
    </xf>
    <xf numFmtId="3" fontId="30" fillId="3" borderId="4" xfId="1" applyNumberFormat="1" applyFont="1" applyFill="1" applyBorder="1" applyAlignment="1">
      <alignment horizontal="right"/>
    </xf>
    <xf numFmtId="166" fontId="32" fillId="13" borderId="0" xfId="1" applyNumberFormat="1" applyFont="1" applyFill="1" applyAlignment="1">
      <alignment horizontal="left"/>
    </xf>
    <xf numFmtId="166" fontId="32" fillId="13" borderId="0" xfId="1" applyNumberFormat="1" applyFont="1" applyFill="1" applyBorder="1" applyAlignment="1">
      <alignment horizontal="left"/>
    </xf>
    <xf numFmtId="3" fontId="32" fillId="2" borderId="0" xfId="3" applyNumberFormat="1" applyFont="1" applyFill="1"/>
    <xf numFmtId="43" fontId="32" fillId="0" borderId="0" xfId="1" applyFont="1" applyFill="1" applyBorder="1" applyAlignment="1"/>
    <xf numFmtId="169" fontId="32" fillId="0" borderId="0" xfId="3" applyNumberFormat="1" applyFont="1"/>
    <xf numFmtId="169" fontId="30" fillId="0" borderId="0" xfId="6" applyNumberFormat="1" applyFont="1"/>
    <xf numFmtId="168" fontId="32" fillId="0" borderId="0" xfId="6" applyNumberFormat="1" applyFont="1"/>
    <xf numFmtId="168" fontId="32" fillId="2" borderId="0" xfId="2" applyNumberFormat="1" applyFont="1" applyFill="1"/>
    <xf numFmtId="168" fontId="32" fillId="3" borderId="0" xfId="2" applyNumberFormat="1" applyFont="1" applyFill="1"/>
    <xf numFmtId="168" fontId="32" fillId="0" borderId="0" xfId="2" applyNumberFormat="1" applyFont="1"/>
    <xf numFmtId="168" fontId="32" fillId="3" borderId="0" xfId="2" applyNumberFormat="1" applyFont="1" applyFill="1" applyBorder="1"/>
    <xf numFmtId="168" fontId="45" fillId="0" borderId="0" xfId="2" applyNumberFormat="1" applyFont="1" applyFill="1"/>
    <xf numFmtId="168" fontId="30" fillId="0" borderId="4" xfId="6" applyNumberFormat="1" applyFont="1" applyBorder="1"/>
    <xf numFmtId="168" fontId="30" fillId="0" borderId="4" xfId="2" applyNumberFormat="1" applyFont="1" applyBorder="1"/>
    <xf numFmtId="168" fontId="30" fillId="3" borderId="4" xfId="2" applyNumberFormat="1" applyFont="1" applyFill="1" applyBorder="1"/>
    <xf numFmtId="168" fontId="32" fillId="2" borderId="0" xfId="3" applyNumberFormat="1" applyFont="1" applyFill="1"/>
    <xf numFmtId="166" fontId="40" fillId="0" borderId="0" xfId="1" applyNumberFormat="1" applyFont="1" applyFill="1"/>
    <xf numFmtId="166" fontId="40" fillId="5" borderId="0" xfId="1" applyNumberFormat="1" applyFont="1" applyFill="1"/>
    <xf numFmtId="2" fontId="32" fillId="3" borderId="0" xfId="2" applyNumberFormat="1" applyFont="1" applyFill="1"/>
    <xf numFmtId="43" fontId="32" fillId="3" borderId="0" xfId="1" applyFont="1" applyFill="1"/>
    <xf numFmtId="177" fontId="32" fillId="3" borderId="0" xfId="1" applyNumberFormat="1" applyFont="1" applyFill="1"/>
    <xf numFmtId="177" fontId="32" fillId="3" borderId="0" xfId="1" applyNumberFormat="1" applyFont="1" applyFill="1" applyBorder="1"/>
    <xf numFmtId="177" fontId="32" fillId="0" borderId="0" xfId="2" applyNumberFormat="1" applyFont="1" applyFill="1"/>
    <xf numFmtId="2" fontId="32" fillId="0" borderId="0" xfId="2" applyNumberFormat="1" applyFont="1" applyFill="1"/>
    <xf numFmtId="177" fontId="32" fillId="0" borderId="0" xfId="2" applyNumberFormat="1" applyFont="1" applyFill="1" applyBorder="1"/>
    <xf numFmtId="2" fontId="32" fillId="0" borderId="0" xfId="6" applyNumberFormat="1" applyFont="1"/>
    <xf numFmtId="2" fontId="32" fillId="0" borderId="0" xfId="2" applyNumberFormat="1" applyFont="1"/>
    <xf numFmtId="2" fontId="32" fillId="3" borderId="0" xfId="2" applyNumberFormat="1" applyFont="1" applyFill="1" applyBorder="1"/>
    <xf numFmtId="2" fontId="38" fillId="0" borderId="0" xfId="6" applyNumberFormat="1" applyFont="1"/>
    <xf numFmtId="2" fontId="38" fillId="0" borderId="0" xfId="2" applyNumberFormat="1" applyFont="1"/>
    <xf numFmtId="43" fontId="32" fillId="0" borderId="0" xfId="2" applyNumberFormat="1" applyFont="1"/>
    <xf numFmtId="9" fontId="32" fillId="0" borderId="0" xfId="2" applyFont="1" applyBorder="1"/>
    <xf numFmtId="9" fontId="39" fillId="0" borderId="0" xfId="2" applyFont="1"/>
    <xf numFmtId="166" fontId="30" fillId="0" borderId="0" xfId="3" applyNumberFormat="1" applyFont="1"/>
    <xf numFmtId="166" fontId="32" fillId="0" borderId="0" xfId="1" applyNumberFormat="1" applyFont="1" applyFill="1" applyAlignment="1">
      <alignment vertical="center"/>
    </xf>
    <xf numFmtId="167" fontId="31" fillId="10" borderId="0" xfId="20" applyNumberFormat="1" applyFont="1" applyFill="1"/>
    <xf numFmtId="169" fontId="40" fillId="0" borderId="0" xfId="3" applyNumberFormat="1" applyFont="1"/>
    <xf numFmtId="169" fontId="30" fillId="0" borderId="4" xfId="3" applyNumberFormat="1" applyFont="1" applyBorder="1"/>
    <xf numFmtId="166" fontId="46" fillId="13" borderId="0" xfId="1" applyNumberFormat="1" applyFont="1" applyFill="1" applyAlignment="1"/>
    <xf numFmtId="166" fontId="32" fillId="2" borderId="0" xfId="1" applyNumberFormat="1" applyFont="1" applyFill="1" applyBorder="1"/>
    <xf numFmtId="168" fontId="32" fillId="0" borderId="0" xfId="2" applyNumberFormat="1" applyFont="1" applyBorder="1"/>
    <xf numFmtId="0" fontId="29" fillId="22" borderId="0" xfId="3" applyFont="1" applyFill="1"/>
    <xf numFmtId="0" fontId="32" fillId="0" borderId="4" xfId="3" applyFont="1" applyBorder="1"/>
    <xf numFmtId="167" fontId="32" fillId="0" borderId="4" xfId="2" applyNumberFormat="1" applyFont="1" applyFill="1" applyBorder="1" applyAlignment="1">
      <alignment horizontal="right"/>
    </xf>
    <xf numFmtId="0" fontId="32" fillId="0" borderId="1" xfId="3" applyFont="1" applyBorder="1"/>
    <xf numFmtId="167" fontId="30" fillId="0" borderId="1" xfId="2" applyNumberFormat="1" applyFont="1" applyFill="1" applyBorder="1" applyAlignment="1">
      <alignment horizontal="right"/>
    </xf>
    <xf numFmtId="0" fontId="32" fillId="0" borderId="0" xfId="4" applyFont="1"/>
    <xf numFmtId="4" fontId="32" fillId="0" borderId="0" xfId="2" applyNumberFormat="1" applyFont="1" applyFill="1" applyBorder="1"/>
    <xf numFmtId="3" fontId="33" fillId="10" borderId="0" xfId="0" applyNumberFormat="1" applyFont="1" applyFill="1" applyAlignment="1">
      <alignment horizontal="left"/>
    </xf>
    <xf numFmtId="3" fontId="2" fillId="11" borderId="0" xfId="0" applyNumberFormat="1" applyFont="1" applyFill="1" applyAlignment="1">
      <alignment horizontal="center"/>
    </xf>
    <xf numFmtId="0" fontId="32" fillId="16" borderId="0" xfId="6" applyFont="1" applyFill="1"/>
    <xf numFmtId="166" fontId="30" fillId="0" borderId="0" xfId="2" applyNumberFormat="1" applyFont="1" applyFill="1"/>
    <xf numFmtId="0" fontId="30" fillId="0" borderId="0" xfId="6" applyFont="1" applyAlignment="1">
      <alignment horizontal="center"/>
    </xf>
    <xf numFmtId="0" fontId="47" fillId="0" borderId="0" xfId="0" applyFont="1"/>
    <xf numFmtId="0" fontId="32" fillId="0" borderId="0" xfId="6" applyFont="1" applyAlignment="1">
      <alignment horizontal="left"/>
    </xf>
    <xf numFmtId="0" fontId="32" fillId="23" borderId="0" xfId="24" applyNumberFormat="1" applyFont="1" applyFill="1" applyAlignment="1">
      <alignment horizontal="left" indent="1"/>
    </xf>
    <xf numFmtId="0" fontId="32" fillId="23" borderId="0" xfId="3" applyFont="1" applyFill="1"/>
    <xf numFmtId="167" fontId="32" fillId="23" borderId="0" xfId="2" applyNumberFormat="1" applyFont="1" applyFill="1"/>
    <xf numFmtId="0" fontId="30" fillId="23" borderId="4" xfId="24" applyNumberFormat="1" applyFont="1" applyFill="1" applyBorder="1" applyAlignment="1">
      <alignment horizontal="left"/>
    </xf>
    <xf numFmtId="0" fontId="30" fillId="23" borderId="0" xfId="3" applyFont="1" applyFill="1"/>
    <xf numFmtId="167" fontId="30" fillId="23" borderId="0" xfId="2" applyNumberFormat="1" applyFont="1" applyFill="1"/>
    <xf numFmtId="0" fontId="30" fillId="23" borderId="0" xfId="24" applyNumberFormat="1" applyFont="1" applyFill="1" applyAlignment="1">
      <alignment horizontal="left"/>
    </xf>
    <xf numFmtId="0" fontId="32" fillId="23" borderId="0" xfId="3" applyFont="1" applyFill="1" applyAlignment="1">
      <alignment horizontal="left" indent="1"/>
    </xf>
    <xf numFmtId="0" fontId="4" fillId="0" borderId="1" xfId="26" applyFont="1" applyBorder="1"/>
    <xf numFmtId="0" fontId="4" fillId="0" borderId="0" xfId="26" applyFont="1"/>
    <xf numFmtId="0" fontId="2" fillId="0" borderId="0" xfId="26" applyFont="1"/>
    <xf numFmtId="0" fontId="0" fillId="0" borderId="0" xfId="27" applyFont="1"/>
    <xf numFmtId="0" fontId="4" fillId="0" borderId="1" xfId="381" applyFont="1" applyBorder="1"/>
    <xf numFmtId="0" fontId="3" fillId="0" borderId="0" xfId="632" applyFont="1"/>
    <xf numFmtId="166" fontId="3" fillId="6" borderId="0" xfId="1" applyNumberFormat="1" applyFont="1" applyFill="1"/>
    <xf numFmtId="166" fontId="3" fillId="6" borderId="0" xfId="27" applyNumberFormat="1" applyFill="1"/>
    <xf numFmtId="0" fontId="3" fillId="6" borderId="0" xfId="27" applyFill="1"/>
    <xf numFmtId="0" fontId="3" fillId="6" borderId="0" xfId="381" applyFill="1"/>
    <xf numFmtId="0" fontId="0" fillId="6" borderId="0" xfId="27" applyFont="1" applyFill="1"/>
    <xf numFmtId="166" fontId="0" fillId="6" borderId="0" xfId="1" applyNumberFormat="1" applyFont="1" applyFill="1"/>
    <xf numFmtId="166" fontId="0" fillId="0" borderId="0" xfId="1" applyNumberFormat="1" applyFont="1" applyFill="1"/>
    <xf numFmtId="166" fontId="30" fillId="0" borderId="0" xfId="4" applyNumberFormat="1" applyFont="1"/>
    <xf numFmtId="166" fontId="32" fillId="0" borderId="0" xfId="4" applyNumberFormat="1" applyFont="1"/>
    <xf numFmtId="0" fontId="30" fillId="0" borderId="4" xfId="4" applyFont="1" applyBorder="1"/>
    <xf numFmtId="166" fontId="30" fillId="3" borderId="0" xfId="4" applyNumberFormat="1" applyFont="1" applyFill="1"/>
    <xf numFmtId="167" fontId="32" fillId="0" borderId="0" xfId="6" applyNumberFormat="1" applyFont="1"/>
    <xf numFmtId="167" fontId="38" fillId="0" borderId="0" xfId="2" applyNumberFormat="1" applyFont="1" applyAlignment="1"/>
    <xf numFmtId="166" fontId="30" fillId="10" borderId="0" xfId="1" applyNumberFormat="1" applyFont="1" applyFill="1" applyBorder="1"/>
    <xf numFmtId="273" fontId="3" fillId="0" borderId="0" xfId="9" applyNumberFormat="1" applyFont="1"/>
    <xf numFmtId="0" fontId="29" fillId="14" borderId="0" xfId="3" applyFont="1" applyFill="1"/>
    <xf numFmtId="0" fontId="29" fillId="14" borderId="1" xfId="4" applyFont="1" applyFill="1" applyBorder="1"/>
    <xf numFmtId="0" fontId="29" fillId="51" borderId="1" xfId="4" applyFont="1" applyFill="1" applyBorder="1"/>
    <xf numFmtId="3" fontId="32" fillId="0" borderId="0" xfId="3" applyNumberFormat="1" applyFont="1" applyFill="1"/>
    <xf numFmtId="0" fontId="169" fillId="15" borderId="0" xfId="0" applyFont="1" applyFill="1" applyAlignment="1">
      <alignment vertical="center"/>
    </xf>
    <xf numFmtId="0" fontId="170" fillId="15" borderId="0" xfId="0" applyFont="1" applyFill="1"/>
    <xf numFmtId="0" fontId="171" fillId="0" borderId="0" xfId="0" applyFont="1"/>
    <xf numFmtId="0" fontId="32" fillId="16" borderId="0" xfId="0" applyFont="1" applyFill="1"/>
    <xf numFmtId="0" fontId="171" fillId="16" borderId="0" xfId="0" applyFont="1" applyFill="1"/>
    <xf numFmtId="0" fontId="172" fillId="16" borderId="0" xfId="21" applyFont="1" applyFill="1" applyAlignment="1" applyProtection="1"/>
    <xf numFmtId="0" fontId="32" fillId="16" borderId="0" xfId="0" quotePrefix="1" applyFont="1" applyFill="1"/>
    <xf numFmtId="0" fontId="173" fillId="14" borderId="0" xfId="14" applyFont="1" applyFill="1"/>
    <xf numFmtId="0" fontId="33" fillId="14" borderId="0" xfId="0" applyFont="1" applyFill="1"/>
    <xf numFmtId="0" fontId="30" fillId="0" borderId="0" xfId="14" applyFont="1"/>
    <xf numFmtId="0" fontId="173" fillId="0" borderId="0" xfId="14" applyFont="1"/>
    <xf numFmtId="0" fontId="30" fillId="14" borderId="1" xfId="6" applyFont="1" applyFill="1" applyBorder="1" applyAlignment="1">
      <alignment horizontal="left"/>
    </xf>
    <xf numFmtId="0" fontId="29" fillId="14" borderId="1" xfId="6" applyFont="1" applyFill="1" applyBorder="1" applyAlignment="1">
      <alignment horizontal="center"/>
    </xf>
    <xf numFmtId="0" fontId="29" fillId="51" borderId="1" xfId="6" applyFont="1" applyFill="1" applyBorder="1" applyAlignment="1">
      <alignment horizontal="center"/>
    </xf>
    <xf numFmtId="43" fontId="32" fillId="0" borderId="0" xfId="1" applyFont="1" applyFill="1" applyBorder="1" applyAlignment="1">
      <alignment horizontal="left"/>
    </xf>
    <xf numFmtId="9" fontId="32" fillId="3" borderId="0" xfId="5" applyFont="1" applyFill="1" applyBorder="1" applyAlignment="1" applyProtection="1">
      <alignment horizontal="center"/>
      <protection hidden="1"/>
    </xf>
    <xf numFmtId="9" fontId="32" fillId="0" borderId="0" xfId="5" applyFont="1" applyFill="1" applyBorder="1" applyAlignment="1" applyProtection="1">
      <alignment horizontal="center"/>
      <protection hidden="1"/>
    </xf>
    <xf numFmtId="0" fontId="32" fillId="0" borderId="4" xfId="6" applyFont="1" applyBorder="1" applyAlignment="1">
      <alignment horizontal="left"/>
    </xf>
    <xf numFmtId="166" fontId="32" fillId="0" borderId="4" xfId="1" applyNumberFormat="1" applyFont="1" applyFill="1" applyBorder="1" applyAlignment="1">
      <alignment horizontal="center"/>
    </xf>
    <xf numFmtId="43" fontId="32" fillId="0" borderId="0" xfId="1" applyFont="1" applyFill="1" applyBorder="1" applyAlignment="1" applyProtection="1">
      <alignment horizontal="center"/>
      <protection hidden="1"/>
    </xf>
    <xf numFmtId="181" fontId="32" fillId="0" borderId="0" xfId="2" applyNumberFormat="1" applyFont="1" applyFill="1" applyBorder="1" applyAlignment="1">
      <alignment horizontal="center"/>
    </xf>
    <xf numFmtId="166" fontId="32" fillId="0" borderId="0" xfId="1" applyNumberFormat="1" applyFont="1" applyFill="1" applyBorder="1" applyAlignment="1" applyProtection="1">
      <alignment horizontal="center"/>
      <protection hidden="1"/>
    </xf>
    <xf numFmtId="169" fontId="32" fillId="0" borderId="0" xfId="6" applyNumberFormat="1" applyFont="1" applyAlignment="1">
      <alignment horizontal="center"/>
    </xf>
    <xf numFmtId="0" fontId="32" fillId="0" borderId="0" xfId="6" quotePrefix="1" applyFont="1" applyAlignment="1">
      <alignment horizontal="left"/>
    </xf>
    <xf numFmtId="0" fontId="30" fillId="0" borderId="4" xfId="6" applyFont="1" applyBorder="1" applyAlignment="1">
      <alignment horizontal="left"/>
    </xf>
    <xf numFmtId="166" fontId="30" fillId="0" borderId="4" xfId="1" applyNumberFormat="1" applyFont="1" applyFill="1" applyBorder="1" applyAlignment="1">
      <alignment horizontal="center"/>
    </xf>
    <xf numFmtId="170" fontId="32" fillId="0" borderId="0" xfId="2" applyNumberFormat="1" applyFont="1" applyFill="1" applyBorder="1" applyAlignment="1">
      <alignment horizontal="center"/>
    </xf>
    <xf numFmtId="0" fontId="39" fillId="0" borderId="0" xfId="6" applyFont="1" applyAlignment="1">
      <alignment horizontal="center"/>
    </xf>
    <xf numFmtId="0" fontId="32" fillId="0" borderId="0" xfId="6" applyFont="1" applyAlignment="1">
      <alignment horizontal="center"/>
    </xf>
    <xf numFmtId="180" fontId="39" fillId="0" borderId="0" xfId="6" applyNumberFormat="1" applyFont="1" applyAlignment="1">
      <alignment horizontal="center"/>
    </xf>
    <xf numFmtId="180" fontId="32" fillId="0" borderId="0" xfId="6" applyNumberFormat="1" applyFont="1" applyAlignment="1">
      <alignment horizontal="center"/>
    </xf>
    <xf numFmtId="0" fontId="30" fillId="0" borderId="0" xfId="6" applyFont="1" applyAlignment="1">
      <alignment horizontal="left"/>
    </xf>
    <xf numFmtId="3" fontId="30" fillId="0" borderId="0" xfId="6" applyNumberFormat="1" applyFont="1" applyAlignment="1">
      <alignment horizontal="center"/>
    </xf>
    <xf numFmtId="0" fontId="33" fillId="0" borderId="0" xfId="0" applyFont="1"/>
    <xf numFmtId="3" fontId="32" fillId="0" borderId="0" xfId="6" applyNumberFormat="1" applyFont="1" applyAlignment="1">
      <alignment horizontal="center"/>
    </xf>
    <xf numFmtId="17" fontId="32" fillId="0" borderId="0" xfId="6" applyNumberFormat="1" applyFont="1" applyAlignment="1">
      <alignment horizontal="center"/>
    </xf>
    <xf numFmtId="0" fontId="171" fillId="0" borderId="0" xfId="0" applyFont="1" applyAlignment="1">
      <alignment horizontal="center"/>
    </xf>
    <xf numFmtId="0" fontId="32" fillId="0" borderId="0" xfId="6" applyFont="1" applyAlignment="1">
      <alignment horizontal="right"/>
    </xf>
    <xf numFmtId="43" fontId="32" fillId="0" borderId="0" xfId="6" applyNumberFormat="1" applyFont="1" applyAlignment="1">
      <alignment horizontal="center"/>
    </xf>
    <xf numFmtId="181" fontId="32" fillId="0" borderId="0" xfId="6" applyNumberFormat="1" applyFont="1" applyAlignment="1">
      <alignment horizontal="center"/>
    </xf>
    <xf numFmtId="0" fontId="33" fillId="0" borderId="0" xfId="0" applyFont="1" applyAlignment="1">
      <alignment vertical="center"/>
    </xf>
    <xf numFmtId="168" fontId="32" fillId="0" borderId="0" xfId="6" applyNumberFormat="1" applyFont="1" applyAlignment="1">
      <alignment horizontal="left"/>
    </xf>
    <xf numFmtId="3" fontId="32" fillId="3" borderId="0" xfId="6" applyNumberFormat="1" applyFont="1" applyFill="1" applyAlignment="1">
      <alignment horizontal="center"/>
    </xf>
    <xf numFmtId="3" fontId="171" fillId="0" borderId="0" xfId="0" applyNumberFormat="1" applyFont="1" applyAlignment="1">
      <alignment horizontal="center"/>
    </xf>
    <xf numFmtId="168" fontId="32" fillId="0" borderId="0" xfId="6" applyNumberFormat="1" applyFont="1" applyAlignment="1">
      <alignment horizontal="center"/>
    </xf>
    <xf numFmtId="3" fontId="30" fillId="0" borderId="4" xfId="6" applyNumberFormat="1" applyFont="1" applyBorder="1" applyAlignment="1">
      <alignment horizontal="center"/>
    </xf>
    <xf numFmtId="3" fontId="174" fillId="0" borderId="4" xfId="0" applyNumberFormat="1" applyFont="1" applyBorder="1" applyAlignment="1">
      <alignment horizontal="center"/>
    </xf>
    <xf numFmtId="168" fontId="32" fillId="3" borderId="0" xfId="6" applyNumberFormat="1" applyFont="1" applyFill="1" applyAlignment="1">
      <alignment horizontal="center"/>
    </xf>
    <xf numFmtId="3" fontId="32" fillId="0" borderId="0" xfId="6" quotePrefix="1" applyNumberFormat="1" applyFont="1" applyAlignment="1">
      <alignment horizontal="center"/>
    </xf>
    <xf numFmtId="4" fontId="30" fillId="0" borderId="0" xfId="6" quotePrefix="1" applyNumberFormat="1" applyFont="1" applyAlignment="1">
      <alignment horizontal="center"/>
    </xf>
    <xf numFmtId="4" fontId="174" fillId="0" borderId="0" xfId="0" applyNumberFormat="1" applyFont="1" applyAlignment="1">
      <alignment horizontal="center"/>
    </xf>
    <xf numFmtId="4" fontId="32" fillId="0" borderId="0" xfId="6" applyNumberFormat="1" applyFont="1" applyAlignment="1">
      <alignment horizontal="center"/>
    </xf>
    <xf numFmtId="4" fontId="171" fillId="0" borderId="0" xfId="0" applyNumberFormat="1" applyFont="1" applyAlignment="1">
      <alignment horizontal="center"/>
    </xf>
    <xf numFmtId="4" fontId="30" fillId="0" borderId="5" xfId="6" applyNumberFormat="1" applyFont="1" applyBorder="1" applyAlignment="1">
      <alignment horizontal="center"/>
    </xf>
    <xf numFmtId="4" fontId="40" fillId="0" borderId="5" xfId="6" applyNumberFormat="1" applyFont="1" applyBorder="1" applyAlignment="1">
      <alignment horizontal="center"/>
    </xf>
    <xf numFmtId="4" fontId="39" fillId="3" borderId="0" xfId="6" applyNumberFormat="1" applyFont="1" applyFill="1" applyAlignment="1">
      <alignment horizontal="center"/>
    </xf>
    <xf numFmtId="0" fontId="32" fillId="0" borderId="6" xfId="6" applyFont="1" applyBorder="1" applyAlignment="1">
      <alignment horizontal="left"/>
    </xf>
    <xf numFmtId="167" fontId="39" fillId="3" borderId="7" xfId="6" applyNumberFormat="1" applyFont="1" applyFill="1" applyBorder="1" applyAlignment="1">
      <alignment horizontal="center"/>
    </xf>
    <xf numFmtId="0" fontId="32" fillId="0" borderId="8" xfId="6" applyFont="1" applyBorder="1" applyAlignment="1">
      <alignment horizontal="left"/>
    </xf>
    <xf numFmtId="167" fontId="39" fillId="3" borderId="9" xfId="6" applyNumberFormat="1" applyFont="1" applyFill="1" applyBorder="1" applyAlignment="1">
      <alignment horizontal="center"/>
    </xf>
    <xf numFmtId="167" fontId="32" fillId="0" borderId="9" xfId="6" applyNumberFormat="1" applyFont="1" applyBorder="1" applyAlignment="1">
      <alignment horizontal="center"/>
    </xf>
    <xf numFmtId="0" fontId="30" fillId="0" borderId="8" xfId="6" applyFont="1" applyBorder="1" applyAlignment="1">
      <alignment horizontal="left"/>
    </xf>
    <xf numFmtId="167" fontId="30" fillId="0" borderId="9" xfId="6" applyNumberFormat="1" applyFont="1" applyBorder="1" applyAlignment="1">
      <alignment horizontal="center"/>
    </xf>
    <xf numFmtId="0" fontId="30" fillId="0" borderId="10" xfId="6" applyFont="1" applyBorder="1" applyAlignment="1">
      <alignment horizontal="left"/>
    </xf>
    <xf numFmtId="167" fontId="40" fillId="3" borderId="11" xfId="6" applyNumberFormat="1" applyFont="1" applyFill="1" applyBorder="1" applyAlignment="1">
      <alignment horizontal="center"/>
    </xf>
    <xf numFmtId="166" fontId="33" fillId="3" borderId="0" xfId="1" applyNumberFormat="1" applyFont="1" applyFill="1"/>
    <xf numFmtId="166" fontId="33" fillId="0" borderId="0" xfId="1" applyNumberFormat="1" applyFont="1"/>
    <xf numFmtId="43" fontId="33" fillId="0" borderId="0" xfId="1" applyFont="1"/>
    <xf numFmtId="0" fontId="33" fillId="0" borderId="4" xfId="0" applyFont="1" applyBorder="1"/>
    <xf numFmtId="166" fontId="33" fillId="0" borderId="4" xfId="1" applyNumberFormat="1" applyFont="1" applyBorder="1"/>
    <xf numFmtId="166" fontId="39" fillId="0" borderId="0" xfId="1" applyNumberFormat="1" applyFont="1"/>
    <xf numFmtId="0" fontId="47" fillId="0" borderId="4" xfId="0" applyFont="1" applyBorder="1"/>
    <xf numFmtId="166" fontId="47" fillId="0" borderId="4" xfId="0" applyNumberFormat="1" applyFont="1" applyBorder="1"/>
    <xf numFmtId="167" fontId="32" fillId="0" borderId="0" xfId="2" applyNumberFormat="1" applyFont="1" applyFill="1" applyBorder="1" applyAlignment="1">
      <alignment horizontal="center"/>
    </xf>
    <xf numFmtId="0" fontId="30" fillId="18" borderId="0" xfId="6" applyFont="1" applyFill="1" applyAlignment="1">
      <alignment horizontal="left"/>
    </xf>
    <xf numFmtId="0" fontId="32" fillId="18" borderId="0" xfId="6" applyFont="1" applyFill="1" applyAlignment="1">
      <alignment horizontal="center"/>
    </xf>
    <xf numFmtId="0" fontId="30" fillId="18" borderId="0" xfId="6" applyFont="1" applyFill="1" applyAlignment="1">
      <alignment horizontal="center"/>
    </xf>
    <xf numFmtId="0" fontId="30" fillId="18" borderId="1" xfId="6" applyFont="1" applyFill="1" applyBorder="1" applyAlignment="1">
      <alignment horizontal="left"/>
    </xf>
    <xf numFmtId="0" fontId="30" fillId="18" borderId="1" xfId="6" applyFont="1" applyFill="1" applyBorder="1" applyAlignment="1">
      <alignment horizontal="center"/>
    </xf>
    <xf numFmtId="169" fontId="32" fillId="0" borderId="0" xfId="6" applyNumberFormat="1" applyFont="1"/>
    <xf numFmtId="169" fontId="32" fillId="0" borderId="0" xfId="3" applyNumberFormat="1" applyFont="1" applyFill="1" applyBorder="1"/>
    <xf numFmtId="4" fontId="32" fillId="0" borderId="0" xfId="3" applyNumberFormat="1" applyFont="1" applyFill="1" applyBorder="1"/>
    <xf numFmtId="3" fontId="32" fillId="0" borderId="0" xfId="3" applyNumberFormat="1" applyFont="1" applyFill="1" applyBorder="1"/>
    <xf numFmtId="3" fontId="30" fillId="0" borderId="0" xfId="3" applyNumberFormat="1" applyFont="1" applyFill="1" applyBorder="1"/>
    <xf numFmtId="0" fontId="32" fillId="0" borderId="0" xfId="3" applyFont="1" applyFill="1" applyBorder="1"/>
    <xf numFmtId="14" fontId="32" fillId="0" borderId="0" xfId="3" applyNumberFormat="1" applyFont="1" applyFill="1" applyBorder="1"/>
    <xf numFmtId="172" fontId="32" fillId="0" borderId="0" xfId="3" applyNumberFormat="1" applyFont="1" applyFill="1" applyBorder="1"/>
    <xf numFmtId="0" fontId="29" fillId="17" borderId="1" xfId="6" applyFont="1" applyFill="1" applyBorder="1"/>
    <xf numFmtId="0" fontId="29" fillId="17" borderId="1" xfId="3" applyFont="1" applyFill="1" applyBorder="1"/>
    <xf numFmtId="0" fontId="29" fillId="51" borderId="1" xfId="3" applyFont="1" applyFill="1" applyBorder="1"/>
    <xf numFmtId="0" fontId="29" fillId="0" borderId="0" xfId="3" applyFont="1" applyFill="1" applyBorder="1"/>
    <xf numFmtId="174" fontId="32" fillId="0" borderId="0" xfId="3" applyNumberFormat="1" applyFont="1"/>
    <xf numFmtId="174" fontId="32" fillId="0" borderId="0" xfId="3" applyNumberFormat="1" applyFont="1" applyFill="1" applyBorder="1"/>
    <xf numFmtId="174" fontId="30" fillId="0" borderId="0" xfId="3" applyNumberFormat="1" applyFont="1"/>
    <xf numFmtId="174" fontId="30" fillId="0" borderId="0" xfId="3" applyNumberFormat="1" applyFont="1" applyFill="1" applyBorder="1"/>
    <xf numFmtId="0" fontId="30" fillId="0" borderId="13" xfId="6" applyFont="1" applyBorder="1"/>
    <xf numFmtId="174" fontId="30" fillId="0" borderId="13" xfId="3" applyNumberFormat="1" applyFont="1" applyBorder="1"/>
    <xf numFmtId="174" fontId="32" fillId="0" borderId="0" xfId="3" applyNumberFormat="1" applyFont="1" applyFill="1"/>
    <xf numFmtId="0" fontId="30" fillId="0" borderId="0" xfId="3" applyFont="1" applyFill="1" applyBorder="1"/>
    <xf numFmtId="14" fontId="30" fillId="0" borderId="0" xfId="3" applyNumberFormat="1" applyFont="1" applyFill="1" applyBorder="1"/>
    <xf numFmtId="172" fontId="30" fillId="0" borderId="0" xfId="3" applyNumberFormat="1" applyFont="1" applyFill="1" applyBorder="1"/>
    <xf numFmtId="0" fontId="32" fillId="18" borderId="0" xfId="6" applyFont="1" applyFill="1"/>
    <xf numFmtId="175" fontId="32" fillId="18" borderId="0" xfId="3" applyNumberFormat="1" applyFont="1" applyFill="1"/>
    <xf numFmtId="175" fontId="32" fillId="0" borderId="0" xfId="3" applyNumberFormat="1" applyFont="1" applyFill="1" applyBorder="1"/>
    <xf numFmtId="176" fontId="30" fillId="0" borderId="0" xfId="3" applyNumberFormat="1" applyFont="1" applyFill="1" applyBorder="1"/>
    <xf numFmtId="176" fontId="32" fillId="0" borderId="0" xfId="3" applyNumberFormat="1" applyFont="1"/>
    <xf numFmtId="176" fontId="32" fillId="0" borderId="0" xfId="3" applyNumberFormat="1" applyFont="1" applyFill="1" applyBorder="1"/>
    <xf numFmtId="167" fontId="30" fillId="18" borderId="0" xfId="2" applyNumberFormat="1" applyFont="1" applyFill="1"/>
    <xf numFmtId="0" fontId="30" fillId="0" borderId="1" xfId="6" applyFont="1" applyBorder="1"/>
    <xf numFmtId="0" fontId="30" fillId="0" borderId="1" xfId="3" applyFont="1" applyBorder="1"/>
    <xf numFmtId="165" fontId="32" fillId="0" borderId="0" xfId="3" applyNumberFormat="1" applyFont="1" applyFill="1" applyBorder="1"/>
    <xf numFmtId="169" fontId="32" fillId="3" borderId="0" xfId="3" applyNumberFormat="1" applyFont="1" applyFill="1"/>
    <xf numFmtId="165" fontId="30" fillId="0" borderId="4" xfId="3" applyNumberFormat="1" applyFont="1" applyBorder="1"/>
    <xf numFmtId="165" fontId="30" fillId="0" borderId="0" xfId="3" applyNumberFormat="1" applyFont="1" applyFill="1" applyBorder="1"/>
    <xf numFmtId="1" fontId="32" fillId="0" borderId="0" xfId="3" applyNumberFormat="1" applyFont="1" applyFill="1" applyBorder="1"/>
    <xf numFmtId="168" fontId="30" fillId="18" borderId="0" xfId="3" applyNumberFormat="1" applyFont="1" applyFill="1"/>
    <xf numFmtId="168" fontId="30" fillId="0" borderId="0" xfId="3" applyNumberFormat="1" applyFont="1" applyFill="1" applyBorder="1"/>
    <xf numFmtId="168" fontId="32" fillId="0" borderId="0" xfId="3" applyNumberFormat="1" applyFont="1" applyFill="1" applyBorder="1"/>
    <xf numFmtId="0" fontId="30" fillId="0" borderId="0" xfId="4" applyFont="1" applyFill="1" applyBorder="1"/>
    <xf numFmtId="168" fontId="32" fillId="0" borderId="0" xfId="6" applyNumberFormat="1" applyFont="1" applyFill="1" applyBorder="1"/>
    <xf numFmtId="165" fontId="30" fillId="0" borderId="0" xfId="4" applyNumberFormat="1" applyFont="1"/>
    <xf numFmtId="169" fontId="30" fillId="0" borderId="0" xfId="4" applyNumberFormat="1" applyFont="1"/>
    <xf numFmtId="169" fontId="30" fillId="0" borderId="0" xfId="4" applyNumberFormat="1" applyFont="1" applyFill="1" applyBorder="1"/>
    <xf numFmtId="166" fontId="30" fillId="2" borderId="0" xfId="3" applyNumberFormat="1" applyFont="1" applyFill="1"/>
    <xf numFmtId="166" fontId="30" fillId="3" borderId="0" xfId="3" applyNumberFormat="1" applyFont="1" applyFill="1"/>
    <xf numFmtId="166" fontId="30" fillId="0" borderId="0" xfId="3" applyNumberFormat="1" applyFont="1" applyFill="1" applyBorder="1"/>
    <xf numFmtId="0" fontId="38" fillId="0" borderId="0" xfId="6" applyFont="1" applyFill="1" applyBorder="1"/>
    <xf numFmtId="9" fontId="38" fillId="0" borderId="0" xfId="3" applyNumberFormat="1" applyFont="1" applyFill="1" applyBorder="1"/>
    <xf numFmtId="9" fontId="38" fillId="0" borderId="0" xfId="2" applyFont="1" applyFill="1" applyBorder="1"/>
    <xf numFmtId="167" fontId="39" fillId="2" borderId="0" xfId="2" applyNumberFormat="1" applyFont="1" applyFill="1"/>
    <xf numFmtId="167" fontId="39" fillId="0" borderId="0" xfId="2" applyNumberFormat="1" applyFont="1" applyFill="1" applyBorder="1"/>
    <xf numFmtId="0" fontId="32" fillId="0" borderId="0" xfId="6" applyFont="1" applyFill="1" applyBorder="1"/>
    <xf numFmtId="169" fontId="32" fillId="0" borderId="0" xfId="2" applyNumberFormat="1" applyFont="1"/>
    <xf numFmtId="169" fontId="32" fillId="0" borderId="0" xfId="2" applyNumberFormat="1" applyFont="1" applyBorder="1"/>
    <xf numFmtId="169" fontId="32" fillId="0" borderId="0" xfId="2" applyNumberFormat="1" applyFont="1" applyFill="1" applyBorder="1"/>
    <xf numFmtId="169" fontId="30" fillId="0" borderId="0" xfId="3" applyNumberFormat="1" applyFont="1" applyFill="1" applyBorder="1"/>
    <xf numFmtId="167" fontId="32" fillId="0" borderId="0" xfId="3" applyNumberFormat="1" applyFont="1" applyFill="1" applyBorder="1"/>
    <xf numFmtId="0" fontId="30" fillId="0" borderId="0" xfId="6" applyFont="1" applyFill="1" applyBorder="1"/>
    <xf numFmtId="183" fontId="32" fillId="0" borderId="0" xfId="6" applyNumberFormat="1" applyFont="1"/>
    <xf numFmtId="183" fontId="32" fillId="0" borderId="0" xfId="6" applyNumberFormat="1" applyFont="1" applyFill="1" applyBorder="1"/>
    <xf numFmtId="0" fontId="40" fillId="0" borderId="4" xfId="6" applyFont="1" applyBorder="1"/>
    <xf numFmtId="183" fontId="40" fillId="0" borderId="4" xfId="6" applyNumberFormat="1" applyFont="1" applyBorder="1"/>
    <xf numFmtId="183" fontId="30" fillId="0" borderId="4" xfId="6" applyNumberFormat="1" applyFont="1" applyBorder="1"/>
    <xf numFmtId="183" fontId="30" fillId="0" borderId="0" xfId="6" applyNumberFormat="1" applyFont="1" applyFill="1" applyBorder="1"/>
    <xf numFmtId="9" fontId="30" fillId="0" borderId="0" xfId="2" applyFont="1" applyBorder="1"/>
    <xf numFmtId="9" fontId="30" fillId="3" borderId="0" xfId="2" applyFont="1" applyFill="1" applyBorder="1"/>
    <xf numFmtId="9" fontId="30" fillId="0" borderId="0" xfId="2" applyFont="1" applyFill="1" applyBorder="1"/>
    <xf numFmtId="0" fontId="32" fillId="18" borderId="0" xfId="3" applyFont="1" applyFill="1"/>
    <xf numFmtId="3" fontId="32" fillId="18" borderId="0" xfId="3" applyNumberFormat="1" applyFont="1" applyFill="1"/>
    <xf numFmtId="0" fontId="39" fillId="0" borderId="4" xfId="3" applyFont="1" applyBorder="1"/>
    <xf numFmtId="3" fontId="39" fillId="0" borderId="4" xfId="3" applyNumberFormat="1" applyFont="1" applyBorder="1"/>
    <xf numFmtId="3" fontId="32" fillId="0" borderId="4" xfId="3" applyNumberFormat="1" applyFont="1" applyBorder="1"/>
    <xf numFmtId="3" fontId="39" fillId="0" borderId="0" xfId="3" applyNumberFormat="1" applyFont="1"/>
    <xf numFmtId="9" fontId="32" fillId="0" borderId="0" xfId="3" applyNumberFormat="1" applyFont="1" applyFill="1" applyBorder="1"/>
    <xf numFmtId="176" fontId="32" fillId="2" borderId="0" xfId="3" applyNumberFormat="1" applyFont="1" applyFill="1"/>
    <xf numFmtId="176" fontId="32" fillId="3" borderId="0" xfId="3" applyNumberFormat="1" applyFont="1" applyFill="1"/>
    <xf numFmtId="167" fontId="32" fillId="3" borderId="0" xfId="3" applyNumberFormat="1" applyFont="1" applyFill="1"/>
    <xf numFmtId="166" fontId="32" fillId="2" borderId="0" xfId="3" applyNumberFormat="1" applyFont="1" applyFill="1"/>
    <xf numFmtId="166" fontId="32" fillId="3" borderId="0" xfId="3" applyNumberFormat="1" applyFont="1" applyFill="1"/>
    <xf numFmtId="166" fontId="32" fillId="0" borderId="0" xfId="3" applyNumberFormat="1" applyFont="1" applyFill="1" applyBorder="1"/>
    <xf numFmtId="165" fontId="32" fillId="0" borderId="0" xfId="1" applyNumberFormat="1" applyFont="1"/>
    <xf numFmtId="0" fontId="30" fillId="18" borderId="13" xfId="6" applyFont="1" applyFill="1" applyBorder="1"/>
    <xf numFmtId="165" fontId="30" fillId="18" borderId="13" xfId="3" applyNumberFormat="1" applyFont="1" applyFill="1" applyBorder="1"/>
    <xf numFmtId="165" fontId="39" fillId="3" borderId="0" xfId="3" applyNumberFormat="1" applyFont="1" applyFill="1"/>
    <xf numFmtId="0" fontId="32" fillId="12" borderId="0" xfId="3" applyFont="1" applyFill="1"/>
    <xf numFmtId="165" fontId="30" fillId="2" borderId="0" xfId="3" applyNumberFormat="1" applyFont="1" applyFill="1"/>
    <xf numFmtId="165" fontId="30" fillId="3" borderId="0" xfId="3" applyNumberFormat="1" applyFont="1" applyFill="1"/>
    <xf numFmtId="165" fontId="30" fillId="0" borderId="0" xfId="3" applyNumberFormat="1" applyFont="1"/>
    <xf numFmtId="165" fontId="40" fillId="3" borderId="0" xfId="3" applyNumberFormat="1" applyFont="1" applyFill="1"/>
    <xf numFmtId="166" fontId="30" fillId="2" borderId="0" xfId="1" applyNumberFormat="1" applyFont="1" applyFill="1" applyBorder="1"/>
    <xf numFmtId="166" fontId="43" fillId="2" borderId="0" xfId="1" applyNumberFormat="1" applyFont="1" applyFill="1" applyBorder="1"/>
    <xf numFmtId="166" fontId="43" fillId="3" borderId="0" xfId="1" applyNumberFormat="1" applyFont="1" applyFill="1" applyBorder="1"/>
    <xf numFmtId="166" fontId="40" fillId="3" borderId="0" xfId="1" applyNumberFormat="1" applyFont="1" applyFill="1" applyBorder="1"/>
    <xf numFmtId="0" fontId="32" fillId="19" borderId="0" xfId="6" applyFont="1" applyFill="1"/>
    <xf numFmtId="165" fontId="32" fillId="19" borderId="0" xfId="3" applyNumberFormat="1" applyFont="1" applyFill="1"/>
    <xf numFmtId="174" fontId="32" fillId="19" borderId="0" xfId="3" applyNumberFormat="1" applyFont="1" applyFill="1"/>
    <xf numFmtId="166" fontId="32" fillId="19" borderId="0" xfId="3" applyNumberFormat="1" applyFont="1" applyFill="1"/>
    <xf numFmtId="0" fontId="30" fillId="0" borderId="4" xfId="3" applyFont="1" applyBorder="1"/>
    <xf numFmtId="175" fontId="39" fillId="0" borderId="4" xfId="3" applyNumberFormat="1" applyFont="1" applyBorder="1"/>
    <xf numFmtId="166" fontId="30" fillId="0" borderId="4" xfId="3" applyNumberFormat="1" applyFont="1" applyBorder="1"/>
    <xf numFmtId="175" fontId="32" fillId="0" borderId="0" xfId="3" applyNumberFormat="1" applyFont="1" applyBorder="1"/>
    <xf numFmtId="175" fontId="32" fillId="0" borderId="0" xfId="3" applyNumberFormat="1" applyFont="1"/>
    <xf numFmtId="175" fontId="40" fillId="0" borderId="4" xfId="3" applyNumberFormat="1" applyFont="1" applyBorder="1"/>
    <xf numFmtId="175" fontId="30" fillId="0" borderId="4" xfId="3" applyNumberFormat="1" applyFont="1" applyBorder="1"/>
    <xf numFmtId="175" fontId="30" fillId="0" borderId="0" xfId="3" applyNumberFormat="1" applyFont="1" applyFill="1" applyBorder="1"/>
    <xf numFmtId="0" fontId="30" fillId="0" borderId="1" xfId="8" applyFont="1" applyBorder="1"/>
    <xf numFmtId="0" fontId="32" fillId="0" borderId="0" xfId="8" applyFont="1"/>
    <xf numFmtId="0" fontId="32" fillId="0" borderId="2" xfId="8" applyFont="1" applyBorder="1"/>
    <xf numFmtId="169" fontId="32" fillId="0" borderId="2" xfId="3" applyNumberFormat="1" applyFont="1" applyBorder="1"/>
    <xf numFmtId="0" fontId="32" fillId="0" borderId="0" xfId="8" applyFont="1" applyBorder="1"/>
    <xf numFmtId="169" fontId="32" fillId="0" borderId="0" xfId="4" applyNumberFormat="1" applyFont="1"/>
    <xf numFmtId="169" fontId="32" fillId="0" borderId="0" xfId="4" applyNumberFormat="1" applyFont="1" applyFill="1" applyBorder="1"/>
    <xf numFmtId="168" fontId="32" fillId="0" borderId="0" xfId="4" applyNumberFormat="1" applyFont="1"/>
    <xf numFmtId="168" fontId="32" fillId="0" borderId="0" xfId="4" applyNumberFormat="1" applyFont="1" applyFill="1" applyBorder="1"/>
    <xf numFmtId="0" fontId="32" fillId="0" borderId="0" xfId="4" applyFont="1" applyFill="1" applyBorder="1"/>
    <xf numFmtId="0" fontId="32" fillId="0" borderId="0" xfId="2" applyNumberFormat="1" applyFont="1"/>
    <xf numFmtId="0" fontId="30" fillId="0" borderId="0" xfId="8" applyFont="1"/>
    <xf numFmtId="4" fontId="32" fillId="0" borderId="0" xfId="2" applyNumberFormat="1" applyFont="1"/>
    <xf numFmtId="4" fontId="32" fillId="0" borderId="0" xfId="2" applyNumberFormat="1" applyFont="1" applyBorder="1"/>
    <xf numFmtId="9" fontId="32" fillId="0" borderId="2" xfId="2" applyFont="1" applyBorder="1"/>
    <xf numFmtId="0" fontId="32" fillId="0" borderId="1" xfId="6" applyFont="1" applyBorder="1"/>
    <xf numFmtId="17" fontId="32" fillId="0" borderId="0" xfId="3" applyNumberFormat="1" applyFont="1" applyFill="1" applyBorder="1"/>
    <xf numFmtId="165" fontId="32" fillId="0" borderId="0" xfId="1" applyNumberFormat="1" applyFont="1" applyBorder="1"/>
    <xf numFmtId="9" fontId="32" fillId="0" borderId="0" xfId="2" applyFont="1" applyAlignment="1"/>
    <xf numFmtId="3" fontId="38" fillId="0" borderId="0" xfId="3" applyNumberFormat="1" applyFont="1" applyFill="1" applyBorder="1"/>
    <xf numFmtId="165" fontId="32" fillId="0" borderId="0" xfId="7" applyNumberFormat="1" applyFont="1"/>
    <xf numFmtId="165" fontId="32" fillId="0" borderId="0" xfId="7" applyNumberFormat="1" applyFont="1" applyFill="1" applyBorder="1"/>
    <xf numFmtId="0" fontId="32" fillId="0" borderId="0" xfId="7" applyFont="1" applyFill="1" applyBorder="1"/>
    <xf numFmtId="165" fontId="30" fillId="0" borderId="0" xfId="1" applyNumberFormat="1" applyFont="1" applyFill="1"/>
    <xf numFmtId="165" fontId="30" fillId="0" borderId="0" xfId="1" applyNumberFormat="1" applyFont="1" applyFill="1" applyBorder="1"/>
    <xf numFmtId="3" fontId="38" fillId="0" borderId="0" xfId="3" applyNumberFormat="1" applyFont="1"/>
    <xf numFmtId="177" fontId="38" fillId="0" borderId="0" xfId="3" applyNumberFormat="1" applyFont="1"/>
    <xf numFmtId="177" fontId="38" fillId="0" borderId="0" xfId="3" applyNumberFormat="1" applyFont="1" applyFill="1" applyBorder="1"/>
    <xf numFmtId="0" fontId="171" fillId="0" borderId="0" xfId="0" applyFont="1" applyFill="1" applyBorder="1"/>
    <xf numFmtId="175" fontId="32" fillId="3" borderId="0" xfId="3" applyNumberFormat="1" applyFont="1" applyFill="1"/>
    <xf numFmtId="175" fontId="30" fillId="0" borderId="0" xfId="3" applyNumberFormat="1" applyFont="1"/>
    <xf numFmtId="175" fontId="39" fillId="3" borderId="0" xfId="3" applyNumberFormat="1" applyFont="1" applyFill="1"/>
    <xf numFmtId="175" fontId="30" fillId="0" borderId="13" xfId="3" applyNumberFormat="1" applyFont="1" applyBorder="1"/>
    <xf numFmtId="175" fontId="32" fillId="0" borderId="0" xfId="3" applyNumberFormat="1" applyFont="1" applyFill="1"/>
    <xf numFmtId="175" fontId="45" fillId="0" borderId="0" xfId="3" applyNumberFormat="1" applyFont="1"/>
    <xf numFmtId="175" fontId="30" fillId="18" borderId="0" xfId="3" applyNumberFormat="1" applyFont="1" applyFill="1"/>
  </cellXfs>
  <cellStyles count="633">
    <cellStyle name="_x000a_386grabber=M" xfId="383" xr:uid="{A1D5FC24-4839-42A2-A2AE-45F0E56D855D}"/>
    <cellStyle name="%" xfId="3" xr:uid="{00000000-0005-0000-0000-000000000000}"/>
    <cellStyle name="% 2" xfId="27" xr:uid="{7111E2A0-941D-4888-81D1-538E96B021EA}"/>
    <cellStyle name="% 2 3" xfId="381" xr:uid="{B4E9F6EC-1AC2-4742-AE6F-4FAC73421A6F}"/>
    <cellStyle name="% 2 3 2" xfId="621" xr:uid="{2C6B9F3F-DACC-48A4-99AE-1AE492F69964}"/>
    <cellStyle name="% 3" xfId="152" xr:uid="{D1DA623D-97AC-4546-901B-F7559FA2D5ED}"/>
    <cellStyle name="% 4" xfId="624" xr:uid="{9063B70D-0584-4491-AED2-C7912EA46AF5}"/>
    <cellStyle name="% 5" xfId="26" xr:uid="{120AFA90-156C-4544-AC7E-A3AEC8ED42CA}"/>
    <cellStyle name="%_AXI" xfId="384" xr:uid="{50AD7BF1-48BD-44B5-A5E9-948B0E32AC70}"/>
    <cellStyle name="%_DIGI" xfId="615" xr:uid="{A437B10A-743D-4F49-8D80-F8EBDB18A026}"/>
    <cellStyle name="%_MAXI" xfId="618" xr:uid="{05FF4377-BDFD-4EDB-9B03-A96D5CC99CE1}"/>
    <cellStyle name="%_TMAS" xfId="619" xr:uid="{1F70C40E-C005-4A9B-B4CC-8561AD55AADD}"/>
    <cellStyle name="(Body)" xfId="153" xr:uid="{4B199F53-8125-4704-B79C-03CB356973DE}"/>
    <cellStyle name="(Heading)" xfId="154" xr:uid="{81AA7097-4105-4F5B-982B-910BC3C8AA40}"/>
    <cellStyle name="(Lefting)" xfId="155" xr:uid="{21C2BC96-4B4E-4A4D-9E71-4C3E2635DAFA}"/>
    <cellStyle name="******************************************" xfId="385" xr:uid="{41FA9250-696B-4131-B2F7-E58939659502}"/>
    <cellStyle name="??&amp;O?&amp;H?_x0008_??_x0007__x0001__x0001_" xfId="320" xr:uid="{71E1E7F0-9366-4ACE-BFB3-440A71964703}"/>
    <cellStyle name="?Q\?1@" xfId="386" xr:uid="{9BE3FD18-49DD-4CB7-A5A8-380BF89102BC}"/>
    <cellStyle name="_02. 2월26일부터 3월17일까지 발생 요구사항_ICIS고객_20080404" xfId="321" xr:uid="{8423D35B-89D7-4E76-AC0A-A83F61655441}"/>
    <cellStyle name="_Anastasia" xfId="387" xr:uid="{0FD5257A-7815-4EB8-9B90-F52619828C78}"/>
    <cellStyle name="_Axiata" xfId="616" xr:uid="{576C2AA4-B225-465E-9665-678EB8F67AD1}"/>
    <cellStyle name="_Book1" xfId="322" xr:uid="{5AEC934A-754E-47FB-97A7-2905C49E2BFB}"/>
    <cellStyle name="_Book1_1" xfId="323" xr:uid="{C76F788C-54C3-45E0-82CA-CB1B580F7816}"/>
    <cellStyle name="_Book1_2" xfId="324" xr:uid="{36667637-11C4-4D2E-ABF6-89E07C7A56D7}"/>
    <cellStyle name="_Comma" xfId="388" xr:uid="{B002983C-DC34-41B8-9DF2-185CF9978A24}"/>
    <cellStyle name="_Currency" xfId="389" xr:uid="{BACADD4A-8FBB-4343-BDDC-8C2DD1C76B37}"/>
    <cellStyle name="_CurrencySpace" xfId="390" xr:uid="{8F60EB4B-E2B1-401A-8895-256627482757}"/>
    <cellStyle name="_Innsamling" xfId="391" xr:uid="{D48B1B91-85EE-4500-A45B-4EE910186DA3}"/>
    <cellStyle name="_JP Morgan" xfId="392" xr:uid="{D15CB522-CE08-46CD-9976-CE3DA47902D7}"/>
    <cellStyle name="_Mal for innhenting av estimater Q4- 2002" xfId="393" xr:uid="{BE0D533A-C007-45EB-A8E0-2675F5BB2646}"/>
    <cellStyle name="_Maxis model" xfId="394" xr:uid="{CED573D6-6196-49E4-B5C3-094A5CE1886D}"/>
    <cellStyle name="_Multiple" xfId="395" xr:uid="{E231DF45-77F3-4B57-B100-4F1239F7FDC2}"/>
    <cellStyle name="_MultipleSpace" xfId="396" xr:uid="{91F96B19-8ED3-43BB-96AF-E8CFE68FE827}"/>
    <cellStyle name="_Percent" xfId="397" xr:uid="{1AB9B3FE-4811-424A-B730-07E89ACB6A9C}"/>
    <cellStyle name="_PercentSpace" xfId="398" xr:uid="{B8C056C3-BE7C-4E7D-8B36-0E5F32D5177D}"/>
    <cellStyle name="¤@¯ë_Sheet1 (2)" xfId="399" xr:uid="{389648CD-608E-441D-A7AD-599625AB9ADE}"/>
    <cellStyle name="§Q\òm1@À" xfId="400" xr:uid="{26809A55-43A8-4B1A-9614-736D0701FA21}"/>
    <cellStyle name="•W€_VALUE" xfId="401" xr:uid="{B3BB4E98-106E-4057-A4D6-76A7A8BD3261}"/>
    <cellStyle name="123" xfId="325" xr:uid="{625237CD-F9B6-495F-8D12-E0C4ED4C5721}"/>
    <cellStyle name="3f1o [0]_J-Hwang242" xfId="402" xr:uid="{DDF9DBC8-E0F9-4341-B6F4-7854B9AE2F72}"/>
    <cellStyle name="3f1o_J-Hwang2an" xfId="403" xr:uid="{64E62922-5E23-42D1-9285-78235CDDC177}"/>
    <cellStyle name="6mal" xfId="184" xr:uid="{70DDB456-F5ED-43FE-9D11-0381AA5626B5}"/>
    <cellStyle name="9" xfId="326" xr:uid="{E516078B-D0D1-4E8E-96E7-7466508D04B5}"/>
    <cellStyle name="9 10" xfId="327" xr:uid="{60755DD9-345C-4F26-AAD4-EFD790264B93}"/>
    <cellStyle name="aaa" xfId="404" xr:uid="{65746F39-4795-4662-814C-2CE4E5E14B93}"/>
    <cellStyle name="Acquisition" xfId="405" xr:uid="{73F81221-D19D-4AD3-91F2-B581E6375742}"/>
    <cellStyle name="AeE­ [0]_INQUIRY ¿μ¾÷AßAø " xfId="328" xr:uid="{5CA32D98-85C8-439C-94C4-76971AB819C8}"/>
    <cellStyle name="ÅëÈ­ [0]_TestResults" xfId="406" xr:uid="{570D2896-668A-4384-A67A-CB54796111BD}"/>
    <cellStyle name="AeE­_INQUIRY ¿μ¾÷AßAø " xfId="329" xr:uid="{5EDC7584-8118-41B9-B428-491EBD282A7D}"/>
    <cellStyle name="ÅëÈ­_TestResults" xfId="407" xr:uid="{7187E81D-059D-41F4-A2D6-7FEF6B886530}"/>
    <cellStyle name="ANALYST" xfId="408" xr:uid="{D4994F40-3BF5-4F84-90DF-C0575A5434FC}"/>
    <cellStyle name="Année" xfId="185" xr:uid="{19A8F56A-1D9D-4C3F-9617-F8AAF7556DE6}"/>
    <cellStyle name="Année (e)" xfId="186" xr:uid="{F3E7A433-D194-47A2-B134-44590F6CFEFB}"/>
    <cellStyle name="args.style" xfId="187" xr:uid="{1DFCB29B-0B2A-4EDA-93F6-73F119DF61F8}"/>
    <cellStyle name="Arial 10" xfId="188" xr:uid="{3A5C9D70-7DE0-4ABA-A581-7D33D909CA6C}"/>
    <cellStyle name="Arial 12" xfId="189" xr:uid="{2E6B5761-2071-476C-9F5A-36BB04CBA9A4}"/>
    <cellStyle name="Asifpercent" xfId="156" xr:uid="{5536FE0E-D6B0-4787-A8F7-6D5856264C95}"/>
    <cellStyle name="Assumption" xfId="190" xr:uid="{3D4A47AE-A619-42FD-805E-4D3396765804}"/>
    <cellStyle name="Assumptions" xfId="409" xr:uid="{C8304CF6-9F4D-437C-8464-A33413F2D21C}"/>
    <cellStyle name="AÞ¸¶ [0]_INQUIRY ¿μ¾÷AßAø " xfId="330" xr:uid="{DE2063F9-37C3-434C-B922-6013CDB3CA26}"/>
    <cellStyle name="ÄÞ¸¶ [0]_TestResults" xfId="410" xr:uid="{42429177-75FC-4C72-A057-3C8120D05B10}"/>
    <cellStyle name="AÞ¸¶_INQUIRY ¿μ¾÷AßAø " xfId="331" xr:uid="{76856A51-D283-4CC6-BA3F-13EADBC72FCE}"/>
    <cellStyle name="ÄÞ¸¶_TestResults" xfId="411" xr:uid="{440F2A2E-A212-40AE-8255-528E6FBA9344}"/>
    <cellStyle name="auf tausender" xfId="191" xr:uid="{29C3A57B-5617-4173-A0C0-C65A10825EF2}"/>
    <cellStyle name="Availability" xfId="28" xr:uid="{1DFCEA96-03D2-490D-B76F-86A85FF8A2D1}"/>
    <cellStyle name="BalanceSheet" xfId="412" xr:uid="{EA984A3C-6CF6-400D-918F-20E6D09D3D41}"/>
    <cellStyle name="BlackTitle" xfId="413" xr:uid="{BC336A09-B0E3-4337-A5D8-E477D71D8AD0}"/>
    <cellStyle name="Blank" xfId="414" xr:uid="{EE722B97-D612-43D9-84EF-EBEDBA61D12E}"/>
    <cellStyle name="block" xfId="415" xr:uid="{998A36B8-BBB6-431B-96AF-1CD30244C355}"/>
    <cellStyle name="Blue" xfId="192" xr:uid="{558E2876-CE44-4A14-A1AD-E0A581F68A49}"/>
    <cellStyle name="British Pound" xfId="193" xr:uid="{F130FFA2-212F-4B85-BD28-A45A7C0BCAC7}"/>
    <cellStyle name="C￥AØ_¿μ¾÷CoE² " xfId="332" xr:uid="{E4B172D3-4CB5-4FF8-BAE7-96DD35FA66E5}"/>
    <cellStyle name="Ç¥ÁØ_TestResults" xfId="416" xr:uid="{E49BD372-8E60-4522-B439-DF9CF82BEDC6}"/>
    <cellStyle name="Calcul" xfId="194" xr:uid="{FC829FA1-391E-40CB-B28E-27B02B698A29}"/>
    <cellStyle name="Calculation 2" xfId="29" xr:uid="{B0283050-3440-450E-A3FE-5904DA5E77C9}"/>
    <cellStyle name="CashFlow" xfId="417" xr:uid="{91BDA235-C8C1-442F-9E5C-3265ED22AF03}"/>
    <cellStyle name="category" xfId="195" xr:uid="{EA45117E-8771-42A5-B995-70A10DABA6E0}"/>
    <cellStyle name="category 2" xfId="311" xr:uid="{4EE5E7EA-D712-4A51-B265-6C0DCC1BF379}"/>
    <cellStyle name="category_Sheet2" xfId="292" xr:uid="{E6760E9D-A577-439A-8960-1EEF11D4A09E}"/>
    <cellStyle name="Changeable" xfId="196" xr:uid="{C2EA1763-EB27-4A8D-9149-2E6598081CF4}"/>
    <cellStyle name="Checksum" xfId="30" xr:uid="{54073106-275D-4AA0-BCF1-966FB987501B}"/>
    <cellStyle name="ColHeading" xfId="31" xr:uid="{9DCB2FB2-4E45-47D2-9FD3-F296D7260800}"/>
    <cellStyle name="Column Heading" xfId="197" xr:uid="{21A6B19B-8BF0-45E9-A2AC-874FEB115747}"/>
    <cellStyle name="Column Heading (No Wrap)" xfId="198" xr:uid="{EA005ABD-A5B8-4ECE-86AF-A825F5928B35}"/>
    <cellStyle name="Column Heading_SHEET" xfId="199" xr:uid="{0042D312-64E1-474F-8F74-8E6BBC33B832}"/>
    <cellStyle name="Column label" xfId="32" xr:uid="{B0E30965-AB71-4966-9EF8-E5161F974478}"/>
    <cellStyle name="Column label (left aligned)" xfId="33" xr:uid="{6BC85E89-2256-44A5-A4F1-F9D23E8D42B4}"/>
    <cellStyle name="Column label (left aligned) 2" xfId="201" xr:uid="{6F8BFA5D-5D98-4623-9609-244A4E53949F}"/>
    <cellStyle name="Column label (left aligned)_AXI" xfId="418" xr:uid="{0B89B7BD-7E99-4DD6-B8B9-6A97A14B7E9A}"/>
    <cellStyle name="Column label (no wrap)" xfId="34" xr:uid="{2C5F0104-0ADE-4092-A182-29111001E04B}"/>
    <cellStyle name="Column label (no wrap) 2" xfId="202" xr:uid="{685E4E66-C43F-413F-AE33-B6C62AB8FB33}"/>
    <cellStyle name="Column label (no wrap)_AXI" xfId="419" xr:uid="{FB69484F-726E-44BF-A574-F95B5A7B1B0F}"/>
    <cellStyle name="Column label (not bold)" xfId="35" xr:uid="{FEFBB849-C7AF-4A5F-B84B-57E2FDD6C78B}"/>
    <cellStyle name="Column label (not bold) 2" xfId="203" xr:uid="{A4254792-B2B8-40F0-AA93-FB9130D83221}"/>
    <cellStyle name="Column label (not bold)_AXI" xfId="420" xr:uid="{E3C425AE-4AD8-44C8-8A7D-B37C7CAFF6ED}"/>
    <cellStyle name="Column label 2" xfId="200" xr:uid="{907ABBE4-AC17-48A4-8236-58E0CD694B35}"/>
    <cellStyle name="Column label_Anastasia" xfId="421" xr:uid="{BA371081-6FE7-4F6D-8A77-44AEEC822C07}"/>
    <cellStyle name="Column Total" xfId="204" xr:uid="{55BE8397-0948-409B-A29F-B987708D292E}"/>
    <cellStyle name="Comma" xfId="1" builtinId="3"/>
    <cellStyle name="comma - number" xfId="37" xr:uid="{8BB1134E-A060-4BF4-B1DA-DFCB4C9657E0}"/>
    <cellStyle name="Comma [0] 2" xfId="158" xr:uid="{9DE36AEC-87C7-4708-AD28-D6FC401F413A}"/>
    <cellStyle name="Comma [0] 2 2" xfId="309" xr:uid="{1546163F-6C19-4C75-B2DF-425484633892}"/>
    <cellStyle name="Comma [0] 3" xfId="291" xr:uid="{0B1FD47F-E5CB-4F42-BDE6-E4F18EDAA739}"/>
    <cellStyle name="Comma [2]" xfId="38" xr:uid="{D741B699-8970-453B-9737-55C7822926DC}"/>
    <cellStyle name="Comma 0" xfId="39" xr:uid="{884736D6-0007-48F9-9B1D-79589C458F73}"/>
    <cellStyle name="Comma 12" xfId="181" xr:uid="{8EFE013D-62F9-4CDD-A65F-8AA5FB24A7DE}"/>
    <cellStyle name="Comma 2" xfId="40" xr:uid="{AF0191B6-9296-47A3-A114-69992E523362}"/>
    <cellStyle name="Comma 3" xfId="41" xr:uid="{FF8CC03F-FC83-49B0-B3F6-8D0FC69E5F8E}"/>
    <cellStyle name="Comma 3 4" xfId="423" xr:uid="{204449E7-0A18-4557-A463-4F0F11F38FB7}"/>
    <cellStyle name="Comma 3_AXI" xfId="422" xr:uid="{F50A1455-CFA0-48E1-B7A5-8EC184E4C3A2}"/>
    <cellStyle name="Comma 4" xfId="157" xr:uid="{353BB272-D67B-4301-8EB3-22D938431164}"/>
    <cellStyle name="Comma 43" xfId="424" xr:uid="{EC0A5202-2057-4632-965C-6254B1AB63E2}"/>
    <cellStyle name="Comma 5" xfId="625" xr:uid="{7A92F0A3-D36B-48AC-9BB2-37F3C04A4768}"/>
    <cellStyle name="Comma 6" xfId="629" xr:uid="{66E4EDB3-ACDC-4258-ACCA-88177BFBFE9E}"/>
    <cellStyle name="Comma 6 5" xfId="631" xr:uid="{EA171225-D807-4C80-B6A6-4E0FEB930733}"/>
    <cellStyle name="Comma 7" xfId="36" xr:uid="{63F8DF18-E64E-44B8-A088-9EE7688D0488}"/>
    <cellStyle name="comma zerodec" xfId="293" xr:uid="{4D462CC5-9864-475E-B226-7EEE242675AB}"/>
    <cellStyle name="Comma(1)" xfId="425" xr:uid="{944A99B3-4182-4DF2-BB0E-EF9FA1A73680}"/>
    <cellStyle name="Comma, 1 dec" xfId="426" xr:uid="{D2180723-3BFB-4E37-90C4-2062A62BF9BB}"/>
    <cellStyle name="Comma_BT3" xfId="10" xr:uid="{00000000-0005-0000-0000-000002000000}"/>
    <cellStyle name="Comma0" xfId="427" xr:uid="{40B3C5CD-99A5-4552-BD8A-44DB8ADCEC86}"/>
    <cellStyle name="CommaKM" xfId="159" xr:uid="{6F278097-106F-4C51-9C0E-A8A3F65D5D71}"/>
    <cellStyle name="Company" xfId="42" xr:uid="{B7C26F80-9B02-4BC8-85E6-64863088D948}"/>
    <cellStyle name="Cover Date" xfId="428" xr:uid="{79682C62-7A6E-4505-9523-10C636AC3A64}"/>
    <cellStyle name="Cover Subtitle" xfId="429" xr:uid="{2BDFEBBC-EB04-4AAE-8F8D-4012879381D3}"/>
    <cellStyle name="Cover Title" xfId="430" xr:uid="{12416B93-B5E1-4E6A-88C7-CFA8082C10DC}"/>
    <cellStyle name="CurRatio" xfId="43" xr:uid="{6472FC21-FE26-4CF9-B594-6E9AD2BE4955}"/>
    <cellStyle name="Currency - Euro" xfId="205" xr:uid="{39383AF2-28EA-42E8-9F68-F73E1B1025E4}"/>
    <cellStyle name="Currency (2dp)" xfId="44" xr:uid="{7536A737-C0F3-43B3-A5B9-DD598338182D}"/>
    <cellStyle name="Currency [0] - Euro" xfId="206" xr:uid="{382CD865-A8FD-420A-BEB7-46018989E615}"/>
    <cellStyle name="Currency [1]" xfId="431" xr:uid="{B4F785E8-D8F1-4A95-9A94-3253E3F93687}"/>
    <cellStyle name="Currency [2]" xfId="432" xr:uid="{786D0FEE-4FD1-4BC9-B864-747396956973}"/>
    <cellStyle name="Currency 0" xfId="45" xr:uid="{3193A764-18B3-4581-A065-9228CDC4CBA8}"/>
    <cellStyle name="Currency 2" xfId="46" xr:uid="{108FE602-4FBB-4A9B-9D45-481944BC2FE4}"/>
    <cellStyle name="Currency Dollar" xfId="47" xr:uid="{7D4B730F-F08A-4AEA-BA6D-54403D174ADC}"/>
    <cellStyle name="Currency Dollar (2dp)" xfId="48" xr:uid="{C0C4D00B-D915-4848-81E2-035EA1353205}"/>
    <cellStyle name="Currency EUR" xfId="49" xr:uid="{51BDB8C1-ABAE-45D0-9335-C889C8164595}"/>
    <cellStyle name="Currency EUR (2dp)" xfId="50" xr:uid="{DC4B79E6-9142-4056-837C-A5E67A83832B}"/>
    <cellStyle name="Currency Euro" xfId="51" xr:uid="{1379D8E6-7993-4EF9-8DAA-5FA1A34855E8}"/>
    <cellStyle name="Currency Euro (2dp)" xfId="52" xr:uid="{B9F9D17E-472F-4E5D-B5D5-8C435CE5A687}"/>
    <cellStyle name="Currency GBP" xfId="53" xr:uid="{E1A10C24-5C6D-4C98-BDEB-8AB8F58AA199}"/>
    <cellStyle name="Currency GBP (2dp)" xfId="54" xr:uid="{5FABCB9C-3EB0-418A-AB20-E727DB327958}"/>
    <cellStyle name="Currency Pound" xfId="55" xr:uid="{AE9C44F6-ED20-440F-A707-F29DB7CAFCEE}"/>
    <cellStyle name="Currency Pound (2dp)" xfId="56" xr:uid="{86A2E35A-FAC8-4699-9C6F-B97EE65CCF4F}"/>
    <cellStyle name="Currency USD" xfId="57" xr:uid="{8605CEAF-24C0-4D61-AB39-1515833AB358}"/>
    <cellStyle name="Currency USD (2dp)" xfId="58" xr:uid="{EE96FA1D-6B4F-4E83-A474-FAC609AA3856}"/>
    <cellStyle name="Currency0" xfId="433" xr:uid="{8F949819-8C36-40B0-B2C4-C4C5323C6FBF}"/>
    <cellStyle name="Currency1" xfId="294" xr:uid="{7FB14C3F-324A-4F63-8F8F-7A52707F9F38}"/>
    <cellStyle name="CurrencyKMB" xfId="160" xr:uid="{A1FA6921-B54A-4750-82C6-B42D9DEF8F2F}"/>
    <cellStyle name="Date" xfId="59" xr:uid="{5C996582-3125-4605-8D93-B25611910339}"/>
    <cellStyle name="Date (Month)" xfId="60" xr:uid="{08761890-4B88-4EC9-9C58-82F131D2B701}"/>
    <cellStyle name="Date (Year)" xfId="61" xr:uid="{339BEF44-E79D-4263-B0BB-F36CED9F08D7}"/>
    <cellStyle name="Date [d-mmm-yy]" xfId="434" xr:uid="{EB7AB537-BCEA-490B-A35B-68016E6C68E9}"/>
    <cellStyle name="Date [mm-d-yy]" xfId="435" xr:uid="{04ECECF2-2F65-48EE-880A-3F05DB0F0104}"/>
    <cellStyle name="Date [mm-d-yyyy]" xfId="436" xr:uid="{7DEEB0BE-C5E5-4861-B126-D03E30FA0F0D}"/>
    <cellStyle name="Date [mmm-d-yyyy]" xfId="437" xr:uid="{16083CC8-69FF-4DF4-B8FF-548BC0C1866B}"/>
    <cellStyle name="Date [mmm-yy]" xfId="438" xr:uid="{98973B02-A501-4B54-ACA8-7F3C4674EC07}"/>
    <cellStyle name="Date [mmm-yyyy]" xfId="439" xr:uid="{1A787346-3866-45C0-8348-EB2CAB37CEDB}"/>
    <cellStyle name="Date 2" xfId="161" xr:uid="{254CD89E-0117-4A09-82F1-860885786C2F}"/>
    <cellStyle name="Date 3" xfId="207" xr:uid="{BF624F78-1979-48F0-8823-C211C70DED06}"/>
    <cellStyle name="Date Aligned" xfId="62" xr:uid="{D93AC916-3E26-489E-BA3D-678914B68790}"/>
    <cellStyle name="Date_Anastasia" xfId="440" xr:uid="{D934E6F7-B197-484C-9C47-5CC92CCFD8CA}"/>
    <cellStyle name="Date2" xfId="441" xr:uid="{77040ECC-5BBF-4172-BAFA-98C1BD508E90}"/>
    <cellStyle name="Dates" xfId="442" xr:uid="{691837AF-E33C-470E-ADE6-5E05E92FFBC4}"/>
    <cellStyle name="DateYear" xfId="443" xr:uid="{2856C9A4-0B29-4A2D-9002-E550467D2930}"/>
    <cellStyle name="Dec_0" xfId="162" xr:uid="{349A76F1-5218-4FBA-84C1-DDD68CB717B7}"/>
    <cellStyle name="Déprotégée" xfId="208" xr:uid="{D9332423-5976-4544-9088-D7FD9D19874E}"/>
    <cellStyle name="Devise" xfId="209" xr:uid="{E5AF6462-58B7-4EA6-8D74-815CCF3CCC68}"/>
    <cellStyle name="Dezimal (0.0)" xfId="63" xr:uid="{CB2011BF-2BBA-4C80-962A-C58BC3CA1C96}"/>
    <cellStyle name="Dezimal (0.0) 2" xfId="210" xr:uid="{5BCD97B5-7009-4EF7-BAD6-7DFFF2442261}"/>
    <cellStyle name="Dezimal (0.0)_AXI" xfId="444" xr:uid="{851F1C7A-BBAA-4344-B2FB-D0CEACFB923A}"/>
    <cellStyle name="Dollar" xfId="445" xr:uid="{1C0EAF72-6025-42CA-88BB-33BE922EDD5E}"/>
    <cellStyle name="Dollar (zero dec)" xfId="295" xr:uid="{7C94794B-9D1B-4C94-A699-F19E7EB04A27}"/>
    <cellStyle name="dollars" xfId="446" xr:uid="{01BDB2D4-A25A-42EF-88CB-6732DCC453D7}"/>
    <cellStyle name="DollarWhole" xfId="447" xr:uid="{D7F87528-B972-4E04-AB1E-FC09F52B359B}"/>
    <cellStyle name="Dotted Line" xfId="64" xr:uid="{1B780DD0-2DF4-430F-B6CF-EBF86DDEDD48}"/>
    <cellStyle name="Double Accounting" xfId="211" xr:uid="{521BD18E-1B0F-417F-BCB9-82DAE7B8229D}"/>
    <cellStyle name="Download" xfId="163" xr:uid="{FB022DDD-703E-497E-833E-FCB738B59DBB}"/>
    <cellStyle name="Driver" xfId="448" xr:uid="{D58D1322-0725-4275-98FF-BE3EEF028EEB}"/>
    <cellStyle name="Driver Lable" xfId="449" xr:uid="{B424AB71-03F9-4054-BD75-5CECE590E510}"/>
    <cellStyle name="drivers" xfId="450" xr:uid="{646F772C-30EB-4D97-AB4E-2956A2D500A9}"/>
    <cellStyle name="Entités" xfId="212" xr:uid="{A3A94D02-A578-482F-B218-6D0BDBE402D9}"/>
    <cellStyle name="Entry" xfId="164" xr:uid="{E74E9FBA-B1EB-4DD7-956E-13C03E02E123}"/>
    <cellStyle name="EPS" xfId="451" xr:uid="{BF424AF4-B38A-4CB1-B39A-F0854924177B}"/>
    <cellStyle name="EPSActual" xfId="452" xr:uid="{C5997B19-1E8E-42F2-A23B-DAC3AE18D57C}"/>
    <cellStyle name="EPSEstimate" xfId="453" xr:uid="{E5992426-6924-46BA-A98E-1BCECF480BB6}"/>
    <cellStyle name="Est - $" xfId="213" xr:uid="{01A59BCB-8031-4EDE-ACF6-082B2AAB135B}"/>
    <cellStyle name="Est - %" xfId="214" xr:uid="{C084C1CF-63DC-437D-A537-B7ED982AD9B1}"/>
    <cellStyle name="Est 0,000.0" xfId="215" xr:uid="{A8E5A69A-5E0E-4A68-AA4F-2AFC686B8E65}"/>
    <cellStyle name="Euro" xfId="333" xr:uid="{39869D76-93C6-4152-8C15-DFEF6F2CA167}"/>
    <cellStyle name="ExchRate" xfId="165" xr:uid="{1C2F98F0-C4BB-4531-8BB3-6DFD92C54909}"/>
    <cellStyle name="fact_Feuil1 (8)" xfId="454" xr:uid="{A4B213BF-C709-45BF-AB2E-9536B88B5F22}"/>
    <cellStyle name="Fail" xfId="216" xr:uid="{ABCEA040-AA06-46A5-9232-DB6D71CAED3B}"/>
    <cellStyle name="FF_EURO" xfId="217" xr:uid="{A85F8DB2-DF23-4EC7-B8C6-CCEFC874ABCB}"/>
    <cellStyle name="Financial" xfId="166" xr:uid="{38149350-04C6-435E-81CB-90A98E5C51A9}"/>
    <cellStyle name="financials" xfId="167" xr:uid="{BA786628-19E4-4B2C-9F1B-2F6404B442E8}"/>
    <cellStyle name="FiscalPeriod" xfId="218" xr:uid="{65FACDBF-E37C-447D-B61C-FD35DA5DF05A}"/>
    <cellStyle name="Fixed" xfId="334" xr:uid="{96C49079-AD1F-48AA-80B2-AE5ACAD0648D}"/>
    <cellStyle name="Fixed [0]" xfId="456" xr:uid="{279ADB57-DC0A-4982-8423-F76196B2DD73}"/>
    <cellStyle name="Fixed_AXI" xfId="455" xr:uid="{7D08ADA9-35F7-42A4-AAEF-8836BC6CE940}"/>
    <cellStyle name="fo]_x000d__x000a_UserName=Murat Zelef_x000d__x000a_UserCompany=Bumerang_x000d__x000a__x000d__x000a_[File Paths]_x000d__x000a_WorkingDirectory=C:\EQUIS\DLWIN_x000d__x000a_DownLoader=C" xfId="457" xr:uid="{2131F0AA-F9A8-40ED-AF1A-828B14FCB638}"/>
    <cellStyle name="Följde hyperlänken" xfId="458" xr:uid="{45D4D3CA-EDB0-464B-A7E4-1B402F4B30C3}"/>
    <cellStyle name="Footer SBILogo1" xfId="459" xr:uid="{A4EB3C37-3105-4C54-B8F9-DED78E021522}"/>
    <cellStyle name="Footer SBILogo2" xfId="460" xr:uid="{8DD43040-14D9-417E-B044-73B60F13167E}"/>
    <cellStyle name="Footnote" xfId="65" xr:uid="{666E119A-6779-438B-BDF6-674AFF35E595}"/>
    <cellStyle name="Footnote Reference" xfId="461" xr:uid="{CA313CA6-A737-4A65-A394-21F66B068538}"/>
    <cellStyle name="Footnote_Innsamling" xfId="462" xr:uid="{4383E1C3-FD24-43AD-BD84-4391D9C1D8BC}"/>
    <cellStyle name="front page small" xfId="219" xr:uid="{A1E7CD65-DFE4-4D2C-8D56-305E9177AC6C}"/>
    <cellStyle name="General" xfId="463" xr:uid="{22CA9207-6A7F-49FB-A232-1462D644DD91}"/>
    <cellStyle name="Grey" xfId="220" xr:uid="{21DDE538-E838-4F87-A3E0-A07648569C3B}"/>
    <cellStyle name="Grey 2" xfId="312" xr:uid="{912039BE-614F-44D3-8C83-BB113B33864D}"/>
    <cellStyle name="Grey_AXI" xfId="464" xr:uid="{B2FE328C-F204-45C0-A0D9-430C5B03192E}"/>
    <cellStyle name="GrowthRate" xfId="465" xr:uid="{5811A844-CAAB-4176-A84F-31133897C9C3}"/>
    <cellStyle name="GrowthSeq" xfId="466" xr:uid="{269639C9-C1BB-49AF-9F8C-CCDE7D2E3C38}"/>
    <cellStyle name="GWN Table Body" xfId="66" xr:uid="{66DBB0C7-F55E-4918-B347-4A7DD4AFFFD6}"/>
    <cellStyle name="GWN Table Header" xfId="67" xr:uid="{75DFC531-0EE6-4C2F-A99A-CA6501AAA29D}"/>
    <cellStyle name="GWN Table Left Header" xfId="68" xr:uid="{ADEF2A94-22F1-4FB1-8330-D8D70ECE25FA}"/>
    <cellStyle name="GWN Table Note" xfId="69" xr:uid="{6D7C42D5-3063-4859-98D0-49B44223867A}"/>
    <cellStyle name="GWN Table Title" xfId="70" xr:uid="{6987D998-104C-4B60-9CA2-60D105344D96}"/>
    <cellStyle name="H0" xfId="71" xr:uid="{928A03E1-A84E-4E27-82FD-BB2E4E042B6A}"/>
    <cellStyle name="H1" xfId="72" xr:uid="{B2CD5D71-8953-40B9-8F01-5AC3D4A08D0D}"/>
    <cellStyle name="H2" xfId="73" xr:uid="{10298C08-EAF3-4E2D-9DB1-E63AB933619F}"/>
    <cellStyle name="H3" xfId="74" xr:uid="{FD9D6303-E700-4E6B-A0F2-58FB89278CED}"/>
    <cellStyle name="H4" xfId="75" xr:uid="{C39501F9-60E7-4AEC-8FEE-2DE7C0D7C47B}"/>
    <cellStyle name="haeding 2" xfId="467" xr:uid="{753EEFBD-5046-45F2-B84A-08F6DEA3B1BF}"/>
    <cellStyle name="Hard" xfId="468" xr:uid="{3902F170-336C-4C4C-B5DF-89C82A561E3A}"/>
    <cellStyle name="Hard input" xfId="76" xr:uid="{DCEA447A-E480-453F-9269-B7A6E68AB9DD}"/>
    <cellStyle name="hard no." xfId="469" xr:uid="{1B25B09C-7774-41DF-8A4C-19D9AC8363C6}"/>
    <cellStyle name="Hard Percent" xfId="77" xr:uid="{2F2EAB63-2686-494A-8BD7-7B5A72EF185D}"/>
    <cellStyle name="head2" xfId="470" xr:uid="{728DC537-3F10-42A7-98B8-8C94B4F4D7B8}"/>
    <cellStyle name="Header" xfId="78" xr:uid="{B8031354-7576-45FB-AF1B-A39DF60CDDAD}"/>
    <cellStyle name="Header 2" xfId="168" xr:uid="{F24205C4-7538-45C3-9B4B-BF8009E5CA9A}"/>
    <cellStyle name="HEADER 2 2" xfId="313" xr:uid="{0AC8FFF6-8537-4060-AF29-C3ED6020219D}"/>
    <cellStyle name="Header Draft Stamp" xfId="471" xr:uid="{9A1F3C27-03BF-40F4-A4EF-E35B22CC0A77}"/>
    <cellStyle name="Header_Innsamling" xfId="472" xr:uid="{1734DC0F-F209-42E1-A162-22FC643312F9}"/>
    <cellStyle name="Header1" xfId="296" xr:uid="{EAD7D12F-1507-4651-BF4F-C6A53E783320}"/>
    <cellStyle name="Header2" xfId="297" xr:uid="{373EF69D-B754-41CC-A01D-10494DBC0C94}"/>
    <cellStyle name="Heading" xfId="473" xr:uid="{5CE92A42-7290-4285-B3E1-F5CA80144A66}"/>
    <cellStyle name="Heading 1 Above" xfId="474" xr:uid="{FCE33AEB-2A8F-40D3-BE4D-D74ADD3B95B6}"/>
    <cellStyle name="Heading 1+" xfId="475" xr:uid="{BE0BC801-328C-4DA2-A429-57B6D6E92927}"/>
    <cellStyle name="Heading 2 2" xfId="79" xr:uid="{926584B4-8681-460E-9DCA-CF8CEFA2A220}"/>
    <cellStyle name="Heading 2 Below" xfId="476" xr:uid="{D1529245-9970-424C-B757-A3D9F96C0599}"/>
    <cellStyle name="Heading 2+" xfId="477" xr:uid="{0B95859D-3675-40F2-AE0C-F7FB821B730E}"/>
    <cellStyle name="Heading 3 2" xfId="80" xr:uid="{874EE755-B235-4FCA-9355-EA34204E8D48}"/>
    <cellStyle name="Heading 3+" xfId="478" xr:uid="{CFD73BA3-333D-4C81-801A-B5F95184A9BD}"/>
    <cellStyle name="Heading 5" xfId="479" xr:uid="{4EAEB0AE-C45D-4A76-813E-BFC59914D732}"/>
    <cellStyle name="HEADING1" xfId="335" xr:uid="{20352C86-9FA5-4D50-9641-40064C3CA0FB}"/>
    <cellStyle name="HEADING2" xfId="336" xr:uid="{780EBCDB-BDA4-48FF-B639-7A52237B63A4}"/>
    <cellStyle name="Hidden" xfId="221" xr:uid="{DB1260F6-1A89-48EB-9959-5C55A8C4965F}"/>
    <cellStyle name="Highlight" xfId="81" xr:uid="{25C3DDE2-EB97-4328-8C01-1029BEE3235B}"/>
    <cellStyle name="Hist inmatning" xfId="480" xr:uid="{F19A5714-6D0F-41C7-B2DD-3D336D5D415C}"/>
    <cellStyle name="Hyperlänk" xfId="481" xr:uid="{B7318C63-3CAF-41CC-8FD4-632EE77B4ECD}"/>
    <cellStyle name="Hyperlink" xfId="21" builtinId="8"/>
    <cellStyle name="Hyperlink 2" xfId="626" xr:uid="{EE6F3686-9726-4EC0-9D91-CF5E7893432F}"/>
    <cellStyle name="Hyperlink 3" xfId="382" xr:uid="{4C17EB2E-17A7-4857-B26E-641FB3ABF03B}"/>
    <cellStyle name="IncomeStatement" xfId="482" xr:uid="{4C3C1075-C6EE-48E4-9F18-7FBA0AA32FA5}"/>
    <cellStyle name="InLink" xfId="82" xr:uid="{918659A9-42F7-4443-9A8E-F3BCFC418C1A}"/>
    <cellStyle name="Input (%)" xfId="169" xr:uid="{3FCF67D7-271A-42EE-A0CD-0F9CF14AE990}"/>
    <cellStyle name="Input [yellow]" xfId="223" xr:uid="{D7BFAAA3-2E6E-4887-8EEF-40053DC8E101}"/>
    <cellStyle name="Input [yellow] 2" xfId="314" xr:uid="{46C35537-7B2E-4E62-B126-165A7966D821}"/>
    <cellStyle name="Input [yellow]_Sheet2" xfId="298" xr:uid="{C976EB34-AF29-4F9A-BE83-21FE6F6260A6}"/>
    <cellStyle name="Input 2" xfId="222" xr:uid="{8BB87899-5ADA-40BB-8E53-59799DB020F9}"/>
    <cellStyle name="input 3" xfId="83" xr:uid="{6B70BAE3-3C33-4701-8082-E0A64D07B9A4}"/>
    <cellStyle name="Input calculation" xfId="84" xr:uid="{F4503F25-C76E-4B26-9A0D-99F755667FC8}"/>
    <cellStyle name="Input Cells" xfId="224" xr:uid="{18BB0A0D-ABF4-4BBB-97E5-0EE9A1C8DC00}"/>
    <cellStyle name="Input Currency" xfId="483" xr:uid="{B72D0EEF-75DF-4CF9-BF10-88E5859BA482}"/>
    <cellStyle name="Input data" xfId="85" xr:uid="{0CC72F90-2D83-44C3-B258-A8461B1FFBF0}"/>
    <cellStyle name="Input Date" xfId="484" xr:uid="{3D959BBF-9D7C-4C4C-AF72-08D8F61FDCC8}"/>
    <cellStyle name="Input estimate" xfId="86" xr:uid="{18A627C0-FDB4-4523-9020-A7FA92114ED7}"/>
    <cellStyle name="Input Fixed [0]" xfId="485" xr:uid="{ABA8A4E6-787C-402B-BB53-5D9E4B0A7198}"/>
    <cellStyle name="Input link" xfId="87" xr:uid="{FFEEC88E-0E42-43D8-97AE-4D10EEC344E5}"/>
    <cellStyle name="Input link (different workbook)" xfId="88" xr:uid="{C606E6C2-175C-4258-BB49-820A6084B35D}"/>
    <cellStyle name="Input Link_Copy of ESA5 ForecastScaling" xfId="225" xr:uid="{4D2E80EE-8E92-4B85-9474-35B2D3118814}"/>
    <cellStyle name="Input Normal" xfId="486" xr:uid="{74B8B2B3-1674-49F6-AB5D-FA1EAD5C18BB}"/>
    <cellStyle name="Input parameter" xfId="89" xr:uid="{D8DF936A-9D17-4BB5-97DA-0E1E97CB88D7}"/>
    <cellStyle name="Input Percent" xfId="487" xr:uid="{17F5C1F5-ACE2-4BE4-AE5D-2FC602EA6BEF}"/>
    <cellStyle name="Input Percent [2]" xfId="488" xr:uid="{CC0CC4D7-E477-4C21-AFCF-051EB9A72271}"/>
    <cellStyle name="Input Percent_Book1" xfId="489" xr:uid="{1DB87B7A-8472-4207-8142-29E4B89819D1}"/>
    <cellStyle name="Input Titles" xfId="490" xr:uid="{8ECA1186-7A6B-4DC5-B3E9-B1275452DDED}"/>
    <cellStyle name="Input%" xfId="90" xr:uid="{407630AC-8B70-4FB3-BA85-1F35087F0530}"/>
    <cellStyle name="Input0dec" xfId="491" xr:uid="{35A03D67-DD88-414E-9F14-7C6862606279}"/>
    <cellStyle name="Input2dec" xfId="492" xr:uid="{590DE52F-82F6-4E4F-9053-3D2884531EAD}"/>
    <cellStyle name="InputBlueFont" xfId="91" xr:uid="{0E63087E-08D2-4992-BDC1-9FA9126B038B}"/>
    <cellStyle name="InputBlueFont 2" xfId="226" xr:uid="{A0CFBAB8-C693-4B08-B394-E5875491CD63}"/>
    <cellStyle name="InputBlueFont_AXI" xfId="493" xr:uid="{D34EE23F-BDAE-4190-9A66-7563A6F82D78}"/>
    <cellStyle name="InputDate" xfId="92" xr:uid="{53B6BEDE-88F1-45BB-81E5-CD30A3A4F884}"/>
    <cellStyle name="InputDecimal" xfId="93" xr:uid="{442A8AB0-ED55-4DF2-9081-A4A210B5886F}"/>
    <cellStyle name="InputValue" xfId="94" xr:uid="{6712D95C-BBC0-4ECF-80AF-547B7B58432D}"/>
    <cellStyle name="Integer" xfId="95" xr:uid="{A5EADE46-FE42-467F-828F-DDF29F420593}"/>
    <cellStyle name="Item" xfId="96" xr:uid="{B1C8BC0E-A418-4F1D-877A-084DD70A3ED7}"/>
    <cellStyle name="Items_Optional" xfId="97" xr:uid="{6595814B-E5CB-443B-ADA5-60ECFDF690BB}"/>
    <cellStyle name="ItemTypeClass" xfId="98" xr:uid="{330E595F-DD8A-4BA5-8066-1EA01E790A9F}"/>
    <cellStyle name="James" xfId="99" xr:uid="{03D21612-7FA3-4CDA-8AD6-F413A2E65A09}"/>
    <cellStyle name="kopregel" xfId="227" xr:uid="{FCACEE22-88DE-4DAA-8440-61D5CA3BD723}"/>
    <cellStyle name="Libellés" xfId="228" xr:uid="{F8747C01-ED8E-42CE-ACFF-EB1A43B6D598}"/>
    <cellStyle name="Linked" xfId="229" xr:uid="{FDC077D6-F665-442B-B6D5-3AF29BBC4870}"/>
    <cellStyle name="Linked Cells" xfId="230" xr:uid="{872273AB-CA64-4C7F-A99E-9650707B02A4}"/>
    <cellStyle name="Locked" xfId="494" xr:uid="{3C5EFED5-414B-4F45-8437-D78948C2973E}"/>
    <cellStyle name="Main Title" xfId="231" xr:uid="{409574A1-8778-485C-9E7F-71745FD5960D}"/>
    <cellStyle name="margenta-f" xfId="495" xr:uid="{C0E3B0F2-8754-4659-B5ED-3D1AFCA6C99D}"/>
    <cellStyle name="Margin" xfId="100" xr:uid="{7C68C0AC-CFD6-46C5-9A71-81F6A1868375}"/>
    <cellStyle name="Margin 2" xfId="232" xr:uid="{4FECFBEE-E4FB-4E8C-B2AF-74CF750893E9}"/>
    <cellStyle name="Margin_AXI" xfId="496" xr:uid="{1D152481-568A-4D1E-ADDB-D26DC927196A}"/>
    <cellStyle name="Margins" xfId="497" xr:uid="{8CFB60A0-8050-488B-BF17-1FC328617B42}"/>
    <cellStyle name="MetricLabel" xfId="233" xr:uid="{3748C765-7B3E-4EC9-826B-6037AFDA4780}"/>
    <cellStyle name="MetricLabelBlue" xfId="234" xr:uid="{26B7E248-7A44-4477-B9ED-99C9A94B1A64}"/>
    <cellStyle name="MetricValue" xfId="235" xr:uid="{3A26910B-DBF6-4A10-88D7-E031319995AB}"/>
    <cellStyle name="Migliaia_Foglio1" xfId="101" xr:uid="{418D27E5-83D1-40B4-9091-5AC3BE9D354A}"/>
    <cellStyle name="Millares [0]_96 Risk" xfId="236" xr:uid="{A212D4D9-CED7-4884-9D02-CDC070134542}"/>
    <cellStyle name="Millares_96 Risk" xfId="237" xr:uid="{BC4E6BB4-352F-4F63-B567-B12110464593}"/>
    <cellStyle name="Milliers [0]_Aimants permanents" xfId="238" xr:uid="{A16CC428-7A9E-4243-AABB-B52067F914BF}"/>
    <cellStyle name="Milliers [00]" xfId="239" xr:uid="{5A07CE4D-2814-4540-BB8B-35635D6DF7C8}"/>
    <cellStyle name="Milliers_Aimants permanents" xfId="240" xr:uid="{9D45F783-29E6-4FF2-B755-A1317746C2DD}"/>
    <cellStyle name="mine" xfId="102" xr:uid="{53023131-3AC9-44F5-9BF5-13F75C84056F}"/>
    <cellStyle name="Model" xfId="241" xr:uid="{01730007-51EA-4359-AE6F-3EFA5AB3CF56}"/>
    <cellStyle name="Model 2" xfId="315" xr:uid="{D13FBD2D-BD79-4F52-AB43-66FDBF5F3836}"/>
    <cellStyle name="Model_Sheet2" xfId="299" xr:uid="{D0F58E13-2EB8-48D4-BEBF-DECC97C280DA}"/>
    <cellStyle name="Moneda [0]_96 Risk" xfId="242" xr:uid="{95AE7589-FA2F-4064-B412-64C60C8C3DC9}"/>
    <cellStyle name="Moneda_96 Risk" xfId="243" xr:uid="{4312DD9C-303D-407D-B27B-FD68CE1F0019}"/>
    <cellStyle name="Monétaire [0]_Aimants permanents" xfId="244" xr:uid="{57227767-68C0-4D70-AC42-DD7FF40C0547}"/>
    <cellStyle name="Monétaire [00]" xfId="245" xr:uid="{EC4D1AB0-8E9F-4EA1-8D63-A421AF7FD2BB}"/>
    <cellStyle name="Monétaire_Aimants permanents" xfId="246" xr:uid="{88991F28-84FD-4CDE-BAD9-811616E5F193}"/>
    <cellStyle name="Multiple" xfId="103" xr:uid="{C75A6CEC-1D78-4B53-9F52-455A553F545B}"/>
    <cellStyle name="NA is zero" xfId="498" xr:uid="{9C45E62C-1830-47FA-9E58-90B7F136FE12}"/>
    <cellStyle name="Name" xfId="104" xr:uid="{E0BFFDC6-C0AB-40EC-AA96-443147323291}"/>
    <cellStyle name="neg0.0" xfId="105" xr:uid="{51094941-7C67-4BDC-8C2F-9632F096B340}"/>
    <cellStyle name="neg0.0 2" xfId="247" xr:uid="{07C609B6-D712-4BB6-8FC8-EF1330B1B295}"/>
    <cellStyle name="neg0.0_AXI" xfId="499" xr:uid="{7E176AAC-398F-4296-88AC-AEAC401D63C3}"/>
    <cellStyle name="no dec" xfId="500" xr:uid="{656D4DD9-C412-42FB-A478-BA0E6B444D9F}"/>
    <cellStyle name="Normal" xfId="0" builtinId="0"/>
    <cellStyle name="Normal - Style1" xfId="106" xr:uid="{3E167C11-3699-4434-9FF5-41F08C02408D}"/>
    <cellStyle name="Normal - Style1 2" xfId="316" xr:uid="{9CD5FEB6-E068-4DB5-B2B3-0DE9C633E9F1}"/>
    <cellStyle name="Normal - Style1_Sheet2" xfId="300" xr:uid="{7DB11B2B-B067-447B-AA84-8897CDF0E6C5}"/>
    <cellStyle name="Normal (%)" xfId="170" xr:uid="{8884F079-5B4D-413E-B3DB-107FB5A2E0EB}"/>
    <cellStyle name="Normal (£m)" xfId="171" xr:uid="{E1238569-2880-438C-A3C8-99E862BC7E7F}"/>
    <cellStyle name="Normal (no,)" xfId="501" xr:uid="{F55057EF-E7E7-41D2-9B7E-F413839A3F3E}"/>
    <cellStyle name="Normal (x)" xfId="172" xr:uid="{143834BD-6854-4F95-8E98-97D52F310561}"/>
    <cellStyle name="Normal [0]" xfId="502" xr:uid="{E5D5DCB5-37DD-4950-B237-DE8AADFB1EA1}"/>
    <cellStyle name="Normal [1]" xfId="503" xr:uid="{1D496935-3EB3-4C6E-BD75-C44103E7D8B0}"/>
    <cellStyle name="Normal [2]" xfId="504" xr:uid="{ADAEC916-8BAB-421F-B2CC-00ADAF85162C}"/>
    <cellStyle name="Normal [3]" xfId="505" xr:uid="{0FBC1F4A-257F-4029-88BD-3D77A56928D8}"/>
    <cellStyle name="Normal 1" xfId="13" xr:uid="{00000000-0005-0000-0000-000005000000}"/>
    <cellStyle name="Normal 10 3" xfId="620" xr:uid="{4CD7E86D-2EA5-45CD-B973-1F4E6EB7CE1B}"/>
    <cellStyle name="Normal 155" xfId="622" xr:uid="{248271CA-572E-4C2E-94E9-671021A71540}"/>
    <cellStyle name="Normal 2" xfId="22" xr:uid="{6CA0AF30-4353-41BB-A752-76385A6F6E7E}"/>
    <cellStyle name="Normal 2 2" xfId="23" xr:uid="{EFD676B1-3B39-4B3B-A95F-426EFB27D939}"/>
    <cellStyle name="Normal 2 2 2" xfId="307" xr:uid="{D9EFB084-FCCC-4FA5-877E-E2F5985F8A38}"/>
    <cellStyle name="Normal 2 3" xfId="107" xr:uid="{D1D55F5C-7714-4C6B-B25F-B28C8CE52798}"/>
    <cellStyle name="Normal 2 5" xfId="507" xr:uid="{8F147CFB-6072-4009-85C5-564369FBA401}"/>
    <cellStyle name="Normal 2_AXI" xfId="506" xr:uid="{9791B4D4-2388-4EEB-82EF-50A8CC1C0791}"/>
    <cellStyle name="Normal 3" xfId="24" xr:uid="{E7D69A8B-16D7-46C8-8F3F-90DEDABD5A49}"/>
    <cellStyle name="Normal 3 2" xfId="318" xr:uid="{47F0B303-4BF8-4B77-855F-A2FE4E31D4AC}"/>
    <cellStyle name="Normal 3 3" xfId="151" xr:uid="{6A0A4E23-2D61-4EA4-8ED4-4AC9A277E9F4}"/>
    <cellStyle name="Normal 3_AXI" xfId="508" xr:uid="{727C2F47-4722-4778-A3E2-37141F59EBBD}"/>
    <cellStyle name="Normal 4" xfId="183" xr:uid="{6F3A61C5-A5DB-41FC-BCF3-DC603E862401}"/>
    <cellStyle name="Normal 5" xfId="509" xr:uid="{3192E6D7-1A06-4A65-B9DE-63B3E6E9099F}"/>
    <cellStyle name="Normal 6" xfId="617" xr:uid="{A92EE2C6-0E37-4CB0-B157-88F7DDBD22B7}"/>
    <cellStyle name="Normal 7" xfId="623" xr:uid="{4F0703AD-A5C0-4B73-9D38-B3366B5DB294}"/>
    <cellStyle name="Normal 8" xfId="628" xr:uid="{B416C707-C0B4-4AA8-9014-C5866CDEDA82}"/>
    <cellStyle name="Normal 9" xfId="25" xr:uid="{4EF0286F-637B-43A4-BA3D-F9EA60E5B822}"/>
    <cellStyle name="Normal Bold" xfId="510" xr:uid="{7DCD5B14-984A-4904-85C2-BEA94B610BC3}"/>
    <cellStyle name="Normal Pct" xfId="511" xr:uid="{5B942F0F-C0EA-4319-B11E-1E7815D63806}"/>
    <cellStyle name="Normal_bt debt model" xfId="11" xr:uid="{00000000-0005-0000-0000-000006000000}"/>
    <cellStyle name="Normal_BT3" xfId="9" xr:uid="{00000000-0005-0000-0000-000007000000}"/>
    <cellStyle name="Normal_BT3 2" xfId="632" xr:uid="{A734363C-D928-4370-BE4B-C328EE8728EB}"/>
    <cellStyle name="Normal_dt2" xfId="4" xr:uid="{00000000-0005-0000-0000-000008000000}"/>
    <cellStyle name="Normal_Egypt" xfId="6" xr:uid="{00000000-0005-0000-0000-000009000000}"/>
    <cellStyle name="Normal_FTsummod1" xfId="19" xr:uid="{00000000-0005-0000-0000-00000A000000}"/>
    <cellStyle name="Normal_Indonesian market model" xfId="7" xr:uid="{00000000-0005-0000-0000-00000B000000}"/>
    <cellStyle name="Normal_Preview Telefonica" xfId="15" xr:uid="{00000000-0005-0000-0000-00000C000000}"/>
    <cellStyle name="Normal_temp" xfId="14" xr:uid="{00000000-0005-0000-0000-00000D000000}"/>
    <cellStyle name="Normal_Vodafone(2sep03)" xfId="12" xr:uid="{00000000-0005-0000-0000-00000E000000}"/>
    <cellStyle name="NormalE" xfId="512" xr:uid="{FF518B0A-FF7A-4E55-AF70-ACB8DBC5305E}"/>
    <cellStyle name="NormalGB" xfId="513" xr:uid="{09E410D5-F3DC-4DDB-BF46-263140CE6096}"/>
    <cellStyle name="NormalMultiple" xfId="514" xr:uid="{84832B2E-B10D-48BB-A19E-FABCBC177E82}"/>
    <cellStyle name="NOT" xfId="248" xr:uid="{01FB3EAE-B790-4DAF-9A1B-2F12261B0BF7}"/>
    <cellStyle name="Note 2" xfId="249" xr:uid="{A2438003-8B48-4ACB-8394-8EE41A1B311A}"/>
    <cellStyle name="Note 3" xfId="108" xr:uid="{EDCC0EF4-3167-492B-B863-11DA3DE4CC38}"/>
    <cellStyle name="Notes" xfId="515" xr:uid="{A1EED516-5535-43B4-8B9E-ECA2BEDFB8D4}"/>
    <cellStyle name="NPPESalesPct" xfId="516" xr:uid="{05DA0A3D-CCA1-4149-9B8B-ABD2F0B66153}"/>
    <cellStyle name="Number" xfId="109" xr:uid="{6318419E-F906-4809-8312-90A7D8DC449E}"/>
    <cellStyle name="Number (2dp)" xfId="110" xr:uid="{652D95F2-22DB-4FDE-A13B-CE06E93B992D}"/>
    <cellStyle name="Number_Copy of ESA5 ForecastScaling" xfId="250" xr:uid="{7C28033C-4346-49DB-BA08-9E8734F3E0B1}"/>
    <cellStyle name="NWI%S" xfId="517" xr:uid="{98A8280A-F26F-49F1-B5FF-F430417CB92D}"/>
    <cellStyle name="Œ…‹æØ‚è [0.00]_GE 3 MINIMUM" xfId="251" xr:uid="{6DA9EAC8-CBD5-4D30-BC9A-22FE588E5E58}"/>
    <cellStyle name="Œ…‹æØ‚è_GE 3 MINIMUM" xfId="252" xr:uid="{B8B77101-8FD5-4FBB-9DB6-6FDA5570D7EE}"/>
    <cellStyle name="Ombrée" xfId="253" xr:uid="{DD7391A4-169C-45C3-912D-D8BAC7761345}"/>
    <cellStyle name="Onedec" xfId="173" xr:uid="{9DB33BF8-CA73-4386-BF65-73AB81B5321D}"/>
    <cellStyle name="Option" xfId="518" xr:uid="{F2A83920-7F31-463D-8B17-62391BAC1688}"/>
    <cellStyle name="Output 2" xfId="111" xr:uid="{FACD5FC9-4C21-41FC-8510-8DAE7433C851}"/>
    <cellStyle name="Page Number" xfId="112" xr:uid="{C9459646-F883-47D2-8B45-BC2922D3E863}"/>
    <cellStyle name="Pass" xfId="254" xr:uid="{7D7894BB-C178-4CC2-BE23-62F25FA61CE9}"/>
    <cellStyle name="PB Table Heading" xfId="519" xr:uid="{4931E043-FCD8-4A5C-9C65-93BB6F69DFE9}"/>
    <cellStyle name="PB Table Highlight1" xfId="520" xr:uid="{F40AA2CE-1E4C-49F2-A688-4304F862B3C5}"/>
    <cellStyle name="PB Table Highlight2" xfId="521" xr:uid="{7CACDB13-5BB6-4441-A269-FDE1033BB8B2}"/>
    <cellStyle name="PB Table Highlight3" xfId="522" xr:uid="{D2EF9A8E-0E4C-4071-954C-2BEF2E63EAF0}"/>
    <cellStyle name="PB Table Standard Row" xfId="523" xr:uid="{41F47919-6E54-4088-94A0-7F91BB2E5E14}"/>
    <cellStyle name="PB Table Subtotal Row" xfId="524" xr:uid="{86907BF9-FAE8-4431-A197-49C105618D60}"/>
    <cellStyle name="PB Table Total Row" xfId="525" xr:uid="{19E41643-CD21-40AC-9225-36CFB7020629}"/>
    <cellStyle name="pb_page_heading_LS" xfId="113" xr:uid="{F6C8DDA5-6924-4778-859A-7E5BF30E480A}"/>
    <cellStyle name="pc1" xfId="526" xr:uid="{741A7F38-338A-4A7A-89DF-E5E973F524E5}"/>
    <cellStyle name="PctLine" xfId="527" xr:uid="{325513AC-D415-4561-8B98-9B8989CBC235}"/>
    <cellStyle name="per.style" xfId="255" xr:uid="{7F15E2BC-5EA0-40A9-BE99-569B674E1CF5}"/>
    <cellStyle name="Percent" xfId="2" builtinId="5"/>
    <cellStyle name="Percent (0)" xfId="115" xr:uid="{D24084B7-1752-4770-A166-4008349F7464}"/>
    <cellStyle name="Percent (0.0)" xfId="528" xr:uid="{44A2C4D0-19A5-46C0-B32D-63D974A8EC6F}"/>
    <cellStyle name="Percent (0.00)" xfId="529" xr:uid="{AAF3A5F9-A5BA-459B-899A-213E58C67CD4}"/>
    <cellStyle name="Percent [0]" xfId="530" xr:uid="{9C30A6D9-5F07-44BF-8A90-A8E56F59DDAF}"/>
    <cellStyle name="Percent [1]" xfId="531" xr:uid="{35CDDC51-B41A-4895-B9E3-A72D16AA1DA1}"/>
    <cellStyle name="Percent [2]" xfId="256" xr:uid="{3FD33431-CAB3-4F0C-8009-9415B069F2BE}"/>
    <cellStyle name="Percent 0" xfId="532" xr:uid="{1F4B85D5-8600-4EBB-928E-DF5FC4D5EB62}"/>
    <cellStyle name="Percent 0.00" xfId="533" xr:uid="{894FD8F2-621F-491F-9557-022E96F95911}"/>
    <cellStyle name="Percent 0_3q" xfId="534" xr:uid="{0108F9C1-E872-44A1-8747-34873A0DBD11}"/>
    <cellStyle name="Percent 12" xfId="182" xr:uid="{73B5DFBF-582F-46C2-9416-552D4864E8DA}"/>
    <cellStyle name="Percent 2" xfId="20" xr:uid="{00000000-0005-0000-0000-000010000000}"/>
    <cellStyle name="Percent 2 2" xfId="308" xr:uid="{6D37BB51-8341-4646-B9BD-160FDC74FB79}"/>
    <cellStyle name="Percent 2 2 3" xfId="535" xr:uid="{303DA478-91D3-4F32-B19A-6878CDEA96A8}"/>
    <cellStyle name="Percent 2 3" xfId="116" xr:uid="{E6D34560-CC50-4547-AB46-56D3242BC84C}"/>
    <cellStyle name="Percent 2 4" xfId="536" xr:uid="{41C5768F-2D5E-4FB6-8448-95FE824E760C}"/>
    <cellStyle name="Percent 2 4 2" xfId="630" xr:uid="{E3F634AF-3298-4348-A55C-4B5462F48889}"/>
    <cellStyle name="Percent 3" xfId="174" xr:uid="{0D66F74F-7A89-4E3C-B27D-28677354BCF3}"/>
    <cellStyle name="Percent 3 2" xfId="319" xr:uid="{CDA7C043-E145-4F89-8239-A34636DDEA85}"/>
    <cellStyle name="Percent 4" xfId="627" xr:uid="{7E9DEF92-6F33-4748-BA02-26E3EC5B1A54}"/>
    <cellStyle name="Percent 5" xfId="17" xr:uid="{00000000-0005-0000-0000-000011000000}"/>
    <cellStyle name="Percent 5 4" xfId="537" xr:uid="{BAEFE0BF-13F9-42D4-A043-F7A0DA50D9C7}"/>
    <cellStyle name="Percent 6" xfId="114" xr:uid="{A270422C-9899-4CCE-BD86-30BE014CEEAC}"/>
    <cellStyle name="Percent 89" xfId="538" xr:uid="{91F3A556-778E-4121-A15E-B43D7A73BA1B}"/>
    <cellStyle name="Percent_Egypt" xfId="5" xr:uid="{00000000-0005-0000-0000-000012000000}"/>
    <cellStyle name="Percent_Financials" xfId="16" xr:uid="{00000000-0005-0000-0000-000013000000}"/>
    <cellStyle name="Percentage" xfId="117" xr:uid="{12DEF2E6-0D9E-43BC-8636-3DCDA024B86A}"/>
    <cellStyle name="Percentage (2dp)" xfId="118" xr:uid="{26CD7300-49E1-4FDB-B6BA-18EBC0095DB7}"/>
    <cellStyle name="Percentage_Copy of ESA5 ForecastScaling" xfId="257" xr:uid="{50EE1A34-17A8-461C-9D3F-3834A98A9BD8}"/>
    <cellStyle name="PercentChange" xfId="119" xr:uid="{D5FD8857-8FBF-4B9F-9FE6-7720B785D74B}"/>
    <cellStyle name="PercentPresentation" xfId="539" xr:uid="{257B6544-3A73-4F62-9722-B6B590F1FA2A}"/>
    <cellStyle name="PercentSales" xfId="540" xr:uid="{47D40BD6-C393-4D83-8AEE-D9E1768DB2DF}"/>
    <cellStyle name="PerShare" xfId="541" xr:uid="{25138ED2-451F-4C31-BEDD-AE9CEEF650CE}"/>
    <cellStyle name="POPS" xfId="542" xr:uid="{F3C0EEB7-E763-4967-94ED-AC703F3F827D}"/>
    <cellStyle name="Pourcentage [0]" xfId="258" xr:uid="{B27FED29-EC28-4540-96F3-D4E761F67747}"/>
    <cellStyle name="Pourcentage [00]" xfId="259" xr:uid="{277C5480-6886-4136-AC79-42BE0FA93F32}"/>
    <cellStyle name="Pourcentage_BASCULER" xfId="260" xr:uid="{837ACB4D-4B1B-4E6D-A9B5-BC55F1EFC695}"/>
    <cellStyle name="Presentation" xfId="543" xr:uid="{005975D3-7B2E-474A-98B4-B04D7F1E2806}"/>
    <cellStyle name="PresentationZero" xfId="544" xr:uid="{22E15F7F-0BB7-4901-B451-7E35B72584B1}"/>
    <cellStyle name="Price" xfId="545" xr:uid="{44161569-2E7C-49C6-B6E4-6339CE1F6FE1}"/>
    <cellStyle name="Pub percent" xfId="120" xr:uid="{6C278326-A909-4613-884B-A9F9AB8921CF}"/>
    <cellStyle name="r" xfId="546" xr:uid="{6614F6E6-ECC3-4A3D-9792-941BB72CABD9}"/>
    <cellStyle name="r_Canal Digital" xfId="547" xr:uid="{29E1CADE-729D-4F83-9BE5-6E2CEEFE768B}"/>
    <cellStyle name="r_Canal Digital_Deutsche" xfId="548" xr:uid="{ABBFE7BC-D896-45EF-A3F1-3194B002D1C0}"/>
    <cellStyle name="r_Canal Digital_Fixed" xfId="549" xr:uid="{13D8E6A9-E910-49AA-8949-FC57CCD10C7F}"/>
    <cellStyle name="r_Canal Digital_Fixed_Deutsche" xfId="550" xr:uid="{A28E241E-4AC0-4DEA-852C-E508F8D6FC96}"/>
    <cellStyle name="r_Canal Digital_Fixed_Innsamling" xfId="551" xr:uid="{5B8D9050-7F7A-4E44-89B5-3EC0027F93D7}"/>
    <cellStyle name="r_Canal Digital_Group" xfId="552" xr:uid="{C6D4790C-D678-403E-AD7B-B7571B58682C}"/>
    <cellStyle name="r_Canal Digital_Group_Deutsche" xfId="553" xr:uid="{8FECDB3A-4B7A-480C-9B5E-3836F827B6B7}"/>
    <cellStyle name="r_Canal Digital_Group_Innsamling" xfId="554" xr:uid="{5530C58A-D061-4FA7-8BAE-4576F8229F6A}"/>
    <cellStyle name="r_Canal Digital_Innsamling" xfId="555" xr:uid="{FF8F4153-8543-4221-A3B1-3D0C47DE83ED}"/>
    <cellStyle name="r_Canal Digital_Mobile" xfId="556" xr:uid="{EE7BCAF0-2FEA-42B0-8E4C-3F25404BF841}"/>
    <cellStyle name="r_Canal Digital_Mobile_Deutsche" xfId="557" xr:uid="{E9FEE4E8-8191-4688-81F6-D29356C7B321}"/>
    <cellStyle name="r_Canal Digital_Mobile_Innsamling" xfId="558" xr:uid="{34F0F969-13D0-47A7-99F3-3354FD7FF648}"/>
    <cellStyle name="r_Canal Digital_Special items" xfId="559" xr:uid="{EE6E4170-69DB-4B6B-ADF1-DFA9D9079D43}"/>
    <cellStyle name="r_Canal Digital_Special items_Deutsche" xfId="560" xr:uid="{AA3BD343-7A89-4278-AC77-136C4B54FD5F}"/>
    <cellStyle name="r_Canal Digital_Special items_Innsamling" xfId="561" xr:uid="{29F204AC-E3F3-423F-BD15-A5DB55BF797E}"/>
    <cellStyle name="r_tel" xfId="562" xr:uid="{242FA24E-FC2C-4334-A54B-E2BDA6B8E5C9}"/>
    <cellStyle name="r_tel.xls Chart 680" xfId="563" xr:uid="{3F61500F-E877-4C9A-81E5-7934A77A4603}"/>
    <cellStyle name="r_Telenor" xfId="564" xr:uid="{9ACBD5DB-25E8-42E2-BBD0-2C13647B2028}"/>
    <cellStyle name="RatioX" xfId="121" xr:uid="{A2DE93B4-E3BE-4474-850D-7C512321184B}"/>
    <cellStyle name="Red font" xfId="565" xr:uid="{F1545A5C-9395-4FCD-A2A9-607AB089D1CE}"/>
    <cellStyle name="Report" xfId="566" xr:uid="{3E353CAA-A4E1-411F-9C77-482B0E2E3321}"/>
    <cellStyle name="Right" xfId="567" xr:uid="{B957A331-B8E9-4AA4-8321-1B2A0F294301}"/>
    <cellStyle name="Rmess" xfId="122" xr:uid="{4AFE2309-689A-4975-B8C3-8973AE8C5BE1}"/>
    <cellStyle name="Rnumber" xfId="123" xr:uid="{ED6141DF-1074-4965-940E-3EA2B9E58D2D}"/>
    <cellStyle name="Rnumber 0d" xfId="124" xr:uid="{3362463A-7A6A-4C93-8898-B13D02938999}"/>
    <cellStyle name="Rnumber_eurosubs10" xfId="125" xr:uid="{823B4C90-BDFD-4610-863C-BAD16E593170}"/>
    <cellStyle name="Row and Column Total" xfId="261" xr:uid="{67EB5CB2-B5A7-4C11-A72F-62EC09315CD7}"/>
    <cellStyle name="Row Heading" xfId="262" xr:uid="{DD7F8BEE-3E2C-4BA7-BF42-86365B90919D}"/>
    <cellStyle name="Row Heading (No Wrap)" xfId="263" xr:uid="{08CEAD1B-8CC7-4435-8FB7-943E3A9F27C5}"/>
    <cellStyle name="Row Ignore" xfId="264" xr:uid="{3C524423-7D2E-4939-94CA-D0F817D73857}"/>
    <cellStyle name="Row label" xfId="126" xr:uid="{8EE76A63-2A60-49E2-9B6D-1BA4D08A25A4}"/>
    <cellStyle name="Row label (indent)" xfId="127" xr:uid="{21800145-768B-4B4D-AE70-A737D7B1F6C2}"/>
    <cellStyle name="Row Sub total" xfId="265" xr:uid="{BA759065-C2F9-4C1A-B610-EA96F20C25FB}"/>
    <cellStyle name="Row Title 1" xfId="266" xr:uid="{6331C9E4-6241-4773-A764-AF0CCD430E2E}"/>
    <cellStyle name="Row Title 2" xfId="267" xr:uid="{A41E0290-9EB2-4917-B27A-7C47462C124E}"/>
    <cellStyle name="Row Title 3" xfId="268" xr:uid="{6C689405-9ACC-4085-A868-7538637A7891}"/>
    <cellStyle name="Row Total" xfId="269" xr:uid="{CA2604E1-6493-4269-A20E-C25613B0D3A6}"/>
    <cellStyle name="Saisie" xfId="270" xr:uid="{2948FDD4-560A-4550-8994-532DE6B35C81}"/>
    <cellStyle name="Salomon Logo" xfId="568" xr:uid="{9F66E2AE-0D2F-452F-B3D6-E59BD9D5E7D4}"/>
    <cellStyle name="ScripFactor" xfId="128" xr:uid="{5DFFBC95-7673-406F-9712-0BFB99B585B5}"/>
    <cellStyle name="ScripFactor 2" xfId="271" xr:uid="{A2108669-9532-4936-AF81-5386AE0322B9}"/>
    <cellStyle name="ScripFactor_AXI" xfId="569" xr:uid="{D3F75F45-3E1B-4E02-8B18-1349E76F3A0F}"/>
    <cellStyle name="Section Title" xfId="272" xr:uid="{7CD7704D-DAA4-473C-829D-52411B952DF6}"/>
    <cellStyle name="SectionHeading" xfId="129" xr:uid="{A93AD45C-35DF-4C0B-8F95-9C17A259E998}"/>
    <cellStyle name="Separador de milhares_Projeção" xfId="273" xr:uid="{C3B1E7CF-579D-4311-8EC6-6149C18F03DE}"/>
    <cellStyle name="Share" xfId="175" xr:uid="{EB0097C0-CED5-489B-B04A-B3CCF8FFA821}"/>
    <cellStyle name="Shares" xfId="570" xr:uid="{09B63F40-37DA-4F34-82AC-6BA2B2F34C9F}"/>
    <cellStyle name="Single Accounting" xfId="274" xr:uid="{B7615BCB-F076-4E88-BA6C-C41B0A374E44}"/>
    <cellStyle name="Small Number" xfId="275" xr:uid="{B93A643F-E003-49BD-914C-BD5E2ED24419}"/>
    <cellStyle name="Small Percentage" xfId="276" xr:uid="{710BC531-74A2-4794-AFBC-96312F24CE23}"/>
    <cellStyle name="Source" xfId="176" xr:uid="{8A469DAB-EEE1-4B43-A9D2-6C4C5C574364}"/>
    <cellStyle name="Sous titre" xfId="277" xr:uid="{94D4FC42-EEA0-404F-85BB-5AD4E036C012}"/>
    <cellStyle name="Standaard_KPN" xfId="571" xr:uid="{3B945235-308C-459C-9785-9293C9E22E31}"/>
    <cellStyle name="Standard" xfId="278" xr:uid="{BB13862B-E130-4EE3-BA69-92CA22456D4A}"/>
    <cellStyle name="Strange" xfId="572" xr:uid="{2F6FC1C5-4C15-421B-9A49-ECB67CF24081}"/>
    <cellStyle name="STYL1 - Style1" xfId="573" xr:uid="{6D42E243-E38E-443A-A594-186FCB0F17BD}"/>
    <cellStyle name="Style 1" xfId="8" xr:uid="{00000000-0005-0000-0000-000014000000}"/>
    <cellStyle name="Style 1 2" xfId="18" xr:uid="{00000000-0005-0000-0000-000015000000}"/>
    <cellStyle name="subhead" xfId="279" xr:uid="{0EC5A97A-6523-4922-8A04-612C1F8EBAB5}"/>
    <cellStyle name="subhead 2" xfId="317" xr:uid="{0148B27A-D919-4FAB-813A-0734DBBEE042}"/>
    <cellStyle name="Subhead_AXI" xfId="574" xr:uid="{A93D1534-4C32-41C0-99FE-8FCA432F53C1}"/>
    <cellStyle name="Sub-total row" xfId="130" xr:uid="{7AFCC7BE-487E-4411-84DF-0CCC567FB636}"/>
    <cellStyle name="Table" xfId="575" xr:uid="{B20ADA99-540F-4B74-92A4-AFF7C05E2572}"/>
    <cellStyle name="Table finish row" xfId="131" xr:uid="{ED8209C8-B676-42E2-98C4-BF7A0519C35E}"/>
    <cellStyle name="Table Head" xfId="132" xr:uid="{59720343-D454-4469-823D-01E841F72437}"/>
    <cellStyle name="Table Head Aligned" xfId="133" xr:uid="{A84B1D82-7541-4A2A-BDD7-DA7665A6EA75}"/>
    <cellStyle name="Table Head Blue" xfId="134" xr:uid="{40BFDD1E-D6B4-457E-928B-C70ECB849CC5}"/>
    <cellStyle name="Table Head Green" xfId="135" xr:uid="{C71117FD-38A6-439E-80AB-E322D228E37D}"/>
    <cellStyle name="Table Head_Anastasia" xfId="576" xr:uid="{D6DDE335-0314-4526-9D32-23F7472CA323}"/>
    <cellStyle name="table numbers 1" xfId="280" xr:uid="{FD1641B3-B7B2-4D98-B333-35984A69AAFB}"/>
    <cellStyle name="Table numbers 2" xfId="281" xr:uid="{72C95B0C-2E76-472E-A637-774F761A49BE}"/>
    <cellStyle name="Table shading" xfId="136" xr:uid="{10AC5C87-A748-44CC-B772-1067A2597545}"/>
    <cellStyle name="Table Source" xfId="577" xr:uid="{31BC699C-8A80-4FD8-8F07-921FAFC47E33}"/>
    <cellStyle name="Table Text" xfId="578" xr:uid="{23AA01FE-83FD-4331-A38C-5D93D4DCC800}"/>
    <cellStyle name="Table Title" xfId="137" xr:uid="{D23A2A85-E5C3-41C9-9387-10B89A7BCD72}"/>
    <cellStyle name="Table unfinish row" xfId="138" xr:uid="{3FE34E47-68DA-46B8-A824-FD5F479213CC}"/>
    <cellStyle name="Table Units" xfId="139" xr:uid="{5B8D7F5E-8281-4312-81DD-688545492FA4}"/>
    <cellStyle name="Table unshading" xfId="140" xr:uid="{14EAD4B0-B191-4DD4-8B98-91A6BE14E2FA}"/>
    <cellStyle name="TableBorder" xfId="141" xr:uid="{F2CAAF32-1CE1-4E7C-8A86-A094A05A186E}"/>
    <cellStyle name="TableFootnotes" xfId="579" xr:uid="{32A26926-F795-4CD9-BB72-8166567A31CF}"/>
    <cellStyle name="TableTitleFormat" xfId="580" xr:uid="{E2A25787-BA74-45A4-A9E7-6CC0BB80A249}"/>
    <cellStyle name="Test [green]" xfId="581" xr:uid="{69A74F08-85FF-420B-B849-10F5DEB7142D}"/>
    <cellStyle name="test a style" xfId="142" xr:uid="{BB37CDD0-0589-4FC2-95CB-61969CC90DEB}"/>
    <cellStyle name="Text" xfId="143" xr:uid="{D6A40485-04C8-4E2E-8476-C7FDC7D1EBD7}"/>
    <cellStyle name="Text 1" xfId="582" xr:uid="{9FC671C1-92FD-46C2-9F31-4CCEEDEFB75A}"/>
    <cellStyle name="Text 2" xfId="583" xr:uid="{6EFBA35F-9330-4EFF-93B9-5E3724A7BA01}"/>
    <cellStyle name="Text Head 1" xfId="584" xr:uid="{1BD665DB-30D9-4D55-94FD-0583BB9CF50F}"/>
    <cellStyle name="Text Head 2" xfId="585" xr:uid="{D94D72A4-E304-4CED-B0D0-7C71087CB93C}"/>
    <cellStyle name="Text Indent 1" xfId="586" xr:uid="{77BCD7AE-CF44-44D6-AD26-9BB0AE8118F0}"/>
    <cellStyle name="Text Indent 2" xfId="587" xr:uid="{953AD67F-6860-4E79-91CC-46562B81E395}"/>
    <cellStyle name="TFCF" xfId="588" xr:uid="{79B44C78-7114-496B-B1E7-6FF6060525AB}"/>
    <cellStyle name="Time Strip" xfId="589" xr:uid="{4A23F62E-7B20-4A1C-A47D-DFA6BF5FCBF0}"/>
    <cellStyle name="times" xfId="590" xr:uid="{751003C8-C7EF-4F44-940F-F8112D80463E}"/>
    <cellStyle name="Times 10" xfId="282" xr:uid="{CAA297B7-0FB3-44E4-923D-819D938D66DB}"/>
    <cellStyle name="Times 12" xfId="283" xr:uid="{2072EFA3-AD1B-4EFD-9FB0-CBF17B81BCFD}"/>
    <cellStyle name="times_Deutsche" xfId="591" xr:uid="{30483577-8920-4E4D-A07E-7421FAFD3DA4}"/>
    <cellStyle name="Title 2" xfId="284" xr:uid="{FCB3FA23-8206-4CD4-86F7-FE95B28D5BA4}"/>
    <cellStyle name="Title 3" xfId="144" xr:uid="{A1D94675-1D3B-4EF2-B33E-34F0021E9EA2}"/>
    <cellStyle name="Title Heading" xfId="285" xr:uid="{2A9D7EC2-91AC-4323-BE6D-8DEDE49E2490}"/>
    <cellStyle name="Title II" xfId="592" xr:uid="{3113A55F-6275-4853-A563-2E7A4739999A}"/>
    <cellStyle name="title1" xfId="593" xr:uid="{795B3406-695A-43BC-B14B-8F7176A370FB}"/>
    <cellStyle name="Title2" xfId="594" xr:uid="{AD62FAAA-3B36-4E54-A91A-13E8436A0052}"/>
    <cellStyle name="TitleII" xfId="595" xr:uid="{3DF782CF-EEEC-4667-A42A-32D1B77796B6}"/>
    <cellStyle name="Titles" xfId="145" xr:uid="{5D37CFCD-1F65-416D-889A-24465AD7FDF4}"/>
    <cellStyle name="Titre" xfId="286" xr:uid="{2F608729-A352-49CE-B990-2A5D52103A32}"/>
    <cellStyle name="TOC 1" xfId="596" xr:uid="{C17D7582-DF3C-46BC-B489-F6097C6DD849}"/>
    <cellStyle name="TOC 2" xfId="597" xr:uid="{BDAC9F53-79BC-413E-9910-CF7C1562FAA9}"/>
    <cellStyle name="tom" xfId="598" xr:uid="{9450B17E-A6BB-4299-A06C-3852D90F7F60}"/>
    <cellStyle name="Topline" xfId="599" xr:uid="{0EDA1EDE-C4EA-4734-ADA9-093BFAA9FA80}"/>
    <cellStyle name="Total 2" xfId="146" xr:uid="{844D470A-C7A1-4E26-84AD-1ABE9C0806D2}"/>
    <cellStyle name="Total row" xfId="147" xr:uid="{A54801CD-6154-429F-B9D7-57D76DFEAF32}"/>
    <cellStyle name="Total row 2" xfId="287" xr:uid="{E052196B-B1B3-4DCC-9425-61E59786A882}"/>
    <cellStyle name="Total row_AXI" xfId="600" xr:uid="{E8304FCF-CBB3-4B47-BF61-257856561A39}"/>
    <cellStyle name="Tusenskille_Korrigeringer for å nettoføre VØT" xfId="601" xr:uid="{C8595E4E-6CCE-4454-B0C9-E1E5B7A79291}"/>
    <cellStyle name="Tusental (0)_1998-Q2" xfId="602" xr:uid="{8FF977D2-C10F-421E-85A8-06CBB2069C97}"/>
    <cellStyle name="Tusental_1998-Q4-NORGE" xfId="603" xr:uid="{BABBB953-8BAF-438E-AE5F-1F7D18CC8167}"/>
    <cellStyle name="ul" xfId="604" xr:uid="{6B18E8C0-3D15-4B77-B2CF-3AA5C805FBB6}"/>
    <cellStyle name="Unhighlight" xfId="148" xr:uid="{F27A33DF-AB83-4B65-B1C9-B3207651E4B4}"/>
    <cellStyle name="Unit" xfId="605" xr:uid="{B121432B-62B7-4A45-9A19-8B9133001BD1}"/>
    <cellStyle name="units" xfId="606" xr:uid="{3DD899E6-DE0F-47B3-90CC-3A3A1A48F48A}"/>
    <cellStyle name="Untotal row" xfId="149" xr:uid="{B1270832-AA76-4FA6-B8FB-F27B0E4F07EC}"/>
    <cellStyle name="Upload Only" xfId="177" xr:uid="{E0DA79AF-B8EE-43B5-A21C-B2B82CEE82D1}"/>
    <cellStyle name="Upload Only 2" xfId="288" xr:uid="{3727459D-EF93-4BE3-80AE-916B09B18DDE}"/>
    <cellStyle name="Validation" xfId="178" xr:uid="{9F9912DC-569A-4804-A4FF-E948292FBA9E}"/>
    <cellStyle name="Valuta (0)_1998-Q2" xfId="607" xr:uid="{01E04821-AB92-4E25-963B-49601B65259C}"/>
    <cellStyle name="web_ normal" xfId="608" xr:uid="{F3027E38-E718-442D-9103-D6E88042451E}"/>
    <cellStyle name="White" xfId="609" xr:uid="{CB181240-EC56-401B-A61A-839601844121}"/>
    <cellStyle name="WholeNumber" xfId="610" xr:uid="{EB76FDEB-9D23-477A-9E1B-1D94DD8A7DAD}"/>
    <cellStyle name="WP Header" xfId="289" xr:uid="{59E8DF3C-7E84-4A4D-9CEB-5644A395D9CE}"/>
    <cellStyle name="Year" xfId="150" xr:uid="{05CAE162-D529-4F4C-B0D5-62BEA24C4456}"/>
    <cellStyle name="Year 2" xfId="179" xr:uid="{0CE4F971-4EBE-4088-9EE2-5085DA1AB5F4}"/>
    <cellStyle name="Year_AXI" xfId="611" xr:uid="{894D4551-24C0-4EB2-B504-4AF6AB8D18E2}"/>
    <cellStyle name="Yen" xfId="290" xr:uid="{FBCC8729-DE2A-4EE8-87BD-BA9316EE4729}"/>
    <cellStyle name="고정소숫점" xfId="337" xr:uid="{3C661D2C-2672-4F55-BB4D-0D49A95E1621}"/>
    <cellStyle name="고정출력1" xfId="338" xr:uid="{06848DBB-FCC8-45AE-BCB7-DD8FF8725FF2}"/>
    <cellStyle name="고정출력2" xfId="339" xr:uid="{6E6A0304-D101-4CE9-BE42-94B910A114AD}"/>
    <cellStyle name="날짜" xfId="340" xr:uid="{ADDF3CBD-3BC2-460D-957C-3087C7231FED}"/>
    <cellStyle name="달러" xfId="341" xr:uid="{EF5B2BBC-B3A2-4AB3-929B-768408EDCF89}"/>
    <cellStyle name="똿뗦먛귟 [0.00]_PRODUCT DETAIL Q1_x0013_" xfId="612" xr:uid="{6E5D0CE7-E343-4F00-9428-548956174B39}"/>
    <cellStyle name="똿뗦먛귟_PRODUCT DETAIL Q1" xfId="342" xr:uid="{C2B79BD4-39DC-4975-AAC0-EA7C6F88D136}"/>
    <cellStyle name="믅됞 [0.00]_PRODUCT DETAIL Q1" xfId="343" xr:uid="{435390BE-9A20-4D32-9957-82029CDB9C3B}"/>
    <cellStyle name="믅됞_PRODUCT DETAIL Q1" xfId="344" xr:uid="{7B298F0A-A5D7-499C-8B3A-FF0807C75EB8}"/>
    <cellStyle name="백분율 2" xfId="301" xr:uid="{C09F1D26-3B37-4C7F-A87E-5FF26A3895BD}"/>
    <cellStyle name="백분율 3" xfId="302" xr:uid="{4F2D922E-06F8-44F5-A2FE-2F3516F20ED5}"/>
    <cellStyle name="뷭?_BOOKSHIP" xfId="345" xr:uid="{2CBF0189-4FB9-4E6D-94D5-E75E2E73289E}"/>
    <cellStyle name="쉼표 [0] 10" xfId="346" xr:uid="{F6BE6702-0D9B-42F5-ABDF-98212894DF65}"/>
    <cellStyle name="쉼표 [0] 2" xfId="303" xr:uid="{45FE25D1-FD0B-4656-B481-782D2E6C1D11}"/>
    <cellStyle name="쉼표 [0] 2 2" xfId="347" xr:uid="{A543B245-3826-426C-BD68-C6223D42916E}"/>
    <cellStyle name="쉼표 [0] 2 3" xfId="348" xr:uid="{92457DFA-57D2-4D7B-A629-536412FEFCB8}"/>
    <cellStyle name="쉼표 [0] 2 4" xfId="349" xr:uid="{1CBE7A11-BED4-4531-B200-2076A2B86307}"/>
    <cellStyle name="쉼표 [0] 2 5" xfId="350" xr:uid="{DFF288A5-67CB-4489-AFD9-F7290FA63AD9}"/>
    <cellStyle name="쉼표 [0] 2 6" xfId="351" xr:uid="{044CD9AC-44C9-4E27-BDA6-0C1A09A58FBE}"/>
    <cellStyle name="쉼표 [0] 2 7" xfId="352" xr:uid="{1B519D9B-BF25-4E98-8E40-AD20A31546C0}"/>
    <cellStyle name="쉼표 [0] 2 8" xfId="353" xr:uid="{AB2C2BA4-0A42-4E60-AAFE-16093424D6A3}"/>
    <cellStyle name="쉼표 [0] 2 9" xfId="354" xr:uid="{DE4DAB53-80D7-4587-ADA0-45BB657961D3}"/>
    <cellStyle name="쉼표 [0] 3" xfId="355" xr:uid="{A91F7108-0CA5-4861-BDD0-0A1111DB4367}"/>
    <cellStyle name="쉼표 [0] 36" xfId="356" xr:uid="{6B5C453C-0031-4418-8A42-1A5E294E0DA7}"/>
    <cellStyle name="쉼표 [0] 4" xfId="357" xr:uid="{6ADFE02B-1895-469D-AF07-FD80AEAD5DC8}"/>
    <cellStyle name="쉼표 [0] 5" xfId="358" xr:uid="{74BC0C39-4735-494E-AFB7-D6410BD7BDB5}"/>
    <cellStyle name="요약" xfId="359" xr:uid="{88074560-2E98-4034-A770-C68B700FFFF3}"/>
    <cellStyle name="원" xfId="304" xr:uid="{8A9C91FA-C79E-4916-9DD4-A2559A2872F7}"/>
    <cellStyle name="자리수" xfId="360" xr:uid="{F1B9C014-1F38-4D3E-8BEF-3AB0D3E5BEB1}"/>
    <cellStyle name="자리수0" xfId="361" xr:uid="{3F679A33-7E62-4D7F-AD9D-B14CBD7AC9B6}"/>
    <cellStyle name="콤마 [0]_ 94경비율" xfId="362" xr:uid="{1AE12A93-4B3B-41B0-A200-46129B87EE30}"/>
    <cellStyle name="콤마_ 94경비율" xfId="363" xr:uid="{FEFA8A0C-9ECB-43A6-8BB9-89F37522A47E}"/>
    <cellStyle name="통화 [0]_97년도 프로젝트 현황 (2)OMMENT" xfId="613" xr:uid="{A9BEDF89-52C6-40AB-893E-AED2D638B310}"/>
    <cellStyle name="통화_97년도 프로젝트 현황 (2) (2)OMMENT" xfId="614" xr:uid="{0BAF6AD4-03DE-4014-BD4E-FDEAA4D4B5FA}"/>
    <cellStyle name="트윈리버(주)" xfId="305" xr:uid="{8EAFF207-8B46-4596-BB9A-7C0631803073}"/>
    <cellStyle name="퍼센트" xfId="364" xr:uid="{E577470A-76B0-43D2-A831-15CBB0209648}"/>
    <cellStyle name="표준 2" xfId="306" xr:uid="{2A779AE0-48F0-468F-8CA6-B0B69734A262}"/>
    <cellStyle name="표준 2 2" xfId="366" xr:uid="{7D5E14C9-6AC6-4DB2-B2F9-3CC1A7FA2F7B}"/>
    <cellStyle name="표준 2 3" xfId="367" xr:uid="{BAA0B9CC-D089-4602-A235-65D78C80AF4C}"/>
    <cellStyle name="표준 2 4" xfId="368" xr:uid="{C46CA850-9E9F-488A-8EE2-804467A81F22}"/>
    <cellStyle name="표준 2 5" xfId="369" xr:uid="{46FF0AC8-5763-428A-8B28-078DF0260AC5}"/>
    <cellStyle name="표준 2 6" xfId="370" xr:uid="{C3D4E17F-DC3E-4CD6-94F0-5D9CF6A1A5CB}"/>
    <cellStyle name="표준 2 7" xfId="371" xr:uid="{0160A2A4-B84C-46E3-81A4-61EC8C42BA6F}"/>
    <cellStyle name="표준 2 8" xfId="372" xr:uid="{E16BE21A-350F-4883-90AA-8076BD2A70C3}"/>
    <cellStyle name="표준 2_Sheet1" xfId="365" xr:uid="{1C56AE73-9A71-4600-8233-51401AF38443}"/>
    <cellStyle name="표준 3" xfId="373" xr:uid="{412C02B6-F7EB-446D-B79E-A3A13A0C53F8}"/>
    <cellStyle name="표준 4" xfId="374" xr:uid="{3B415C04-D59D-41D0-9204-4C04F806D5F0}"/>
    <cellStyle name="표준 5" xfId="375" xr:uid="{E84E3F35-8809-4CDE-AA4C-1F6A89BD8CC9}"/>
    <cellStyle name="표준 6 2" xfId="376" xr:uid="{09419E4C-ADDA-4173-94A3-86F1EEB0E4DF}"/>
    <cellStyle name="표준 7 2" xfId="377" xr:uid="{901F252F-1182-4139-92FB-4609C8C5F3E4}"/>
    <cellStyle name="표준_2002 3Q results(release)_매출내역-2002(최종본)" xfId="310" xr:uid="{080BA3ED-A7A7-4F45-BBBB-3137FE837F9F}"/>
    <cellStyle name="합산" xfId="378" xr:uid="{E20A9541-3819-475C-B01F-7A6A9C61B235}"/>
    <cellStyle name="화폐기호" xfId="379" xr:uid="{1604796D-6B51-4199-B61E-A4B43902A96F}"/>
    <cellStyle name="화폐기호0" xfId="380" xr:uid="{98E82EEE-BC6D-410C-8992-05786AC8FDDD}"/>
    <cellStyle name="標準_各社別業績見込2" xfId="180" xr:uid="{8392B354-F418-45B8-91DE-884DE8B8DB1B}"/>
  </cellStyles>
  <dxfs count="0"/>
  <tableStyles count="0" defaultTableStyle="TableStyleMedium2" defaultPivotStyle="PivotStyleLight16"/>
  <colors>
    <mruColors>
      <color rgb="FF263238"/>
      <color rgb="FFF9663E"/>
      <color rgb="FF0000FF"/>
      <color rgb="FFFFFFCC"/>
      <color rgb="FF1F4E78"/>
      <color rgb="FF333399"/>
      <color rgb="FFE7E7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029214650260236E-2"/>
          <c:y val="3.3720930232558143E-2"/>
          <c:w val="0.9244037816565438"/>
          <c:h val="0.87093023255813951"/>
        </c:manualLayout>
      </c:layout>
      <c:barChart>
        <c:barDir val="col"/>
        <c:grouping val="clustered"/>
        <c:varyColors val="0"/>
        <c:ser>
          <c:idx val="0"/>
          <c:order val="0"/>
          <c:tx>
            <c:strRef>
              <c:f>[4]MASTER!$AF$161</c:f>
              <c:strCache>
                <c:ptCount val="1"/>
                <c:pt idx="0">
                  <c:v>Total Pay-TV Revs</c:v>
                </c:pt>
              </c:strCache>
            </c:strRef>
          </c:tx>
          <c:spPr>
            <a:solidFill>
              <a:srgbClr val="000080"/>
            </a:solidFill>
            <a:ln w="25400">
              <a:noFill/>
            </a:ln>
          </c:spPr>
          <c:invertIfNegative val="0"/>
          <c:cat>
            <c:numRef>
              <c:f>[4]MASTER!$AG$160:$AK$160</c:f>
              <c:numCache>
                <c:formatCode>General</c:formatCode>
                <c:ptCount val="5"/>
                <c:pt idx="0">
                  <c:v>0</c:v>
                </c:pt>
                <c:pt idx="1">
                  <c:v>0</c:v>
                </c:pt>
                <c:pt idx="2">
                  <c:v>0</c:v>
                </c:pt>
                <c:pt idx="3">
                  <c:v>0</c:v>
                </c:pt>
                <c:pt idx="4">
                  <c:v>0</c:v>
                </c:pt>
              </c:numCache>
            </c:numRef>
          </c:cat>
          <c:val>
            <c:numRef>
              <c:f>[4]MASTER!$AG$161:$AH$161</c:f>
              <c:numCache>
                <c:formatCode>General</c:formatCode>
                <c:ptCount val="2"/>
                <c:pt idx="0">
                  <c:v>262.39999999999998</c:v>
                </c:pt>
                <c:pt idx="1">
                  <c:v>313.2</c:v>
                </c:pt>
              </c:numCache>
            </c:numRef>
          </c:val>
          <c:extLst>
            <c:ext xmlns:c16="http://schemas.microsoft.com/office/drawing/2014/chart" uri="{C3380CC4-5D6E-409C-BE32-E72D297353CC}">
              <c16:uniqueId val="{00000000-D155-486D-AEE0-FB0DDBBF0EB4}"/>
            </c:ext>
          </c:extLst>
        </c:ser>
        <c:dLbls>
          <c:showLegendKey val="0"/>
          <c:showVal val="0"/>
          <c:showCatName val="0"/>
          <c:showSerName val="0"/>
          <c:showPercent val="0"/>
          <c:showBubbleSize val="0"/>
        </c:dLbls>
        <c:gapWidth val="150"/>
        <c:axId val="1047030440"/>
        <c:axId val="1047026520"/>
      </c:barChart>
      <c:catAx>
        <c:axId val="1047030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6520"/>
        <c:crosses val="autoZero"/>
        <c:auto val="1"/>
        <c:lblAlgn val="ctr"/>
        <c:lblOffset val="100"/>
        <c:tickLblSkip val="1"/>
        <c:tickMarkSkip val="1"/>
        <c:noMultiLvlLbl val="0"/>
      </c:catAx>
      <c:valAx>
        <c:axId val="1047026520"/>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30440"/>
        <c:crosses val="autoZero"/>
        <c:crossBetween val="between"/>
      </c:valAx>
      <c:spPr>
        <a:noFill/>
        <a:ln w="25400">
          <a:noFill/>
        </a:ln>
      </c:spPr>
    </c:plotArea>
    <c:legend>
      <c:legendPos val="b"/>
      <c:layout>
        <c:manualLayout>
          <c:xMode val="edge"/>
          <c:yMode val="edge"/>
          <c:x val="0.42175094160975235"/>
          <c:y val="0.95930232558139539"/>
          <c:w val="0.19363409149453137"/>
          <c:h val="3.3720930232558177E-2"/>
        </c:manualLayout>
      </c:layout>
      <c:overlay val="0"/>
      <c:spPr>
        <a:solidFill>
          <a:srgbClr val="FFFFFF"/>
        </a:solidFill>
        <a:ln w="25400">
          <a:noFill/>
        </a:ln>
      </c:spPr>
      <c:txPr>
        <a:bodyPr/>
        <a:lstStyle/>
        <a:p>
          <a:pPr>
            <a:defRPr sz="1010"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charts'!$H$68</c:f>
              <c:strCache>
                <c:ptCount val="1"/>
                <c:pt idx="0">
                  <c:v>Handest revenues</c:v>
                </c:pt>
              </c:strCache>
            </c:strRef>
          </c:tx>
          <c:spPr>
            <a:solidFill>
              <a:srgbClr val="000080"/>
            </a:solidFill>
            <a:ln w="25400">
              <a:noFill/>
            </a:ln>
            <a:effectLst/>
          </c:spPr>
          <c:invertIfNegative val="0"/>
          <c:cat>
            <c:strRef>
              <c:f>'Snap charts'!$I$66:$W$66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charts'!$I$68:$W$68</c:f>
              <c:numCache>
                <c:formatCode>0</c:formatCode>
                <c:ptCount val="15"/>
                <c:pt idx="0">
                  <c:v>118.33699999999999</c:v>
                </c:pt>
                <c:pt idx="1">
                  <c:v>130.37899999999991</c:v>
                </c:pt>
                <c:pt idx="2">
                  <c:v>100.80799999999999</c:v>
                </c:pt>
                <c:pt idx="3">
                  <c:v>105.20900000000006</c:v>
                </c:pt>
                <c:pt idx="4">
                  <c:v>117.3599999999999</c:v>
                </c:pt>
                <c:pt idx="5">
                  <c:v>79.775000000000091</c:v>
                </c:pt>
                <c:pt idx="6">
                  <c:v>84.799999999999955</c:v>
                </c:pt>
                <c:pt idx="7">
                  <c:v>88.400000000000091</c:v>
                </c:pt>
                <c:pt idx="8">
                  <c:v>134.5440000000001</c:v>
                </c:pt>
                <c:pt idx="9">
                  <c:v>113.70550000000003</c:v>
                </c:pt>
                <c:pt idx="10">
                  <c:v>107.1434999999999</c:v>
                </c:pt>
                <c:pt idx="11">
                  <c:v>111.70000000000005</c:v>
                </c:pt>
                <c:pt idx="12">
                  <c:v>129.70000000000005</c:v>
                </c:pt>
                <c:pt idx="13">
                  <c:v>128.91350000000011</c:v>
                </c:pt>
                <c:pt idx="14">
                  <c:v>159.875</c:v>
                </c:pt>
              </c:numCache>
            </c:numRef>
          </c:val>
          <c:extLst>
            <c:ext xmlns:c16="http://schemas.microsoft.com/office/drawing/2014/chart" uri="{C3380CC4-5D6E-409C-BE32-E72D297353CC}">
              <c16:uniqueId val="{00000000-2646-4F71-B157-D59B2DD1912A}"/>
            </c:ext>
          </c:extLst>
        </c:ser>
        <c:ser>
          <c:idx val="1"/>
          <c:order val="1"/>
          <c:tx>
            <c:strRef>
              <c:f>'Snap charts'!$H$69</c:f>
              <c:strCache>
                <c:ptCount val="1"/>
                <c:pt idx="0">
                  <c:v>Handset EBITDA</c:v>
                </c:pt>
              </c:strCache>
            </c:strRef>
          </c:tx>
          <c:spPr>
            <a:solidFill>
              <a:srgbClr val="9999FF"/>
            </a:solidFill>
            <a:ln w="25400">
              <a:noFill/>
            </a:ln>
            <a:effectLst/>
          </c:spPr>
          <c:invertIfNegative val="0"/>
          <c:cat>
            <c:strRef>
              <c:f>'Snap charts'!$I$66:$W$66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charts'!$I$69:$W$69</c:f>
              <c:numCache>
                <c:formatCode>_-* #,##0_-;\-* #,##0_-;_-*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2646-4F71-B157-D59B2DD1912A}"/>
            </c:ext>
          </c:extLst>
        </c:ser>
        <c:dLbls>
          <c:showLegendKey val="0"/>
          <c:showVal val="0"/>
          <c:showCatName val="0"/>
          <c:showSerName val="0"/>
          <c:showPercent val="0"/>
          <c:showBubbleSize val="0"/>
        </c:dLbls>
        <c:gapWidth val="219"/>
        <c:overlap val="-27"/>
        <c:axId val="1014682336"/>
        <c:axId val="718177880"/>
      </c:barChart>
      <c:catAx>
        <c:axId val="1014682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7880"/>
        <c:crosses val="autoZero"/>
        <c:auto val="1"/>
        <c:lblAlgn val="ctr"/>
        <c:lblOffset val="100"/>
        <c:noMultiLvlLbl val="0"/>
      </c:catAx>
      <c:valAx>
        <c:axId val="7181778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146823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'Snap charts'!$H$62</c:f>
              <c:strCache>
                <c:ptCount val="1"/>
                <c:pt idx="0">
                  <c:v>Margins</c:v>
                </c:pt>
              </c:strCache>
            </c:strRef>
          </c:tx>
          <c:spPr>
            <a:ln w="25400" cap="rnd">
              <a:solidFill>
                <a:srgbClr val="333399"/>
              </a:solidFill>
              <a:prstDash val="solid"/>
              <a:round/>
            </a:ln>
            <a:effectLst/>
          </c:spPr>
          <c:marker>
            <c:symbol val="none"/>
          </c:marker>
          <c:cat>
            <c:strRef>
              <c:f>'Snap charts'!$I$61:$Y$61</c:f>
              <c:strCache>
                <c:ptCount val="17"/>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Q4 16</c:v>
                </c:pt>
                <c:pt idx="16">
                  <c:v>Q1 17</c:v>
                </c:pt>
              </c:strCache>
            </c:strRef>
          </c:cat>
          <c:val>
            <c:numRef>
              <c:f>'Snap charts'!$I$62:$Y$62</c:f>
              <c:numCache>
                <c:formatCode>#,##0.0%;[Red]\-#,##0.0%;0.0%;@_)</c:formatCode>
                <c:ptCount val="17"/>
                <c:pt idx="0">
                  <c:v>0.48216587881392353</c:v>
                </c:pt>
                <c:pt idx="1">
                  <c:v>0.50762527233115473</c:v>
                </c:pt>
                <c:pt idx="2">
                  <c:v>0.51540866458240286</c:v>
                </c:pt>
                <c:pt idx="3">
                  <c:v>0.48606115107913667</c:v>
                </c:pt>
                <c:pt idx="4">
                  <c:v>0.33400000000000002</c:v>
                </c:pt>
                <c:pt idx="5">
                  <c:v>0.313</c:v>
                </c:pt>
                <c:pt idx="6">
                  <c:v>0.316</c:v>
                </c:pt>
                <c:pt idx="7">
                  <c:v>0.32800000000000001</c:v>
                </c:pt>
                <c:pt idx="8">
                  <c:v>0.33200000000000002</c:v>
                </c:pt>
                <c:pt idx="9">
                  <c:v>0.308</c:v>
                </c:pt>
                <c:pt idx="10">
                  <c:v>0.31809787626962144</c:v>
                </c:pt>
                <c:pt idx="11">
                  <c:v>0.31066176470588236</c:v>
                </c:pt>
                <c:pt idx="12">
                  <c:v>0.54252336448598126</c:v>
                </c:pt>
                <c:pt idx="13">
                  <c:v>0.48049476688867743</c:v>
                </c:pt>
                <c:pt idx="14">
                  <c:v>0.53061224489795922</c:v>
                </c:pt>
                <c:pt idx="15">
                  <c:v>0.53613369467028005</c:v>
                </c:pt>
                <c:pt idx="16">
                  <c:v>0.43115789473684213</c:v>
                </c:pt>
              </c:numCache>
            </c:numRef>
          </c:val>
          <c:smooth val="0"/>
          <c:extLst>
            <c:ext xmlns:c16="http://schemas.microsoft.com/office/drawing/2014/chart" uri="{C3380CC4-5D6E-409C-BE32-E72D297353CC}">
              <c16:uniqueId val="{00000000-E1C9-46B1-846D-559F1E185E11}"/>
            </c:ext>
          </c:extLst>
        </c:ser>
        <c:ser>
          <c:idx val="1"/>
          <c:order val="1"/>
          <c:tx>
            <c:strRef>
              <c:f>'Snap charts'!$H$63</c:f>
              <c:strCache>
                <c:ptCount val="1"/>
                <c:pt idx="0">
                  <c:v>Service rev margins</c:v>
                </c:pt>
              </c:strCache>
            </c:strRef>
          </c:tx>
          <c:spPr>
            <a:ln w="25400" cap="rnd">
              <a:solidFill>
                <a:srgbClr val="99CCFF"/>
              </a:solidFill>
              <a:prstDash val="solid"/>
              <a:round/>
            </a:ln>
            <a:effectLst/>
          </c:spPr>
          <c:marker>
            <c:symbol val="none"/>
          </c:marker>
          <c:cat>
            <c:strRef>
              <c:f>'Snap charts'!$I$61:$Y$61</c:f>
              <c:strCache>
                <c:ptCount val="17"/>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Q4 16</c:v>
                </c:pt>
                <c:pt idx="16">
                  <c:v>Q1 17</c:v>
                </c:pt>
              </c:strCache>
            </c:strRef>
          </c:cat>
          <c:val>
            <c:numRef>
              <c:f>'Snap charts'!$I$63:$Y$63</c:f>
              <c:numCache>
                <c:formatCode>#,##0.0%;[Red]\-#,##0.0%;0.0%;@_)</c:formatCode>
                <c:ptCount val="17"/>
                <c:pt idx="0">
                  <c:v>0.52291529471310261</c:v>
                </c:pt>
                <c:pt idx="1">
                  <c:v>0.5530183170109858</c:v>
                </c:pt>
                <c:pt idx="2">
                  <c:v>0.55475648401685995</c:v>
                </c:pt>
                <c:pt idx="3">
                  <c:v>0.52532059864194169</c:v>
                </c:pt>
                <c:pt idx="4">
                  <c:v>0.36432174772474574</c:v>
                </c:pt>
                <c:pt idx="5">
                  <c:v>0.33587135512633848</c:v>
                </c:pt>
                <c:pt idx="6">
                  <c:v>0.34053856591170023</c:v>
                </c:pt>
                <c:pt idx="7">
                  <c:v>0.35408522322790609</c:v>
                </c:pt>
                <c:pt idx="8">
                  <c:v>0.36598312554887114</c:v>
                </c:pt>
                <c:pt idx="9">
                  <c:v>0.3363255445792554</c:v>
                </c:pt>
                <c:pt idx="10">
                  <c:v>0.34521519958975005</c:v>
                </c:pt>
                <c:pt idx="11">
                  <c:v>0.33744321868916288</c:v>
                </c:pt>
                <c:pt idx="12">
                  <c:v>0.59743734883960276</c:v>
                </c:pt>
                <c:pt idx="13">
                  <c:v>0.52988151377180415</c:v>
                </c:pt>
                <c:pt idx="14">
                  <c:v>0.59517461143265915</c:v>
                </c:pt>
                <c:pt idx="15">
                  <c:v>0.58520183793803859</c:v>
                </c:pt>
                <c:pt idx="16">
                  <c:v>0.49089165867689355</c:v>
                </c:pt>
              </c:numCache>
            </c:numRef>
          </c:val>
          <c:smooth val="0"/>
          <c:extLst>
            <c:ext xmlns:c16="http://schemas.microsoft.com/office/drawing/2014/chart" uri="{C3380CC4-5D6E-409C-BE32-E72D297353CC}">
              <c16:uniqueId val="{00000001-E1C9-46B1-846D-559F1E185E11}"/>
            </c:ext>
          </c:extLst>
        </c:ser>
        <c:dLbls>
          <c:showLegendKey val="0"/>
          <c:showVal val="0"/>
          <c:showCatName val="0"/>
          <c:showSerName val="0"/>
          <c:showPercent val="0"/>
          <c:showBubbleSize val="0"/>
        </c:dLbls>
        <c:smooth val="0"/>
        <c:axId val="718176312"/>
        <c:axId val="718183368"/>
      </c:lineChart>
      <c:catAx>
        <c:axId val="7181763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3368"/>
        <c:crosses val="autoZero"/>
        <c:auto val="1"/>
        <c:lblAlgn val="ctr"/>
        <c:lblOffset val="100"/>
        <c:noMultiLvlLbl val="0"/>
      </c:catAx>
      <c:valAx>
        <c:axId val="718183368"/>
        <c:scaling>
          <c:orientation val="minMax"/>
          <c:min val="0.4"/>
        </c:scaling>
        <c:delete val="0"/>
        <c:axPos val="l"/>
        <c:majorGridlines>
          <c:spPr>
            <a:ln w="3175" cap="flat" cmpd="sng" algn="ctr">
              <a:solidFill>
                <a:srgbClr val="C0C0C0"/>
              </a:solidFill>
              <a:prstDash val="solid"/>
              <a:round/>
            </a:ln>
            <a:effectLst/>
          </c:spPr>
        </c:majorGridlines>
        <c:numFmt formatCode="#,##0.0%;[Red]\-#,##0.0%;0.0%;@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63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charts'!$H$103</c:f>
              <c:strCache>
                <c:ptCount val="1"/>
                <c:pt idx="0">
                  <c:v>Voice</c:v>
                </c:pt>
              </c:strCache>
            </c:strRef>
          </c:tx>
          <c:spPr>
            <a:solidFill>
              <a:srgbClr val="000080"/>
            </a:solidFill>
            <a:ln w="25400">
              <a:noFill/>
            </a:ln>
            <a:effectLst/>
          </c:spPr>
          <c:invertIfNegative val="0"/>
          <c:cat>
            <c:strRef>
              <c:f>'Snap charts'!$I$102:$W$102</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charts'!$I$103:$W$103</c:f>
              <c:numCache>
                <c:formatCode>#,##0.0_);[Red]\-#,##0.0_);0.0_);@_)</c:formatCode>
                <c:ptCount val="15"/>
                <c:pt idx="0">
                  <c:v>28.499515972894482</c:v>
                </c:pt>
                <c:pt idx="1">
                  <c:v>28.317983519146878</c:v>
                </c:pt>
                <c:pt idx="2">
                  <c:v>29.7220867869332</c:v>
                </c:pt>
                <c:pt idx="3">
                  <c:v>30.092391304347828</c:v>
                </c:pt>
                <c:pt idx="4">
                  <c:v>29.640552995391708</c:v>
                </c:pt>
                <c:pt idx="5">
                  <c:v>30.28132992327366</c:v>
                </c:pt>
                <c:pt idx="6">
                  <c:v>30.138746145940392</c:v>
                </c:pt>
                <c:pt idx="7">
                  <c:v>29.652917505030185</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13F9-499B-8D08-6F22340AB491}"/>
            </c:ext>
          </c:extLst>
        </c:ser>
        <c:ser>
          <c:idx val="1"/>
          <c:order val="1"/>
          <c:tx>
            <c:strRef>
              <c:f>'Snap charts'!$H$104</c:f>
              <c:strCache>
                <c:ptCount val="1"/>
                <c:pt idx="0">
                  <c:v>Data</c:v>
                </c:pt>
              </c:strCache>
            </c:strRef>
          </c:tx>
          <c:spPr>
            <a:solidFill>
              <a:srgbClr val="9999FF"/>
            </a:solidFill>
            <a:ln w="25400">
              <a:noFill/>
            </a:ln>
            <a:effectLst/>
          </c:spPr>
          <c:invertIfNegative val="0"/>
          <c:cat>
            <c:strRef>
              <c:f>'Snap charts'!$I$102:$W$102</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charts'!$I$104:$W$104</c:f>
              <c:numCache>
                <c:formatCode>#,##0.0_);[Red]\-#,##0.0_);0.0_);@_)</c:formatCode>
                <c:ptCount val="15"/>
                <c:pt idx="0">
                  <c:v>10.375605033881897</c:v>
                </c:pt>
                <c:pt idx="1">
                  <c:v>11.037324285021812</c:v>
                </c:pt>
                <c:pt idx="2">
                  <c:v>11.842028278888346</c:v>
                </c:pt>
                <c:pt idx="3">
                  <c:v>12.685770750988143</c:v>
                </c:pt>
                <c:pt idx="4">
                  <c:v>12.878648233486944</c:v>
                </c:pt>
                <c:pt idx="5">
                  <c:v>14.475703324808183</c:v>
                </c:pt>
                <c:pt idx="6">
                  <c:v>15.13360739979445</c:v>
                </c:pt>
                <c:pt idx="7">
                  <c:v>16.046277665995976</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13F9-499B-8D08-6F22340AB491}"/>
            </c:ext>
          </c:extLst>
        </c:ser>
        <c:ser>
          <c:idx val="2"/>
          <c:order val="2"/>
          <c:tx>
            <c:strRef>
              <c:f>'Snap charts'!$H$105</c:f>
              <c:strCache>
                <c:ptCount val="1"/>
                <c:pt idx="0">
                  <c:v>SMS</c:v>
                </c:pt>
              </c:strCache>
            </c:strRef>
          </c:tx>
          <c:spPr>
            <a:solidFill>
              <a:srgbClr val="3366FF"/>
            </a:solidFill>
            <a:ln w="25400">
              <a:noFill/>
            </a:ln>
            <a:effectLst/>
          </c:spPr>
          <c:invertIfNegative val="0"/>
          <c:cat>
            <c:strRef>
              <c:f>'Snap charts'!$I$102:$W$102</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charts'!$I$105:$W$105</c:f>
              <c:numCache>
                <c:formatCode>#,##0.0_);[Red]\-#,##0.0_);0.0_);@_)</c:formatCode>
                <c:ptCount val="15"/>
                <c:pt idx="0">
                  <c:v>7.1248789932236205</c:v>
                </c:pt>
                <c:pt idx="1">
                  <c:v>6.644692195831313</c:v>
                </c:pt>
                <c:pt idx="2">
                  <c:v>6.435884934178449</c:v>
                </c:pt>
                <c:pt idx="3">
                  <c:v>6.2218379446640313</c:v>
                </c:pt>
                <c:pt idx="4">
                  <c:v>5.4807987711213517</c:v>
                </c:pt>
                <c:pt idx="5">
                  <c:v>5.2429667519181589</c:v>
                </c:pt>
                <c:pt idx="6">
                  <c:v>4.7276464542651597</c:v>
                </c:pt>
                <c:pt idx="7">
                  <c:v>4.3008048289738428</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13F9-499B-8D08-6F22340AB491}"/>
            </c:ext>
          </c:extLst>
        </c:ser>
        <c:ser>
          <c:idx val="3"/>
          <c:order val="3"/>
          <c:tx>
            <c:strRef>
              <c:f>'Snap charts'!$H$106</c:f>
              <c:strCache>
                <c:ptCount val="1"/>
                <c:pt idx="0">
                  <c:v>VAS</c:v>
                </c:pt>
              </c:strCache>
            </c:strRef>
          </c:tx>
          <c:spPr>
            <a:solidFill>
              <a:srgbClr val="CCCCFF"/>
            </a:solidFill>
            <a:ln w="25400">
              <a:noFill/>
            </a:ln>
            <a:effectLst/>
          </c:spPr>
          <c:invertIfNegative val="0"/>
          <c:cat>
            <c:strRef>
              <c:f>'Snap charts'!$I$102:$W$102</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charts'!$I$106:$W$106</c:f>
              <c:numCache>
                <c:formatCode>#,##0.0_);[Red]\-#,##0.0_);0.0_);@_)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13F9-499B-8D08-6F22340AB491}"/>
            </c:ext>
          </c:extLst>
        </c:ser>
        <c:dLbls>
          <c:showLegendKey val="0"/>
          <c:showVal val="0"/>
          <c:showCatName val="0"/>
          <c:showSerName val="0"/>
          <c:showPercent val="0"/>
          <c:showBubbleSize val="0"/>
        </c:dLbls>
        <c:gapWidth val="150"/>
        <c:overlap val="100"/>
        <c:axId val="718178664"/>
        <c:axId val="718178272"/>
      </c:barChart>
      <c:catAx>
        <c:axId val="718178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8272"/>
        <c:crosses val="autoZero"/>
        <c:auto val="1"/>
        <c:lblAlgn val="ctr"/>
        <c:lblOffset val="100"/>
        <c:noMultiLvlLbl val="0"/>
      </c:catAx>
      <c:valAx>
        <c:axId val="718178272"/>
        <c:scaling>
          <c:orientation val="minMax"/>
          <c:max val="50"/>
        </c:scaling>
        <c:delete val="0"/>
        <c:axPos val="l"/>
        <c:majorGridlines>
          <c:spPr>
            <a:ln w="3175" cap="flat" cmpd="sng" algn="ctr">
              <a:solidFill>
                <a:srgbClr val="C0C0C0"/>
              </a:solidFill>
              <a:prstDash val="solid"/>
              <a:round/>
            </a:ln>
            <a:effectLst/>
          </c:spPr>
        </c:majorGridlines>
        <c:numFmt formatCode="#,##0.0_);[Red]\-#,##0.0_);0.0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86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charts'!$H$131</c:f>
              <c:strCache>
                <c:ptCount val="1"/>
                <c:pt idx="0">
                  <c:v>Subscribers</c:v>
                </c:pt>
              </c:strCache>
            </c:strRef>
          </c:tx>
          <c:spPr>
            <a:solidFill>
              <a:srgbClr val="000080"/>
            </a:solidFill>
            <a:ln w="25400">
              <a:noFill/>
            </a:ln>
            <a:effectLst/>
          </c:spPr>
          <c:invertIfNegative val="0"/>
          <c:cat>
            <c:strRef>
              <c:f>'Snap charts'!$I$130:$W$130</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charts'!$I$131:$W$131</c:f>
              <c:numCache>
                <c:formatCode>#,##0_);[Red]\-#,##0_);0_);@_)</c:formatCode>
                <c:ptCount val="15"/>
                <c:pt idx="0">
                  <c:v>14136</c:v>
                </c:pt>
                <c:pt idx="1">
                  <c:v>13873</c:v>
                </c:pt>
                <c:pt idx="2">
                  <c:v>13213</c:v>
                </c:pt>
                <c:pt idx="3">
                  <c:v>12893</c:v>
                </c:pt>
                <c:pt idx="4">
                  <c:v>12602</c:v>
                </c:pt>
                <c:pt idx="5">
                  <c:v>12401</c:v>
                </c:pt>
                <c:pt idx="6">
                  <c:v>12415</c:v>
                </c:pt>
                <c:pt idx="7">
                  <c:v>12913</c:v>
                </c:pt>
                <c:pt idx="8">
                  <c:v>13260</c:v>
                </c:pt>
                <c:pt idx="9">
                  <c:v>13269</c:v>
                </c:pt>
                <c:pt idx="10">
                  <c:v>13110</c:v>
                </c:pt>
                <c:pt idx="11">
                  <c:v>12694</c:v>
                </c:pt>
                <c:pt idx="12">
                  <c:v>12310</c:v>
                </c:pt>
                <c:pt idx="13">
                  <c:v>12249</c:v>
                </c:pt>
                <c:pt idx="14">
                  <c:v>12046</c:v>
                </c:pt>
              </c:numCache>
            </c:numRef>
          </c:val>
          <c:extLst>
            <c:ext xmlns:c16="http://schemas.microsoft.com/office/drawing/2014/chart" uri="{C3380CC4-5D6E-409C-BE32-E72D297353CC}">
              <c16:uniqueId val="{00000000-B21B-4F5E-A7A5-F068EB84774A}"/>
            </c:ext>
          </c:extLst>
        </c:ser>
        <c:dLbls>
          <c:showLegendKey val="0"/>
          <c:showVal val="0"/>
          <c:showCatName val="0"/>
          <c:showSerName val="0"/>
          <c:showPercent val="0"/>
          <c:showBubbleSize val="0"/>
        </c:dLbls>
        <c:gapWidth val="219"/>
        <c:overlap val="-27"/>
        <c:axId val="718179840"/>
        <c:axId val="718180232"/>
      </c:barChart>
      <c:catAx>
        <c:axId val="71817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0232"/>
        <c:crosses val="autoZero"/>
        <c:auto val="1"/>
        <c:lblAlgn val="ctr"/>
        <c:lblOffset val="100"/>
        <c:noMultiLvlLbl val="0"/>
      </c:catAx>
      <c:valAx>
        <c:axId val="718180232"/>
        <c:scaling>
          <c:orientation val="minMax"/>
        </c:scaling>
        <c:delete val="0"/>
        <c:axPos val="l"/>
        <c:majorGridlines>
          <c:spPr>
            <a:ln w="3175" cap="flat" cmpd="sng" algn="ctr">
              <a:solidFill>
                <a:srgbClr val="C0C0C0"/>
              </a:solidFill>
              <a:prstDash val="solid"/>
              <a:round/>
            </a:ln>
            <a:effectLst/>
          </c:spPr>
        </c:majorGridlines>
        <c:numFmt formatCode="#,##0_);[Red]\-#,##0_);0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9840"/>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charts'!$H$156</c:f>
              <c:strCache>
                <c:ptCount val="1"/>
                <c:pt idx="0">
                  <c:v>2G</c:v>
                </c:pt>
              </c:strCache>
            </c:strRef>
          </c:tx>
          <c:spPr>
            <a:solidFill>
              <a:srgbClr val="000080"/>
            </a:solidFill>
            <a:ln w="25400">
              <a:noFill/>
            </a:ln>
            <a:effectLst/>
          </c:spPr>
          <c:invertIfNegative val="0"/>
          <c:cat>
            <c:strRef>
              <c:f>'Snap charts'!$I$155:$Q$155</c:f>
              <c:strCache>
                <c:ptCount val="9"/>
                <c:pt idx="0">
                  <c:v>Q3 14</c:v>
                </c:pt>
                <c:pt idx="1">
                  <c:v>Q4 14</c:v>
                </c:pt>
                <c:pt idx="2">
                  <c:v>Q1 15</c:v>
                </c:pt>
                <c:pt idx="3">
                  <c:v>Q2 15</c:v>
                </c:pt>
                <c:pt idx="4">
                  <c:v>Q3 15</c:v>
                </c:pt>
                <c:pt idx="5">
                  <c:v>Q4 15</c:v>
                </c:pt>
                <c:pt idx="6">
                  <c:v>Q1 16</c:v>
                </c:pt>
                <c:pt idx="7">
                  <c:v>Q2 16</c:v>
                </c:pt>
                <c:pt idx="8">
                  <c:v>Q3 16</c:v>
                </c:pt>
              </c:strCache>
            </c:strRef>
          </c:cat>
          <c:val>
            <c:numRef>
              <c:f>'Snap charts'!$I$156:$Q$156</c:f>
              <c:numCache>
                <c:formatCode>General</c:formatCode>
                <c:ptCount val="9"/>
                <c:pt idx="0">
                  <c:v>2</c:v>
                </c:pt>
                <c:pt idx="1">
                  <c:v>3</c:v>
                </c:pt>
                <c:pt idx="2">
                  <c:v>4</c:v>
                </c:pt>
                <c:pt idx="3">
                  <c:v>4</c:v>
                </c:pt>
                <c:pt idx="4">
                  <c:v>4</c:v>
                </c:pt>
                <c:pt idx="5">
                  <c:v>4</c:v>
                </c:pt>
                <c:pt idx="6">
                  <c:v>4</c:v>
                </c:pt>
                <c:pt idx="7">
                  <c:v>4</c:v>
                </c:pt>
                <c:pt idx="8">
                  <c:v>4</c:v>
                </c:pt>
              </c:numCache>
            </c:numRef>
          </c:val>
          <c:extLst>
            <c:ext xmlns:c16="http://schemas.microsoft.com/office/drawing/2014/chart" uri="{C3380CC4-5D6E-409C-BE32-E72D297353CC}">
              <c16:uniqueId val="{00000000-157B-4962-AD2B-3AF65151F08A}"/>
            </c:ext>
          </c:extLst>
        </c:ser>
        <c:ser>
          <c:idx val="1"/>
          <c:order val="1"/>
          <c:tx>
            <c:strRef>
              <c:f>'Snap charts'!$H$157</c:f>
              <c:strCache>
                <c:ptCount val="1"/>
                <c:pt idx="0">
                  <c:v>3G</c:v>
                </c:pt>
              </c:strCache>
            </c:strRef>
          </c:tx>
          <c:spPr>
            <a:solidFill>
              <a:srgbClr val="9999FF"/>
            </a:solidFill>
            <a:ln w="25400">
              <a:noFill/>
            </a:ln>
            <a:effectLst/>
          </c:spPr>
          <c:invertIfNegative val="0"/>
          <c:cat>
            <c:strRef>
              <c:f>'Snap charts'!$I$155:$Q$155</c:f>
              <c:strCache>
                <c:ptCount val="9"/>
                <c:pt idx="0">
                  <c:v>Q3 14</c:v>
                </c:pt>
                <c:pt idx="1">
                  <c:v>Q4 14</c:v>
                </c:pt>
                <c:pt idx="2">
                  <c:v>Q1 15</c:v>
                </c:pt>
                <c:pt idx="3">
                  <c:v>Q2 15</c:v>
                </c:pt>
                <c:pt idx="4">
                  <c:v>Q3 15</c:v>
                </c:pt>
                <c:pt idx="5">
                  <c:v>Q4 15</c:v>
                </c:pt>
                <c:pt idx="6">
                  <c:v>Q1 16</c:v>
                </c:pt>
                <c:pt idx="7">
                  <c:v>Q2 16</c:v>
                </c:pt>
                <c:pt idx="8">
                  <c:v>Q3 16</c:v>
                </c:pt>
              </c:strCache>
            </c:strRef>
          </c:cat>
          <c:val>
            <c:numRef>
              <c:f>'Snap charts'!$I$157:$Q$157</c:f>
              <c:numCache>
                <c:formatCode>General</c:formatCode>
                <c:ptCount val="9"/>
                <c:pt idx="0">
                  <c:v>22</c:v>
                </c:pt>
                <c:pt idx="1">
                  <c:v>25</c:v>
                </c:pt>
                <c:pt idx="2">
                  <c:v>27</c:v>
                </c:pt>
                <c:pt idx="3">
                  <c:v>33</c:v>
                </c:pt>
                <c:pt idx="4">
                  <c:v>34</c:v>
                </c:pt>
                <c:pt idx="5">
                  <c:v>35</c:v>
                </c:pt>
                <c:pt idx="6">
                  <c:v>36</c:v>
                </c:pt>
                <c:pt idx="7">
                  <c:v>39</c:v>
                </c:pt>
                <c:pt idx="8">
                  <c:v>45</c:v>
                </c:pt>
              </c:numCache>
            </c:numRef>
          </c:val>
          <c:extLst>
            <c:ext xmlns:c16="http://schemas.microsoft.com/office/drawing/2014/chart" uri="{C3380CC4-5D6E-409C-BE32-E72D297353CC}">
              <c16:uniqueId val="{00000001-157B-4962-AD2B-3AF65151F08A}"/>
            </c:ext>
          </c:extLst>
        </c:ser>
        <c:ser>
          <c:idx val="2"/>
          <c:order val="2"/>
          <c:tx>
            <c:strRef>
              <c:f>'Snap charts'!$H$158</c:f>
              <c:strCache>
                <c:ptCount val="1"/>
                <c:pt idx="0">
                  <c:v>4G</c:v>
                </c:pt>
              </c:strCache>
            </c:strRef>
          </c:tx>
          <c:spPr>
            <a:solidFill>
              <a:srgbClr val="3366FF"/>
            </a:solidFill>
            <a:ln w="25400">
              <a:noFill/>
            </a:ln>
            <a:effectLst/>
          </c:spPr>
          <c:invertIfNegative val="0"/>
          <c:cat>
            <c:strRef>
              <c:f>'Snap charts'!$I$155:$Q$155</c:f>
              <c:strCache>
                <c:ptCount val="9"/>
                <c:pt idx="0">
                  <c:v>Q3 14</c:v>
                </c:pt>
                <c:pt idx="1">
                  <c:v>Q4 14</c:v>
                </c:pt>
                <c:pt idx="2">
                  <c:v>Q1 15</c:v>
                </c:pt>
                <c:pt idx="3">
                  <c:v>Q2 15</c:v>
                </c:pt>
                <c:pt idx="4">
                  <c:v>Q3 15</c:v>
                </c:pt>
                <c:pt idx="5">
                  <c:v>Q4 15</c:v>
                </c:pt>
                <c:pt idx="6">
                  <c:v>Q1 16</c:v>
                </c:pt>
                <c:pt idx="7">
                  <c:v>Q2 16</c:v>
                </c:pt>
                <c:pt idx="8">
                  <c:v>Q3 16</c:v>
                </c:pt>
              </c:strCache>
            </c:strRef>
          </c:cat>
          <c:val>
            <c:numRef>
              <c:f>'Snap charts'!$I$158:$Q$158</c:f>
              <c:numCache>
                <c:formatCode>General</c:formatCode>
                <c:ptCount val="9"/>
                <c:pt idx="0">
                  <c:v>3</c:v>
                </c:pt>
                <c:pt idx="1">
                  <c:v>4</c:v>
                </c:pt>
                <c:pt idx="2">
                  <c:v>5</c:v>
                </c:pt>
                <c:pt idx="3">
                  <c:v>5</c:v>
                </c:pt>
                <c:pt idx="4">
                  <c:v>7</c:v>
                </c:pt>
                <c:pt idx="5">
                  <c:v>11</c:v>
                </c:pt>
                <c:pt idx="6">
                  <c:v>12</c:v>
                </c:pt>
                <c:pt idx="7">
                  <c:v>21</c:v>
                </c:pt>
                <c:pt idx="8">
                  <c:v>34</c:v>
                </c:pt>
              </c:numCache>
            </c:numRef>
          </c:val>
          <c:extLst>
            <c:ext xmlns:c16="http://schemas.microsoft.com/office/drawing/2014/chart" uri="{C3380CC4-5D6E-409C-BE32-E72D297353CC}">
              <c16:uniqueId val="{00000002-157B-4962-AD2B-3AF65151F08A}"/>
            </c:ext>
          </c:extLst>
        </c:ser>
        <c:dLbls>
          <c:showLegendKey val="0"/>
          <c:showVal val="0"/>
          <c:showCatName val="0"/>
          <c:showSerName val="0"/>
          <c:showPercent val="0"/>
          <c:showBubbleSize val="0"/>
        </c:dLbls>
        <c:gapWidth val="219"/>
        <c:overlap val="100"/>
        <c:axId val="718183760"/>
        <c:axId val="718182976"/>
      </c:barChart>
      <c:catAx>
        <c:axId val="71818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2976"/>
        <c:crosses val="autoZero"/>
        <c:auto val="1"/>
        <c:lblAlgn val="ctr"/>
        <c:lblOffset val="100"/>
        <c:noMultiLvlLbl val="0"/>
      </c:catAx>
      <c:valAx>
        <c:axId val="718182976"/>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37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'Snap charts'!$H$189</c:f>
              <c:strCache>
                <c:ptCount val="1"/>
                <c:pt idx="0">
                  <c:v>Direct costs</c:v>
                </c:pt>
              </c:strCache>
            </c:strRef>
          </c:tx>
          <c:spPr>
            <a:solidFill>
              <a:srgbClr val="000080"/>
            </a:solidFill>
            <a:ln w="25400">
              <a:noFill/>
            </a:ln>
            <a:effectLst/>
          </c:spPr>
          <c:cat>
            <c:strRef>
              <c:f>'Snap charts'!$I$188:$U$188</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charts'!$I$189:$U$189</c:f>
              <c:numCache>
                <c:formatCode>0.0%</c:formatCode>
                <c:ptCount val="13"/>
                <c:pt idx="0">
                  <c:v>0.34744526264113895</c:v>
                </c:pt>
                <c:pt idx="1">
                  <c:v>0.31850733137829912</c:v>
                </c:pt>
                <c:pt idx="2">
                  <c:v>0.31971582557569816</c:v>
                </c:pt>
                <c:pt idx="3">
                  <c:v>0.33317894736842107</c:v>
                </c:pt>
                <c:pt idx="4">
                  <c:v>0.33622431668237518</c:v>
                </c:pt>
                <c:pt idx="5">
                  <c:v>0.31109621828626138</c:v>
                </c:pt>
                <c:pt idx="6">
                  <c:v>0.31987000928505105</c:v>
                </c:pt>
                <c:pt idx="7">
                  <c:v>0.31368909512761023</c:v>
                </c:pt>
                <c:pt idx="8">
                  <c:v>8.5768143261074459E-2</c:v>
                </c:pt>
                <c:pt idx="9">
                  <c:v>0.10170316301703163</c:v>
                </c:pt>
                <c:pt idx="10">
                  <c:v>9.2285849503076195E-2</c:v>
                </c:pt>
                <c:pt idx="11">
                  <c:v>9.5150115473441113E-2</c:v>
                </c:pt>
                <c:pt idx="12">
                  <c:v>8.8145896656534953E-2</c:v>
                </c:pt>
              </c:numCache>
            </c:numRef>
          </c:val>
          <c:extLst>
            <c:ext xmlns:c16="http://schemas.microsoft.com/office/drawing/2014/chart" uri="{C3380CC4-5D6E-409C-BE32-E72D297353CC}">
              <c16:uniqueId val="{00000000-2B34-4229-9F37-7D63BC1C0893}"/>
            </c:ext>
          </c:extLst>
        </c:ser>
        <c:ser>
          <c:idx val="1"/>
          <c:order val="1"/>
          <c:tx>
            <c:strRef>
              <c:f>'Snap charts'!$H$190</c:f>
              <c:strCache>
                <c:ptCount val="1"/>
                <c:pt idx="0">
                  <c:v>Marketing</c:v>
                </c:pt>
              </c:strCache>
            </c:strRef>
          </c:tx>
          <c:spPr>
            <a:solidFill>
              <a:srgbClr val="9999FF"/>
            </a:solidFill>
            <a:ln w="25400">
              <a:noFill/>
            </a:ln>
            <a:effectLst/>
          </c:spPr>
          <c:cat>
            <c:strRef>
              <c:f>'Snap charts'!$I$188:$U$188</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charts'!$I$190:$U$190</c:f>
              <c:numCache>
                <c:formatCode>0.0%</c:formatCode>
                <c:ptCount val="13"/>
                <c:pt idx="0">
                  <c:v>3.4855179185076093E-2</c:v>
                </c:pt>
                <c:pt idx="1">
                  <c:v>4.8875855327468229E-2</c:v>
                </c:pt>
                <c:pt idx="2">
                  <c:v>5.2425281724644779E-2</c:v>
                </c:pt>
                <c:pt idx="3">
                  <c:v>5.8373205741626792E-2</c:v>
                </c:pt>
                <c:pt idx="4">
                  <c:v>4.8539114043355328E-2</c:v>
                </c:pt>
                <c:pt idx="5">
                  <c:v>5.2656773575873624E-2</c:v>
                </c:pt>
                <c:pt idx="6">
                  <c:v>4.36397400185701E-2</c:v>
                </c:pt>
                <c:pt idx="7">
                  <c:v>4.5475638051044084E-2</c:v>
                </c:pt>
                <c:pt idx="8">
                  <c:v>1.6965127238454288E-2</c:v>
                </c:pt>
                <c:pt idx="9">
                  <c:v>3.0656934306569343E-2</c:v>
                </c:pt>
                <c:pt idx="10">
                  <c:v>2.5082820634169428E-2</c:v>
                </c:pt>
                <c:pt idx="11">
                  <c:v>2.0785219399538105E-2</c:v>
                </c:pt>
                <c:pt idx="12">
                  <c:v>1.6934433347807209E-2</c:v>
                </c:pt>
              </c:numCache>
            </c:numRef>
          </c:val>
          <c:extLst>
            <c:ext xmlns:c16="http://schemas.microsoft.com/office/drawing/2014/chart" uri="{C3380CC4-5D6E-409C-BE32-E72D297353CC}">
              <c16:uniqueId val="{00000001-2B34-4229-9F37-7D63BC1C0893}"/>
            </c:ext>
          </c:extLst>
        </c:ser>
        <c:ser>
          <c:idx val="2"/>
          <c:order val="2"/>
          <c:tx>
            <c:strRef>
              <c:f>'Snap charts'!$H$191</c:f>
              <c:strCache>
                <c:ptCount val="1"/>
                <c:pt idx="0">
                  <c:v>Staff costs</c:v>
                </c:pt>
              </c:strCache>
            </c:strRef>
          </c:tx>
          <c:spPr>
            <a:solidFill>
              <a:srgbClr val="3366FF"/>
            </a:solidFill>
            <a:ln w="25400">
              <a:noFill/>
            </a:ln>
            <a:effectLst/>
          </c:spPr>
          <c:cat>
            <c:strRef>
              <c:f>'Snap charts'!$I$188:$U$188</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charts'!$I$191:$U$191</c:f>
              <c:numCache>
                <c:formatCode>0.0%</c:formatCode>
                <c:ptCount val="13"/>
                <c:pt idx="0">
                  <c:v>5.7437407952871868E-2</c:v>
                </c:pt>
                <c:pt idx="1">
                  <c:v>5.6207233626588464E-2</c:v>
                </c:pt>
                <c:pt idx="2">
                  <c:v>3.2337089661930427E-2</c:v>
                </c:pt>
                <c:pt idx="3">
                  <c:v>5.5502392344497609E-2</c:v>
                </c:pt>
                <c:pt idx="4">
                  <c:v>5.8435438265786996E-2</c:v>
                </c:pt>
                <c:pt idx="5">
                  <c:v>5.5050263283867883E-2</c:v>
                </c:pt>
                <c:pt idx="6">
                  <c:v>5.7567316620241414E-2</c:v>
                </c:pt>
                <c:pt idx="7">
                  <c:v>5.4292343387471E-2</c:v>
                </c:pt>
                <c:pt idx="8">
                  <c:v>5.8435438265786996E-2</c:v>
                </c:pt>
                <c:pt idx="9">
                  <c:v>6.569343065693431E-2</c:v>
                </c:pt>
                <c:pt idx="10">
                  <c:v>6.4363464268812121E-2</c:v>
                </c:pt>
                <c:pt idx="11">
                  <c:v>6.0969976905311779E-2</c:v>
                </c:pt>
                <c:pt idx="12">
                  <c:v>6.2092922275293096E-2</c:v>
                </c:pt>
              </c:numCache>
            </c:numRef>
          </c:val>
          <c:extLst>
            <c:ext xmlns:c16="http://schemas.microsoft.com/office/drawing/2014/chart" uri="{C3380CC4-5D6E-409C-BE32-E72D297353CC}">
              <c16:uniqueId val="{00000002-2B34-4229-9F37-7D63BC1C0893}"/>
            </c:ext>
          </c:extLst>
        </c:ser>
        <c:ser>
          <c:idx val="3"/>
          <c:order val="3"/>
          <c:tx>
            <c:strRef>
              <c:f>'Snap charts'!$H$192</c:f>
              <c:strCache>
                <c:ptCount val="1"/>
                <c:pt idx="0">
                  <c:v>General and admin</c:v>
                </c:pt>
              </c:strCache>
            </c:strRef>
          </c:tx>
          <c:spPr>
            <a:solidFill>
              <a:srgbClr val="CCCCFF"/>
            </a:solidFill>
            <a:ln w="25400">
              <a:noFill/>
            </a:ln>
            <a:effectLst/>
          </c:spPr>
          <c:cat>
            <c:strRef>
              <c:f>'Snap charts'!$I$188:$U$188</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charts'!$I$192:$U$192</c:f>
              <c:numCache>
                <c:formatCode>0.0%</c:formatCode>
                <c:ptCount val="13"/>
                <c:pt idx="0">
                  <c:v>6.823760432007854E-2</c:v>
                </c:pt>
                <c:pt idx="1">
                  <c:v>5.865102639296188E-2</c:v>
                </c:pt>
                <c:pt idx="2">
                  <c:v>7.1533561979421859E-2</c:v>
                </c:pt>
                <c:pt idx="3">
                  <c:v>6.5550239234449761E-2</c:v>
                </c:pt>
                <c:pt idx="4">
                  <c:v>5.7492931196983975E-2</c:v>
                </c:pt>
                <c:pt idx="5">
                  <c:v>5.5050263283867883E-2</c:v>
                </c:pt>
                <c:pt idx="6">
                  <c:v>6.545961002785515E-2</c:v>
                </c:pt>
                <c:pt idx="7">
                  <c:v>7.2389791183294666E-2</c:v>
                </c:pt>
                <c:pt idx="8">
                  <c:v>3.9114043355325166E-2</c:v>
                </c:pt>
                <c:pt idx="9">
                  <c:v>5.4987834549878344E-2</c:v>
                </c:pt>
                <c:pt idx="10">
                  <c:v>4.0700425934690011E-2</c:v>
                </c:pt>
                <c:pt idx="11">
                  <c:v>4.8036951501154737E-2</c:v>
                </c:pt>
                <c:pt idx="12">
                  <c:v>4.211897524967434E-2</c:v>
                </c:pt>
              </c:numCache>
            </c:numRef>
          </c:val>
          <c:extLst>
            <c:ext xmlns:c16="http://schemas.microsoft.com/office/drawing/2014/chart" uri="{C3380CC4-5D6E-409C-BE32-E72D297353CC}">
              <c16:uniqueId val="{00000003-2B34-4229-9F37-7D63BC1C0893}"/>
            </c:ext>
          </c:extLst>
        </c:ser>
        <c:ser>
          <c:idx val="4"/>
          <c:order val="4"/>
          <c:tx>
            <c:strRef>
              <c:f>'Snap charts'!$H$193</c:f>
              <c:strCache>
                <c:ptCount val="1"/>
                <c:pt idx="0">
                  <c:v>Bad debt</c:v>
                </c:pt>
              </c:strCache>
            </c:strRef>
          </c:tx>
          <c:spPr>
            <a:solidFill>
              <a:srgbClr val="969696"/>
            </a:solidFill>
            <a:ln w="25400">
              <a:noFill/>
            </a:ln>
            <a:effectLst/>
          </c:spPr>
          <c:cat>
            <c:strRef>
              <c:f>'Snap charts'!$I$188:$U$188</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charts'!$I$193:$U$193</c:f>
              <c:numCache>
                <c:formatCode>0.0%</c:formatCode>
                <c:ptCount val="13"/>
                <c:pt idx="0">
                  <c:v>5.5473735886107023E-3</c:v>
                </c:pt>
                <c:pt idx="1">
                  <c:v>4.5454545454545461E-3</c:v>
                </c:pt>
                <c:pt idx="2">
                  <c:v>7.104360607545321E-3</c:v>
                </c:pt>
                <c:pt idx="3">
                  <c:v>8.4688995215310998E-3</c:v>
                </c:pt>
                <c:pt idx="4">
                  <c:v>1.1781338360037699E-3</c:v>
                </c:pt>
                <c:pt idx="5">
                  <c:v>4.8348492101483965E-3</c:v>
                </c:pt>
                <c:pt idx="6">
                  <c:v>3.2497678737233053E-3</c:v>
                </c:pt>
                <c:pt idx="7">
                  <c:v>3.7122969837587007E-3</c:v>
                </c:pt>
                <c:pt idx="8">
                  <c:v>-9.42507068803016E-4</c:v>
                </c:pt>
                <c:pt idx="9">
                  <c:v>9.7323600973236014E-4</c:v>
                </c:pt>
                <c:pt idx="10">
                  <c:v>-1.656412683388547E-2</c:v>
                </c:pt>
                <c:pt idx="11">
                  <c:v>-1.1547344110854504E-2</c:v>
                </c:pt>
                <c:pt idx="12">
                  <c:v>-4.3421623968736434E-3</c:v>
                </c:pt>
              </c:numCache>
            </c:numRef>
          </c:val>
          <c:extLst>
            <c:ext xmlns:c16="http://schemas.microsoft.com/office/drawing/2014/chart" uri="{C3380CC4-5D6E-409C-BE32-E72D297353CC}">
              <c16:uniqueId val="{00000004-2B34-4229-9F37-7D63BC1C0893}"/>
            </c:ext>
          </c:extLst>
        </c:ser>
        <c:dLbls>
          <c:showLegendKey val="0"/>
          <c:showVal val="0"/>
          <c:showCatName val="0"/>
          <c:showSerName val="0"/>
          <c:showPercent val="0"/>
          <c:showBubbleSize val="0"/>
        </c:dLbls>
        <c:axId val="718181016"/>
        <c:axId val="718181800"/>
      </c:areaChart>
      <c:catAx>
        <c:axId val="718181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1800"/>
        <c:crosses val="autoZero"/>
        <c:auto val="1"/>
        <c:lblAlgn val="ctr"/>
        <c:lblOffset val="100"/>
        <c:noMultiLvlLbl val="0"/>
      </c:catAx>
      <c:valAx>
        <c:axId val="71818180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1016"/>
        <c:crosses val="autoZero"/>
        <c:crossBetween val="midCat"/>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zero"/>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charts'!$H$159</c:f>
              <c:strCache>
                <c:ptCount val="1"/>
                <c:pt idx="0">
                  <c:v>Data traffic</c:v>
                </c:pt>
              </c:strCache>
            </c:strRef>
          </c:tx>
          <c:spPr>
            <a:solidFill>
              <a:srgbClr val="000080"/>
            </a:solidFill>
            <a:ln w="25400">
              <a:noFill/>
            </a:ln>
            <a:effectLst/>
          </c:spPr>
          <c:invertIfNegative val="0"/>
          <c:cat>
            <c:strRef>
              <c:f>'Snap charts'!$I$155:$R$155</c:f>
              <c:strCache>
                <c:ptCount val="10"/>
                <c:pt idx="0">
                  <c:v>Q3 14</c:v>
                </c:pt>
                <c:pt idx="1">
                  <c:v>Q4 14</c:v>
                </c:pt>
                <c:pt idx="2">
                  <c:v>Q1 15</c:v>
                </c:pt>
                <c:pt idx="3">
                  <c:v>Q2 15</c:v>
                </c:pt>
                <c:pt idx="4">
                  <c:v>Q3 15</c:v>
                </c:pt>
                <c:pt idx="5">
                  <c:v>Q4 15</c:v>
                </c:pt>
                <c:pt idx="6">
                  <c:v>Q1 16</c:v>
                </c:pt>
                <c:pt idx="7">
                  <c:v>Q2 16</c:v>
                </c:pt>
                <c:pt idx="8">
                  <c:v>Q3 16</c:v>
                </c:pt>
                <c:pt idx="9">
                  <c:v>Q4 16</c:v>
                </c:pt>
              </c:strCache>
            </c:strRef>
          </c:cat>
          <c:val>
            <c:numRef>
              <c:f>'Snap charts'!$I$159:$R$159</c:f>
              <c:numCache>
                <c:formatCode>General</c:formatCode>
                <c:ptCount val="10"/>
                <c:pt idx="0">
                  <c:v>27</c:v>
                </c:pt>
                <c:pt idx="1">
                  <c:v>32</c:v>
                </c:pt>
                <c:pt idx="2">
                  <c:v>36</c:v>
                </c:pt>
                <c:pt idx="3">
                  <c:v>42</c:v>
                </c:pt>
                <c:pt idx="4">
                  <c:v>45</c:v>
                </c:pt>
                <c:pt idx="5">
                  <c:v>50</c:v>
                </c:pt>
                <c:pt idx="6">
                  <c:v>52</c:v>
                </c:pt>
                <c:pt idx="7">
                  <c:v>64</c:v>
                </c:pt>
                <c:pt idx="8">
                  <c:v>83</c:v>
                </c:pt>
                <c:pt idx="9">
                  <c:v>110</c:v>
                </c:pt>
              </c:numCache>
            </c:numRef>
          </c:val>
          <c:extLst>
            <c:ext xmlns:c16="http://schemas.microsoft.com/office/drawing/2014/chart" uri="{C3380CC4-5D6E-409C-BE32-E72D297353CC}">
              <c16:uniqueId val="{00000000-7308-49E8-BDF0-3552BE4C9110}"/>
            </c:ext>
          </c:extLst>
        </c:ser>
        <c:ser>
          <c:idx val="1"/>
          <c:order val="1"/>
          <c:tx>
            <c:strRef>
              <c:f>'Snap charts'!$H$160</c:f>
              <c:strCache>
                <c:ptCount val="1"/>
                <c:pt idx="0">
                  <c:v>ARPUs</c:v>
                </c:pt>
              </c:strCache>
            </c:strRef>
          </c:tx>
          <c:spPr>
            <a:solidFill>
              <a:srgbClr val="9999FF"/>
            </a:solidFill>
            <a:ln w="25400">
              <a:noFill/>
            </a:ln>
            <a:effectLst/>
          </c:spPr>
          <c:invertIfNegative val="0"/>
          <c:cat>
            <c:strRef>
              <c:f>'Snap charts'!$I$155:$R$155</c:f>
              <c:strCache>
                <c:ptCount val="10"/>
                <c:pt idx="0">
                  <c:v>Q3 14</c:v>
                </c:pt>
                <c:pt idx="1">
                  <c:v>Q4 14</c:v>
                </c:pt>
                <c:pt idx="2">
                  <c:v>Q1 15</c:v>
                </c:pt>
                <c:pt idx="3">
                  <c:v>Q2 15</c:v>
                </c:pt>
                <c:pt idx="4">
                  <c:v>Q3 15</c:v>
                </c:pt>
                <c:pt idx="5">
                  <c:v>Q4 15</c:v>
                </c:pt>
                <c:pt idx="6">
                  <c:v>Q1 16</c:v>
                </c:pt>
                <c:pt idx="7">
                  <c:v>Q2 16</c:v>
                </c:pt>
                <c:pt idx="8">
                  <c:v>Q3 16</c:v>
                </c:pt>
                <c:pt idx="9">
                  <c:v>Q4 16</c:v>
                </c:pt>
              </c:strCache>
            </c:strRef>
          </c:cat>
          <c:val>
            <c:numRef>
              <c:f>'Snap charts'!$I$160:$R$160</c:f>
              <c:numCache>
                <c:formatCode>General</c:formatCode>
                <c:ptCount val="10"/>
                <c:pt idx="0">
                  <c:v>50</c:v>
                </c:pt>
                <c:pt idx="1">
                  <c:v>50</c:v>
                </c:pt>
                <c:pt idx="2">
                  <c:v>48</c:v>
                </c:pt>
                <c:pt idx="3">
                  <c:v>47</c:v>
                </c:pt>
                <c:pt idx="4">
                  <c:v>49</c:v>
                </c:pt>
                <c:pt idx="5">
                  <c:v>50</c:v>
                </c:pt>
                <c:pt idx="6">
                  <c:v>50</c:v>
                </c:pt>
                <c:pt idx="7">
                  <c:v>49</c:v>
                </c:pt>
                <c:pt idx="8">
                  <c:v>50</c:v>
                </c:pt>
                <c:pt idx="9">
                  <c:v>52</c:v>
                </c:pt>
              </c:numCache>
            </c:numRef>
          </c:val>
          <c:extLst>
            <c:ext xmlns:c16="http://schemas.microsoft.com/office/drawing/2014/chart" uri="{C3380CC4-5D6E-409C-BE32-E72D297353CC}">
              <c16:uniqueId val="{00000001-7308-49E8-BDF0-3552BE4C9110}"/>
            </c:ext>
          </c:extLst>
        </c:ser>
        <c:dLbls>
          <c:showLegendKey val="0"/>
          <c:showVal val="0"/>
          <c:showCatName val="0"/>
          <c:showSerName val="0"/>
          <c:showPercent val="0"/>
          <c:showBubbleSize val="0"/>
        </c:dLbls>
        <c:gapWidth val="219"/>
        <c:overlap val="-27"/>
        <c:axId val="718182584"/>
        <c:axId val="718179056"/>
      </c:barChart>
      <c:catAx>
        <c:axId val="718182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79056"/>
        <c:crosses val="autoZero"/>
        <c:auto val="1"/>
        <c:lblAlgn val="ctr"/>
        <c:lblOffset val="100"/>
        <c:noMultiLvlLbl val="0"/>
      </c:catAx>
      <c:valAx>
        <c:axId val="718179056"/>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818258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charts'!$H$172</c:f>
              <c:strCache>
                <c:ptCount val="1"/>
                <c:pt idx="0">
                  <c:v>Blended</c:v>
                </c:pt>
              </c:strCache>
            </c:strRef>
          </c:tx>
          <c:spPr>
            <a:solidFill>
              <a:srgbClr val="000080"/>
            </a:solidFill>
            <a:ln w="25400">
              <a:noFill/>
            </a:ln>
            <a:effectLst/>
          </c:spPr>
          <c:invertIfNegative val="0"/>
          <c:cat>
            <c:strRef>
              <c:f>'Snap charts'!$M$171:$R$171</c:f>
              <c:strCache>
                <c:ptCount val="6"/>
                <c:pt idx="0">
                  <c:v>Q4 15</c:v>
                </c:pt>
                <c:pt idx="1">
                  <c:v>Q1 16</c:v>
                </c:pt>
                <c:pt idx="2">
                  <c:v>Q2 16</c:v>
                </c:pt>
                <c:pt idx="3">
                  <c:v>Q3 16</c:v>
                </c:pt>
                <c:pt idx="4">
                  <c:v>Q4 16</c:v>
                </c:pt>
                <c:pt idx="5">
                  <c:v>Q1 17</c:v>
                </c:pt>
              </c:strCache>
            </c:strRef>
          </c:cat>
          <c:val>
            <c:numRef>
              <c:f>'Snap charts'!$M$172:$R$172</c:f>
              <c:numCache>
                <c:formatCode>General</c:formatCode>
                <c:ptCount val="6"/>
                <c:pt idx="0">
                  <c:v>100</c:v>
                </c:pt>
                <c:pt idx="1">
                  <c:v>0</c:v>
                </c:pt>
                <c:pt idx="2">
                  <c:v>0</c:v>
                </c:pt>
                <c:pt idx="3">
                  <c:v>0</c:v>
                </c:pt>
                <c:pt idx="4">
                  <c:v>0</c:v>
                </c:pt>
                <c:pt idx="5">
                  <c:v>0</c:v>
                </c:pt>
              </c:numCache>
            </c:numRef>
          </c:val>
          <c:extLst>
            <c:ext xmlns:c16="http://schemas.microsoft.com/office/drawing/2014/chart" uri="{C3380CC4-5D6E-409C-BE32-E72D297353CC}">
              <c16:uniqueId val="{00000000-F87B-4AE8-86BF-3D507841C9BC}"/>
            </c:ext>
          </c:extLst>
        </c:ser>
        <c:ser>
          <c:idx val="1"/>
          <c:order val="1"/>
          <c:tx>
            <c:strRef>
              <c:f>'Snap charts'!$H$173</c:f>
              <c:strCache>
                <c:ptCount val="1"/>
                <c:pt idx="0">
                  <c:v>ARPU</c:v>
                </c:pt>
              </c:strCache>
            </c:strRef>
          </c:tx>
          <c:spPr>
            <a:solidFill>
              <a:srgbClr val="9999FF"/>
            </a:solidFill>
            <a:ln w="25400">
              <a:noFill/>
            </a:ln>
            <a:effectLst/>
          </c:spPr>
          <c:invertIfNegative val="0"/>
          <c:cat>
            <c:strRef>
              <c:f>'Snap charts'!$M$171:$R$171</c:f>
              <c:strCache>
                <c:ptCount val="6"/>
                <c:pt idx="0">
                  <c:v>Q4 15</c:v>
                </c:pt>
                <c:pt idx="1">
                  <c:v>Q1 16</c:v>
                </c:pt>
                <c:pt idx="2">
                  <c:v>Q2 16</c:v>
                </c:pt>
                <c:pt idx="3">
                  <c:v>Q3 16</c:v>
                </c:pt>
                <c:pt idx="4">
                  <c:v>Q4 16</c:v>
                </c:pt>
                <c:pt idx="5">
                  <c:v>Q1 17</c:v>
                </c:pt>
              </c:strCache>
            </c:strRef>
          </c:cat>
          <c:val>
            <c:numRef>
              <c:f>'Snap charts'!$M$173:$R$173</c:f>
              <c:numCache>
                <c:formatCode>General</c:formatCode>
                <c:ptCount val="6"/>
                <c:pt idx="0">
                  <c:v>100</c:v>
                </c:pt>
                <c:pt idx="1">
                  <c:v>100</c:v>
                </c:pt>
                <c:pt idx="2">
                  <c:v>98</c:v>
                </c:pt>
                <c:pt idx="3">
                  <c:v>100</c:v>
                </c:pt>
                <c:pt idx="4">
                  <c:v>104</c:v>
                </c:pt>
                <c:pt idx="5">
                  <c:v>104</c:v>
                </c:pt>
              </c:numCache>
            </c:numRef>
          </c:val>
          <c:extLst>
            <c:ext xmlns:c16="http://schemas.microsoft.com/office/drawing/2014/chart" uri="{C3380CC4-5D6E-409C-BE32-E72D297353CC}">
              <c16:uniqueId val="{00000001-F87B-4AE8-86BF-3D507841C9BC}"/>
            </c:ext>
          </c:extLst>
        </c:ser>
        <c:dLbls>
          <c:showLegendKey val="0"/>
          <c:showVal val="0"/>
          <c:showCatName val="0"/>
          <c:showSerName val="0"/>
          <c:showPercent val="0"/>
          <c:showBubbleSize val="0"/>
        </c:dLbls>
        <c:gapWidth val="219"/>
        <c:overlap val="-27"/>
        <c:axId val="466854160"/>
        <c:axId val="466852984"/>
      </c:barChart>
      <c:catAx>
        <c:axId val="46685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2984"/>
        <c:crosses val="autoZero"/>
        <c:auto val="1"/>
        <c:lblAlgn val="ctr"/>
        <c:lblOffset val="100"/>
        <c:noMultiLvlLbl val="0"/>
      </c:catAx>
      <c:valAx>
        <c:axId val="466852984"/>
        <c:scaling>
          <c:orientation val="minMax"/>
          <c:max val="200"/>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41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rebuchet MS"/>
              <a:ea typeface="Trebuchet MS"/>
              <a:cs typeface="Trebuchet MS"/>
            </a:defRPr>
          </a:pPr>
          <a:endParaRPr lang="en-US"/>
        </a:p>
      </c:txPr>
    </c:title>
    <c:autoTitleDeleted val="0"/>
    <c:plotArea>
      <c:layout>
        <c:manualLayout>
          <c:layoutTarget val="inner"/>
          <c:xMode val="edge"/>
          <c:yMode val="edge"/>
          <c:x val="0.10906955380577428"/>
          <c:y val="6.9143700787401591E-2"/>
          <c:w val="0.86037489063867012"/>
          <c:h val="0.7642822251385244"/>
        </c:manualLayout>
      </c:layout>
      <c:lineChart>
        <c:grouping val="standard"/>
        <c:varyColors val="0"/>
        <c:ser>
          <c:idx val="0"/>
          <c:order val="0"/>
          <c:tx>
            <c:strRef>
              <c:f>'Snap charts'!$H$74</c:f>
              <c:strCache>
                <c:ptCount val="1"/>
              </c:strCache>
            </c:strRef>
          </c:tx>
          <c:spPr>
            <a:ln w="25400" cap="rnd">
              <a:solidFill>
                <a:srgbClr val="333399"/>
              </a:solidFill>
              <a:prstDash val="solid"/>
              <a:round/>
            </a:ln>
            <a:effectLst/>
          </c:spPr>
          <c:marker>
            <c:symbol val="none"/>
          </c:marker>
          <c:cat>
            <c:strRef>
              <c:f>'Snap charts'!$M$66:$Y$66</c:f>
              <c:strCache>
                <c:ptCount val="13"/>
                <c:pt idx="0">
                  <c:v>Q1 14</c:v>
                </c:pt>
                <c:pt idx="1">
                  <c:v>Q2 14</c:v>
                </c:pt>
                <c:pt idx="2">
                  <c:v>Q3 14</c:v>
                </c:pt>
                <c:pt idx="3">
                  <c:v>Q4 14</c:v>
                </c:pt>
                <c:pt idx="4">
                  <c:v>Q1 15</c:v>
                </c:pt>
                <c:pt idx="5">
                  <c:v>Q2 15</c:v>
                </c:pt>
                <c:pt idx="6">
                  <c:v>Q3 15</c:v>
                </c:pt>
                <c:pt idx="7">
                  <c:v>Q4 15</c:v>
                </c:pt>
                <c:pt idx="8">
                  <c:v>Q1 16</c:v>
                </c:pt>
                <c:pt idx="9">
                  <c:v>Q2 16</c:v>
                </c:pt>
                <c:pt idx="10">
                  <c:v>Q3 16</c:v>
                </c:pt>
                <c:pt idx="11">
                  <c:v>Q4 16</c:v>
                </c:pt>
                <c:pt idx="12">
                  <c:v>Q1 17</c:v>
                </c:pt>
              </c:strCache>
            </c:strRef>
          </c:cat>
          <c:val>
            <c:numRef>
              <c:f>'Snap charts'!$M$74:$Y$74</c:f>
              <c:numCache>
                <c:formatCode>0.0%</c:formatCode>
                <c:ptCount val="13"/>
                <c:pt idx="0">
                  <c:v>-5.4695062923523663E-2</c:v>
                </c:pt>
                <c:pt idx="1">
                  <c:v>-5.2350945225399848E-2</c:v>
                </c:pt>
                <c:pt idx="2">
                  <c:v>-5.1194539249146742E-2</c:v>
                </c:pt>
                <c:pt idx="3">
                  <c:v>-1.7786561264822143E-2</c:v>
                </c:pt>
                <c:pt idx="4">
                  <c:v>3.3794162826420893E-2</c:v>
                </c:pt>
                <c:pt idx="5">
                  <c:v>1.4833759590792805E-2</c:v>
                </c:pt>
                <c:pt idx="6">
                  <c:v>5.1387461459403871E-2</c:v>
                </c:pt>
                <c:pt idx="7">
                  <c:v>2.9678068410462721E-2</c:v>
                </c:pt>
                <c:pt idx="8">
                  <c:v>-6.9341258048538634E-3</c:v>
                </c:pt>
                <c:pt idx="9">
                  <c:v>-2.5201612903225756E-2</c:v>
                </c:pt>
                <c:pt idx="10">
                  <c:v>-3.128054740957964E-2</c:v>
                </c:pt>
                <c:pt idx="11">
                  <c:v>-9.2818759159746245E-3</c:v>
                </c:pt>
                <c:pt idx="12">
                  <c:v>-5.4862842892767771E-3</c:v>
                </c:pt>
              </c:numCache>
            </c:numRef>
          </c:val>
          <c:smooth val="0"/>
          <c:extLst>
            <c:ext xmlns:c16="http://schemas.microsoft.com/office/drawing/2014/chart" uri="{C3380CC4-5D6E-409C-BE32-E72D297353CC}">
              <c16:uniqueId val="{00000000-EFC4-453C-9494-2F295A8DD4BA}"/>
            </c:ext>
          </c:extLst>
        </c:ser>
        <c:dLbls>
          <c:showLegendKey val="0"/>
          <c:showVal val="0"/>
          <c:showCatName val="0"/>
          <c:showSerName val="0"/>
          <c:showPercent val="0"/>
          <c:showBubbleSize val="0"/>
        </c:dLbls>
        <c:smooth val="0"/>
        <c:axId val="466854552"/>
        <c:axId val="466857296"/>
      </c:lineChart>
      <c:catAx>
        <c:axId val="466854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7296"/>
        <c:crosses val="autoZero"/>
        <c:auto val="1"/>
        <c:lblAlgn val="ctr"/>
        <c:lblOffset val="100"/>
        <c:noMultiLvlLbl val="0"/>
      </c:catAx>
      <c:valAx>
        <c:axId val="46685729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455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charts'!$H$213</c:f>
              <c:strCache>
                <c:ptCount val="1"/>
                <c:pt idx="0">
                  <c:v>DPS (LHS)</c:v>
                </c:pt>
              </c:strCache>
            </c:strRef>
          </c:tx>
          <c:spPr>
            <a:solidFill>
              <a:srgbClr val="000080"/>
            </a:solidFill>
            <a:ln w="25400">
              <a:noFill/>
            </a:ln>
            <a:effectLst/>
          </c:spPr>
          <c:invertIfNegative val="0"/>
          <c:cat>
            <c:numRef>
              <c:f>'Snap charts'!$I$212:$Q$212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'Snap charts'!$I$213:$Q$213</c:f>
              <c:numCache>
                <c:formatCode>0.00</c:formatCode>
                <c:ptCount val="9"/>
                <c:pt idx="0">
                  <c:v>0.4</c:v>
                </c:pt>
                <c:pt idx="1">
                  <c:v>0.4</c:v>
                </c:pt>
                <c:pt idx="2">
                  <c:v>0.4</c:v>
                </c:pt>
                <c:pt idx="3">
                  <c:v>0.4</c:v>
                </c:pt>
                <c:pt idx="4">
                  <c:v>0.4</c:v>
                </c:pt>
                <c:pt idx="5">
                  <c:v>0.2</c:v>
                </c:pt>
                <c:pt idx="6">
                  <c:v>0.2</c:v>
                </c:pt>
                <c:pt idx="7">
                  <c:v>0.2</c:v>
                </c:pt>
                <c:pt idx="8">
                  <c:v>0.2</c:v>
                </c:pt>
              </c:numCache>
            </c:numRef>
          </c:val>
          <c:extLst>
            <c:ext xmlns:c16="http://schemas.microsoft.com/office/drawing/2014/chart" uri="{C3380CC4-5D6E-409C-BE32-E72D297353CC}">
              <c16:uniqueId val="{00000000-E401-4DAA-A27B-09DD5FCC1489}"/>
            </c:ext>
          </c:extLst>
        </c:ser>
        <c:dLbls>
          <c:showLegendKey val="0"/>
          <c:showVal val="0"/>
          <c:showCatName val="0"/>
          <c:showSerName val="0"/>
          <c:showPercent val="0"/>
          <c:showBubbleSize val="0"/>
        </c:dLbls>
        <c:gapWidth val="219"/>
        <c:overlap val="-27"/>
        <c:axId val="466856512"/>
        <c:axId val="466852200"/>
      </c:barChart>
      <c:lineChart>
        <c:grouping val="standard"/>
        <c:varyColors val="0"/>
        <c:ser>
          <c:idx val="1"/>
          <c:order val="1"/>
          <c:tx>
            <c:strRef>
              <c:f>'Snap charts'!$H$214</c:f>
              <c:strCache>
                <c:ptCount val="1"/>
                <c:pt idx="0">
                  <c:v>Net debt/EBITDA (RHS)</c:v>
                </c:pt>
              </c:strCache>
            </c:strRef>
          </c:tx>
          <c:spPr>
            <a:ln w="25400" cap="rnd">
              <a:solidFill>
                <a:schemeClr val="accent1">
                  <a:lumMod val="60000"/>
                  <a:lumOff val="40000"/>
                </a:schemeClr>
              </a:solidFill>
              <a:prstDash val="solid"/>
              <a:round/>
            </a:ln>
            <a:effectLst/>
          </c:spPr>
          <c:marker>
            <c:symbol val="none"/>
          </c:marker>
          <c:cat>
            <c:numRef>
              <c:f>'Snap charts'!$I$212:$Q$212</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'Snap charts'!$I$214:$Q$214</c:f>
              <c:numCache>
                <c:formatCode>_-* #,##0.0_-;\-* #,##0.0_-;_-* "-"??_-;_-@_-</c:formatCode>
                <c:ptCount val="9"/>
                <c:pt idx="0">
                  <c:v>1.0319293478260869</c:v>
                </c:pt>
                <c:pt idx="1">
                  <c:v>1.2292561609767125</c:v>
                </c:pt>
                <c:pt idx="2">
                  <c:v>1.384603745646416</c:v>
                </c:pt>
                <c:pt idx="3">
                  <c:v>1.4849624060150375</c:v>
                </c:pt>
                <c:pt idx="4">
                  <c:v>1.8158652595322669</c:v>
                </c:pt>
                <c:pt idx="5">
                  <c:v>1.9390958260132451</c:v>
                </c:pt>
                <c:pt idx="6">
                  <c:v>2.0395797703097784</c:v>
                </c:pt>
                <c:pt idx="7">
                  <c:v>1.6791866807949041</c:v>
                </c:pt>
                <c:pt idx="8">
                  <c:v>1.8422485037730938</c:v>
                </c:pt>
              </c:numCache>
            </c:numRef>
          </c:val>
          <c:smooth val="0"/>
          <c:extLst>
            <c:ext xmlns:c16="http://schemas.microsoft.com/office/drawing/2014/chart" uri="{C3380CC4-5D6E-409C-BE32-E72D297353CC}">
              <c16:uniqueId val="{00000001-E401-4DAA-A27B-09DD5FCC1489}"/>
            </c:ext>
          </c:extLst>
        </c:ser>
        <c:dLbls>
          <c:showLegendKey val="0"/>
          <c:showVal val="0"/>
          <c:showCatName val="0"/>
          <c:showSerName val="0"/>
          <c:showPercent val="0"/>
          <c:showBubbleSize val="0"/>
        </c:dLbls>
        <c:marker val="1"/>
        <c:smooth val="0"/>
        <c:axId val="466857688"/>
        <c:axId val="466852592"/>
      </c:lineChart>
      <c:catAx>
        <c:axId val="466856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2200"/>
        <c:crosses val="autoZero"/>
        <c:auto val="1"/>
        <c:lblAlgn val="ctr"/>
        <c:lblOffset val="100"/>
        <c:noMultiLvlLbl val="0"/>
      </c:catAx>
      <c:valAx>
        <c:axId val="466852200"/>
        <c:scaling>
          <c:orientation val="minMax"/>
        </c:scaling>
        <c:delete val="0"/>
        <c:axPos val="l"/>
        <c:majorGridlines>
          <c:spPr>
            <a:ln w="3175" cap="flat" cmpd="sng" algn="ctr">
              <a:solidFill>
                <a:srgbClr val="C0C0C0"/>
              </a:solidFill>
              <a:prstDash val="solid"/>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6512"/>
        <c:crosses val="autoZero"/>
        <c:crossBetween val="between"/>
      </c:valAx>
      <c:valAx>
        <c:axId val="466852592"/>
        <c:scaling>
          <c:orientation val="minMax"/>
        </c:scaling>
        <c:delete val="0"/>
        <c:axPos val="r"/>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7688"/>
        <c:crosses val="max"/>
        <c:crossBetween val="between"/>
      </c:valAx>
      <c:catAx>
        <c:axId val="466857688"/>
        <c:scaling>
          <c:orientation val="minMax"/>
        </c:scaling>
        <c:delete val="1"/>
        <c:axPos val="b"/>
        <c:numFmt formatCode="General" sourceLinked="1"/>
        <c:majorTickMark val="out"/>
        <c:minorTickMark val="none"/>
        <c:tickLblPos val="nextTo"/>
        <c:crossAx val="46685259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893617021277"/>
          <c:y val="7.0731707317073164E-2"/>
          <c:w val="0.85106382978723405"/>
          <c:h val="0.74634146341463414"/>
        </c:manualLayout>
      </c:layout>
      <c:lineChart>
        <c:grouping val="standard"/>
        <c:varyColors val="0"/>
        <c:ser>
          <c:idx val="0"/>
          <c:order val="0"/>
          <c:spPr>
            <a:ln w="38100">
              <a:solidFill>
                <a:srgbClr val="000080"/>
              </a:solidFill>
              <a:prstDash val="solid"/>
            </a:ln>
          </c:spPr>
          <c:marker>
            <c:symbol val="none"/>
          </c:marker>
          <c:cat>
            <c:numRef>
              <c:f>[4]MASTER!$AG$102:$AL$102</c:f>
              <c:numCache>
                <c:formatCode>General</c:formatCode>
                <c:ptCount val="6"/>
                <c:pt idx="0">
                  <c:v>0</c:v>
                </c:pt>
                <c:pt idx="1">
                  <c:v>0</c:v>
                </c:pt>
              </c:numCache>
            </c:numRef>
          </c:cat>
          <c:val>
            <c:numRef>
              <c:f>[4]MASTER!$AG$103:$AL$103</c:f>
              <c:numCache>
                <c:formatCode>General</c:formatCode>
                <c:ptCount val="6"/>
                <c:pt idx="0">
                  <c:v>0</c:v>
                </c:pt>
                <c:pt idx="1">
                  <c:v>0</c:v>
                </c:pt>
              </c:numCache>
            </c:numRef>
          </c:val>
          <c:smooth val="0"/>
          <c:extLst>
            <c:ext xmlns:c16="http://schemas.microsoft.com/office/drawing/2014/chart" uri="{C3380CC4-5D6E-409C-BE32-E72D297353CC}">
              <c16:uniqueId val="{00000000-73F9-4360-A561-1BF96F3F28FC}"/>
            </c:ext>
          </c:extLst>
        </c:ser>
        <c:dLbls>
          <c:showLegendKey val="0"/>
          <c:showVal val="0"/>
          <c:showCatName val="0"/>
          <c:showSerName val="0"/>
          <c:showPercent val="0"/>
          <c:showBubbleSize val="0"/>
        </c:dLbls>
        <c:smooth val="0"/>
        <c:axId val="1047031224"/>
        <c:axId val="1047021032"/>
      </c:lineChart>
      <c:catAx>
        <c:axId val="1047031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1032"/>
        <c:crosses val="autoZero"/>
        <c:auto val="1"/>
        <c:lblAlgn val="ctr"/>
        <c:lblOffset val="100"/>
        <c:tickLblSkip val="1"/>
        <c:tickMarkSkip val="1"/>
        <c:noMultiLvlLbl val="0"/>
      </c:catAx>
      <c:valAx>
        <c:axId val="1047021032"/>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31224"/>
        <c:crosses val="autoZero"/>
        <c:crossBetween val="between"/>
      </c:valAx>
      <c:spPr>
        <a:noFill/>
        <a:ln w="25400">
          <a:noFill/>
        </a:ln>
      </c:spPr>
    </c:plotArea>
    <c:legend>
      <c:legendPos val="b"/>
      <c:layout>
        <c:manualLayout>
          <c:xMode val="edge"/>
          <c:yMode val="edge"/>
          <c:x val="0.46382978723404256"/>
          <c:y val="0.93170731707317078"/>
          <c:w val="0.15957446808510634"/>
          <c:h val="5.3658536585365901E-2"/>
        </c:manualLayout>
      </c:layout>
      <c:overlay val="0"/>
      <c:spPr>
        <a:solidFill>
          <a:srgbClr val="FFFFFF"/>
        </a:solidFill>
        <a:ln w="25400">
          <a:noFill/>
        </a:ln>
      </c:spPr>
      <c:txPr>
        <a:bodyPr/>
        <a:lstStyle/>
        <a:p>
          <a:pPr>
            <a:defRPr sz="67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charts'!$H$227</c:f>
              <c:strCache>
                <c:ptCount val="1"/>
                <c:pt idx="0">
                  <c:v>OpFCF - interest - tax</c:v>
                </c:pt>
              </c:strCache>
            </c:strRef>
          </c:tx>
          <c:spPr>
            <a:solidFill>
              <a:srgbClr val="000080"/>
            </a:solidFill>
            <a:ln w="25400">
              <a:noFill/>
            </a:ln>
            <a:effectLst/>
          </c:spPr>
          <c:invertIfNegative val="0"/>
          <c:cat>
            <c:numRef>
              <c:f>'Snap charts'!$I$226:$Q$226</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'Snap charts'!$I$227:$Q$227</c:f>
              <c:numCache>
                <c:formatCode>_-* #,##0_-;\-* #,##0_-;_-* "-"??_-;_-@_-</c:formatCode>
                <c:ptCount val="9"/>
                <c:pt idx="0">
                  <c:v>2733</c:v>
                </c:pt>
                <c:pt idx="1">
                  <c:v>2365</c:v>
                </c:pt>
                <c:pt idx="2">
                  <c:v>2654</c:v>
                </c:pt>
                <c:pt idx="3">
                  <c:v>1894.561874065377</c:v>
                </c:pt>
                <c:pt idx="4">
                  <c:v>1997</c:v>
                </c:pt>
                <c:pt idx="5">
                  <c:v>1935</c:v>
                </c:pt>
                <c:pt idx="6">
                  <c:v>2107</c:v>
                </c:pt>
                <c:pt idx="7">
                  <c:v>1875.721</c:v>
                </c:pt>
                <c:pt idx="8">
                  <c:v>1805</c:v>
                </c:pt>
              </c:numCache>
            </c:numRef>
          </c:val>
          <c:extLst>
            <c:ext xmlns:c16="http://schemas.microsoft.com/office/drawing/2014/chart" uri="{C3380CC4-5D6E-409C-BE32-E72D297353CC}">
              <c16:uniqueId val="{00000000-ACF2-4CA8-87CE-DB3A5857F0C2}"/>
            </c:ext>
          </c:extLst>
        </c:ser>
        <c:ser>
          <c:idx val="1"/>
          <c:order val="1"/>
          <c:tx>
            <c:strRef>
              <c:f>'Snap charts'!$H$228</c:f>
              <c:strCache>
                <c:ptCount val="1"/>
                <c:pt idx="0">
                  <c:v>Dividend</c:v>
                </c:pt>
              </c:strCache>
            </c:strRef>
          </c:tx>
          <c:spPr>
            <a:solidFill>
              <a:srgbClr val="9999FF"/>
            </a:solidFill>
            <a:ln w="25400">
              <a:noFill/>
            </a:ln>
            <a:effectLst/>
          </c:spPr>
          <c:invertIfNegative val="0"/>
          <c:cat>
            <c:numRef>
              <c:f>'Snap charts'!$I$226:$Q$226</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'Snap charts'!$I$228:$Q$228</c:f>
              <c:numCache>
                <c:formatCode>_-* #,##0_-;\-* #,##0_-;_-* "-"??_-;_-@_-</c:formatCode>
                <c:ptCount val="9"/>
                <c:pt idx="0">
                  <c:v>3000</c:v>
                </c:pt>
                <c:pt idx="1">
                  <c:v>3000</c:v>
                </c:pt>
                <c:pt idx="2">
                  <c:v>3000</c:v>
                </c:pt>
                <c:pt idx="3">
                  <c:v>3000</c:v>
                </c:pt>
                <c:pt idx="4">
                  <c:v>2325.0000000000005</c:v>
                </c:pt>
                <c:pt idx="5">
                  <c:v>1500</c:v>
                </c:pt>
                <c:pt idx="6">
                  <c:v>1560</c:v>
                </c:pt>
                <c:pt idx="7">
                  <c:v>1562</c:v>
                </c:pt>
                <c:pt idx="8">
                  <c:v>1564</c:v>
                </c:pt>
              </c:numCache>
            </c:numRef>
          </c:val>
          <c:extLst>
            <c:ext xmlns:c16="http://schemas.microsoft.com/office/drawing/2014/chart" uri="{C3380CC4-5D6E-409C-BE32-E72D297353CC}">
              <c16:uniqueId val="{00000001-ACF2-4CA8-87CE-DB3A5857F0C2}"/>
            </c:ext>
          </c:extLst>
        </c:ser>
        <c:dLbls>
          <c:showLegendKey val="0"/>
          <c:showVal val="0"/>
          <c:showCatName val="0"/>
          <c:showSerName val="0"/>
          <c:showPercent val="0"/>
          <c:showBubbleSize val="0"/>
        </c:dLbls>
        <c:gapWidth val="219"/>
        <c:overlap val="-27"/>
        <c:axId val="466858080"/>
        <c:axId val="466854944"/>
      </c:barChart>
      <c:catAx>
        <c:axId val="466858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4944"/>
        <c:crosses val="autoZero"/>
        <c:auto val="1"/>
        <c:lblAlgn val="ctr"/>
        <c:lblOffset val="100"/>
        <c:noMultiLvlLbl val="0"/>
      </c:catAx>
      <c:valAx>
        <c:axId val="466854944"/>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6858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2378312693278"/>
          <c:y val="7.0904730125795248E-2"/>
          <c:w val="0.87702403959350916"/>
          <c:h val="0.74572216166784655"/>
        </c:manualLayout>
      </c:layout>
      <c:barChart>
        <c:barDir val="col"/>
        <c:grouping val="clustered"/>
        <c:varyColors val="0"/>
        <c:ser>
          <c:idx val="0"/>
          <c:order val="1"/>
          <c:tx>
            <c:strRef>
              <c:f>[4]MASTER!$BJ$144:$BK$144</c:f>
              <c:strCache>
                <c:ptCount val="1"/>
                <c:pt idx="0">
                  <c:v>0 0</c:v>
                </c:pt>
              </c:strCache>
            </c:strRef>
          </c:tx>
          <c:spPr>
            <a:solidFill>
              <a:srgbClr val="9999FF"/>
            </a:solidFill>
            <a:ln w="3175">
              <a:solidFill>
                <a:srgbClr val="C0C0C0"/>
              </a:solidFill>
              <a:prstDash val="solid"/>
            </a:ln>
          </c:spPr>
          <c:invertIfNegative val="0"/>
          <c:cat>
            <c:numRef>
              <c:f>[4]MASTER!$BL$142:$BT$142</c:f>
              <c:numCache>
                <c:formatCode>General</c:formatCode>
                <c:ptCount val="9"/>
                <c:pt idx="0">
                  <c:v>0</c:v>
                </c:pt>
                <c:pt idx="1">
                  <c:v>0</c:v>
                </c:pt>
                <c:pt idx="2">
                  <c:v>0</c:v>
                </c:pt>
                <c:pt idx="3">
                  <c:v>0</c:v>
                </c:pt>
                <c:pt idx="4">
                  <c:v>0</c:v>
                </c:pt>
                <c:pt idx="5">
                  <c:v>0</c:v>
                </c:pt>
                <c:pt idx="6">
                  <c:v>0</c:v>
                </c:pt>
                <c:pt idx="7">
                  <c:v>0</c:v>
                </c:pt>
              </c:numCache>
            </c:numRef>
          </c:cat>
          <c:val>
            <c:numRef>
              <c:f>[4]MASTER!$BL$144:$BT$144</c:f>
              <c:numCache>
                <c:formatCode>General</c:formatCode>
                <c:ptCount val="9"/>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F9C-4B73-8DE7-6B7A7D8C8C2C}"/>
            </c:ext>
          </c:extLst>
        </c:ser>
        <c:dLbls>
          <c:showLegendKey val="0"/>
          <c:showVal val="0"/>
          <c:showCatName val="0"/>
          <c:showSerName val="0"/>
          <c:showPercent val="0"/>
          <c:showBubbleSize val="0"/>
        </c:dLbls>
        <c:gapWidth val="150"/>
        <c:axId val="1047028088"/>
        <c:axId val="1047030832"/>
      </c:barChart>
      <c:lineChart>
        <c:grouping val="standard"/>
        <c:varyColors val="0"/>
        <c:ser>
          <c:idx val="1"/>
          <c:order val="0"/>
          <c:tx>
            <c:strRef>
              <c:f>[4]MASTER!$BJ$143:$BK$143</c:f>
              <c:strCache>
                <c:ptCount val="1"/>
                <c:pt idx="0">
                  <c:v>0 0</c:v>
                </c:pt>
              </c:strCache>
            </c:strRef>
          </c:tx>
          <c:spPr>
            <a:ln w="38100">
              <a:solidFill>
                <a:srgbClr val="000080"/>
              </a:solidFill>
              <a:prstDash val="solid"/>
            </a:ln>
          </c:spPr>
          <c:marker>
            <c:symbol val="none"/>
          </c:marker>
          <c:cat>
            <c:numRef>
              <c:f>[4]MASTER!$BL$142:$BT$142</c:f>
              <c:numCache>
                <c:formatCode>General</c:formatCode>
                <c:ptCount val="9"/>
                <c:pt idx="0">
                  <c:v>0</c:v>
                </c:pt>
                <c:pt idx="1">
                  <c:v>0</c:v>
                </c:pt>
                <c:pt idx="2">
                  <c:v>0</c:v>
                </c:pt>
                <c:pt idx="3">
                  <c:v>0</c:v>
                </c:pt>
                <c:pt idx="4">
                  <c:v>0</c:v>
                </c:pt>
                <c:pt idx="5">
                  <c:v>0</c:v>
                </c:pt>
                <c:pt idx="6">
                  <c:v>0</c:v>
                </c:pt>
                <c:pt idx="7">
                  <c:v>0</c:v>
                </c:pt>
              </c:numCache>
            </c:numRef>
          </c:cat>
          <c:val>
            <c:numRef>
              <c:f>[4]MASTER!$BL$143:$BT$143</c:f>
              <c:numCache>
                <c:formatCode>General</c:formatCode>
                <c:ptCount val="9"/>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0F9C-4B73-8DE7-6B7A7D8C8C2C}"/>
            </c:ext>
          </c:extLst>
        </c:ser>
        <c:dLbls>
          <c:showLegendKey val="0"/>
          <c:showVal val="0"/>
          <c:showCatName val="0"/>
          <c:showSerName val="0"/>
          <c:showPercent val="0"/>
          <c:showBubbleSize val="0"/>
        </c:dLbls>
        <c:marker val="1"/>
        <c:smooth val="0"/>
        <c:axId val="1047028088"/>
        <c:axId val="1047030832"/>
      </c:lineChart>
      <c:catAx>
        <c:axId val="1047028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30832"/>
        <c:crosses val="autoZero"/>
        <c:auto val="0"/>
        <c:lblAlgn val="ctr"/>
        <c:lblOffset val="100"/>
        <c:tickLblSkip val="1"/>
        <c:tickMarkSkip val="1"/>
        <c:noMultiLvlLbl val="0"/>
      </c:catAx>
      <c:valAx>
        <c:axId val="10470308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8088"/>
        <c:crosses val="autoZero"/>
        <c:crossBetween val="between"/>
      </c:valAx>
      <c:spPr>
        <a:noFill/>
        <a:ln w="25400">
          <a:noFill/>
        </a:ln>
      </c:spPr>
    </c:plotArea>
    <c:legend>
      <c:legendPos val="b"/>
      <c:layout>
        <c:manualLayout>
          <c:xMode val="edge"/>
          <c:yMode val="edge"/>
          <c:x val="0.28640827663532348"/>
          <c:y val="0.93154136906480822"/>
          <c:w val="0.50485521834042602"/>
          <c:h val="5.3789731051344769E-2"/>
        </c:manualLayout>
      </c:layout>
      <c:overlay val="0"/>
      <c:spPr>
        <a:solidFill>
          <a:srgbClr val="FFFFFF"/>
        </a:solidFill>
        <a:ln w="25400">
          <a:noFill/>
        </a:ln>
      </c:spPr>
      <c:txPr>
        <a:bodyPr/>
        <a:lstStyle/>
        <a:p>
          <a:pPr>
            <a:defRPr sz="67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oddHeader>&amp;A</c:oddHeader>
      <c:oddFooter>Page &amp;P</c:oddFooter>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rebuchet MS"/>
                <a:ea typeface="Trebuchet MS"/>
                <a:cs typeface="Trebuchet MS"/>
              </a:defRPr>
            </a:pPr>
            <a:r>
              <a:rPr lang="en-GB"/>
              <a:t>Singapore dollar vs. Australian dollar</a:t>
            </a:r>
          </a:p>
        </c:rich>
      </c:tx>
      <c:layout>
        <c:manualLayout>
          <c:xMode val="edge"/>
          <c:yMode val="edge"/>
          <c:x val="0.31068012129551764"/>
          <c:y val="3.2911392405063293E-2"/>
        </c:manualLayout>
      </c:layout>
      <c:overlay val="0"/>
      <c:spPr>
        <a:noFill/>
        <a:ln w="25400">
          <a:noFill/>
        </a:ln>
      </c:spPr>
    </c:title>
    <c:autoTitleDeleted val="0"/>
    <c:plotArea>
      <c:layout>
        <c:manualLayout>
          <c:layoutTarget val="inner"/>
          <c:xMode val="edge"/>
          <c:yMode val="edge"/>
          <c:x val="0.1197412895385972"/>
          <c:y val="0.18734177215189873"/>
          <c:w val="0.85760653318184477"/>
          <c:h val="0.59240506329113929"/>
        </c:manualLayout>
      </c:layout>
      <c:lineChart>
        <c:grouping val="standard"/>
        <c:varyColors val="0"/>
        <c:ser>
          <c:idx val="0"/>
          <c:order val="0"/>
          <c:spPr>
            <a:ln w="25400">
              <a:solidFill>
                <a:srgbClr val="000080"/>
              </a:solidFill>
              <a:prstDash val="solid"/>
            </a:ln>
          </c:spPr>
          <c:marker>
            <c:symbol val="none"/>
          </c:marker>
          <c:cat>
            <c:numRef>
              <c:f>[4]MASTER!$BY$201:$BY$495</c:f>
              <c:numCache>
                <c:formatCode>General</c:formatCode>
                <c:ptCount val="295"/>
                <c:pt idx="6">
                  <c:v>39937</c:v>
                </c:pt>
                <c:pt idx="7">
                  <c:v>39938</c:v>
                </c:pt>
                <c:pt idx="8">
                  <c:v>39939</c:v>
                </c:pt>
                <c:pt idx="9">
                  <c:v>39940</c:v>
                </c:pt>
                <c:pt idx="10">
                  <c:v>39941</c:v>
                </c:pt>
                <c:pt idx="11">
                  <c:v>39942</c:v>
                </c:pt>
                <c:pt idx="12">
                  <c:v>39943</c:v>
                </c:pt>
                <c:pt idx="13">
                  <c:v>39944</c:v>
                </c:pt>
                <c:pt idx="14">
                  <c:v>39945</c:v>
                </c:pt>
                <c:pt idx="15">
                  <c:v>39946</c:v>
                </c:pt>
                <c:pt idx="16">
                  <c:v>39947</c:v>
                </c:pt>
                <c:pt idx="17">
                  <c:v>39948</c:v>
                </c:pt>
                <c:pt idx="18">
                  <c:v>39949</c:v>
                </c:pt>
                <c:pt idx="19">
                  <c:v>39950</c:v>
                </c:pt>
                <c:pt idx="26">
                  <c:v>39957</c:v>
                </c:pt>
                <c:pt idx="27">
                  <c:v>39958</c:v>
                </c:pt>
                <c:pt idx="28">
                  <c:v>39959</c:v>
                </c:pt>
                <c:pt idx="29">
                  <c:v>39960</c:v>
                </c:pt>
                <c:pt idx="30">
                  <c:v>39961</c:v>
                </c:pt>
                <c:pt idx="31">
                  <c:v>39962</c:v>
                </c:pt>
                <c:pt idx="32">
                  <c:v>39963</c:v>
                </c:pt>
                <c:pt idx="33">
                  <c:v>39964</c:v>
                </c:pt>
                <c:pt idx="34">
                  <c:v>39965</c:v>
                </c:pt>
                <c:pt idx="35">
                  <c:v>39966</c:v>
                </c:pt>
                <c:pt idx="36">
                  <c:v>39967</c:v>
                </c:pt>
                <c:pt idx="37">
                  <c:v>39968</c:v>
                </c:pt>
                <c:pt idx="38">
                  <c:v>39969</c:v>
                </c:pt>
                <c:pt idx="39">
                  <c:v>39970</c:v>
                </c:pt>
                <c:pt idx="40">
                  <c:v>39971</c:v>
                </c:pt>
                <c:pt idx="41">
                  <c:v>39972</c:v>
                </c:pt>
                <c:pt idx="42">
                  <c:v>39973</c:v>
                </c:pt>
                <c:pt idx="43">
                  <c:v>39974</c:v>
                </c:pt>
                <c:pt idx="44">
                  <c:v>39975</c:v>
                </c:pt>
                <c:pt idx="45">
                  <c:v>39976</c:v>
                </c:pt>
                <c:pt idx="46">
                  <c:v>39977</c:v>
                </c:pt>
                <c:pt idx="47">
                  <c:v>39978</c:v>
                </c:pt>
                <c:pt idx="48">
                  <c:v>39979</c:v>
                </c:pt>
                <c:pt idx="49">
                  <c:v>39980</c:v>
                </c:pt>
                <c:pt idx="50">
                  <c:v>39981</c:v>
                </c:pt>
                <c:pt idx="51">
                  <c:v>39982</c:v>
                </c:pt>
                <c:pt idx="52">
                  <c:v>39983</c:v>
                </c:pt>
                <c:pt idx="53">
                  <c:v>39984</c:v>
                </c:pt>
                <c:pt idx="54">
                  <c:v>39985</c:v>
                </c:pt>
                <c:pt idx="55">
                  <c:v>39986</c:v>
                </c:pt>
                <c:pt idx="56">
                  <c:v>39987</c:v>
                </c:pt>
                <c:pt idx="57">
                  <c:v>39988</c:v>
                </c:pt>
                <c:pt idx="58">
                  <c:v>39989</c:v>
                </c:pt>
                <c:pt idx="59">
                  <c:v>39990</c:v>
                </c:pt>
                <c:pt idx="60">
                  <c:v>39991</c:v>
                </c:pt>
                <c:pt idx="61">
                  <c:v>39992</c:v>
                </c:pt>
                <c:pt idx="62">
                  <c:v>39993</c:v>
                </c:pt>
                <c:pt idx="63">
                  <c:v>39994</c:v>
                </c:pt>
                <c:pt idx="64">
                  <c:v>39995</c:v>
                </c:pt>
                <c:pt idx="65">
                  <c:v>39996</c:v>
                </c:pt>
                <c:pt idx="66">
                  <c:v>39997</c:v>
                </c:pt>
                <c:pt idx="67">
                  <c:v>39998</c:v>
                </c:pt>
                <c:pt idx="68">
                  <c:v>39999</c:v>
                </c:pt>
                <c:pt idx="69">
                  <c:v>40000</c:v>
                </c:pt>
                <c:pt idx="70">
                  <c:v>0</c:v>
                </c:pt>
                <c:pt idx="71">
                  <c:v>40001</c:v>
                </c:pt>
                <c:pt idx="72">
                  <c:v>0</c:v>
                </c:pt>
                <c:pt idx="73">
                  <c:v>0</c:v>
                </c:pt>
                <c:pt idx="74">
                  <c:v>40002</c:v>
                </c:pt>
                <c:pt idx="75">
                  <c:v>40003</c:v>
                </c:pt>
                <c:pt idx="76">
                  <c:v>40004</c:v>
                </c:pt>
                <c:pt idx="77">
                  <c:v>40005</c:v>
                </c:pt>
                <c:pt idx="78">
                  <c:v>40006</c:v>
                </c:pt>
                <c:pt idx="79">
                  <c:v>40007</c:v>
                </c:pt>
                <c:pt idx="80">
                  <c:v>40008</c:v>
                </c:pt>
                <c:pt idx="81">
                  <c:v>40009</c:v>
                </c:pt>
                <c:pt idx="82">
                  <c:v>40010</c:v>
                </c:pt>
                <c:pt idx="83">
                  <c:v>40011</c:v>
                </c:pt>
                <c:pt idx="84">
                  <c:v>40012</c:v>
                </c:pt>
                <c:pt idx="85">
                  <c:v>40013</c:v>
                </c:pt>
                <c:pt idx="86">
                  <c:v>40014</c:v>
                </c:pt>
                <c:pt idx="87">
                  <c:v>40015</c:v>
                </c:pt>
                <c:pt idx="88">
                  <c:v>40016</c:v>
                </c:pt>
                <c:pt idx="89">
                  <c:v>40017</c:v>
                </c:pt>
                <c:pt idx="90">
                  <c:v>40018</c:v>
                </c:pt>
                <c:pt idx="91">
                  <c:v>40019</c:v>
                </c:pt>
                <c:pt idx="92">
                  <c:v>40020</c:v>
                </c:pt>
                <c:pt idx="93">
                  <c:v>40021</c:v>
                </c:pt>
                <c:pt idx="94">
                  <c:v>40022</c:v>
                </c:pt>
                <c:pt idx="95">
                  <c:v>40023</c:v>
                </c:pt>
                <c:pt idx="96">
                  <c:v>40024</c:v>
                </c:pt>
                <c:pt idx="97">
                  <c:v>40025</c:v>
                </c:pt>
                <c:pt idx="98">
                  <c:v>40026</c:v>
                </c:pt>
                <c:pt idx="99">
                  <c:v>40027</c:v>
                </c:pt>
                <c:pt idx="100">
                  <c:v>40028</c:v>
                </c:pt>
                <c:pt idx="101">
                  <c:v>40029</c:v>
                </c:pt>
                <c:pt idx="102">
                  <c:v>40030</c:v>
                </c:pt>
                <c:pt idx="103">
                  <c:v>40031</c:v>
                </c:pt>
                <c:pt idx="104">
                  <c:v>40032</c:v>
                </c:pt>
                <c:pt idx="105">
                  <c:v>40033</c:v>
                </c:pt>
                <c:pt idx="106">
                  <c:v>40034</c:v>
                </c:pt>
                <c:pt idx="107">
                  <c:v>40035</c:v>
                </c:pt>
                <c:pt idx="108">
                  <c:v>40036</c:v>
                </c:pt>
                <c:pt idx="109">
                  <c:v>0</c:v>
                </c:pt>
                <c:pt idx="110">
                  <c:v>0</c:v>
                </c:pt>
                <c:pt idx="111">
                  <c:v>40037</c:v>
                </c:pt>
                <c:pt idx="112">
                  <c:v>40038</c:v>
                </c:pt>
                <c:pt idx="113">
                  <c:v>40039</c:v>
                </c:pt>
                <c:pt idx="114">
                  <c:v>40040</c:v>
                </c:pt>
                <c:pt idx="115">
                  <c:v>40041</c:v>
                </c:pt>
                <c:pt idx="116">
                  <c:v>40042</c:v>
                </c:pt>
                <c:pt idx="117">
                  <c:v>40043</c:v>
                </c:pt>
                <c:pt idx="118">
                  <c:v>40044</c:v>
                </c:pt>
                <c:pt idx="119">
                  <c:v>40045</c:v>
                </c:pt>
                <c:pt idx="120">
                  <c:v>40046</c:v>
                </c:pt>
                <c:pt idx="121">
                  <c:v>0</c:v>
                </c:pt>
                <c:pt idx="122">
                  <c:v>40048</c:v>
                </c:pt>
                <c:pt idx="123">
                  <c:v>40049</c:v>
                </c:pt>
                <c:pt idx="124">
                  <c:v>40050</c:v>
                </c:pt>
                <c:pt idx="125">
                  <c:v>40051</c:v>
                </c:pt>
                <c:pt idx="126">
                  <c:v>40052</c:v>
                </c:pt>
                <c:pt idx="127">
                  <c:v>40053</c:v>
                </c:pt>
                <c:pt idx="128">
                  <c:v>40054</c:v>
                </c:pt>
                <c:pt idx="129">
                  <c:v>40055</c:v>
                </c:pt>
                <c:pt idx="130">
                  <c:v>40056</c:v>
                </c:pt>
                <c:pt idx="131">
                  <c:v>40057</c:v>
                </c:pt>
                <c:pt idx="132">
                  <c:v>40058</c:v>
                </c:pt>
                <c:pt idx="133">
                  <c:v>40059</c:v>
                </c:pt>
                <c:pt idx="134">
                  <c:v>40060</c:v>
                </c:pt>
                <c:pt idx="135">
                  <c:v>40061</c:v>
                </c:pt>
                <c:pt idx="136">
                  <c:v>40062</c:v>
                </c:pt>
                <c:pt idx="137">
                  <c:v>40063</c:v>
                </c:pt>
                <c:pt idx="138">
                  <c:v>40064</c:v>
                </c:pt>
                <c:pt idx="139">
                  <c:v>40065</c:v>
                </c:pt>
                <c:pt idx="140">
                  <c:v>40066</c:v>
                </c:pt>
                <c:pt idx="141">
                  <c:v>40067</c:v>
                </c:pt>
                <c:pt idx="142">
                  <c:v>40068</c:v>
                </c:pt>
                <c:pt idx="143">
                  <c:v>40069</c:v>
                </c:pt>
                <c:pt idx="144">
                  <c:v>40070</c:v>
                </c:pt>
                <c:pt idx="145">
                  <c:v>40071</c:v>
                </c:pt>
                <c:pt idx="146">
                  <c:v>40072</c:v>
                </c:pt>
                <c:pt idx="147">
                  <c:v>40073</c:v>
                </c:pt>
                <c:pt idx="148">
                  <c:v>40074</c:v>
                </c:pt>
                <c:pt idx="149">
                  <c:v>40075</c:v>
                </c:pt>
                <c:pt idx="150">
                  <c:v>40076</c:v>
                </c:pt>
                <c:pt idx="151">
                  <c:v>40077</c:v>
                </c:pt>
                <c:pt idx="152">
                  <c:v>40078</c:v>
                </c:pt>
                <c:pt idx="153">
                  <c:v>40079</c:v>
                </c:pt>
                <c:pt idx="154">
                  <c:v>40080</c:v>
                </c:pt>
                <c:pt idx="155">
                  <c:v>40081</c:v>
                </c:pt>
                <c:pt idx="156">
                  <c:v>40082</c:v>
                </c:pt>
                <c:pt idx="157">
                  <c:v>40083</c:v>
                </c:pt>
                <c:pt idx="158">
                  <c:v>40084</c:v>
                </c:pt>
                <c:pt idx="159">
                  <c:v>40085</c:v>
                </c:pt>
                <c:pt idx="160">
                  <c:v>40086</c:v>
                </c:pt>
                <c:pt idx="161">
                  <c:v>40087</c:v>
                </c:pt>
                <c:pt idx="162">
                  <c:v>40088</c:v>
                </c:pt>
                <c:pt idx="163">
                  <c:v>40089</c:v>
                </c:pt>
                <c:pt idx="164">
                  <c:v>40090</c:v>
                </c:pt>
                <c:pt idx="165">
                  <c:v>40091</c:v>
                </c:pt>
                <c:pt idx="166">
                  <c:v>40092</c:v>
                </c:pt>
                <c:pt idx="167">
                  <c:v>40093</c:v>
                </c:pt>
                <c:pt idx="168">
                  <c:v>40094</c:v>
                </c:pt>
                <c:pt idx="169">
                  <c:v>40095</c:v>
                </c:pt>
                <c:pt idx="170">
                  <c:v>40096</c:v>
                </c:pt>
                <c:pt idx="171">
                  <c:v>40097</c:v>
                </c:pt>
                <c:pt idx="172">
                  <c:v>40098</c:v>
                </c:pt>
                <c:pt idx="173">
                  <c:v>40099</c:v>
                </c:pt>
                <c:pt idx="174">
                  <c:v>40100</c:v>
                </c:pt>
                <c:pt idx="175">
                  <c:v>40101</c:v>
                </c:pt>
                <c:pt idx="176">
                  <c:v>40102</c:v>
                </c:pt>
                <c:pt idx="177">
                  <c:v>40103</c:v>
                </c:pt>
                <c:pt idx="178">
                  <c:v>40104</c:v>
                </c:pt>
                <c:pt idx="179">
                  <c:v>40105</c:v>
                </c:pt>
                <c:pt idx="180">
                  <c:v>40106</c:v>
                </c:pt>
                <c:pt idx="181">
                  <c:v>40107</c:v>
                </c:pt>
                <c:pt idx="182">
                  <c:v>40108</c:v>
                </c:pt>
                <c:pt idx="183">
                  <c:v>40109</c:v>
                </c:pt>
                <c:pt idx="184">
                  <c:v>40110</c:v>
                </c:pt>
                <c:pt idx="185">
                  <c:v>40111</c:v>
                </c:pt>
                <c:pt idx="186">
                  <c:v>40112</c:v>
                </c:pt>
                <c:pt idx="187">
                  <c:v>40113</c:v>
                </c:pt>
                <c:pt idx="188">
                  <c:v>40114</c:v>
                </c:pt>
                <c:pt idx="189">
                  <c:v>40115</c:v>
                </c:pt>
                <c:pt idx="190">
                  <c:v>40116</c:v>
                </c:pt>
                <c:pt idx="191">
                  <c:v>40117</c:v>
                </c:pt>
                <c:pt idx="192">
                  <c:v>40118</c:v>
                </c:pt>
                <c:pt idx="193">
                  <c:v>40119</c:v>
                </c:pt>
                <c:pt idx="194">
                  <c:v>40120</c:v>
                </c:pt>
                <c:pt idx="195">
                  <c:v>40121</c:v>
                </c:pt>
                <c:pt idx="196">
                  <c:v>40122</c:v>
                </c:pt>
                <c:pt idx="197">
                  <c:v>40123</c:v>
                </c:pt>
                <c:pt idx="198">
                  <c:v>40124</c:v>
                </c:pt>
                <c:pt idx="199">
                  <c:v>40125</c:v>
                </c:pt>
                <c:pt idx="200">
                  <c:v>40126</c:v>
                </c:pt>
                <c:pt idx="201">
                  <c:v>40127</c:v>
                </c:pt>
                <c:pt idx="202">
                  <c:v>40128</c:v>
                </c:pt>
                <c:pt idx="203">
                  <c:v>40129</c:v>
                </c:pt>
                <c:pt idx="204">
                  <c:v>40130</c:v>
                </c:pt>
                <c:pt idx="205">
                  <c:v>40131</c:v>
                </c:pt>
                <c:pt idx="206">
                  <c:v>40132</c:v>
                </c:pt>
                <c:pt idx="207">
                  <c:v>40133</c:v>
                </c:pt>
                <c:pt idx="208">
                  <c:v>40134</c:v>
                </c:pt>
                <c:pt idx="209">
                  <c:v>40135</c:v>
                </c:pt>
                <c:pt idx="210">
                  <c:v>40136</c:v>
                </c:pt>
                <c:pt idx="211">
                  <c:v>40137</c:v>
                </c:pt>
                <c:pt idx="212">
                  <c:v>40138</c:v>
                </c:pt>
                <c:pt idx="213">
                  <c:v>40139</c:v>
                </c:pt>
                <c:pt idx="214">
                  <c:v>40140</c:v>
                </c:pt>
                <c:pt idx="215">
                  <c:v>40141</c:v>
                </c:pt>
                <c:pt idx="216">
                  <c:v>40142</c:v>
                </c:pt>
                <c:pt idx="217">
                  <c:v>40143</c:v>
                </c:pt>
                <c:pt idx="218">
                  <c:v>40144</c:v>
                </c:pt>
                <c:pt idx="219">
                  <c:v>40145</c:v>
                </c:pt>
                <c:pt idx="220">
                  <c:v>40146</c:v>
                </c:pt>
                <c:pt idx="221">
                  <c:v>40147</c:v>
                </c:pt>
                <c:pt idx="222">
                  <c:v>40148</c:v>
                </c:pt>
                <c:pt idx="223">
                  <c:v>40149</c:v>
                </c:pt>
                <c:pt idx="224">
                  <c:v>40150</c:v>
                </c:pt>
                <c:pt idx="225">
                  <c:v>40151</c:v>
                </c:pt>
                <c:pt idx="226">
                  <c:v>40152</c:v>
                </c:pt>
                <c:pt idx="227">
                  <c:v>40153</c:v>
                </c:pt>
                <c:pt idx="228">
                  <c:v>40154</c:v>
                </c:pt>
                <c:pt idx="229">
                  <c:v>40155</c:v>
                </c:pt>
                <c:pt idx="230">
                  <c:v>40156</c:v>
                </c:pt>
                <c:pt idx="231">
                  <c:v>40157</c:v>
                </c:pt>
                <c:pt idx="232">
                  <c:v>40158</c:v>
                </c:pt>
                <c:pt idx="233">
                  <c:v>40159</c:v>
                </c:pt>
                <c:pt idx="234">
                  <c:v>40160</c:v>
                </c:pt>
                <c:pt idx="235">
                  <c:v>40161</c:v>
                </c:pt>
                <c:pt idx="236">
                  <c:v>40162</c:v>
                </c:pt>
                <c:pt idx="237">
                  <c:v>40163</c:v>
                </c:pt>
                <c:pt idx="238">
                  <c:v>40164</c:v>
                </c:pt>
                <c:pt idx="239">
                  <c:v>40165</c:v>
                </c:pt>
                <c:pt idx="240">
                  <c:v>40166</c:v>
                </c:pt>
                <c:pt idx="241">
                  <c:v>40167</c:v>
                </c:pt>
                <c:pt idx="242">
                  <c:v>40168</c:v>
                </c:pt>
                <c:pt idx="243">
                  <c:v>40169</c:v>
                </c:pt>
                <c:pt idx="244">
                  <c:v>40170</c:v>
                </c:pt>
                <c:pt idx="245">
                  <c:v>40171</c:v>
                </c:pt>
                <c:pt idx="246">
                  <c:v>40172</c:v>
                </c:pt>
                <c:pt idx="247">
                  <c:v>40173</c:v>
                </c:pt>
                <c:pt idx="248">
                  <c:v>40174</c:v>
                </c:pt>
                <c:pt idx="249">
                  <c:v>40175</c:v>
                </c:pt>
                <c:pt idx="250">
                  <c:v>40176</c:v>
                </c:pt>
                <c:pt idx="251">
                  <c:v>40177</c:v>
                </c:pt>
                <c:pt idx="252">
                  <c:v>40178</c:v>
                </c:pt>
                <c:pt idx="253">
                  <c:v>40179</c:v>
                </c:pt>
                <c:pt idx="254">
                  <c:v>40180</c:v>
                </c:pt>
                <c:pt idx="255">
                  <c:v>40181</c:v>
                </c:pt>
                <c:pt idx="256">
                  <c:v>40182</c:v>
                </c:pt>
                <c:pt idx="257">
                  <c:v>40183</c:v>
                </c:pt>
                <c:pt idx="258">
                  <c:v>40184</c:v>
                </c:pt>
                <c:pt idx="259">
                  <c:v>40185</c:v>
                </c:pt>
                <c:pt idx="260">
                  <c:v>40186</c:v>
                </c:pt>
                <c:pt idx="261">
                  <c:v>40189</c:v>
                </c:pt>
                <c:pt idx="262">
                  <c:v>40190</c:v>
                </c:pt>
                <c:pt idx="263">
                  <c:v>40191</c:v>
                </c:pt>
                <c:pt idx="264">
                  <c:v>40192</c:v>
                </c:pt>
                <c:pt idx="265">
                  <c:v>40193</c:v>
                </c:pt>
                <c:pt idx="266">
                  <c:v>40196</c:v>
                </c:pt>
                <c:pt idx="267">
                  <c:v>40197</c:v>
                </c:pt>
                <c:pt idx="268">
                  <c:v>40198</c:v>
                </c:pt>
                <c:pt idx="269">
                  <c:v>40199</c:v>
                </c:pt>
                <c:pt idx="270">
                  <c:v>40200</c:v>
                </c:pt>
                <c:pt idx="271">
                  <c:v>40203</c:v>
                </c:pt>
                <c:pt idx="272">
                  <c:v>40205</c:v>
                </c:pt>
                <c:pt idx="273">
                  <c:v>40206</c:v>
                </c:pt>
                <c:pt idx="274">
                  <c:v>40207</c:v>
                </c:pt>
                <c:pt idx="275">
                  <c:v>40210</c:v>
                </c:pt>
                <c:pt idx="276">
                  <c:v>40211</c:v>
                </c:pt>
                <c:pt idx="277">
                  <c:v>40212</c:v>
                </c:pt>
                <c:pt idx="278">
                  <c:v>40213</c:v>
                </c:pt>
                <c:pt idx="279">
                  <c:v>40214</c:v>
                </c:pt>
                <c:pt idx="280">
                  <c:v>40217</c:v>
                </c:pt>
                <c:pt idx="281">
                  <c:v>40218</c:v>
                </c:pt>
                <c:pt idx="282">
                  <c:v>40219</c:v>
                </c:pt>
                <c:pt idx="283">
                  <c:v>40220</c:v>
                </c:pt>
                <c:pt idx="284">
                  <c:v>40221</c:v>
                </c:pt>
                <c:pt idx="285">
                  <c:v>40224</c:v>
                </c:pt>
                <c:pt idx="286">
                  <c:v>40225</c:v>
                </c:pt>
                <c:pt idx="287">
                  <c:v>40226</c:v>
                </c:pt>
                <c:pt idx="288">
                  <c:v>40227</c:v>
                </c:pt>
                <c:pt idx="289">
                  <c:v>40228</c:v>
                </c:pt>
                <c:pt idx="290">
                  <c:v>40231</c:v>
                </c:pt>
                <c:pt idx="291">
                  <c:v>40232</c:v>
                </c:pt>
                <c:pt idx="292">
                  <c:v>40233</c:v>
                </c:pt>
                <c:pt idx="293">
                  <c:v>40234</c:v>
                </c:pt>
                <c:pt idx="294">
                  <c:v>40235</c:v>
                </c:pt>
              </c:numCache>
            </c:numRef>
          </c:cat>
          <c:val>
            <c:numRef>
              <c:f>[4]MASTER!$BZ$201:$BZ$495</c:f>
              <c:numCache>
                <c:formatCode>General</c:formatCode>
                <c:ptCount val="295"/>
                <c:pt idx="6">
                  <c:v>1.0096000000000001</c:v>
                </c:pt>
                <c:pt idx="7">
                  <c:v>1.0007999999999999</c:v>
                </c:pt>
                <c:pt idx="8">
                  <c:v>0.98550000000000004</c:v>
                </c:pt>
                <c:pt idx="9">
                  <c:v>1.002</c:v>
                </c:pt>
                <c:pt idx="10">
                  <c:v>1.0123</c:v>
                </c:pt>
                <c:pt idx="11">
                  <c:v>0.99250000000000005</c:v>
                </c:pt>
                <c:pt idx="12">
                  <c:v>0.9839</c:v>
                </c:pt>
                <c:pt idx="13">
                  <c:v>0.98560000000000003</c:v>
                </c:pt>
                <c:pt idx="14">
                  <c:v>0.98099999999999998</c:v>
                </c:pt>
                <c:pt idx="15">
                  <c:v>0.99360000000000004</c:v>
                </c:pt>
                <c:pt idx="16">
                  <c:v>1.0008999999999999</c:v>
                </c:pt>
                <c:pt idx="17">
                  <c:v>0.99380000000000002</c:v>
                </c:pt>
                <c:pt idx="18">
                  <c:v>0.9708</c:v>
                </c:pt>
                <c:pt idx="19">
                  <c:v>0.9577</c:v>
                </c:pt>
                <c:pt idx="26">
                  <c:v>0.98850000000000005</c:v>
                </c:pt>
                <c:pt idx="27">
                  <c:v>0.99239999999999995</c:v>
                </c:pt>
                <c:pt idx="28">
                  <c:v>0.99229999999999996</c:v>
                </c:pt>
                <c:pt idx="29">
                  <c:v>0.98629999999999995</c:v>
                </c:pt>
                <c:pt idx="30">
                  <c:v>0.97919999999999996</c:v>
                </c:pt>
                <c:pt idx="31">
                  <c:v>0.9768</c:v>
                </c:pt>
                <c:pt idx="32">
                  <c:v>0.9829</c:v>
                </c:pt>
                <c:pt idx="33">
                  <c:v>0.98219999999999996</c:v>
                </c:pt>
                <c:pt idx="34">
                  <c:v>0.98909999999999998</c:v>
                </c:pt>
                <c:pt idx="35">
                  <c:v>0.98850000000000005</c:v>
                </c:pt>
                <c:pt idx="36">
                  <c:v>0.996</c:v>
                </c:pt>
                <c:pt idx="37">
                  <c:v>0.99750000000000005</c:v>
                </c:pt>
                <c:pt idx="38">
                  <c:v>0.99460000000000004</c:v>
                </c:pt>
                <c:pt idx="39">
                  <c:v>0.98329999999999995</c:v>
                </c:pt>
                <c:pt idx="40">
                  <c:v>0.99080000000000001</c:v>
                </c:pt>
                <c:pt idx="41">
                  <c:v>0.98309999999999997</c:v>
                </c:pt>
                <c:pt idx="42">
                  <c:v>0.99850000000000005</c:v>
                </c:pt>
                <c:pt idx="43">
                  <c:v>0.996</c:v>
                </c:pt>
                <c:pt idx="44">
                  <c:v>0.98899999999999999</c:v>
                </c:pt>
                <c:pt idx="45">
                  <c:v>0.9849</c:v>
                </c:pt>
                <c:pt idx="46">
                  <c:v>0.98850000000000005</c:v>
                </c:pt>
                <c:pt idx="47">
                  <c:v>0.99129999999999996</c:v>
                </c:pt>
                <c:pt idx="48">
                  <c:v>1.0052000000000001</c:v>
                </c:pt>
                <c:pt idx="49">
                  <c:v>1.0106999999999999</c:v>
                </c:pt>
                <c:pt idx="50">
                  <c:v>1.0142</c:v>
                </c:pt>
                <c:pt idx="51">
                  <c:v>1.0107999999999999</c:v>
                </c:pt>
                <c:pt idx="52">
                  <c:v>1.0241</c:v>
                </c:pt>
                <c:pt idx="53">
                  <c:v>1.0392999999999999</c:v>
                </c:pt>
                <c:pt idx="54">
                  <c:v>1.0521</c:v>
                </c:pt>
                <c:pt idx="55">
                  <c:v>1.0609</c:v>
                </c:pt>
                <c:pt idx="56">
                  <c:v>1.0559000000000001</c:v>
                </c:pt>
                <c:pt idx="57">
                  <c:v>1.0542</c:v>
                </c:pt>
                <c:pt idx="58">
                  <c:v>1.0542</c:v>
                </c:pt>
                <c:pt idx="59">
                  <c:v>1.0397000000000001</c:v>
                </c:pt>
                <c:pt idx="60">
                  <c:v>1.0441</c:v>
                </c:pt>
                <c:pt idx="61">
                  <c:v>1.0481</c:v>
                </c:pt>
                <c:pt idx="62">
                  <c:v>1.0659000000000001</c:v>
                </c:pt>
                <c:pt idx="63">
                  <c:v>1.0746</c:v>
                </c:pt>
                <c:pt idx="64">
                  <c:v>1.0772999999999999</c:v>
                </c:pt>
                <c:pt idx="65">
                  <c:v>1.075</c:v>
                </c:pt>
                <c:pt idx="66">
                  <c:v>1.0735999999999999</c:v>
                </c:pt>
                <c:pt idx="67">
                  <c:v>1.0765</c:v>
                </c:pt>
                <c:pt idx="68">
                  <c:v>1.0926</c:v>
                </c:pt>
                <c:pt idx="69">
                  <c:v>1.0791999999999999</c:v>
                </c:pt>
                <c:pt idx="70">
                  <c:v>0</c:v>
                </c:pt>
                <c:pt idx="71">
                  <c:v>1.0871</c:v>
                </c:pt>
                <c:pt idx="72">
                  <c:v>0</c:v>
                </c:pt>
                <c:pt idx="73">
                  <c:v>0</c:v>
                </c:pt>
                <c:pt idx="74">
                  <c:v>1.0792999999999999</c:v>
                </c:pt>
                <c:pt idx="75">
                  <c:v>1.0831</c:v>
                </c:pt>
                <c:pt idx="76">
                  <c:v>1.0596000000000001</c:v>
                </c:pt>
                <c:pt idx="77">
                  <c:v>1.0631999999999999</c:v>
                </c:pt>
                <c:pt idx="78">
                  <c:v>1.0662</c:v>
                </c:pt>
                <c:pt idx="79">
                  <c:v>1.0652999999999999</c:v>
                </c:pt>
                <c:pt idx="80">
                  <c:v>1.0652999999999999</c:v>
                </c:pt>
                <c:pt idx="81">
                  <c:v>1.0531999999999999</c:v>
                </c:pt>
                <c:pt idx="82">
                  <c:v>1.0646</c:v>
                </c:pt>
                <c:pt idx="83">
                  <c:v>1.0757000000000001</c:v>
                </c:pt>
                <c:pt idx="84">
                  <c:v>1.0767</c:v>
                </c:pt>
                <c:pt idx="85">
                  <c:v>1.0857000000000001</c:v>
                </c:pt>
                <c:pt idx="86">
                  <c:v>1.0925</c:v>
                </c:pt>
                <c:pt idx="87">
                  <c:v>1.0895999999999999</c:v>
                </c:pt>
                <c:pt idx="88">
                  <c:v>1.1083000000000001</c:v>
                </c:pt>
                <c:pt idx="89">
                  <c:v>1.1094999999999999</c:v>
                </c:pt>
                <c:pt idx="90">
                  <c:v>1.1175999999999999</c:v>
                </c:pt>
                <c:pt idx="91">
                  <c:v>1.1101000000000001</c:v>
                </c:pt>
                <c:pt idx="92">
                  <c:v>1.1200000000000001</c:v>
                </c:pt>
                <c:pt idx="93">
                  <c:v>1.1042000000000001</c:v>
                </c:pt>
                <c:pt idx="94">
                  <c:v>1.1117999999999999</c:v>
                </c:pt>
                <c:pt idx="95">
                  <c:v>1.1051</c:v>
                </c:pt>
                <c:pt idx="96">
                  <c:v>1.1215999999999999</c:v>
                </c:pt>
                <c:pt idx="97">
                  <c:v>1.1272</c:v>
                </c:pt>
                <c:pt idx="98">
                  <c:v>1.1294</c:v>
                </c:pt>
                <c:pt idx="99">
                  <c:v>1.1259000000000001</c:v>
                </c:pt>
                <c:pt idx="100">
                  <c:v>1.1289</c:v>
                </c:pt>
                <c:pt idx="101">
                  <c:v>1.1313</c:v>
                </c:pt>
                <c:pt idx="102">
                  <c:v>1.1368</c:v>
                </c:pt>
                <c:pt idx="103">
                  <c:v>1.1320000000000001</c:v>
                </c:pt>
                <c:pt idx="104">
                  <c:v>1.1461000000000001</c:v>
                </c:pt>
                <c:pt idx="105">
                  <c:v>1.1602000000000001</c:v>
                </c:pt>
                <c:pt idx="106">
                  <c:v>1.1657999999999999</c:v>
                </c:pt>
                <c:pt idx="107">
                  <c:v>1.1861999999999999</c:v>
                </c:pt>
                <c:pt idx="108">
                  <c:v>1.1567000000000001</c:v>
                </c:pt>
                <c:pt idx="109">
                  <c:v>0</c:v>
                </c:pt>
                <c:pt idx="110">
                  <c:v>0</c:v>
                </c:pt>
                <c:pt idx="111">
                  <c:v>1.1618999999999999</c:v>
                </c:pt>
                <c:pt idx="112">
                  <c:v>1.1539999999999999</c:v>
                </c:pt>
                <c:pt idx="113">
                  <c:v>1.1718</c:v>
                </c:pt>
                <c:pt idx="114">
                  <c:v>1.1732</c:v>
                </c:pt>
                <c:pt idx="115">
                  <c:v>1.1802999999999999</c:v>
                </c:pt>
                <c:pt idx="116">
                  <c:v>1.1713</c:v>
                </c:pt>
                <c:pt idx="117">
                  <c:v>1.1572</c:v>
                </c:pt>
                <c:pt idx="118">
                  <c:v>1.1565000000000001</c:v>
                </c:pt>
                <c:pt idx="119">
                  <c:v>1.1549</c:v>
                </c:pt>
                <c:pt idx="120">
                  <c:v>1.1696</c:v>
                </c:pt>
                <c:pt idx="121">
                  <c:v>0</c:v>
                </c:pt>
                <c:pt idx="122">
                  <c:v>1.1400999999999999</c:v>
                </c:pt>
                <c:pt idx="123">
                  <c:v>1.1573</c:v>
                </c:pt>
                <c:pt idx="124">
                  <c:v>1.1648000000000001</c:v>
                </c:pt>
                <c:pt idx="125">
                  <c:v>1.1718999999999999</c:v>
                </c:pt>
                <c:pt idx="126">
                  <c:v>1.1644000000000001</c:v>
                </c:pt>
                <c:pt idx="127">
                  <c:v>1.1749000000000001</c:v>
                </c:pt>
                <c:pt idx="128">
                  <c:v>1.1648000000000001</c:v>
                </c:pt>
                <c:pt idx="129">
                  <c:v>1.1634</c:v>
                </c:pt>
                <c:pt idx="130">
                  <c:v>1.1566000000000001</c:v>
                </c:pt>
                <c:pt idx="131">
                  <c:v>1.1562000000000001</c:v>
                </c:pt>
                <c:pt idx="132">
                  <c:v>1.1595</c:v>
                </c:pt>
                <c:pt idx="133">
                  <c:v>1.1506000000000001</c:v>
                </c:pt>
                <c:pt idx="134">
                  <c:v>1.1383000000000001</c:v>
                </c:pt>
                <c:pt idx="135">
                  <c:v>1.1406000000000001</c:v>
                </c:pt>
                <c:pt idx="136">
                  <c:v>1.1341000000000001</c:v>
                </c:pt>
                <c:pt idx="137">
                  <c:v>1.1459999999999999</c:v>
                </c:pt>
                <c:pt idx="138">
                  <c:v>1.1556</c:v>
                </c:pt>
                <c:pt idx="139">
                  <c:v>1.1600999999999999</c:v>
                </c:pt>
                <c:pt idx="140">
                  <c:v>1.1644000000000001</c:v>
                </c:pt>
                <c:pt idx="141">
                  <c:v>1.1665000000000001</c:v>
                </c:pt>
                <c:pt idx="142">
                  <c:v>1.1732</c:v>
                </c:pt>
                <c:pt idx="143">
                  <c:v>1.1774</c:v>
                </c:pt>
                <c:pt idx="144">
                  <c:v>1.1788000000000001</c:v>
                </c:pt>
                <c:pt idx="145">
                  <c:v>1.1774</c:v>
                </c:pt>
                <c:pt idx="146">
                  <c:v>1.1829000000000001</c:v>
                </c:pt>
                <c:pt idx="147">
                  <c:v>1.1955</c:v>
                </c:pt>
                <c:pt idx="148">
                  <c:v>1.1880999999999999</c:v>
                </c:pt>
                <c:pt idx="149">
                  <c:v>1.1854</c:v>
                </c:pt>
                <c:pt idx="150">
                  <c:v>1.1926000000000001</c:v>
                </c:pt>
                <c:pt idx="151">
                  <c:v>1.2078</c:v>
                </c:pt>
                <c:pt idx="152">
                  <c:v>1.2062999999999999</c:v>
                </c:pt>
                <c:pt idx="153">
                  <c:v>1.2094</c:v>
                </c:pt>
                <c:pt idx="154">
                  <c:v>1.2040999999999999</c:v>
                </c:pt>
                <c:pt idx="155">
                  <c:v>1.2081999999999999</c:v>
                </c:pt>
                <c:pt idx="156">
                  <c:v>1.2064999999999999</c:v>
                </c:pt>
                <c:pt idx="157">
                  <c:v>1.1929000000000001</c:v>
                </c:pt>
                <c:pt idx="158">
                  <c:v>1.2076</c:v>
                </c:pt>
                <c:pt idx="159">
                  <c:v>1.2163999999999999</c:v>
                </c:pt>
                <c:pt idx="160">
                  <c:v>1.1888000000000001</c:v>
                </c:pt>
                <c:pt idx="161">
                  <c:v>1.1952</c:v>
                </c:pt>
                <c:pt idx="162">
                  <c:v>1.1963999999999999</c:v>
                </c:pt>
                <c:pt idx="163">
                  <c:v>1.2020999999999999</c:v>
                </c:pt>
                <c:pt idx="164">
                  <c:v>1.1913</c:v>
                </c:pt>
                <c:pt idx="165">
                  <c:v>1.2070000000000001</c:v>
                </c:pt>
                <c:pt idx="166">
                  <c:v>1.2046999999999999</c:v>
                </c:pt>
                <c:pt idx="167">
                  <c:v>1.2058</c:v>
                </c:pt>
                <c:pt idx="168">
                  <c:v>1.1969000000000001</c:v>
                </c:pt>
                <c:pt idx="169">
                  <c:v>1.2111000000000001</c:v>
                </c:pt>
                <c:pt idx="170">
                  <c:v>1.2109000000000001</c:v>
                </c:pt>
                <c:pt idx="171">
                  <c:v>1.2121999999999999</c:v>
                </c:pt>
                <c:pt idx="172">
                  <c:v>1.2020999999999999</c:v>
                </c:pt>
                <c:pt idx="173">
                  <c:v>1.2046999999999999</c:v>
                </c:pt>
                <c:pt idx="174">
                  <c:v>1.2113</c:v>
                </c:pt>
                <c:pt idx="175">
                  <c:v>1.2199</c:v>
                </c:pt>
                <c:pt idx="176">
                  <c:v>1.2275</c:v>
                </c:pt>
                <c:pt idx="177">
                  <c:v>1.2262</c:v>
                </c:pt>
                <c:pt idx="178">
                  <c:v>1.2254</c:v>
                </c:pt>
                <c:pt idx="179">
                  <c:v>1.23</c:v>
                </c:pt>
                <c:pt idx="180">
                  <c:v>1.2217</c:v>
                </c:pt>
                <c:pt idx="181">
                  <c:v>1.2262</c:v>
                </c:pt>
                <c:pt idx="182">
                  <c:v>1.2277</c:v>
                </c:pt>
                <c:pt idx="183">
                  <c:v>1.2373000000000001</c:v>
                </c:pt>
                <c:pt idx="184">
                  <c:v>1.2311000000000001</c:v>
                </c:pt>
                <c:pt idx="185">
                  <c:v>1.2251000000000001</c:v>
                </c:pt>
                <c:pt idx="186">
                  <c:v>1.2288999999999999</c:v>
                </c:pt>
                <c:pt idx="187">
                  <c:v>1.2337</c:v>
                </c:pt>
                <c:pt idx="188">
                  <c:v>1.2355</c:v>
                </c:pt>
                <c:pt idx="189">
                  <c:v>1.2319</c:v>
                </c:pt>
                <c:pt idx="190">
                  <c:v>1.2242</c:v>
                </c:pt>
                <c:pt idx="191">
                  <c:v>1.242</c:v>
                </c:pt>
                <c:pt idx="192">
                  <c:v>1.2444999999999999</c:v>
                </c:pt>
                <c:pt idx="193">
                  <c:v>1.2404999999999999</c:v>
                </c:pt>
                <c:pt idx="194">
                  <c:v>1.2304999999999999</c:v>
                </c:pt>
                <c:pt idx="195">
                  <c:v>1.2418</c:v>
                </c:pt>
                <c:pt idx="196">
                  <c:v>1.2484</c:v>
                </c:pt>
                <c:pt idx="197">
                  <c:v>1.2570999999999999</c:v>
                </c:pt>
                <c:pt idx="198">
                  <c:v>1.2605</c:v>
                </c:pt>
                <c:pt idx="199">
                  <c:v>1.2647999999999999</c:v>
                </c:pt>
                <c:pt idx="200">
                  <c:v>1.2674000000000001</c:v>
                </c:pt>
                <c:pt idx="201">
                  <c:v>1.272</c:v>
                </c:pt>
                <c:pt idx="202">
                  <c:v>1.2785</c:v>
                </c:pt>
                <c:pt idx="203">
                  <c:v>1.2816000000000001</c:v>
                </c:pt>
                <c:pt idx="204">
                  <c:v>1.28</c:v>
                </c:pt>
                <c:pt idx="205">
                  <c:v>1.2898000000000001</c:v>
                </c:pt>
                <c:pt idx="206">
                  <c:v>1.2863</c:v>
                </c:pt>
                <c:pt idx="207">
                  <c:v>1.2903</c:v>
                </c:pt>
                <c:pt idx="208">
                  <c:v>1.2930999999999999</c:v>
                </c:pt>
                <c:pt idx="209">
                  <c:v>1.288</c:v>
                </c:pt>
                <c:pt idx="210">
                  <c:v>1.2846</c:v>
                </c:pt>
                <c:pt idx="211">
                  <c:v>1.2734000000000001</c:v>
                </c:pt>
                <c:pt idx="212">
                  <c:v>1.2610000000000001</c:v>
                </c:pt>
                <c:pt idx="213">
                  <c:v>1.2793999999999999</c:v>
                </c:pt>
                <c:pt idx="214">
                  <c:v>1.2648999999999999</c:v>
                </c:pt>
                <c:pt idx="215">
                  <c:v>1.2604</c:v>
                </c:pt>
                <c:pt idx="216">
                  <c:v>1.2635000000000001</c:v>
                </c:pt>
                <c:pt idx="217">
                  <c:v>1.2654000000000001</c:v>
                </c:pt>
                <c:pt idx="218">
                  <c:v>1.2727999999999999</c:v>
                </c:pt>
                <c:pt idx="219">
                  <c:v>1.2858000000000001</c:v>
                </c:pt>
                <c:pt idx="220">
                  <c:v>1.2879</c:v>
                </c:pt>
                <c:pt idx="221">
                  <c:v>1.2907999999999999</c:v>
                </c:pt>
                <c:pt idx="222">
                  <c:v>1.2950999999999999</c:v>
                </c:pt>
                <c:pt idx="223">
                  <c:v>1.2856000000000001</c:v>
                </c:pt>
                <c:pt idx="224">
                  <c:v>1.2946</c:v>
                </c:pt>
                <c:pt idx="225">
                  <c:v>1.2934000000000001</c:v>
                </c:pt>
                <c:pt idx="226">
                  <c:v>1.2869999999999999</c:v>
                </c:pt>
                <c:pt idx="227">
                  <c:v>1.2821</c:v>
                </c:pt>
                <c:pt idx="228">
                  <c:v>1.2776000000000001</c:v>
                </c:pt>
                <c:pt idx="229">
                  <c:v>1.2748999999999999</c:v>
                </c:pt>
                <c:pt idx="230">
                  <c:v>1.2783</c:v>
                </c:pt>
                <c:pt idx="231">
                  <c:v>1.2808999999999999</c:v>
                </c:pt>
                <c:pt idx="232">
                  <c:v>1.2734000000000001</c:v>
                </c:pt>
                <c:pt idx="233">
                  <c:v>1.2544</c:v>
                </c:pt>
                <c:pt idx="234">
                  <c:v>1.2690000000000001</c:v>
                </c:pt>
                <c:pt idx="235">
                  <c:v>1.2645</c:v>
                </c:pt>
                <c:pt idx="236">
                  <c:v>1.2793999999999999</c:v>
                </c:pt>
                <c:pt idx="237">
                  <c:v>1.2827</c:v>
                </c:pt>
                <c:pt idx="238">
                  <c:v>1.2772999999999999</c:v>
                </c:pt>
                <c:pt idx="239">
                  <c:v>1.2716000000000001</c:v>
                </c:pt>
                <c:pt idx="240">
                  <c:v>1.2688999999999999</c:v>
                </c:pt>
                <c:pt idx="241">
                  <c:v>1.2629999999999999</c:v>
                </c:pt>
                <c:pt idx="242">
                  <c:v>1.2706</c:v>
                </c:pt>
                <c:pt idx="243">
                  <c:v>1.2722</c:v>
                </c:pt>
                <c:pt idx="244">
                  <c:v>1.2667999999999999</c:v>
                </c:pt>
                <c:pt idx="245">
                  <c:v>1.2716000000000001</c:v>
                </c:pt>
                <c:pt idx="246">
                  <c:v>1.2566999999999999</c:v>
                </c:pt>
                <c:pt idx="247">
                  <c:v>1.2474000000000001</c:v>
                </c:pt>
                <c:pt idx="248">
                  <c:v>1.2454000000000001</c:v>
                </c:pt>
                <c:pt idx="249">
                  <c:v>1.2447999999999999</c:v>
                </c:pt>
                <c:pt idx="250">
                  <c:v>1.2359</c:v>
                </c:pt>
                <c:pt idx="251">
                  <c:v>1.2366999999999999</c:v>
                </c:pt>
                <c:pt idx="252">
                  <c:v>1.2408999999999999</c:v>
                </c:pt>
                <c:pt idx="253">
                  <c:v>1.2498</c:v>
                </c:pt>
                <c:pt idx="254">
                  <c:v>1.2523</c:v>
                </c:pt>
                <c:pt idx="255">
                  <c:v>1.2589000000000001</c:v>
                </c:pt>
                <c:pt idx="256">
                  <c:v>1.258</c:v>
                </c:pt>
                <c:pt idx="257">
                  <c:v>1.2745</c:v>
                </c:pt>
                <c:pt idx="258">
                  <c:v>1.2763</c:v>
                </c:pt>
                <c:pt idx="259">
                  <c:v>1.2863</c:v>
                </c:pt>
                <c:pt idx="260">
                  <c:v>1.2801</c:v>
                </c:pt>
                <c:pt idx="261">
                  <c:v>1.2926</c:v>
                </c:pt>
                <c:pt idx="262">
                  <c:v>1.2889999999999999</c:v>
                </c:pt>
                <c:pt idx="263">
                  <c:v>1.2833000000000001</c:v>
                </c:pt>
                <c:pt idx="264">
                  <c:v>1.2887</c:v>
                </c:pt>
                <c:pt idx="265">
                  <c:v>1.2882</c:v>
                </c:pt>
                <c:pt idx="266">
                  <c:v>1.2817000000000001</c:v>
                </c:pt>
                <c:pt idx="267">
                  <c:v>1.282</c:v>
                </c:pt>
                <c:pt idx="268">
                  <c:v>1.2784</c:v>
                </c:pt>
                <c:pt idx="269">
                  <c:v>1.2782</c:v>
                </c:pt>
                <c:pt idx="270">
                  <c:v>1.2679</c:v>
                </c:pt>
                <c:pt idx="271">
                  <c:v>1.2713000000000001</c:v>
                </c:pt>
                <c:pt idx="272">
                  <c:v>1.2657</c:v>
                </c:pt>
                <c:pt idx="273">
                  <c:v>1.2641</c:v>
                </c:pt>
                <c:pt idx="274">
                  <c:v>1.2530000000000001</c:v>
                </c:pt>
                <c:pt idx="275">
                  <c:v>1.2458</c:v>
                </c:pt>
                <c:pt idx="276">
                  <c:v>1.2433000000000001</c:v>
                </c:pt>
                <c:pt idx="277">
                  <c:v>1.2478</c:v>
                </c:pt>
                <c:pt idx="278">
                  <c:v>1.2442</c:v>
                </c:pt>
                <c:pt idx="279">
                  <c:v>1.2321</c:v>
                </c:pt>
                <c:pt idx="280">
                  <c:v>1.2314000000000001</c:v>
                </c:pt>
                <c:pt idx="281">
                  <c:v>1.2331000000000001</c:v>
                </c:pt>
                <c:pt idx="282">
                  <c:v>1.2418</c:v>
                </c:pt>
                <c:pt idx="283">
                  <c:v>1.2543</c:v>
                </c:pt>
                <c:pt idx="284">
                  <c:v>1.2551999999999999</c:v>
                </c:pt>
                <c:pt idx="285">
                  <c:v>1.2528999999999999</c:v>
                </c:pt>
                <c:pt idx="286">
                  <c:v>1.2589999999999999</c:v>
                </c:pt>
                <c:pt idx="287">
                  <c:v>1.2650999999999999</c:v>
                </c:pt>
                <c:pt idx="288">
                  <c:v>1.2621</c:v>
                </c:pt>
                <c:pt idx="289">
                  <c:v>1.2587999999999999</c:v>
                </c:pt>
                <c:pt idx="290">
                  <c:v>1.2687999999999999</c:v>
                </c:pt>
                <c:pt idx="291">
                  <c:v>1.2685</c:v>
                </c:pt>
                <c:pt idx="292">
                  <c:v>1.2589999999999999</c:v>
                </c:pt>
                <c:pt idx="293">
                  <c:v>1.2544999999999999</c:v>
                </c:pt>
                <c:pt idx="294">
                  <c:v>1.2532000000000001</c:v>
                </c:pt>
              </c:numCache>
            </c:numRef>
          </c:val>
          <c:smooth val="0"/>
          <c:extLst>
            <c:ext xmlns:c16="http://schemas.microsoft.com/office/drawing/2014/chart" uri="{C3380CC4-5D6E-409C-BE32-E72D297353CC}">
              <c16:uniqueId val="{00000000-50F5-4626-936B-15D1DEB33F7B}"/>
            </c:ext>
          </c:extLst>
        </c:ser>
        <c:dLbls>
          <c:showLegendKey val="0"/>
          <c:showVal val="0"/>
          <c:showCatName val="0"/>
          <c:showSerName val="0"/>
          <c:showPercent val="0"/>
          <c:showBubbleSize val="0"/>
        </c:dLbls>
        <c:smooth val="0"/>
        <c:axId val="1047021816"/>
        <c:axId val="1047032008"/>
      </c:lineChart>
      <c:dateAx>
        <c:axId val="1047021816"/>
        <c:scaling>
          <c:orientation val="minMax"/>
        </c:scaling>
        <c:delete val="0"/>
        <c:axPos val="b"/>
        <c:numFmt formatCode="dd/mm/yy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Trebuchet MS"/>
                <a:ea typeface="Trebuchet MS"/>
                <a:cs typeface="Trebuchet MS"/>
              </a:defRPr>
            </a:pPr>
            <a:endParaRPr lang="en-US"/>
          </a:p>
        </c:txPr>
        <c:crossAx val="1047032008"/>
        <c:crosses val="autoZero"/>
        <c:auto val="1"/>
        <c:lblOffset val="100"/>
        <c:baseTimeUnit val="days"/>
        <c:majorUnit val="1"/>
        <c:majorTimeUnit val="months"/>
        <c:minorUnit val="1"/>
        <c:minorTimeUnit val="months"/>
      </c:dateAx>
      <c:valAx>
        <c:axId val="1047032008"/>
        <c:scaling>
          <c:orientation val="minMax"/>
          <c:min val="0.6"/>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181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rebuchet MS"/>
                <a:ea typeface="Trebuchet MS"/>
                <a:cs typeface="Trebuchet MS"/>
              </a:defRPr>
            </a:pPr>
            <a:r>
              <a:rPr lang="en-GB"/>
              <a:t>BB ARPU/sub/month</a:t>
            </a:r>
          </a:p>
        </c:rich>
      </c:tx>
      <c:layout>
        <c:manualLayout>
          <c:xMode val="edge"/>
          <c:yMode val="edge"/>
          <c:x val="0.39225659923822648"/>
          <c:y val="3.2911392405063293E-2"/>
        </c:manualLayout>
      </c:layout>
      <c:overlay val="0"/>
      <c:spPr>
        <a:noFill/>
        <a:ln w="25400">
          <a:noFill/>
        </a:ln>
      </c:spPr>
    </c:title>
    <c:autoTitleDeleted val="0"/>
    <c:plotArea>
      <c:layout>
        <c:manualLayout>
          <c:layoutTarget val="inner"/>
          <c:xMode val="edge"/>
          <c:yMode val="edge"/>
          <c:x val="7.2390691404098609E-2"/>
          <c:y val="0.18734177215189873"/>
          <c:w val="0.90404189032560356"/>
          <c:h val="0.6860759493670886"/>
        </c:manualLayout>
      </c:layout>
      <c:barChart>
        <c:barDir val="col"/>
        <c:grouping val="clustered"/>
        <c:varyColors val="0"/>
        <c:ser>
          <c:idx val="0"/>
          <c:order val="0"/>
          <c:tx>
            <c:strRef>
              <c:f>[4]MASTER!$AF$161</c:f>
              <c:strCache>
                <c:ptCount val="1"/>
                <c:pt idx="0">
                  <c:v>Total Pay-TV Revs</c:v>
                </c:pt>
              </c:strCache>
            </c:strRef>
          </c:tx>
          <c:spPr>
            <a:solidFill>
              <a:srgbClr val="000080"/>
            </a:solidFill>
            <a:ln w="25400">
              <a:noFill/>
            </a:ln>
          </c:spPr>
          <c:invertIfNegative val="0"/>
          <c:cat>
            <c:numRef>
              <c:f>[4]MASTER!$AG$160:$AQ$160</c:f>
              <c:numCache>
                <c:formatCode>General</c:formatCode>
                <c:ptCount val="11"/>
                <c:pt idx="0">
                  <c:v>0</c:v>
                </c:pt>
                <c:pt idx="1">
                  <c:v>0</c:v>
                </c:pt>
                <c:pt idx="2">
                  <c:v>0</c:v>
                </c:pt>
                <c:pt idx="3">
                  <c:v>0</c:v>
                </c:pt>
                <c:pt idx="4">
                  <c:v>0</c:v>
                </c:pt>
                <c:pt idx="5">
                  <c:v>0</c:v>
                </c:pt>
                <c:pt idx="6">
                  <c:v>0</c:v>
                </c:pt>
              </c:numCache>
            </c:numRef>
          </c:cat>
          <c:val>
            <c:numRef>
              <c:f>[4]MASTER!$AG$161:$AQ$161</c:f>
              <c:numCache>
                <c:formatCode>General</c:formatCode>
                <c:ptCount val="11"/>
                <c:pt idx="0">
                  <c:v>262.39999999999998</c:v>
                </c:pt>
                <c:pt idx="1">
                  <c:v>313.2</c:v>
                </c:pt>
                <c:pt idx="2">
                  <c:v>342</c:v>
                </c:pt>
                <c:pt idx="3">
                  <c:v>398.14</c:v>
                </c:pt>
                <c:pt idx="4">
                  <c:v>412.34005436787288</c:v>
                </c:pt>
                <c:pt idx="5">
                  <c:v>441.32505811297347</c:v>
                </c:pt>
                <c:pt idx="6">
                  <c:v>467.99361565100776</c:v>
                </c:pt>
              </c:numCache>
            </c:numRef>
          </c:val>
          <c:extLst>
            <c:ext xmlns:c16="http://schemas.microsoft.com/office/drawing/2014/chart" uri="{C3380CC4-5D6E-409C-BE32-E72D297353CC}">
              <c16:uniqueId val="{00000000-2261-4D6E-8888-8D6E3CBCEE6E}"/>
            </c:ext>
          </c:extLst>
        </c:ser>
        <c:dLbls>
          <c:showLegendKey val="0"/>
          <c:showVal val="0"/>
          <c:showCatName val="0"/>
          <c:showSerName val="0"/>
          <c:showPercent val="0"/>
          <c:showBubbleSize val="0"/>
        </c:dLbls>
        <c:gapWidth val="150"/>
        <c:axId val="1047023384"/>
        <c:axId val="1047023776"/>
      </c:barChart>
      <c:catAx>
        <c:axId val="1047023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3776"/>
        <c:crosses val="autoZero"/>
        <c:auto val="1"/>
        <c:lblAlgn val="ctr"/>
        <c:lblOffset val="100"/>
        <c:tickLblSkip val="1"/>
        <c:tickMarkSkip val="1"/>
        <c:noMultiLvlLbl val="0"/>
      </c:catAx>
      <c:valAx>
        <c:axId val="1047023776"/>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233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714493318064766"/>
          <c:y val="7.2319201995012475E-2"/>
          <c:w val="0.41666908871075564"/>
          <c:h val="0.85785536159600995"/>
        </c:manualLayout>
      </c:layout>
      <c:lineChart>
        <c:grouping val="standard"/>
        <c:varyColors val="0"/>
        <c:ser>
          <c:idx val="0"/>
          <c:order val="0"/>
          <c:spPr>
            <a:ln w="25400">
              <a:solidFill>
                <a:srgbClr val="000080"/>
              </a:solidFill>
              <a:prstDash val="solid"/>
            </a:ln>
          </c:spPr>
          <c:marker>
            <c:symbol val="none"/>
          </c:marker>
          <c:cat>
            <c:numRef>
              <c:f>[4]MASTER!$AF$593:$AM$593</c:f>
              <c:numCache>
                <c:formatCode>General</c:formatCode>
                <c:ptCount val="8"/>
                <c:pt idx="0">
                  <c:v>0</c:v>
                </c:pt>
                <c:pt idx="1">
                  <c:v>0</c:v>
                </c:pt>
                <c:pt idx="2">
                  <c:v>0</c:v>
                </c:pt>
              </c:numCache>
            </c:numRef>
          </c:cat>
          <c:val>
            <c:numRef>
              <c:f>[4]MASTER!$AF$594:$AM$594</c:f>
              <c:numCache>
                <c:formatCode>General</c:formatCode>
                <c:ptCount val="8"/>
                <c:pt idx="0">
                  <c:v>0</c:v>
                </c:pt>
                <c:pt idx="1">
                  <c:v>0</c:v>
                </c:pt>
                <c:pt idx="2">
                  <c:v>0</c:v>
                </c:pt>
              </c:numCache>
            </c:numRef>
          </c:val>
          <c:smooth val="0"/>
          <c:extLst>
            <c:ext xmlns:c16="http://schemas.microsoft.com/office/drawing/2014/chart" uri="{C3380CC4-5D6E-409C-BE32-E72D297353CC}">
              <c16:uniqueId val="{00000000-4624-47B3-A24D-9A5AAB445B7D}"/>
            </c:ext>
          </c:extLst>
        </c:ser>
        <c:dLbls>
          <c:showLegendKey val="0"/>
          <c:showVal val="0"/>
          <c:showCatName val="0"/>
          <c:showSerName val="0"/>
          <c:showPercent val="0"/>
          <c:showBubbleSize val="0"/>
        </c:dLbls>
        <c:smooth val="0"/>
        <c:axId val="1047032792"/>
        <c:axId val="1047037104"/>
      </c:lineChart>
      <c:catAx>
        <c:axId val="1047032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3060000" vert="horz"/>
          <a:lstStyle/>
          <a:p>
            <a:pPr>
              <a:defRPr sz="800" b="0" i="0" u="none" strike="noStrike" baseline="0">
                <a:solidFill>
                  <a:srgbClr val="000000"/>
                </a:solidFill>
                <a:latin typeface="Trebuchet MS"/>
                <a:ea typeface="Trebuchet MS"/>
                <a:cs typeface="Trebuchet MS"/>
              </a:defRPr>
            </a:pPr>
            <a:endParaRPr lang="en-US"/>
          </a:p>
        </c:txPr>
        <c:crossAx val="1047037104"/>
        <c:crosses val="autoZero"/>
        <c:auto val="1"/>
        <c:lblAlgn val="ctr"/>
        <c:lblOffset val="100"/>
        <c:tickLblSkip val="3"/>
        <c:tickMarkSkip val="1"/>
        <c:noMultiLvlLbl val="0"/>
      </c:catAx>
      <c:valAx>
        <c:axId val="1047037104"/>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104703279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152530311738779E-2"/>
          <c:y val="4.2768064226182748E-2"/>
          <c:w val="0.90913095347343309"/>
          <c:h val="0.70031557137154155"/>
        </c:manualLayout>
      </c:layout>
      <c:lineChart>
        <c:grouping val="standard"/>
        <c:varyColors val="0"/>
        <c:ser>
          <c:idx val="0"/>
          <c:order val="0"/>
          <c:tx>
            <c:strRef>
              <c:f>'Forward valuation'!$B$26</c:f>
              <c:strCache>
                <c:ptCount val="1"/>
                <c:pt idx="0">
                  <c:v>Rolling EV/EBITDA</c:v>
                </c:pt>
              </c:strCache>
            </c:strRef>
          </c:tx>
          <c:spPr>
            <a:ln w="28575" cap="rnd">
              <a:solidFill>
                <a:srgbClr val="263238"/>
              </a:solidFill>
              <a:round/>
            </a:ln>
            <a:effectLst/>
          </c:spPr>
          <c:marker>
            <c:symbol val="none"/>
          </c:marker>
          <c:cat>
            <c:numRef>
              <c:f>'Forward valuation'!$C$2:$AQ$2</c:f>
              <c:numCache>
                <c:formatCode>mmm\-yy</c:formatCode>
                <c:ptCount val="41"/>
                <c:pt idx="0">
                  <c:v>43861</c:v>
                </c:pt>
                <c:pt idx="1">
                  <c:v>43889</c:v>
                </c:pt>
                <c:pt idx="2">
                  <c:v>43921</c:v>
                </c:pt>
                <c:pt idx="3">
                  <c:v>43951</c:v>
                </c:pt>
                <c:pt idx="4">
                  <c:v>43979</c:v>
                </c:pt>
                <c:pt idx="5">
                  <c:v>44012</c:v>
                </c:pt>
                <c:pt idx="6">
                  <c:v>44042</c:v>
                </c:pt>
                <c:pt idx="7">
                  <c:v>44071</c:v>
                </c:pt>
                <c:pt idx="8">
                  <c:v>44104</c:v>
                </c:pt>
                <c:pt idx="9">
                  <c:v>44134</c:v>
                </c:pt>
                <c:pt idx="10">
                  <c:v>44165</c:v>
                </c:pt>
                <c:pt idx="11">
                  <c:v>44196</c:v>
                </c:pt>
                <c:pt idx="12">
                  <c:v>44225</c:v>
                </c:pt>
                <c:pt idx="13">
                  <c:v>44253</c:v>
                </c:pt>
                <c:pt idx="14">
                  <c:v>44286</c:v>
                </c:pt>
                <c:pt idx="15">
                  <c:v>44316</c:v>
                </c:pt>
                <c:pt idx="16">
                  <c:v>44347</c:v>
                </c:pt>
                <c:pt idx="17">
                  <c:v>44377</c:v>
                </c:pt>
                <c:pt idx="18">
                  <c:v>44407</c:v>
                </c:pt>
                <c:pt idx="19">
                  <c:v>44438</c:v>
                </c:pt>
                <c:pt idx="20">
                  <c:v>44469</c:v>
                </c:pt>
                <c:pt idx="21">
                  <c:v>44498</c:v>
                </c:pt>
                <c:pt idx="22">
                  <c:v>44530</c:v>
                </c:pt>
                <c:pt idx="23">
                  <c:v>44561</c:v>
                </c:pt>
                <c:pt idx="24">
                  <c:v>44592</c:v>
                </c:pt>
                <c:pt idx="25">
                  <c:v>44620</c:v>
                </c:pt>
                <c:pt idx="26">
                  <c:v>44651</c:v>
                </c:pt>
                <c:pt idx="27">
                  <c:v>44680</c:v>
                </c:pt>
                <c:pt idx="28">
                  <c:v>44712</c:v>
                </c:pt>
                <c:pt idx="29">
                  <c:v>44742</c:v>
                </c:pt>
                <c:pt idx="30">
                  <c:v>44771</c:v>
                </c:pt>
                <c:pt idx="31">
                  <c:v>44803</c:v>
                </c:pt>
                <c:pt idx="32">
                  <c:v>44834</c:v>
                </c:pt>
                <c:pt idx="33">
                  <c:v>44865</c:v>
                </c:pt>
                <c:pt idx="34">
                  <c:v>44895</c:v>
                </c:pt>
                <c:pt idx="35">
                  <c:v>44925</c:v>
                </c:pt>
                <c:pt idx="36">
                  <c:v>44957</c:v>
                </c:pt>
                <c:pt idx="37">
                  <c:v>44985</c:v>
                </c:pt>
                <c:pt idx="38">
                  <c:v>45016</c:v>
                </c:pt>
                <c:pt idx="39">
                  <c:v>45044</c:v>
                </c:pt>
                <c:pt idx="40">
                  <c:v>45076</c:v>
                </c:pt>
              </c:numCache>
            </c:numRef>
          </c:cat>
          <c:val>
            <c:numRef>
              <c:f>'Forward valuation'!$C$26:$AQ$26</c:f>
              <c:numCache>
                <c:formatCode>0.0</c:formatCode>
                <c:ptCount val="41"/>
                <c:pt idx="0">
                  <c:v>14.471497492221435</c:v>
                </c:pt>
                <c:pt idx="1">
                  <c:v>14.582757852156314</c:v>
                </c:pt>
                <c:pt idx="2">
                  <c:v>14.257318028496362</c:v>
                </c:pt>
                <c:pt idx="3">
                  <c:v>14.389988205855047</c:v>
                </c:pt>
                <c:pt idx="4">
                  <c:v>14.051868285687556</c:v>
                </c:pt>
                <c:pt idx="5">
                  <c:v>13.868003810401643</c:v>
                </c:pt>
                <c:pt idx="6">
                  <c:v>13.583553024948191</c:v>
                </c:pt>
                <c:pt idx="7">
                  <c:v>12.82987992847376</c:v>
                </c:pt>
                <c:pt idx="8">
                  <c:v>12.867814023253963</c:v>
                </c:pt>
                <c:pt idx="9">
                  <c:v>12.176185762704726</c:v>
                </c:pt>
                <c:pt idx="10">
                  <c:v>12.25977007176817</c:v>
                </c:pt>
                <c:pt idx="11">
                  <c:v>12.441064746502594</c:v>
                </c:pt>
                <c:pt idx="12">
                  <c:v>11.712295074796174</c:v>
                </c:pt>
                <c:pt idx="13">
                  <c:v>11.655575036481913</c:v>
                </c:pt>
                <c:pt idx="14">
                  <c:v>11.186854125408166</c:v>
                </c:pt>
                <c:pt idx="15">
                  <c:v>11.327061028693203</c:v>
                </c:pt>
                <c:pt idx="16">
                  <c:v>11.408145945893995</c:v>
                </c:pt>
                <c:pt idx="17">
                  <c:v>10.883247842425918</c:v>
                </c:pt>
                <c:pt idx="18">
                  <c:v>10.613545174495647</c:v>
                </c:pt>
                <c:pt idx="19">
                  <c:v>11.435659378545916</c:v>
                </c:pt>
                <c:pt idx="20">
                  <c:v>11.418838051458057</c:v>
                </c:pt>
                <c:pt idx="21">
                  <c:v>11.363215520961903</c:v>
                </c:pt>
                <c:pt idx="22">
                  <c:v>11.36594660334182</c:v>
                </c:pt>
                <c:pt idx="23">
                  <c:v>11.678564284312976</c:v>
                </c:pt>
                <c:pt idx="24">
                  <c:v>10.405103806228375</c:v>
                </c:pt>
                <c:pt idx="25">
                  <c:v>9.8684717648493709</c:v>
                </c:pt>
                <c:pt idx="26">
                  <c:v>9.5717673970623647</c:v>
                </c:pt>
                <c:pt idx="27">
                  <c:v>9.20820159277309</c:v>
                </c:pt>
                <c:pt idx="28">
                  <c:v>9.0741901408450705</c:v>
                </c:pt>
                <c:pt idx="29">
                  <c:v>8.072748348209112</c:v>
                </c:pt>
                <c:pt idx="30">
                  <c:v>8.6368330661781556</c:v>
                </c:pt>
                <c:pt idx="31">
                  <c:v>8.8509331523583317</c:v>
                </c:pt>
                <c:pt idx="32">
                  <c:v>8.1504358515869466</c:v>
                </c:pt>
                <c:pt idx="33">
                  <c:v>8.6417559359469909</c:v>
                </c:pt>
                <c:pt idx="34">
                  <c:v>8.5237502728661863</c:v>
                </c:pt>
                <c:pt idx="35">
                  <c:v>8.4253533282986304</c:v>
                </c:pt>
                <c:pt idx="36">
                  <c:v>8.3997917171445042</c:v>
                </c:pt>
                <c:pt idx="37">
                  <c:v>8.2683871697656723</c:v>
                </c:pt>
                <c:pt idx="38">
                  <c:v>8.5841674780291228</c:v>
                </c:pt>
                <c:pt idx="39">
                  <c:v>8.9784135800342675</c:v>
                </c:pt>
                <c:pt idx="40">
                  <c:v>8.7317269430104449</c:v>
                </c:pt>
              </c:numCache>
            </c:numRef>
          </c:val>
          <c:smooth val="0"/>
          <c:extLst>
            <c:ext xmlns:c16="http://schemas.microsoft.com/office/drawing/2014/chart" uri="{C3380CC4-5D6E-409C-BE32-E72D297353CC}">
              <c16:uniqueId val="{00000001-57B5-4865-8EA9-E2D53FF1EBBD}"/>
            </c:ext>
          </c:extLst>
        </c:ser>
        <c:ser>
          <c:idx val="1"/>
          <c:order val="1"/>
          <c:tx>
            <c:strRef>
              <c:f>'Forward valuation'!$B$27</c:f>
              <c:strCache>
                <c:ptCount val="1"/>
                <c:pt idx="0">
                  <c:v>Rolling P/E</c:v>
                </c:pt>
              </c:strCache>
            </c:strRef>
          </c:tx>
          <c:spPr>
            <a:ln w="28575" cap="rnd">
              <a:solidFill>
                <a:srgbClr val="799098"/>
              </a:solidFill>
              <a:prstDash val="solid"/>
              <a:round/>
            </a:ln>
            <a:effectLst/>
          </c:spPr>
          <c:marker>
            <c:symbol val="none"/>
          </c:marker>
          <c:cat>
            <c:numRef>
              <c:f>'Forward valuation'!$C$2:$AQ$2</c:f>
              <c:numCache>
                <c:formatCode>mmm\-yy</c:formatCode>
                <c:ptCount val="41"/>
                <c:pt idx="0">
                  <c:v>43861</c:v>
                </c:pt>
                <c:pt idx="1">
                  <c:v>43889</c:v>
                </c:pt>
                <c:pt idx="2">
                  <c:v>43921</c:v>
                </c:pt>
                <c:pt idx="3">
                  <c:v>43951</c:v>
                </c:pt>
                <c:pt idx="4">
                  <c:v>43979</c:v>
                </c:pt>
                <c:pt idx="5">
                  <c:v>44012</c:v>
                </c:pt>
                <c:pt idx="6">
                  <c:v>44042</c:v>
                </c:pt>
                <c:pt idx="7">
                  <c:v>44071</c:v>
                </c:pt>
                <c:pt idx="8">
                  <c:v>44104</c:v>
                </c:pt>
                <c:pt idx="9">
                  <c:v>44134</c:v>
                </c:pt>
                <c:pt idx="10">
                  <c:v>44165</c:v>
                </c:pt>
                <c:pt idx="11">
                  <c:v>44196</c:v>
                </c:pt>
                <c:pt idx="12">
                  <c:v>44225</c:v>
                </c:pt>
                <c:pt idx="13">
                  <c:v>44253</c:v>
                </c:pt>
                <c:pt idx="14">
                  <c:v>44286</c:v>
                </c:pt>
                <c:pt idx="15">
                  <c:v>44316</c:v>
                </c:pt>
                <c:pt idx="16">
                  <c:v>44347</c:v>
                </c:pt>
                <c:pt idx="17">
                  <c:v>44377</c:v>
                </c:pt>
                <c:pt idx="18">
                  <c:v>44407</c:v>
                </c:pt>
                <c:pt idx="19">
                  <c:v>44438</c:v>
                </c:pt>
                <c:pt idx="20">
                  <c:v>44469</c:v>
                </c:pt>
                <c:pt idx="21">
                  <c:v>44498</c:v>
                </c:pt>
                <c:pt idx="22">
                  <c:v>44530</c:v>
                </c:pt>
                <c:pt idx="23">
                  <c:v>44561</c:v>
                </c:pt>
                <c:pt idx="24">
                  <c:v>44592</c:v>
                </c:pt>
                <c:pt idx="25">
                  <c:v>44620</c:v>
                </c:pt>
                <c:pt idx="26">
                  <c:v>44651</c:v>
                </c:pt>
                <c:pt idx="27">
                  <c:v>44680</c:v>
                </c:pt>
                <c:pt idx="28">
                  <c:v>44712</c:v>
                </c:pt>
                <c:pt idx="29">
                  <c:v>44742</c:v>
                </c:pt>
                <c:pt idx="30">
                  <c:v>44771</c:v>
                </c:pt>
                <c:pt idx="31">
                  <c:v>44803</c:v>
                </c:pt>
                <c:pt idx="32">
                  <c:v>44834</c:v>
                </c:pt>
                <c:pt idx="33">
                  <c:v>44865</c:v>
                </c:pt>
                <c:pt idx="34">
                  <c:v>44895</c:v>
                </c:pt>
                <c:pt idx="35">
                  <c:v>44925</c:v>
                </c:pt>
                <c:pt idx="36">
                  <c:v>44957</c:v>
                </c:pt>
                <c:pt idx="37">
                  <c:v>44985</c:v>
                </c:pt>
                <c:pt idx="38">
                  <c:v>45016</c:v>
                </c:pt>
                <c:pt idx="39">
                  <c:v>45044</c:v>
                </c:pt>
                <c:pt idx="40">
                  <c:v>45076</c:v>
                </c:pt>
              </c:numCache>
            </c:numRef>
          </c:cat>
          <c:val>
            <c:numRef>
              <c:f>'Forward valuation'!$C$27:$AQ$27</c:f>
              <c:numCache>
                <c:formatCode>0.0</c:formatCode>
                <c:ptCount val="41"/>
                <c:pt idx="0">
                  <c:v>30.510066127847168</c:v>
                </c:pt>
                <c:pt idx="1">
                  <c:v>30.781152591518666</c:v>
                </c:pt>
                <c:pt idx="2">
                  <c:v>29.926323319027183</c:v>
                </c:pt>
                <c:pt idx="3">
                  <c:v>30.253159195199441</c:v>
                </c:pt>
                <c:pt idx="4">
                  <c:v>29.372682926829267</c:v>
                </c:pt>
                <c:pt idx="5">
                  <c:v>28.89122807017544</c:v>
                </c:pt>
                <c:pt idx="6">
                  <c:v>28.15625</c:v>
                </c:pt>
                <c:pt idx="7">
                  <c:v>26.232807782623279</c:v>
                </c:pt>
                <c:pt idx="8">
                  <c:v>26.325778661365142</c:v>
                </c:pt>
                <c:pt idx="9">
                  <c:v>24.573486088379706</c:v>
                </c:pt>
                <c:pt idx="10">
                  <c:v>24.785252263906855</c:v>
                </c:pt>
                <c:pt idx="11">
                  <c:v>25.241930329178651</c:v>
                </c:pt>
                <c:pt idx="12">
                  <c:v>23.57880606443462</c:v>
                </c:pt>
                <c:pt idx="13">
                  <c:v>23.650511692030332</c:v>
                </c:pt>
                <c:pt idx="14">
                  <c:v>22.67001388740519</c:v>
                </c:pt>
                <c:pt idx="15">
                  <c:v>23.241323648103307</c:v>
                </c:pt>
                <c:pt idx="16">
                  <c:v>23.668419340849958</c:v>
                </c:pt>
                <c:pt idx="17">
                  <c:v>22.512205777947685</c:v>
                </c:pt>
                <c:pt idx="18">
                  <c:v>22.010234400792342</c:v>
                </c:pt>
                <c:pt idx="19">
                  <c:v>24.415978266895824</c:v>
                </c:pt>
                <c:pt idx="20">
                  <c:v>24.602849162011175</c:v>
                </c:pt>
                <c:pt idx="21">
                  <c:v>24.686877216686369</c:v>
                </c:pt>
                <c:pt idx="22">
                  <c:v>24.932032225121979</c:v>
                </c:pt>
                <c:pt idx="23">
                  <c:v>26.040082337469265</c:v>
                </c:pt>
                <c:pt idx="24">
                  <c:v>22.890560165975103</c:v>
                </c:pt>
                <c:pt idx="25">
                  <c:v>21.083445040214475</c:v>
                </c:pt>
                <c:pt idx="26">
                  <c:v>19.994960988296491</c:v>
                </c:pt>
                <c:pt idx="27">
                  <c:v>18.772095959595958</c:v>
                </c:pt>
                <c:pt idx="28">
                  <c:v>18.194325153374233</c:v>
                </c:pt>
                <c:pt idx="29">
                  <c:v>15.407219570405728</c:v>
                </c:pt>
                <c:pt idx="30">
                  <c:v>16.67697444831591</c:v>
                </c:pt>
                <c:pt idx="31">
                  <c:v>17.039734162895929</c:v>
                </c:pt>
                <c:pt idx="32">
                  <c:v>15.140986769570011</c:v>
                </c:pt>
                <c:pt idx="33">
                  <c:v>16.196908602150536</c:v>
                </c:pt>
                <c:pt idx="34">
                  <c:v>15.76495278069255</c:v>
                </c:pt>
                <c:pt idx="35">
                  <c:v>15.39344262295082</c:v>
                </c:pt>
                <c:pt idx="36">
                  <c:v>15.514954954954955</c:v>
                </c:pt>
                <c:pt idx="37">
                  <c:v>15.136606635071091</c:v>
                </c:pt>
                <c:pt idx="38">
                  <c:v>15.80010100187342</c:v>
                </c:pt>
                <c:pt idx="39">
                  <c:v>16.63721772732762</c:v>
                </c:pt>
                <c:pt idx="40">
                  <c:v>15.997377049180329</c:v>
                </c:pt>
              </c:numCache>
            </c:numRef>
          </c:val>
          <c:smooth val="0"/>
          <c:extLst>
            <c:ext xmlns:c16="http://schemas.microsoft.com/office/drawing/2014/chart" uri="{C3380CC4-5D6E-409C-BE32-E72D297353CC}">
              <c16:uniqueId val="{00000003-57B5-4865-8EA9-E2D53FF1EBBD}"/>
            </c:ext>
          </c:extLst>
        </c:ser>
        <c:dLbls>
          <c:showLegendKey val="0"/>
          <c:showVal val="0"/>
          <c:showCatName val="0"/>
          <c:showSerName val="0"/>
          <c:showPercent val="0"/>
          <c:showBubbleSize val="0"/>
        </c:dLbls>
        <c:marker val="1"/>
        <c:smooth val="0"/>
        <c:axId val="1495160607"/>
        <c:axId val="1495161855"/>
        <c:extLst/>
      </c:lineChart>
      <c:lineChart>
        <c:grouping val="standard"/>
        <c:varyColors val="0"/>
        <c:ser>
          <c:idx val="2"/>
          <c:order val="2"/>
          <c:tx>
            <c:v>Share price (RHS)</c:v>
          </c:tx>
          <c:spPr>
            <a:ln w="28575" cap="rnd">
              <a:solidFill>
                <a:schemeClr val="accent3"/>
              </a:solidFill>
              <a:round/>
            </a:ln>
            <a:effectLst/>
          </c:spPr>
          <c:marker>
            <c:symbol val="none"/>
          </c:marker>
          <c:val>
            <c:numRef>
              <c:f>'Forward valuation'!$C$5:$AQ$5</c:f>
              <c:numCache>
                <c:formatCode>General</c:formatCode>
                <c:ptCount val="41"/>
                <c:pt idx="0">
                  <c:v>5.31</c:v>
                </c:pt>
                <c:pt idx="1">
                  <c:v>5.43</c:v>
                </c:pt>
                <c:pt idx="2">
                  <c:v>5.35</c:v>
                </c:pt>
                <c:pt idx="3">
                  <c:v>5.48</c:v>
                </c:pt>
                <c:pt idx="4">
                  <c:v>5.39</c:v>
                </c:pt>
                <c:pt idx="5">
                  <c:v>5.37</c:v>
                </c:pt>
                <c:pt idx="6">
                  <c:v>5.3</c:v>
                </c:pt>
                <c:pt idx="7">
                  <c:v>5</c:v>
                </c:pt>
                <c:pt idx="8">
                  <c:v>5.08</c:v>
                </c:pt>
                <c:pt idx="9">
                  <c:v>4.8</c:v>
                </c:pt>
                <c:pt idx="10">
                  <c:v>4.9000000000000004</c:v>
                </c:pt>
                <c:pt idx="11">
                  <c:v>5.05</c:v>
                </c:pt>
                <c:pt idx="12">
                  <c:v>4.7699999999999996</c:v>
                </c:pt>
                <c:pt idx="13">
                  <c:v>4.75</c:v>
                </c:pt>
                <c:pt idx="14">
                  <c:v>4.5199999999999996</c:v>
                </c:pt>
                <c:pt idx="15">
                  <c:v>4.5999999999999996</c:v>
                </c:pt>
                <c:pt idx="16">
                  <c:v>4.6500000000000004</c:v>
                </c:pt>
                <c:pt idx="17">
                  <c:v>4.3899999999999997</c:v>
                </c:pt>
                <c:pt idx="18">
                  <c:v>4.26</c:v>
                </c:pt>
                <c:pt idx="19">
                  <c:v>4.6900000000000004</c:v>
                </c:pt>
                <c:pt idx="20">
                  <c:v>4.6900000000000004</c:v>
                </c:pt>
                <c:pt idx="21">
                  <c:v>4.67</c:v>
                </c:pt>
                <c:pt idx="22">
                  <c:v>4.68</c:v>
                </c:pt>
                <c:pt idx="23">
                  <c:v>4.8499999999999996</c:v>
                </c:pt>
                <c:pt idx="24">
                  <c:v>4.2300000000000004</c:v>
                </c:pt>
                <c:pt idx="25">
                  <c:v>4.0199999999999996</c:v>
                </c:pt>
                <c:pt idx="26">
                  <c:v>3.93</c:v>
                </c:pt>
                <c:pt idx="27">
                  <c:v>3.8</c:v>
                </c:pt>
                <c:pt idx="28">
                  <c:v>3.79</c:v>
                </c:pt>
                <c:pt idx="29">
                  <c:v>3.3</c:v>
                </c:pt>
                <c:pt idx="30">
                  <c:v>3.67</c:v>
                </c:pt>
                <c:pt idx="31">
                  <c:v>3.85</c:v>
                </c:pt>
                <c:pt idx="32">
                  <c:v>3.51</c:v>
                </c:pt>
                <c:pt idx="33">
                  <c:v>3.85</c:v>
                </c:pt>
                <c:pt idx="34">
                  <c:v>3.84</c:v>
                </c:pt>
                <c:pt idx="35">
                  <c:v>3.84</c:v>
                </c:pt>
                <c:pt idx="36">
                  <c:v>3.96</c:v>
                </c:pt>
                <c:pt idx="37">
                  <c:v>3.91</c:v>
                </c:pt>
                <c:pt idx="38">
                  <c:v>4.13</c:v>
                </c:pt>
                <c:pt idx="39">
                  <c:v>4.4000000000000004</c:v>
                </c:pt>
                <c:pt idx="40">
                  <c:v>4.28</c:v>
                </c:pt>
              </c:numCache>
            </c:numRef>
          </c:val>
          <c:smooth val="0"/>
          <c:extLst>
            <c:ext xmlns:c16="http://schemas.microsoft.com/office/drawing/2014/chart" uri="{C3380CC4-5D6E-409C-BE32-E72D297353CC}">
              <c16:uniqueId val="{00000008-436E-4CF6-96C3-66A7145F1F50}"/>
            </c:ext>
          </c:extLst>
        </c:ser>
        <c:dLbls>
          <c:showLegendKey val="0"/>
          <c:showVal val="0"/>
          <c:showCatName val="0"/>
          <c:showSerName val="0"/>
          <c:showPercent val="0"/>
          <c:showBubbleSize val="0"/>
        </c:dLbls>
        <c:marker val="1"/>
        <c:smooth val="0"/>
        <c:axId val="1005782528"/>
        <c:axId val="1005782048"/>
      </c:lineChart>
      <c:dateAx>
        <c:axId val="1495160607"/>
        <c:scaling>
          <c:orientation val="minMax"/>
        </c:scaling>
        <c:delete val="0"/>
        <c:axPos val="b"/>
        <c:numFmt formatCode="mmm\-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Offset val="100"/>
        <c:baseTimeUnit val="months"/>
      </c:date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005782048"/>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782528"/>
        <c:crosses val="max"/>
        <c:crossBetween val="between"/>
      </c:valAx>
      <c:catAx>
        <c:axId val="1005782528"/>
        <c:scaling>
          <c:orientation val="minMax"/>
        </c:scaling>
        <c:delete val="1"/>
        <c:axPos val="b"/>
        <c:majorTickMark val="out"/>
        <c:minorTickMark val="none"/>
        <c:tickLblPos val="nextTo"/>
        <c:crossAx val="1005782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'Snap charts'!$H$7</c:f>
              <c:strCache>
                <c:ptCount val="1"/>
                <c:pt idx="0">
                  <c:v>revenue</c:v>
                </c:pt>
              </c:strCache>
            </c:strRef>
          </c:tx>
          <c:spPr>
            <a:ln w="25400" cap="rnd">
              <a:solidFill>
                <a:srgbClr val="333399"/>
              </a:solidFill>
              <a:prstDash val="solid"/>
              <a:round/>
            </a:ln>
            <a:effectLst/>
          </c:spPr>
          <c:marker>
            <c:symbol val="none"/>
          </c:marker>
          <c:cat>
            <c:strRef>
              <c:f>'Snap charts'!$I$6:$W$6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charts'!$I$7:$W$7</c:f>
              <c:numCache>
                <c:formatCode>0%</c:formatCode>
                <c:ptCount val="15"/>
                <c:pt idx="0">
                  <c:v>-1.1206896551724133E-2</c:v>
                </c:pt>
                <c:pt idx="1">
                  <c:v>-2.4096385542168641E-2</c:v>
                </c:pt>
                <c:pt idx="2">
                  <c:v>-1.6281062553556103E-2</c:v>
                </c:pt>
                <c:pt idx="3">
                  <c:v>-4.7377326565143818E-2</c:v>
                </c:pt>
                <c:pt idx="4">
                  <c:v>-4.4463818657367038E-2</c:v>
                </c:pt>
                <c:pt idx="5">
                  <c:v>-4.0564373897707284E-2</c:v>
                </c:pt>
                <c:pt idx="6">
                  <c:v>-5.0522648083623722E-2</c:v>
                </c:pt>
                <c:pt idx="7">
                  <c:v>-2.6642984014209614E-2</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A4BA-452B-B863-6A18EB90711D}"/>
            </c:ext>
          </c:extLst>
        </c:ser>
        <c:ser>
          <c:idx val="1"/>
          <c:order val="1"/>
          <c:tx>
            <c:strRef>
              <c:f>'Snap charts'!$H$8</c:f>
              <c:strCache>
                <c:ptCount val="1"/>
                <c:pt idx="0">
                  <c:v>Pricing</c:v>
                </c:pt>
              </c:strCache>
            </c:strRef>
          </c:tx>
          <c:spPr>
            <a:ln w="25400" cap="rnd">
              <a:solidFill>
                <a:srgbClr val="99CCFF"/>
              </a:solidFill>
              <a:prstDash val="solid"/>
              <a:round/>
            </a:ln>
            <a:effectLst/>
          </c:spPr>
          <c:marker>
            <c:symbol val="none"/>
          </c:marker>
          <c:cat>
            <c:strRef>
              <c:f>'Snap charts'!$I$6:$W$6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charts'!$I$8:$W$8</c:f>
              <c:numCache>
                <c:formatCode>0%</c:formatCode>
                <c:ptCount val="15"/>
                <c:pt idx="0">
                  <c:v>-0.26165875992206022</c:v>
                </c:pt>
                <c:pt idx="1">
                  <c:v>-0.23416286090476457</c:v>
                </c:pt>
                <c:pt idx="2">
                  <c:v>-0.18772454437124075</c:v>
                </c:pt>
                <c:pt idx="3">
                  <c:v>-0.14668600349951533</c:v>
                </c:pt>
                <c:pt idx="4">
                  <c:v>8.0557991397502748E-2</c:v>
                </c:pt>
                <c:pt idx="5">
                  <c:v>3.6123067543374576E-2</c:v>
                </c:pt>
                <c:pt idx="6">
                  <c:v>-5.9728291096542874E-2</c:v>
                </c:pt>
                <c:pt idx="7">
                  <c:v>-9.0855019432625528E-2</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A4BA-452B-B863-6A18EB90711D}"/>
            </c:ext>
          </c:extLst>
        </c:ser>
        <c:ser>
          <c:idx val="2"/>
          <c:order val="2"/>
          <c:tx>
            <c:strRef>
              <c:f>'Snap charts'!$H$9</c:f>
              <c:strCache>
                <c:ptCount val="1"/>
                <c:pt idx="0">
                  <c:v>MoU</c:v>
                </c:pt>
              </c:strCache>
            </c:strRef>
          </c:tx>
          <c:spPr>
            <a:ln w="25400" cap="rnd">
              <a:solidFill>
                <a:srgbClr val="333399"/>
              </a:solidFill>
              <a:prstDash val="lgDash"/>
              <a:round/>
            </a:ln>
            <a:effectLst/>
          </c:spPr>
          <c:marker>
            <c:symbol val="none"/>
          </c:marker>
          <c:cat>
            <c:strRef>
              <c:f>'Snap charts'!$I$6:$W$6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charts'!$I$9:$W$9</c:f>
              <c:numCache>
                <c:formatCode>0%</c:formatCode>
                <c:ptCount val="15"/>
                <c:pt idx="0">
                  <c:v>-8.5714285714285743E-2</c:v>
                </c:pt>
                <c:pt idx="1">
                  <c:v>-0.10857142857142854</c:v>
                </c:pt>
                <c:pt idx="2">
                  <c:v>-4.3749999999999956E-2</c:v>
                </c:pt>
                <c:pt idx="3">
                  <c:v>-6.0606060606060552E-2</c:v>
                </c:pt>
                <c:pt idx="4">
                  <c:v>-3.7499999999999978E-2</c:v>
                </c:pt>
                <c:pt idx="5">
                  <c:v>3.2051282051282159E-2</c:v>
                </c:pt>
                <c:pt idx="6">
                  <c:v>7.8431372549019551E-2</c:v>
                </c:pt>
                <c:pt idx="7">
                  <c:v>8.3870967741935587E-2</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A4BA-452B-B863-6A18EB90711D}"/>
            </c:ext>
          </c:extLst>
        </c:ser>
        <c:ser>
          <c:idx val="3"/>
          <c:order val="3"/>
          <c:tx>
            <c:strRef>
              <c:f>'Snap charts'!$H$10</c:f>
              <c:strCache>
                <c:ptCount val="1"/>
                <c:pt idx="0">
                  <c:v>Subscribers</c:v>
                </c:pt>
              </c:strCache>
            </c:strRef>
          </c:tx>
          <c:spPr>
            <a:ln w="25400" cap="rnd">
              <a:solidFill>
                <a:srgbClr val="99CCFF"/>
              </a:solidFill>
              <a:prstDash val="lgDash"/>
              <a:round/>
            </a:ln>
            <a:effectLst/>
          </c:spPr>
          <c:marker>
            <c:symbol val="none"/>
          </c:marker>
          <c:cat>
            <c:strRef>
              <c:f>'Snap charts'!$I$6:$W$6</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cat>
          <c:val>
            <c:numRef>
              <c:f>'Snap charts'!$I$10:$W$10</c:f>
              <c:numCache>
                <c:formatCode>0%</c:formatCode>
                <c:ptCount val="15"/>
                <c:pt idx="0">
                  <c:v>6.5661515265736936E-2</c:v>
                </c:pt>
                <c:pt idx="1">
                  <c:v>1.9324026451138954E-2</c:v>
                </c:pt>
                <c:pt idx="2">
                  <c:v>-5.1471643933955535E-2</c:v>
                </c:pt>
                <c:pt idx="3">
                  <c:v>-8.5018806330281693E-2</c:v>
                </c:pt>
                <c:pt idx="4">
                  <c:v>-0.10851726089417091</c:v>
                </c:pt>
                <c:pt idx="5">
                  <c:v>-0.10610538455993657</c:v>
                </c:pt>
                <c:pt idx="6">
                  <c:v>-6.0395065465829068E-2</c:v>
                </c:pt>
                <c:pt idx="7">
                  <c:v>1.55122934925922E-3</c:v>
                </c:pt>
                <c:pt idx="8">
                  <c:v>5.2213934296143405E-2</c:v>
                </c:pt>
                <c:pt idx="9">
                  <c:v>6.9994355293927946E-2</c:v>
                </c:pt>
                <c:pt idx="10">
                  <c:v>5.5980668546113499E-2</c:v>
                </c:pt>
                <c:pt idx="11">
                  <c:v>-1.6959653062804891E-2</c:v>
                </c:pt>
                <c:pt idx="12">
                  <c:v>-7.1644042232277494E-2</c:v>
                </c:pt>
                <c:pt idx="13">
                  <c:v>-7.6870902102645244E-2</c:v>
                </c:pt>
                <c:pt idx="14">
                  <c:v>-8.1159420289855122E-2</c:v>
                </c:pt>
              </c:numCache>
            </c:numRef>
          </c:val>
          <c:smooth val="0"/>
          <c:extLst>
            <c:ext xmlns:c16="http://schemas.microsoft.com/office/drawing/2014/chart" uri="{C3380CC4-5D6E-409C-BE32-E72D297353CC}">
              <c16:uniqueId val="{00000003-A4BA-452B-B863-6A18EB90711D}"/>
            </c:ext>
          </c:extLst>
        </c:ser>
        <c:dLbls>
          <c:showLegendKey val="0"/>
          <c:showVal val="0"/>
          <c:showCatName val="0"/>
          <c:showSerName val="0"/>
          <c:showPercent val="0"/>
          <c:showBubbleSize val="0"/>
        </c:dLbls>
        <c:smooth val="0"/>
        <c:axId val="1047013192"/>
        <c:axId val="1047013584"/>
      </c:lineChart>
      <c:catAx>
        <c:axId val="10470131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7013584"/>
        <c:crosses val="autoZero"/>
        <c:auto val="1"/>
        <c:lblAlgn val="ctr"/>
        <c:lblOffset val="100"/>
        <c:noMultiLvlLbl val="0"/>
      </c:catAx>
      <c:valAx>
        <c:axId val="10470135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701319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charts'!$H$48</c:f>
              <c:strCache>
                <c:ptCount val="1"/>
                <c:pt idx="0">
                  <c:v>Voice</c:v>
                </c:pt>
              </c:strCache>
            </c:strRef>
          </c:tx>
          <c:spPr>
            <a:solidFill>
              <a:srgbClr val="000080"/>
            </a:solidFill>
            <a:ln w="25400">
              <a:no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charts'!$I$48:$X$48</c:f>
              <c:numCache>
                <c:formatCode>General</c:formatCode>
                <c:ptCount val="16"/>
                <c:pt idx="0">
                  <c:v>1147</c:v>
                </c:pt>
                <c:pt idx="1">
                  <c:v>1134</c:v>
                </c:pt>
                <c:pt idx="2">
                  <c:v>1148</c:v>
                </c:pt>
                <c:pt idx="3">
                  <c:v>1126</c:v>
                </c:pt>
                <c:pt idx="4">
                  <c:v>1096</c:v>
                </c:pt>
                <c:pt idx="5">
                  <c:v>1088</c:v>
                </c:pt>
                <c:pt idx="6">
                  <c:v>1090</c:v>
                </c:pt>
                <c:pt idx="7">
                  <c:v>1096</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F04C-4627-8A56-E5E859E86F72}"/>
            </c:ext>
          </c:extLst>
        </c:ser>
        <c:ser>
          <c:idx val="1"/>
          <c:order val="1"/>
          <c:tx>
            <c:strRef>
              <c:f>'Snap charts'!$H$49</c:f>
              <c:strCache>
                <c:ptCount val="1"/>
                <c:pt idx="0">
                  <c:v>Data </c:v>
                </c:pt>
              </c:strCache>
            </c:strRef>
          </c:tx>
          <c:spPr>
            <a:solidFill>
              <a:srgbClr val="9999FF"/>
            </a:solidFill>
            <a:ln w="25400">
              <a:no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charts'!$I$49:$X$49</c:f>
              <c:numCache>
                <c:formatCode>General</c:formatCode>
                <c:ptCount val="16"/>
                <c:pt idx="0">
                  <c:v>466</c:v>
                </c:pt>
                <c:pt idx="1">
                  <c:v>495</c:v>
                </c:pt>
                <c:pt idx="2">
                  <c:v>506</c:v>
                </c:pt>
                <c:pt idx="3">
                  <c:v>524</c:v>
                </c:pt>
                <c:pt idx="4">
                  <c:v>524</c:v>
                </c:pt>
                <c:pt idx="5">
                  <c:v>566</c:v>
                </c:pt>
                <c:pt idx="6">
                  <c:v>589</c:v>
                </c:pt>
                <c:pt idx="7">
                  <c:v>638</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F04C-4627-8A56-E5E859E86F72}"/>
            </c:ext>
          </c:extLst>
        </c:ser>
        <c:ser>
          <c:idx val="2"/>
          <c:order val="2"/>
          <c:tx>
            <c:strRef>
              <c:f>'Snap charts'!$H$50</c:f>
              <c:strCache>
                <c:ptCount val="1"/>
                <c:pt idx="0">
                  <c:v>SMS</c:v>
                </c:pt>
              </c:strCache>
            </c:strRef>
          </c:tx>
          <c:spPr>
            <a:solidFill>
              <a:srgbClr val="3366FF"/>
            </a:solidFill>
            <a:ln w="25400">
              <a:no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charts'!$I$50:$X$50</c:f>
              <c:numCache>
                <c:formatCode>General</c:formatCode>
                <c:ptCount val="16"/>
                <c:pt idx="0">
                  <c:v>320</c:v>
                </c:pt>
                <c:pt idx="1">
                  <c:v>298</c:v>
                </c:pt>
                <c:pt idx="2">
                  <c:v>275</c:v>
                </c:pt>
                <c:pt idx="3">
                  <c:v>257</c:v>
                </c:pt>
                <c:pt idx="4">
                  <c:v>223</c:v>
                </c:pt>
                <c:pt idx="5">
                  <c:v>205</c:v>
                </c:pt>
                <c:pt idx="6">
                  <c:v>184</c:v>
                </c:pt>
                <c:pt idx="7">
                  <c:v>171</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2-F04C-4627-8A56-E5E859E86F72}"/>
            </c:ext>
          </c:extLst>
        </c:ser>
        <c:ser>
          <c:idx val="3"/>
          <c:order val="3"/>
          <c:tx>
            <c:strRef>
              <c:f>'Snap charts'!$H$51</c:f>
              <c:strCache>
                <c:ptCount val="1"/>
                <c:pt idx="0">
                  <c:v>VAS</c:v>
                </c:pt>
              </c:strCache>
            </c:strRef>
          </c:tx>
          <c:spPr>
            <a:solidFill>
              <a:srgbClr val="CCCCFF"/>
            </a:solidFill>
            <a:ln w="25400">
              <a:no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charts'!$I$51:$X$51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F04C-4627-8A56-E5E859E86F72}"/>
            </c:ext>
          </c:extLst>
        </c:ser>
        <c:ser>
          <c:idx val="4"/>
          <c:order val="4"/>
          <c:tx>
            <c:strRef>
              <c:f>'Snap charts'!$H$52</c:f>
              <c:strCache>
                <c:ptCount val="1"/>
                <c:pt idx="0">
                  <c:v>Equipment</c:v>
                </c:pt>
              </c:strCache>
            </c:strRef>
          </c:tx>
          <c:spPr>
            <a:solidFill>
              <a:srgbClr val="969696"/>
            </a:solidFill>
            <a:ln w="25400">
              <a:no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charts'!$I$52:$X$52</c:f>
              <c:numCache>
                <c:formatCode>0</c:formatCode>
                <c:ptCount val="16"/>
                <c:pt idx="0">
                  <c:v>118.33699999999999</c:v>
                </c:pt>
                <c:pt idx="1">
                  <c:v>130.37899999999991</c:v>
                </c:pt>
                <c:pt idx="2">
                  <c:v>100.80799999999999</c:v>
                </c:pt>
                <c:pt idx="3">
                  <c:v>105.20900000000006</c:v>
                </c:pt>
                <c:pt idx="4">
                  <c:v>117.3599999999999</c:v>
                </c:pt>
                <c:pt idx="5">
                  <c:v>79.775000000000091</c:v>
                </c:pt>
                <c:pt idx="6">
                  <c:v>84.799999999999955</c:v>
                </c:pt>
                <c:pt idx="7">
                  <c:v>88.400000000000091</c:v>
                </c:pt>
                <c:pt idx="8">
                  <c:v>134.5440000000001</c:v>
                </c:pt>
                <c:pt idx="9">
                  <c:v>113.70550000000003</c:v>
                </c:pt>
                <c:pt idx="10">
                  <c:v>107.1434999999999</c:v>
                </c:pt>
                <c:pt idx="11">
                  <c:v>111.70000000000005</c:v>
                </c:pt>
                <c:pt idx="12">
                  <c:v>129.70000000000005</c:v>
                </c:pt>
                <c:pt idx="13">
                  <c:v>128.91350000000011</c:v>
                </c:pt>
                <c:pt idx="14">
                  <c:v>159.875</c:v>
                </c:pt>
                <c:pt idx="15">
                  <c:v>107.6400000000001</c:v>
                </c:pt>
              </c:numCache>
            </c:numRef>
          </c:val>
          <c:extLst>
            <c:ext xmlns:c16="http://schemas.microsoft.com/office/drawing/2014/chart" uri="{C3380CC4-5D6E-409C-BE32-E72D297353CC}">
              <c16:uniqueId val="{00000004-F04C-4627-8A56-E5E859E86F72}"/>
            </c:ext>
          </c:extLst>
        </c:ser>
        <c:ser>
          <c:idx val="5"/>
          <c:order val="5"/>
          <c:tx>
            <c:strRef>
              <c:f>'Snap charts'!$H$53</c:f>
              <c:strCache>
                <c:ptCount val="1"/>
                <c:pt idx="0">
                  <c:v>Consensus</c:v>
                </c:pt>
              </c:strCache>
            </c:strRef>
          </c:tx>
          <c:spPr>
            <a:solidFill>
              <a:schemeClr val="accent1">
                <a:lumMod val="60000"/>
                <a:lumOff val="40000"/>
              </a:schemeClr>
            </a:solidFill>
            <a:ln w="25400">
              <a:solidFill>
                <a:schemeClr val="accent5">
                  <a:lumMod val="75000"/>
                </a:schemeClr>
              </a:solidFill>
            </a:ln>
            <a:effectLst/>
          </c:spPr>
          <c:invertIfNegative val="0"/>
          <c:cat>
            <c:strRef>
              <c:f>'Snap charts'!$I$47:$X$47</c:f>
              <c:strCache>
                <c:ptCount val="16"/>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Q3 17</c:v>
                </c:pt>
              </c:strCache>
            </c:strRef>
          </c:cat>
          <c:val>
            <c:numRef>
              <c:f>'Snap charts'!$I$53:$X$53</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c:v>
                </c:pt>
              </c:numCache>
            </c:numRef>
          </c:val>
          <c:extLst>
            <c:ext xmlns:c16="http://schemas.microsoft.com/office/drawing/2014/chart" uri="{C3380CC4-5D6E-409C-BE32-E72D297353CC}">
              <c16:uniqueId val="{00000005-F04C-4627-8A56-E5E859E86F72}"/>
            </c:ext>
          </c:extLst>
        </c:ser>
        <c:dLbls>
          <c:showLegendKey val="0"/>
          <c:showVal val="0"/>
          <c:showCatName val="0"/>
          <c:showSerName val="0"/>
          <c:showPercent val="0"/>
          <c:showBubbleSize val="0"/>
        </c:dLbls>
        <c:gapWidth val="150"/>
        <c:overlap val="100"/>
        <c:axId val="353995560"/>
        <c:axId val="353992424"/>
      </c:barChart>
      <c:catAx>
        <c:axId val="353995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53992424"/>
        <c:crosses val="autoZero"/>
        <c:auto val="1"/>
        <c:lblAlgn val="ctr"/>
        <c:lblOffset val="100"/>
        <c:noMultiLvlLbl val="0"/>
      </c:catAx>
      <c:valAx>
        <c:axId val="353992424"/>
        <c:scaling>
          <c:orientation val="minMax"/>
          <c:max val="2000"/>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539955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20.xml"/><Relationship Id="rId3" Type="http://schemas.openxmlformats.org/officeDocument/2006/relationships/chart" Target="../charts/chart10.xml"/><Relationship Id="rId7" Type="http://schemas.openxmlformats.org/officeDocument/2006/relationships/chart" Target="../charts/chart14.xml"/><Relationship Id="rId12" Type="http://schemas.openxmlformats.org/officeDocument/2006/relationships/chart" Target="../charts/chart19.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chart" Target="../charts/chart18.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158750</xdr:rowOff>
    </xdr:from>
    <xdr:to>
      <xdr:col>2</xdr:col>
      <xdr:colOff>425450</xdr:colOff>
      <xdr:row>1</xdr:row>
      <xdr:rowOff>680720</xdr:rowOff>
    </xdr:to>
    <xdr:pic>
      <xdr:nvPicPr>
        <xdr:cNvPr id="2" name="Picture 1">
          <a:extLst>
            <a:ext uri="{FF2B5EF4-FFF2-40B4-BE49-F238E27FC236}">
              <a16:creationId xmlns:a16="http://schemas.microsoft.com/office/drawing/2014/main" id="{014E49C1-605A-48CB-A77C-47D88B4FDF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61925"/>
          <a:ext cx="1654175" cy="70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95</xdr:col>
      <xdr:colOff>19050</xdr:colOff>
      <xdr:row>297</xdr:row>
      <xdr:rowOff>152400</xdr:rowOff>
    </xdr:from>
    <xdr:to>
      <xdr:col>106</xdr:col>
      <xdr:colOff>76200</xdr:colOff>
      <xdr:row>310</xdr:row>
      <xdr:rowOff>0</xdr:rowOff>
    </xdr:to>
    <xdr:graphicFrame macro="">
      <xdr:nvGraphicFramePr>
        <xdr:cNvPr id="5" name="Chart 70">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98</xdr:col>
      <xdr:colOff>625475</xdr:colOff>
      <xdr:row>116</xdr:row>
      <xdr:rowOff>111125</xdr:rowOff>
    </xdr:from>
    <xdr:to>
      <xdr:col>105</xdr:col>
      <xdr:colOff>568325</xdr:colOff>
      <xdr:row>130</xdr:row>
      <xdr:rowOff>177800</xdr:rowOff>
    </xdr:to>
    <xdr:graphicFrame macro="">
      <xdr:nvGraphicFramePr>
        <xdr:cNvPr id="10" name="Chart 76">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124</xdr:col>
      <xdr:colOff>504825</xdr:colOff>
      <xdr:row>290</xdr:row>
      <xdr:rowOff>0</xdr:rowOff>
    </xdr:from>
    <xdr:to>
      <xdr:col>134</xdr:col>
      <xdr:colOff>295275</xdr:colOff>
      <xdr:row>290</xdr:row>
      <xdr:rowOff>123825</xdr:rowOff>
    </xdr:to>
    <xdr:graphicFrame macro="">
      <xdr:nvGraphicFramePr>
        <xdr:cNvPr id="18" name="Chart 119">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129</xdr:col>
      <xdr:colOff>85725</xdr:colOff>
      <xdr:row>340</xdr:row>
      <xdr:rowOff>38100</xdr:rowOff>
    </xdr:from>
    <xdr:to>
      <xdr:col>138</xdr:col>
      <xdr:colOff>317500</xdr:colOff>
      <xdr:row>358</xdr:row>
      <xdr:rowOff>161925</xdr:rowOff>
    </xdr:to>
    <xdr:graphicFrame macro="">
      <xdr:nvGraphicFramePr>
        <xdr:cNvPr id="19" name="Chart 120">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101</xdr:col>
      <xdr:colOff>371475</xdr:colOff>
      <xdr:row>309</xdr:row>
      <xdr:rowOff>171450</xdr:rowOff>
    </xdr:from>
    <xdr:to>
      <xdr:col>110</xdr:col>
      <xdr:colOff>200025</xdr:colOff>
      <xdr:row>319</xdr:row>
      <xdr:rowOff>0</xdr:rowOff>
    </xdr:to>
    <xdr:graphicFrame macro="">
      <xdr:nvGraphicFramePr>
        <xdr:cNvPr id="20" name="Chart 122">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33</xdr:col>
      <xdr:colOff>79374</xdr:colOff>
      <xdr:row>291</xdr:row>
      <xdr:rowOff>68262</xdr:rowOff>
    </xdr:from>
    <xdr:to>
      <xdr:col>36</xdr:col>
      <xdr:colOff>515937</xdr:colOff>
      <xdr:row>301</xdr:row>
      <xdr:rowOff>7937</xdr:rowOff>
    </xdr:to>
    <xdr:graphicFrame macro="">
      <xdr:nvGraphicFramePr>
        <xdr:cNvPr id="2" name="Chart 6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55419</xdr:colOff>
      <xdr:row>29</xdr:row>
      <xdr:rowOff>141761</xdr:rowOff>
    </xdr:from>
    <xdr:to>
      <xdr:col>18</xdr:col>
      <xdr:colOff>170709</xdr:colOff>
      <xdr:row>47</xdr:row>
      <xdr:rowOff>166254</xdr:rowOff>
    </xdr:to>
    <xdr:graphicFrame macro="">
      <xdr:nvGraphicFramePr>
        <xdr:cNvPr id="4" name="Chart 3">
          <a:extLst>
            <a:ext uri="{FF2B5EF4-FFF2-40B4-BE49-F238E27FC236}">
              <a16:creationId xmlns:a16="http://schemas.microsoft.com/office/drawing/2014/main" id="{9511565B-B087-6BB7-34FC-42CA78C1C2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244929</xdr:colOff>
      <xdr:row>11</xdr:row>
      <xdr:rowOff>63954</xdr:rowOff>
    </xdr:from>
    <xdr:to>
      <xdr:col>16</xdr:col>
      <xdr:colOff>530679</xdr:colOff>
      <xdr:row>25</xdr:row>
      <xdr:rowOff>140154</xdr:rowOff>
    </xdr:to>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136071</xdr:colOff>
      <xdr:row>34</xdr:row>
      <xdr:rowOff>118381</xdr:rowOff>
    </xdr:from>
    <xdr:to>
      <xdr:col>42</xdr:col>
      <xdr:colOff>326570</xdr:colOff>
      <xdr:row>51</xdr:row>
      <xdr:rowOff>13607</xdr:rowOff>
    </xdr:to>
    <xdr:graphicFrame macro="">
      <xdr:nvGraphicFramePr>
        <xdr:cNvPr id="12" name="Chart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421820</xdr:colOff>
      <xdr:row>78</xdr:row>
      <xdr:rowOff>23131</xdr:rowOff>
    </xdr:from>
    <xdr:to>
      <xdr:col>32</xdr:col>
      <xdr:colOff>163284</xdr:colOff>
      <xdr:row>93</xdr:row>
      <xdr:rowOff>163284</xdr:rowOff>
    </xdr:to>
    <xdr:graphicFrame macro="">
      <xdr:nvGraphicFramePr>
        <xdr:cNvPr id="14" name="Chart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435428</xdr:colOff>
      <xdr:row>52</xdr:row>
      <xdr:rowOff>186417</xdr:rowOff>
    </xdr:from>
    <xdr:to>
      <xdr:col>34</xdr:col>
      <xdr:colOff>108856</xdr:colOff>
      <xdr:row>67</xdr:row>
      <xdr:rowOff>72117</xdr:rowOff>
    </xdr:to>
    <xdr:graphicFrame macro="">
      <xdr:nvGraphicFramePr>
        <xdr:cNvPr id="15" name="Chart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299357</xdr:colOff>
      <xdr:row>108</xdr:row>
      <xdr:rowOff>104773</xdr:rowOff>
    </xdr:from>
    <xdr:to>
      <xdr:col>19</xdr:col>
      <xdr:colOff>530678</xdr:colOff>
      <xdr:row>125</xdr:row>
      <xdr:rowOff>95248</xdr:rowOff>
    </xdr:to>
    <xdr:graphicFrame macro="">
      <xdr:nvGraphicFramePr>
        <xdr:cNvPr id="16" name="Chart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353786</xdr:colOff>
      <xdr:row>134</xdr:row>
      <xdr:rowOff>63954</xdr:rowOff>
    </xdr:from>
    <xdr:to>
      <xdr:col>20</xdr:col>
      <xdr:colOff>27215</xdr:colOff>
      <xdr:row>148</xdr:row>
      <xdr:rowOff>140154</xdr:rowOff>
    </xdr:to>
    <xdr:graphicFrame macro="">
      <xdr:nvGraphicFramePr>
        <xdr:cNvPr id="17" name="Chart 1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489858</xdr:colOff>
      <xdr:row>134</xdr:row>
      <xdr:rowOff>190499</xdr:rowOff>
    </xdr:from>
    <xdr:to>
      <xdr:col>29</xdr:col>
      <xdr:colOff>394608</xdr:colOff>
      <xdr:row>150</xdr:row>
      <xdr:rowOff>180973</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163286</xdr:colOff>
      <xdr:row>192</xdr:row>
      <xdr:rowOff>131988</xdr:rowOff>
    </xdr:from>
    <xdr:to>
      <xdr:col>17</xdr:col>
      <xdr:colOff>380999</xdr:colOff>
      <xdr:row>210</xdr:row>
      <xdr:rowOff>68036</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462643</xdr:colOff>
      <xdr:row>149</xdr:row>
      <xdr:rowOff>0</xdr:rowOff>
    </xdr:from>
    <xdr:to>
      <xdr:col>28</xdr:col>
      <xdr:colOff>54430</xdr:colOff>
      <xdr:row>165</xdr:row>
      <xdr:rowOff>133350</xdr:rowOff>
    </xdr:to>
    <xdr:graphicFrame macro="">
      <xdr:nvGraphicFramePr>
        <xdr:cNvPr id="7" name="Chart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163286</xdr:colOff>
      <xdr:row>178</xdr:row>
      <xdr:rowOff>104772</xdr:rowOff>
    </xdr:from>
    <xdr:to>
      <xdr:col>30</xdr:col>
      <xdr:colOff>449036</xdr:colOff>
      <xdr:row>192</xdr:row>
      <xdr:rowOff>180972</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31</xdr:col>
      <xdr:colOff>598713</xdr:colOff>
      <xdr:row>68</xdr:row>
      <xdr:rowOff>77559</xdr:rowOff>
    </xdr:from>
    <xdr:to>
      <xdr:col>40</xdr:col>
      <xdr:colOff>244927</xdr:colOff>
      <xdr:row>83</xdr:row>
      <xdr:rowOff>81643</xdr:rowOff>
    </xdr:to>
    <xdr:graphicFrame macro="">
      <xdr:nvGraphicFramePr>
        <xdr:cNvPr id="4" name="Chart 3">
          <a:extLst>
            <a:ext uri="{FF2B5EF4-FFF2-40B4-BE49-F238E27FC236}">
              <a16:creationId xmlns:a16="http://schemas.microsoft.com/office/drawing/2014/main" id="{DB8A1218-301D-4350-A3B0-16708B8262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68035</xdr:colOff>
      <xdr:row>208</xdr:row>
      <xdr:rowOff>16329</xdr:rowOff>
    </xdr:from>
    <xdr:to>
      <xdr:col>25</xdr:col>
      <xdr:colOff>353785</xdr:colOff>
      <xdr:row>222</xdr:row>
      <xdr:rowOff>92529</xdr:rowOff>
    </xdr:to>
    <xdr:graphicFrame macro="">
      <xdr:nvGraphicFramePr>
        <xdr:cNvPr id="5" name="Chart 4">
          <a:extLst>
            <a:ext uri="{FF2B5EF4-FFF2-40B4-BE49-F238E27FC236}">
              <a16:creationId xmlns:a16="http://schemas.microsoft.com/office/drawing/2014/main" id="{966F5288-9349-402E-A5F4-28E4D10270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54429</xdr:colOff>
      <xdr:row>230</xdr:row>
      <xdr:rowOff>29936</xdr:rowOff>
    </xdr:from>
    <xdr:to>
      <xdr:col>16</xdr:col>
      <xdr:colOff>340179</xdr:colOff>
      <xdr:row>244</xdr:row>
      <xdr:rowOff>106136</xdr:rowOff>
    </xdr:to>
    <xdr:graphicFrame macro="">
      <xdr:nvGraphicFramePr>
        <xdr:cNvPr id="18" name="Chart 17">
          <a:extLst>
            <a:ext uri="{FF2B5EF4-FFF2-40B4-BE49-F238E27FC236}">
              <a16:creationId xmlns:a16="http://schemas.microsoft.com/office/drawing/2014/main" id="{C9431914-21EC-4A05-81F4-0AAD6A563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0</xdr:row>
      <xdr:rowOff>127000</xdr:rowOff>
    </xdr:from>
    <xdr:to>
      <xdr:col>3</xdr:col>
      <xdr:colOff>241300</xdr:colOff>
      <xdr:row>4</xdr:row>
      <xdr:rowOff>53975</xdr:rowOff>
    </xdr:to>
    <xdr:pic>
      <xdr:nvPicPr>
        <xdr:cNvPr id="2" name="Picture 1">
          <a:extLst>
            <a:ext uri="{FF2B5EF4-FFF2-40B4-BE49-F238E27FC236}">
              <a16:creationId xmlns:a16="http://schemas.microsoft.com/office/drawing/2014/main" id="{C987B298-4FC6-4372-913F-3F02D9A673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23825"/>
          <a:ext cx="1644650" cy="663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Shared\shared\TELECOMS\STOCKS\EMEA\Malaysia\00%20Market%20models\Malaysian%20market%20model.xlsx" TargetMode="External"/><Relationship Id="rId1" Type="http://schemas.openxmlformats.org/officeDocument/2006/relationships/externalLinkPath" Target="/Shared/shared/TELECOMS/STOCKS/EMEA/Malaysia/00%20Market%20models/Malaysian%20market%20mode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Shared\shared\TELECOMS\STOCKS\EMEA\Malaysia\01%20Maxis\02%20Model\Maxis%20Quarterly%20NSR.xlsx" TargetMode="External"/><Relationship Id="rId1" Type="http://schemas.openxmlformats.org/officeDocument/2006/relationships/externalLinkPath" Target="Maxis%20Quarterly%20NSR.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Shared\shared\TELECOMS\STOCKS\EMEA\Malaysia\00%20Market%20models\Malaysian%20Enterprise%20Model%20.xlsx" TargetMode="External"/><Relationship Id="rId1" Type="http://schemas.openxmlformats.org/officeDocument/2006/relationships/externalLinkPath" Target="/Shared/shared/TELECOMS/STOCKS/EMEA/Malaysia/00%20Market%20models/Malaysian%20Enterprise%20Model%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LECOMS/STOCKS/EMEA/Singapore/Starhub/Starhub2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ELECOMS/STOCKS/EMEA/Malaysia/Malaysian%20market%20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LECOMS/STOCKS/EMEA/Malaysia/Digi%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wnership"/>
      <sheetName val="Small Cells"/>
      <sheetName val="competition"/>
      <sheetName val="Bband Charts"/>
      <sheetName val="Spectrum"/>
      <sheetName val="Data plans"/>
      <sheetName val="#Returns"/>
      <sheetName val="Forecast Changes"/>
      <sheetName val="Front page"/>
      <sheetName val="Relative valuations"/>
      <sheetName val="Malaysian mobile model"/>
      <sheetName val="Link Page (Mob) for Dec ye"/>
      <sheetName val="Workings"/>
      <sheetName val="Malaysia"/>
      <sheetName val="link page (Mob) for march ye"/>
      <sheetName val="U-Mobile"/>
      <sheetName val="Links"/>
    </sheetNames>
    <sheetDataSet>
      <sheetData sheetId="0"/>
      <sheetData sheetId="1"/>
      <sheetData sheetId="2"/>
      <sheetData sheetId="3"/>
      <sheetData sheetId="4"/>
      <sheetData sheetId="5"/>
      <sheetData sheetId="6"/>
      <sheetData sheetId="7"/>
      <sheetData sheetId="8"/>
      <sheetData sheetId="9"/>
      <sheetData sheetId="10">
        <row r="5">
          <cell r="BK5">
            <v>31876.816491127447</v>
          </cell>
          <cell r="BP5">
            <v>32022.6</v>
          </cell>
          <cell r="BU5">
            <v>32382.3</v>
          </cell>
          <cell r="BZ5">
            <v>32523</v>
          </cell>
          <cell r="CE5">
            <v>32657</v>
          </cell>
          <cell r="CJ5">
            <v>33573.874000000003</v>
          </cell>
          <cell r="CO5">
            <v>33938.22</v>
          </cell>
          <cell r="CT5">
            <v>34306.519907961767</v>
          </cell>
          <cell r="CU5">
            <v>34649.585107041385</v>
          </cell>
          <cell r="CV5">
            <v>34822.833032576586</v>
          </cell>
          <cell r="CW5">
            <v>34996.947197739464</v>
          </cell>
          <cell r="CX5">
            <v>35171.931933728156</v>
          </cell>
          <cell r="CY5">
            <v>35347.791593396796</v>
          </cell>
          <cell r="CZ5">
            <v>35524.53055136378</v>
          </cell>
          <cell r="DA5">
            <v>35702.153204120594</v>
          </cell>
          <cell r="DB5">
            <v>35880.663970141191</v>
          </cell>
          <cell r="DC5">
            <v>36060.067289991894</v>
          </cell>
        </row>
        <row r="7">
          <cell r="BK7">
            <v>1.399</v>
          </cell>
          <cell r="BP7">
            <v>1.3120000000000001</v>
          </cell>
          <cell r="BU7">
            <v>1.302</v>
          </cell>
          <cell r="BZ7">
            <v>1.3540000000000001</v>
          </cell>
          <cell r="CE7">
            <v>1.3360000000000001</v>
          </cell>
          <cell r="CJ7">
            <v>1.4072549387657796</v>
          </cell>
          <cell r="CO7">
            <v>1.3981876480263253</v>
          </cell>
          <cell r="CT7">
            <v>1.4181876480263254</v>
          </cell>
          <cell r="CU7">
            <v>1.4381876480263254</v>
          </cell>
          <cell r="CV7">
            <v>1.4561876480263254</v>
          </cell>
          <cell r="CW7">
            <v>1.4723876480263254</v>
          </cell>
          <cell r="CX7">
            <v>1.4869676480263254</v>
          </cell>
          <cell r="CY7">
            <v>1.5000896480263255</v>
          </cell>
          <cell r="CZ7">
            <v>1.5118994480263255</v>
          </cell>
          <cell r="DA7">
            <v>1.5225282680263255</v>
          </cell>
          <cell r="DB7">
            <v>1.5320942060263254</v>
          </cell>
          <cell r="DC7">
            <v>1.5407035502263253</v>
          </cell>
        </row>
        <row r="15">
          <cell r="BK15">
            <v>11718</v>
          </cell>
          <cell r="BP15">
            <v>10928</v>
          </cell>
          <cell r="BU15">
            <v>10761</v>
          </cell>
          <cell r="BZ15">
            <v>11130</v>
          </cell>
          <cell r="CE15">
            <v>11132</v>
          </cell>
          <cell r="CJ15">
            <v>11618</v>
          </cell>
          <cell r="CO15">
            <v>11738</v>
          </cell>
          <cell r="CT15">
            <v>12511</v>
          </cell>
          <cell r="CU15">
            <v>12812.301213576728</v>
          </cell>
          <cell r="CV15">
            <v>13037.520082713105</v>
          </cell>
          <cell r="CW15">
            <v>13248.474518022122</v>
          </cell>
          <cell r="CX15">
            <v>13446.562992775167</v>
          </cell>
          <cell r="CY15">
            <v>13633.05060714542</v>
          </cell>
          <cell r="CZ15">
            <v>13809.081826244215</v>
          </cell>
          <cell r="DA15">
            <v>13975.692001679479</v>
          </cell>
          <cell r="DB15">
            <v>14133.817792809883</v>
          </cell>
          <cell r="DC15">
            <v>14284.306592773788</v>
          </cell>
        </row>
        <row r="16">
          <cell r="BK16">
            <v>10556</v>
          </cell>
          <cell r="BP16">
            <v>9546</v>
          </cell>
          <cell r="BU16">
            <v>9076</v>
          </cell>
          <cell r="BZ16">
            <v>8372</v>
          </cell>
          <cell r="CE16">
            <v>8678</v>
          </cell>
          <cell r="CJ16">
            <v>9595</v>
          </cell>
          <cell r="CT16">
            <v>0</v>
          </cell>
          <cell r="CU16">
            <v>0</v>
          </cell>
          <cell r="CV16">
            <v>0</v>
          </cell>
          <cell r="CW16">
            <v>0</v>
          </cell>
          <cell r="CX16">
            <v>0</v>
          </cell>
          <cell r="CY16">
            <v>0</v>
          </cell>
          <cell r="CZ16">
            <v>0</v>
          </cell>
          <cell r="DA16">
            <v>0</v>
          </cell>
          <cell r="DB16">
            <v>0</v>
          </cell>
          <cell r="DC16">
            <v>0</v>
          </cell>
        </row>
        <row r="17">
          <cell r="BK17">
            <v>12299</v>
          </cell>
          <cell r="BP17">
            <v>11747</v>
          </cell>
          <cell r="BU17">
            <v>11660</v>
          </cell>
          <cell r="BZ17">
            <v>11281</v>
          </cell>
          <cell r="CE17">
            <v>10441</v>
          </cell>
          <cell r="CJ17">
            <v>10305</v>
          </cell>
          <cell r="CO17">
            <v>19985</v>
          </cell>
          <cell r="CT17">
            <v>20420.714</v>
          </cell>
          <cell r="CU17">
            <v>20912.504097538429</v>
          </cell>
          <cell r="CV17">
            <v>21280.111012576184</v>
          </cell>
          <cell r="CW17">
            <v>21624.435222509597</v>
          </cell>
          <cell r="CX17">
            <v>21947.759344452541</v>
          </cell>
          <cell r="CY17">
            <v>22252.1483011784</v>
          </cell>
          <cell r="CZ17">
            <v>22539.470112407547</v>
          </cell>
          <cell r="DA17">
            <v>22811.414700534264</v>
          </cell>
          <cell r="DB17">
            <v>23069.510900414185</v>
          </cell>
          <cell r="DC17">
            <v>23315.14184472448</v>
          </cell>
        </row>
        <row r="21">
          <cell r="BK21">
            <v>44100</v>
          </cell>
          <cell r="BP21">
            <v>42741</v>
          </cell>
          <cell r="BU21">
            <v>42413</v>
          </cell>
          <cell r="BZ21">
            <v>44601</v>
          </cell>
          <cell r="CE21">
            <v>43723.600000000006</v>
          </cell>
          <cell r="CJ21">
            <v>47247</v>
          </cell>
          <cell r="CO21">
            <v>47452</v>
          </cell>
          <cell r="CT21">
            <v>48660.714</v>
          </cell>
          <cell r="CU21">
            <v>49832.605310183841</v>
          </cell>
          <cell r="CV21">
            <v>50708.579331321132</v>
          </cell>
          <cell r="CW21">
            <v>51529.072772581108</v>
          </cell>
          <cell r="CX21">
            <v>52299.52490403776</v>
          </cell>
          <cell r="CY21">
            <v>53024.856249846503</v>
          </cell>
          <cell r="CZ21">
            <v>53709.518132001234</v>
          </cell>
          <cell r="DA21">
            <v>54357.537482680251</v>
          </cell>
          <cell r="DB21">
            <v>54972.557377030847</v>
          </cell>
          <cell r="DC21">
            <v>55557.873695090697</v>
          </cell>
        </row>
      </sheetData>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sheetName val="Profit and Loss Highlights"/>
      <sheetName val="Key Balance Sheet &amp; CFlow Items"/>
      <sheetName val="Domestic Mobile Operations"/>
      <sheetName val="Charts"/>
      <sheetName val="Lisbon"/>
      <sheetName val="Dates"/>
    </sheetNames>
    <sheetDataSet>
      <sheetData sheetId="0"/>
      <sheetData sheetId="1">
        <row r="10">
          <cell r="X10">
            <v>1928</v>
          </cell>
          <cell r="Y10">
            <v>1944</v>
          </cell>
          <cell r="Z10">
            <v>1897</v>
          </cell>
          <cell r="AA10">
            <v>1834</v>
          </cell>
          <cell r="AB10">
            <v>1863</v>
          </cell>
          <cell r="AC10">
            <v>1876</v>
          </cell>
          <cell r="AD10">
            <v>1898</v>
          </cell>
          <cell r="AE10">
            <v>1797</v>
          </cell>
          <cell r="AF10">
            <v>1763</v>
          </cell>
          <cell r="AG10">
            <v>1773</v>
          </cell>
          <cell r="AH10">
            <v>1772</v>
          </cell>
          <cell r="AI10">
            <v>1698</v>
          </cell>
          <cell r="AJ10">
            <v>1660</v>
          </cell>
          <cell r="AK10">
            <v>1673</v>
          </cell>
          <cell r="AL10">
            <v>1663</v>
          </cell>
          <cell r="AM10">
            <v>1664</v>
          </cell>
          <cell r="AN10">
            <v>1687</v>
          </cell>
          <cell r="AO10">
            <v>1715</v>
          </cell>
          <cell r="AP10">
            <v>1674</v>
          </cell>
          <cell r="AQ10">
            <v>1698</v>
          </cell>
          <cell r="AR10">
            <v>1748</v>
          </cell>
          <cell r="AS10">
            <v>1768</v>
          </cell>
          <cell r="AT10">
            <v>1793</v>
          </cell>
          <cell r="AU10">
            <v>1784</v>
          </cell>
          <cell r="AV10">
            <v>1779</v>
          </cell>
          <cell r="AW10">
            <v>1806</v>
          </cell>
          <cell r="AX10">
            <v>1841</v>
          </cell>
        </row>
        <row r="12">
          <cell r="W12">
            <v>72</v>
          </cell>
          <cell r="X12">
            <v>76</v>
          </cell>
          <cell r="Y12">
            <v>75</v>
          </cell>
          <cell r="Z12">
            <v>69</v>
          </cell>
          <cell r="AA12">
            <v>71</v>
          </cell>
          <cell r="AB12">
            <v>71</v>
          </cell>
          <cell r="AC12">
            <v>71</v>
          </cell>
          <cell r="AD12">
            <v>70</v>
          </cell>
          <cell r="AE12">
            <v>70</v>
          </cell>
          <cell r="AF12">
            <v>69</v>
          </cell>
          <cell r="AG12">
            <v>72</v>
          </cell>
          <cell r="AH12">
            <v>116</v>
          </cell>
          <cell r="AI12">
            <v>129</v>
          </cell>
          <cell r="AJ12">
            <v>127</v>
          </cell>
          <cell r="AK12">
            <v>147</v>
          </cell>
          <cell r="AL12">
            <v>155</v>
          </cell>
          <cell r="AM12">
            <v>136</v>
          </cell>
          <cell r="AN12">
            <v>135</v>
          </cell>
          <cell r="AO12">
            <v>137</v>
          </cell>
          <cell r="AP12">
            <v>151</v>
          </cell>
          <cell r="AQ12">
            <v>141</v>
          </cell>
          <cell r="AR12">
            <v>135</v>
          </cell>
          <cell r="AS12">
            <v>131</v>
          </cell>
          <cell r="AT12">
            <v>103</v>
          </cell>
          <cell r="AU12">
            <v>106</v>
          </cell>
          <cell r="AV12">
            <v>106</v>
          </cell>
          <cell r="AW12">
            <v>106</v>
          </cell>
        </row>
        <row r="13">
          <cell r="AA13">
            <v>75</v>
          </cell>
          <cell r="AB13">
            <v>79</v>
          </cell>
          <cell r="AC13">
            <v>80</v>
          </cell>
          <cell r="AD13">
            <v>80</v>
          </cell>
          <cell r="AE13">
            <v>80</v>
          </cell>
          <cell r="AF13">
            <v>86</v>
          </cell>
          <cell r="AG13">
            <v>95</v>
          </cell>
          <cell r="AH13">
            <v>104</v>
          </cell>
          <cell r="AI13">
            <v>113</v>
          </cell>
          <cell r="AJ13">
            <v>113</v>
          </cell>
          <cell r="AK13">
            <v>120</v>
          </cell>
          <cell r="AL13">
            <v>127</v>
          </cell>
          <cell r="AM13">
            <v>135</v>
          </cell>
          <cell r="AN13">
            <v>142</v>
          </cell>
          <cell r="AO13">
            <v>149</v>
          </cell>
          <cell r="AP13">
            <v>159</v>
          </cell>
          <cell r="AQ13">
            <v>166</v>
          </cell>
          <cell r="AR13">
            <v>177</v>
          </cell>
          <cell r="AS13">
            <v>184</v>
          </cell>
          <cell r="AT13">
            <v>191</v>
          </cell>
          <cell r="AU13">
            <v>196</v>
          </cell>
          <cell r="AV13">
            <v>205</v>
          </cell>
          <cell r="AW13">
            <v>205</v>
          </cell>
        </row>
        <row r="19">
          <cell r="AM19">
            <v>748</v>
          </cell>
          <cell r="AN19">
            <v>766</v>
          </cell>
          <cell r="AO19">
            <v>783</v>
          </cell>
          <cell r="AP19">
            <v>766</v>
          </cell>
          <cell r="AQ19">
            <v>785</v>
          </cell>
          <cell r="AR19">
            <v>810</v>
          </cell>
          <cell r="AS19">
            <v>830</v>
          </cell>
          <cell r="AT19">
            <v>850</v>
          </cell>
          <cell r="AU19">
            <v>864</v>
          </cell>
          <cell r="AV19">
            <v>871</v>
          </cell>
          <cell r="AW19">
            <v>882</v>
          </cell>
          <cell r="AX19">
            <v>903</v>
          </cell>
        </row>
        <row r="20">
          <cell r="AM20">
            <v>690</v>
          </cell>
          <cell r="AN20">
            <v>685</v>
          </cell>
          <cell r="AO20">
            <v>685</v>
          </cell>
          <cell r="AP20">
            <v>655</v>
          </cell>
          <cell r="AQ20">
            <v>657</v>
          </cell>
          <cell r="AR20">
            <v>679</v>
          </cell>
          <cell r="AS20">
            <v>676</v>
          </cell>
          <cell r="AT20">
            <v>681</v>
          </cell>
          <cell r="AU20">
            <v>661</v>
          </cell>
          <cell r="AV20">
            <v>651</v>
          </cell>
          <cell r="AW20">
            <v>652</v>
          </cell>
          <cell r="AX20">
            <v>655</v>
          </cell>
        </row>
        <row r="21">
          <cell r="AM21">
            <v>165</v>
          </cell>
          <cell r="AN21">
            <v>175</v>
          </cell>
          <cell r="AO21">
            <v>185</v>
          </cell>
          <cell r="AP21">
            <v>196</v>
          </cell>
          <cell r="AQ21">
            <v>200</v>
          </cell>
          <cell r="AR21">
            <v>209</v>
          </cell>
          <cell r="AS21">
            <v>215</v>
          </cell>
          <cell r="AT21">
            <v>219</v>
          </cell>
          <cell r="AU21">
            <v>222</v>
          </cell>
          <cell r="AV21">
            <v>229</v>
          </cell>
          <cell r="AW21">
            <v>231</v>
          </cell>
          <cell r="AX21">
            <v>243</v>
          </cell>
        </row>
        <row r="22">
          <cell r="AM22">
            <v>134</v>
          </cell>
          <cell r="AN22">
            <v>141</v>
          </cell>
          <cell r="AO22">
            <v>148</v>
          </cell>
          <cell r="AP22">
            <v>157</v>
          </cell>
          <cell r="AQ22">
            <v>163</v>
          </cell>
          <cell r="AR22">
            <v>173</v>
          </cell>
          <cell r="AS22">
            <v>180</v>
          </cell>
          <cell r="AT22">
            <v>187</v>
          </cell>
          <cell r="AU22">
            <v>192</v>
          </cell>
          <cell r="AV22">
            <v>201</v>
          </cell>
          <cell r="AW22">
            <v>201</v>
          </cell>
          <cell r="AX22">
            <v>215</v>
          </cell>
        </row>
        <row r="23">
          <cell r="AM23">
            <v>31</v>
          </cell>
          <cell r="AN23">
            <v>34</v>
          </cell>
          <cell r="AO23">
            <v>37</v>
          </cell>
          <cell r="AP23">
            <v>39</v>
          </cell>
          <cell r="AQ23">
            <v>37</v>
          </cell>
          <cell r="AR23">
            <v>36</v>
          </cell>
          <cell r="AS23">
            <v>35</v>
          </cell>
          <cell r="AT23">
            <v>32</v>
          </cell>
          <cell r="AU23">
            <v>30</v>
          </cell>
          <cell r="AV23">
            <v>28</v>
          </cell>
          <cell r="AW23">
            <v>28</v>
          </cell>
          <cell r="AX23">
            <v>28</v>
          </cell>
        </row>
        <row r="24">
          <cell r="AM24">
            <v>1603</v>
          </cell>
          <cell r="AN24">
            <v>1626</v>
          </cell>
          <cell r="AO24">
            <v>1653</v>
          </cell>
          <cell r="AP24">
            <v>1617</v>
          </cell>
          <cell r="AQ24">
            <v>1642</v>
          </cell>
          <cell r="AR24">
            <v>1698</v>
          </cell>
          <cell r="AS24">
            <v>1721</v>
          </cell>
          <cell r="AT24">
            <v>1750</v>
          </cell>
          <cell r="AU24">
            <v>1747</v>
          </cell>
          <cell r="AV24">
            <v>1751</v>
          </cell>
          <cell r="AW24">
            <v>1765</v>
          </cell>
          <cell r="AX24">
            <v>1801</v>
          </cell>
        </row>
        <row r="26">
          <cell r="AM26">
            <v>180</v>
          </cell>
          <cell r="AN26">
            <v>185</v>
          </cell>
          <cell r="AO26">
            <v>186</v>
          </cell>
          <cell r="AP26">
            <v>189</v>
          </cell>
          <cell r="AQ26">
            <v>185</v>
          </cell>
          <cell r="AR26">
            <v>185</v>
          </cell>
          <cell r="AS26">
            <v>199</v>
          </cell>
          <cell r="AT26">
            <v>207</v>
          </cell>
          <cell r="AU26">
            <v>200</v>
          </cell>
          <cell r="AV26">
            <v>201</v>
          </cell>
          <cell r="AW26">
            <v>200</v>
          </cell>
          <cell r="AX26">
            <v>205</v>
          </cell>
        </row>
        <row r="27">
          <cell r="AM27">
            <v>188</v>
          </cell>
          <cell r="AN27">
            <v>186</v>
          </cell>
          <cell r="AO27">
            <v>194</v>
          </cell>
          <cell r="AP27">
            <v>210</v>
          </cell>
          <cell r="AQ27">
            <v>203</v>
          </cell>
          <cell r="AR27">
            <v>201</v>
          </cell>
          <cell r="AS27">
            <v>188</v>
          </cell>
          <cell r="AT27">
            <v>157</v>
          </cell>
          <cell r="AU27">
            <v>165</v>
          </cell>
          <cell r="AV27">
            <v>161</v>
          </cell>
          <cell r="AW27">
            <v>180</v>
          </cell>
          <cell r="AX27">
            <v>196</v>
          </cell>
        </row>
        <row r="28">
          <cell r="AM28">
            <v>368</v>
          </cell>
          <cell r="AN28">
            <v>371</v>
          </cell>
          <cell r="AO28">
            <v>380</v>
          </cell>
          <cell r="AP28">
            <v>399</v>
          </cell>
          <cell r="AQ28">
            <v>388</v>
          </cell>
          <cell r="AR28">
            <v>386</v>
          </cell>
          <cell r="AS28">
            <v>387</v>
          </cell>
          <cell r="AT28">
            <v>364</v>
          </cell>
          <cell r="AU28">
            <v>365</v>
          </cell>
          <cell r="AV28">
            <v>362</v>
          </cell>
          <cell r="AW28">
            <v>380</v>
          </cell>
          <cell r="AX28">
            <v>401</v>
          </cell>
        </row>
        <row r="30">
          <cell r="C30">
            <v>2089</v>
          </cell>
          <cell r="D30">
            <v>2144</v>
          </cell>
          <cell r="E30">
            <v>2128</v>
          </cell>
          <cell r="F30">
            <v>2177</v>
          </cell>
          <cell r="G30">
            <v>2143</v>
          </cell>
          <cell r="K30">
            <v>2037</v>
          </cell>
          <cell r="L30">
            <v>2046</v>
          </cell>
          <cell r="M30">
            <v>2041</v>
          </cell>
          <cell r="N30">
            <v>2090</v>
          </cell>
          <cell r="O30">
            <v>2122</v>
          </cell>
          <cell r="P30">
            <v>2089</v>
          </cell>
          <cell r="Q30">
            <v>2154</v>
          </cell>
          <cell r="R30">
            <v>2155</v>
          </cell>
          <cell r="S30">
            <v>2122</v>
          </cell>
          <cell r="T30">
            <v>2055</v>
          </cell>
          <cell r="U30">
            <v>2113</v>
          </cell>
          <cell r="V30">
            <v>2165</v>
          </cell>
          <cell r="W30">
            <v>2076</v>
          </cell>
          <cell r="X30">
            <v>2069</v>
          </cell>
          <cell r="Y30">
            <v>2090</v>
          </cell>
          <cell r="Z30">
            <v>2036</v>
          </cell>
          <cell r="AA30">
            <v>1980</v>
          </cell>
          <cell r="AB30">
            <v>2013</v>
          </cell>
          <cell r="AC30">
            <v>2027</v>
          </cell>
          <cell r="AD30">
            <v>2048</v>
          </cell>
          <cell r="AE30">
            <v>1947</v>
          </cell>
          <cell r="AF30">
            <v>1918</v>
          </cell>
          <cell r="AG30">
            <v>1940</v>
          </cell>
          <cell r="AH30">
            <v>1992</v>
          </cell>
          <cell r="AI30">
            <v>1940</v>
          </cell>
          <cell r="AJ30">
            <v>1900</v>
          </cell>
          <cell r="AK30">
            <v>1940</v>
          </cell>
          <cell r="AL30">
            <v>1945</v>
          </cell>
          <cell r="AM30">
            <v>1971</v>
          </cell>
          <cell r="AN30">
            <v>1997</v>
          </cell>
          <cell r="AO30">
            <v>2033</v>
          </cell>
          <cell r="AP30">
            <v>2016</v>
          </cell>
          <cell r="AQ30">
            <v>2030</v>
          </cell>
          <cell r="AR30">
            <v>2084</v>
          </cell>
          <cell r="AS30">
            <v>2108</v>
          </cell>
          <cell r="AT30">
            <v>2114</v>
          </cell>
          <cell r="AU30">
            <v>2112</v>
          </cell>
          <cell r="AV30">
            <v>2113</v>
          </cell>
          <cell r="AW30">
            <v>2145</v>
          </cell>
          <cell r="AX30">
            <v>2202</v>
          </cell>
        </row>
        <row r="31">
          <cell r="W31">
            <v>299</v>
          </cell>
          <cell r="X31">
            <v>266</v>
          </cell>
          <cell r="Y31">
            <v>243</v>
          </cell>
          <cell r="Z31">
            <v>340</v>
          </cell>
          <cell r="AA31">
            <v>257</v>
          </cell>
          <cell r="AB31">
            <v>233</v>
          </cell>
          <cell r="AC31">
            <v>237</v>
          </cell>
          <cell r="AD31">
            <v>397</v>
          </cell>
          <cell r="AE31">
            <v>285</v>
          </cell>
          <cell r="AF31">
            <v>288</v>
          </cell>
          <cell r="AG31">
            <v>345</v>
          </cell>
          <cell r="AH31">
            <v>598</v>
          </cell>
          <cell r="AI31">
            <v>401</v>
          </cell>
          <cell r="AJ31">
            <v>251</v>
          </cell>
          <cell r="AK31">
            <v>273</v>
          </cell>
          <cell r="AL31">
            <v>316</v>
          </cell>
          <cell r="AM31">
            <v>269</v>
          </cell>
          <cell r="AN31">
            <v>276</v>
          </cell>
          <cell r="AO31">
            <v>238</v>
          </cell>
          <cell r="AP31">
            <v>440</v>
          </cell>
          <cell r="AQ31">
            <v>376</v>
          </cell>
          <cell r="AR31">
            <v>340</v>
          </cell>
          <cell r="AS31">
            <v>297</v>
          </cell>
          <cell r="AT31">
            <v>440</v>
          </cell>
          <cell r="AU31">
            <v>414</v>
          </cell>
          <cell r="AV31">
            <v>357</v>
          </cell>
          <cell r="AW31">
            <v>297</v>
          </cell>
          <cell r="AX31">
            <v>540</v>
          </cell>
        </row>
        <row r="32">
          <cell r="W32">
            <v>2375</v>
          </cell>
          <cell r="X32">
            <v>2335</v>
          </cell>
          <cell r="Y32">
            <v>2333</v>
          </cell>
          <cell r="Z32">
            <v>2376</v>
          </cell>
          <cell r="AA32">
            <v>2237</v>
          </cell>
          <cell r="AB32">
            <v>2246</v>
          </cell>
          <cell r="AC32">
            <v>2264</v>
          </cell>
          <cell r="AD32">
            <v>2445</v>
          </cell>
          <cell r="AE32">
            <v>2232</v>
          </cell>
          <cell r="AF32">
            <v>2206</v>
          </cell>
          <cell r="AG32">
            <v>2285</v>
          </cell>
          <cell r="AH32">
            <v>2590</v>
          </cell>
          <cell r="AI32">
            <v>2341</v>
          </cell>
          <cell r="AJ32">
            <v>2151</v>
          </cell>
          <cell r="AK32">
            <v>2213</v>
          </cell>
          <cell r="AL32">
            <v>2261</v>
          </cell>
          <cell r="AM32">
            <v>2240</v>
          </cell>
          <cell r="AN32">
            <v>2274</v>
          </cell>
          <cell r="AO32">
            <v>2271</v>
          </cell>
          <cell r="AP32">
            <v>2456</v>
          </cell>
          <cell r="AQ32">
            <v>2406</v>
          </cell>
          <cell r="AR32">
            <v>2424</v>
          </cell>
          <cell r="AS32">
            <v>2405</v>
          </cell>
          <cell r="AT32">
            <v>2554</v>
          </cell>
          <cell r="AU32">
            <v>2526</v>
          </cell>
          <cell r="AV32">
            <v>2470</v>
          </cell>
          <cell r="AW32">
            <v>2442</v>
          </cell>
          <cell r="AX32">
            <v>2742</v>
          </cell>
        </row>
        <row r="41">
          <cell r="AQ41">
            <v>972</v>
          </cell>
          <cell r="AR41">
            <v>919</v>
          </cell>
          <cell r="AS41">
            <v>893</v>
          </cell>
          <cell r="AT41">
            <v>1047</v>
          </cell>
          <cell r="AU41">
            <v>1023</v>
          </cell>
          <cell r="AV41">
            <v>938</v>
          </cell>
          <cell r="AW41">
            <v>895</v>
          </cell>
          <cell r="AX41">
            <v>1175</v>
          </cell>
        </row>
        <row r="42">
          <cell r="AQ42">
            <v>66</v>
          </cell>
          <cell r="AR42">
            <v>67</v>
          </cell>
          <cell r="AS42">
            <v>63</v>
          </cell>
          <cell r="AT42">
            <v>63</v>
          </cell>
          <cell r="AU42">
            <v>61</v>
          </cell>
          <cell r="AV42">
            <v>62</v>
          </cell>
          <cell r="AW42">
            <v>62</v>
          </cell>
          <cell r="AX42">
            <v>62</v>
          </cell>
        </row>
        <row r="43">
          <cell r="S43">
            <v>182</v>
          </cell>
          <cell r="T43">
            <v>209</v>
          </cell>
          <cell r="U43">
            <v>195</v>
          </cell>
          <cell r="V43">
            <v>206</v>
          </cell>
          <cell r="W43">
            <v>203</v>
          </cell>
          <cell r="X43">
            <v>195</v>
          </cell>
          <cell r="Y43">
            <v>199</v>
          </cell>
          <cell r="Z43">
            <v>190</v>
          </cell>
          <cell r="AA43">
            <v>200</v>
          </cell>
          <cell r="AB43">
            <v>196</v>
          </cell>
          <cell r="AC43">
            <v>208</v>
          </cell>
          <cell r="AD43">
            <v>280</v>
          </cell>
          <cell r="AE43">
            <v>151</v>
          </cell>
          <cell r="AF43">
            <v>145</v>
          </cell>
          <cell r="AG43">
            <v>129</v>
          </cell>
          <cell r="AH43">
            <v>105</v>
          </cell>
          <cell r="AI43">
            <v>110</v>
          </cell>
          <cell r="AJ43">
            <v>128</v>
          </cell>
          <cell r="AK43">
            <v>107</v>
          </cell>
          <cell r="AL43">
            <v>128</v>
          </cell>
          <cell r="AM43">
            <v>118</v>
          </cell>
          <cell r="AN43">
            <v>117</v>
          </cell>
          <cell r="AO43">
            <v>125</v>
          </cell>
          <cell r="AP43">
            <v>119</v>
          </cell>
          <cell r="AQ43">
            <v>132</v>
          </cell>
          <cell r="AR43">
            <v>134</v>
          </cell>
          <cell r="AS43">
            <v>129</v>
          </cell>
          <cell r="AT43">
            <v>123</v>
          </cell>
          <cell r="AU43">
            <v>138</v>
          </cell>
          <cell r="AV43">
            <v>144</v>
          </cell>
          <cell r="AW43">
            <v>139</v>
          </cell>
          <cell r="AX43">
            <v>136</v>
          </cell>
        </row>
        <row r="44">
          <cell r="X44">
            <v>137</v>
          </cell>
          <cell r="Y44">
            <v>150</v>
          </cell>
          <cell r="Z44">
            <v>146</v>
          </cell>
          <cell r="AA44">
            <v>140</v>
          </cell>
          <cell r="AB44">
            <v>144</v>
          </cell>
          <cell r="AC44">
            <v>148</v>
          </cell>
          <cell r="AD44">
            <v>174</v>
          </cell>
          <cell r="AE44">
            <v>152</v>
          </cell>
          <cell r="AF44">
            <v>166</v>
          </cell>
          <cell r="AG44">
            <v>153</v>
          </cell>
          <cell r="AH44">
            <v>180</v>
          </cell>
          <cell r="AI44">
            <v>158</v>
          </cell>
          <cell r="AJ44">
            <v>178</v>
          </cell>
          <cell r="AK44">
            <v>171</v>
          </cell>
          <cell r="AL44">
            <v>163</v>
          </cell>
          <cell r="AM44">
            <v>183</v>
          </cell>
          <cell r="AN44">
            <v>178</v>
          </cell>
          <cell r="AO44">
            <v>183</v>
          </cell>
          <cell r="AP44">
            <v>191</v>
          </cell>
          <cell r="AQ44">
            <v>210</v>
          </cell>
          <cell r="AR44">
            <v>194</v>
          </cell>
          <cell r="AS44">
            <v>193</v>
          </cell>
          <cell r="AT44">
            <v>216</v>
          </cell>
          <cell r="AU44">
            <v>200</v>
          </cell>
          <cell r="AV44">
            <v>202</v>
          </cell>
          <cell r="AW44">
            <v>277</v>
          </cell>
          <cell r="AX44">
            <v>201</v>
          </cell>
        </row>
        <row r="45">
          <cell r="X45">
            <v>67</v>
          </cell>
          <cell r="Y45">
            <v>64</v>
          </cell>
          <cell r="Z45">
            <v>107</v>
          </cell>
          <cell r="AA45">
            <v>81</v>
          </cell>
          <cell r="AB45">
            <v>96</v>
          </cell>
          <cell r="AC45">
            <v>90</v>
          </cell>
          <cell r="AD45">
            <v>213</v>
          </cell>
          <cell r="AE45">
            <v>104</v>
          </cell>
          <cell r="AF45">
            <v>49</v>
          </cell>
          <cell r="AG45">
            <v>90</v>
          </cell>
          <cell r="AH45">
            <v>114</v>
          </cell>
          <cell r="AI45">
            <v>107</v>
          </cell>
          <cell r="AJ45">
            <v>95</v>
          </cell>
          <cell r="AK45">
            <v>111</v>
          </cell>
          <cell r="AL45">
            <v>140</v>
          </cell>
          <cell r="AM45">
            <v>99</v>
          </cell>
          <cell r="AN45">
            <v>86</v>
          </cell>
          <cell r="AO45">
            <v>102</v>
          </cell>
          <cell r="AP45">
            <v>114</v>
          </cell>
          <cell r="AQ45">
            <v>87</v>
          </cell>
          <cell r="AR45">
            <v>96</v>
          </cell>
          <cell r="AS45">
            <v>102</v>
          </cell>
          <cell r="AT45">
            <v>109</v>
          </cell>
          <cell r="AU45">
            <v>106</v>
          </cell>
          <cell r="AV45">
            <v>94</v>
          </cell>
          <cell r="AW45">
            <v>102</v>
          </cell>
          <cell r="AX45">
            <v>126</v>
          </cell>
        </row>
        <row r="46">
          <cell r="X46">
            <v>43</v>
          </cell>
          <cell r="Y46">
            <v>43</v>
          </cell>
          <cell r="Z46">
            <v>35</v>
          </cell>
          <cell r="AA46">
            <v>39</v>
          </cell>
          <cell r="AB46">
            <v>51</v>
          </cell>
          <cell r="AC46">
            <v>59</v>
          </cell>
          <cell r="AD46">
            <v>62</v>
          </cell>
          <cell r="AE46">
            <v>42</v>
          </cell>
          <cell r="AF46">
            <v>43</v>
          </cell>
          <cell r="AG46">
            <v>42</v>
          </cell>
          <cell r="AH46">
            <v>46</v>
          </cell>
          <cell r="AI46">
            <v>40</v>
          </cell>
          <cell r="AJ46">
            <v>30</v>
          </cell>
          <cell r="AK46">
            <v>46</v>
          </cell>
          <cell r="AL46">
            <v>26</v>
          </cell>
          <cell r="AM46">
            <v>41</v>
          </cell>
          <cell r="AN46">
            <v>42</v>
          </cell>
          <cell r="AO46">
            <v>49</v>
          </cell>
          <cell r="AP46">
            <v>48</v>
          </cell>
          <cell r="AQ46">
            <v>39</v>
          </cell>
          <cell r="AR46">
            <v>50</v>
          </cell>
          <cell r="AS46">
            <v>48</v>
          </cell>
          <cell r="AT46">
            <v>52</v>
          </cell>
          <cell r="AU46">
            <v>38</v>
          </cell>
          <cell r="AV46">
            <v>43</v>
          </cell>
          <cell r="AW46">
            <v>44</v>
          </cell>
          <cell r="AX46">
            <v>38</v>
          </cell>
        </row>
        <row r="47">
          <cell r="AQ47">
            <v>34</v>
          </cell>
          <cell r="AR47">
            <v>26</v>
          </cell>
          <cell r="AS47">
            <v>25</v>
          </cell>
          <cell r="AT47">
            <v>22</v>
          </cell>
          <cell r="AU47">
            <v>34</v>
          </cell>
          <cell r="AV47">
            <v>37</v>
          </cell>
          <cell r="AW47">
            <v>32</v>
          </cell>
          <cell r="AX47">
            <v>26</v>
          </cell>
        </row>
        <row r="48">
          <cell r="AQ48">
            <v>-61</v>
          </cell>
          <cell r="AR48">
            <v>-74</v>
          </cell>
          <cell r="AS48">
            <v>-52</v>
          </cell>
          <cell r="AT48">
            <v>-64</v>
          </cell>
          <cell r="AU48">
            <v>-46</v>
          </cell>
          <cell r="AV48">
            <v>-52</v>
          </cell>
          <cell r="AW48">
            <v>-38</v>
          </cell>
          <cell r="AX48">
            <v>-79</v>
          </cell>
        </row>
        <row r="50">
          <cell r="K50">
            <v>707.74600000000009</v>
          </cell>
          <cell r="L50">
            <v>651.66600000000005</v>
          </cell>
          <cell r="M50">
            <v>652.54</v>
          </cell>
          <cell r="N50">
            <v>696.34400000000005</v>
          </cell>
          <cell r="O50">
            <v>713.46800000000007</v>
          </cell>
          <cell r="P50">
            <v>649.88</v>
          </cell>
          <cell r="Q50">
            <v>689</v>
          </cell>
          <cell r="R50">
            <v>676</v>
          </cell>
        </row>
        <row r="55">
          <cell r="S55">
            <v>1161</v>
          </cell>
          <cell r="T55">
            <v>1010</v>
          </cell>
          <cell r="U55">
            <v>1144</v>
          </cell>
          <cell r="V55">
            <v>1187</v>
          </cell>
          <cell r="W55">
            <v>1024</v>
          </cell>
          <cell r="X55">
            <v>1006</v>
          </cell>
          <cell r="Y55">
            <v>1119</v>
          </cell>
          <cell r="Z55">
            <v>1046</v>
          </cell>
          <cell r="AA55">
            <v>1020</v>
          </cell>
          <cell r="AB55">
            <v>1007</v>
          </cell>
          <cell r="AC55">
            <v>1047</v>
          </cell>
          <cell r="AD55">
            <v>769</v>
          </cell>
          <cell r="AE55">
            <v>991</v>
          </cell>
          <cell r="AF55">
            <v>985</v>
          </cell>
          <cell r="AG55">
            <v>1005</v>
          </cell>
          <cell r="AH55">
            <v>945</v>
          </cell>
          <cell r="AI55">
            <v>962</v>
          </cell>
          <cell r="AJ55">
            <v>946</v>
          </cell>
          <cell r="AK55">
            <v>967</v>
          </cell>
          <cell r="AL55">
            <v>939</v>
          </cell>
          <cell r="AM55">
            <v>961</v>
          </cell>
          <cell r="AN55">
            <v>1006</v>
          </cell>
          <cell r="AO55">
            <v>977</v>
          </cell>
          <cell r="AP55">
            <v>932</v>
          </cell>
          <cell r="AQ55">
            <v>927</v>
          </cell>
          <cell r="AR55">
            <v>1012</v>
          </cell>
          <cell r="AS55">
            <v>1004</v>
          </cell>
          <cell r="AT55">
            <v>986</v>
          </cell>
          <cell r="AU55">
            <v>972</v>
          </cell>
          <cell r="AV55">
            <v>1002</v>
          </cell>
          <cell r="AW55">
            <v>929</v>
          </cell>
          <cell r="AX55">
            <v>1057</v>
          </cell>
        </row>
        <row r="60">
          <cell r="K60">
            <v>1073</v>
          </cell>
          <cell r="L60">
            <v>1086</v>
          </cell>
          <cell r="M60">
            <v>1079</v>
          </cell>
          <cell r="N60">
            <v>1034</v>
          </cell>
          <cell r="O60">
            <v>1047</v>
          </cell>
          <cell r="P60">
            <v>1101</v>
          </cell>
          <cell r="Q60">
            <v>1021</v>
          </cell>
          <cell r="R60">
            <v>1162</v>
          </cell>
          <cell r="S60">
            <v>1213</v>
          </cell>
          <cell r="T60">
            <v>1050</v>
          </cell>
          <cell r="U60">
            <v>1130</v>
          </cell>
          <cell r="V60">
            <v>1158</v>
          </cell>
          <cell r="W60">
            <v>1013</v>
          </cell>
          <cell r="X60">
            <v>1125</v>
          </cell>
          <cell r="Y60">
            <v>1109</v>
          </cell>
          <cell r="Z60">
            <v>1061</v>
          </cell>
          <cell r="AA60">
            <v>1023</v>
          </cell>
          <cell r="AB60">
            <v>1007</v>
          </cell>
          <cell r="AC60">
            <v>1025</v>
          </cell>
          <cell r="AD60">
            <v>762</v>
          </cell>
          <cell r="AE60">
            <v>982</v>
          </cell>
          <cell r="AF60">
            <v>978</v>
          </cell>
          <cell r="AG60">
            <v>986</v>
          </cell>
          <cell r="AH60">
            <v>945</v>
          </cell>
          <cell r="AI60">
            <v>944</v>
          </cell>
          <cell r="AJ60">
            <v>938</v>
          </cell>
          <cell r="AK60">
            <v>953</v>
          </cell>
          <cell r="AL60">
            <v>924</v>
          </cell>
          <cell r="AM60">
            <v>961</v>
          </cell>
          <cell r="AN60">
            <v>996</v>
          </cell>
          <cell r="AO60">
            <v>969</v>
          </cell>
          <cell r="AP60">
            <v>932</v>
          </cell>
          <cell r="AQ60">
            <v>927</v>
          </cell>
          <cell r="AR60">
            <v>1012</v>
          </cell>
          <cell r="AS60">
            <v>1004</v>
          </cell>
          <cell r="AT60">
            <v>986</v>
          </cell>
          <cell r="AU60">
            <v>972</v>
          </cell>
          <cell r="AV60">
            <v>1002</v>
          </cell>
          <cell r="AW60">
            <v>929</v>
          </cell>
          <cell r="AX60">
            <v>1057</v>
          </cell>
        </row>
        <row r="65">
          <cell r="X65">
            <v>238</v>
          </cell>
          <cell r="Y65">
            <v>264</v>
          </cell>
          <cell r="Z65">
            <v>279</v>
          </cell>
          <cell r="AA65">
            <v>235</v>
          </cell>
          <cell r="AB65">
            <v>268</v>
          </cell>
          <cell r="AC65">
            <v>260</v>
          </cell>
          <cell r="AD65">
            <v>305</v>
          </cell>
          <cell r="AE65">
            <v>323</v>
          </cell>
          <cell r="AF65">
            <v>323</v>
          </cell>
          <cell r="AG65">
            <v>375</v>
          </cell>
          <cell r="AH65">
            <v>358</v>
          </cell>
          <cell r="AI65">
            <v>355</v>
          </cell>
          <cell r="AJ65">
            <v>357</v>
          </cell>
          <cell r="AK65">
            <v>339</v>
          </cell>
          <cell r="AL65">
            <v>362</v>
          </cell>
          <cell r="AM65">
            <v>386</v>
          </cell>
          <cell r="AN65">
            <v>393</v>
          </cell>
          <cell r="AO65">
            <v>369</v>
          </cell>
          <cell r="AP65">
            <v>372</v>
          </cell>
          <cell r="AQ65">
            <v>350</v>
          </cell>
          <cell r="AR65">
            <v>343</v>
          </cell>
          <cell r="AS65">
            <v>343</v>
          </cell>
          <cell r="AT65">
            <v>372</v>
          </cell>
          <cell r="AU65">
            <v>349</v>
          </cell>
          <cell r="AV65">
            <v>346</v>
          </cell>
          <cell r="AW65">
            <v>350</v>
          </cell>
          <cell r="AX65">
            <v>480</v>
          </cell>
        </row>
        <row r="66">
          <cell r="X66">
            <v>98</v>
          </cell>
          <cell r="Y66">
            <v>98</v>
          </cell>
          <cell r="Z66">
            <v>104</v>
          </cell>
          <cell r="AI66">
            <v>10</v>
          </cell>
          <cell r="AJ66">
            <v>17</v>
          </cell>
          <cell r="AK66">
            <v>16</v>
          </cell>
          <cell r="AL66">
            <v>19</v>
          </cell>
          <cell r="AM66">
            <v>21</v>
          </cell>
          <cell r="AN66">
            <v>31</v>
          </cell>
          <cell r="AO66">
            <v>66</v>
          </cell>
          <cell r="AP66">
            <v>63</v>
          </cell>
          <cell r="AQ66">
            <v>67</v>
          </cell>
          <cell r="AR66">
            <v>69</v>
          </cell>
          <cell r="AS66">
            <v>84</v>
          </cell>
          <cell r="AT66">
            <v>93</v>
          </cell>
          <cell r="AU66">
            <v>82</v>
          </cell>
          <cell r="AV66">
            <v>85</v>
          </cell>
          <cell r="AW66">
            <v>82</v>
          </cell>
          <cell r="AX66">
            <v>129</v>
          </cell>
        </row>
        <row r="67">
          <cell r="W67">
            <v>3</v>
          </cell>
          <cell r="X67">
            <v>95</v>
          </cell>
          <cell r="Y67">
            <v>2</v>
          </cell>
          <cell r="Z67">
            <v>9</v>
          </cell>
          <cell r="AA67">
            <v>7</v>
          </cell>
          <cell r="AB67">
            <v>16</v>
          </cell>
          <cell r="AC67">
            <v>11</v>
          </cell>
          <cell r="AD67">
            <v>30</v>
          </cell>
          <cell r="AE67">
            <v>20</v>
          </cell>
          <cell r="AF67">
            <v>21</v>
          </cell>
          <cell r="AG67">
            <v>38</v>
          </cell>
          <cell r="AH67">
            <v>14</v>
          </cell>
          <cell r="AI67">
            <v>18</v>
          </cell>
          <cell r="AJ67">
            <v>19</v>
          </cell>
          <cell r="AK67">
            <v>24</v>
          </cell>
          <cell r="AL67">
            <v>26</v>
          </cell>
          <cell r="AM67">
            <v>16</v>
          </cell>
          <cell r="AN67">
            <v>24</v>
          </cell>
          <cell r="AO67">
            <v>9</v>
          </cell>
          <cell r="AP67">
            <v>26</v>
          </cell>
          <cell r="AQ67">
            <v>10</v>
          </cell>
          <cell r="AR67">
            <v>-3</v>
          </cell>
          <cell r="AS67">
            <v>-3</v>
          </cell>
          <cell r="AT67">
            <v>-3</v>
          </cell>
          <cell r="AU67">
            <v>0</v>
          </cell>
          <cell r="AV67">
            <v>-3</v>
          </cell>
          <cell r="AW67">
            <v>-5</v>
          </cell>
          <cell r="AX67">
            <v>-159</v>
          </cell>
        </row>
        <row r="71">
          <cell r="X71">
            <v>-107</v>
          </cell>
          <cell r="Y71">
            <v>-100</v>
          </cell>
          <cell r="Z71">
            <v>-82</v>
          </cell>
          <cell r="AA71">
            <v>-102</v>
          </cell>
          <cell r="AB71">
            <v>-85</v>
          </cell>
          <cell r="AC71">
            <v>-92</v>
          </cell>
          <cell r="AD71">
            <v>-79</v>
          </cell>
          <cell r="AE71">
            <v>-112</v>
          </cell>
          <cell r="AF71">
            <v>-113</v>
          </cell>
          <cell r="AG71">
            <v>-108</v>
          </cell>
          <cell r="AH71">
            <v>-119</v>
          </cell>
          <cell r="AI71">
            <v>-102</v>
          </cell>
          <cell r="AJ71">
            <v>-103</v>
          </cell>
          <cell r="AK71">
            <v>-99</v>
          </cell>
          <cell r="AL71">
            <v>-101</v>
          </cell>
          <cell r="AM71">
            <v>-109</v>
          </cell>
          <cell r="AN71">
            <v>-110</v>
          </cell>
          <cell r="AO71">
            <v>-99</v>
          </cell>
          <cell r="AP71">
            <v>-94</v>
          </cell>
          <cell r="AQ71">
            <v>-91</v>
          </cell>
          <cell r="AR71">
            <v>-99</v>
          </cell>
          <cell r="AS71">
            <v>-106</v>
          </cell>
          <cell r="AT71">
            <v>-111</v>
          </cell>
          <cell r="AU71">
            <v>-112</v>
          </cell>
          <cell r="AV71">
            <v>-115</v>
          </cell>
          <cell r="AW71">
            <v>-108</v>
          </cell>
          <cell r="AX71">
            <v>-111</v>
          </cell>
        </row>
        <row r="74">
          <cell r="S74">
            <v>686</v>
          </cell>
          <cell r="T74">
            <v>568</v>
          </cell>
          <cell r="U74">
            <v>698</v>
          </cell>
          <cell r="V74">
            <v>732</v>
          </cell>
          <cell r="W74">
            <v>684</v>
          </cell>
          <cell r="X74">
            <v>658</v>
          </cell>
          <cell r="Y74">
            <v>736</v>
          </cell>
          <cell r="Z74">
            <v>659</v>
          </cell>
          <cell r="AA74">
            <v>676</v>
          </cell>
          <cell r="AB74">
            <v>635</v>
          </cell>
          <cell r="AC74">
            <v>684</v>
          </cell>
          <cell r="AD74">
            <v>355</v>
          </cell>
          <cell r="AE74">
            <v>536</v>
          </cell>
          <cell r="AF74">
            <v>528</v>
          </cell>
          <cell r="AG74">
            <v>484</v>
          </cell>
          <cell r="AH74">
            <v>454</v>
          </cell>
          <cell r="AI74">
            <v>477</v>
          </cell>
          <cell r="AJ74">
            <v>450</v>
          </cell>
          <cell r="AK74">
            <v>489</v>
          </cell>
          <cell r="AL74">
            <v>431</v>
          </cell>
          <cell r="AM74">
            <v>453</v>
          </cell>
          <cell r="AN74">
            <v>484</v>
          </cell>
          <cell r="AO74">
            <v>441</v>
          </cell>
          <cell r="AP74">
            <v>384</v>
          </cell>
          <cell r="AQ74">
            <v>429</v>
          </cell>
          <cell r="AR74">
            <v>498</v>
          </cell>
          <cell r="AS74">
            <v>468</v>
          </cell>
          <cell r="AT74">
            <v>407</v>
          </cell>
          <cell r="AU74">
            <v>429</v>
          </cell>
          <cell r="AV74">
            <v>453</v>
          </cell>
          <cell r="AW74">
            <v>384</v>
          </cell>
          <cell r="AX74">
            <v>178</v>
          </cell>
        </row>
        <row r="75">
          <cell r="X75">
            <v>-176</v>
          </cell>
          <cell r="Y75">
            <v>-175</v>
          </cell>
          <cell r="Z75">
            <v>-151</v>
          </cell>
          <cell r="AA75">
            <v>-166</v>
          </cell>
          <cell r="AB75">
            <v>-157</v>
          </cell>
          <cell r="AC75">
            <v>-166</v>
          </cell>
          <cell r="AD75">
            <v>-96</v>
          </cell>
          <cell r="AE75">
            <v>-134</v>
          </cell>
          <cell r="AF75">
            <v>-139</v>
          </cell>
          <cell r="AG75">
            <v>-124</v>
          </cell>
          <cell r="AH75">
            <v>-112</v>
          </cell>
          <cell r="AI75">
            <v>-118</v>
          </cell>
          <cell r="AJ75">
            <v>-113</v>
          </cell>
          <cell r="AK75">
            <v>-126</v>
          </cell>
          <cell r="AL75">
            <v>-112</v>
          </cell>
          <cell r="AM75">
            <v>-119</v>
          </cell>
          <cell r="AN75">
            <v>-124</v>
          </cell>
          <cell r="AO75">
            <v>-116</v>
          </cell>
          <cell r="AP75">
            <v>-95</v>
          </cell>
          <cell r="AQ75">
            <v>-140</v>
          </cell>
          <cell r="AR75">
            <v>-176</v>
          </cell>
          <cell r="AS75">
            <v>-160</v>
          </cell>
          <cell r="AT75">
            <v>-175</v>
          </cell>
          <cell r="AU75">
            <v>-109</v>
          </cell>
          <cell r="AV75">
            <v>-124</v>
          </cell>
          <cell r="AW75">
            <v>-97</v>
          </cell>
          <cell r="AX75">
            <v>-122</v>
          </cell>
        </row>
        <row r="76">
          <cell r="Y76">
            <v>561</v>
          </cell>
          <cell r="Z76">
            <v>520</v>
          </cell>
        </row>
        <row r="79">
          <cell r="AA79">
            <v>6.8000000000000005E-2</v>
          </cell>
          <cell r="AB79">
            <v>6.3733333333333336E-2</v>
          </cell>
          <cell r="AC79">
            <v>6.9066666666666665E-2</v>
          </cell>
          <cell r="AD79">
            <v>3.4533333333333333E-2</v>
          </cell>
          <cell r="AE79">
            <v>5.1406649616368288E-2</v>
          </cell>
          <cell r="AF79">
            <v>4.9744245524296675E-2</v>
          </cell>
          <cell r="AG79">
            <v>4.6035805626598467E-2</v>
          </cell>
          <cell r="AH79">
            <v>4.3734015345268544E-2</v>
          </cell>
          <cell r="AI79">
            <v>4.5907928388746806E-2</v>
          </cell>
          <cell r="AJ79">
            <v>4.3094629156010228E-2</v>
          </cell>
          <cell r="AK79">
            <v>4.6419437340153455E-2</v>
          </cell>
          <cell r="AL79">
            <v>4.0792838874680305E-2</v>
          </cell>
          <cell r="AM79">
            <v>4.271099744245524E-2</v>
          </cell>
          <cell r="AN79">
            <v>4.6035805626598467E-2</v>
          </cell>
          <cell r="AO79">
            <v>4.1560102301790282E-2</v>
          </cell>
          <cell r="AP79">
            <v>3.6956521739130437E-2</v>
          </cell>
          <cell r="AQ79">
            <v>3.6928188090978788E-2</v>
          </cell>
          <cell r="AR79">
            <v>4.1176470588235294E-2</v>
          </cell>
          <cell r="AS79">
            <v>3.938618925831202E-2</v>
          </cell>
          <cell r="AT79">
            <v>2.9667519181585677E-2</v>
          </cell>
          <cell r="AU79">
            <v>4.0920716112531973E-2</v>
          </cell>
          <cell r="AV79">
            <v>4.2071611253196931E-2</v>
          </cell>
          <cell r="AW79">
            <v>3.6700767263427109E-2</v>
          </cell>
          <cell r="AX79">
            <v>7.1611253196930949E-3</v>
          </cell>
        </row>
        <row r="80">
          <cell r="AA80">
            <v>0.05</v>
          </cell>
          <cell r="AB80">
            <v>0.05</v>
          </cell>
          <cell r="AC80">
            <v>0.05</v>
          </cell>
          <cell r="AD80">
            <v>0.05</v>
          </cell>
          <cell r="AE80">
            <v>0.05</v>
          </cell>
          <cell r="AF80">
            <v>0.05</v>
          </cell>
          <cell r="AG80">
            <v>0.05</v>
          </cell>
          <cell r="AH80">
            <v>0.05</v>
          </cell>
          <cell r="AI80">
            <v>0.04</v>
          </cell>
          <cell r="AJ80">
            <v>0.04</v>
          </cell>
          <cell r="AK80">
            <v>0.04</v>
          </cell>
          <cell r="AL80">
            <v>0.05</v>
          </cell>
          <cell r="AM80">
            <v>0.04</v>
          </cell>
          <cell r="AN80">
            <v>0.04</v>
          </cell>
          <cell r="AO80">
            <v>0.04</v>
          </cell>
          <cell r="AP80">
            <v>0.05</v>
          </cell>
          <cell r="AQ80">
            <v>0.05</v>
          </cell>
          <cell r="AR80">
            <v>0.05</v>
          </cell>
          <cell r="AS80">
            <v>0.05</v>
          </cell>
          <cell r="AT80">
            <v>0.05</v>
          </cell>
          <cell r="AU80">
            <v>0.04</v>
          </cell>
          <cell r="AV80">
            <v>0.04</v>
          </cell>
          <cell r="AW80">
            <v>0.04</v>
          </cell>
          <cell r="AX80">
            <v>0.04</v>
          </cell>
        </row>
      </sheetData>
      <sheetData sheetId="2">
        <row r="5">
          <cell r="X5">
            <v>211</v>
          </cell>
          <cell r="Y5">
            <v>273</v>
          </cell>
          <cell r="Z5">
            <v>382</v>
          </cell>
          <cell r="AA5">
            <v>107</v>
          </cell>
          <cell r="AB5">
            <v>212</v>
          </cell>
          <cell r="AC5">
            <v>195</v>
          </cell>
          <cell r="AD5">
            <v>524</v>
          </cell>
          <cell r="AE5">
            <v>127</v>
          </cell>
          <cell r="AF5">
            <v>267</v>
          </cell>
          <cell r="AG5">
            <v>242</v>
          </cell>
          <cell r="AH5">
            <v>577</v>
          </cell>
          <cell r="AI5">
            <v>163</v>
          </cell>
          <cell r="AJ5">
            <v>259</v>
          </cell>
          <cell r="AK5">
            <v>319</v>
          </cell>
          <cell r="AL5">
            <v>504</v>
          </cell>
          <cell r="AM5">
            <v>136</v>
          </cell>
          <cell r="AN5">
            <v>180</v>
          </cell>
          <cell r="AO5">
            <v>274</v>
          </cell>
          <cell r="AP5">
            <v>597</v>
          </cell>
          <cell r="AQ5">
            <v>171</v>
          </cell>
          <cell r="AR5">
            <v>241</v>
          </cell>
          <cell r="AS5">
            <v>272</v>
          </cell>
          <cell r="AT5">
            <v>430</v>
          </cell>
          <cell r="AU5">
            <v>130</v>
          </cell>
          <cell r="AV5">
            <v>166</v>
          </cell>
          <cell r="AW5">
            <v>215</v>
          </cell>
          <cell r="AX5">
            <v>302</v>
          </cell>
        </row>
      </sheetData>
      <sheetData sheetId="3">
        <row r="7">
          <cell r="X7">
            <v>8500</v>
          </cell>
          <cell r="Y7">
            <v>8300</v>
          </cell>
          <cell r="Z7">
            <v>8200</v>
          </cell>
          <cell r="AA7">
            <v>8000</v>
          </cell>
          <cell r="AB7">
            <v>8200</v>
          </cell>
          <cell r="AC7">
            <v>8300</v>
          </cell>
          <cell r="AD7">
            <v>8400</v>
          </cell>
          <cell r="AE7">
            <v>8400</v>
          </cell>
          <cell r="AF7">
            <v>8400</v>
          </cell>
          <cell r="AG7">
            <v>8500</v>
          </cell>
          <cell r="AH7">
            <v>8700</v>
          </cell>
          <cell r="AI7">
            <v>8300</v>
          </cell>
          <cell r="AJ7">
            <v>8400</v>
          </cell>
          <cell r="AK7">
            <v>8600</v>
          </cell>
          <cell r="AL7">
            <v>8800</v>
          </cell>
          <cell r="AM7">
            <v>8900</v>
          </cell>
          <cell r="AN7">
            <v>8500</v>
          </cell>
          <cell r="AO7">
            <v>8800</v>
          </cell>
          <cell r="AP7">
            <v>8500</v>
          </cell>
          <cell r="AQ7">
            <v>8500</v>
          </cell>
        </row>
        <row r="9">
          <cell r="X9">
            <v>0.78351942372009264</v>
          </cell>
          <cell r="Y9">
            <v>0.78627651078179084</v>
          </cell>
          <cell r="Z9">
            <v>0.80389865656838877</v>
          </cell>
          <cell r="AA9">
            <v>0.82</v>
          </cell>
          <cell r="AB9">
            <v>0.83</v>
          </cell>
          <cell r="AC9">
            <v>0.84</v>
          </cell>
          <cell r="AD9">
            <v>0.85</v>
          </cell>
          <cell r="AE9">
            <v>0.85</v>
          </cell>
          <cell r="AF9">
            <v>0.85</v>
          </cell>
          <cell r="AG9">
            <v>0.85</v>
          </cell>
          <cell r="AH9">
            <v>0.85</v>
          </cell>
          <cell r="AI9">
            <v>0.85</v>
          </cell>
          <cell r="AJ9">
            <v>0.85</v>
          </cell>
          <cell r="AK9">
            <v>0.85</v>
          </cell>
          <cell r="AL9">
            <v>0.85</v>
          </cell>
          <cell r="AM9">
            <v>0.85</v>
          </cell>
          <cell r="AN9">
            <v>0.85</v>
          </cell>
          <cell r="AO9">
            <v>0.85</v>
          </cell>
          <cell r="AP9">
            <v>0.85</v>
          </cell>
          <cell r="AQ9">
            <v>0.85</v>
          </cell>
        </row>
        <row r="12">
          <cell r="W12">
            <v>8820</v>
          </cell>
          <cell r="X12">
            <v>8653</v>
          </cell>
          <cell r="Y12">
            <v>8255</v>
          </cell>
          <cell r="Z12">
            <v>8034</v>
          </cell>
          <cell r="AA12">
            <v>7756</v>
          </cell>
          <cell r="AB12">
            <v>7716</v>
          </cell>
          <cell r="AC12">
            <v>7703</v>
          </cell>
          <cell r="AD12">
            <v>7571</v>
          </cell>
          <cell r="AE12">
            <v>7444</v>
          </cell>
          <cell r="AF12">
            <v>7463</v>
          </cell>
          <cell r="AG12">
            <v>7461</v>
          </cell>
          <cell r="AH12">
            <v>7375</v>
          </cell>
          <cell r="AI12">
            <v>7388</v>
          </cell>
          <cell r="AJ12">
            <v>7830</v>
          </cell>
          <cell r="AK12">
            <v>7147</v>
          </cell>
          <cell r="AL12">
            <v>7193</v>
          </cell>
          <cell r="AM12">
            <v>7365</v>
          </cell>
          <cell r="AN12">
            <v>7360</v>
          </cell>
          <cell r="AO12">
            <v>7334</v>
          </cell>
          <cell r="AP12">
            <v>7359</v>
          </cell>
          <cell r="AQ12">
            <v>7092</v>
          </cell>
          <cell r="AR12">
            <v>7149</v>
          </cell>
          <cell r="AS12">
            <v>7188</v>
          </cell>
          <cell r="AT12">
            <v>7147</v>
          </cell>
          <cell r="AU12">
            <v>7126</v>
          </cell>
          <cell r="AV12">
            <v>7032</v>
          </cell>
          <cell r="AW12">
            <v>7185</v>
          </cell>
          <cell r="AX12">
            <v>7589</v>
          </cell>
        </row>
        <row r="13">
          <cell r="W13">
            <v>2800</v>
          </cell>
          <cell r="X13">
            <v>2842</v>
          </cell>
          <cell r="Y13">
            <v>2849</v>
          </cell>
          <cell r="Z13">
            <v>2894</v>
          </cell>
          <cell r="AA13">
            <v>2958</v>
          </cell>
          <cell r="AB13">
            <v>3019</v>
          </cell>
          <cell r="AC13">
            <v>3105</v>
          </cell>
          <cell r="AD13">
            <v>3190</v>
          </cell>
          <cell r="AE13">
            <v>3321</v>
          </cell>
          <cell r="AF13">
            <v>3438</v>
          </cell>
          <cell r="AG13">
            <v>3581</v>
          </cell>
          <cell r="AH13">
            <v>3755</v>
          </cell>
          <cell r="AI13">
            <v>3833</v>
          </cell>
          <cell r="AJ13">
            <v>3801</v>
          </cell>
          <cell r="AK13">
            <v>3855</v>
          </cell>
          <cell r="AL13">
            <v>3939</v>
          </cell>
          <cell r="AM13">
            <v>4006</v>
          </cell>
          <cell r="AN13">
            <v>4133</v>
          </cell>
          <cell r="AO13">
            <v>4107</v>
          </cell>
          <cell r="AP13">
            <v>4259</v>
          </cell>
          <cell r="AQ13">
            <v>4324</v>
          </cell>
          <cell r="AR13">
            <v>4398</v>
          </cell>
          <cell r="AS13">
            <v>4478</v>
          </cell>
          <cell r="AT13">
            <v>4591</v>
          </cell>
          <cell r="AU13">
            <v>4663</v>
          </cell>
          <cell r="AV13">
            <v>4721</v>
          </cell>
          <cell r="AW13">
            <v>4825</v>
          </cell>
          <cell r="AX13">
            <v>4922</v>
          </cell>
        </row>
        <row r="16">
          <cell r="X16">
            <v>159</v>
          </cell>
          <cell r="Y16">
            <v>163</v>
          </cell>
          <cell r="Z16">
            <v>172</v>
          </cell>
          <cell r="AA16">
            <v>184</v>
          </cell>
          <cell r="AB16">
            <v>194</v>
          </cell>
          <cell r="AC16">
            <v>202</v>
          </cell>
          <cell r="AD16">
            <v>226</v>
          </cell>
          <cell r="AF16">
            <v>279</v>
          </cell>
          <cell r="AJ16">
            <v>371</v>
          </cell>
          <cell r="AK16">
            <v>383</v>
          </cell>
          <cell r="AL16">
            <v>402</v>
          </cell>
          <cell r="AM16">
            <v>423</v>
          </cell>
          <cell r="AN16">
            <v>444</v>
          </cell>
          <cell r="AO16">
            <v>470</v>
          </cell>
          <cell r="AP16">
            <v>494</v>
          </cell>
          <cell r="AQ16">
            <v>520</v>
          </cell>
          <cell r="AR16">
            <v>545</v>
          </cell>
          <cell r="AS16">
            <v>564</v>
          </cell>
          <cell r="AT16">
            <v>587</v>
          </cell>
          <cell r="AU16">
            <v>612</v>
          </cell>
          <cell r="AV16">
            <v>634</v>
          </cell>
          <cell r="AW16">
            <v>658</v>
          </cell>
          <cell r="AX16">
            <v>678</v>
          </cell>
        </row>
        <row r="19">
          <cell r="O19">
            <v>972</v>
          </cell>
          <cell r="P19">
            <v>976</v>
          </cell>
          <cell r="Q19">
            <v>976</v>
          </cell>
          <cell r="R19">
            <v>1012</v>
          </cell>
          <cell r="S19">
            <v>997</v>
          </cell>
          <cell r="T19">
            <v>978</v>
          </cell>
          <cell r="U19">
            <v>965</v>
          </cell>
          <cell r="V19">
            <v>1010</v>
          </cell>
          <cell r="W19">
            <v>936</v>
          </cell>
          <cell r="X19">
            <v>946</v>
          </cell>
          <cell r="Y19">
            <v>997</v>
          </cell>
          <cell r="Z19">
            <v>903</v>
          </cell>
          <cell r="AA19">
            <v>985</v>
          </cell>
          <cell r="AB19">
            <v>1009</v>
          </cell>
          <cell r="AC19">
            <v>1025</v>
          </cell>
          <cell r="AD19">
            <v>1053</v>
          </cell>
          <cell r="AE19">
            <v>1000</v>
          </cell>
          <cell r="AF19">
            <v>972</v>
          </cell>
          <cell r="AG19">
            <v>979</v>
          </cell>
          <cell r="AH19">
            <v>989</v>
          </cell>
          <cell r="AI19">
            <v>984</v>
          </cell>
          <cell r="AJ19">
            <v>974</v>
          </cell>
          <cell r="AK19">
            <v>956</v>
          </cell>
          <cell r="AL19">
            <v>967</v>
          </cell>
          <cell r="AM19">
            <v>974</v>
          </cell>
          <cell r="AN19">
            <v>1002</v>
          </cell>
          <cell r="AO19">
            <v>1030</v>
          </cell>
          <cell r="AP19">
            <v>1019</v>
          </cell>
          <cell r="AQ19">
            <v>1041</v>
          </cell>
          <cell r="AR19">
            <v>1069</v>
          </cell>
          <cell r="AS19">
            <v>1092</v>
          </cell>
          <cell r="AT19">
            <v>1112</v>
          </cell>
          <cell r="AU19">
            <v>1123</v>
          </cell>
          <cell r="AV19">
            <v>1128</v>
          </cell>
          <cell r="AW19">
            <v>1154</v>
          </cell>
          <cell r="AX19">
            <v>1186</v>
          </cell>
        </row>
        <row r="20">
          <cell r="O20">
            <v>1052</v>
          </cell>
          <cell r="P20">
            <v>1008</v>
          </cell>
          <cell r="Q20">
            <v>1070</v>
          </cell>
          <cell r="R20">
            <v>1035</v>
          </cell>
          <cell r="S20">
            <v>1008</v>
          </cell>
          <cell r="T20">
            <v>956</v>
          </cell>
          <cell r="U20">
            <v>1017</v>
          </cell>
          <cell r="V20">
            <v>1018</v>
          </cell>
          <cell r="W20">
            <v>1006</v>
          </cell>
          <cell r="X20">
            <v>982</v>
          </cell>
          <cell r="Y20">
            <v>947</v>
          </cell>
          <cell r="Z20">
            <v>994</v>
          </cell>
          <cell r="AA20">
            <v>849</v>
          </cell>
          <cell r="AB20">
            <v>854</v>
          </cell>
          <cell r="AC20">
            <v>851</v>
          </cell>
          <cell r="AD20">
            <v>845</v>
          </cell>
          <cell r="AE20">
            <v>797</v>
          </cell>
          <cell r="AF20">
            <v>791</v>
          </cell>
          <cell r="AG20">
            <v>794</v>
          </cell>
          <cell r="AH20">
            <v>783</v>
          </cell>
          <cell r="AI20">
            <v>714</v>
          </cell>
          <cell r="AJ20">
            <v>686</v>
          </cell>
          <cell r="AK20">
            <v>717</v>
          </cell>
          <cell r="AL20">
            <v>696</v>
          </cell>
          <cell r="AM20">
            <v>690</v>
          </cell>
          <cell r="AN20">
            <v>685</v>
          </cell>
          <cell r="AO20">
            <v>685</v>
          </cell>
          <cell r="AP20">
            <v>655</v>
          </cell>
          <cell r="AQ20">
            <v>657</v>
          </cell>
          <cell r="AR20">
            <v>679</v>
          </cell>
          <cell r="AS20">
            <v>676</v>
          </cell>
          <cell r="AT20">
            <v>681</v>
          </cell>
          <cell r="AU20">
            <v>661</v>
          </cell>
          <cell r="AV20">
            <v>651</v>
          </cell>
          <cell r="AW20">
            <v>652</v>
          </cell>
          <cell r="AX20">
            <v>655</v>
          </cell>
        </row>
        <row r="23">
          <cell r="O23">
            <v>35</v>
          </cell>
          <cell r="P23">
            <v>33</v>
          </cell>
          <cell r="Q23">
            <v>35</v>
          </cell>
          <cell r="R23">
            <v>35</v>
          </cell>
          <cell r="S23">
            <v>35</v>
          </cell>
          <cell r="T23">
            <v>34</v>
          </cell>
          <cell r="U23">
            <v>36</v>
          </cell>
          <cell r="V23">
            <v>37</v>
          </cell>
          <cell r="W23">
            <v>36</v>
          </cell>
          <cell r="X23">
            <v>36</v>
          </cell>
          <cell r="Y23">
            <v>36</v>
          </cell>
          <cell r="Z23">
            <v>36</v>
          </cell>
          <cell r="AA23">
            <v>35</v>
          </cell>
          <cell r="AB23">
            <v>37</v>
          </cell>
          <cell r="AC23">
            <v>36</v>
          </cell>
          <cell r="AD23">
            <v>37</v>
          </cell>
          <cell r="AE23">
            <v>35</v>
          </cell>
          <cell r="AF23">
            <v>35</v>
          </cell>
          <cell r="AG23">
            <v>35</v>
          </cell>
          <cell r="AH23">
            <v>35</v>
          </cell>
          <cell r="AI23">
            <v>32</v>
          </cell>
          <cell r="AJ23">
            <v>30.6</v>
          </cell>
          <cell r="AK23">
            <v>33.1</v>
          </cell>
          <cell r="AL23">
            <v>32.4</v>
          </cell>
          <cell r="AM23">
            <v>31.6</v>
          </cell>
          <cell r="AN23">
            <v>31</v>
          </cell>
          <cell r="AO23">
            <v>30.5</v>
          </cell>
          <cell r="AP23">
            <v>29.7</v>
          </cell>
          <cell r="AQ23">
            <v>30.2</v>
          </cell>
          <cell r="AR23">
            <v>31.8</v>
          </cell>
          <cell r="AS23">
            <v>31.3</v>
          </cell>
          <cell r="AT23">
            <v>31.8</v>
          </cell>
          <cell r="AU23">
            <v>30.7</v>
          </cell>
          <cell r="AV23">
            <v>30.8</v>
          </cell>
          <cell r="AW23">
            <v>30.7</v>
          </cell>
          <cell r="AX23">
            <v>29.6</v>
          </cell>
        </row>
        <row r="24">
          <cell r="O24">
            <v>95</v>
          </cell>
          <cell r="P24">
            <v>96</v>
          </cell>
          <cell r="Q24">
            <v>97</v>
          </cell>
          <cell r="R24">
            <v>102</v>
          </cell>
          <cell r="S24">
            <v>101</v>
          </cell>
          <cell r="T24">
            <v>101</v>
          </cell>
          <cell r="U24">
            <v>100</v>
          </cell>
          <cell r="V24">
            <v>104</v>
          </cell>
          <cell r="W24">
            <v>96</v>
          </cell>
          <cell r="X24">
            <v>96</v>
          </cell>
          <cell r="Y24">
            <v>96</v>
          </cell>
          <cell r="Z24">
            <v>96</v>
          </cell>
          <cell r="AA24">
            <v>92</v>
          </cell>
          <cell r="AB24">
            <v>94</v>
          </cell>
          <cell r="AC24">
            <v>93</v>
          </cell>
          <cell r="AD24">
            <v>94</v>
          </cell>
          <cell r="AE24">
            <v>88</v>
          </cell>
          <cell r="AF24">
            <v>86</v>
          </cell>
          <cell r="AG24">
            <v>85</v>
          </cell>
          <cell r="AH24">
            <v>84</v>
          </cell>
          <cell r="AI24">
            <v>81</v>
          </cell>
          <cell r="AJ24">
            <v>79.5</v>
          </cell>
          <cell r="AK24">
            <v>78.400000000000006</v>
          </cell>
          <cell r="AL24">
            <v>77.3</v>
          </cell>
          <cell r="AM24">
            <v>76</v>
          </cell>
          <cell r="AN24">
            <v>75.400000000000006</v>
          </cell>
          <cell r="AO24">
            <v>75</v>
          </cell>
          <cell r="AP24">
            <v>73.400000000000006</v>
          </cell>
          <cell r="AQ24">
            <v>72.5</v>
          </cell>
          <cell r="AR24">
            <v>72.7</v>
          </cell>
          <cell r="AS24">
            <v>72.8</v>
          </cell>
          <cell r="AT24">
            <v>72.7</v>
          </cell>
          <cell r="AU24">
            <v>71.3</v>
          </cell>
          <cell r="AV24">
            <v>71</v>
          </cell>
          <cell r="AW24">
            <v>70.2</v>
          </cell>
          <cell r="AX24">
            <v>69.8</v>
          </cell>
        </row>
        <row r="25">
          <cell r="X25">
            <v>51</v>
          </cell>
          <cell r="Y25">
            <v>51</v>
          </cell>
          <cell r="Z25">
            <v>51</v>
          </cell>
          <cell r="AA25">
            <v>51</v>
          </cell>
          <cell r="AB25">
            <v>53</v>
          </cell>
          <cell r="AC25">
            <v>53</v>
          </cell>
          <cell r="AD25">
            <v>53</v>
          </cell>
          <cell r="AE25">
            <v>51</v>
          </cell>
          <cell r="AF25">
            <v>51</v>
          </cell>
          <cell r="AG25">
            <v>51</v>
          </cell>
          <cell r="AH25">
            <v>51</v>
          </cell>
          <cell r="AI25">
            <v>49</v>
          </cell>
          <cell r="AJ25">
            <v>47</v>
          </cell>
          <cell r="AK25">
            <v>48.7</v>
          </cell>
          <cell r="AL25">
            <v>48.3</v>
          </cell>
          <cell r="AM25">
            <v>47.4</v>
          </cell>
          <cell r="AN25">
            <v>47</v>
          </cell>
          <cell r="AO25">
            <v>46.6</v>
          </cell>
          <cell r="AP25">
            <v>45.9</v>
          </cell>
          <cell r="AQ25">
            <v>46.2</v>
          </cell>
          <cell r="AR25">
            <v>47.7</v>
          </cell>
          <cell r="AS25">
            <v>47.3</v>
          </cell>
          <cell r="AT25">
            <v>47.8</v>
          </cell>
          <cell r="AU25">
            <v>46.9</v>
          </cell>
          <cell r="AV25">
            <v>47</v>
          </cell>
          <cell r="AW25">
            <v>46.7</v>
          </cell>
          <cell r="AX25">
            <v>45.8</v>
          </cell>
        </row>
        <row r="26">
          <cell r="AJ26">
            <v>105</v>
          </cell>
          <cell r="AK26">
            <v>102</v>
          </cell>
          <cell r="AL26">
            <v>107</v>
          </cell>
          <cell r="AM26">
            <v>108.1</v>
          </cell>
          <cell r="AN26">
            <v>108.9</v>
          </cell>
          <cell r="AO26">
            <v>108.4</v>
          </cell>
          <cell r="AP26">
            <v>109.5</v>
          </cell>
          <cell r="AQ26">
            <v>107.8</v>
          </cell>
          <cell r="AR26">
            <v>108.3</v>
          </cell>
          <cell r="AS26">
            <v>108</v>
          </cell>
          <cell r="AT26">
            <v>108.5</v>
          </cell>
          <cell r="AU26">
            <v>107.1</v>
          </cell>
          <cell r="AV26">
            <v>107.4</v>
          </cell>
          <cell r="AW26">
            <v>108.9</v>
          </cell>
          <cell r="AX26">
            <v>108.3</v>
          </cell>
        </row>
        <row r="38">
          <cell r="S38">
            <v>1.63</v>
          </cell>
          <cell r="T38">
            <v>2.21</v>
          </cell>
          <cell r="U38">
            <v>2.84</v>
          </cell>
          <cell r="V38">
            <v>3.66</v>
          </cell>
          <cell r="W38">
            <v>4.29</v>
          </cell>
          <cell r="X38">
            <v>5.0199999999999996</v>
          </cell>
          <cell r="Y38">
            <v>5.59</v>
          </cell>
          <cell r="Z38">
            <v>6.72</v>
          </cell>
          <cell r="AA38">
            <v>7.65</v>
          </cell>
          <cell r="AB38">
            <v>9.08</v>
          </cell>
          <cell r="AC38">
            <v>10.67</v>
          </cell>
          <cell r="AD38">
            <v>10.92</v>
          </cell>
          <cell r="AE38">
            <v>11.7</v>
          </cell>
          <cell r="AF38">
            <v>13.67</v>
          </cell>
          <cell r="AG38">
            <v>15.16</v>
          </cell>
          <cell r="AH38">
            <v>14.99</v>
          </cell>
          <cell r="AI38">
            <v>16.809999999999999</v>
          </cell>
          <cell r="AJ38">
            <v>21.07</v>
          </cell>
          <cell r="AK38">
            <v>19.489999999999998</v>
          </cell>
          <cell r="AL38">
            <v>20.75</v>
          </cell>
          <cell r="AM38">
            <v>21.58</v>
          </cell>
          <cell r="AN38">
            <v>24.4</v>
          </cell>
          <cell r="AO38">
            <v>24.97</v>
          </cell>
          <cell r="AP38">
            <v>24.4</v>
          </cell>
          <cell r="AQ38">
            <v>24.2</v>
          </cell>
          <cell r="AR38">
            <v>24.9</v>
          </cell>
          <cell r="AS38">
            <v>26.3</v>
          </cell>
          <cell r="AT38">
            <v>26.6</v>
          </cell>
          <cell r="AU38">
            <v>25.2</v>
          </cell>
          <cell r="AV38">
            <v>26.1</v>
          </cell>
          <cell r="AW38">
            <v>26.9</v>
          </cell>
          <cell r="AX38">
            <v>27.8</v>
          </cell>
        </row>
        <row r="39">
          <cell r="X39">
            <v>4.29</v>
          </cell>
          <cell r="Y39">
            <v>4.78</v>
          </cell>
          <cell r="Z39">
            <v>5.87</v>
          </cell>
          <cell r="AA39">
            <v>6.73</v>
          </cell>
          <cell r="AB39">
            <v>8.1999999999999993</v>
          </cell>
          <cell r="AC39">
            <v>10.24</v>
          </cell>
          <cell r="AD39">
            <v>10.36</v>
          </cell>
          <cell r="AE39">
            <v>11.47</v>
          </cell>
          <cell r="AF39">
            <v>13.72</v>
          </cell>
          <cell r="AG39">
            <v>15.21</v>
          </cell>
          <cell r="AH39">
            <v>14.75</v>
          </cell>
          <cell r="AI39">
            <v>16.89</v>
          </cell>
          <cell r="AJ39">
            <v>22.53</v>
          </cell>
          <cell r="AK39">
            <v>19.07</v>
          </cell>
          <cell r="AL39">
            <v>19.29</v>
          </cell>
          <cell r="AM39">
            <v>20.89</v>
          </cell>
          <cell r="AN39">
            <v>23.72</v>
          </cell>
          <cell r="AO39">
            <v>23.21</v>
          </cell>
          <cell r="AP39">
            <v>22.6</v>
          </cell>
          <cell r="AQ39">
            <v>22.3</v>
          </cell>
          <cell r="AR39">
            <v>23.2</v>
          </cell>
          <cell r="AS39">
            <v>24.6</v>
          </cell>
          <cell r="AT39">
            <v>24.9</v>
          </cell>
          <cell r="AU39">
            <v>23.7</v>
          </cell>
          <cell r="AV39">
            <v>24.7</v>
          </cell>
          <cell r="AW39">
            <v>25.2</v>
          </cell>
          <cell r="AX39">
            <v>26.2</v>
          </cell>
        </row>
      </sheetData>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terprise model"/>
    </sheetNames>
    <sheetDataSet>
      <sheetData sheetId="0">
        <row r="52">
          <cell r="E52">
            <v>1200</v>
          </cell>
          <cell r="F52">
            <v>1400.5190859077447</v>
          </cell>
          <cell r="G52">
            <v>1606.816249840974</v>
          </cell>
          <cell r="H52">
            <v>1845.7481232307298</v>
          </cell>
          <cell r="I52">
            <v>2082.050444412539</v>
          </cell>
          <cell r="J52">
            <v>2315.5745271047108</v>
          </cell>
          <cell r="K52">
            <v>2546.18199208947</v>
          </cell>
          <cell r="L52">
            <v>2724.9281054742096</v>
          </cell>
          <cell r="M52">
            <v>2829.4377414071914</v>
          </cell>
          <cell r="N52">
            <v>2908.5251707789303</v>
          </cell>
          <cell r="O52">
            <v>2985.9708092393239</v>
          </cell>
          <cell r="P52">
            <v>3061.7531989836862</v>
          </cell>
          <cell r="Q52">
            <v>3135.8535570843719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ANNA"/>
      <sheetName val="OpCo"/>
      <sheetName val="Mobile Market Data"/>
      <sheetName val="Fixed data"/>
      <sheetName val="Workings"/>
      <sheetName val="VALUATION"/>
      <sheetName val="Singapore - New LISBON"/>
      <sheetName val="Lisbon"/>
      <sheetName val="Sheet1"/>
    </sheetNames>
    <sheetDataSet>
      <sheetData sheetId="0" refreshError="1">
        <row r="102">
          <cell r="AG102">
            <v>0</v>
          </cell>
          <cell r="AH102">
            <v>0</v>
          </cell>
        </row>
        <row r="103">
          <cell r="AG103">
            <v>0</v>
          </cell>
          <cell r="AH103">
            <v>0</v>
          </cell>
        </row>
        <row r="142">
          <cell r="BL142">
            <v>0</v>
          </cell>
          <cell r="BM142">
            <v>0</v>
          </cell>
          <cell r="BN142">
            <v>0</v>
          </cell>
          <cell r="BO142">
            <v>0</v>
          </cell>
          <cell r="BP142">
            <v>0</v>
          </cell>
          <cell r="BQ142">
            <v>0</v>
          </cell>
          <cell r="BR142">
            <v>0</v>
          </cell>
          <cell r="BS142">
            <v>0</v>
          </cell>
        </row>
        <row r="143">
          <cell r="BJ143">
            <v>0</v>
          </cell>
          <cell r="BK143">
            <v>0</v>
          </cell>
          <cell r="BL143">
            <v>0</v>
          </cell>
          <cell r="BM143">
            <v>0</v>
          </cell>
          <cell r="BN143">
            <v>0</v>
          </cell>
          <cell r="BO143">
            <v>0</v>
          </cell>
          <cell r="BP143">
            <v>0</v>
          </cell>
          <cell r="BQ143">
            <v>0</v>
          </cell>
          <cell r="BR143">
            <v>0</v>
          </cell>
          <cell r="BS143">
            <v>0</v>
          </cell>
        </row>
        <row r="144">
          <cell r="BJ144">
            <v>0</v>
          </cell>
          <cell r="BK144">
            <v>0</v>
          </cell>
          <cell r="BL144">
            <v>0</v>
          </cell>
          <cell r="BM144">
            <v>0</v>
          </cell>
          <cell r="BN144">
            <v>0</v>
          </cell>
          <cell r="BO144">
            <v>0</v>
          </cell>
          <cell r="BP144">
            <v>0</v>
          </cell>
          <cell r="BQ144">
            <v>0</v>
          </cell>
          <cell r="BR144">
            <v>0</v>
          </cell>
          <cell r="BS144">
            <v>0</v>
          </cell>
        </row>
        <row r="160">
          <cell r="AG160">
            <v>0</v>
          </cell>
          <cell r="AH160">
            <v>0</v>
          </cell>
          <cell r="AI160">
            <v>0</v>
          </cell>
          <cell r="AJ160">
            <v>0</v>
          </cell>
          <cell r="AK160">
            <v>0</v>
          </cell>
          <cell r="AL160">
            <v>0</v>
          </cell>
          <cell r="AM160">
            <v>0</v>
          </cell>
        </row>
        <row r="161">
          <cell r="AF161" t="str">
            <v>Total Pay-TV Revs</v>
          </cell>
          <cell r="AG161">
            <v>262.39999999999998</v>
          </cell>
          <cell r="AH161">
            <v>313.2</v>
          </cell>
          <cell r="AI161">
            <v>342</v>
          </cell>
          <cell r="AJ161">
            <v>398.14</v>
          </cell>
          <cell r="AK161">
            <v>412.34005436787288</v>
          </cell>
          <cell r="AL161">
            <v>441.32505811297347</v>
          </cell>
          <cell r="AM161">
            <v>467.99361565100776</v>
          </cell>
        </row>
        <row r="207">
          <cell r="BY207">
            <v>39937</v>
          </cell>
          <cell r="BZ207">
            <v>1.0096000000000001</v>
          </cell>
        </row>
        <row r="208">
          <cell r="BY208">
            <v>39938</v>
          </cell>
          <cell r="BZ208">
            <v>1.0007999999999999</v>
          </cell>
        </row>
        <row r="209">
          <cell r="BY209">
            <v>39939</v>
          </cell>
          <cell r="BZ209">
            <v>0.98550000000000004</v>
          </cell>
        </row>
        <row r="210">
          <cell r="BY210">
            <v>39940</v>
          </cell>
          <cell r="BZ210">
            <v>1.002</v>
          </cell>
        </row>
        <row r="211">
          <cell r="BY211">
            <v>39941</v>
          </cell>
          <cell r="BZ211">
            <v>1.0123</v>
          </cell>
        </row>
        <row r="212">
          <cell r="BY212">
            <v>39942</v>
          </cell>
          <cell r="BZ212">
            <v>0.99250000000000005</v>
          </cell>
        </row>
        <row r="213">
          <cell r="BY213">
            <v>39943</v>
          </cell>
          <cell r="BZ213">
            <v>0.9839</v>
          </cell>
        </row>
        <row r="214">
          <cell r="BY214">
            <v>39944</v>
          </cell>
          <cell r="BZ214">
            <v>0.98560000000000003</v>
          </cell>
        </row>
        <row r="215">
          <cell r="BY215">
            <v>39945</v>
          </cell>
          <cell r="BZ215">
            <v>0.98099999999999998</v>
          </cell>
        </row>
        <row r="216">
          <cell r="BY216">
            <v>39946</v>
          </cell>
          <cell r="BZ216">
            <v>0.99360000000000004</v>
          </cell>
        </row>
        <row r="217">
          <cell r="BY217">
            <v>39947</v>
          </cell>
          <cell r="BZ217">
            <v>1.0008999999999999</v>
          </cell>
        </row>
        <row r="218">
          <cell r="BY218">
            <v>39948</v>
          </cell>
          <cell r="BZ218">
            <v>0.99380000000000002</v>
          </cell>
        </row>
        <row r="219">
          <cell r="BY219">
            <v>39949</v>
          </cell>
          <cell r="BZ219">
            <v>0.9708</v>
          </cell>
        </row>
        <row r="220">
          <cell r="BY220">
            <v>39950</v>
          </cell>
          <cell r="BZ220">
            <v>0.9577</v>
          </cell>
        </row>
        <row r="227">
          <cell r="BY227">
            <v>39957</v>
          </cell>
          <cell r="BZ227">
            <v>0.98850000000000005</v>
          </cell>
        </row>
        <row r="228">
          <cell r="BY228">
            <v>39958</v>
          </cell>
          <cell r="BZ228">
            <v>0.99239999999999995</v>
          </cell>
        </row>
        <row r="229">
          <cell r="BY229">
            <v>39959</v>
          </cell>
          <cell r="BZ229">
            <v>0.99229999999999996</v>
          </cell>
        </row>
        <row r="230">
          <cell r="BY230">
            <v>39960</v>
          </cell>
          <cell r="BZ230">
            <v>0.98629999999999995</v>
          </cell>
        </row>
        <row r="231">
          <cell r="BY231">
            <v>39961</v>
          </cell>
          <cell r="BZ231">
            <v>0.97919999999999996</v>
          </cell>
        </row>
        <row r="232">
          <cell r="BY232">
            <v>39962</v>
          </cell>
          <cell r="BZ232">
            <v>0.9768</v>
          </cell>
        </row>
        <row r="233">
          <cell r="BY233">
            <v>39963</v>
          </cell>
          <cell r="BZ233">
            <v>0.9829</v>
          </cell>
        </row>
        <row r="234">
          <cell r="BY234">
            <v>39964</v>
          </cell>
          <cell r="BZ234">
            <v>0.98219999999999996</v>
          </cell>
        </row>
        <row r="235">
          <cell r="BY235">
            <v>39965</v>
          </cell>
          <cell r="BZ235">
            <v>0.98909999999999998</v>
          </cell>
        </row>
        <row r="236">
          <cell r="BY236">
            <v>39966</v>
          </cell>
          <cell r="BZ236">
            <v>0.98850000000000005</v>
          </cell>
        </row>
        <row r="237">
          <cell r="BY237">
            <v>39967</v>
          </cell>
          <cell r="BZ237">
            <v>0.996</v>
          </cell>
        </row>
        <row r="238">
          <cell r="BY238">
            <v>39968</v>
          </cell>
          <cell r="BZ238">
            <v>0.99750000000000005</v>
          </cell>
        </row>
        <row r="239">
          <cell r="BY239">
            <v>39969</v>
          </cell>
          <cell r="BZ239">
            <v>0.99460000000000004</v>
          </cell>
        </row>
        <row r="240">
          <cell r="BY240">
            <v>39970</v>
          </cell>
          <cell r="BZ240">
            <v>0.98329999999999995</v>
          </cell>
        </row>
        <row r="241">
          <cell r="BY241">
            <v>39971</v>
          </cell>
          <cell r="BZ241">
            <v>0.99080000000000001</v>
          </cell>
        </row>
        <row r="242">
          <cell r="BY242">
            <v>39972</v>
          </cell>
          <cell r="BZ242">
            <v>0.98309999999999997</v>
          </cell>
        </row>
        <row r="243">
          <cell r="BY243">
            <v>39973</v>
          </cell>
          <cell r="BZ243">
            <v>0.99850000000000005</v>
          </cell>
        </row>
        <row r="244">
          <cell r="BY244">
            <v>39974</v>
          </cell>
          <cell r="BZ244">
            <v>0.996</v>
          </cell>
        </row>
        <row r="245">
          <cell r="BY245">
            <v>39975</v>
          </cell>
          <cell r="BZ245">
            <v>0.98899999999999999</v>
          </cell>
        </row>
        <row r="246">
          <cell r="BY246">
            <v>39976</v>
          </cell>
          <cell r="BZ246">
            <v>0.9849</v>
          </cell>
        </row>
        <row r="247">
          <cell r="BY247">
            <v>39977</v>
          </cell>
          <cell r="BZ247">
            <v>0.98850000000000005</v>
          </cell>
        </row>
        <row r="248">
          <cell r="BY248">
            <v>39978</v>
          </cell>
          <cell r="BZ248">
            <v>0.99129999999999996</v>
          </cell>
        </row>
        <row r="249">
          <cell r="BY249">
            <v>39979</v>
          </cell>
          <cell r="BZ249">
            <v>1.0052000000000001</v>
          </cell>
        </row>
        <row r="250">
          <cell r="BY250">
            <v>39980</v>
          </cell>
          <cell r="BZ250">
            <v>1.0106999999999999</v>
          </cell>
        </row>
        <row r="251">
          <cell r="BY251">
            <v>39981</v>
          </cell>
          <cell r="BZ251">
            <v>1.0142</v>
          </cell>
        </row>
        <row r="252">
          <cell r="BY252">
            <v>39982</v>
          </cell>
          <cell r="BZ252">
            <v>1.0107999999999999</v>
          </cell>
        </row>
        <row r="253">
          <cell r="BY253">
            <v>39983</v>
          </cell>
          <cell r="BZ253">
            <v>1.0241</v>
          </cell>
        </row>
        <row r="254">
          <cell r="BY254">
            <v>39984</v>
          </cell>
          <cell r="BZ254">
            <v>1.0392999999999999</v>
          </cell>
        </row>
        <row r="255">
          <cell r="BY255">
            <v>39985</v>
          </cell>
          <cell r="BZ255">
            <v>1.0521</v>
          </cell>
        </row>
        <row r="256">
          <cell r="BY256">
            <v>39986</v>
          </cell>
          <cell r="BZ256">
            <v>1.0609</v>
          </cell>
        </row>
        <row r="257">
          <cell r="BY257">
            <v>39987</v>
          </cell>
          <cell r="BZ257">
            <v>1.0559000000000001</v>
          </cell>
        </row>
        <row r="258">
          <cell r="BY258">
            <v>39988</v>
          </cell>
          <cell r="BZ258">
            <v>1.0542</v>
          </cell>
        </row>
        <row r="259">
          <cell r="BY259">
            <v>39989</v>
          </cell>
          <cell r="BZ259">
            <v>1.0542</v>
          </cell>
        </row>
        <row r="260">
          <cell r="BY260">
            <v>39990</v>
          </cell>
          <cell r="BZ260">
            <v>1.0397000000000001</v>
          </cell>
        </row>
        <row r="261">
          <cell r="BY261">
            <v>39991</v>
          </cell>
          <cell r="BZ261">
            <v>1.0441</v>
          </cell>
        </row>
        <row r="262">
          <cell r="BY262">
            <v>39992</v>
          </cell>
          <cell r="BZ262">
            <v>1.0481</v>
          </cell>
        </row>
        <row r="263">
          <cell r="BY263">
            <v>39993</v>
          </cell>
          <cell r="BZ263">
            <v>1.0659000000000001</v>
          </cell>
        </row>
        <row r="264">
          <cell r="BY264">
            <v>39994</v>
          </cell>
          <cell r="BZ264">
            <v>1.0746</v>
          </cell>
        </row>
        <row r="265">
          <cell r="BY265">
            <v>39995</v>
          </cell>
          <cell r="BZ265">
            <v>1.0772999999999999</v>
          </cell>
        </row>
        <row r="266">
          <cell r="BY266">
            <v>39996</v>
          </cell>
          <cell r="BZ266">
            <v>1.075</v>
          </cell>
        </row>
        <row r="267">
          <cell r="BY267">
            <v>39997</v>
          </cell>
          <cell r="BZ267">
            <v>1.0735999999999999</v>
          </cell>
        </row>
        <row r="268">
          <cell r="BY268">
            <v>39998</v>
          </cell>
          <cell r="BZ268">
            <v>1.0765</v>
          </cell>
        </row>
        <row r="269">
          <cell r="BY269">
            <v>39999</v>
          </cell>
          <cell r="BZ269">
            <v>1.0926</v>
          </cell>
        </row>
        <row r="270">
          <cell r="BY270">
            <v>40000</v>
          </cell>
          <cell r="BZ270">
            <v>1.0791999999999999</v>
          </cell>
        </row>
        <row r="271">
          <cell r="BY271">
            <v>0</v>
          </cell>
          <cell r="BZ271">
            <v>0</v>
          </cell>
        </row>
        <row r="272">
          <cell r="BY272">
            <v>40001</v>
          </cell>
          <cell r="BZ272">
            <v>1.0871</v>
          </cell>
        </row>
        <row r="273">
          <cell r="BY273">
            <v>0</v>
          </cell>
          <cell r="BZ273">
            <v>0</v>
          </cell>
        </row>
        <row r="274">
          <cell r="BY274">
            <v>0</v>
          </cell>
          <cell r="BZ274">
            <v>0</v>
          </cell>
        </row>
        <row r="275">
          <cell r="BY275">
            <v>40002</v>
          </cell>
          <cell r="BZ275">
            <v>1.0792999999999999</v>
          </cell>
        </row>
        <row r="276">
          <cell r="BY276">
            <v>40003</v>
          </cell>
          <cell r="BZ276">
            <v>1.0831</v>
          </cell>
        </row>
        <row r="277">
          <cell r="BY277">
            <v>40004</v>
          </cell>
          <cell r="BZ277">
            <v>1.0596000000000001</v>
          </cell>
        </row>
        <row r="278">
          <cell r="BY278">
            <v>40005</v>
          </cell>
          <cell r="BZ278">
            <v>1.0631999999999999</v>
          </cell>
        </row>
        <row r="279">
          <cell r="BY279">
            <v>40006</v>
          </cell>
          <cell r="BZ279">
            <v>1.0662</v>
          </cell>
        </row>
        <row r="280">
          <cell r="BY280">
            <v>40007</v>
          </cell>
          <cell r="BZ280">
            <v>1.0652999999999999</v>
          </cell>
        </row>
        <row r="281">
          <cell r="BY281">
            <v>40008</v>
          </cell>
          <cell r="BZ281">
            <v>1.0652999999999999</v>
          </cell>
        </row>
        <row r="282">
          <cell r="BY282">
            <v>40009</v>
          </cell>
          <cell r="BZ282">
            <v>1.0531999999999999</v>
          </cell>
        </row>
        <row r="283">
          <cell r="BY283">
            <v>40010</v>
          </cell>
          <cell r="BZ283">
            <v>1.0646</v>
          </cell>
        </row>
        <row r="284">
          <cell r="BY284">
            <v>40011</v>
          </cell>
          <cell r="BZ284">
            <v>1.0757000000000001</v>
          </cell>
        </row>
        <row r="285">
          <cell r="BY285">
            <v>40012</v>
          </cell>
          <cell r="BZ285">
            <v>1.0767</v>
          </cell>
        </row>
        <row r="286">
          <cell r="BY286">
            <v>40013</v>
          </cell>
          <cell r="BZ286">
            <v>1.0857000000000001</v>
          </cell>
        </row>
        <row r="287">
          <cell r="BY287">
            <v>40014</v>
          </cell>
          <cell r="BZ287">
            <v>1.0925</v>
          </cell>
        </row>
        <row r="288">
          <cell r="BY288">
            <v>40015</v>
          </cell>
          <cell r="BZ288">
            <v>1.0895999999999999</v>
          </cell>
        </row>
        <row r="289">
          <cell r="BY289">
            <v>40016</v>
          </cell>
          <cell r="BZ289">
            <v>1.1083000000000001</v>
          </cell>
        </row>
        <row r="290">
          <cell r="BY290">
            <v>40017</v>
          </cell>
          <cell r="BZ290">
            <v>1.1094999999999999</v>
          </cell>
        </row>
        <row r="291">
          <cell r="BY291">
            <v>40018</v>
          </cell>
          <cell r="BZ291">
            <v>1.1175999999999999</v>
          </cell>
        </row>
        <row r="292">
          <cell r="BY292">
            <v>40019</v>
          </cell>
          <cell r="BZ292">
            <v>1.1101000000000001</v>
          </cell>
        </row>
        <row r="293">
          <cell r="BY293">
            <v>40020</v>
          </cell>
          <cell r="BZ293">
            <v>1.1200000000000001</v>
          </cell>
        </row>
        <row r="294">
          <cell r="BY294">
            <v>40021</v>
          </cell>
          <cell r="BZ294">
            <v>1.1042000000000001</v>
          </cell>
        </row>
        <row r="295">
          <cell r="BY295">
            <v>40022</v>
          </cell>
          <cell r="BZ295">
            <v>1.1117999999999999</v>
          </cell>
        </row>
        <row r="296">
          <cell r="BY296">
            <v>40023</v>
          </cell>
          <cell r="BZ296">
            <v>1.1051</v>
          </cell>
        </row>
        <row r="297">
          <cell r="BY297">
            <v>40024</v>
          </cell>
          <cell r="BZ297">
            <v>1.1215999999999999</v>
          </cell>
        </row>
        <row r="298">
          <cell r="BY298">
            <v>40025</v>
          </cell>
          <cell r="BZ298">
            <v>1.1272</v>
          </cell>
        </row>
        <row r="299">
          <cell r="BY299">
            <v>40026</v>
          </cell>
          <cell r="BZ299">
            <v>1.1294</v>
          </cell>
        </row>
        <row r="300">
          <cell r="BY300">
            <v>40027</v>
          </cell>
          <cell r="BZ300">
            <v>1.1259000000000001</v>
          </cell>
        </row>
        <row r="301">
          <cell r="BY301">
            <v>40028</v>
          </cell>
          <cell r="BZ301">
            <v>1.1289</v>
          </cell>
        </row>
        <row r="302">
          <cell r="BY302">
            <v>40029</v>
          </cell>
          <cell r="BZ302">
            <v>1.1313</v>
          </cell>
        </row>
        <row r="303">
          <cell r="BY303">
            <v>40030</v>
          </cell>
          <cell r="BZ303">
            <v>1.1368</v>
          </cell>
        </row>
        <row r="304">
          <cell r="BY304">
            <v>40031</v>
          </cell>
          <cell r="BZ304">
            <v>1.1320000000000001</v>
          </cell>
        </row>
        <row r="305">
          <cell r="BY305">
            <v>40032</v>
          </cell>
          <cell r="BZ305">
            <v>1.1461000000000001</v>
          </cell>
        </row>
        <row r="306">
          <cell r="BY306">
            <v>40033</v>
          </cell>
          <cell r="BZ306">
            <v>1.1602000000000001</v>
          </cell>
        </row>
        <row r="307">
          <cell r="BY307">
            <v>40034</v>
          </cell>
          <cell r="BZ307">
            <v>1.1657999999999999</v>
          </cell>
        </row>
        <row r="308">
          <cell r="BY308">
            <v>40035</v>
          </cell>
          <cell r="BZ308">
            <v>1.1861999999999999</v>
          </cell>
        </row>
        <row r="309">
          <cell r="BY309">
            <v>40036</v>
          </cell>
          <cell r="BZ309">
            <v>1.1567000000000001</v>
          </cell>
        </row>
        <row r="310">
          <cell r="BY310">
            <v>0</v>
          </cell>
          <cell r="BZ310">
            <v>0</v>
          </cell>
        </row>
        <row r="311">
          <cell r="BY311">
            <v>0</v>
          </cell>
          <cell r="BZ311">
            <v>0</v>
          </cell>
        </row>
        <row r="312">
          <cell r="BY312">
            <v>40037</v>
          </cell>
          <cell r="BZ312">
            <v>1.1618999999999999</v>
          </cell>
        </row>
        <row r="313">
          <cell r="BY313">
            <v>40038</v>
          </cell>
          <cell r="BZ313">
            <v>1.1539999999999999</v>
          </cell>
        </row>
        <row r="314">
          <cell r="BY314">
            <v>40039</v>
          </cell>
          <cell r="BZ314">
            <v>1.1718</v>
          </cell>
        </row>
        <row r="315">
          <cell r="BY315">
            <v>40040</v>
          </cell>
          <cell r="BZ315">
            <v>1.1732</v>
          </cell>
        </row>
        <row r="316">
          <cell r="BY316">
            <v>40041</v>
          </cell>
          <cell r="BZ316">
            <v>1.1802999999999999</v>
          </cell>
        </row>
        <row r="317">
          <cell r="BY317">
            <v>40042</v>
          </cell>
          <cell r="BZ317">
            <v>1.1713</v>
          </cell>
        </row>
        <row r="318">
          <cell r="BY318">
            <v>40043</v>
          </cell>
          <cell r="BZ318">
            <v>1.1572</v>
          </cell>
        </row>
        <row r="319">
          <cell r="BY319">
            <v>40044</v>
          </cell>
          <cell r="BZ319">
            <v>1.1565000000000001</v>
          </cell>
        </row>
        <row r="320">
          <cell r="BY320">
            <v>40045</v>
          </cell>
          <cell r="BZ320">
            <v>1.1549</v>
          </cell>
        </row>
        <row r="321">
          <cell r="BY321">
            <v>40046</v>
          </cell>
          <cell r="BZ321">
            <v>1.1696</v>
          </cell>
        </row>
        <row r="322">
          <cell r="BY322">
            <v>0</v>
          </cell>
          <cell r="BZ322">
            <v>0</v>
          </cell>
        </row>
        <row r="323">
          <cell r="BY323">
            <v>40048</v>
          </cell>
          <cell r="BZ323">
            <v>1.1400999999999999</v>
          </cell>
        </row>
        <row r="324">
          <cell r="BY324">
            <v>40049</v>
          </cell>
          <cell r="BZ324">
            <v>1.1573</v>
          </cell>
        </row>
        <row r="325">
          <cell r="BY325">
            <v>40050</v>
          </cell>
          <cell r="BZ325">
            <v>1.1648000000000001</v>
          </cell>
        </row>
        <row r="326">
          <cell r="BY326">
            <v>40051</v>
          </cell>
          <cell r="BZ326">
            <v>1.1718999999999999</v>
          </cell>
        </row>
        <row r="327">
          <cell r="BY327">
            <v>40052</v>
          </cell>
          <cell r="BZ327">
            <v>1.1644000000000001</v>
          </cell>
        </row>
        <row r="328">
          <cell r="BY328">
            <v>40053</v>
          </cell>
          <cell r="BZ328">
            <v>1.1749000000000001</v>
          </cell>
        </row>
        <row r="329">
          <cell r="BY329">
            <v>40054</v>
          </cell>
          <cell r="BZ329">
            <v>1.1648000000000001</v>
          </cell>
        </row>
        <row r="330">
          <cell r="BY330">
            <v>40055</v>
          </cell>
          <cell r="BZ330">
            <v>1.1634</v>
          </cell>
        </row>
        <row r="331">
          <cell r="BY331">
            <v>40056</v>
          </cell>
          <cell r="BZ331">
            <v>1.1566000000000001</v>
          </cell>
        </row>
        <row r="332">
          <cell r="BY332">
            <v>40057</v>
          </cell>
          <cell r="BZ332">
            <v>1.1562000000000001</v>
          </cell>
        </row>
        <row r="333">
          <cell r="BY333">
            <v>40058</v>
          </cell>
          <cell r="BZ333">
            <v>1.1595</v>
          </cell>
        </row>
        <row r="334">
          <cell r="BY334">
            <v>40059</v>
          </cell>
          <cell r="BZ334">
            <v>1.1506000000000001</v>
          </cell>
        </row>
        <row r="335">
          <cell r="BY335">
            <v>40060</v>
          </cell>
          <cell r="BZ335">
            <v>1.1383000000000001</v>
          </cell>
        </row>
        <row r="336">
          <cell r="BY336">
            <v>40061</v>
          </cell>
          <cell r="BZ336">
            <v>1.1406000000000001</v>
          </cell>
        </row>
        <row r="337">
          <cell r="BY337">
            <v>40062</v>
          </cell>
          <cell r="BZ337">
            <v>1.1341000000000001</v>
          </cell>
        </row>
        <row r="338">
          <cell r="BY338">
            <v>40063</v>
          </cell>
          <cell r="BZ338">
            <v>1.1459999999999999</v>
          </cell>
        </row>
        <row r="339">
          <cell r="BY339">
            <v>40064</v>
          </cell>
          <cell r="BZ339">
            <v>1.1556</v>
          </cell>
        </row>
        <row r="340">
          <cell r="BY340">
            <v>40065</v>
          </cell>
          <cell r="BZ340">
            <v>1.1600999999999999</v>
          </cell>
        </row>
        <row r="341">
          <cell r="BY341">
            <v>40066</v>
          </cell>
          <cell r="BZ341">
            <v>1.1644000000000001</v>
          </cell>
        </row>
        <row r="342">
          <cell r="BY342">
            <v>40067</v>
          </cell>
          <cell r="BZ342">
            <v>1.1665000000000001</v>
          </cell>
        </row>
        <row r="343">
          <cell r="BY343">
            <v>40068</v>
          </cell>
          <cell r="BZ343">
            <v>1.1732</v>
          </cell>
        </row>
        <row r="344">
          <cell r="BY344">
            <v>40069</v>
          </cell>
          <cell r="BZ344">
            <v>1.1774</v>
          </cell>
        </row>
        <row r="345">
          <cell r="BY345">
            <v>40070</v>
          </cell>
          <cell r="BZ345">
            <v>1.1788000000000001</v>
          </cell>
        </row>
        <row r="346">
          <cell r="BY346">
            <v>40071</v>
          </cell>
          <cell r="BZ346">
            <v>1.1774</v>
          </cell>
        </row>
        <row r="347">
          <cell r="BY347">
            <v>40072</v>
          </cell>
          <cell r="BZ347">
            <v>1.1829000000000001</v>
          </cell>
        </row>
        <row r="348">
          <cell r="BY348">
            <v>40073</v>
          </cell>
          <cell r="BZ348">
            <v>1.1955</v>
          </cell>
        </row>
        <row r="349">
          <cell r="BY349">
            <v>40074</v>
          </cell>
          <cell r="BZ349">
            <v>1.1880999999999999</v>
          </cell>
        </row>
        <row r="350">
          <cell r="BY350">
            <v>40075</v>
          </cell>
          <cell r="BZ350">
            <v>1.1854</v>
          </cell>
        </row>
        <row r="351">
          <cell r="BY351">
            <v>40076</v>
          </cell>
          <cell r="BZ351">
            <v>1.1926000000000001</v>
          </cell>
        </row>
        <row r="352">
          <cell r="BY352">
            <v>40077</v>
          </cell>
          <cell r="BZ352">
            <v>1.2078</v>
          </cell>
        </row>
        <row r="353">
          <cell r="BY353">
            <v>40078</v>
          </cell>
          <cell r="BZ353">
            <v>1.2062999999999999</v>
          </cell>
        </row>
        <row r="354">
          <cell r="BY354">
            <v>40079</v>
          </cell>
          <cell r="BZ354">
            <v>1.2094</v>
          </cell>
        </row>
        <row r="355">
          <cell r="BY355">
            <v>40080</v>
          </cell>
          <cell r="BZ355">
            <v>1.2040999999999999</v>
          </cell>
        </row>
        <row r="356">
          <cell r="BY356">
            <v>40081</v>
          </cell>
          <cell r="BZ356">
            <v>1.2081999999999999</v>
          </cell>
        </row>
        <row r="357">
          <cell r="BY357">
            <v>40082</v>
          </cell>
          <cell r="BZ357">
            <v>1.2064999999999999</v>
          </cell>
        </row>
        <row r="358">
          <cell r="BY358">
            <v>40083</v>
          </cell>
          <cell r="BZ358">
            <v>1.1929000000000001</v>
          </cell>
        </row>
        <row r="359">
          <cell r="BY359">
            <v>40084</v>
          </cell>
          <cell r="BZ359">
            <v>1.2076</v>
          </cell>
        </row>
        <row r="360">
          <cell r="BY360">
            <v>40085</v>
          </cell>
          <cell r="BZ360">
            <v>1.2163999999999999</v>
          </cell>
        </row>
        <row r="361">
          <cell r="BY361">
            <v>40086</v>
          </cell>
          <cell r="BZ361">
            <v>1.1888000000000001</v>
          </cell>
        </row>
        <row r="362">
          <cell r="BY362">
            <v>40087</v>
          </cell>
          <cell r="BZ362">
            <v>1.1952</v>
          </cell>
        </row>
        <row r="363">
          <cell r="BY363">
            <v>40088</v>
          </cell>
          <cell r="BZ363">
            <v>1.1963999999999999</v>
          </cell>
        </row>
        <row r="364">
          <cell r="BY364">
            <v>40089</v>
          </cell>
          <cell r="BZ364">
            <v>1.2020999999999999</v>
          </cell>
        </row>
        <row r="365">
          <cell r="BY365">
            <v>40090</v>
          </cell>
          <cell r="BZ365">
            <v>1.1913</v>
          </cell>
        </row>
        <row r="366">
          <cell r="BY366">
            <v>40091</v>
          </cell>
          <cell r="BZ366">
            <v>1.2070000000000001</v>
          </cell>
        </row>
        <row r="367">
          <cell r="BY367">
            <v>40092</v>
          </cell>
          <cell r="BZ367">
            <v>1.2046999999999999</v>
          </cell>
        </row>
        <row r="368">
          <cell r="BY368">
            <v>40093</v>
          </cell>
          <cell r="BZ368">
            <v>1.2058</v>
          </cell>
        </row>
        <row r="369">
          <cell r="BY369">
            <v>40094</v>
          </cell>
          <cell r="BZ369">
            <v>1.1969000000000001</v>
          </cell>
        </row>
        <row r="370">
          <cell r="BY370">
            <v>40095</v>
          </cell>
          <cell r="BZ370">
            <v>1.2111000000000001</v>
          </cell>
        </row>
        <row r="371">
          <cell r="BY371">
            <v>40096</v>
          </cell>
          <cell r="BZ371">
            <v>1.2109000000000001</v>
          </cell>
        </row>
        <row r="372">
          <cell r="BY372">
            <v>40097</v>
          </cell>
          <cell r="BZ372">
            <v>1.2121999999999999</v>
          </cell>
        </row>
        <row r="373">
          <cell r="BY373">
            <v>40098</v>
          </cell>
          <cell r="BZ373">
            <v>1.2020999999999999</v>
          </cell>
        </row>
        <row r="374">
          <cell r="BY374">
            <v>40099</v>
          </cell>
          <cell r="BZ374">
            <v>1.2046999999999999</v>
          </cell>
        </row>
        <row r="375">
          <cell r="BY375">
            <v>40100</v>
          </cell>
          <cell r="BZ375">
            <v>1.2113</v>
          </cell>
        </row>
        <row r="376">
          <cell r="BY376">
            <v>40101</v>
          </cell>
          <cell r="BZ376">
            <v>1.2199</v>
          </cell>
        </row>
        <row r="377">
          <cell r="BY377">
            <v>40102</v>
          </cell>
          <cell r="BZ377">
            <v>1.2275</v>
          </cell>
        </row>
        <row r="378">
          <cell r="BY378">
            <v>40103</v>
          </cell>
          <cell r="BZ378">
            <v>1.2262</v>
          </cell>
        </row>
        <row r="379">
          <cell r="BY379">
            <v>40104</v>
          </cell>
          <cell r="BZ379">
            <v>1.2254</v>
          </cell>
        </row>
        <row r="380">
          <cell r="BY380">
            <v>40105</v>
          </cell>
          <cell r="BZ380">
            <v>1.23</v>
          </cell>
        </row>
        <row r="381">
          <cell r="BY381">
            <v>40106</v>
          </cell>
          <cell r="BZ381">
            <v>1.2217</v>
          </cell>
        </row>
        <row r="382">
          <cell r="BY382">
            <v>40107</v>
          </cell>
          <cell r="BZ382">
            <v>1.2262</v>
          </cell>
        </row>
        <row r="383">
          <cell r="BY383">
            <v>40108</v>
          </cell>
          <cell r="BZ383">
            <v>1.2277</v>
          </cell>
        </row>
        <row r="384">
          <cell r="BY384">
            <v>40109</v>
          </cell>
          <cell r="BZ384">
            <v>1.2373000000000001</v>
          </cell>
        </row>
        <row r="385">
          <cell r="BY385">
            <v>40110</v>
          </cell>
          <cell r="BZ385">
            <v>1.2311000000000001</v>
          </cell>
        </row>
        <row r="386">
          <cell r="BY386">
            <v>40111</v>
          </cell>
          <cell r="BZ386">
            <v>1.2251000000000001</v>
          </cell>
        </row>
        <row r="387">
          <cell r="BY387">
            <v>40112</v>
          </cell>
          <cell r="BZ387">
            <v>1.2288999999999999</v>
          </cell>
        </row>
        <row r="388">
          <cell r="BY388">
            <v>40113</v>
          </cell>
          <cell r="BZ388">
            <v>1.2337</v>
          </cell>
        </row>
        <row r="389">
          <cell r="BY389">
            <v>40114</v>
          </cell>
          <cell r="BZ389">
            <v>1.2355</v>
          </cell>
        </row>
        <row r="390">
          <cell r="BY390">
            <v>40115</v>
          </cell>
          <cell r="BZ390">
            <v>1.2319</v>
          </cell>
        </row>
        <row r="391">
          <cell r="BY391">
            <v>40116</v>
          </cell>
          <cell r="BZ391">
            <v>1.2242</v>
          </cell>
        </row>
        <row r="392">
          <cell r="BY392">
            <v>40117</v>
          </cell>
          <cell r="BZ392">
            <v>1.242</v>
          </cell>
        </row>
        <row r="393">
          <cell r="BY393">
            <v>40118</v>
          </cell>
          <cell r="BZ393">
            <v>1.2444999999999999</v>
          </cell>
        </row>
        <row r="394">
          <cell r="BY394">
            <v>40119</v>
          </cell>
          <cell r="BZ394">
            <v>1.2404999999999999</v>
          </cell>
        </row>
        <row r="395">
          <cell r="BY395">
            <v>40120</v>
          </cell>
          <cell r="BZ395">
            <v>1.2304999999999999</v>
          </cell>
        </row>
        <row r="396">
          <cell r="BY396">
            <v>40121</v>
          </cell>
          <cell r="BZ396">
            <v>1.2418</v>
          </cell>
        </row>
        <row r="397">
          <cell r="BY397">
            <v>40122</v>
          </cell>
          <cell r="BZ397">
            <v>1.2484</v>
          </cell>
        </row>
        <row r="398">
          <cell r="BY398">
            <v>40123</v>
          </cell>
          <cell r="BZ398">
            <v>1.2570999999999999</v>
          </cell>
        </row>
        <row r="399">
          <cell r="BY399">
            <v>40124</v>
          </cell>
          <cell r="BZ399">
            <v>1.2605</v>
          </cell>
        </row>
        <row r="400">
          <cell r="BY400">
            <v>40125</v>
          </cell>
          <cell r="BZ400">
            <v>1.2647999999999999</v>
          </cell>
        </row>
        <row r="401">
          <cell r="BY401">
            <v>40126</v>
          </cell>
          <cell r="BZ401">
            <v>1.2674000000000001</v>
          </cell>
        </row>
        <row r="402">
          <cell r="BY402">
            <v>40127</v>
          </cell>
          <cell r="BZ402">
            <v>1.272</v>
          </cell>
        </row>
        <row r="403">
          <cell r="BY403">
            <v>40128</v>
          </cell>
          <cell r="BZ403">
            <v>1.2785</v>
          </cell>
        </row>
        <row r="404">
          <cell r="BY404">
            <v>40129</v>
          </cell>
          <cell r="BZ404">
            <v>1.2816000000000001</v>
          </cell>
        </row>
        <row r="405">
          <cell r="BY405">
            <v>40130</v>
          </cell>
          <cell r="BZ405">
            <v>1.28</v>
          </cell>
        </row>
        <row r="406">
          <cell r="BY406">
            <v>40131</v>
          </cell>
          <cell r="BZ406">
            <v>1.2898000000000001</v>
          </cell>
        </row>
        <row r="407">
          <cell r="BY407">
            <v>40132</v>
          </cell>
          <cell r="BZ407">
            <v>1.2863</v>
          </cell>
        </row>
        <row r="408">
          <cell r="BY408">
            <v>40133</v>
          </cell>
          <cell r="BZ408">
            <v>1.2903</v>
          </cell>
        </row>
        <row r="409">
          <cell r="BY409">
            <v>40134</v>
          </cell>
          <cell r="BZ409">
            <v>1.2930999999999999</v>
          </cell>
        </row>
        <row r="410">
          <cell r="BY410">
            <v>40135</v>
          </cell>
          <cell r="BZ410">
            <v>1.288</v>
          </cell>
        </row>
        <row r="411">
          <cell r="BY411">
            <v>40136</v>
          </cell>
          <cell r="BZ411">
            <v>1.2846</v>
          </cell>
        </row>
        <row r="412">
          <cell r="BY412">
            <v>40137</v>
          </cell>
          <cell r="BZ412">
            <v>1.2734000000000001</v>
          </cell>
        </row>
        <row r="413">
          <cell r="BY413">
            <v>40138</v>
          </cell>
          <cell r="BZ413">
            <v>1.2610000000000001</v>
          </cell>
        </row>
        <row r="414">
          <cell r="BY414">
            <v>40139</v>
          </cell>
          <cell r="BZ414">
            <v>1.2793999999999999</v>
          </cell>
        </row>
        <row r="415">
          <cell r="BY415">
            <v>40140</v>
          </cell>
          <cell r="BZ415">
            <v>1.2648999999999999</v>
          </cell>
        </row>
        <row r="416">
          <cell r="BY416">
            <v>40141</v>
          </cell>
          <cell r="BZ416">
            <v>1.2604</v>
          </cell>
        </row>
        <row r="417">
          <cell r="BY417">
            <v>40142</v>
          </cell>
          <cell r="BZ417">
            <v>1.2635000000000001</v>
          </cell>
        </row>
        <row r="418">
          <cell r="BY418">
            <v>40143</v>
          </cell>
          <cell r="BZ418">
            <v>1.2654000000000001</v>
          </cell>
        </row>
        <row r="419">
          <cell r="BY419">
            <v>40144</v>
          </cell>
          <cell r="BZ419">
            <v>1.2727999999999999</v>
          </cell>
        </row>
        <row r="420">
          <cell r="BY420">
            <v>40145</v>
          </cell>
          <cell r="BZ420">
            <v>1.2858000000000001</v>
          </cell>
        </row>
        <row r="421">
          <cell r="BY421">
            <v>40146</v>
          </cell>
          <cell r="BZ421">
            <v>1.2879</v>
          </cell>
        </row>
        <row r="422">
          <cell r="BY422">
            <v>40147</v>
          </cell>
          <cell r="BZ422">
            <v>1.2907999999999999</v>
          </cell>
        </row>
        <row r="423">
          <cell r="BY423">
            <v>40148</v>
          </cell>
          <cell r="BZ423">
            <v>1.2950999999999999</v>
          </cell>
        </row>
        <row r="424">
          <cell r="BY424">
            <v>40149</v>
          </cell>
          <cell r="BZ424">
            <v>1.2856000000000001</v>
          </cell>
        </row>
        <row r="425">
          <cell r="BY425">
            <v>40150</v>
          </cell>
          <cell r="BZ425">
            <v>1.2946</v>
          </cell>
        </row>
        <row r="426">
          <cell r="BY426">
            <v>40151</v>
          </cell>
          <cell r="BZ426">
            <v>1.2934000000000001</v>
          </cell>
        </row>
        <row r="427">
          <cell r="BY427">
            <v>40152</v>
          </cell>
          <cell r="BZ427">
            <v>1.2869999999999999</v>
          </cell>
        </row>
        <row r="428">
          <cell r="BY428">
            <v>40153</v>
          </cell>
          <cell r="BZ428">
            <v>1.2821</v>
          </cell>
        </row>
        <row r="429">
          <cell r="BY429">
            <v>40154</v>
          </cell>
          <cell r="BZ429">
            <v>1.2776000000000001</v>
          </cell>
        </row>
        <row r="430">
          <cell r="BY430">
            <v>40155</v>
          </cell>
          <cell r="BZ430">
            <v>1.2748999999999999</v>
          </cell>
        </row>
        <row r="431">
          <cell r="BY431">
            <v>40156</v>
          </cell>
          <cell r="BZ431">
            <v>1.2783</v>
          </cell>
        </row>
        <row r="432">
          <cell r="BY432">
            <v>40157</v>
          </cell>
          <cell r="BZ432">
            <v>1.2808999999999999</v>
          </cell>
        </row>
        <row r="433">
          <cell r="BY433">
            <v>40158</v>
          </cell>
          <cell r="BZ433">
            <v>1.2734000000000001</v>
          </cell>
        </row>
        <row r="434">
          <cell r="BY434">
            <v>40159</v>
          </cell>
          <cell r="BZ434">
            <v>1.2544</v>
          </cell>
        </row>
        <row r="435">
          <cell r="BY435">
            <v>40160</v>
          </cell>
          <cell r="BZ435">
            <v>1.2690000000000001</v>
          </cell>
        </row>
        <row r="436">
          <cell r="BY436">
            <v>40161</v>
          </cell>
          <cell r="BZ436">
            <v>1.2645</v>
          </cell>
        </row>
        <row r="437">
          <cell r="BY437">
            <v>40162</v>
          </cell>
          <cell r="BZ437">
            <v>1.2793999999999999</v>
          </cell>
        </row>
        <row r="438">
          <cell r="BY438">
            <v>40163</v>
          </cell>
          <cell r="BZ438">
            <v>1.2827</v>
          </cell>
        </row>
        <row r="439">
          <cell r="BY439">
            <v>40164</v>
          </cell>
          <cell r="BZ439">
            <v>1.2772999999999999</v>
          </cell>
        </row>
        <row r="440">
          <cell r="BY440">
            <v>40165</v>
          </cell>
          <cell r="BZ440">
            <v>1.2716000000000001</v>
          </cell>
        </row>
        <row r="441">
          <cell r="BY441">
            <v>40166</v>
          </cell>
          <cell r="BZ441">
            <v>1.2688999999999999</v>
          </cell>
        </row>
        <row r="442">
          <cell r="BY442">
            <v>40167</v>
          </cell>
          <cell r="BZ442">
            <v>1.2629999999999999</v>
          </cell>
        </row>
        <row r="443">
          <cell r="BY443">
            <v>40168</v>
          </cell>
          <cell r="BZ443">
            <v>1.2706</v>
          </cell>
        </row>
        <row r="444">
          <cell r="BY444">
            <v>40169</v>
          </cell>
          <cell r="BZ444">
            <v>1.2722</v>
          </cell>
        </row>
        <row r="445">
          <cell r="BY445">
            <v>40170</v>
          </cell>
          <cell r="BZ445">
            <v>1.2667999999999999</v>
          </cell>
        </row>
        <row r="446">
          <cell r="BY446">
            <v>40171</v>
          </cell>
          <cell r="BZ446">
            <v>1.2716000000000001</v>
          </cell>
        </row>
        <row r="447">
          <cell r="BY447">
            <v>40172</v>
          </cell>
          <cell r="BZ447">
            <v>1.2566999999999999</v>
          </cell>
        </row>
        <row r="448">
          <cell r="BY448">
            <v>40173</v>
          </cell>
          <cell r="BZ448">
            <v>1.2474000000000001</v>
          </cell>
        </row>
        <row r="449">
          <cell r="BY449">
            <v>40174</v>
          </cell>
          <cell r="BZ449">
            <v>1.2454000000000001</v>
          </cell>
        </row>
        <row r="450">
          <cell r="BY450">
            <v>40175</v>
          </cell>
          <cell r="BZ450">
            <v>1.2447999999999999</v>
          </cell>
        </row>
        <row r="451">
          <cell r="BY451">
            <v>40176</v>
          </cell>
          <cell r="BZ451">
            <v>1.2359</v>
          </cell>
        </row>
        <row r="452">
          <cell r="BY452">
            <v>40177</v>
          </cell>
          <cell r="BZ452">
            <v>1.2366999999999999</v>
          </cell>
        </row>
        <row r="453">
          <cell r="BY453">
            <v>40178</v>
          </cell>
          <cell r="BZ453">
            <v>1.2408999999999999</v>
          </cell>
        </row>
        <row r="454">
          <cell r="BY454">
            <v>40179</v>
          </cell>
          <cell r="BZ454">
            <v>1.2498</v>
          </cell>
        </row>
        <row r="455">
          <cell r="BY455">
            <v>40180</v>
          </cell>
          <cell r="BZ455">
            <v>1.2523</v>
          </cell>
        </row>
        <row r="456">
          <cell r="BY456">
            <v>40181</v>
          </cell>
          <cell r="BZ456">
            <v>1.2589000000000001</v>
          </cell>
        </row>
        <row r="457">
          <cell r="BY457">
            <v>40182</v>
          </cell>
          <cell r="BZ457">
            <v>1.258</v>
          </cell>
        </row>
        <row r="458">
          <cell r="BY458">
            <v>40183</v>
          </cell>
          <cell r="BZ458">
            <v>1.2745</v>
          </cell>
        </row>
        <row r="459">
          <cell r="BY459">
            <v>40184</v>
          </cell>
          <cell r="BZ459">
            <v>1.2763</v>
          </cell>
        </row>
        <row r="460">
          <cell r="BY460">
            <v>40185</v>
          </cell>
          <cell r="BZ460">
            <v>1.2863</v>
          </cell>
        </row>
        <row r="461">
          <cell r="BY461">
            <v>40186</v>
          </cell>
          <cell r="BZ461">
            <v>1.2801</v>
          </cell>
        </row>
        <row r="462">
          <cell r="BY462">
            <v>40189</v>
          </cell>
          <cell r="BZ462">
            <v>1.2926</v>
          </cell>
        </row>
        <row r="463">
          <cell r="BY463">
            <v>40190</v>
          </cell>
          <cell r="BZ463">
            <v>1.2889999999999999</v>
          </cell>
        </row>
        <row r="464">
          <cell r="BY464">
            <v>40191</v>
          </cell>
          <cell r="BZ464">
            <v>1.2833000000000001</v>
          </cell>
        </row>
        <row r="465">
          <cell r="BY465">
            <v>40192</v>
          </cell>
          <cell r="BZ465">
            <v>1.2887</v>
          </cell>
        </row>
        <row r="466">
          <cell r="BY466">
            <v>40193</v>
          </cell>
          <cell r="BZ466">
            <v>1.2882</v>
          </cell>
        </row>
        <row r="467">
          <cell r="BY467">
            <v>40196</v>
          </cell>
          <cell r="BZ467">
            <v>1.2817000000000001</v>
          </cell>
        </row>
        <row r="468">
          <cell r="BY468">
            <v>40197</v>
          </cell>
          <cell r="BZ468">
            <v>1.282</v>
          </cell>
        </row>
        <row r="469">
          <cell r="BY469">
            <v>40198</v>
          </cell>
          <cell r="BZ469">
            <v>1.2784</v>
          </cell>
        </row>
        <row r="470">
          <cell r="BY470">
            <v>40199</v>
          </cell>
          <cell r="BZ470">
            <v>1.2782</v>
          </cell>
        </row>
        <row r="471">
          <cell r="BY471">
            <v>40200</v>
          </cell>
          <cell r="BZ471">
            <v>1.2679</v>
          </cell>
        </row>
        <row r="472">
          <cell r="BY472">
            <v>40203</v>
          </cell>
          <cell r="BZ472">
            <v>1.2713000000000001</v>
          </cell>
        </row>
        <row r="473">
          <cell r="BY473">
            <v>40205</v>
          </cell>
          <cell r="BZ473">
            <v>1.2657</v>
          </cell>
        </row>
        <row r="474">
          <cell r="BY474">
            <v>40206</v>
          </cell>
          <cell r="BZ474">
            <v>1.2641</v>
          </cell>
        </row>
        <row r="475">
          <cell r="BY475">
            <v>40207</v>
          </cell>
          <cell r="BZ475">
            <v>1.2530000000000001</v>
          </cell>
        </row>
        <row r="476">
          <cell r="BY476">
            <v>40210</v>
          </cell>
          <cell r="BZ476">
            <v>1.2458</v>
          </cell>
        </row>
        <row r="477">
          <cell r="BY477">
            <v>40211</v>
          </cell>
          <cell r="BZ477">
            <v>1.2433000000000001</v>
          </cell>
        </row>
        <row r="478">
          <cell r="BY478">
            <v>40212</v>
          </cell>
          <cell r="BZ478">
            <v>1.2478</v>
          </cell>
        </row>
        <row r="479">
          <cell r="BY479">
            <v>40213</v>
          </cell>
          <cell r="BZ479">
            <v>1.2442</v>
          </cell>
        </row>
        <row r="480">
          <cell r="BY480">
            <v>40214</v>
          </cell>
          <cell r="BZ480">
            <v>1.2321</v>
          </cell>
        </row>
        <row r="481">
          <cell r="BY481">
            <v>40217</v>
          </cell>
          <cell r="BZ481">
            <v>1.2314000000000001</v>
          </cell>
        </row>
        <row r="482">
          <cell r="BY482">
            <v>40218</v>
          </cell>
          <cell r="BZ482">
            <v>1.2331000000000001</v>
          </cell>
        </row>
        <row r="483">
          <cell r="BY483">
            <v>40219</v>
          </cell>
          <cell r="BZ483">
            <v>1.2418</v>
          </cell>
        </row>
        <row r="484">
          <cell r="BY484">
            <v>40220</v>
          </cell>
          <cell r="BZ484">
            <v>1.2543</v>
          </cell>
        </row>
        <row r="485">
          <cell r="BY485">
            <v>40221</v>
          </cell>
          <cell r="BZ485">
            <v>1.2551999999999999</v>
          </cell>
        </row>
        <row r="486">
          <cell r="BY486">
            <v>40224</v>
          </cell>
          <cell r="BZ486">
            <v>1.2528999999999999</v>
          </cell>
        </row>
        <row r="487">
          <cell r="BY487">
            <v>40225</v>
          </cell>
          <cell r="BZ487">
            <v>1.2589999999999999</v>
          </cell>
        </row>
        <row r="488">
          <cell r="BY488">
            <v>40226</v>
          </cell>
          <cell r="BZ488">
            <v>1.2650999999999999</v>
          </cell>
        </row>
        <row r="489">
          <cell r="BY489">
            <v>40227</v>
          </cell>
          <cell r="BZ489">
            <v>1.2621</v>
          </cell>
        </row>
        <row r="490">
          <cell r="BY490">
            <v>40228</v>
          </cell>
          <cell r="BZ490">
            <v>1.2587999999999999</v>
          </cell>
        </row>
        <row r="491">
          <cell r="BY491">
            <v>40231</v>
          </cell>
          <cell r="BZ491">
            <v>1.2687999999999999</v>
          </cell>
        </row>
        <row r="492">
          <cell r="BY492">
            <v>40232</v>
          </cell>
          <cell r="BZ492">
            <v>1.2685</v>
          </cell>
        </row>
        <row r="493">
          <cell r="BY493">
            <v>40233</v>
          </cell>
          <cell r="BZ493">
            <v>1.2589999999999999</v>
          </cell>
        </row>
        <row r="494">
          <cell r="BY494">
            <v>40234</v>
          </cell>
          <cell r="BZ494">
            <v>1.2544999999999999</v>
          </cell>
        </row>
        <row r="495">
          <cell r="BY495">
            <v>40235</v>
          </cell>
          <cell r="BZ495">
            <v>1.2532000000000001</v>
          </cell>
        </row>
        <row r="593">
          <cell r="AF593">
            <v>0</v>
          </cell>
          <cell r="AG593">
            <v>0</v>
          </cell>
          <cell r="AH593">
            <v>0</v>
          </cell>
        </row>
        <row r="594">
          <cell r="AF594">
            <v>0</v>
          </cell>
          <cell r="AG594">
            <v>0</v>
          </cell>
          <cell r="AH59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ership"/>
      <sheetName val="Small Cells"/>
      <sheetName val="competition"/>
      <sheetName val="Bband Charts"/>
      <sheetName val="Spectrum"/>
      <sheetName val="Data plans"/>
      <sheetName val="#Returns"/>
      <sheetName val="Forecast Changes"/>
      <sheetName val="Front page"/>
      <sheetName val="Relative valuations"/>
      <sheetName val="Malaysian mobile model"/>
      <sheetName val="Link Page (Mob) for Dec ye"/>
      <sheetName val="link page (Mob) for march ye"/>
      <sheetName val="U-Mobile"/>
      <sheetName val="link for sector review"/>
      <sheetName val="REvenue share"/>
      <sheetName val="Charts for quarterly review"/>
      <sheetName val="Quarterly review"/>
    </sheetNames>
    <sheetDataSet>
      <sheetData sheetId="0" refreshError="1"/>
      <sheetData sheetId="1" refreshError="1"/>
      <sheetData sheetId="2" refreshError="1"/>
      <sheetData sheetId="3" refreshError="1"/>
      <sheetData sheetId="4" refreshError="1">
        <row r="134">
          <cell r="C134">
            <v>765.02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ink for sector review"/>
      <sheetName val="Anna"/>
      <sheetName val="DCF"/>
      <sheetName val="link for Telenor"/>
      <sheetName val="For notes"/>
      <sheetName val="Financials"/>
      <sheetName val="Forecasts for snaps"/>
      <sheetName val="Feeder sheet LISBON"/>
      <sheetName val="Notes for snaps (Hard Figures)"/>
      <sheetName val="Lisbon - New"/>
      <sheetName val="Version History"/>
      <sheetName val="ARPU versus income"/>
      <sheetName val="New vs Old"/>
      <sheetName val="MASTER"/>
    </sheetNames>
    <sheetDataSet>
      <sheetData sheetId="0" refreshError="1"/>
      <sheetData sheetId="1" refreshError="1"/>
      <sheetData sheetId="2" refreshError="1"/>
      <sheetData sheetId="3" refreshError="1">
        <row r="34">
          <cell r="A34" t="str">
            <v>Rf</v>
          </cell>
        </row>
        <row r="35">
          <cell r="A35" t="str">
            <v>Tax rate</v>
          </cell>
        </row>
        <row r="36">
          <cell r="A36" t="str">
            <v>Equity premium</v>
          </cell>
        </row>
        <row r="37">
          <cell r="A37" t="str">
            <v>Debt Premium</v>
          </cell>
        </row>
        <row r="38">
          <cell r="A38" t="str">
            <v>Cost of Equity</v>
          </cell>
        </row>
        <row r="39">
          <cell r="A39" t="str">
            <v>Cost of Debt</v>
          </cell>
        </row>
        <row r="40">
          <cell r="A40" t="str">
            <v>Debt/Equity</v>
          </cell>
        </row>
        <row r="41">
          <cell r="A41" t="str">
            <v>WACC</v>
          </cell>
        </row>
        <row r="42">
          <cell r="A42" t="str">
            <v>Terminal growth</v>
          </cell>
        </row>
      </sheetData>
      <sheetData sheetId="4" refreshError="1"/>
      <sheetData sheetId="5" refreshError="1"/>
      <sheetData sheetId="6" refreshError="1">
        <row r="5">
          <cell r="Q5">
            <v>27174</v>
          </cell>
          <cell r="R5">
            <v>0</v>
          </cell>
          <cell r="S5">
            <v>0</v>
          </cell>
          <cell r="T5">
            <v>0</v>
          </cell>
          <cell r="U5">
            <v>0</v>
          </cell>
          <cell r="W5">
            <v>0</v>
          </cell>
          <cell r="X5">
            <v>0</v>
          </cell>
          <cell r="Y5">
            <v>0</v>
          </cell>
          <cell r="Z5">
            <v>0</v>
          </cell>
        </row>
        <row r="7">
          <cell r="M7">
            <v>0</v>
          </cell>
          <cell r="N7">
            <v>0</v>
          </cell>
          <cell r="O7">
            <v>0</v>
          </cell>
          <cell r="P7">
            <v>0</v>
          </cell>
          <cell r="R7">
            <v>0</v>
          </cell>
          <cell r="S7">
            <v>0</v>
          </cell>
          <cell r="T7">
            <v>0</v>
          </cell>
          <cell r="U7">
            <v>0</v>
          </cell>
          <cell r="W7">
            <v>0</v>
          </cell>
          <cell r="X7">
            <v>0</v>
          </cell>
          <cell r="Y7">
            <v>0</v>
          </cell>
          <cell r="Z7">
            <v>0</v>
          </cell>
        </row>
        <row r="116">
          <cell r="BA116">
            <v>2.1879021879021909E-2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david@newstreetresearch.com" TargetMode="External"/><Relationship Id="rId1" Type="http://schemas.openxmlformats.org/officeDocument/2006/relationships/hyperlink" Target="mailto:chris@newstreetresearch.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63238"/>
  </sheetPr>
  <dimension ref="A1:Z52"/>
  <sheetViews>
    <sheetView workbookViewId="0">
      <pane ySplit="4" topLeftCell="A5" activePane="bottomLeft" state="frozen"/>
      <selection activeCell="A5" sqref="A5"/>
      <selection pane="bottomLeft" activeCell="A5" sqref="A5"/>
    </sheetView>
  </sheetViews>
  <sheetFormatPr defaultRowHeight="14.4"/>
  <cols>
    <col min="1" max="1" width="8.88671875" style="551"/>
    <col min="2" max="2" width="11.77734375" style="551" bestFit="1" customWidth="1"/>
    <col min="3" max="3" width="26.5546875" style="551" bestFit="1" customWidth="1"/>
    <col min="4" max="16384" width="8.88671875" style="551"/>
  </cols>
  <sheetData>
    <row r="1" spans="1:26">
      <c r="A1" s="549"/>
      <c r="B1" s="550"/>
      <c r="C1" s="550"/>
      <c r="D1" s="550"/>
      <c r="E1" s="550"/>
      <c r="F1" s="550"/>
      <c r="G1" s="550"/>
      <c r="H1" s="550"/>
      <c r="I1" s="550"/>
      <c r="J1" s="550"/>
      <c r="K1" s="550"/>
      <c r="L1" s="550"/>
      <c r="M1" s="550"/>
      <c r="N1" s="550"/>
      <c r="O1" s="550"/>
      <c r="P1" s="550"/>
      <c r="Q1" s="550"/>
      <c r="R1" s="550"/>
      <c r="S1" s="550"/>
      <c r="T1" s="550"/>
      <c r="U1" s="550"/>
      <c r="V1" s="550"/>
      <c r="W1" s="550"/>
      <c r="X1" s="550"/>
      <c r="Y1" s="550"/>
      <c r="Z1" s="550"/>
    </row>
    <row r="2" spans="1:26" ht="57" customHeight="1">
      <c r="A2" s="550"/>
      <c r="B2" s="550"/>
      <c r="C2" s="550"/>
      <c r="D2" s="550"/>
      <c r="E2" s="550"/>
      <c r="F2" s="550"/>
      <c r="G2" s="550"/>
      <c r="H2" s="550"/>
      <c r="I2" s="550"/>
      <c r="J2" s="550"/>
      <c r="K2" s="550"/>
      <c r="L2" s="550"/>
      <c r="M2" s="550"/>
      <c r="N2" s="550"/>
      <c r="O2" s="550"/>
      <c r="P2" s="550"/>
      <c r="Q2" s="550"/>
      <c r="R2" s="550"/>
      <c r="S2" s="550"/>
      <c r="T2" s="550"/>
      <c r="U2" s="550"/>
      <c r="V2" s="550"/>
      <c r="W2" s="550"/>
      <c r="X2" s="550"/>
      <c r="Y2" s="550"/>
      <c r="Z2" s="550"/>
    </row>
    <row r="3" spans="1:26">
      <c r="A3" s="549"/>
      <c r="B3" s="549" t="s">
        <v>642</v>
      </c>
      <c r="C3" s="550"/>
      <c r="D3" s="550"/>
      <c r="E3" s="550"/>
      <c r="F3" s="550"/>
      <c r="G3" s="550"/>
      <c r="H3" s="550"/>
      <c r="I3" s="550"/>
      <c r="J3" s="550"/>
      <c r="K3" s="550"/>
      <c r="L3" s="550"/>
      <c r="M3" s="550"/>
      <c r="N3" s="550"/>
      <c r="O3" s="550"/>
      <c r="P3" s="550"/>
      <c r="Q3" s="550"/>
      <c r="R3" s="550"/>
      <c r="S3" s="550"/>
      <c r="T3" s="550"/>
      <c r="U3" s="550"/>
      <c r="V3" s="550"/>
      <c r="W3" s="550"/>
      <c r="X3" s="550"/>
      <c r="Y3" s="550"/>
      <c r="Z3" s="550"/>
    </row>
    <row r="4" spans="1:26">
      <c r="A4" s="549"/>
      <c r="B4" s="550"/>
      <c r="C4" s="550"/>
      <c r="D4" s="550"/>
      <c r="E4" s="550"/>
      <c r="F4" s="550"/>
      <c r="G4" s="550"/>
      <c r="H4" s="550"/>
      <c r="I4" s="550"/>
      <c r="J4" s="550"/>
      <c r="K4" s="550"/>
      <c r="L4" s="550"/>
      <c r="M4" s="550"/>
      <c r="N4" s="550"/>
      <c r="O4" s="550"/>
      <c r="P4" s="550"/>
      <c r="Q4" s="550"/>
      <c r="R4" s="550"/>
      <c r="S4" s="550"/>
      <c r="T4" s="550"/>
      <c r="U4" s="550"/>
      <c r="V4" s="550"/>
      <c r="W4" s="550"/>
      <c r="X4" s="550"/>
      <c r="Y4" s="550"/>
      <c r="Z4" s="550"/>
    </row>
    <row r="5" spans="1:26">
      <c r="A5" s="552"/>
      <c r="B5" s="552"/>
      <c r="C5" s="552"/>
      <c r="D5" s="552"/>
      <c r="E5" s="552"/>
      <c r="F5" s="552"/>
      <c r="G5" s="552"/>
      <c r="H5" s="552"/>
      <c r="I5" s="552"/>
      <c r="J5" s="552"/>
      <c r="K5" s="552"/>
      <c r="L5" s="552"/>
      <c r="M5" s="552"/>
      <c r="N5" s="552"/>
      <c r="O5" s="552"/>
      <c r="P5" s="552"/>
      <c r="Q5" s="552"/>
      <c r="R5" s="552"/>
      <c r="S5" s="552"/>
      <c r="T5" s="552"/>
      <c r="U5" s="552"/>
      <c r="V5" s="552"/>
      <c r="W5" s="552"/>
      <c r="X5" s="552"/>
      <c r="Y5" s="552"/>
      <c r="Z5" s="552"/>
    </row>
    <row r="6" spans="1:26">
      <c r="A6" s="553"/>
      <c r="B6" s="552" t="s">
        <v>633</v>
      </c>
      <c r="C6" s="552" t="s">
        <v>643</v>
      </c>
      <c r="D6" s="552"/>
      <c r="E6" s="552"/>
      <c r="F6" s="552"/>
      <c r="G6" s="552"/>
      <c r="H6" s="552"/>
      <c r="I6" s="552"/>
      <c r="J6" s="552"/>
      <c r="K6" s="552"/>
      <c r="L6" s="552"/>
      <c r="M6" s="552"/>
      <c r="N6" s="552"/>
      <c r="O6" s="552"/>
      <c r="P6" s="552"/>
      <c r="Q6" s="552"/>
      <c r="R6" s="552"/>
      <c r="S6" s="552"/>
      <c r="T6" s="552"/>
      <c r="U6" s="552"/>
      <c r="V6" s="552"/>
      <c r="W6" s="552"/>
      <c r="X6" s="552"/>
      <c r="Y6" s="552"/>
      <c r="Z6" s="552"/>
    </row>
    <row r="7" spans="1:26">
      <c r="A7" s="553"/>
      <c r="B7" s="552"/>
      <c r="C7" s="552"/>
      <c r="D7" s="552"/>
      <c r="E7" s="552"/>
      <c r="F7" s="552"/>
      <c r="G7" s="552"/>
      <c r="H7" s="552"/>
      <c r="I7" s="552"/>
      <c r="J7" s="552"/>
      <c r="K7" s="552"/>
      <c r="L7" s="552"/>
      <c r="M7" s="552"/>
      <c r="N7" s="552"/>
      <c r="O7" s="552"/>
      <c r="P7" s="552"/>
      <c r="Q7" s="552"/>
      <c r="R7" s="552"/>
      <c r="S7" s="552"/>
      <c r="T7" s="552"/>
      <c r="U7" s="552"/>
      <c r="V7" s="552"/>
      <c r="W7" s="552"/>
      <c r="X7" s="552"/>
      <c r="Y7" s="552"/>
      <c r="Z7" s="552"/>
    </row>
    <row r="8" spans="1:26">
      <c r="A8" s="553"/>
      <c r="B8" s="552"/>
      <c r="C8" s="552"/>
      <c r="D8" s="552"/>
      <c r="E8" s="552"/>
      <c r="F8" s="552"/>
      <c r="G8" s="552"/>
      <c r="H8" s="552"/>
      <c r="I8" s="552"/>
      <c r="J8" s="552"/>
      <c r="K8" s="552"/>
      <c r="L8" s="552"/>
      <c r="M8" s="552"/>
      <c r="N8" s="552"/>
      <c r="O8" s="552"/>
      <c r="P8" s="552"/>
      <c r="Q8" s="552"/>
      <c r="R8" s="552"/>
      <c r="S8" s="552"/>
      <c r="T8" s="552"/>
      <c r="U8" s="552"/>
      <c r="V8" s="552"/>
      <c r="W8" s="552"/>
      <c r="X8" s="552"/>
      <c r="Y8" s="552"/>
      <c r="Z8" s="552"/>
    </row>
    <row r="9" spans="1:26">
      <c r="A9" s="553"/>
      <c r="B9" s="552" t="s">
        <v>634</v>
      </c>
      <c r="C9" s="552" t="s">
        <v>709</v>
      </c>
      <c r="D9" s="552"/>
      <c r="E9" s="552"/>
      <c r="F9" s="552"/>
      <c r="G9" s="552"/>
      <c r="H9" s="552"/>
      <c r="I9" s="552"/>
      <c r="J9" s="552"/>
      <c r="K9" s="552"/>
      <c r="L9" s="552"/>
      <c r="M9" s="552"/>
      <c r="N9" s="552"/>
      <c r="O9" s="552"/>
      <c r="P9" s="552"/>
      <c r="Q9" s="552"/>
      <c r="R9" s="552"/>
      <c r="S9" s="552"/>
      <c r="T9" s="552"/>
      <c r="U9" s="552"/>
      <c r="V9" s="552"/>
      <c r="W9" s="552"/>
      <c r="X9" s="552"/>
      <c r="Y9" s="552"/>
      <c r="Z9" s="552"/>
    </row>
    <row r="10" spans="1:26">
      <c r="A10" s="553"/>
      <c r="B10" s="552" t="s">
        <v>635</v>
      </c>
      <c r="C10" s="552" t="s">
        <v>710</v>
      </c>
      <c r="D10" s="553"/>
      <c r="E10" s="552"/>
      <c r="F10" s="552"/>
      <c r="G10" s="552"/>
      <c r="H10" s="552"/>
      <c r="I10" s="552"/>
      <c r="J10" s="552"/>
      <c r="K10" s="552"/>
      <c r="L10" s="552"/>
      <c r="M10" s="552"/>
      <c r="N10" s="552"/>
      <c r="O10" s="552"/>
      <c r="P10" s="552"/>
      <c r="Q10" s="552"/>
      <c r="R10" s="552"/>
      <c r="S10" s="552"/>
      <c r="T10" s="552"/>
      <c r="U10" s="552"/>
      <c r="V10" s="552"/>
      <c r="W10" s="552"/>
      <c r="X10" s="552"/>
      <c r="Y10" s="552"/>
      <c r="Z10" s="552"/>
    </row>
    <row r="11" spans="1:26">
      <c r="A11" s="553"/>
      <c r="B11" s="552"/>
      <c r="C11" s="552"/>
      <c r="D11" s="552"/>
      <c r="E11" s="552"/>
      <c r="F11" s="552"/>
      <c r="G11" s="552"/>
      <c r="H11" s="552"/>
      <c r="I11" s="552"/>
      <c r="J11" s="552"/>
      <c r="K11" s="552"/>
      <c r="L11" s="552"/>
      <c r="M11" s="552"/>
      <c r="N11" s="552"/>
      <c r="O11" s="552"/>
      <c r="P11" s="552"/>
      <c r="Q11" s="552"/>
      <c r="R11" s="552"/>
      <c r="S11" s="552"/>
      <c r="T11" s="552"/>
      <c r="U11" s="552"/>
      <c r="V11" s="552"/>
      <c r="W11" s="552"/>
      <c r="X11" s="552"/>
      <c r="Y11" s="552"/>
      <c r="Z11" s="552"/>
    </row>
    <row r="12" spans="1:26">
      <c r="A12" s="553"/>
      <c r="B12" s="552"/>
      <c r="C12" s="552"/>
      <c r="D12" s="552"/>
      <c r="E12" s="552"/>
      <c r="F12" s="552"/>
      <c r="G12" s="552"/>
      <c r="H12" s="552"/>
      <c r="I12" s="552"/>
      <c r="J12" s="552"/>
      <c r="K12" s="552"/>
      <c r="L12" s="552"/>
      <c r="M12" s="552"/>
      <c r="N12" s="552"/>
      <c r="O12" s="552"/>
      <c r="P12" s="552"/>
      <c r="Q12" s="552"/>
      <c r="R12" s="552"/>
      <c r="S12" s="552"/>
      <c r="T12" s="552"/>
      <c r="U12" s="552"/>
      <c r="V12" s="552"/>
      <c r="W12" s="552"/>
      <c r="X12" s="552"/>
      <c r="Y12" s="552"/>
      <c r="Z12" s="552"/>
    </row>
    <row r="13" spans="1:26">
      <c r="A13" s="553"/>
      <c r="B13" s="552" t="s">
        <v>646</v>
      </c>
      <c r="C13" s="552" t="s">
        <v>637</v>
      </c>
      <c r="D13" s="552"/>
      <c r="E13" s="552"/>
      <c r="F13" s="552"/>
      <c r="G13" s="552"/>
      <c r="H13" s="552"/>
      <c r="I13" s="552"/>
      <c r="J13" s="552"/>
      <c r="K13" s="552"/>
      <c r="L13" s="552"/>
      <c r="M13" s="552"/>
      <c r="N13" s="552"/>
      <c r="O13" s="552"/>
      <c r="P13" s="552"/>
      <c r="Q13" s="552"/>
      <c r="R13" s="552"/>
      <c r="S13" s="552"/>
      <c r="T13" s="552"/>
      <c r="U13" s="552"/>
      <c r="V13" s="552"/>
      <c r="W13" s="552"/>
      <c r="X13" s="552"/>
      <c r="Y13" s="552"/>
      <c r="Z13" s="552"/>
    </row>
    <row r="14" spans="1:26">
      <c r="A14" s="553"/>
      <c r="B14" s="552" t="s">
        <v>638</v>
      </c>
      <c r="C14" s="554" t="s">
        <v>639</v>
      </c>
      <c r="D14" s="552"/>
      <c r="E14" s="552"/>
      <c r="F14" s="552"/>
      <c r="G14" s="552"/>
      <c r="H14" s="552"/>
      <c r="I14" s="552"/>
      <c r="J14" s="552"/>
      <c r="K14" s="552"/>
      <c r="L14" s="552"/>
      <c r="M14" s="552"/>
      <c r="N14" s="552"/>
      <c r="O14" s="552"/>
      <c r="P14" s="552"/>
      <c r="Q14" s="552"/>
      <c r="R14" s="552"/>
      <c r="S14" s="552"/>
      <c r="T14" s="552"/>
      <c r="U14" s="552"/>
      <c r="V14" s="552"/>
      <c r="W14" s="552"/>
      <c r="X14" s="552"/>
      <c r="Y14" s="552"/>
      <c r="Z14" s="552"/>
    </row>
    <row r="15" spans="1:26">
      <c r="A15" s="553"/>
      <c r="B15" s="552" t="s">
        <v>640</v>
      </c>
      <c r="C15" s="555" t="s">
        <v>641</v>
      </c>
      <c r="D15" s="552"/>
      <c r="E15" s="552"/>
      <c r="F15" s="552"/>
      <c r="G15" s="552"/>
      <c r="H15" s="552"/>
      <c r="I15" s="552"/>
      <c r="J15" s="552"/>
      <c r="K15" s="552"/>
      <c r="L15" s="552"/>
      <c r="M15" s="552"/>
      <c r="N15" s="552"/>
      <c r="O15" s="552"/>
      <c r="P15" s="552"/>
      <c r="Q15" s="552"/>
      <c r="R15" s="552"/>
      <c r="S15" s="552"/>
      <c r="T15" s="552"/>
      <c r="U15" s="552"/>
      <c r="V15" s="552"/>
      <c r="W15" s="552"/>
      <c r="X15" s="552"/>
      <c r="Y15" s="552"/>
      <c r="Z15" s="552"/>
    </row>
    <row r="16" spans="1:26">
      <c r="A16" s="553"/>
      <c r="B16" s="552"/>
      <c r="C16" s="552"/>
      <c r="D16" s="552"/>
      <c r="E16" s="552"/>
      <c r="F16" s="552"/>
      <c r="G16" s="552"/>
      <c r="H16" s="552"/>
      <c r="I16" s="552"/>
      <c r="J16" s="552"/>
      <c r="K16" s="552"/>
      <c r="L16" s="552"/>
      <c r="M16" s="552"/>
      <c r="N16" s="552"/>
      <c r="O16" s="552"/>
      <c r="P16" s="552"/>
      <c r="Q16" s="552"/>
      <c r="R16" s="552"/>
      <c r="S16" s="552"/>
      <c r="T16" s="552"/>
      <c r="U16" s="552"/>
      <c r="V16" s="552"/>
      <c r="W16" s="552"/>
      <c r="X16" s="552"/>
      <c r="Y16" s="552"/>
      <c r="Z16" s="552"/>
    </row>
    <row r="17" spans="1:26">
      <c r="A17" s="552"/>
      <c r="B17" s="552" t="s">
        <v>636</v>
      </c>
      <c r="C17" s="552" t="s">
        <v>647</v>
      </c>
      <c r="D17" s="552"/>
      <c r="E17" s="552"/>
      <c r="F17" s="552"/>
      <c r="G17" s="552"/>
      <c r="H17" s="552"/>
      <c r="I17" s="552"/>
      <c r="J17" s="552"/>
      <c r="K17" s="552"/>
      <c r="L17" s="552"/>
      <c r="M17" s="552"/>
      <c r="N17" s="552"/>
      <c r="O17" s="552"/>
      <c r="P17" s="552"/>
      <c r="Q17" s="552"/>
      <c r="R17" s="552"/>
      <c r="S17" s="552"/>
      <c r="T17" s="552"/>
      <c r="U17" s="552"/>
      <c r="V17" s="552"/>
      <c r="W17" s="552"/>
      <c r="X17" s="552"/>
      <c r="Y17" s="552"/>
      <c r="Z17" s="552"/>
    </row>
    <row r="18" spans="1:26">
      <c r="A18" s="552"/>
      <c r="B18" s="552" t="s">
        <v>638</v>
      </c>
      <c r="C18" s="554" t="s">
        <v>648</v>
      </c>
      <c r="D18" s="552"/>
      <c r="E18" s="552"/>
      <c r="F18" s="552"/>
      <c r="G18" s="552"/>
      <c r="H18" s="552"/>
      <c r="I18" s="552"/>
      <c r="J18" s="552"/>
      <c r="K18" s="552"/>
      <c r="L18" s="552"/>
      <c r="M18" s="552"/>
      <c r="N18" s="552"/>
      <c r="O18" s="552"/>
      <c r="P18" s="552"/>
      <c r="Q18" s="552"/>
      <c r="R18" s="552"/>
      <c r="S18" s="552"/>
      <c r="T18" s="552"/>
      <c r="U18" s="552"/>
      <c r="V18" s="552"/>
      <c r="W18" s="552"/>
      <c r="X18" s="552"/>
      <c r="Y18" s="552"/>
      <c r="Z18" s="552"/>
    </row>
    <row r="19" spans="1:26">
      <c r="A19" s="552"/>
      <c r="B19" s="552" t="s">
        <v>640</v>
      </c>
      <c r="C19" s="555" t="s">
        <v>649</v>
      </c>
      <c r="D19" s="552"/>
      <c r="E19" s="552"/>
      <c r="F19" s="552"/>
      <c r="G19" s="552"/>
      <c r="H19" s="552"/>
      <c r="I19" s="552"/>
      <c r="J19" s="552"/>
      <c r="K19" s="552"/>
      <c r="L19" s="552"/>
      <c r="M19" s="552"/>
      <c r="N19" s="552"/>
      <c r="O19" s="552"/>
      <c r="P19" s="552"/>
      <c r="Q19" s="552"/>
      <c r="R19" s="552"/>
      <c r="S19" s="552"/>
      <c r="T19" s="552"/>
      <c r="U19" s="552"/>
      <c r="V19" s="552"/>
      <c r="W19" s="552"/>
      <c r="X19" s="552"/>
      <c r="Y19" s="552"/>
      <c r="Z19" s="552"/>
    </row>
    <row r="20" spans="1:26">
      <c r="A20" s="552"/>
      <c r="B20" s="552"/>
      <c r="C20" s="552"/>
      <c r="D20" s="552"/>
      <c r="E20" s="552"/>
      <c r="F20" s="552"/>
      <c r="G20" s="552"/>
      <c r="H20" s="552"/>
      <c r="I20" s="552"/>
      <c r="J20" s="552"/>
      <c r="K20" s="552"/>
      <c r="L20" s="552"/>
      <c r="M20" s="552"/>
      <c r="N20" s="552"/>
      <c r="O20" s="552"/>
      <c r="P20" s="552"/>
      <c r="Q20" s="552"/>
      <c r="R20" s="552"/>
      <c r="S20" s="552"/>
      <c r="T20" s="552"/>
      <c r="U20" s="552"/>
      <c r="V20" s="552"/>
      <c r="W20" s="552"/>
      <c r="X20" s="552"/>
      <c r="Y20" s="552"/>
      <c r="Z20" s="552"/>
    </row>
    <row r="21" spans="1:26">
      <c r="A21" s="552"/>
      <c r="B21" s="552"/>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row>
    <row r="22" spans="1:26">
      <c r="A22" s="552"/>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552"/>
      <c r="Z22" s="552"/>
    </row>
    <row r="23" spans="1:26">
      <c r="A23" s="552"/>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row>
    <row r="24" spans="1:26">
      <c r="A24" s="552"/>
      <c r="B24" s="552"/>
      <c r="C24" s="552"/>
      <c r="D24" s="552"/>
      <c r="E24" s="552"/>
      <c r="F24" s="552"/>
      <c r="G24" s="552"/>
      <c r="H24" s="552"/>
      <c r="I24" s="552"/>
      <c r="J24" s="552"/>
      <c r="K24" s="552"/>
      <c r="L24" s="552"/>
      <c r="M24" s="552"/>
      <c r="N24" s="552"/>
      <c r="O24" s="552"/>
      <c r="P24" s="552"/>
      <c r="Q24" s="552"/>
      <c r="R24" s="552"/>
      <c r="S24" s="552"/>
      <c r="T24" s="552"/>
      <c r="U24" s="552"/>
      <c r="V24" s="552"/>
      <c r="W24" s="552"/>
      <c r="X24" s="552"/>
      <c r="Y24" s="552"/>
      <c r="Z24" s="552"/>
    </row>
    <row r="25" spans="1:26">
      <c r="A25" s="552"/>
      <c r="B25" s="552"/>
      <c r="C25" s="552"/>
      <c r="D25" s="552"/>
      <c r="E25" s="552"/>
      <c r="F25" s="552"/>
      <c r="G25" s="552"/>
      <c r="H25" s="552"/>
      <c r="I25" s="552"/>
      <c r="J25" s="552"/>
      <c r="K25" s="552"/>
      <c r="L25" s="552"/>
      <c r="M25" s="552"/>
      <c r="N25" s="552"/>
      <c r="O25" s="552"/>
      <c r="P25" s="552"/>
      <c r="Q25" s="552"/>
      <c r="R25" s="552"/>
      <c r="S25" s="552"/>
      <c r="T25" s="552"/>
      <c r="U25" s="552"/>
      <c r="V25" s="552"/>
      <c r="W25" s="552"/>
      <c r="X25" s="552"/>
      <c r="Y25" s="552"/>
      <c r="Z25" s="552"/>
    </row>
    <row r="26" spans="1:26">
      <c r="A26" s="552"/>
      <c r="B26" s="552"/>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row>
    <row r="27" spans="1:26">
      <c r="A27" s="552"/>
      <c r="B27" s="552"/>
      <c r="C27" s="552"/>
      <c r="D27" s="552"/>
      <c r="E27" s="552"/>
      <c r="F27" s="552"/>
      <c r="G27" s="552"/>
      <c r="H27" s="552"/>
      <c r="I27" s="552"/>
      <c r="J27" s="552"/>
      <c r="K27" s="552"/>
      <c r="L27" s="552"/>
      <c r="M27" s="552"/>
      <c r="N27" s="552"/>
      <c r="O27" s="552"/>
      <c r="P27" s="552"/>
      <c r="Q27" s="552"/>
      <c r="R27" s="552"/>
      <c r="S27" s="552"/>
      <c r="T27" s="552"/>
      <c r="U27" s="552"/>
      <c r="V27" s="552"/>
      <c r="W27" s="552"/>
      <c r="X27" s="552"/>
      <c r="Y27" s="552"/>
      <c r="Z27" s="552"/>
    </row>
    <row r="28" spans="1:26">
      <c r="A28" s="552"/>
      <c r="B28" s="552"/>
      <c r="C28" s="552"/>
      <c r="D28" s="552"/>
      <c r="E28" s="552"/>
      <c r="F28" s="552"/>
      <c r="G28" s="552"/>
      <c r="H28" s="552"/>
      <c r="I28" s="552"/>
      <c r="J28" s="552"/>
      <c r="K28" s="552"/>
      <c r="L28" s="552"/>
      <c r="M28" s="552"/>
      <c r="N28" s="552"/>
      <c r="O28" s="552"/>
      <c r="P28" s="552"/>
      <c r="Q28" s="552"/>
      <c r="R28" s="552"/>
      <c r="S28" s="552"/>
      <c r="T28" s="552"/>
      <c r="U28" s="552"/>
      <c r="V28" s="552"/>
      <c r="W28" s="552"/>
      <c r="X28" s="552"/>
      <c r="Y28" s="552"/>
      <c r="Z28" s="552"/>
    </row>
    <row r="29" spans="1:26">
      <c r="A29" s="552"/>
      <c r="B29" s="552"/>
      <c r="C29" s="552"/>
      <c r="D29" s="552"/>
      <c r="E29" s="552"/>
      <c r="F29" s="552"/>
      <c r="G29" s="552"/>
      <c r="H29" s="552"/>
      <c r="I29" s="552"/>
      <c r="J29" s="552"/>
      <c r="K29" s="552"/>
      <c r="L29" s="552"/>
      <c r="M29" s="552"/>
      <c r="N29" s="552"/>
      <c r="O29" s="552"/>
      <c r="P29" s="552"/>
      <c r="Q29" s="552"/>
      <c r="R29" s="552"/>
      <c r="S29" s="552"/>
      <c r="T29" s="552"/>
      <c r="U29" s="552"/>
      <c r="V29" s="552"/>
      <c r="W29" s="552"/>
      <c r="X29" s="552"/>
      <c r="Y29" s="552"/>
      <c r="Z29" s="552"/>
    </row>
    <row r="30" spans="1:26">
      <c r="A30" s="552"/>
      <c r="B30" s="552"/>
      <c r="C30" s="552"/>
      <c r="D30" s="552"/>
      <c r="E30" s="552"/>
      <c r="F30" s="552"/>
      <c r="G30" s="552"/>
      <c r="H30" s="552"/>
      <c r="I30" s="552"/>
      <c r="J30" s="552"/>
      <c r="K30" s="552"/>
      <c r="L30" s="552"/>
      <c r="M30" s="552"/>
      <c r="N30" s="552"/>
      <c r="O30" s="552"/>
      <c r="P30" s="552"/>
      <c r="Q30" s="552"/>
      <c r="R30" s="552"/>
      <c r="S30" s="552"/>
      <c r="T30" s="552"/>
      <c r="U30" s="552"/>
      <c r="V30" s="552"/>
      <c r="W30" s="552"/>
      <c r="X30" s="552"/>
      <c r="Y30" s="552"/>
      <c r="Z30" s="552"/>
    </row>
    <row r="31" spans="1:26">
      <c r="A31" s="552"/>
      <c r="B31" s="552"/>
      <c r="C31" s="552"/>
      <c r="D31" s="552"/>
      <c r="E31" s="552"/>
      <c r="F31" s="552"/>
      <c r="G31" s="552"/>
      <c r="H31" s="552"/>
      <c r="I31" s="552"/>
      <c r="J31" s="552"/>
      <c r="K31" s="552"/>
      <c r="L31" s="552"/>
      <c r="M31" s="552"/>
      <c r="N31" s="552"/>
      <c r="O31" s="552"/>
      <c r="P31" s="552"/>
      <c r="Q31" s="552"/>
      <c r="R31" s="552"/>
      <c r="S31" s="552"/>
      <c r="T31" s="552"/>
      <c r="U31" s="552"/>
      <c r="V31" s="552"/>
      <c r="W31" s="552"/>
      <c r="X31" s="552"/>
      <c r="Y31" s="552"/>
      <c r="Z31" s="552"/>
    </row>
    <row r="32" spans="1:26">
      <c r="A32" s="552"/>
      <c r="B32" s="552"/>
      <c r="C32" s="552"/>
      <c r="D32" s="552"/>
      <c r="E32" s="552"/>
      <c r="F32" s="552"/>
      <c r="G32" s="552"/>
      <c r="H32" s="552"/>
      <c r="I32" s="552"/>
      <c r="J32" s="552"/>
      <c r="K32" s="552"/>
      <c r="L32" s="552"/>
      <c r="M32" s="552"/>
      <c r="N32" s="552"/>
      <c r="O32" s="552"/>
      <c r="P32" s="552"/>
      <c r="Q32" s="552"/>
      <c r="R32" s="552"/>
      <c r="S32" s="552"/>
      <c r="T32" s="552"/>
      <c r="U32" s="552"/>
      <c r="V32" s="552"/>
      <c r="W32" s="552"/>
      <c r="X32" s="552"/>
      <c r="Y32" s="552"/>
      <c r="Z32" s="552"/>
    </row>
    <row r="33" spans="1:26">
      <c r="A33" s="552"/>
      <c r="B33" s="552"/>
      <c r="C33" s="552"/>
      <c r="D33" s="552"/>
      <c r="E33" s="552"/>
      <c r="F33" s="552"/>
      <c r="G33" s="552"/>
      <c r="H33" s="552"/>
      <c r="I33" s="552"/>
      <c r="J33" s="552"/>
      <c r="K33" s="552"/>
      <c r="L33" s="552"/>
      <c r="M33" s="552"/>
      <c r="N33" s="552"/>
      <c r="O33" s="552"/>
      <c r="P33" s="552"/>
      <c r="Q33" s="552"/>
      <c r="R33" s="552"/>
      <c r="S33" s="552"/>
      <c r="T33" s="552"/>
      <c r="U33" s="552"/>
      <c r="V33" s="552"/>
      <c r="W33" s="552"/>
      <c r="X33" s="552"/>
      <c r="Y33" s="552"/>
      <c r="Z33" s="552"/>
    </row>
    <row r="34" spans="1:26">
      <c r="A34" s="552"/>
      <c r="B34" s="552"/>
      <c r="C34" s="552"/>
      <c r="D34" s="552"/>
      <c r="E34" s="552"/>
      <c r="F34" s="552"/>
      <c r="G34" s="552"/>
      <c r="H34" s="552"/>
      <c r="I34" s="552"/>
      <c r="J34" s="552"/>
      <c r="K34" s="552"/>
      <c r="L34" s="552"/>
      <c r="M34" s="552"/>
      <c r="N34" s="552"/>
      <c r="O34" s="552"/>
      <c r="P34" s="552"/>
      <c r="Q34" s="552"/>
      <c r="R34" s="552"/>
      <c r="S34" s="552"/>
      <c r="T34" s="552"/>
      <c r="U34" s="552"/>
      <c r="V34" s="552"/>
      <c r="W34" s="552"/>
      <c r="X34" s="552"/>
      <c r="Y34" s="552"/>
      <c r="Z34" s="552"/>
    </row>
    <row r="35" spans="1:26">
      <c r="A35" s="552"/>
      <c r="B35" s="552"/>
      <c r="C35" s="552"/>
      <c r="D35" s="552"/>
      <c r="E35" s="552"/>
      <c r="F35" s="552"/>
      <c r="G35" s="552"/>
      <c r="H35" s="552"/>
      <c r="I35" s="552"/>
      <c r="J35" s="552"/>
      <c r="K35" s="552"/>
      <c r="L35" s="552"/>
      <c r="M35" s="552"/>
      <c r="N35" s="552"/>
      <c r="O35" s="552"/>
      <c r="P35" s="552"/>
      <c r="Q35" s="552"/>
      <c r="R35" s="552"/>
      <c r="S35" s="552"/>
      <c r="T35" s="552"/>
      <c r="U35" s="552"/>
      <c r="V35" s="552"/>
      <c r="W35" s="552"/>
      <c r="X35" s="552"/>
      <c r="Y35" s="552"/>
      <c r="Z35" s="552"/>
    </row>
    <row r="36" spans="1:26">
      <c r="A36" s="552"/>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552"/>
      <c r="Z36" s="552"/>
    </row>
    <row r="37" spans="1:26">
      <c r="A37" s="552"/>
      <c r="B37" s="552"/>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552"/>
    </row>
    <row r="38" spans="1:26">
      <c r="A38" s="552"/>
      <c r="B38" s="552"/>
      <c r="C38" s="552"/>
      <c r="D38" s="552"/>
      <c r="E38" s="552"/>
      <c r="F38" s="552"/>
      <c r="G38" s="552"/>
      <c r="H38" s="552"/>
      <c r="I38" s="552"/>
      <c r="J38" s="552"/>
      <c r="K38" s="552"/>
      <c r="L38" s="552"/>
      <c r="M38" s="552"/>
      <c r="N38" s="552"/>
      <c r="O38" s="552"/>
      <c r="P38" s="552"/>
      <c r="Q38" s="552"/>
      <c r="R38" s="552"/>
      <c r="S38" s="552"/>
      <c r="T38" s="552"/>
      <c r="U38" s="552"/>
      <c r="V38" s="552"/>
      <c r="W38" s="552"/>
      <c r="X38" s="552"/>
      <c r="Y38" s="552"/>
      <c r="Z38" s="552"/>
    </row>
    <row r="39" spans="1:26">
      <c r="A39" s="552"/>
      <c r="B39" s="552"/>
      <c r="C39" s="552"/>
      <c r="D39" s="552"/>
      <c r="E39" s="552"/>
      <c r="F39" s="552"/>
      <c r="G39" s="552"/>
      <c r="H39" s="552"/>
      <c r="I39" s="552"/>
      <c r="J39" s="552"/>
      <c r="K39" s="552"/>
      <c r="L39" s="552"/>
      <c r="M39" s="552"/>
      <c r="N39" s="552"/>
      <c r="O39" s="552"/>
      <c r="P39" s="552"/>
      <c r="Q39" s="552"/>
      <c r="R39" s="552"/>
      <c r="S39" s="552"/>
      <c r="T39" s="552"/>
      <c r="U39" s="552"/>
      <c r="V39" s="552"/>
      <c r="W39" s="552"/>
      <c r="X39" s="552"/>
      <c r="Y39" s="552"/>
      <c r="Z39" s="552"/>
    </row>
    <row r="40" spans="1:26">
      <c r="A40" s="552"/>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row>
    <row r="41" spans="1:26">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row>
    <row r="42" spans="1:26">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row>
    <row r="43" spans="1:26">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row>
    <row r="44" spans="1:26">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row>
    <row r="45" spans="1:26">
      <c r="A45" s="553"/>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row>
    <row r="46" spans="1:26">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row>
    <row r="47" spans="1:26">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row>
    <row r="48" spans="1:26">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row>
    <row r="49" spans="1:26">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row>
    <row r="50" spans="1:26">
      <c r="A50" s="553"/>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row>
    <row r="51" spans="1:26">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row>
    <row r="52" spans="1:26">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row>
  </sheetData>
  <hyperlinks>
    <hyperlink ref="C14" r:id="rId1" xr:uid="{00000000-0004-0000-0000-000000000000}"/>
    <hyperlink ref="C18" r:id="rId2" xr:uid="{560AEA90-CEC0-4E86-926A-0B1DEC7F0815}"/>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44"/>
  <sheetViews>
    <sheetView workbookViewId="0">
      <selection activeCell="B20" sqref="B20"/>
    </sheetView>
  </sheetViews>
  <sheetFormatPr defaultRowHeight="14.4"/>
  <cols>
    <col min="1" max="1" width="4.77734375" customWidth="1"/>
  </cols>
  <sheetData>
    <row r="1" spans="1:43">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row>
    <row r="2" spans="1:43">
      <c r="A2" s="125"/>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row>
    <row r="3" spans="1:43">
      <c r="A3" s="125"/>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row>
    <row r="4" spans="1:43">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row>
    <row r="5" spans="1:43" ht="15">
      <c r="A5" s="125"/>
      <c r="B5" s="125"/>
      <c r="C5" s="125"/>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row>
    <row r="6" spans="1:43" ht="15">
      <c r="A6" s="125"/>
      <c r="B6" s="125"/>
      <c r="C6" s="125"/>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row>
    <row r="7" spans="1:43" ht="16.2">
      <c r="A7" s="125"/>
      <c r="B7" s="127" t="s">
        <v>621</v>
      </c>
      <c r="C7" s="125"/>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row>
    <row r="8" spans="1:43">
      <c r="A8" s="125"/>
      <c r="B8" s="125"/>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row>
    <row r="9" spans="1:43">
      <c r="A9" s="129"/>
      <c r="B9" s="129"/>
      <c r="C9" s="129"/>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row>
    <row r="10" spans="1:43" ht="15.6" thickBot="1">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row>
    <row r="11" spans="1:43" ht="15.6" thickTop="1">
      <c r="A11" s="129"/>
      <c r="B11" s="131"/>
      <c r="C11" s="132"/>
      <c r="D11" s="133"/>
      <c r="E11" s="133"/>
      <c r="F11" s="131"/>
      <c r="G11" s="132"/>
      <c r="H11" s="133"/>
      <c r="I11" s="134"/>
      <c r="J11" s="131"/>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row>
    <row r="12" spans="1:43">
      <c r="A12" s="129"/>
      <c r="B12" s="136" t="s">
        <v>622</v>
      </c>
      <c r="C12" s="137"/>
      <c r="D12" s="137"/>
      <c r="E12" s="137"/>
      <c r="F12" s="137"/>
      <c r="G12" s="137"/>
      <c r="H12" s="137"/>
      <c r="I12" s="137"/>
      <c r="J12" s="137"/>
      <c r="K12" s="137"/>
      <c r="L12" s="138"/>
      <c r="M12" s="139"/>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row>
    <row r="13" spans="1:43">
      <c r="A13" s="129"/>
      <c r="B13" s="136"/>
      <c r="C13" s="137"/>
      <c r="D13" s="137"/>
      <c r="E13" s="137"/>
      <c r="F13" s="137"/>
      <c r="G13" s="137"/>
      <c r="H13" s="137"/>
      <c r="I13" s="137"/>
      <c r="J13" s="137"/>
      <c r="K13" s="137"/>
      <c r="L13" s="138"/>
      <c r="M13" s="139"/>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row>
    <row r="14" spans="1:43">
      <c r="A14" s="129"/>
      <c r="B14" s="136" t="s">
        <v>623</v>
      </c>
      <c r="C14" s="137"/>
      <c r="D14" s="137"/>
      <c r="E14" s="137"/>
      <c r="F14" s="137"/>
      <c r="G14" s="137"/>
      <c r="H14" s="137"/>
      <c r="I14" s="137"/>
      <c r="J14" s="137"/>
      <c r="K14" s="137"/>
      <c r="L14" s="138"/>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row>
    <row r="15" spans="1:43">
      <c r="A15" s="129"/>
      <c r="B15" s="136"/>
      <c r="C15" s="137"/>
      <c r="D15" s="137"/>
      <c r="E15" s="137"/>
      <c r="F15" s="137"/>
      <c r="G15" s="137"/>
      <c r="H15" s="137"/>
      <c r="I15" s="137"/>
      <c r="J15" s="137"/>
      <c r="K15" s="137"/>
      <c r="L15" s="138"/>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row>
    <row r="16" spans="1:43">
      <c r="A16" s="129"/>
      <c r="B16" s="136" t="s">
        <v>624</v>
      </c>
      <c r="C16" s="137"/>
      <c r="D16" s="137"/>
      <c r="E16" s="137"/>
      <c r="F16" s="137"/>
      <c r="G16" s="137"/>
      <c r="H16" s="137"/>
      <c r="I16" s="137"/>
      <c r="J16" s="137"/>
      <c r="K16" s="137"/>
      <c r="L16" s="138"/>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row>
    <row r="17" spans="1:43">
      <c r="A17" s="129"/>
      <c r="B17" s="136"/>
      <c r="C17" s="137"/>
      <c r="D17" s="137"/>
      <c r="E17" s="137"/>
      <c r="F17" s="137"/>
      <c r="G17" s="137"/>
      <c r="H17" s="137"/>
      <c r="I17" s="137"/>
      <c r="J17" s="137"/>
      <c r="K17" s="137"/>
      <c r="L17" s="138"/>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row>
    <row r="18" spans="1:43">
      <c r="A18" s="129"/>
      <c r="B18" s="136" t="s">
        <v>625</v>
      </c>
      <c r="C18" s="137"/>
      <c r="D18" s="137"/>
      <c r="E18" s="137"/>
      <c r="F18" s="137"/>
      <c r="G18" s="137"/>
      <c r="H18" s="137"/>
      <c r="I18" s="137"/>
      <c r="J18" s="137"/>
      <c r="K18" s="137"/>
      <c r="L18" s="138"/>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row>
    <row r="19" spans="1:43">
      <c r="A19" s="129"/>
      <c r="B19" s="136"/>
      <c r="C19" s="137"/>
      <c r="D19" s="137"/>
      <c r="E19" s="137"/>
      <c r="F19" s="137"/>
      <c r="G19" s="137"/>
      <c r="H19" s="137"/>
      <c r="I19" s="137"/>
      <c r="J19" s="137"/>
      <c r="K19" s="137"/>
      <c r="L19" s="138"/>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row>
    <row r="20" spans="1:43">
      <c r="A20" s="129"/>
      <c r="B20" s="136" t="s">
        <v>717</v>
      </c>
      <c r="C20" s="137"/>
      <c r="D20" s="137"/>
      <c r="E20" s="137"/>
      <c r="F20" s="137"/>
      <c r="G20" s="137"/>
      <c r="H20" s="137"/>
      <c r="I20" s="137"/>
      <c r="J20" s="137"/>
      <c r="K20" s="137"/>
      <c r="L20" s="138"/>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row>
    <row r="21" spans="1:43" ht="15">
      <c r="A21" s="129"/>
      <c r="B21" s="134"/>
      <c r="C21" s="131"/>
      <c r="D21" s="143"/>
      <c r="E21" s="143"/>
      <c r="F21" s="131"/>
      <c r="G21" s="132"/>
      <c r="H21" s="133"/>
      <c r="I21" s="134"/>
      <c r="J21" s="131"/>
      <c r="K21" s="132"/>
      <c r="L21" s="138"/>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row>
    <row r="22" spans="1:43" ht="15">
      <c r="A22" s="129"/>
      <c r="B22" s="145" t="s">
        <v>626</v>
      </c>
      <c r="C22" s="132"/>
      <c r="D22" s="146"/>
      <c r="E22" s="146"/>
      <c r="F22" s="131"/>
      <c r="G22" s="132"/>
      <c r="H22" s="133"/>
      <c r="I22" s="134"/>
      <c r="J22" s="131"/>
      <c r="K22" s="132"/>
      <c r="L22" s="138"/>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row>
    <row r="23" spans="1:43" ht="15">
      <c r="A23" s="129"/>
      <c r="B23" s="134" t="s">
        <v>718</v>
      </c>
      <c r="C23" s="132"/>
      <c r="D23" s="146"/>
      <c r="E23" s="146"/>
      <c r="F23" s="131"/>
      <c r="G23" s="132"/>
      <c r="H23" s="133"/>
      <c r="I23" s="134"/>
      <c r="J23" s="131"/>
      <c r="K23" s="132"/>
      <c r="L23" s="138"/>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row>
    <row r="24" spans="1:43" ht="15">
      <c r="A24" s="129"/>
      <c r="B24" s="134"/>
      <c r="C24" s="132"/>
      <c r="D24" s="143"/>
      <c r="E24" s="143"/>
      <c r="F24" s="131"/>
      <c r="G24" s="132"/>
      <c r="H24" s="133"/>
      <c r="I24" s="134"/>
      <c r="J24" s="131"/>
      <c r="K24" s="132"/>
      <c r="L24" s="138"/>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row>
    <row r="25" spans="1:43" ht="15">
      <c r="A25" s="129"/>
      <c r="B25" s="145" t="s">
        <v>627</v>
      </c>
      <c r="C25" s="132"/>
      <c r="D25" s="146"/>
      <c r="E25" s="146"/>
      <c r="F25" s="131"/>
      <c r="G25" s="132"/>
      <c r="H25" s="133"/>
      <c r="I25" s="134"/>
      <c r="J25" s="131"/>
      <c r="K25" s="132"/>
      <c r="L25" s="138"/>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row>
    <row r="26" spans="1:43" ht="15">
      <c r="A26" s="129"/>
      <c r="B26" s="134"/>
      <c r="C26" s="132"/>
      <c r="D26" s="146"/>
      <c r="E26" s="146"/>
      <c r="F26" s="131"/>
      <c r="G26" s="132"/>
      <c r="H26" s="133"/>
      <c r="I26" s="134"/>
      <c r="J26" s="131"/>
      <c r="K26" s="132"/>
      <c r="L26" s="138"/>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row>
    <row r="27" spans="1:43" ht="15">
      <c r="A27" s="129"/>
      <c r="B27" s="148" t="s">
        <v>628</v>
      </c>
      <c r="C27" s="132"/>
      <c r="D27" s="143"/>
      <c r="E27" s="143"/>
      <c r="F27" s="131"/>
      <c r="G27" s="132"/>
      <c r="H27" s="133"/>
      <c r="I27" s="134"/>
      <c r="J27" s="134"/>
      <c r="K27" s="134"/>
      <c r="L27" s="12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row>
    <row r="28" spans="1:43" ht="15">
      <c r="A28" s="129"/>
      <c r="B28" s="134"/>
      <c r="C28" s="132"/>
      <c r="D28" s="146"/>
      <c r="E28" s="146"/>
      <c r="F28" s="131"/>
      <c r="G28" s="132"/>
      <c r="H28" s="133"/>
      <c r="I28" s="134"/>
      <c r="J28" s="134"/>
      <c r="K28" s="134"/>
      <c r="L28" s="129"/>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row>
    <row r="29" spans="1:43" ht="15">
      <c r="A29" s="129"/>
      <c r="B29" s="148" t="s">
        <v>629</v>
      </c>
      <c r="C29" s="151"/>
      <c r="D29" s="146"/>
      <c r="E29" s="146"/>
      <c r="F29" s="131"/>
      <c r="G29" s="132"/>
      <c r="H29" s="133"/>
      <c r="I29" s="134"/>
      <c r="J29" s="134"/>
      <c r="K29" s="134"/>
      <c r="L29" s="129"/>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row>
    <row r="30" spans="1:43" ht="15">
      <c r="A30" s="129"/>
      <c r="B30" s="148"/>
      <c r="C30" s="132"/>
      <c r="D30" s="143"/>
      <c r="E30" s="143"/>
      <c r="F30" s="131"/>
      <c r="G30" s="132"/>
      <c r="H30" s="133"/>
      <c r="I30" s="134"/>
      <c r="J30" s="134"/>
      <c r="K30" s="134"/>
      <c r="L30" s="12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row>
    <row r="31" spans="1:43" ht="15">
      <c r="A31" s="129"/>
      <c r="B31" s="148" t="s">
        <v>630</v>
      </c>
      <c r="C31" s="151"/>
      <c r="D31" s="146"/>
      <c r="E31" s="146"/>
      <c r="F31" s="131"/>
      <c r="G31" s="132"/>
      <c r="H31" s="133"/>
      <c r="I31" s="134"/>
      <c r="J31" s="134"/>
      <c r="K31" s="134"/>
      <c r="L31" s="129"/>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row>
    <row r="32" spans="1:43" ht="15">
      <c r="A32" s="129"/>
      <c r="B32" s="148" t="s">
        <v>631</v>
      </c>
      <c r="C32" s="143"/>
      <c r="D32" s="146"/>
      <c r="E32" s="146"/>
      <c r="F32" s="131"/>
      <c r="G32" s="132"/>
      <c r="H32" s="133"/>
      <c r="I32" s="134"/>
      <c r="J32" s="134"/>
      <c r="K32" s="134"/>
      <c r="L32" s="129"/>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row>
    <row r="33" spans="1:43" ht="15">
      <c r="A33" s="129"/>
      <c r="B33" s="148"/>
      <c r="C33" s="131"/>
      <c r="D33" s="143"/>
      <c r="E33" s="143"/>
      <c r="F33" s="131"/>
      <c r="G33" s="132"/>
      <c r="H33" s="133"/>
      <c r="I33" s="134"/>
      <c r="J33" s="134"/>
      <c r="K33" s="134"/>
      <c r="L33" s="12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row>
    <row r="34" spans="1:43" ht="15">
      <c r="A34" s="129"/>
      <c r="B34" s="148" t="s">
        <v>645</v>
      </c>
      <c r="C34" s="151"/>
      <c r="D34" s="146"/>
      <c r="E34" s="146"/>
      <c r="F34" s="131"/>
      <c r="G34" s="132"/>
      <c r="H34" s="133"/>
      <c r="I34" s="134"/>
      <c r="J34" s="134"/>
      <c r="K34" s="134"/>
      <c r="L34" s="129"/>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row>
    <row r="35" spans="1:43" ht="15">
      <c r="A35" s="129"/>
      <c r="B35" s="148" t="s">
        <v>632</v>
      </c>
      <c r="C35" s="151"/>
      <c r="D35" s="146"/>
      <c r="E35" s="146"/>
      <c r="F35" s="131"/>
      <c r="G35" s="132"/>
      <c r="H35" s="133"/>
      <c r="I35" s="134"/>
      <c r="J35" s="134"/>
      <c r="K35" s="134"/>
      <c r="L35" s="129"/>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row>
    <row r="36" spans="1:43" ht="15">
      <c r="A36" s="129"/>
      <c r="B36" s="131"/>
      <c r="C36" s="131"/>
      <c r="D36" s="143"/>
      <c r="E36" s="143"/>
      <c r="F36" s="131"/>
      <c r="G36" s="132"/>
      <c r="H36" s="133"/>
      <c r="I36" s="134"/>
      <c r="J36" s="131"/>
      <c r="K36" s="132"/>
      <c r="L36" s="153"/>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row>
    <row r="37" spans="1:43" ht="15">
      <c r="A37" s="129"/>
      <c r="B37" s="151"/>
      <c r="C37" s="151"/>
      <c r="D37" s="146"/>
      <c r="E37" s="146"/>
      <c r="F37" s="131"/>
      <c r="G37" s="132"/>
      <c r="H37" s="133"/>
      <c r="I37" s="134"/>
      <c r="J37" s="131"/>
      <c r="K37" s="132"/>
      <c r="L37" s="153"/>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row>
    <row r="38" spans="1:43" ht="15">
      <c r="A38" s="129"/>
      <c r="B38" s="151"/>
      <c r="C38" s="151"/>
      <c r="D38" s="154"/>
      <c r="E38" s="154"/>
      <c r="F38" s="131"/>
      <c r="G38" s="155"/>
      <c r="H38" s="133"/>
      <c r="I38" s="134"/>
      <c r="J38" s="131"/>
      <c r="K38" s="132"/>
      <c r="L38" s="153"/>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row>
    <row r="39" spans="1:43" ht="15">
      <c r="A39" s="129"/>
      <c r="B39" s="156"/>
      <c r="C39" s="156"/>
      <c r="D39" s="144"/>
      <c r="E39" s="144"/>
      <c r="F39" s="151"/>
      <c r="G39" s="151"/>
      <c r="H39" s="151"/>
      <c r="I39" s="157"/>
      <c r="J39" s="131"/>
      <c r="K39" s="132"/>
      <c r="L39" s="153"/>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row>
    <row r="40" spans="1:43" ht="15">
      <c r="A40" s="129"/>
      <c r="B40" s="140"/>
      <c r="C40" s="140"/>
      <c r="D40" s="140"/>
      <c r="E40" s="140"/>
      <c r="F40" s="147"/>
      <c r="G40" s="147"/>
      <c r="H40" s="147"/>
      <c r="I40" s="147"/>
      <c r="J40" s="131"/>
      <c r="K40" s="132"/>
      <c r="L40" s="153"/>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row>
    <row r="41" spans="1:43" ht="15">
      <c r="A41" s="129"/>
      <c r="B41" s="152"/>
      <c r="C41" s="152"/>
      <c r="D41" s="158"/>
      <c r="E41" s="158"/>
      <c r="F41" s="158"/>
      <c r="G41" s="158"/>
      <c r="H41" s="158"/>
      <c r="I41" s="140"/>
      <c r="J41" s="131"/>
      <c r="K41" s="132"/>
      <c r="L41" s="153"/>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row>
    <row r="42" spans="1:43" ht="15">
      <c r="A42" s="129"/>
      <c r="B42" s="156"/>
      <c r="C42" s="156"/>
      <c r="D42" s="150"/>
      <c r="E42" s="150"/>
      <c r="F42" s="150"/>
      <c r="G42" s="150"/>
      <c r="H42" s="150"/>
      <c r="I42" s="150"/>
      <c r="J42" s="131"/>
      <c r="K42" s="132"/>
      <c r="L42" s="153"/>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row>
    <row r="43" spans="1:43" ht="15">
      <c r="A43" s="129"/>
      <c r="B43" s="140"/>
      <c r="C43" s="140"/>
      <c r="D43" s="158"/>
      <c r="E43" s="158"/>
      <c r="F43" s="158"/>
      <c r="G43" s="158"/>
      <c r="H43" s="158"/>
      <c r="I43" s="140"/>
      <c r="J43" s="131"/>
      <c r="K43" s="132"/>
      <c r="L43" s="153"/>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row>
    <row r="44" spans="1:43" ht="15">
      <c r="A44" s="129"/>
      <c r="B44" s="156"/>
      <c r="C44" s="156"/>
      <c r="D44" s="144"/>
      <c r="E44" s="144"/>
      <c r="F44" s="149"/>
      <c r="G44" s="149"/>
      <c r="H44" s="149"/>
      <c r="I44" s="149"/>
      <c r="J44" s="131"/>
      <c r="K44" s="132"/>
      <c r="L44" s="153"/>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263238"/>
  </sheetPr>
  <dimension ref="A1:T78"/>
  <sheetViews>
    <sheetView zoomScaleNormal="100" workbookViewId="0">
      <pane xSplit="1" ySplit="3" topLeftCell="B4" activePane="bottomRight" state="frozen"/>
      <selection activeCell="A5" sqref="A5"/>
      <selection pane="topRight" activeCell="A5" sqref="A5"/>
      <selection pane="bottomLeft" activeCell="A5" sqref="A5"/>
      <selection pane="bottomRight" activeCell="F12" sqref="F12"/>
    </sheetView>
  </sheetViews>
  <sheetFormatPr defaultRowHeight="14.4"/>
  <cols>
    <col min="1" max="1" width="26.5546875" style="551" bestFit="1" customWidth="1"/>
    <col min="2" max="14" width="10" style="551" bestFit="1" customWidth="1"/>
    <col min="15" max="15" width="10" style="551" customWidth="1"/>
    <col min="16" max="17" width="8.88671875" style="551"/>
    <col min="18" max="18" width="8.77734375" style="551" customWidth="1"/>
    <col min="19" max="20" width="13.44140625" style="551" bestFit="1" customWidth="1"/>
    <col min="21" max="16384" width="8.88671875" style="551"/>
  </cols>
  <sheetData>
    <row r="1" spans="1:20" ht="21" customHeight="1">
      <c r="A1" s="556" t="s">
        <v>288</v>
      </c>
      <c r="B1" s="556"/>
      <c r="C1" s="556"/>
      <c r="D1" s="556"/>
      <c r="E1" s="556"/>
      <c r="F1" s="556"/>
      <c r="G1" s="556"/>
      <c r="H1" s="556"/>
      <c r="I1" s="556"/>
      <c r="J1" s="556"/>
      <c r="K1" s="557"/>
      <c r="L1" s="557"/>
      <c r="M1" s="557"/>
      <c r="N1" s="557"/>
      <c r="O1" s="557"/>
      <c r="P1" s="557"/>
      <c r="Q1" s="557"/>
      <c r="R1" s="557"/>
    </row>
    <row r="2" spans="1:20">
      <c r="A2" s="558" t="s">
        <v>671</v>
      </c>
      <c r="B2" s="559"/>
      <c r="C2" s="559"/>
      <c r="D2" s="559"/>
      <c r="E2" s="559"/>
      <c r="F2" s="559"/>
      <c r="G2" s="559"/>
      <c r="H2" s="559"/>
      <c r="I2" s="559"/>
      <c r="J2" s="558" t="s">
        <v>788</v>
      </c>
      <c r="K2" s="558" t="s">
        <v>788</v>
      </c>
      <c r="L2" s="558" t="s">
        <v>788</v>
      </c>
      <c r="M2" s="558" t="s">
        <v>788</v>
      </c>
      <c r="N2" s="558" t="s">
        <v>788</v>
      </c>
      <c r="O2" s="558" t="s">
        <v>788</v>
      </c>
      <c r="P2" s="558" t="s">
        <v>788</v>
      </c>
      <c r="Q2" s="558" t="s">
        <v>788</v>
      </c>
      <c r="R2" s="558" t="s">
        <v>788</v>
      </c>
    </row>
    <row r="3" spans="1:20">
      <c r="A3" s="560"/>
      <c r="B3" s="561">
        <v>2016</v>
      </c>
      <c r="C3" s="561">
        <f t="shared" ref="C3:N3" si="0">B3+1</f>
        <v>2017</v>
      </c>
      <c r="D3" s="561">
        <f t="shared" si="0"/>
        <v>2018</v>
      </c>
      <c r="E3" s="561">
        <f t="shared" si="0"/>
        <v>2019</v>
      </c>
      <c r="F3" s="561">
        <f t="shared" si="0"/>
        <v>2020</v>
      </c>
      <c r="G3" s="561">
        <f t="shared" si="0"/>
        <v>2021</v>
      </c>
      <c r="H3" s="561">
        <f t="shared" si="0"/>
        <v>2022</v>
      </c>
      <c r="I3" s="561">
        <f t="shared" si="0"/>
        <v>2023</v>
      </c>
      <c r="J3" s="562">
        <f t="shared" si="0"/>
        <v>2024</v>
      </c>
      <c r="K3" s="562">
        <f t="shared" si="0"/>
        <v>2025</v>
      </c>
      <c r="L3" s="562">
        <f t="shared" si="0"/>
        <v>2026</v>
      </c>
      <c r="M3" s="562">
        <f t="shared" si="0"/>
        <v>2027</v>
      </c>
      <c r="N3" s="562">
        <f t="shared" si="0"/>
        <v>2028</v>
      </c>
      <c r="O3" s="562">
        <f t="shared" ref="O3" si="1">N3+1</f>
        <v>2029</v>
      </c>
      <c r="P3" s="562">
        <f t="shared" ref="P3" si="2">O3+1</f>
        <v>2030</v>
      </c>
      <c r="Q3" s="562">
        <f t="shared" ref="Q3" si="3">P3+1</f>
        <v>2031</v>
      </c>
      <c r="R3" s="562">
        <f t="shared" ref="R3" si="4">Q3+1</f>
        <v>2032</v>
      </c>
    </row>
    <row r="4" spans="1:20">
      <c r="A4" s="563" t="s">
        <v>76</v>
      </c>
      <c r="B4" s="292">
        <f>'Income Statement'!AU444</f>
        <v>3109</v>
      </c>
      <c r="C4" s="292">
        <f>'Income Statement'!AZ444</f>
        <v>2775</v>
      </c>
      <c r="D4" s="292">
        <f>'Income Statement'!BE444</f>
        <v>2685</v>
      </c>
      <c r="E4" s="292">
        <f>'Income Statement'!BJ444</f>
        <v>2512</v>
      </c>
      <c r="F4" s="292">
        <f>'Income Statement'!BO444</f>
        <v>2284</v>
      </c>
      <c r="G4" s="292">
        <f>'Income Statement'!BT444</f>
        <v>2082</v>
      </c>
      <c r="H4" s="292">
        <f>'Income Statement'!BY444</f>
        <v>2209</v>
      </c>
      <c r="I4" s="292">
        <f>'Income Statement'!CD444</f>
        <v>1890</v>
      </c>
      <c r="J4" s="292">
        <f>'Income Statement'!CE444</f>
        <v>2347.3340871671849</v>
      </c>
      <c r="K4" s="292">
        <f>'Income Statement'!CF444</f>
        <v>2560.4233690205247</v>
      </c>
      <c r="L4" s="292">
        <f>'Income Statement'!CG444</f>
        <v>2758.4518560025549</v>
      </c>
      <c r="M4" s="292">
        <f>'Income Statement'!CH444</f>
        <v>2947.4539926412772</v>
      </c>
      <c r="N4" s="292">
        <f>'Income Statement'!CI444</f>
        <v>3131.1808294526886</v>
      </c>
      <c r="O4" s="292">
        <f>'Income Statement'!CJ444</f>
        <v>3302.0415517357228</v>
      </c>
      <c r="P4" s="292">
        <f>'Income Statement'!CK444</f>
        <v>3464.0133285049733</v>
      </c>
      <c r="Q4" s="292">
        <f>'Income Statement'!CL444</f>
        <v>3620.0584230274967</v>
      </c>
      <c r="R4" s="292">
        <f>'Income Statement'!CM444</f>
        <v>3772.3989617800194</v>
      </c>
    </row>
    <row r="5" spans="1:20">
      <c r="A5" s="515" t="s">
        <v>98</v>
      </c>
      <c r="B5" s="564">
        <v>0.25</v>
      </c>
      <c r="C5" s="565">
        <f t="shared" ref="C5:H5" si="5">B5</f>
        <v>0.25</v>
      </c>
      <c r="D5" s="565">
        <f t="shared" si="5"/>
        <v>0.25</v>
      </c>
      <c r="E5" s="565">
        <f t="shared" si="5"/>
        <v>0.25</v>
      </c>
      <c r="F5" s="565">
        <f t="shared" si="5"/>
        <v>0.25</v>
      </c>
      <c r="G5" s="565">
        <f t="shared" si="5"/>
        <v>0.25</v>
      </c>
      <c r="H5" s="565">
        <f t="shared" si="5"/>
        <v>0.25</v>
      </c>
      <c r="I5" s="565">
        <f t="shared" ref="I5:N5" si="6">H5</f>
        <v>0.25</v>
      </c>
      <c r="J5" s="565">
        <f t="shared" si="6"/>
        <v>0.25</v>
      </c>
      <c r="K5" s="565">
        <f t="shared" si="6"/>
        <v>0.25</v>
      </c>
      <c r="L5" s="565">
        <f t="shared" si="6"/>
        <v>0.25</v>
      </c>
      <c r="M5" s="565">
        <f t="shared" si="6"/>
        <v>0.25</v>
      </c>
      <c r="N5" s="565">
        <f t="shared" si="6"/>
        <v>0.25</v>
      </c>
      <c r="O5" s="565">
        <f t="shared" ref="O5" si="7">N5</f>
        <v>0.25</v>
      </c>
      <c r="P5" s="565">
        <f t="shared" ref="P5" si="8">O5</f>
        <v>0.25</v>
      </c>
      <c r="Q5" s="565">
        <f t="shared" ref="Q5" si="9">P5</f>
        <v>0.25</v>
      </c>
      <c r="R5" s="565">
        <f t="shared" ref="R5" si="10">Q5</f>
        <v>0.25</v>
      </c>
    </row>
    <row r="6" spans="1:20">
      <c r="A6" s="566" t="s">
        <v>408</v>
      </c>
      <c r="B6" s="567">
        <f t="shared" ref="B6:N6" si="11">-B5*B4</f>
        <v>-777.25</v>
      </c>
      <c r="C6" s="567">
        <f t="shared" si="11"/>
        <v>-693.75</v>
      </c>
      <c r="D6" s="567">
        <f t="shared" si="11"/>
        <v>-671.25</v>
      </c>
      <c r="E6" s="567">
        <f t="shared" si="11"/>
        <v>-628</v>
      </c>
      <c r="F6" s="567">
        <f t="shared" si="11"/>
        <v>-571</v>
      </c>
      <c r="G6" s="567">
        <f t="shared" si="11"/>
        <v>-520.5</v>
      </c>
      <c r="H6" s="567">
        <f t="shared" si="11"/>
        <v>-552.25</v>
      </c>
      <c r="I6" s="567">
        <f t="shared" si="11"/>
        <v>-472.5</v>
      </c>
      <c r="J6" s="567">
        <f t="shared" si="11"/>
        <v>-586.83352179179622</v>
      </c>
      <c r="K6" s="567">
        <f t="shared" si="11"/>
        <v>-640.10584225513117</v>
      </c>
      <c r="L6" s="567">
        <f t="shared" si="11"/>
        <v>-689.61296400063873</v>
      </c>
      <c r="M6" s="567">
        <f t="shared" si="11"/>
        <v>-736.8634981603193</v>
      </c>
      <c r="N6" s="567">
        <f t="shared" si="11"/>
        <v>-782.79520736317215</v>
      </c>
      <c r="O6" s="567">
        <f t="shared" ref="O6:R6" si="12">-O5*O4</f>
        <v>-825.5103879339307</v>
      </c>
      <c r="P6" s="567">
        <f t="shared" si="12"/>
        <v>-866.00333212624332</v>
      </c>
      <c r="Q6" s="567">
        <f t="shared" si="12"/>
        <v>-905.01460575687418</v>
      </c>
      <c r="R6" s="567">
        <f t="shared" si="12"/>
        <v>-943.09974044500484</v>
      </c>
    </row>
    <row r="7" spans="1:20">
      <c r="A7" s="515"/>
      <c r="B7" s="568"/>
      <c r="C7" s="568"/>
      <c r="D7" s="568"/>
      <c r="E7" s="568"/>
      <c r="F7" s="568"/>
      <c r="G7" s="568"/>
      <c r="H7" s="568"/>
      <c r="I7" s="568"/>
      <c r="J7" s="568"/>
      <c r="K7" s="568"/>
      <c r="L7" s="568"/>
      <c r="M7" s="568"/>
      <c r="N7" s="568"/>
      <c r="O7" s="568"/>
      <c r="P7" s="568"/>
      <c r="Q7" s="568"/>
      <c r="R7" s="568"/>
    </row>
    <row r="8" spans="1:20">
      <c r="A8" s="515"/>
      <c r="B8" s="568"/>
      <c r="C8" s="568"/>
      <c r="D8" s="568"/>
      <c r="E8" s="568"/>
      <c r="F8" s="568"/>
      <c r="G8" s="568"/>
      <c r="H8" s="568"/>
      <c r="I8" s="568"/>
      <c r="J8" s="568"/>
      <c r="K8" s="568"/>
      <c r="L8" s="568"/>
      <c r="M8" s="568"/>
      <c r="N8" s="568"/>
      <c r="O8" s="568"/>
      <c r="P8" s="568"/>
      <c r="Q8" s="568"/>
      <c r="R8" s="568"/>
    </row>
    <row r="9" spans="1:20">
      <c r="A9" s="626" t="s">
        <v>407</v>
      </c>
      <c r="B9" s="627">
        <f t="shared" ref="B9:N9" si="13">B3</f>
        <v>2016</v>
      </c>
      <c r="C9" s="627">
        <f t="shared" si="13"/>
        <v>2017</v>
      </c>
      <c r="D9" s="627">
        <f t="shared" si="13"/>
        <v>2018</v>
      </c>
      <c r="E9" s="627">
        <f t="shared" si="13"/>
        <v>2019</v>
      </c>
      <c r="F9" s="627">
        <f t="shared" si="13"/>
        <v>2020</v>
      </c>
      <c r="G9" s="627">
        <f t="shared" si="13"/>
        <v>2021</v>
      </c>
      <c r="H9" s="627">
        <f t="shared" si="13"/>
        <v>2022</v>
      </c>
      <c r="I9" s="627">
        <f t="shared" si="13"/>
        <v>2023</v>
      </c>
      <c r="J9" s="627">
        <f t="shared" si="13"/>
        <v>2024</v>
      </c>
      <c r="K9" s="627">
        <f t="shared" si="13"/>
        <v>2025</v>
      </c>
      <c r="L9" s="627">
        <f t="shared" si="13"/>
        <v>2026</v>
      </c>
      <c r="M9" s="627">
        <f t="shared" si="13"/>
        <v>2027</v>
      </c>
      <c r="N9" s="627">
        <f t="shared" si="13"/>
        <v>2028</v>
      </c>
      <c r="O9" s="627">
        <f t="shared" ref="O9:R9" si="14">O3</f>
        <v>2029</v>
      </c>
      <c r="P9" s="627">
        <f t="shared" si="14"/>
        <v>2030</v>
      </c>
      <c r="Q9" s="627">
        <f t="shared" si="14"/>
        <v>2031</v>
      </c>
      <c r="R9" s="627">
        <f t="shared" si="14"/>
        <v>2032</v>
      </c>
      <c r="S9" s="569"/>
      <c r="T9" s="569"/>
    </row>
    <row r="10" spans="1:20">
      <c r="A10" s="515" t="s">
        <v>2</v>
      </c>
      <c r="B10" s="570">
        <f>'Income Statement'!AU430</f>
        <v>4502</v>
      </c>
      <c r="C10" s="570">
        <f>'Income Statement'!AZ430</f>
        <v>4195</v>
      </c>
      <c r="D10" s="570">
        <f>'Income Statement'!BE430</f>
        <v>3843</v>
      </c>
      <c r="E10" s="570">
        <f>'Income Statement'!BJ430</f>
        <v>3926</v>
      </c>
      <c r="F10" s="570">
        <f>'Income Statement'!BO430</f>
        <v>3814</v>
      </c>
      <c r="G10" s="570">
        <f>'Income Statement'!BT430</f>
        <v>3876</v>
      </c>
      <c r="H10" s="570">
        <f>'Income Statement'!BY430</f>
        <v>3929</v>
      </c>
      <c r="I10" s="570">
        <f>'Income Statement'!CD430</f>
        <v>3960</v>
      </c>
      <c r="J10" s="570">
        <f>'Income Statement'!CE430</f>
        <v>4171.0576269054345</v>
      </c>
      <c r="K10" s="570">
        <f>'Income Statement'!CF430</f>
        <v>4296.5338349015092</v>
      </c>
      <c r="L10" s="570">
        <f>'Income Statement'!CG430</f>
        <v>4436.3939792013425</v>
      </c>
      <c r="M10" s="570">
        <f>'Income Statement'!CH430</f>
        <v>4589.6746823582716</v>
      </c>
      <c r="N10" s="570">
        <f>'Income Statement'!CI430</f>
        <v>4755.1149503443366</v>
      </c>
      <c r="O10" s="570">
        <f>'Income Statement'!CJ430</f>
        <v>4921.3878769655921</v>
      </c>
      <c r="P10" s="570">
        <f>'Income Statement'!CK430</f>
        <v>5088.8125944151761</v>
      </c>
      <c r="Q10" s="570">
        <f>'Income Statement'!CL430</f>
        <v>5257.7045052849217</v>
      </c>
      <c r="R10" s="570">
        <f>'Income Statement'!CM430</f>
        <v>5428.3759740857668</v>
      </c>
      <c r="S10" s="571"/>
      <c r="T10" s="571"/>
    </row>
    <row r="11" spans="1:20">
      <c r="A11" s="572" t="s">
        <v>824</v>
      </c>
      <c r="B11" s="570">
        <f t="shared" ref="B11:N11" si="15">B6</f>
        <v>-777.25</v>
      </c>
      <c r="C11" s="570">
        <f t="shared" si="15"/>
        <v>-693.75</v>
      </c>
      <c r="D11" s="570">
        <f t="shared" si="15"/>
        <v>-671.25</v>
      </c>
      <c r="E11" s="570">
        <f t="shared" si="15"/>
        <v>-628</v>
      </c>
      <c r="F11" s="570">
        <f t="shared" si="15"/>
        <v>-571</v>
      </c>
      <c r="G11" s="570">
        <f t="shared" si="15"/>
        <v>-520.5</v>
      </c>
      <c r="H11" s="570">
        <f t="shared" si="15"/>
        <v>-552.25</v>
      </c>
      <c r="I11" s="570">
        <f t="shared" si="15"/>
        <v>-472.5</v>
      </c>
      <c r="J11" s="570">
        <f t="shared" si="15"/>
        <v>-586.83352179179622</v>
      </c>
      <c r="K11" s="570">
        <f t="shared" si="15"/>
        <v>-640.10584225513117</v>
      </c>
      <c r="L11" s="570">
        <f t="shared" si="15"/>
        <v>-689.61296400063873</v>
      </c>
      <c r="M11" s="570">
        <f t="shared" si="15"/>
        <v>-736.8634981603193</v>
      </c>
      <c r="N11" s="570">
        <f t="shared" si="15"/>
        <v>-782.79520736317215</v>
      </c>
      <c r="O11" s="570">
        <f t="shared" ref="O11:R11" si="16">O6</f>
        <v>-825.5103879339307</v>
      </c>
      <c r="P11" s="570">
        <f t="shared" si="16"/>
        <v>-866.00333212624332</v>
      </c>
      <c r="Q11" s="570">
        <f t="shared" si="16"/>
        <v>-905.01460575687418</v>
      </c>
      <c r="R11" s="570">
        <f t="shared" si="16"/>
        <v>-943.09974044500484</v>
      </c>
    </row>
    <row r="12" spans="1:20">
      <c r="A12" s="572" t="s">
        <v>825</v>
      </c>
      <c r="B12" s="570">
        <f>-'Income Statement'!AU473</f>
        <v>-1189</v>
      </c>
      <c r="C12" s="570">
        <f>-'Income Statement'!AZ473</f>
        <v>-1028</v>
      </c>
      <c r="D12" s="570">
        <f>-'Income Statement'!BE473</f>
        <v>-1038</v>
      </c>
      <c r="E12" s="570">
        <f>-'Income Statement'!BJ473</f>
        <v>-1213</v>
      </c>
      <c r="F12" s="570">
        <f>-'Income Statement'!BO473</f>
        <v>-1245</v>
      </c>
      <c r="G12" s="570">
        <f>-'Income Statement'!BT473</f>
        <v>-1187</v>
      </c>
      <c r="H12" s="570">
        <f>-'Income Statement'!BY473</f>
        <v>-1114</v>
      </c>
      <c r="I12" s="570">
        <f>-'Income Statement'!CD473</f>
        <v>-813</v>
      </c>
      <c r="J12" s="570">
        <f>-'Income Statement'!CE473</f>
        <v>-1169.1711871344103</v>
      </c>
      <c r="K12" s="570">
        <f>-'Income Statement'!CF473</f>
        <v>-1199.4569589834009</v>
      </c>
      <c r="L12" s="570">
        <f>-'Income Statement'!CG473</f>
        <v>-1233.0654208185015</v>
      </c>
      <c r="M12" s="570">
        <f>-'Income Statement'!CH473</f>
        <v>-1270.3482867987418</v>
      </c>
      <c r="N12" s="570">
        <f>-'Income Statement'!CI473</f>
        <v>-1311.0181441182078</v>
      </c>
      <c r="O12" s="570">
        <f>-'Income Statement'!CJ473</f>
        <v>-1351.6338799978996</v>
      </c>
      <c r="P12" s="570">
        <f>-'Income Statement'!CK473</f>
        <v>-1392.2826707675792</v>
      </c>
      <c r="Q12" s="570">
        <f>-'Income Statement'!CL473</f>
        <v>-1433.0492427206093</v>
      </c>
      <c r="R12" s="570">
        <f>-'Income Statement'!CM473</f>
        <v>-1608.0176021326579</v>
      </c>
    </row>
    <row r="13" spans="1:20">
      <c r="A13" s="572" t="s">
        <v>826</v>
      </c>
      <c r="B13" s="570">
        <f>+'Balance Sheet and Cflow'!K63</f>
        <v>-816.75</v>
      </c>
      <c r="C13" s="570">
        <f>+'Balance Sheet and Cflow'!L63</f>
        <v>0</v>
      </c>
      <c r="D13" s="570">
        <f>+'Balance Sheet and Cflow'!M63</f>
        <v>-765.02</v>
      </c>
      <c r="E13" s="570">
        <f>+'Balance Sheet and Cflow'!N63</f>
        <v>0</v>
      </c>
      <c r="F13" s="570">
        <f>+'Balance Sheet and Cflow'!O63</f>
        <v>-1075.6500000000001</v>
      </c>
      <c r="G13" s="570">
        <f>+'Balance Sheet and Cflow'!P63</f>
        <v>0</v>
      </c>
      <c r="H13" s="570">
        <f>+'Balance Sheet and Cflow'!Q63</f>
        <v>0</v>
      </c>
      <c r="I13" s="570">
        <f>+'Balance Sheet and Cflow'!R63</f>
        <v>0</v>
      </c>
      <c r="J13" s="570">
        <f>+'Balance Sheet and Cflow'!S63</f>
        <v>0</v>
      </c>
      <c r="K13" s="570">
        <f>+'Balance Sheet and Cflow'!T63</f>
        <v>0</v>
      </c>
      <c r="L13" s="570">
        <f>+'Balance Sheet and Cflow'!U63</f>
        <v>0</v>
      </c>
      <c r="M13" s="570">
        <f>+'Balance Sheet and Cflow'!V63</f>
        <v>0</v>
      </c>
      <c r="N13" s="570">
        <f>+'Balance Sheet and Cflow'!W63</f>
        <v>0</v>
      </c>
      <c r="O13" s="570">
        <f>+'Balance Sheet and Cflow'!X63</f>
        <v>0</v>
      </c>
      <c r="P13" s="570">
        <f>+'Balance Sheet and Cflow'!Y63</f>
        <v>0</v>
      </c>
      <c r="Q13" s="570">
        <f>+'Balance Sheet and Cflow'!Z63</f>
        <v>0</v>
      </c>
      <c r="R13" s="570">
        <f>+'Balance Sheet and Cflow'!AA63</f>
        <v>0</v>
      </c>
    </row>
    <row r="14" spans="1:20">
      <c r="A14" s="515" t="s">
        <v>827</v>
      </c>
      <c r="B14" s="570">
        <f>'Balance Sheet and Cflow'!K169</f>
        <v>-220</v>
      </c>
      <c r="C14" s="570">
        <f>'Balance Sheet and Cflow'!L169</f>
        <v>-333</v>
      </c>
      <c r="D14" s="570">
        <f>'Balance Sheet and Cflow'!M169</f>
        <v>357</v>
      </c>
      <c r="E14" s="570">
        <f>'Balance Sheet and Cflow'!N169</f>
        <v>13</v>
      </c>
      <c r="F14" s="570">
        <f>'Balance Sheet and Cflow'!O169</f>
        <v>-14</v>
      </c>
      <c r="G14" s="570">
        <f>'Balance Sheet and Cflow'!P169</f>
        <v>332</v>
      </c>
      <c r="H14" s="570">
        <f>'Balance Sheet and Cflow'!Q169</f>
        <v>-561</v>
      </c>
      <c r="I14" s="570">
        <f>'Balance Sheet and Cflow'!R169</f>
        <v>1</v>
      </c>
      <c r="J14" s="570">
        <f>'Balance Sheet and Cflow'!S169</f>
        <v>-22.689504205625298</v>
      </c>
      <c r="K14" s="570">
        <f>'Balance Sheet and Cflow'!T169</f>
        <v>-55.711291143549417</v>
      </c>
      <c r="L14" s="570">
        <f>'Balance Sheet and Cflow'!U169</f>
        <v>-52.605841906160592</v>
      </c>
      <c r="M14" s="570">
        <f>'Balance Sheet and Cflow'!V169</f>
        <v>-49.682479831278002</v>
      </c>
      <c r="N14" s="570">
        <f>'Balance Sheet and Cflow'!W169</f>
        <v>-47.786706243428156</v>
      </c>
      <c r="O14" s="570">
        <f>'Balance Sheet and Cflow'!X169</f>
        <v>-50.424066684147142</v>
      </c>
      <c r="P14" s="570">
        <f>'Balance Sheet and Cflow'!Y169</f>
        <v>-52.742373652977676</v>
      </c>
      <c r="Q14" s="570">
        <f>'Balance Sheet and Cflow'!Z169</f>
        <v>-54.779250439254035</v>
      </c>
      <c r="R14" s="570">
        <f>'Balance Sheet and Cflow'!AA169</f>
        <v>-56.568636070435176</v>
      </c>
    </row>
    <row r="15" spans="1:20">
      <c r="A15" s="573" t="s">
        <v>409</v>
      </c>
      <c r="B15" s="574">
        <f>B10+B11+B12+B14+B13</f>
        <v>1499</v>
      </c>
      <c r="C15" s="574">
        <f t="shared" ref="C15:H15" si="17">C10+C11+C12+C14+C13</f>
        <v>2140.25</v>
      </c>
      <c r="D15" s="574">
        <f t="shared" si="17"/>
        <v>1725.73</v>
      </c>
      <c r="E15" s="574">
        <f t="shared" si="17"/>
        <v>2098</v>
      </c>
      <c r="F15" s="574">
        <f t="shared" si="17"/>
        <v>908.34999999999991</v>
      </c>
      <c r="G15" s="574">
        <f t="shared" si="17"/>
        <v>2500.5</v>
      </c>
      <c r="H15" s="574">
        <f t="shared" si="17"/>
        <v>1701.75</v>
      </c>
      <c r="I15" s="574">
        <f t="shared" ref="I15:N15" si="18">I10+I11+I12+I14+I13</f>
        <v>2675.5</v>
      </c>
      <c r="J15" s="574">
        <f t="shared" si="18"/>
        <v>2392.363413773603</v>
      </c>
      <c r="K15" s="574">
        <f t="shared" si="18"/>
        <v>2401.2597425194276</v>
      </c>
      <c r="L15" s="574">
        <f t="shared" si="18"/>
        <v>2461.1097524760416</v>
      </c>
      <c r="M15" s="574">
        <f t="shared" si="18"/>
        <v>2532.7804175679325</v>
      </c>
      <c r="N15" s="574">
        <f t="shared" si="18"/>
        <v>2613.5148926195288</v>
      </c>
      <c r="O15" s="574">
        <f t="shared" ref="O15:R15" si="19">O10+O11+O12+O14+O13</f>
        <v>2693.8195423496145</v>
      </c>
      <c r="P15" s="574">
        <f t="shared" si="19"/>
        <v>2777.7842178683754</v>
      </c>
      <c r="Q15" s="574">
        <f t="shared" si="19"/>
        <v>2864.8614063681839</v>
      </c>
      <c r="R15" s="574">
        <f t="shared" si="19"/>
        <v>2820.689995437669</v>
      </c>
    </row>
    <row r="16" spans="1:20">
      <c r="A16" s="515" t="s">
        <v>61</v>
      </c>
      <c r="B16" s="575"/>
      <c r="C16" s="575">
        <f t="shared" ref="C16:H16" si="20">C15/B15-1</f>
        <v>0.42778519012675109</v>
      </c>
      <c r="D16" s="575">
        <f t="shared" si="20"/>
        <v>-0.19367830860880741</v>
      </c>
      <c r="E16" s="575">
        <f t="shared" si="20"/>
        <v>0.21571740654679461</v>
      </c>
      <c r="F16" s="575">
        <f t="shared" si="20"/>
        <v>-0.5670400381315539</v>
      </c>
      <c r="G16" s="575">
        <f t="shared" si="20"/>
        <v>1.7527935267242807</v>
      </c>
      <c r="H16" s="575">
        <f t="shared" si="20"/>
        <v>-0.31943611277744455</v>
      </c>
      <c r="I16" s="575">
        <f t="shared" ref="I16:N16" si="21">I15/H15-1</f>
        <v>0.57220508300279116</v>
      </c>
      <c r="J16" s="575">
        <f t="shared" si="21"/>
        <v>-0.10582567229542028</v>
      </c>
      <c r="K16" s="575">
        <f t="shared" si="21"/>
        <v>3.7186360126582052E-3</v>
      </c>
      <c r="L16" s="575">
        <f t="shared" si="21"/>
        <v>2.4924421501282046E-2</v>
      </c>
      <c r="M16" s="575">
        <f t="shared" si="21"/>
        <v>2.9121279544638501E-2</v>
      </c>
      <c r="N16" s="575">
        <f t="shared" si="21"/>
        <v>3.1875828828904273E-2</v>
      </c>
      <c r="O16" s="575">
        <f t="shared" ref="O16" si="22">O15/N15-1</f>
        <v>3.0726685337383319E-2</v>
      </c>
      <c r="P16" s="575">
        <f t="shared" ref="P16" si="23">P15/O15-1</f>
        <v>3.1169376492652834E-2</v>
      </c>
      <c r="Q16" s="575">
        <f t="shared" ref="Q16" si="24">Q15/P15-1</f>
        <v>3.1347715182365787E-2</v>
      </c>
      <c r="R16" s="575">
        <f t="shared" ref="R16" si="25">R15/Q15-1</f>
        <v>-1.5418341296485782E-2</v>
      </c>
    </row>
    <row r="17" spans="1:18">
      <c r="A17" s="515"/>
      <c r="B17" s="513"/>
      <c r="C17" s="513"/>
      <c r="D17" s="513"/>
      <c r="E17" s="513"/>
      <c r="F17" s="513"/>
      <c r="G17" s="513"/>
      <c r="H17" s="513"/>
      <c r="I17" s="513"/>
      <c r="J17" s="513"/>
      <c r="K17" s="513"/>
      <c r="L17" s="513"/>
      <c r="M17" s="513"/>
      <c r="N17" s="513"/>
      <c r="O17" s="513"/>
      <c r="P17" s="513"/>
      <c r="Q17" s="513"/>
      <c r="R17" s="513"/>
    </row>
    <row r="18" spans="1:18">
      <c r="A18" s="515" t="s">
        <v>410</v>
      </c>
      <c r="B18" s="576">
        <v>0</v>
      </c>
      <c r="C18" s="576">
        <v>0</v>
      </c>
      <c r="D18" s="576">
        <v>0</v>
      </c>
      <c r="E18" s="576">
        <v>0</v>
      </c>
      <c r="F18" s="576">
        <v>0</v>
      </c>
      <c r="G18" s="576">
        <v>0</v>
      </c>
      <c r="H18" s="576">
        <v>0</v>
      </c>
      <c r="I18" s="576">
        <v>0</v>
      </c>
      <c r="J18" s="576">
        <v>0</v>
      </c>
      <c r="K18" s="577">
        <f t="shared" ref="K18:N18" si="26">J18+1</f>
        <v>1</v>
      </c>
      <c r="L18" s="577">
        <f t="shared" si="26"/>
        <v>2</v>
      </c>
      <c r="M18" s="577">
        <f t="shared" si="26"/>
        <v>3</v>
      </c>
      <c r="N18" s="577">
        <f t="shared" si="26"/>
        <v>4</v>
      </c>
      <c r="O18" s="577">
        <f t="shared" ref="O18" si="27">N18+1</f>
        <v>5</v>
      </c>
      <c r="P18" s="577">
        <f t="shared" ref="P18" si="28">O18+1</f>
        <v>6</v>
      </c>
      <c r="Q18" s="577">
        <f t="shared" ref="Q18" si="29">P18+1</f>
        <v>7</v>
      </c>
      <c r="R18" s="577">
        <f t="shared" ref="R18" si="30">Q18+1</f>
        <v>8</v>
      </c>
    </row>
    <row r="19" spans="1:18">
      <c r="A19" s="515" t="s">
        <v>411</v>
      </c>
      <c r="B19" s="578">
        <v>1</v>
      </c>
      <c r="C19" s="578">
        <v>1</v>
      </c>
      <c r="D19" s="578">
        <v>1</v>
      </c>
      <c r="E19" s="578">
        <v>1</v>
      </c>
      <c r="F19" s="578">
        <v>1</v>
      </c>
      <c r="G19" s="578">
        <v>1</v>
      </c>
      <c r="H19" s="578">
        <v>1</v>
      </c>
      <c r="I19" s="578">
        <v>1</v>
      </c>
      <c r="J19" s="578">
        <v>1</v>
      </c>
      <c r="K19" s="579">
        <f t="shared" ref="K19:R19" si="31">J19/(1+$B47)</f>
        <v>0.93385940746620599</v>
      </c>
      <c r="L19" s="579">
        <f t="shared" si="31"/>
        <v>0.87209339291313337</v>
      </c>
      <c r="M19" s="579">
        <f t="shared" si="31"/>
        <v>0.8144126191610519</v>
      </c>
      <c r="N19" s="579">
        <f t="shared" si="31"/>
        <v>0.76054688596274089</v>
      </c>
      <c r="O19" s="579">
        <f t="shared" si="31"/>
        <v>0.7102438642754334</v>
      </c>
      <c r="P19" s="579">
        <f t="shared" si="31"/>
        <v>0.66326791424876475</v>
      </c>
      <c r="Q19" s="579">
        <f t="shared" si="31"/>
        <v>0.6193989813916978</v>
      </c>
      <c r="R19" s="579">
        <f t="shared" si="31"/>
        <v>0.57843156574762244</v>
      </c>
    </row>
    <row r="20" spans="1:18">
      <c r="A20" s="580" t="s">
        <v>412</v>
      </c>
      <c r="B20" s="581">
        <f t="shared" ref="B20:G20" si="32">B15*B19</f>
        <v>1499</v>
      </c>
      <c r="C20" s="581">
        <f t="shared" si="32"/>
        <v>2140.25</v>
      </c>
      <c r="D20" s="581">
        <f t="shared" si="32"/>
        <v>1725.73</v>
      </c>
      <c r="E20" s="581">
        <f t="shared" si="32"/>
        <v>2098</v>
      </c>
      <c r="F20" s="581">
        <f t="shared" si="32"/>
        <v>908.34999999999991</v>
      </c>
      <c r="G20" s="581">
        <f t="shared" si="32"/>
        <v>2500.5</v>
      </c>
      <c r="H20" s="581">
        <f t="shared" ref="H20:N20" si="33">H15*H19</f>
        <v>1701.75</v>
      </c>
      <c r="I20" s="581">
        <f t="shared" si="33"/>
        <v>2675.5</v>
      </c>
      <c r="J20" s="581">
        <f t="shared" si="33"/>
        <v>2392.363413773603</v>
      </c>
      <c r="K20" s="581">
        <f t="shared" si="33"/>
        <v>2242.4390003216472</v>
      </c>
      <c r="L20" s="581">
        <f t="shared" si="33"/>
        <v>2146.3175543684329</v>
      </c>
      <c r="M20" s="581">
        <f t="shared" si="33"/>
        <v>2062.7283336313226</v>
      </c>
      <c r="N20" s="581">
        <f t="shared" si="33"/>
        <v>1987.7006129990298</v>
      </c>
      <c r="O20" s="581">
        <f t="shared" ref="O20:R20" si="34">O15*O19</f>
        <v>1913.2688014190696</v>
      </c>
      <c r="P20" s="581">
        <f t="shared" si="34"/>
        <v>1842.4151444186937</v>
      </c>
      <c r="Q20" s="581">
        <f t="shared" si="34"/>
        <v>1774.4922369328399</v>
      </c>
      <c r="R20" s="581">
        <f t="shared" si="34"/>
        <v>1631.5761305496649</v>
      </c>
    </row>
    <row r="21" spans="1:18">
      <c r="A21" s="515"/>
      <c r="B21" s="577"/>
      <c r="C21" s="577"/>
      <c r="D21" s="577"/>
      <c r="E21" s="577"/>
      <c r="F21" s="577"/>
      <c r="G21" s="513"/>
      <c r="H21" s="513"/>
      <c r="I21" s="513"/>
      <c r="J21" s="513"/>
      <c r="K21" s="582"/>
      <c r="L21" s="582"/>
      <c r="M21" s="582"/>
      <c r="N21" s="582"/>
      <c r="O21" s="582"/>
    </row>
    <row r="22" spans="1:18">
      <c r="A22" s="515"/>
      <c r="B22" s="577"/>
      <c r="C22" s="577"/>
      <c r="D22" s="577"/>
      <c r="E22" s="577"/>
      <c r="F22" s="577"/>
      <c r="G22" s="513"/>
      <c r="H22" s="513"/>
      <c r="I22" s="513"/>
      <c r="J22" s="513"/>
      <c r="K22" s="582"/>
      <c r="L22" s="582"/>
      <c r="M22" s="582"/>
      <c r="N22" s="582"/>
      <c r="O22" s="582"/>
    </row>
    <row r="23" spans="1:18">
      <c r="A23" s="623" t="s">
        <v>288</v>
      </c>
      <c r="B23" s="624"/>
      <c r="C23" s="625" t="s">
        <v>790</v>
      </c>
      <c r="D23" s="577"/>
      <c r="E23" s="577"/>
      <c r="F23" s="577"/>
      <c r="G23" s="513"/>
      <c r="H23" s="513"/>
      <c r="I23" s="513"/>
      <c r="J23" s="513"/>
      <c r="K23" s="582"/>
      <c r="L23" s="582"/>
      <c r="M23" s="582"/>
      <c r="N23" s="582"/>
      <c r="O23" s="582"/>
    </row>
    <row r="24" spans="1:18">
      <c r="A24" s="515" t="s">
        <v>747</v>
      </c>
      <c r="B24" s="583">
        <f>SUM(K20:R20)</f>
        <v>15600.937814640702</v>
      </c>
      <c r="C24" s="577"/>
      <c r="D24" s="577"/>
      <c r="E24" s="584"/>
      <c r="F24" s="584"/>
      <c r="G24" s="584"/>
      <c r="H24" s="584"/>
      <c r="I24" s="513"/>
      <c r="J24" s="513"/>
      <c r="K24" s="582"/>
      <c r="L24" s="582"/>
      <c r="M24" s="582"/>
      <c r="N24" s="582"/>
      <c r="O24" s="582"/>
    </row>
    <row r="25" spans="1:18">
      <c r="A25" s="515" t="s">
        <v>413</v>
      </c>
      <c r="B25" s="583">
        <f>(R15*(1+B48)/(B47-B48))*R19</f>
        <v>36494.610666959226</v>
      </c>
      <c r="C25" s="585"/>
      <c r="D25" s="586"/>
      <c r="E25" s="587">
        <f>B25/R10</f>
        <v>6.7229334963493486</v>
      </c>
      <c r="F25" s="588"/>
      <c r="G25" s="588"/>
      <c r="H25" s="589"/>
      <c r="I25" s="513"/>
      <c r="J25" s="513"/>
      <c r="K25" s="582"/>
      <c r="L25" s="582"/>
      <c r="M25" s="582"/>
      <c r="N25" s="582"/>
      <c r="O25" s="582"/>
    </row>
    <row r="26" spans="1:18">
      <c r="A26" s="590" t="s">
        <v>414</v>
      </c>
      <c r="B26" s="591">
        <v>-200</v>
      </c>
      <c r="C26" s="592"/>
      <c r="D26" s="593"/>
      <c r="E26" s="577"/>
      <c r="F26" s="575"/>
      <c r="G26" s="575"/>
      <c r="H26" s="589"/>
      <c r="I26" s="513"/>
      <c r="J26" s="513"/>
      <c r="K26" s="582"/>
      <c r="L26" s="582"/>
      <c r="M26" s="582"/>
      <c r="N26" s="582"/>
      <c r="O26" s="582"/>
    </row>
    <row r="27" spans="1:18">
      <c r="A27" s="580" t="s">
        <v>415</v>
      </c>
      <c r="B27" s="594">
        <f>B25+B24+B26</f>
        <v>51895.54848159993</v>
      </c>
      <c r="C27" s="595">
        <f>C30-C29</f>
        <v>51067.588291301632</v>
      </c>
      <c r="D27" s="593"/>
      <c r="E27" s="577"/>
      <c r="G27" s="569"/>
      <c r="H27" s="589"/>
      <c r="I27" s="513"/>
      <c r="J27" s="513"/>
      <c r="K27" s="582"/>
      <c r="L27" s="582"/>
      <c r="M27" s="582"/>
      <c r="N27" s="582"/>
      <c r="O27" s="582"/>
    </row>
    <row r="28" spans="1:18">
      <c r="A28" s="515" t="s">
        <v>416</v>
      </c>
      <c r="B28" s="583">
        <f>B27/D28</f>
        <v>12239.516151320737</v>
      </c>
      <c r="C28" s="585"/>
      <c r="D28" s="596">
        <v>4.24</v>
      </c>
      <c r="E28" s="577" t="s">
        <v>542</v>
      </c>
      <c r="G28" s="575"/>
      <c r="H28" s="575"/>
      <c r="I28" s="513"/>
      <c r="J28" s="513"/>
      <c r="K28" s="582"/>
      <c r="L28" s="582"/>
      <c r="M28" s="582"/>
      <c r="N28" s="582"/>
      <c r="O28" s="582"/>
    </row>
    <row r="29" spans="1:18">
      <c r="A29" s="515" t="s">
        <v>797</v>
      </c>
      <c r="B29" s="583">
        <f>-'Balance Sheet and Cflow'!S135</f>
        <v>-8604.890687474779</v>
      </c>
      <c r="C29" s="592">
        <f>B29</f>
        <v>-8604.890687474779</v>
      </c>
      <c r="D29" s="593"/>
      <c r="E29" s="577"/>
      <c r="F29" s="575"/>
      <c r="G29" s="575"/>
      <c r="H29" s="575"/>
      <c r="I29" s="513"/>
      <c r="J29" s="513"/>
      <c r="K29" s="582"/>
      <c r="L29" s="582"/>
      <c r="M29" s="582"/>
      <c r="N29" s="582"/>
      <c r="O29" s="582"/>
    </row>
    <row r="30" spans="1:18">
      <c r="A30" s="573" t="s">
        <v>417</v>
      </c>
      <c r="B30" s="594">
        <f>B27+B29</f>
        <v>43290.657794125153</v>
      </c>
      <c r="C30" s="594">
        <f>C32*C31</f>
        <v>42462.697603826855</v>
      </c>
      <c r="D30" s="593"/>
      <c r="E30" s="577"/>
      <c r="F30" s="575"/>
      <c r="G30" s="575"/>
      <c r="H30" s="575"/>
      <c r="I30" s="513"/>
      <c r="J30" s="513"/>
      <c r="K30" s="582"/>
      <c r="L30" s="582"/>
      <c r="M30" s="582"/>
      <c r="N30" s="582"/>
      <c r="O30" s="582"/>
    </row>
    <row r="31" spans="1:18">
      <c r="A31" s="515" t="s">
        <v>789</v>
      </c>
      <c r="B31" s="597">
        <f>'Balance Sheet and Cflow'!S214</f>
        <v>7832</v>
      </c>
      <c r="C31" s="592">
        <f>B31</f>
        <v>7832</v>
      </c>
      <c r="D31" s="593"/>
      <c r="E31" s="577"/>
      <c r="F31" s="575"/>
      <c r="G31" s="575"/>
      <c r="H31" s="575"/>
      <c r="I31" s="513"/>
      <c r="J31" s="513"/>
      <c r="K31" s="582"/>
      <c r="L31" s="582"/>
      <c r="M31" s="582"/>
      <c r="N31" s="582"/>
      <c r="O31" s="582"/>
    </row>
    <row r="32" spans="1:18">
      <c r="A32" s="580"/>
      <c r="B32" s="598">
        <f>B30/B31</f>
        <v>5.527407787809647</v>
      </c>
      <c r="C32" s="599">
        <f>C34-C33</f>
        <v>5.4216927481903543</v>
      </c>
      <c r="D32" s="593"/>
      <c r="E32" s="577"/>
      <c r="F32" s="575"/>
      <c r="G32" s="575"/>
      <c r="H32" s="575"/>
      <c r="I32" s="513"/>
      <c r="J32" s="513"/>
      <c r="K32" s="582"/>
      <c r="L32" s="582"/>
      <c r="M32" s="582"/>
      <c r="N32" s="582"/>
      <c r="O32" s="582"/>
    </row>
    <row r="33" spans="1:15">
      <c r="A33" s="515" t="s">
        <v>796</v>
      </c>
      <c r="B33" s="600">
        <f>'Income Statement'!CE466</f>
        <v>0.17830725180964557</v>
      </c>
      <c r="C33" s="601">
        <f>B33</f>
        <v>0.17830725180964557</v>
      </c>
      <c r="D33" s="593"/>
      <c r="E33" s="577"/>
      <c r="F33" s="575"/>
      <c r="G33" s="575"/>
      <c r="H33" s="575"/>
      <c r="I33" s="513"/>
      <c r="J33" s="513"/>
      <c r="K33" s="582"/>
      <c r="L33" s="582"/>
      <c r="M33" s="582"/>
      <c r="N33" s="582"/>
      <c r="O33" s="582"/>
    </row>
    <row r="34" spans="1:15">
      <c r="A34" s="580" t="s">
        <v>635</v>
      </c>
      <c r="B34" s="602">
        <f>B32+B33</f>
        <v>5.7057150396192924</v>
      </c>
      <c r="C34" s="603">
        <v>5.6</v>
      </c>
      <c r="D34" s="593">
        <v>4.2</v>
      </c>
      <c r="E34" s="593"/>
      <c r="F34" s="593"/>
      <c r="G34" s="575"/>
      <c r="H34" s="575"/>
      <c r="I34" s="513"/>
      <c r="J34" s="513"/>
      <c r="K34" s="582"/>
      <c r="L34" s="582"/>
      <c r="M34" s="582"/>
      <c r="N34" s="582"/>
      <c r="O34" s="582"/>
    </row>
    <row r="35" spans="1:15">
      <c r="A35" s="515" t="s">
        <v>418</v>
      </c>
      <c r="B35" s="604">
        <v>3.65</v>
      </c>
      <c r="C35" s="593"/>
      <c r="D35" s="577"/>
      <c r="E35" s="575"/>
      <c r="F35" s="575"/>
      <c r="G35" s="575"/>
      <c r="H35" s="575"/>
      <c r="I35" s="513"/>
      <c r="J35" s="513"/>
      <c r="K35" s="582"/>
      <c r="L35" s="582"/>
      <c r="M35" s="582"/>
      <c r="N35" s="582"/>
      <c r="O35" s="582"/>
    </row>
    <row r="36" spans="1:15">
      <c r="A36" s="515" t="s">
        <v>419</v>
      </c>
      <c r="B36" s="575">
        <f>C34/B35-1</f>
        <v>0.53424657534246567</v>
      </c>
      <c r="C36" s="593"/>
      <c r="D36" s="577"/>
      <c r="E36" s="575"/>
      <c r="F36" s="575"/>
      <c r="G36" s="575"/>
      <c r="H36" s="575"/>
      <c r="I36" s="513"/>
      <c r="J36" s="513"/>
      <c r="K36" s="582"/>
      <c r="L36" s="582"/>
      <c r="M36" s="582"/>
      <c r="N36" s="582"/>
      <c r="O36" s="582"/>
    </row>
    <row r="37" spans="1:15">
      <c r="A37" s="580"/>
      <c r="B37" s="588"/>
      <c r="C37" s="588"/>
      <c r="D37" s="588"/>
      <c r="E37" s="588"/>
      <c r="F37" s="575"/>
      <c r="G37" s="575"/>
      <c r="H37" s="575"/>
      <c r="I37" s="513"/>
      <c r="J37" s="513"/>
      <c r="K37" s="582"/>
      <c r="L37" s="582"/>
      <c r="M37" s="582"/>
      <c r="N37" s="582"/>
      <c r="O37" s="582"/>
    </row>
    <row r="38" spans="1:15">
      <c r="A38" s="580"/>
      <c r="B38" s="569"/>
      <c r="C38" s="569"/>
      <c r="D38" s="569"/>
      <c r="E38" s="569"/>
      <c r="F38" s="575"/>
      <c r="G38" s="575"/>
      <c r="H38" s="575"/>
      <c r="I38" s="513"/>
      <c r="J38" s="513"/>
      <c r="K38" s="582"/>
      <c r="L38" s="582"/>
      <c r="M38" s="582"/>
      <c r="N38" s="582"/>
      <c r="O38" s="582"/>
    </row>
    <row r="39" spans="1:15">
      <c r="A39" s="623" t="s">
        <v>251</v>
      </c>
      <c r="B39" s="577"/>
      <c r="C39" s="577"/>
      <c r="D39" s="577"/>
      <c r="E39" s="577"/>
      <c r="F39" s="577"/>
      <c r="G39" s="577"/>
      <c r="H39" s="513"/>
      <c r="I39" s="513"/>
      <c r="J39" s="513"/>
      <c r="K39" s="582"/>
      <c r="L39" s="582"/>
      <c r="M39" s="582"/>
      <c r="N39" s="582"/>
      <c r="O39" s="582"/>
    </row>
    <row r="40" spans="1:15">
      <c r="A40" s="605" t="s">
        <v>422</v>
      </c>
      <c r="B40" s="606">
        <v>3.9E-2</v>
      </c>
      <c r="C40" s="577"/>
      <c r="D40" s="577"/>
      <c r="E40" s="577"/>
      <c r="F40" s="577"/>
      <c r="G40" s="577"/>
      <c r="H40" s="513"/>
      <c r="I40" s="513"/>
      <c r="J40" s="513"/>
      <c r="K40" s="582"/>
      <c r="L40" s="582"/>
      <c r="M40" s="582"/>
      <c r="N40" s="582"/>
      <c r="O40" s="582"/>
    </row>
    <row r="41" spans="1:15">
      <c r="A41" s="607" t="s">
        <v>423</v>
      </c>
      <c r="B41" s="608">
        <v>0.25</v>
      </c>
      <c r="C41" s="577"/>
      <c r="D41" s="577"/>
      <c r="E41" s="577"/>
      <c r="F41" s="577"/>
      <c r="G41" s="577"/>
      <c r="H41" s="513"/>
      <c r="I41" s="513"/>
      <c r="J41" s="513"/>
      <c r="K41" s="582"/>
      <c r="L41" s="582"/>
      <c r="M41" s="582"/>
      <c r="N41" s="582"/>
      <c r="O41" s="582"/>
    </row>
    <row r="42" spans="1:15">
      <c r="A42" s="607" t="s">
        <v>424</v>
      </c>
      <c r="B42" s="608">
        <v>0.04</v>
      </c>
      <c r="C42" s="577"/>
      <c r="D42" s="577"/>
      <c r="E42" s="577"/>
      <c r="F42" s="577"/>
      <c r="G42" s="577"/>
      <c r="H42" s="513"/>
      <c r="I42" s="513"/>
      <c r="J42" s="513"/>
      <c r="K42" s="582"/>
      <c r="L42" s="582"/>
      <c r="M42" s="582"/>
      <c r="N42" s="582"/>
      <c r="O42" s="582"/>
    </row>
    <row r="43" spans="1:15">
      <c r="A43" s="607" t="s">
        <v>425</v>
      </c>
      <c r="B43" s="608">
        <v>0.03</v>
      </c>
      <c r="C43" s="577"/>
      <c r="D43" s="577"/>
      <c r="E43" s="577"/>
      <c r="F43" s="577"/>
      <c r="G43" s="577"/>
      <c r="H43" s="513"/>
      <c r="I43" s="513"/>
      <c r="J43" s="513"/>
      <c r="K43" s="582"/>
      <c r="L43" s="582"/>
      <c r="M43" s="582"/>
      <c r="N43" s="582"/>
      <c r="O43" s="582"/>
    </row>
    <row r="44" spans="1:15">
      <c r="A44" s="607" t="s">
        <v>426</v>
      </c>
      <c r="B44" s="609">
        <f>B40+B42</f>
        <v>7.9000000000000001E-2</v>
      </c>
      <c r="C44" s="577"/>
      <c r="D44" s="577"/>
      <c r="E44" s="577"/>
      <c r="F44" s="577"/>
      <c r="G44" s="577"/>
      <c r="H44" s="513"/>
      <c r="I44" s="513"/>
      <c r="J44" s="513"/>
      <c r="K44" s="582"/>
      <c r="L44" s="582"/>
      <c r="M44" s="582"/>
      <c r="N44" s="582"/>
      <c r="O44" s="582"/>
    </row>
    <row r="45" spans="1:15">
      <c r="A45" s="607" t="s">
        <v>427</v>
      </c>
      <c r="B45" s="609">
        <f>(B40+B43)*(1-B41)</f>
        <v>5.1750000000000004E-2</v>
      </c>
      <c r="C45" s="577"/>
      <c r="D45" s="577"/>
      <c r="E45" s="577"/>
      <c r="F45" s="577"/>
      <c r="G45" s="577"/>
      <c r="H45" s="513"/>
      <c r="I45" s="513"/>
      <c r="J45" s="513"/>
      <c r="K45" s="582"/>
      <c r="L45" s="582"/>
      <c r="M45" s="582"/>
      <c r="N45" s="582"/>
      <c r="O45" s="582"/>
    </row>
    <row r="46" spans="1:15">
      <c r="A46" s="607" t="s">
        <v>428</v>
      </c>
      <c r="B46" s="608">
        <v>0.3</v>
      </c>
      <c r="C46" s="577"/>
      <c r="D46" s="577"/>
      <c r="E46" s="577"/>
      <c r="F46" s="577"/>
      <c r="G46" s="577"/>
      <c r="H46" s="513"/>
      <c r="I46" s="513"/>
      <c r="J46" s="513"/>
      <c r="K46" s="582"/>
      <c r="L46" s="582"/>
      <c r="M46" s="582"/>
      <c r="N46" s="582"/>
      <c r="O46" s="582"/>
    </row>
    <row r="47" spans="1:15">
      <c r="A47" s="610" t="s">
        <v>251</v>
      </c>
      <c r="B47" s="611">
        <f>(B46*B45)+((1-B46)*B44)</f>
        <v>7.0824999999999999E-2</v>
      </c>
      <c r="C47" s="593"/>
      <c r="D47" s="593"/>
      <c r="E47" s="593"/>
      <c r="F47" s="593"/>
      <c r="G47" s="577"/>
      <c r="H47" s="513"/>
      <c r="I47" s="513"/>
      <c r="J47" s="513"/>
      <c r="K47" s="582"/>
      <c r="L47" s="582"/>
      <c r="M47" s="582"/>
      <c r="N47" s="582"/>
      <c r="O47" s="582"/>
    </row>
    <row r="48" spans="1:15">
      <c r="A48" s="612" t="s">
        <v>429</v>
      </c>
      <c r="B48" s="613">
        <v>2.5000000000000001E-2</v>
      </c>
      <c r="C48" s="577"/>
      <c r="D48" s="577"/>
      <c r="E48" s="577"/>
      <c r="F48" s="577"/>
      <c r="G48" s="577"/>
      <c r="H48" s="513"/>
      <c r="I48" s="513"/>
      <c r="J48" s="513"/>
      <c r="K48" s="582"/>
      <c r="L48" s="582"/>
      <c r="M48" s="582"/>
      <c r="N48" s="582"/>
      <c r="O48" s="582"/>
    </row>
    <row r="49" spans="1:18">
      <c r="A49" s="582"/>
      <c r="B49" s="582"/>
      <c r="C49" s="582"/>
      <c r="D49" s="582"/>
      <c r="E49" s="582"/>
      <c r="F49" s="582"/>
      <c r="G49" s="582"/>
      <c r="H49" s="582"/>
      <c r="I49" s="582"/>
      <c r="J49" s="582"/>
      <c r="K49" s="582"/>
      <c r="L49" s="582"/>
      <c r="M49" s="582"/>
      <c r="N49" s="582"/>
      <c r="O49" s="582"/>
    </row>
    <row r="50" spans="1:18">
      <c r="A50" s="582"/>
      <c r="B50" s="582"/>
      <c r="C50" s="582"/>
      <c r="D50" s="582"/>
      <c r="E50" s="582"/>
      <c r="F50" s="582"/>
      <c r="G50" s="582"/>
      <c r="H50" s="582"/>
      <c r="I50" s="582"/>
      <c r="J50" s="582"/>
      <c r="K50" s="582"/>
      <c r="L50" s="582"/>
      <c r="M50" s="582"/>
      <c r="N50" s="582"/>
      <c r="O50" s="582"/>
    </row>
    <row r="51" spans="1:18">
      <c r="A51" s="582"/>
      <c r="B51" s="582"/>
      <c r="C51" s="582"/>
      <c r="D51" s="582"/>
      <c r="E51" s="582"/>
      <c r="F51" s="582"/>
      <c r="G51" s="582"/>
      <c r="H51" s="582"/>
      <c r="I51" s="582"/>
      <c r="J51" s="582"/>
      <c r="K51" s="582"/>
      <c r="L51" s="582"/>
      <c r="M51" s="582"/>
      <c r="N51" s="582"/>
      <c r="O51" s="582"/>
    </row>
    <row r="52" spans="1:18">
      <c r="A52" s="626" t="s">
        <v>607</v>
      </c>
      <c r="B52" s="627">
        <v>2016</v>
      </c>
      <c r="C52" s="627">
        <f>B52+1</f>
        <v>2017</v>
      </c>
      <c r="D52" s="627">
        <f t="shared" ref="D52:N52" si="35">C52+1</f>
        <v>2018</v>
      </c>
      <c r="E52" s="627">
        <f t="shared" si="35"/>
        <v>2019</v>
      </c>
      <c r="F52" s="627">
        <f t="shared" si="35"/>
        <v>2020</v>
      </c>
      <c r="G52" s="627">
        <f t="shared" si="35"/>
        <v>2021</v>
      </c>
      <c r="H52" s="627">
        <f t="shared" si="35"/>
        <v>2022</v>
      </c>
      <c r="I52" s="627">
        <f t="shared" si="35"/>
        <v>2023</v>
      </c>
      <c r="J52" s="627">
        <f t="shared" si="35"/>
        <v>2024</v>
      </c>
      <c r="K52" s="627">
        <f t="shared" si="35"/>
        <v>2025</v>
      </c>
      <c r="L52" s="627">
        <f t="shared" si="35"/>
        <v>2026</v>
      </c>
      <c r="M52" s="627">
        <f t="shared" si="35"/>
        <v>2027</v>
      </c>
      <c r="N52" s="627">
        <f t="shared" si="35"/>
        <v>2028</v>
      </c>
      <c r="O52" s="627">
        <f t="shared" ref="O52" si="36">N52+1</f>
        <v>2029</v>
      </c>
      <c r="P52" s="627">
        <f t="shared" ref="P52" si="37">O52+1</f>
        <v>2030</v>
      </c>
      <c r="Q52" s="627">
        <f t="shared" ref="Q52" si="38">P52+1</f>
        <v>2031</v>
      </c>
      <c r="R52" s="627">
        <f t="shared" ref="R52" si="39">Q52+1</f>
        <v>2032</v>
      </c>
    </row>
    <row r="53" spans="1:18">
      <c r="A53" s="582" t="s">
        <v>405</v>
      </c>
      <c r="B53" s="614">
        <v>7750</v>
      </c>
      <c r="C53" s="615">
        <f>'Balance Sheet and Cflow'!L214</f>
        <v>7800</v>
      </c>
      <c r="D53" s="615">
        <f>'Balance Sheet and Cflow'!M214</f>
        <v>7810</v>
      </c>
      <c r="E53" s="615">
        <f>'Balance Sheet and Cflow'!N214</f>
        <v>7820</v>
      </c>
      <c r="F53" s="615">
        <f>'Balance Sheet and Cflow'!O214</f>
        <v>7825</v>
      </c>
      <c r="G53" s="615">
        <f>'Balance Sheet and Cflow'!P214</f>
        <v>7825</v>
      </c>
      <c r="H53" s="615">
        <f>'Balance Sheet and Cflow'!Q214</f>
        <v>7828</v>
      </c>
      <c r="I53" s="615">
        <f>'Balance Sheet and Cflow'!R214</f>
        <v>7832</v>
      </c>
      <c r="J53" s="615">
        <f>'Balance Sheet and Cflow'!S214</f>
        <v>7832</v>
      </c>
      <c r="K53" s="615">
        <f>'Balance Sheet and Cflow'!T214</f>
        <v>7832</v>
      </c>
      <c r="L53" s="615">
        <f>'Balance Sheet and Cflow'!U214</f>
        <v>7832</v>
      </c>
      <c r="M53" s="615">
        <f>'Balance Sheet and Cflow'!V214</f>
        <v>7832</v>
      </c>
      <c r="N53" s="615">
        <f>'Balance Sheet and Cflow'!W214</f>
        <v>7832</v>
      </c>
      <c r="O53" s="615">
        <f>'Balance Sheet and Cflow'!X214</f>
        <v>7832</v>
      </c>
      <c r="P53" s="615">
        <f>'Balance Sheet and Cflow'!Y214</f>
        <v>7832</v>
      </c>
      <c r="Q53" s="615">
        <f>'Balance Sheet and Cflow'!Z214</f>
        <v>7832</v>
      </c>
      <c r="R53" s="615">
        <f>'Balance Sheet and Cflow'!AA214</f>
        <v>7832</v>
      </c>
    </row>
    <row r="54" spans="1:18">
      <c r="A54" s="582" t="s">
        <v>406</v>
      </c>
      <c r="B54" s="616">
        <f>B35</f>
        <v>3.65</v>
      </c>
      <c r="C54" s="616">
        <f>B54</f>
        <v>3.65</v>
      </c>
      <c r="D54" s="616">
        <f t="shared" ref="D54:N54" si="40">C54</f>
        <v>3.65</v>
      </c>
      <c r="E54" s="616">
        <f t="shared" si="40"/>
        <v>3.65</v>
      </c>
      <c r="F54" s="616">
        <f t="shared" si="40"/>
        <v>3.65</v>
      </c>
      <c r="G54" s="616">
        <f t="shared" si="40"/>
        <v>3.65</v>
      </c>
      <c r="H54" s="616">
        <f t="shared" si="40"/>
        <v>3.65</v>
      </c>
      <c r="I54" s="616">
        <f t="shared" si="40"/>
        <v>3.65</v>
      </c>
      <c r="J54" s="616">
        <f t="shared" si="40"/>
        <v>3.65</v>
      </c>
      <c r="K54" s="616">
        <f t="shared" si="40"/>
        <v>3.65</v>
      </c>
      <c r="L54" s="616">
        <f t="shared" si="40"/>
        <v>3.65</v>
      </c>
      <c r="M54" s="616">
        <f t="shared" si="40"/>
        <v>3.65</v>
      </c>
      <c r="N54" s="616">
        <f t="shared" si="40"/>
        <v>3.65</v>
      </c>
      <c r="O54" s="616">
        <f t="shared" ref="O54" si="41">N54</f>
        <v>3.65</v>
      </c>
      <c r="P54" s="616">
        <f t="shared" ref="P54" si="42">O54</f>
        <v>3.65</v>
      </c>
      <c r="Q54" s="616">
        <f t="shared" ref="Q54" si="43">P54</f>
        <v>3.65</v>
      </c>
      <c r="R54" s="616">
        <f t="shared" ref="R54" si="44">Q54</f>
        <v>3.65</v>
      </c>
    </row>
    <row r="55" spans="1:18">
      <c r="A55" s="617" t="s">
        <v>430</v>
      </c>
      <c r="B55" s="618">
        <f t="shared" ref="B55:H55" si="45">B53*B54</f>
        <v>28287.5</v>
      </c>
      <c r="C55" s="618">
        <f t="shared" si="45"/>
        <v>28470</v>
      </c>
      <c r="D55" s="618">
        <f t="shared" si="45"/>
        <v>28506.5</v>
      </c>
      <c r="E55" s="618">
        <f t="shared" si="45"/>
        <v>28543</v>
      </c>
      <c r="F55" s="618">
        <f t="shared" si="45"/>
        <v>28561.25</v>
      </c>
      <c r="G55" s="618">
        <f t="shared" si="45"/>
        <v>28561.25</v>
      </c>
      <c r="H55" s="618">
        <f t="shared" si="45"/>
        <v>28572.2</v>
      </c>
      <c r="I55" s="618">
        <f t="shared" ref="I55:N55" si="46">I53*I54</f>
        <v>28586.799999999999</v>
      </c>
      <c r="J55" s="618">
        <f t="shared" si="46"/>
        <v>28586.799999999999</v>
      </c>
      <c r="K55" s="618">
        <f t="shared" si="46"/>
        <v>28586.799999999999</v>
      </c>
      <c r="L55" s="618">
        <f t="shared" si="46"/>
        <v>28586.799999999999</v>
      </c>
      <c r="M55" s="618">
        <f t="shared" si="46"/>
        <v>28586.799999999999</v>
      </c>
      <c r="N55" s="618">
        <f t="shared" si="46"/>
        <v>28586.799999999999</v>
      </c>
      <c r="O55" s="618">
        <f t="shared" ref="O55:R55" si="47">O53*O54</f>
        <v>28586.799999999999</v>
      </c>
      <c r="P55" s="618">
        <f t="shared" si="47"/>
        <v>28586.799999999999</v>
      </c>
      <c r="Q55" s="618">
        <f t="shared" si="47"/>
        <v>28586.799999999999</v>
      </c>
      <c r="R55" s="618">
        <f t="shared" si="47"/>
        <v>28586.799999999999</v>
      </c>
    </row>
    <row r="56" spans="1:18">
      <c r="A56" s="582" t="s">
        <v>431</v>
      </c>
      <c r="B56" s="582"/>
      <c r="C56" s="619">
        <v>0</v>
      </c>
      <c r="D56" s="619">
        <v>0</v>
      </c>
      <c r="E56" s="619">
        <v>0</v>
      </c>
      <c r="F56" s="619">
        <v>0</v>
      </c>
      <c r="G56" s="619">
        <v>0</v>
      </c>
      <c r="H56" s="619">
        <v>0</v>
      </c>
      <c r="I56" s="619">
        <v>0</v>
      </c>
      <c r="J56" s="619">
        <v>0</v>
      </c>
      <c r="K56" s="615">
        <f>J56+'Balance Sheet and Cflow'!T61</f>
        <v>-1574.3410637688767</v>
      </c>
      <c r="L56" s="615">
        <f>K56+'Balance Sheet and Cflow'!U61</f>
        <v>-3310.2948739867802</v>
      </c>
      <c r="M56" s="615">
        <f>L56+'Balance Sheet and Cflow'!V61</f>
        <v>-5198.2444764902812</v>
      </c>
      <c r="N56" s="615">
        <f>M56+'Balance Sheet and Cflow'!W61</f>
        <v>-7231.9823051299545</v>
      </c>
      <c r="O56" s="615">
        <f>N56+'Balance Sheet and Cflow'!X61</f>
        <v>-9400.1790488565857</v>
      </c>
      <c r="P56" s="615">
        <f>O56+'Balance Sheet and Cflow'!Y61</f>
        <v>-11694.751109755276</v>
      </c>
      <c r="Q56" s="615">
        <f>P56+'Balance Sheet and Cflow'!Z61</f>
        <v>-14110.152091356773</v>
      </c>
      <c r="R56" s="615">
        <f>Q56+'Balance Sheet and Cflow'!AA61</f>
        <v>-16642.732164323141</v>
      </c>
    </row>
    <row r="57" spans="1:18">
      <c r="A57" s="582" t="s">
        <v>150</v>
      </c>
      <c r="B57" s="615">
        <f>'Balance Sheet and Cflow'!K66</f>
        <v>9182.1881259346228</v>
      </c>
      <c r="C57" s="615">
        <f>'Balance Sheet and Cflow'!L66</f>
        <v>7044.1881259346228</v>
      </c>
      <c r="D57" s="615">
        <f>'Balance Sheet and Cflow'!M66</f>
        <v>7079.7609999999995</v>
      </c>
      <c r="E57" s="615">
        <f>'Balance Sheet and Cflow'!N66</f>
        <v>8365</v>
      </c>
      <c r="F57" s="615">
        <f>'Balance Sheet and Cflow'!O66</f>
        <v>9028</v>
      </c>
      <c r="G57" s="615">
        <f>'Balance Sheet and Cflow'!P66</f>
        <v>8899</v>
      </c>
      <c r="H57" s="615">
        <f>'Balance Sheet and Cflow'!Q66</f>
        <v>9237</v>
      </c>
      <c r="I57" s="615">
        <f>'Balance Sheet and Cflow'!R66</f>
        <v>9203</v>
      </c>
      <c r="J57" s="615">
        <f>'Balance Sheet and Cflow'!S66</f>
        <v>8604.890687474779</v>
      </c>
      <c r="K57" s="615">
        <f>'Balance Sheet and Cflow'!T66</f>
        <v>8152.3738875259796</v>
      </c>
      <c r="L57" s="615">
        <f>'Balance Sheet and Cflow'!U66</f>
        <v>7783.577819341338</v>
      </c>
      <c r="M57" s="615">
        <f>'Balance Sheet and Cflow'!V66</f>
        <v>7480.1534197715027</v>
      </c>
      <c r="N57" s="615">
        <f>'Balance Sheet and Cflow'!W66</f>
        <v>7229.2509489681961</v>
      </c>
      <c r="O57" s="615">
        <f>'Balance Sheet and Cflow'!X66</f>
        <v>7021.9245199056213</v>
      </c>
      <c r="P57" s="615">
        <f>'Balance Sheet and Cflow'!Y66</f>
        <v>6848.0538679851688</v>
      </c>
      <c r="Q57" s="615">
        <f>'Balance Sheet and Cflow'!Z66</f>
        <v>6700.2350268326227</v>
      </c>
      <c r="R57" s="615">
        <f>'Balance Sheet and Cflow'!AA66</f>
        <v>6707.0519303798128</v>
      </c>
    </row>
    <row r="58" spans="1:18">
      <c r="A58" s="620" t="s">
        <v>252</v>
      </c>
      <c r="B58" s="621">
        <f>B55+B56+B57</f>
        <v>37469.688125934626</v>
      </c>
      <c r="C58" s="621">
        <f t="shared" ref="C58:H58" si="48">C55+C56+C57</f>
        <v>35514.188125934626</v>
      </c>
      <c r="D58" s="621">
        <f t="shared" si="48"/>
        <v>35586.260999999999</v>
      </c>
      <c r="E58" s="621">
        <f t="shared" si="48"/>
        <v>36908</v>
      </c>
      <c r="F58" s="621">
        <f t="shared" si="48"/>
        <v>37589.25</v>
      </c>
      <c r="G58" s="621">
        <f t="shared" si="48"/>
        <v>37460.25</v>
      </c>
      <c r="H58" s="621">
        <f t="shared" si="48"/>
        <v>37809.199999999997</v>
      </c>
      <c r="I58" s="621">
        <f t="shared" ref="I58:N58" si="49">I55+I56+I57</f>
        <v>37789.800000000003</v>
      </c>
      <c r="J58" s="621">
        <f t="shared" si="49"/>
        <v>37191.69068747478</v>
      </c>
      <c r="K58" s="621">
        <f t="shared" si="49"/>
        <v>35164.832823757104</v>
      </c>
      <c r="L58" s="621">
        <f t="shared" si="49"/>
        <v>33060.082945354559</v>
      </c>
      <c r="M58" s="621">
        <f t="shared" si="49"/>
        <v>30868.708943281221</v>
      </c>
      <c r="N58" s="621">
        <f t="shared" si="49"/>
        <v>28584.06864383824</v>
      </c>
      <c r="O58" s="621">
        <f t="shared" ref="O58:R58" si="50">O55+O56+O57</f>
        <v>26208.545471049034</v>
      </c>
      <c r="P58" s="621">
        <f t="shared" si="50"/>
        <v>23740.102758229892</v>
      </c>
      <c r="Q58" s="621">
        <f t="shared" si="50"/>
        <v>21176.882935475849</v>
      </c>
      <c r="R58" s="621">
        <f t="shared" si="50"/>
        <v>18651.119766056672</v>
      </c>
    </row>
    <row r="59" spans="1:18">
      <c r="A59" s="582"/>
      <c r="B59" s="582"/>
      <c r="C59" s="582"/>
      <c r="D59" s="582"/>
      <c r="E59" s="582"/>
      <c r="F59" s="582"/>
      <c r="G59" s="582"/>
      <c r="H59" s="582"/>
      <c r="I59" s="582"/>
      <c r="J59" s="582"/>
      <c r="K59" s="582"/>
      <c r="L59" s="582"/>
      <c r="M59" s="582"/>
      <c r="N59" s="582"/>
      <c r="O59" s="582"/>
      <c r="P59" s="582"/>
      <c r="Q59" s="582"/>
      <c r="R59" s="582"/>
    </row>
    <row r="60" spans="1:18">
      <c r="A60" s="514" t="s">
        <v>792</v>
      </c>
      <c r="B60" s="582"/>
      <c r="C60" s="582"/>
      <c r="D60" s="582"/>
      <c r="E60" s="582"/>
      <c r="F60" s="582"/>
      <c r="G60" s="582"/>
      <c r="H60" s="582"/>
      <c r="I60" s="582"/>
      <c r="J60" s="582"/>
      <c r="K60" s="582"/>
      <c r="L60" s="582"/>
      <c r="M60" s="582"/>
      <c r="N60" s="582"/>
      <c r="O60" s="582"/>
      <c r="P60" s="582"/>
      <c r="Q60" s="582"/>
      <c r="R60" s="582"/>
    </row>
    <row r="61" spans="1:18">
      <c r="A61" s="515" t="s">
        <v>420</v>
      </c>
      <c r="B61" s="588">
        <f t="shared" ref="B61:N61" si="51">B58/B10</f>
        <v>8.3228982954097344</v>
      </c>
      <c r="C61" s="588">
        <f t="shared" si="51"/>
        <v>8.465837455526728</v>
      </c>
      <c r="D61" s="588">
        <f t="shared" si="51"/>
        <v>9.2600210772833726</v>
      </c>
      <c r="E61" s="588">
        <f t="shared" si="51"/>
        <v>9.4009169638308716</v>
      </c>
      <c r="F61" s="588">
        <f t="shared" si="51"/>
        <v>9.8555977975878335</v>
      </c>
      <c r="G61" s="588">
        <f t="shared" si="51"/>
        <v>9.664667182662539</v>
      </c>
      <c r="H61" s="588">
        <f t="shared" si="51"/>
        <v>9.6231102061593266</v>
      </c>
      <c r="I61" s="588">
        <f t="shared" si="51"/>
        <v>9.542878787878788</v>
      </c>
      <c r="J61" s="588">
        <f t="shared" si="51"/>
        <v>8.9166091706740129</v>
      </c>
      <c r="K61" s="588">
        <f t="shared" si="51"/>
        <v>8.1844654726344537</v>
      </c>
      <c r="L61" s="588">
        <f t="shared" si="51"/>
        <v>7.4520169084050032</v>
      </c>
      <c r="M61" s="588">
        <f t="shared" si="51"/>
        <v>6.7256856051113907</v>
      </c>
      <c r="N61" s="588">
        <f t="shared" si="51"/>
        <v>6.0112255838880095</v>
      </c>
      <c r="O61" s="588">
        <f t="shared" ref="O61:R61" si="52">O58/O10</f>
        <v>5.3254378899329078</v>
      </c>
      <c r="P61" s="588">
        <f t="shared" si="52"/>
        <v>4.6651556365592954</v>
      </c>
      <c r="Q61" s="588">
        <f t="shared" si="52"/>
        <v>4.0277811189634836</v>
      </c>
      <c r="R61" s="588">
        <f t="shared" si="52"/>
        <v>3.435856295712429</v>
      </c>
    </row>
    <row r="62" spans="1:18">
      <c r="A62" s="515" t="s">
        <v>421</v>
      </c>
      <c r="B62" s="622">
        <f t="shared" ref="B62:N62" si="53">B15/B58</f>
        <v>4.0005670582629375E-2</v>
      </c>
      <c r="C62" s="622">
        <f t="shared" si="53"/>
        <v>6.026464669305108E-2</v>
      </c>
      <c r="D62" s="622">
        <f t="shared" si="53"/>
        <v>4.8494277046976078E-2</v>
      </c>
      <c r="E62" s="622">
        <f t="shared" si="53"/>
        <v>5.6844044651566054E-2</v>
      </c>
      <c r="F62" s="622">
        <f t="shared" si="53"/>
        <v>2.4165153601096057E-2</v>
      </c>
      <c r="G62" s="622">
        <f t="shared" si="53"/>
        <v>6.6750755801149211E-2</v>
      </c>
      <c r="H62" s="622">
        <f t="shared" si="53"/>
        <v>4.5008886725982036E-2</v>
      </c>
      <c r="I62" s="622">
        <f t="shared" si="53"/>
        <v>7.079952791494E-2</v>
      </c>
      <c r="J62" s="622">
        <f t="shared" si="53"/>
        <v>6.4325212690029457E-2</v>
      </c>
      <c r="K62" s="622">
        <f t="shared" si="53"/>
        <v>6.8285828473984789E-2</v>
      </c>
      <c r="L62" s="622">
        <f t="shared" si="53"/>
        <v>7.4443544395942446E-2</v>
      </c>
      <c r="M62" s="622">
        <f t="shared" si="53"/>
        <v>8.2050092286713824E-2</v>
      </c>
      <c r="N62" s="622">
        <f t="shared" si="53"/>
        <v>9.1432571240445654E-2</v>
      </c>
      <c r="O62" s="622">
        <f t="shared" ref="O62:R62" si="54">O15/O58</f>
        <v>0.10278401543974697</v>
      </c>
      <c r="P62" s="622">
        <f t="shared" si="54"/>
        <v>0.11700809580132973</v>
      </c>
      <c r="Q62" s="622">
        <f t="shared" si="54"/>
        <v>0.13528248775313967</v>
      </c>
      <c r="R62" s="622">
        <f t="shared" si="54"/>
        <v>0.15123435111767747</v>
      </c>
    </row>
    <row r="63" spans="1:18">
      <c r="A63" s="515" t="s">
        <v>791</v>
      </c>
      <c r="B63" s="569">
        <f>$B35/'Income Statement'!AU463</f>
        <v>13.888888888888889</v>
      </c>
      <c r="C63" s="569">
        <f>$B35/'Income Statement'!AZ463</f>
        <v>13.857957302280447</v>
      </c>
      <c r="D63" s="569">
        <f>$B35/'Income Statement'!BE463</f>
        <v>15.509915014164305</v>
      </c>
      <c r="E63" s="569">
        <f>$B35/'Income Statement'!BJ463</f>
        <v>19.117883456128599</v>
      </c>
      <c r="F63" s="569">
        <f>$B35/'Income Statement'!BO463</f>
        <v>20.713352685050801</v>
      </c>
      <c r="G63" s="569">
        <f>$B35/'Income Statement'!BT463</f>
        <v>21.821865443425075</v>
      </c>
      <c r="H63" s="569">
        <f>$B35/'Income Statement'!BY463</f>
        <v>24.803210795656938</v>
      </c>
      <c r="I63" s="569">
        <f>$B35/'Income Statement'!CD463</f>
        <v>28.773185483870968</v>
      </c>
      <c r="J63" s="569">
        <f>$B35/'Income Statement'!CE463</f>
        <v>20.060877859407967</v>
      </c>
      <c r="K63" s="569">
        <f>$B35/'Income Statement'!CF463</f>
        <v>17.794787066617982</v>
      </c>
      <c r="L63" s="569">
        <f>$B35/'Income Statement'!CG463</f>
        <v>16.138139065165245</v>
      </c>
      <c r="M63" s="569">
        <f>$B35/'Income Statement'!CH463</f>
        <v>14.838883391193724</v>
      </c>
      <c r="N63" s="569">
        <f>$B35/'Income Statement'!CI463</f>
        <v>13.77516000611481</v>
      </c>
      <c r="O63" s="569">
        <f>$B35/'Income Statement'!CJ463</f>
        <v>12.9209049322012</v>
      </c>
      <c r="P63" s="569">
        <f>$B35/'Income Statement'!CK463</f>
        <v>12.209276177200397</v>
      </c>
      <c r="Q63" s="569">
        <f>$B35/'Income Statement'!CL463</f>
        <v>11.598514786321322</v>
      </c>
      <c r="R63" s="569">
        <f>$B35/'Income Statement'!CM463</f>
        <v>11.061867026058691</v>
      </c>
    </row>
    <row r="64" spans="1:18">
      <c r="A64" s="582"/>
      <c r="B64" s="582"/>
      <c r="C64" s="582"/>
      <c r="D64" s="582"/>
      <c r="E64" s="582"/>
      <c r="F64" s="582"/>
      <c r="G64" s="582"/>
      <c r="H64" s="582"/>
      <c r="I64" s="582"/>
      <c r="J64" s="582"/>
      <c r="K64" s="582"/>
      <c r="L64" s="582"/>
      <c r="M64" s="582"/>
      <c r="N64" s="582"/>
      <c r="O64" s="582"/>
    </row>
    <row r="65" spans="1:15">
      <c r="A65" s="514"/>
      <c r="B65" s="582"/>
      <c r="C65" s="582"/>
      <c r="D65" s="582"/>
      <c r="E65" s="582"/>
      <c r="F65" s="582"/>
      <c r="G65" s="582"/>
      <c r="H65" s="582"/>
      <c r="I65" s="582"/>
      <c r="J65" s="582"/>
      <c r="K65" s="582"/>
      <c r="L65" s="582"/>
      <c r="M65" s="582"/>
      <c r="N65" s="582"/>
      <c r="O65" s="582"/>
    </row>
    <row r="66" spans="1:15">
      <c r="A66" s="515"/>
      <c r="B66" s="582"/>
      <c r="C66" s="582"/>
      <c r="D66" s="582"/>
      <c r="E66" s="582"/>
      <c r="F66" s="582"/>
      <c r="G66" s="582"/>
      <c r="H66" s="582"/>
      <c r="I66" s="582"/>
      <c r="J66" s="582"/>
      <c r="K66" s="582"/>
      <c r="L66" s="582"/>
      <c r="M66" s="582"/>
      <c r="N66" s="582"/>
      <c r="O66" s="582"/>
    </row>
    <row r="67" spans="1:15">
      <c r="A67" s="515"/>
      <c r="B67" s="582"/>
      <c r="C67" s="582"/>
      <c r="D67" s="582"/>
      <c r="E67" s="582"/>
      <c r="F67" s="582"/>
      <c r="G67" s="582"/>
      <c r="H67" s="582"/>
      <c r="I67" s="582"/>
      <c r="J67" s="582"/>
      <c r="K67" s="582"/>
      <c r="L67" s="582"/>
      <c r="M67" s="582"/>
      <c r="N67" s="582"/>
      <c r="O67" s="582"/>
    </row>
    <row r="68" spans="1:15">
      <c r="A68" s="515"/>
      <c r="B68" s="582"/>
      <c r="C68" s="582"/>
      <c r="D68" s="582"/>
      <c r="E68" s="582"/>
      <c r="F68" s="582"/>
      <c r="G68" s="582"/>
      <c r="H68" s="582"/>
      <c r="I68" s="582"/>
      <c r="J68" s="582"/>
      <c r="K68" s="582"/>
      <c r="L68" s="582"/>
      <c r="M68" s="582"/>
      <c r="N68" s="582"/>
      <c r="O68" s="582"/>
    </row>
    <row r="69" spans="1:15">
      <c r="A69" s="515"/>
      <c r="B69" s="582"/>
      <c r="C69" s="582"/>
      <c r="D69" s="582"/>
      <c r="E69" s="582"/>
      <c r="F69" s="582"/>
      <c r="G69" s="582"/>
      <c r="H69" s="582"/>
      <c r="I69" s="582"/>
      <c r="J69" s="582"/>
      <c r="K69" s="582"/>
      <c r="L69" s="582"/>
      <c r="M69" s="582"/>
      <c r="N69" s="582"/>
      <c r="O69" s="582"/>
    </row>
    <row r="70" spans="1:15">
      <c r="A70" s="582"/>
      <c r="B70" s="582"/>
      <c r="C70" s="582"/>
      <c r="D70" s="582"/>
      <c r="E70" s="582"/>
      <c r="F70" s="582"/>
      <c r="G70" s="582"/>
      <c r="H70" s="582"/>
      <c r="I70" s="582"/>
      <c r="J70" s="582"/>
      <c r="K70" s="582"/>
      <c r="L70" s="582"/>
      <c r="M70" s="582"/>
      <c r="N70" s="582"/>
      <c r="O70" s="582"/>
    </row>
    <row r="71" spans="1:15">
      <c r="A71" s="582"/>
      <c r="B71" s="582"/>
      <c r="C71" s="582"/>
      <c r="D71" s="582"/>
      <c r="E71" s="582"/>
      <c r="F71" s="582"/>
      <c r="G71" s="582"/>
      <c r="H71" s="582"/>
      <c r="I71" s="582"/>
      <c r="J71" s="582"/>
      <c r="K71" s="582"/>
      <c r="L71" s="582"/>
      <c r="M71" s="582"/>
      <c r="N71" s="582"/>
      <c r="O71" s="582"/>
    </row>
    <row r="72" spans="1:15">
      <c r="A72" s="582"/>
      <c r="B72" s="582"/>
      <c r="C72" s="582"/>
      <c r="D72" s="582"/>
      <c r="E72" s="582"/>
      <c r="F72" s="582"/>
      <c r="G72" s="582"/>
      <c r="H72" s="582"/>
      <c r="I72" s="582"/>
      <c r="J72" s="582"/>
      <c r="K72" s="582"/>
      <c r="L72" s="582"/>
      <c r="M72" s="582"/>
      <c r="N72" s="582"/>
      <c r="O72" s="582"/>
    </row>
    <row r="73" spans="1:15">
      <c r="A73" s="582"/>
      <c r="B73" s="582"/>
      <c r="C73" s="582"/>
      <c r="D73" s="582"/>
      <c r="E73" s="582"/>
      <c r="F73" s="582"/>
      <c r="G73" s="582"/>
      <c r="H73" s="582"/>
      <c r="I73" s="582"/>
      <c r="J73" s="582"/>
      <c r="K73" s="582"/>
      <c r="L73" s="582"/>
      <c r="M73" s="582"/>
      <c r="N73" s="582"/>
      <c r="O73" s="582"/>
    </row>
    <row r="74" spans="1:15">
      <c r="A74" s="582"/>
      <c r="B74" s="582"/>
      <c r="C74" s="582"/>
      <c r="D74" s="582"/>
      <c r="E74" s="582"/>
      <c r="F74" s="582"/>
      <c r="G74" s="582"/>
      <c r="H74" s="582"/>
      <c r="I74" s="582"/>
      <c r="J74" s="582"/>
      <c r="K74" s="582"/>
      <c r="L74" s="582"/>
      <c r="M74" s="582"/>
      <c r="N74" s="582"/>
      <c r="O74" s="582"/>
    </row>
    <row r="75" spans="1:15">
      <c r="A75" s="582"/>
      <c r="B75" s="582"/>
      <c r="C75" s="582"/>
      <c r="D75" s="582"/>
      <c r="E75" s="582"/>
      <c r="F75" s="582"/>
      <c r="G75" s="582"/>
      <c r="H75" s="582"/>
      <c r="I75" s="582"/>
      <c r="J75" s="582"/>
      <c r="K75" s="582"/>
      <c r="L75" s="582"/>
      <c r="M75" s="582"/>
      <c r="N75" s="582"/>
      <c r="O75" s="582"/>
    </row>
    <row r="76" spans="1:15">
      <c r="A76" s="582"/>
      <c r="B76" s="582"/>
      <c r="C76" s="582"/>
      <c r="D76" s="582"/>
      <c r="E76" s="582"/>
      <c r="F76" s="582"/>
      <c r="G76" s="582"/>
      <c r="H76" s="582"/>
      <c r="I76" s="582"/>
      <c r="J76" s="582"/>
      <c r="K76" s="582"/>
      <c r="L76" s="582"/>
      <c r="M76" s="582"/>
      <c r="N76" s="582"/>
      <c r="O76" s="582"/>
    </row>
    <row r="77" spans="1:15">
      <c r="A77" s="582"/>
      <c r="B77" s="582"/>
      <c r="C77" s="582"/>
      <c r="D77" s="582"/>
      <c r="E77" s="582"/>
      <c r="F77" s="582"/>
      <c r="G77" s="582"/>
      <c r="H77" s="582"/>
      <c r="I77" s="582"/>
      <c r="J77" s="582"/>
      <c r="K77" s="582"/>
      <c r="L77" s="582"/>
      <c r="M77" s="582"/>
      <c r="N77" s="582"/>
      <c r="O77" s="582"/>
    </row>
    <row r="78" spans="1:15">
      <c r="A78" s="582"/>
      <c r="B78" s="582"/>
      <c r="C78" s="582"/>
      <c r="D78" s="582"/>
      <c r="E78" s="582"/>
      <c r="F78" s="582"/>
      <c r="G78" s="582"/>
      <c r="H78" s="582"/>
      <c r="I78" s="582"/>
      <c r="J78" s="582"/>
      <c r="K78" s="582"/>
      <c r="L78" s="582"/>
      <c r="M78" s="582"/>
      <c r="N78" s="582"/>
      <c r="O78" s="58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263238"/>
  </sheetPr>
  <dimension ref="A1:EL533"/>
  <sheetViews>
    <sheetView zoomScale="85" zoomScaleNormal="85" workbookViewId="0">
      <pane xSplit="1" ySplit="2" topLeftCell="BJ369" activePane="bottomRight" state="frozen"/>
      <selection activeCell="A5" sqref="A5"/>
      <selection pane="topRight" activeCell="A5" sqref="A5"/>
      <selection pane="bottomLeft" activeCell="A5" sqref="A5"/>
      <selection pane="bottomRight" activeCell="CD410" sqref="CD410"/>
    </sheetView>
  </sheetViews>
  <sheetFormatPr defaultColWidth="9.21875" defaultRowHeight="13.2" outlineLevelRow="1" outlineLevelCol="1"/>
  <cols>
    <col min="1" max="1" width="40.77734375" style="200" customWidth="1"/>
    <col min="2" max="2" width="12.77734375" style="200" customWidth="1"/>
    <col min="3" max="6" width="12.77734375" style="200" hidden="1" customWidth="1" outlineLevel="1"/>
    <col min="7" max="7" width="12.77734375" style="200" customWidth="1" collapsed="1"/>
    <col min="8" max="11" width="12.77734375" style="200" hidden="1" customWidth="1" outlineLevel="1"/>
    <col min="12" max="12" width="12.77734375" style="200" customWidth="1" collapsed="1"/>
    <col min="13" max="16" width="12.77734375" style="200" hidden="1" customWidth="1" outlineLevel="1"/>
    <col min="17" max="17" width="12.77734375" style="200" customWidth="1" collapsed="1"/>
    <col min="18" max="21" width="12.77734375" style="200" hidden="1" customWidth="1" outlineLevel="1"/>
    <col min="22" max="22" width="12.77734375" style="200" customWidth="1" collapsed="1"/>
    <col min="23" max="26" width="12.77734375" style="200" hidden="1" customWidth="1" outlineLevel="1"/>
    <col min="27" max="27" width="12.77734375" style="200" customWidth="1" collapsed="1"/>
    <col min="28" max="31" width="12.77734375" style="200" hidden="1" customWidth="1" outlineLevel="1"/>
    <col min="32" max="32" width="12.77734375" style="200" customWidth="1" collapsed="1"/>
    <col min="33" max="36" width="12.77734375" style="200" hidden="1" customWidth="1" outlineLevel="1"/>
    <col min="37" max="37" width="12.77734375" style="200" customWidth="1" collapsed="1"/>
    <col min="38" max="41" width="12.77734375" style="200" hidden="1" customWidth="1" outlineLevel="1"/>
    <col min="42" max="42" width="12.77734375" style="200" customWidth="1" collapsed="1"/>
    <col min="43" max="46" width="12.77734375" style="200" hidden="1" customWidth="1" outlineLevel="1"/>
    <col min="47" max="47" width="12.77734375" style="200" customWidth="1" collapsed="1"/>
    <col min="48" max="51" width="12.77734375" style="200" hidden="1" customWidth="1" outlineLevel="1"/>
    <col min="52" max="52" width="12.5546875" style="200" customWidth="1" collapsed="1"/>
    <col min="53" max="56" width="12.5546875" style="200" hidden="1" customWidth="1" outlineLevel="1"/>
    <col min="57" max="57" width="12.5546875" style="200" customWidth="1" collapsed="1"/>
    <col min="58" max="61" width="12.5546875" style="200" hidden="1" customWidth="1" outlineLevel="1"/>
    <col min="62" max="62" width="12.5546875" style="200" customWidth="1" collapsed="1"/>
    <col min="63" max="66" width="12.5546875" style="200" hidden="1" customWidth="1" outlineLevel="1"/>
    <col min="67" max="67" width="12.5546875" style="200" customWidth="1" collapsed="1"/>
    <col min="68" max="71" width="12.5546875" style="200" hidden="1" customWidth="1" outlineLevel="1"/>
    <col min="72" max="72" width="12.5546875" style="200" customWidth="1" collapsed="1"/>
    <col min="73" max="76" width="12.5546875" style="200" hidden="1" customWidth="1" outlineLevel="1"/>
    <col min="77" max="77" width="12.5546875" style="200" customWidth="1" collapsed="1"/>
    <col min="78" max="81" width="12.5546875" style="200" hidden="1" customWidth="1" outlineLevel="1"/>
    <col min="82" max="82" width="12.5546875" style="200" customWidth="1" collapsed="1"/>
    <col min="83" max="91" width="12.5546875" style="200" customWidth="1"/>
    <col min="92" max="115" width="9.77734375" style="200" customWidth="1"/>
    <col min="116" max="136" width="9.21875" style="200"/>
    <col min="137" max="137" width="11.5546875" style="200" bestFit="1" customWidth="1"/>
    <col min="138" max="138" width="9.21875" style="200" bestFit="1" customWidth="1"/>
    <col min="139" max="140" width="9.21875" style="200"/>
    <col min="141" max="141" width="13.44140625" style="200" bestFit="1" customWidth="1"/>
    <col min="142" max="142" width="8.77734375" style="200" bestFit="1" customWidth="1"/>
    <col min="143" max="16384" width="9.21875" style="200"/>
  </cols>
  <sheetData>
    <row r="1" spans="1:111">
      <c r="A1" s="237"/>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6"/>
      <c r="BP1" s="196"/>
      <c r="BQ1" s="196"/>
      <c r="BR1" s="196"/>
      <c r="BS1" s="196"/>
      <c r="BT1" s="196"/>
      <c r="BU1" s="197"/>
      <c r="BV1" s="197"/>
      <c r="BW1" s="197"/>
      <c r="BX1" s="197"/>
      <c r="BY1" s="196"/>
      <c r="BZ1" s="197"/>
      <c r="CA1" s="197"/>
      <c r="CB1" s="197"/>
      <c r="CC1" s="197"/>
      <c r="CD1" s="196"/>
      <c r="CE1" s="196"/>
      <c r="CF1" s="196"/>
      <c r="CG1" s="196"/>
      <c r="CH1" s="196"/>
      <c r="CI1" s="196"/>
      <c r="CJ1" s="196"/>
      <c r="CK1" s="196"/>
      <c r="CL1" s="196"/>
      <c r="CM1" s="196"/>
      <c r="CN1" s="194"/>
      <c r="CO1" s="194"/>
      <c r="CP1" s="195"/>
      <c r="CQ1" s="195"/>
      <c r="CR1" s="195"/>
      <c r="CS1" s="198"/>
      <c r="CT1" s="199"/>
      <c r="DE1" s="195"/>
      <c r="DF1" s="198"/>
      <c r="DG1" s="199"/>
    </row>
    <row r="2" spans="1:111">
      <c r="A2" s="545" t="s">
        <v>775</v>
      </c>
      <c r="B2" s="546">
        <v>2007</v>
      </c>
      <c r="C2" s="546" t="s">
        <v>601</v>
      </c>
      <c r="D2" s="546" t="s">
        <v>602</v>
      </c>
      <c r="E2" s="546" t="s">
        <v>603</v>
      </c>
      <c r="F2" s="546" t="s">
        <v>604</v>
      </c>
      <c r="G2" s="546">
        <f>B2+1</f>
        <v>2008</v>
      </c>
      <c r="H2" s="546" t="s">
        <v>601</v>
      </c>
      <c r="I2" s="546" t="s">
        <v>602</v>
      </c>
      <c r="J2" s="546" t="s">
        <v>603</v>
      </c>
      <c r="K2" s="546" t="s">
        <v>604</v>
      </c>
      <c r="L2" s="546">
        <f>G2+1</f>
        <v>2009</v>
      </c>
      <c r="M2" s="546" t="s">
        <v>601</v>
      </c>
      <c r="N2" s="546" t="s">
        <v>602</v>
      </c>
      <c r="O2" s="546" t="s">
        <v>603</v>
      </c>
      <c r="P2" s="546" t="s">
        <v>604</v>
      </c>
      <c r="Q2" s="546">
        <f>L2+1</f>
        <v>2010</v>
      </c>
      <c r="R2" s="546" t="s">
        <v>601</v>
      </c>
      <c r="S2" s="546" t="s">
        <v>602</v>
      </c>
      <c r="T2" s="546" t="s">
        <v>603</v>
      </c>
      <c r="U2" s="546" t="s">
        <v>604</v>
      </c>
      <c r="V2" s="546">
        <f>Q2+1</f>
        <v>2011</v>
      </c>
      <c r="W2" s="546" t="s">
        <v>601</v>
      </c>
      <c r="X2" s="546" t="s">
        <v>602</v>
      </c>
      <c r="Y2" s="546" t="s">
        <v>603</v>
      </c>
      <c r="Z2" s="546" t="s">
        <v>604</v>
      </c>
      <c r="AA2" s="546">
        <f>V2+1</f>
        <v>2012</v>
      </c>
      <c r="AB2" s="546" t="s">
        <v>601</v>
      </c>
      <c r="AC2" s="546" t="s">
        <v>602</v>
      </c>
      <c r="AD2" s="546" t="s">
        <v>603</v>
      </c>
      <c r="AE2" s="546" t="s">
        <v>604</v>
      </c>
      <c r="AF2" s="546">
        <f>AA2+1</f>
        <v>2013</v>
      </c>
      <c r="AG2" s="546" t="s">
        <v>601</v>
      </c>
      <c r="AH2" s="546" t="s">
        <v>602</v>
      </c>
      <c r="AI2" s="546" t="s">
        <v>603</v>
      </c>
      <c r="AJ2" s="546" t="s">
        <v>604</v>
      </c>
      <c r="AK2" s="546">
        <f>AF2+1</f>
        <v>2014</v>
      </c>
      <c r="AL2" s="546" t="s">
        <v>601</v>
      </c>
      <c r="AM2" s="546" t="s">
        <v>602</v>
      </c>
      <c r="AN2" s="546" t="s">
        <v>603</v>
      </c>
      <c r="AO2" s="546" t="s">
        <v>604</v>
      </c>
      <c r="AP2" s="546">
        <f>AK2+1</f>
        <v>2015</v>
      </c>
      <c r="AQ2" s="546" t="s">
        <v>601</v>
      </c>
      <c r="AR2" s="546" t="s">
        <v>602</v>
      </c>
      <c r="AS2" s="546" t="s">
        <v>603</v>
      </c>
      <c r="AT2" s="546" t="s">
        <v>604</v>
      </c>
      <c r="AU2" s="546">
        <f>AP2+1</f>
        <v>2016</v>
      </c>
      <c r="AV2" s="546" t="s">
        <v>601</v>
      </c>
      <c r="AW2" s="546" t="s">
        <v>602</v>
      </c>
      <c r="AX2" s="546" t="s">
        <v>603</v>
      </c>
      <c r="AY2" s="546" t="s">
        <v>604</v>
      </c>
      <c r="AZ2" s="546">
        <f>AU2+1</f>
        <v>2017</v>
      </c>
      <c r="BA2" s="546" t="s">
        <v>601</v>
      </c>
      <c r="BB2" s="546" t="s">
        <v>602</v>
      </c>
      <c r="BC2" s="546" t="s">
        <v>603</v>
      </c>
      <c r="BD2" s="546" t="s">
        <v>604</v>
      </c>
      <c r="BE2" s="546">
        <f>AZ2+1</f>
        <v>2018</v>
      </c>
      <c r="BF2" s="546" t="s">
        <v>601</v>
      </c>
      <c r="BG2" s="546" t="s">
        <v>602</v>
      </c>
      <c r="BH2" s="546" t="s">
        <v>603</v>
      </c>
      <c r="BI2" s="546" t="s">
        <v>604</v>
      </c>
      <c r="BJ2" s="546">
        <f>BE2+1</f>
        <v>2019</v>
      </c>
      <c r="BK2" s="546" t="str">
        <f>BF2</f>
        <v>Q1</v>
      </c>
      <c r="BL2" s="546" t="str">
        <f>BG2</f>
        <v>Q2</v>
      </c>
      <c r="BM2" s="546" t="str">
        <f>BH2</f>
        <v>Q3</v>
      </c>
      <c r="BN2" s="546" t="str">
        <f>BI2</f>
        <v>Q4</v>
      </c>
      <c r="BO2" s="546">
        <f>BJ2+1</f>
        <v>2020</v>
      </c>
      <c r="BP2" s="546" t="str">
        <f>BK2</f>
        <v>Q1</v>
      </c>
      <c r="BQ2" s="546" t="str">
        <f>BL2</f>
        <v>Q2</v>
      </c>
      <c r="BR2" s="546" t="str">
        <f>BM2</f>
        <v>Q3</v>
      </c>
      <c r="BS2" s="546" t="str">
        <f>BN2</f>
        <v>Q4</v>
      </c>
      <c r="BT2" s="546">
        <f>BO2+1</f>
        <v>2021</v>
      </c>
      <c r="BU2" s="546" t="str">
        <f>BP2</f>
        <v>Q1</v>
      </c>
      <c r="BV2" s="546" t="str">
        <f>BQ2</f>
        <v>Q2</v>
      </c>
      <c r="BW2" s="546" t="str">
        <f>BR2</f>
        <v>Q3</v>
      </c>
      <c r="BX2" s="546" t="str">
        <f>BS2</f>
        <v>Q4</v>
      </c>
      <c r="BY2" s="546">
        <f>BT2+1</f>
        <v>2022</v>
      </c>
      <c r="BZ2" s="546" t="str">
        <f>BU2</f>
        <v>Q1</v>
      </c>
      <c r="CA2" s="546" t="str">
        <f>BV2</f>
        <v>Q2</v>
      </c>
      <c r="CB2" s="546" t="str">
        <f>BW2</f>
        <v>Q3</v>
      </c>
      <c r="CC2" s="546" t="str">
        <f>BX2</f>
        <v>Q4</v>
      </c>
      <c r="CD2" s="546">
        <f>BY2+1</f>
        <v>2023</v>
      </c>
      <c r="CE2" s="547">
        <f t="shared" ref="CE2:CI2" si="0">CD2+1</f>
        <v>2024</v>
      </c>
      <c r="CF2" s="547">
        <f t="shared" si="0"/>
        <v>2025</v>
      </c>
      <c r="CG2" s="547">
        <f t="shared" si="0"/>
        <v>2026</v>
      </c>
      <c r="CH2" s="547">
        <f t="shared" si="0"/>
        <v>2027</v>
      </c>
      <c r="CI2" s="547">
        <f t="shared" si="0"/>
        <v>2028</v>
      </c>
      <c r="CJ2" s="547">
        <f t="shared" ref="CJ2" si="1">CI2+1</f>
        <v>2029</v>
      </c>
      <c r="CK2" s="547">
        <f t="shared" ref="CK2" si="2">CJ2+1</f>
        <v>2030</v>
      </c>
      <c r="CL2" s="547">
        <f t="shared" ref="CL2:CM2" si="3">CK2+1</f>
        <v>2031</v>
      </c>
      <c r="CM2" s="547">
        <f t="shared" si="3"/>
        <v>2032</v>
      </c>
      <c r="CN2" s="195"/>
      <c r="CO2" s="202" t="s">
        <v>686</v>
      </c>
      <c r="CP2" s="195"/>
      <c r="CQ2" s="195"/>
      <c r="CR2" s="195"/>
      <c r="CS2" s="195"/>
      <c r="CT2" s="195"/>
      <c r="DE2" s="195"/>
      <c r="DF2" s="195"/>
      <c r="DG2" s="195"/>
    </row>
    <row r="3" spans="1:111">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195"/>
      <c r="CO3" s="202"/>
      <c r="CP3" s="195"/>
      <c r="CQ3" s="195"/>
      <c r="CR3" s="195"/>
      <c r="CS3" s="195"/>
      <c r="CT3" s="195"/>
      <c r="DE3" s="195"/>
      <c r="DF3" s="195"/>
      <c r="DG3" s="195"/>
    </row>
    <row r="4" spans="1:111">
      <c r="A4" s="201" t="s">
        <v>774</v>
      </c>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195"/>
      <c r="CO4" s="202"/>
      <c r="CP4" s="195"/>
      <c r="CQ4" s="195"/>
      <c r="CR4" s="195"/>
      <c r="CT4" s="195"/>
      <c r="DE4" s="195"/>
      <c r="DF4" s="195"/>
      <c r="DG4" s="195"/>
    </row>
    <row r="5" spans="1:111">
      <c r="A5" s="241"/>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195"/>
      <c r="CO5" s="202"/>
      <c r="CP5" s="195"/>
      <c r="CQ5" s="195"/>
      <c r="CR5" s="195"/>
      <c r="CT5" s="195"/>
      <c r="DE5" s="195"/>
      <c r="DF5" s="195"/>
      <c r="DG5" s="195"/>
    </row>
    <row r="6" spans="1:111">
      <c r="A6" s="241" t="s">
        <v>810</v>
      </c>
      <c r="B6" s="537">
        <f>SUM(B7:B9)</f>
        <v>0</v>
      </c>
      <c r="C6" s="537">
        <f t="shared" ref="C6:BN6" si="4">SUM(C7:C9)</f>
        <v>0</v>
      </c>
      <c r="D6" s="537">
        <f t="shared" si="4"/>
        <v>0</v>
      </c>
      <c r="E6" s="537">
        <f t="shared" si="4"/>
        <v>0</v>
      </c>
      <c r="F6" s="537">
        <f t="shared" si="4"/>
        <v>0</v>
      </c>
      <c r="G6" s="537">
        <f t="shared" si="4"/>
        <v>0</v>
      </c>
      <c r="H6" s="537">
        <f t="shared" si="4"/>
        <v>0</v>
      </c>
      <c r="I6" s="537">
        <f t="shared" si="4"/>
        <v>0</v>
      </c>
      <c r="J6" s="537">
        <f t="shared" si="4"/>
        <v>0</v>
      </c>
      <c r="K6" s="537">
        <f t="shared" si="4"/>
        <v>0</v>
      </c>
      <c r="L6" s="537">
        <f t="shared" si="4"/>
        <v>0</v>
      </c>
      <c r="M6" s="537">
        <f t="shared" si="4"/>
        <v>0</v>
      </c>
      <c r="N6" s="537">
        <f t="shared" si="4"/>
        <v>0</v>
      </c>
      <c r="O6" s="537">
        <f t="shared" si="4"/>
        <v>0</v>
      </c>
      <c r="P6" s="537">
        <f t="shared" si="4"/>
        <v>0</v>
      </c>
      <c r="Q6" s="537">
        <f t="shared" si="4"/>
        <v>0</v>
      </c>
      <c r="R6" s="537">
        <f t="shared" si="4"/>
        <v>0</v>
      </c>
      <c r="S6" s="537">
        <f t="shared" si="4"/>
        <v>0</v>
      </c>
      <c r="T6" s="537">
        <f t="shared" si="4"/>
        <v>0</v>
      </c>
      <c r="U6" s="537">
        <f t="shared" si="4"/>
        <v>0</v>
      </c>
      <c r="V6" s="537">
        <f t="shared" si="4"/>
        <v>0</v>
      </c>
      <c r="W6" s="537">
        <f t="shared" si="4"/>
        <v>0</v>
      </c>
      <c r="X6" s="537">
        <f t="shared" si="4"/>
        <v>0</v>
      </c>
      <c r="Y6" s="537">
        <f t="shared" si="4"/>
        <v>0</v>
      </c>
      <c r="Z6" s="537">
        <f t="shared" si="4"/>
        <v>0</v>
      </c>
      <c r="AA6" s="537">
        <f t="shared" si="4"/>
        <v>0</v>
      </c>
      <c r="AB6" s="537">
        <f t="shared" si="4"/>
        <v>0</v>
      </c>
      <c r="AC6" s="537">
        <f t="shared" si="4"/>
        <v>0</v>
      </c>
      <c r="AD6" s="537">
        <f t="shared" si="4"/>
        <v>0</v>
      </c>
      <c r="AE6" s="537">
        <f t="shared" si="4"/>
        <v>0</v>
      </c>
      <c r="AF6" s="537">
        <f t="shared" si="4"/>
        <v>0</v>
      </c>
      <c r="AG6" s="537">
        <f t="shared" si="4"/>
        <v>0</v>
      </c>
      <c r="AH6" s="537">
        <f t="shared" si="4"/>
        <v>0</v>
      </c>
      <c r="AI6" s="537">
        <f t="shared" si="4"/>
        <v>0</v>
      </c>
      <c r="AJ6" s="537">
        <f t="shared" si="4"/>
        <v>0</v>
      </c>
      <c r="AK6" s="537">
        <f t="shared" si="4"/>
        <v>0</v>
      </c>
      <c r="AL6" s="537">
        <f t="shared" si="4"/>
        <v>0</v>
      </c>
      <c r="AM6" s="537">
        <f t="shared" si="4"/>
        <v>0</v>
      </c>
      <c r="AN6" s="537">
        <f t="shared" si="4"/>
        <v>0</v>
      </c>
      <c r="AO6" s="537">
        <f t="shared" si="4"/>
        <v>0</v>
      </c>
      <c r="AP6" s="537">
        <f t="shared" si="4"/>
        <v>0</v>
      </c>
      <c r="AQ6" s="537">
        <f t="shared" si="4"/>
        <v>0</v>
      </c>
      <c r="AR6" s="537">
        <f t="shared" si="4"/>
        <v>0</v>
      </c>
      <c r="AS6" s="537">
        <f t="shared" si="4"/>
        <v>0</v>
      </c>
      <c r="AT6" s="537">
        <f t="shared" si="4"/>
        <v>0</v>
      </c>
      <c r="AU6" s="537">
        <f t="shared" si="4"/>
        <v>0</v>
      </c>
      <c r="AV6" s="537">
        <f t="shared" si="4"/>
        <v>0</v>
      </c>
      <c r="AW6" s="537">
        <f t="shared" si="4"/>
        <v>0</v>
      </c>
      <c r="AX6" s="537">
        <f t="shared" si="4"/>
        <v>0</v>
      </c>
      <c r="AY6" s="537">
        <f t="shared" si="4"/>
        <v>0</v>
      </c>
      <c r="AZ6" s="537">
        <f t="shared" si="4"/>
        <v>0</v>
      </c>
      <c r="BA6" s="537">
        <f t="shared" si="4"/>
        <v>0</v>
      </c>
      <c r="BB6" s="537">
        <f t="shared" si="4"/>
        <v>0</v>
      </c>
      <c r="BC6" s="537">
        <f t="shared" si="4"/>
        <v>0</v>
      </c>
      <c r="BD6" s="537">
        <f t="shared" si="4"/>
        <v>0</v>
      </c>
      <c r="BE6" s="537">
        <f t="shared" si="4"/>
        <v>0</v>
      </c>
      <c r="BF6" s="537">
        <f t="shared" si="4"/>
        <v>0</v>
      </c>
      <c r="BG6" s="537">
        <f t="shared" si="4"/>
        <v>0</v>
      </c>
      <c r="BH6" s="537">
        <f t="shared" si="4"/>
        <v>0</v>
      </c>
      <c r="BI6" s="537">
        <f t="shared" si="4"/>
        <v>0</v>
      </c>
      <c r="BJ6" s="537">
        <f t="shared" si="4"/>
        <v>0</v>
      </c>
      <c r="BK6" s="537">
        <f t="shared" si="4"/>
        <v>0</v>
      </c>
      <c r="BL6" s="537">
        <f t="shared" si="4"/>
        <v>0</v>
      </c>
      <c r="BM6" s="537">
        <f t="shared" si="4"/>
        <v>0</v>
      </c>
      <c r="BN6" s="537">
        <f t="shared" si="4"/>
        <v>0</v>
      </c>
      <c r="BO6" s="537">
        <f t="shared" ref="BO6:CH6" si="5">SUM(BO7:BO9)</f>
        <v>0</v>
      </c>
      <c r="BP6" s="537">
        <f t="shared" si="5"/>
        <v>1603</v>
      </c>
      <c r="BQ6" s="537">
        <f t="shared" si="5"/>
        <v>1626</v>
      </c>
      <c r="BR6" s="537">
        <f t="shared" si="5"/>
        <v>1653</v>
      </c>
      <c r="BS6" s="537">
        <f t="shared" si="5"/>
        <v>1617</v>
      </c>
      <c r="BT6" s="537">
        <f t="shared" si="5"/>
        <v>6499</v>
      </c>
      <c r="BU6" s="537">
        <f t="shared" si="5"/>
        <v>1642</v>
      </c>
      <c r="BV6" s="537">
        <f t="shared" si="5"/>
        <v>1698</v>
      </c>
      <c r="BW6" s="537">
        <f t="shared" si="5"/>
        <v>1721</v>
      </c>
      <c r="BX6" s="537">
        <f t="shared" si="5"/>
        <v>1750</v>
      </c>
      <c r="BY6" s="537">
        <f t="shared" si="5"/>
        <v>6811</v>
      </c>
      <c r="BZ6" s="537">
        <f t="shared" si="5"/>
        <v>1747</v>
      </c>
      <c r="CA6" s="537">
        <f t="shared" si="5"/>
        <v>1751</v>
      </c>
      <c r="CB6" s="537">
        <f t="shared" si="5"/>
        <v>1765</v>
      </c>
      <c r="CC6" s="537">
        <f t="shared" si="5"/>
        <v>1801</v>
      </c>
      <c r="CD6" s="537">
        <f t="shared" si="5"/>
        <v>7064</v>
      </c>
      <c r="CE6" s="537">
        <f t="shared" si="5"/>
        <v>7291.9896274259418</v>
      </c>
      <c r="CF6" s="537">
        <f t="shared" si="5"/>
        <v>7503.7152194545697</v>
      </c>
      <c r="CG6" s="537">
        <f t="shared" si="5"/>
        <v>7708.2079472295582</v>
      </c>
      <c r="CH6" s="537">
        <f t="shared" si="5"/>
        <v>7942.7389686586666</v>
      </c>
      <c r="CI6" s="537">
        <f t="shared" ref="CI6:CM6" si="6">SUM(CI7:CI9)</f>
        <v>8204.4074771235519</v>
      </c>
      <c r="CJ6" s="537">
        <f t="shared" si="6"/>
        <v>8461.6399057337239</v>
      </c>
      <c r="CK6" s="537">
        <f t="shared" si="6"/>
        <v>8714.934034230906</v>
      </c>
      <c r="CL6" s="537">
        <f t="shared" si="6"/>
        <v>8964.7601556367299</v>
      </c>
      <c r="CM6" s="537">
        <f t="shared" si="6"/>
        <v>9211.5622996658676</v>
      </c>
      <c r="CN6" s="195"/>
      <c r="CO6" s="202"/>
      <c r="CP6" s="195"/>
      <c r="CQ6" s="195"/>
      <c r="CR6" s="195"/>
      <c r="CT6" s="195"/>
      <c r="DE6" s="195"/>
      <c r="DF6" s="195"/>
      <c r="DG6" s="195"/>
    </row>
    <row r="7" spans="1:111">
      <c r="A7" s="173" t="s">
        <v>722</v>
      </c>
      <c r="B7" s="538">
        <f>B402</f>
        <v>0</v>
      </c>
      <c r="C7" s="538">
        <f t="shared" ref="C7:BN7" si="7">C402</f>
        <v>0</v>
      </c>
      <c r="D7" s="538">
        <f t="shared" si="7"/>
        <v>0</v>
      </c>
      <c r="E7" s="538">
        <f t="shared" si="7"/>
        <v>0</v>
      </c>
      <c r="F7" s="538">
        <f t="shared" si="7"/>
        <v>0</v>
      </c>
      <c r="G7" s="538">
        <f t="shared" si="7"/>
        <v>0</v>
      </c>
      <c r="H7" s="538">
        <f t="shared" si="7"/>
        <v>0</v>
      </c>
      <c r="I7" s="538">
        <f t="shared" si="7"/>
        <v>0</v>
      </c>
      <c r="J7" s="538">
        <f t="shared" si="7"/>
        <v>0</v>
      </c>
      <c r="K7" s="538">
        <f t="shared" si="7"/>
        <v>0</v>
      </c>
      <c r="L7" s="538">
        <f t="shared" si="7"/>
        <v>0</v>
      </c>
      <c r="M7" s="538">
        <f t="shared" si="7"/>
        <v>0</v>
      </c>
      <c r="N7" s="538">
        <f t="shared" si="7"/>
        <v>0</v>
      </c>
      <c r="O7" s="538">
        <f t="shared" si="7"/>
        <v>0</v>
      </c>
      <c r="P7" s="538">
        <f t="shared" si="7"/>
        <v>0</v>
      </c>
      <c r="Q7" s="538">
        <f t="shared" si="7"/>
        <v>0</v>
      </c>
      <c r="R7" s="538">
        <f t="shared" si="7"/>
        <v>0</v>
      </c>
      <c r="S7" s="538">
        <f t="shared" si="7"/>
        <v>0</v>
      </c>
      <c r="T7" s="538">
        <f t="shared" si="7"/>
        <v>0</v>
      </c>
      <c r="U7" s="538">
        <f t="shared" si="7"/>
        <v>0</v>
      </c>
      <c r="V7" s="538">
        <f t="shared" si="7"/>
        <v>0</v>
      </c>
      <c r="W7" s="538">
        <f t="shared" si="7"/>
        <v>0</v>
      </c>
      <c r="X7" s="538">
        <f t="shared" si="7"/>
        <v>0</v>
      </c>
      <c r="Y7" s="538">
        <f t="shared" si="7"/>
        <v>0</v>
      </c>
      <c r="Z7" s="538">
        <f t="shared" si="7"/>
        <v>0</v>
      </c>
      <c r="AA7" s="538">
        <f t="shared" si="7"/>
        <v>0</v>
      </c>
      <c r="AB7" s="538">
        <f t="shared" si="7"/>
        <v>0</v>
      </c>
      <c r="AC7" s="538">
        <f t="shared" si="7"/>
        <v>0</v>
      </c>
      <c r="AD7" s="538">
        <f t="shared" si="7"/>
        <v>0</v>
      </c>
      <c r="AE7" s="538">
        <f t="shared" si="7"/>
        <v>0</v>
      </c>
      <c r="AF7" s="538">
        <f t="shared" si="7"/>
        <v>0</v>
      </c>
      <c r="AG7" s="538">
        <f t="shared" si="7"/>
        <v>0</v>
      </c>
      <c r="AH7" s="538">
        <f t="shared" si="7"/>
        <v>0</v>
      </c>
      <c r="AI7" s="538">
        <f t="shared" si="7"/>
        <v>0</v>
      </c>
      <c r="AJ7" s="538">
        <f t="shared" si="7"/>
        <v>0</v>
      </c>
      <c r="AK7" s="538">
        <f t="shared" si="7"/>
        <v>0</v>
      </c>
      <c r="AL7" s="538">
        <f t="shared" si="7"/>
        <v>0</v>
      </c>
      <c r="AM7" s="538">
        <f t="shared" si="7"/>
        <v>0</v>
      </c>
      <c r="AN7" s="538">
        <f t="shared" si="7"/>
        <v>0</v>
      </c>
      <c r="AO7" s="538">
        <f t="shared" si="7"/>
        <v>0</v>
      </c>
      <c r="AP7" s="538">
        <f t="shared" si="7"/>
        <v>0</v>
      </c>
      <c r="AQ7" s="538">
        <f t="shared" si="7"/>
        <v>0</v>
      </c>
      <c r="AR7" s="538">
        <f t="shared" si="7"/>
        <v>0</v>
      </c>
      <c r="AS7" s="538">
        <f t="shared" si="7"/>
        <v>0</v>
      </c>
      <c r="AT7" s="538">
        <f t="shared" si="7"/>
        <v>0</v>
      </c>
      <c r="AU7" s="538">
        <f t="shared" si="7"/>
        <v>0</v>
      </c>
      <c r="AV7" s="538">
        <f t="shared" si="7"/>
        <v>0</v>
      </c>
      <c r="AW7" s="538">
        <f t="shared" si="7"/>
        <v>0</v>
      </c>
      <c r="AX7" s="538">
        <f t="shared" si="7"/>
        <v>0</v>
      </c>
      <c r="AY7" s="538">
        <f t="shared" si="7"/>
        <v>0</v>
      </c>
      <c r="AZ7" s="538">
        <f t="shared" si="7"/>
        <v>0</v>
      </c>
      <c r="BA7" s="538">
        <f t="shared" si="7"/>
        <v>0</v>
      </c>
      <c r="BB7" s="538">
        <f t="shared" si="7"/>
        <v>0</v>
      </c>
      <c r="BC7" s="538">
        <f t="shared" si="7"/>
        <v>0</v>
      </c>
      <c r="BD7" s="538">
        <f t="shared" si="7"/>
        <v>0</v>
      </c>
      <c r="BE7" s="538">
        <f t="shared" si="7"/>
        <v>0</v>
      </c>
      <c r="BF7" s="538">
        <f t="shared" si="7"/>
        <v>0</v>
      </c>
      <c r="BG7" s="538">
        <f t="shared" si="7"/>
        <v>0</v>
      </c>
      <c r="BH7" s="538">
        <f t="shared" si="7"/>
        <v>0</v>
      </c>
      <c r="BI7" s="538">
        <f t="shared" si="7"/>
        <v>0</v>
      </c>
      <c r="BJ7" s="538">
        <f t="shared" si="7"/>
        <v>0</v>
      </c>
      <c r="BK7" s="538">
        <f t="shared" si="7"/>
        <v>0</v>
      </c>
      <c r="BL7" s="538">
        <f t="shared" si="7"/>
        <v>0</v>
      </c>
      <c r="BM7" s="538">
        <f t="shared" si="7"/>
        <v>0</v>
      </c>
      <c r="BN7" s="538">
        <f t="shared" si="7"/>
        <v>0</v>
      </c>
      <c r="BO7" s="538">
        <f t="shared" ref="BO7:CH7" si="8">BO402</f>
        <v>0</v>
      </c>
      <c r="BP7" s="538">
        <f t="shared" si="8"/>
        <v>748</v>
      </c>
      <c r="BQ7" s="538">
        <f t="shared" si="8"/>
        <v>766</v>
      </c>
      <c r="BR7" s="538">
        <f t="shared" si="8"/>
        <v>783</v>
      </c>
      <c r="BS7" s="538">
        <f t="shared" si="8"/>
        <v>766</v>
      </c>
      <c r="BT7" s="538">
        <f t="shared" si="8"/>
        <v>3063</v>
      </c>
      <c r="BU7" s="538">
        <f t="shared" si="8"/>
        <v>785</v>
      </c>
      <c r="BV7" s="538">
        <f t="shared" si="8"/>
        <v>810</v>
      </c>
      <c r="BW7" s="538">
        <f t="shared" si="8"/>
        <v>830</v>
      </c>
      <c r="BX7" s="538">
        <f t="shared" si="8"/>
        <v>850</v>
      </c>
      <c r="BY7" s="538">
        <f t="shared" si="8"/>
        <v>3275</v>
      </c>
      <c r="BZ7" s="538">
        <f t="shared" si="8"/>
        <v>864</v>
      </c>
      <c r="CA7" s="538">
        <f t="shared" si="8"/>
        <v>871</v>
      </c>
      <c r="CB7" s="538">
        <f t="shared" si="8"/>
        <v>882</v>
      </c>
      <c r="CC7" s="538">
        <f t="shared" si="8"/>
        <v>903</v>
      </c>
      <c r="CD7" s="538">
        <f t="shared" si="8"/>
        <v>3520</v>
      </c>
      <c r="CE7" s="538">
        <f t="shared" si="8"/>
        <v>3626.5485456876986</v>
      </c>
      <c r="CF7" s="538">
        <f t="shared" si="8"/>
        <v>3692.7273435488019</v>
      </c>
      <c r="CG7" s="538">
        <f t="shared" si="8"/>
        <v>3764.4191434326108</v>
      </c>
      <c r="CH7" s="538">
        <f t="shared" si="8"/>
        <v>3851.5958299619369</v>
      </c>
      <c r="CI7" s="538">
        <f t="shared" ref="CI7:CM7" si="9">CI402</f>
        <v>3955.7740923082774</v>
      </c>
      <c r="CJ7" s="538">
        <f t="shared" si="9"/>
        <v>4058.4689365995832</v>
      </c>
      <c r="CK7" s="538">
        <f t="shared" si="9"/>
        <v>4159.9050945824783</v>
      </c>
      <c r="CL7" s="538">
        <f t="shared" si="9"/>
        <v>4260.2901078352506</v>
      </c>
      <c r="CM7" s="538">
        <f t="shared" si="9"/>
        <v>4359.8157424302899</v>
      </c>
      <c r="CN7" s="195"/>
      <c r="CO7" s="202"/>
      <c r="CP7" s="195"/>
      <c r="CQ7" s="195"/>
      <c r="CR7" s="195"/>
      <c r="CT7" s="195"/>
      <c r="DE7" s="195"/>
      <c r="DF7" s="195"/>
      <c r="DG7" s="195"/>
    </row>
    <row r="8" spans="1:111">
      <c r="A8" s="173" t="s">
        <v>570</v>
      </c>
      <c r="B8" s="538">
        <f>B403</f>
        <v>0</v>
      </c>
      <c r="C8" s="538">
        <f t="shared" ref="C8:BN8" si="10">C403</f>
        <v>0</v>
      </c>
      <c r="D8" s="538">
        <f t="shared" si="10"/>
        <v>0</v>
      </c>
      <c r="E8" s="538">
        <f t="shared" si="10"/>
        <v>0</v>
      </c>
      <c r="F8" s="538">
        <f t="shared" si="10"/>
        <v>0</v>
      </c>
      <c r="G8" s="538">
        <f t="shared" si="10"/>
        <v>0</v>
      </c>
      <c r="H8" s="538">
        <f t="shared" si="10"/>
        <v>0</v>
      </c>
      <c r="I8" s="538">
        <f t="shared" si="10"/>
        <v>0</v>
      </c>
      <c r="J8" s="538">
        <f t="shared" si="10"/>
        <v>0</v>
      </c>
      <c r="K8" s="538">
        <f t="shared" si="10"/>
        <v>0</v>
      </c>
      <c r="L8" s="538">
        <f t="shared" si="10"/>
        <v>0</v>
      </c>
      <c r="M8" s="538">
        <f t="shared" si="10"/>
        <v>0</v>
      </c>
      <c r="N8" s="538">
        <f t="shared" si="10"/>
        <v>0</v>
      </c>
      <c r="O8" s="538">
        <f t="shared" si="10"/>
        <v>0</v>
      </c>
      <c r="P8" s="538">
        <f t="shared" si="10"/>
        <v>0</v>
      </c>
      <c r="Q8" s="538">
        <f t="shared" si="10"/>
        <v>0</v>
      </c>
      <c r="R8" s="538">
        <f t="shared" si="10"/>
        <v>0</v>
      </c>
      <c r="S8" s="538">
        <f t="shared" si="10"/>
        <v>0</v>
      </c>
      <c r="T8" s="538">
        <f t="shared" si="10"/>
        <v>0</v>
      </c>
      <c r="U8" s="538">
        <f t="shared" si="10"/>
        <v>0</v>
      </c>
      <c r="V8" s="538">
        <f t="shared" si="10"/>
        <v>0</v>
      </c>
      <c r="W8" s="538">
        <f t="shared" si="10"/>
        <v>0</v>
      </c>
      <c r="X8" s="538">
        <f t="shared" si="10"/>
        <v>0</v>
      </c>
      <c r="Y8" s="538">
        <f t="shared" si="10"/>
        <v>0</v>
      </c>
      <c r="Z8" s="538">
        <f t="shared" si="10"/>
        <v>0</v>
      </c>
      <c r="AA8" s="538">
        <f t="shared" si="10"/>
        <v>0</v>
      </c>
      <c r="AB8" s="538">
        <f t="shared" si="10"/>
        <v>0</v>
      </c>
      <c r="AC8" s="538">
        <f t="shared" si="10"/>
        <v>0</v>
      </c>
      <c r="AD8" s="538">
        <f t="shared" si="10"/>
        <v>0</v>
      </c>
      <c r="AE8" s="538">
        <f t="shared" si="10"/>
        <v>0</v>
      </c>
      <c r="AF8" s="538">
        <f t="shared" si="10"/>
        <v>0</v>
      </c>
      <c r="AG8" s="538">
        <f t="shared" si="10"/>
        <v>0</v>
      </c>
      <c r="AH8" s="538">
        <f t="shared" si="10"/>
        <v>0</v>
      </c>
      <c r="AI8" s="538">
        <f t="shared" si="10"/>
        <v>0</v>
      </c>
      <c r="AJ8" s="538">
        <f t="shared" si="10"/>
        <v>0</v>
      </c>
      <c r="AK8" s="538">
        <f t="shared" si="10"/>
        <v>0</v>
      </c>
      <c r="AL8" s="538">
        <f t="shared" si="10"/>
        <v>0</v>
      </c>
      <c r="AM8" s="538">
        <f t="shared" si="10"/>
        <v>0</v>
      </c>
      <c r="AN8" s="538">
        <f t="shared" si="10"/>
        <v>0</v>
      </c>
      <c r="AO8" s="538">
        <f t="shared" si="10"/>
        <v>0</v>
      </c>
      <c r="AP8" s="538">
        <f t="shared" si="10"/>
        <v>0</v>
      </c>
      <c r="AQ8" s="538">
        <f t="shared" si="10"/>
        <v>0</v>
      </c>
      <c r="AR8" s="538">
        <f t="shared" si="10"/>
        <v>0</v>
      </c>
      <c r="AS8" s="538">
        <f t="shared" si="10"/>
        <v>0</v>
      </c>
      <c r="AT8" s="538">
        <f t="shared" si="10"/>
        <v>0</v>
      </c>
      <c r="AU8" s="538">
        <f t="shared" si="10"/>
        <v>0</v>
      </c>
      <c r="AV8" s="538">
        <f t="shared" si="10"/>
        <v>0</v>
      </c>
      <c r="AW8" s="538">
        <f t="shared" si="10"/>
        <v>0</v>
      </c>
      <c r="AX8" s="538">
        <f t="shared" si="10"/>
        <v>0</v>
      </c>
      <c r="AY8" s="538">
        <f t="shared" si="10"/>
        <v>0</v>
      </c>
      <c r="AZ8" s="538">
        <f t="shared" si="10"/>
        <v>0</v>
      </c>
      <c r="BA8" s="538">
        <f t="shared" si="10"/>
        <v>0</v>
      </c>
      <c r="BB8" s="538">
        <f t="shared" si="10"/>
        <v>0</v>
      </c>
      <c r="BC8" s="538">
        <f t="shared" si="10"/>
        <v>0</v>
      </c>
      <c r="BD8" s="538">
        <f t="shared" si="10"/>
        <v>0</v>
      </c>
      <c r="BE8" s="538">
        <f t="shared" si="10"/>
        <v>0</v>
      </c>
      <c r="BF8" s="538">
        <f t="shared" si="10"/>
        <v>0</v>
      </c>
      <c r="BG8" s="538">
        <f t="shared" si="10"/>
        <v>0</v>
      </c>
      <c r="BH8" s="538">
        <f t="shared" si="10"/>
        <v>0</v>
      </c>
      <c r="BI8" s="538">
        <f t="shared" si="10"/>
        <v>0</v>
      </c>
      <c r="BJ8" s="538">
        <f t="shared" si="10"/>
        <v>0</v>
      </c>
      <c r="BK8" s="538">
        <f t="shared" si="10"/>
        <v>0</v>
      </c>
      <c r="BL8" s="538">
        <f t="shared" si="10"/>
        <v>0</v>
      </c>
      <c r="BM8" s="538">
        <f t="shared" si="10"/>
        <v>0</v>
      </c>
      <c r="BN8" s="538">
        <f t="shared" si="10"/>
        <v>0</v>
      </c>
      <c r="BO8" s="538">
        <f t="shared" ref="BO8:CH8" si="11">BO403</f>
        <v>0</v>
      </c>
      <c r="BP8" s="538">
        <f t="shared" si="11"/>
        <v>690</v>
      </c>
      <c r="BQ8" s="538">
        <f t="shared" si="11"/>
        <v>685</v>
      </c>
      <c r="BR8" s="538">
        <f t="shared" si="11"/>
        <v>685</v>
      </c>
      <c r="BS8" s="538">
        <f t="shared" si="11"/>
        <v>655</v>
      </c>
      <c r="BT8" s="538">
        <f t="shared" si="11"/>
        <v>2715</v>
      </c>
      <c r="BU8" s="538">
        <f t="shared" si="11"/>
        <v>657</v>
      </c>
      <c r="BV8" s="538">
        <f t="shared" si="11"/>
        <v>679</v>
      </c>
      <c r="BW8" s="538">
        <f t="shared" si="11"/>
        <v>676</v>
      </c>
      <c r="BX8" s="538">
        <f t="shared" si="11"/>
        <v>681</v>
      </c>
      <c r="BY8" s="538">
        <f t="shared" si="11"/>
        <v>2693</v>
      </c>
      <c r="BZ8" s="538">
        <f t="shared" si="11"/>
        <v>661</v>
      </c>
      <c r="CA8" s="538">
        <f t="shared" si="11"/>
        <v>651</v>
      </c>
      <c r="CB8" s="538">
        <f t="shared" si="11"/>
        <v>652</v>
      </c>
      <c r="CC8" s="538">
        <f t="shared" si="11"/>
        <v>655</v>
      </c>
      <c r="CD8" s="538">
        <f t="shared" si="11"/>
        <v>2619</v>
      </c>
      <c r="CE8" s="538">
        <f t="shared" si="11"/>
        <v>2641.5107472106656</v>
      </c>
      <c r="CF8" s="538">
        <f t="shared" si="11"/>
        <v>2669.6694696683185</v>
      </c>
      <c r="CG8" s="538">
        <f t="shared" si="11"/>
        <v>2687.6875996692647</v>
      </c>
      <c r="CH8" s="538">
        <f t="shared" si="11"/>
        <v>2715.8468618584125</v>
      </c>
      <c r="CI8" s="538">
        <f t="shared" ref="CI8:CM8" si="12">CI403</f>
        <v>2754.8157915185375</v>
      </c>
      <c r="CJ8" s="538">
        <f t="shared" si="12"/>
        <v>2791.4646999657825</v>
      </c>
      <c r="CK8" s="538">
        <f t="shared" si="12"/>
        <v>2826.0123390829167</v>
      </c>
      <c r="CL8" s="538">
        <f t="shared" si="12"/>
        <v>2858.6565108198465</v>
      </c>
      <c r="CM8" s="538">
        <f t="shared" si="12"/>
        <v>2889.5760495667969</v>
      </c>
      <c r="CN8" s="195"/>
      <c r="CO8" s="202"/>
      <c r="CP8" s="195"/>
      <c r="CQ8" s="195"/>
      <c r="CR8" s="195"/>
      <c r="CT8" s="195"/>
      <c r="DE8" s="195"/>
      <c r="DF8" s="195"/>
      <c r="DG8" s="195"/>
    </row>
    <row r="9" spans="1:111">
      <c r="A9" s="173" t="s">
        <v>723</v>
      </c>
      <c r="B9" s="538">
        <f>B405</f>
        <v>0</v>
      </c>
      <c r="C9" s="538">
        <f t="shared" ref="C9:BN9" si="13">C405</f>
        <v>0</v>
      </c>
      <c r="D9" s="538">
        <f t="shared" si="13"/>
        <v>0</v>
      </c>
      <c r="E9" s="538">
        <f t="shared" si="13"/>
        <v>0</v>
      </c>
      <c r="F9" s="538">
        <f t="shared" si="13"/>
        <v>0</v>
      </c>
      <c r="G9" s="538">
        <f t="shared" si="13"/>
        <v>0</v>
      </c>
      <c r="H9" s="538">
        <f t="shared" si="13"/>
        <v>0</v>
      </c>
      <c r="I9" s="538">
        <f t="shared" si="13"/>
        <v>0</v>
      </c>
      <c r="J9" s="538">
        <f t="shared" si="13"/>
        <v>0</v>
      </c>
      <c r="K9" s="538">
        <f t="shared" si="13"/>
        <v>0</v>
      </c>
      <c r="L9" s="538">
        <f t="shared" si="13"/>
        <v>0</v>
      </c>
      <c r="M9" s="538">
        <f t="shared" si="13"/>
        <v>0</v>
      </c>
      <c r="N9" s="538">
        <f t="shared" si="13"/>
        <v>0</v>
      </c>
      <c r="O9" s="538">
        <f t="shared" si="13"/>
        <v>0</v>
      </c>
      <c r="P9" s="538">
        <f t="shared" si="13"/>
        <v>0</v>
      </c>
      <c r="Q9" s="538">
        <f t="shared" si="13"/>
        <v>0</v>
      </c>
      <c r="R9" s="538">
        <f t="shared" si="13"/>
        <v>0</v>
      </c>
      <c r="S9" s="538">
        <f t="shared" si="13"/>
        <v>0</v>
      </c>
      <c r="T9" s="538">
        <f t="shared" si="13"/>
        <v>0</v>
      </c>
      <c r="U9" s="538">
        <f t="shared" si="13"/>
        <v>0</v>
      </c>
      <c r="V9" s="538">
        <f t="shared" si="13"/>
        <v>0</v>
      </c>
      <c r="W9" s="538">
        <f t="shared" si="13"/>
        <v>0</v>
      </c>
      <c r="X9" s="538">
        <f t="shared" si="13"/>
        <v>0</v>
      </c>
      <c r="Y9" s="538">
        <f t="shared" si="13"/>
        <v>0</v>
      </c>
      <c r="Z9" s="538">
        <f t="shared" si="13"/>
        <v>0</v>
      </c>
      <c r="AA9" s="538">
        <f t="shared" si="13"/>
        <v>0</v>
      </c>
      <c r="AB9" s="538">
        <f t="shared" si="13"/>
        <v>0</v>
      </c>
      <c r="AC9" s="538">
        <f t="shared" si="13"/>
        <v>0</v>
      </c>
      <c r="AD9" s="538">
        <f t="shared" si="13"/>
        <v>0</v>
      </c>
      <c r="AE9" s="538">
        <f t="shared" si="13"/>
        <v>0</v>
      </c>
      <c r="AF9" s="538">
        <f t="shared" si="13"/>
        <v>0</v>
      </c>
      <c r="AG9" s="538">
        <f t="shared" si="13"/>
        <v>0</v>
      </c>
      <c r="AH9" s="538">
        <f t="shared" si="13"/>
        <v>0</v>
      </c>
      <c r="AI9" s="538">
        <f t="shared" si="13"/>
        <v>0</v>
      </c>
      <c r="AJ9" s="538">
        <f t="shared" si="13"/>
        <v>0</v>
      </c>
      <c r="AK9" s="538">
        <f t="shared" si="13"/>
        <v>0</v>
      </c>
      <c r="AL9" s="538">
        <f t="shared" si="13"/>
        <v>0</v>
      </c>
      <c r="AM9" s="538">
        <f t="shared" si="13"/>
        <v>0</v>
      </c>
      <c r="AN9" s="538">
        <f t="shared" si="13"/>
        <v>0</v>
      </c>
      <c r="AO9" s="538">
        <f t="shared" si="13"/>
        <v>0</v>
      </c>
      <c r="AP9" s="538">
        <f t="shared" si="13"/>
        <v>0</v>
      </c>
      <c r="AQ9" s="538">
        <f t="shared" si="13"/>
        <v>0</v>
      </c>
      <c r="AR9" s="538">
        <f t="shared" si="13"/>
        <v>0</v>
      </c>
      <c r="AS9" s="538">
        <f t="shared" si="13"/>
        <v>0</v>
      </c>
      <c r="AT9" s="538">
        <f t="shared" si="13"/>
        <v>0</v>
      </c>
      <c r="AU9" s="538">
        <f t="shared" si="13"/>
        <v>0</v>
      </c>
      <c r="AV9" s="538">
        <f t="shared" si="13"/>
        <v>0</v>
      </c>
      <c r="AW9" s="538">
        <f t="shared" si="13"/>
        <v>0</v>
      </c>
      <c r="AX9" s="538">
        <f t="shared" si="13"/>
        <v>0</v>
      </c>
      <c r="AY9" s="538">
        <f t="shared" si="13"/>
        <v>0</v>
      </c>
      <c r="AZ9" s="538">
        <f t="shared" si="13"/>
        <v>0</v>
      </c>
      <c r="BA9" s="538">
        <f t="shared" si="13"/>
        <v>0</v>
      </c>
      <c r="BB9" s="538">
        <f t="shared" si="13"/>
        <v>0</v>
      </c>
      <c r="BC9" s="538">
        <f t="shared" si="13"/>
        <v>0</v>
      </c>
      <c r="BD9" s="538">
        <f t="shared" si="13"/>
        <v>0</v>
      </c>
      <c r="BE9" s="538">
        <f t="shared" si="13"/>
        <v>0</v>
      </c>
      <c r="BF9" s="538">
        <f t="shared" si="13"/>
        <v>0</v>
      </c>
      <c r="BG9" s="538">
        <f t="shared" si="13"/>
        <v>0</v>
      </c>
      <c r="BH9" s="538">
        <f t="shared" si="13"/>
        <v>0</v>
      </c>
      <c r="BI9" s="538">
        <f t="shared" si="13"/>
        <v>0</v>
      </c>
      <c r="BJ9" s="538">
        <f t="shared" si="13"/>
        <v>0</v>
      </c>
      <c r="BK9" s="538">
        <f t="shared" si="13"/>
        <v>0</v>
      </c>
      <c r="BL9" s="538">
        <f t="shared" si="13"/>
        <v>0</v>
      </c>
      <c r="BM9" s="538">
        <f t="shared" si="13"/>
        <v>0</v>
      </c>
      <c r="BN9" s="538">
        <f t="shared" si="13"/>
        <v>0</v>
      </c>
      <c r="BO9" s="538">
        <f t="shared" ref="BO9:CH9" si="14">BO405</f>
        <v>0</v>
      </c>
      <c r="BP9" s="538">
        <f t="shared" si="14"/>
        <v>165</v>
      </c>
      <c r="BQ9" s="538">
        <f t="shared" si="14"/>
        <v>175</v>
      </c>
      <c r="BR9" s="538">
        <f t="shared" si="14"/>
        <v>185</v>
      </c>
      <c r="BS9" s="538">
        <f t="shared" si="14"/>
        <v>196</v>
      </c>
      <c r="BT9" s="538">
        <f t="shared" si="14"/>
        <v>721</v>
      </c>
      <c r="BU9" s="538">
        <f t="shared" si="14"/>
        <v>200</v>
      </c>
      <c r="BV9" s="538">
        <f t="shared" si="14"/>
        <v>209</v>
      </c>
      <c r="BW9" s="538">
        <f t="shared" si="14"/>
        <v>215</v>
      </c>
      <c r="BX9" s="538">
        <f t="shared" si="14"/>
        <v>219</v>
      </c>
      <c r="BY9" s="538">
        <f t="shared" si="14"/>
        <v>843</v>
      </c>
      <c r="BZ9" s="538">
        <f t="shared" si="14"/>
        <v>222</v>
      </c>
      <c r="CA9" s="538">
        <f t="shared" si="14"/>
        <v>229</v>
      </c>
      <c r="CB9" s="538">
        <f t="shared" si="14"/>
        <v>231</v>
      </c>
      <c r="CC9" s="538">
        <f t="shared" si="14"/>
        <v>243</v>
      </c>
      <c r="CD9" s="538">
        <f t="shared" si="14"/>
        <v>925</v>
      </c>
      <c r="CE9" s="538">
        <f t="shared" si="14"/>
        <v>1023.9303345275772</v>
      </c>
      <c r="CF9" s="538">
        <f t="shared" si="14"/>
        <v>1141.3184062374492</v>
      </c>
      <c r="CG9" s="538">
        <f t="shared" si="14"/>
        <v>1256.1012041276826</v>
      </c>
      <c r="CH9" s="538">
        <f t="shared" si="14"/>
        <v>1375.2962768383172</v>
      </c>
      <c r="CI9" s="538">
        <f t="shared" ref="CI9:CM9" si="15">CI405</f>
        <v>1493.8175932967367</v>
      </c>
      <c r="CJ9" s="538">
        <f t="shared" si="15"/>
        <v>1611.7062691683584</v>
      </c>
      <c r="CK9" s="538">
        <f t="shared" si="15"/>
        <v>1729.0166005655117</v>
      </c>
      <c r="CL9" s="538">
        <f t="shared" si="15"/>
        <v>1845.8135369816328</v>
      </c>
      <c r="CM9" s="538">
        <f t="shared" si="15"/>
        <v>1962.1705076687817</v>
      </c>
      <c r="CN9" s="195"/>
      <c r="CO9" s="202"/>
      <c r="CP9" s="195"/>
      <c r="CQ9" s="195"/>
      <c r="CR9" s="195"/>
      <c r="CS9" s="173"/>
      <c r="CT9" s="195"/>
      <c r="DE9" s="195"/>
      <c r="DF9" s="195"/>
      <c r="DG9" s="195"/>
    </row>
    <row r="10" spans="1:111">
      <c r="A10" s="241" t="s">
        <v>811</v>
      </c>
      <c r="B10" s="537">
        <f>B413</f>
        <v>0</v>
      </c>
      <c r="C10" s="537">
        <f t="shared" ref="C10:BN10" si="16">C413</f>
        <v>0</v>
      </c>
      <c r="D10" s="537">
        <f t="shared" si="16"/>
        <v>0</v>
      </c>
      <c r="E10" s="537">
        <f t="shared" si="16"/>
        <v>0</v>
      </c>
      <c r="F10" s="537">
        <f t="shared" si="16"/>
        <v>0</v>
      </c>
      <c r="G10" s="537">
        <f t="shared" si="16"/>
        <v>0</v>
      </c>
      <c r="H10" s="537">
        <f t="shared" si="16"/>
        <v>0</v>
      </c>
      <c r="I10" s="537">
        <f t="shared" si="16"/>
        <v>0</v>
      </c>
      <c r="J10" s="537">
        <f t="shared" si="16"/>
        <v>0</v>
      </c>
      <c r="K10" s="537">
        <f t="shared" si="16"/>
        <v>0</v>
      </c>
      <c r="L10" s="537">
        <f t="shared" si="16"/>
        <v>0</v>
      </c>
      <c r="M10" s="537">
        <f t="shared" si="16"/>
        <v>0</v>
      </c>
      <c r="N10" s="537">
        <f t="shared" si="16"/>
        <v>0</v>
      </c>
      <c r="O10" s="537">
        <f t="shared" si="16"/>
        <v>0</v>
      </c>
      <c r="P10" s="537">
        <f t="shared" si="16"/>
        <v>0</v>
      </c>
      <c r="Q10" s="537">
        <f t="shared" si="16"/>
        <v>0</v>
      </c>
      <c r="R10" s="537">
        <f t="shared" si="16"/>
        <v>0</v>
      </c>
      <c r="S10" s="537">
        <f t="shared" si="16"/>
        <v>0</v>
      </c>
      <c r="T10" s="537">
        <f t="shared" si="16"/>
        <v>0</v>
      </c>
      <c r="U10" s="537">
        <f t="shared" si="16"/>
        <v>0</v>
      </c>
      <c r="V10" s="537">
        <f t="shared" si="16"/>
        <v>0</v>
      </c>
      <c r="W10" s="537">
        <f t="shared" si="16"/>
        <v>0</v>
      </c>
      <c r="X10" s="537">
        <f t="shared" si="16"/>
        <v>0</v>
      </c>
      <c r="Y10" s="537">
        <f t="shared" si="16"/>
        <v>0</v>
      </c>
      <c r="Z10" s="537">
        <f t="shared" si="16"/>
        <v>0</v>
      </c>
      <c r="AA10" s="537">
        <f t="shared" si="16"/>
        <v>0</v>
      </c>
      <c r="AB10" s="537">
        <f t="shared" si="16"/>
        <v>0</v>
      </c>
      <c r="AC10" s="537">
        <f t="shared" si="16"/>
        <v>0</v>
      </c>
      <c r="AD10" s="537">
        <f t="shared" si="16"/>
        <v>0</v>
      </c>
      <c r="AE10" s="537">
        <f t="shared" si="16"/>
        <v>0</v>
      </c>
      <c r="AF10" s="537">
        <f t="shared" si="16"/>
        <v>0</v>
      </c>
      <c r="AG10" s="537">
        <f t="shared" si="16"/>
        <v>0</v>
      </c>
      <c r="AH10" s="537">
        <f t="shared" si="16"/>
        <v>0</v>
      </c>
      <c r="AI10" s="537">
        <f t="shared" si="16"/>
        <v>0</v>
      </c>
      <c r="AJ10" s="537">
        <f t="shared" si="16"/>
        <v>0</v>
      </c>
      <c r="AK10" s="537">
        <f t="shared" si="16"/>
        <v>0</v>
      </c>
      <c r="AL10" s="537">
        <f t="shared" si="16"/>
        <v>0</v>
      </c>
      <c r="AM10" s="537">
        <f t="shared" si="16"/>
        <v>0</v>
      </c>
      <c r="AN10" s="537">
        <f t="shared" si="16"/>
        <v>0</v>
      </c>
      <c r="AO10" s="537">
        <f t="shared" si="16"/>
        <v>0</v>
      </c>
      <c r="AP10" s="537">
        <f t="shared" si="16"/>
        <v>0</v>
      </c>
      <c r="AQ10" s="537">
        <f t="shared" si="16"/>
        <v>0</v>
      </c>
      <c r="AR10" s="537">
        <f t="shared" si="16"/>
        <v>0</v>
      </c>
      <c r="AS10" s="537">
        <f t="shared" si="16"/>
        <v>0</v>
      </c>
      <c r="AT10" s="537">
        <f t="shared" si="16"/>
        <v>0</v>
      </c>
      <c r="AU10" s="537">
        <f t="shared" si="16"/>
        <v>0</v>
      </c>
      <c r="AV10" s="537">
        <f t="shared" si="16"/>
        <v>0</v>
      </c>
      <c r="AW10" s="537">
        <f t="shared" si="16"/>
        <v>0</v>
      </c>
      <c r="AX10" s="537">
        <f t="shared" si="16"/>
        <v>0</v>
      </c>
      <c r="AY10" s="537">
        <f t="shared" si="16"/>
        <v>0</v>
      </c>
      <c r="AZ10" s="537">
        <f t="shared" si="16"/>
        <v>0</v>
      </c>
      <c r="BA10" s="537">
        <f t="shared" si="16"/>
        <v>0</v>
      </c>
      <c r="BB10" s="537">
        <f t="shared" si="16"/>
        <v>0</v>
      </c>
      <c r="BC10" s="537">
        <f t="shared" si="16"/>
        <v>0</v>
      </c>
      <c r="BD10" s="537">
        <f t="shared" si="16"/>
        <v>0</v>
      </c>
      <c r="BE10" s="537">
        <f t="shared" si="16"/>
        <v>0</v>
      </c>
      <c r="BF10" s="537">
        <f t="shared" si="16"/>
        <v>0</v>
      </c>
      <c r="BG10" s="537">
        <f t="shared" si="16"/>
        <v>0</v>
      </c>
      <c r="BH10" s="537">
        <f t="shared" si="16"/>
        <v>0</v>
      </c>
      <c r="BI10" s="537">
        <f t="shared" si="16"/>
        <v>0</v>
      </c>
      <c r="BJ10" s="537">
        <f t="shared" si="16"/>
        <v>0</v>
      </c>
      <c r="BK10" s="537">
        <f t="shared" si="16"/>
        <v>0</v>
      </c>
      <c r="BL10" s="537">
        <f t="shared" si="16"/>
        <v>0</v>
      </c>
      <c r="BM10" s="537">
        <f t="shared" si="16"/>
        <v>0</v>
      </c>
      <c r="BN10" s="537">
        <f t="shared" si="16"/>
        <v>0</v>
      </c>
      <c r="BO10" s="537">
        <f t="shared" ref="BO10:CH10" si="17">BO413</f>
        <v>0</v>
      </c>
      <c r="BP10" s="537">
        <f t="shared" si="17"/>
        <v>368</v>
      </c>
      <c r="BQ10" s="537">
        <f t="shared" si="17"/>
        <v>371</v>
      </c>
      <c r="BR10" s="537">
        <f t="shared" si="17"/>
        <v>380</v>
      </c>
      <c r="BS10" s="537">
        <f t="shared" si="17"/>
        <v>399</v>
      </c>
      <c r="BT10" s="537">
        <f t="shared" si="17"/>
        <v>1518</v>
      </c>
      <c r="BU10" s="537">
        <f t="shared" si="17"/>
        <v>388</v>
      </c>
      <c r="BV10" s="537">
        <f t="shared" si="17"/>
        <v>386</v>
      </c>
      <c r="BW10" s="537">
        <f t="shared" si="17"/>
        <v>387</v>
      </c>
      <c r="BX10" s="537">
        <f t="shared" si="17"/>
        <v>364</v>
      </c>
      <c r="BY10" s="537">
        <f t="shared" si="17"/>
        <v>1525</v>
      </c>
      <c r="BZ10" s="537">
        <f t="shared" si="17"/>
        <v>365</v>
      </c>
      <c r="CA10" s="537">
        <f t="shared" si="17"/>
        <v>362</v>
      </c>
      <c r="CB10" s="537">
        <f t="shared" si="17"/>
        <v>380</v>
      </c>
      <c r="CC10" s="537">
        <f t="shared" si="17"/>
        <v>401</v>
      </c>
      <c r="CD10" s="537">
        <f t="shared" si="17"/>
        <v>1508</v>
      </c>
      <c r="CE10" s="537">
        <f t="shared" si="17"/>
        <v>1583.4</v>
      </c>
      <c r="CF10" s="537">
        <f t="shared" si="17"/>
        <v>1662.5700000000002</v>
      </c>
      <c r="CG10" s="537">
        <f t="shared" si="17"/>
        <v>1745.6985000000002</v>
      </c>
      <c r="CH10" s="537">
        <f t="shared" si="17"/>
        <v>1832.9834250000004</v>
      </c>
      <c r="CI10" s="537">
        <f t="shared" ref="CI10:CM10" si="18">CI413</f>
        <v>1924.6325962500005</v>
      </c>
      <c r="CJ10" s="537">
        <f t="shared" si="18"/>
        <v>2020.8642260625006</v>
      </c>
      <c r="CK10" s="537">
        <f t="shared" si="18"/>
        <v>2121.9074373656258</v>
      </c>
      <c r="CL10" s="537">
        <f t="shared" si="18"/>
        <v>2228.0028092339071</v>
      </c>
      <c r="CM10" s="537">
        <f t="shared" si="18"/>
        <v>2339.4029496956027</v>
      </c>
      <c r="CN10" s="195"/>
      <c r="CO10" s="202"/>
      <c r="CP10" s="195"/>
      <c r="CQ10" s="195"/>
      <c r="CR10" s="195"/>
      <c r="CS10" s="173"/>
      <c r="CT10" s="195"/>
      <c r="DE10" s="195"/>
      <c r="DF10" s="195"/>
      <c r="DG10" s="195"/>
    </row>
    <row r="11" spans="1:111">
      <c r="A11" s="173" t="s">
        <v>726</v>
      </c>
      <c r="B11" s="538">
        <f>B411</f>
        <v>0</v>
      </c>
      <c r="C11" s="538">
        <f t="shared" ref="C11:BN11" si="19">C411</f>
        <v>0</v>
      </c>
      <c r="D11" s="538">
        <f t="shared" si="19"/>
        <v>0</v>
      </c>
      <c r="E11" s="538">
        <f t="shared" si="19"/>
        <v>0</v>
      </c>
      <c r="F11" s="538">
        <f t="shared" si="19"/>
        <v>0</v>
      </c>
      <c r="G11" s="538">
        <f t="shared" si="19"/>
        <v>0</v>
      </c>
      <c r="H11" s="538">
        <f t="shared" si="19"/>
        <v>0</v>
      </c>
      <c r="I11" s="538">
        <f t="shared" si="19"/>
        <v>0</v>
      </c>
      <c r="J11" s="538">
        <f t="shared" si="19"/>
        <v>0</v>
      </c>
      <c r="K11" s="538">
        <f t="shared" si="19"/>
        <v>0</v>
      </c>
      <c r="L11" s="538">
        <f t="shared" si="19"/>
        <v>0</v>
      </c>
      <c r="M11" s="538">
        <f t="shared" si="19"/>
        <v>0</v>
      </c>
      <c r="N11" s="538">
        <f t="shared" si="19"/>
        <v>0</v>
      </c>
      <c r="O11" s="538">
        <f t="shared" si="19"/>
        <v>0</v>
      </c>
      <c r="P11" s="538">
        <f t="shared" si="19"/>
        <v>0</v>
      </c>
      <c r="Q11" s="538">
        <f t="shared" si="19"/>
        <v>0</v>
      </c>
      <c r="R11" s="538">
        <f t="shared" si="19"/>
        <v>0</v>
      </c>
      <c r="S11" s="538">
        <f t="shared" si="19"/>
        <v>0</v>
      </c>
      <c r="T11" s="538">
        <f t="shared" si="19"/>
        <v>0</v>
      </c>
      <c r="U11" s="538">
        <f t="shared" si="19"/>
        <v>0</v>
      </c>
      <c r="V11" s="538">
        <f t="shared" si="19"/>
        <v>0</v>
      </c>
      <c r="W11" s="538">
        <f t="shared" si="19"/>
        <v>0</v>
      </c>
      <c r="X11" s="538">
        <f t="shared" si="19"/>
        <v>0</v>
      </c>
      <c r="Y11" s="538">
        <f t="shared" si="19"/>
        <v>0</v>
      </c>
      <c r="Z11" s="538">
        <f t="shared" si="19"/>
        <v>0</v>
      </c>
      <c r="AA11" s="538">
        <f t="shared" si="19"/>
        <v>0</v>
      </c>
      <c r="AB11" s="538">
        <f t="shared" si="19"/>
        <v>0</v>
      </c>
      <c r="AC11" s="538">
        <f t="shared" si="19"/>
        <v>0</v>
      </c>
      <c r="AD11" s="538">
        <f t="shared" si="19"/>
        <v>0</v>
      </c>
      <c r="AE11" s="538">
        <f t="shared" si="19"/>
        <v>0</v>
      </c>
      <c r="AF11" s="538">
        <f t="shared" si="19"/>
        <v>0</v>
      </c>
      <c r="AG11" s="538">
        <f t="shared" si="19"/>
        <v>0</v>
      </c>
      <c r="AH11" s="538">
        <f t="shared" si="19"/>
        <v>0</v>
      </c>
      <c r="AI11" s="538">
        <f t="shared" si="19"/>
        <v>0</v>
      </c>
      <c r="AJ11" s="538">
        <f t="shared" si="19"/>
        <v>0</v>
      </c>
      <c r="AK11" s="538">
        <f t="shared" si="19"/>
        <v>0</v>
      </c>
      <c r="AL11" s="538">
        <f t="shared" si="19"/>
        <v>0</v>
      </c>
      <c r="AM11" s="538">
        <f t="shared" si="19"/>
        <v>0</v>
      </c>
      <c r="AN11" s="538">
        <f t="shared" si="19"/>
        <v>0</v>
      </c>
      <c r="AO11" s="538">
        <f t="shared" si="19"/>
        <v>0</v>
      </c>
      <c r="AP11" s="538">
        <f t="shared" si="19"/>
        <v>0</v>
      </c>
      <c r="AQ11" s="538">
        <f t="shared" si="19"/>
        <v>0</v>
      </c>
      <c r="AR11" s="538">
        <f t="shared" si="19"/>
        <v>0</v>
      </c>
      <c r="AS11" s="538">
        <f t="shared" si="19"/>
        <v>0</v>
      </c>
      <c r="AT11" s="538">
        <f t="shared" si="19"/>
        <v>0</v>
      </c>
      <c r="AU11" s="538">
        <f t="shared" si="19"/>
        <v>0</v>
      </c>
      <c r="AV11" s="538">
        <f t="shared" si="19"/>
        <v>0</v>
      </c>
      <c r="AW11" s="538">
        <f t="shared" si="19"/>
        <v>0</v>
      </c>
      <c r="AX11" s="538">
        <f t="shared" si="19"/>
        <v>0</v>
      </c>
      <c r="AY11" s="538">
        <f t="shared" si="19"/>
        <v>0</v>
      </c>
      <c r="AZ11" s="538">
        <f t="shared" si="19"/>
        <v>0</v>
      </c>
      <c r="BA11" s="538">
        <f t="shared" si="19"/>
        <v>0</v>
      </c>
      <c r="BB11" s="538">
        <f t="shared" si="19"/>
        <v>0</v>
      </c>
      <c r="BC11" s="538">
        <f t="shared" si="19"/>
        <v>0</v>
      </c>
      <c r="BD11" s="538">
        <f t="shared" si="19"/>
        <v>0</v>
      </c>
      <c r="BE11" s="538">
        <f t="shared" si="19"/>
        <v>0</v>
      </c>
      <c r="BF11" s="538">
        <f t="shared" si="19"/>
        <v>0</v>
      </c>
      <c r="BG11" s="538">
        <f t="shared" si="19"/>
        <v>0</v>
      </c>
      <c r="BH11" s="538">
        <f t="shared" si="19"/>
        <v>0</v>
      </c>
      <c r="BI11" s="538">
        <f t="shared" si="19"/>
        <v>0</v>
      </c>
      <c r="BJ11" s="538">
        <f t="shared" si="19"/>
        <v>0</v>
      </c>
      <c r="BK11" s="538">
        <f t="shared" si="19"/>
        <v>0</v>
      </c>
      <c r="BL11" s="538">
        <f t="shared" si="19"/>
        <v>0</v>
      </c>
      <c r="BM11" s="538">
        <f t="shared" si="19"/>
        <v>0</v>
      </c>
      <c r="BN11" s="538">
        <f t="shared" si="19"/>
        <v>0</v>
      </c>
      <c r="BO11" s="538">
        <f t="shared" ref="BO11:CH11" si="20">BO411</f>
        <v>0</v>
      </c>
      <c r="BP11" s="538">
        <f t="shared" si="20"/>
        <v>180</v>
      </c>
      <c r="BQ11" s="538">
        <f t="shared" si="20"/>
        <v>185</v>
      </c>
      <c r="BR11" s="538">
        <f t="shared" si="20"/>
        <v>186</v>
      </c>
      <c r="BS11" s="538">
        <f t="shared" si="20"/>
        <v>189</v>
      </c>
      <c r="BT11" s="538">
        <f t="shared" si="20"/>
        <v>740</v>
      </c>
      <c r="BU11" s="538">
        <f t="shared" si="20"/>
        <v>185</v>
      </c>
      <c r="BV11" s="538">
        <f t="shared" si="20"/>
        <v>185</v>
      </c>
      <c r="BW11" s="538">
        <f t="shared" si="20"/>
        <v>199</v>
      </c>
      <c r="BX11" s="538">
        <f t="shared" si="20"/>
        <v>207</v>
      </c>
      <c r="BY11" s="538">
        <f t="shared" si="20"/>
        <v>776</v>
      </c>
      <c r="BZ11" s="538">
        <f t="shared" si="20"/>
        <v>200</v>
      </c>
      <c r="CA11" s="538">
        <f t="shared" si="20"/>
        <v>201</v>
      </c>
      <c r="CB11" s="538">
        <f t="shared" si="20"/>
        <v>200</v>
      </c>
      <c r="CC11" s="538">
        <f t="shared" si="20"/>
        <v>205</v>
      </c>
      <c r="CD11" s="538">
        <f t="shared" si="20"/>
        <v>806</v>
      </c>
      <c r="CE11" s="538">
        <f t="shared" si="20"/>
        <v>0</v>
      </c>
      <c r="CF11" s="538">
        <f t="shared" si="20"/>
        <v>0</v>
      </c>
      <c r="CG11" s="538">
        <f t="shared" si="20"/>
        <v>0</v>
      </c>
      <c r="CH11" s="538">
        <f t="shared" si="20"/>
        <v>0</v>
      </c>
      <c r="CI11" s="538">
        <f t="shared" ref="CI11:CM11" si="21">CI411</f>
        <v>0</v>
      </c>
      <c r="CJ11" s="538">
        <f t="shared" si="21"/>
        <v>0</v>
      </c>
      <c r="CK11" s="538">
        <f t="shared" si="21"/>
        <v>0</v>
      </c>
      <c r="CL11" s="538">
        <f t="shared" si="21"/>
        <v>0</v>
      </c>
      <c r="CM11" s="538">
        <f t="shared" si="21"/>
        <v>0</v>
      </c>
      <c r="CN11" s="195"/>
      <c r="CO11" s="202"/>
      <c r="CP11" s="195"/>
      <c r="CQ11" s="195"/>
      <c r="CR11" s="195"/>
      <c r="CS11" s="173"/>
      <c r="CT11" s="195"/>
      <c r="DE11" s="195"/>
      <c r="DF11" s="195"/>
      <c r="DG11" s="195"/>
    </row>
    <row r="12" spans="1:111">
      <c r="A12" s="173" t="s">
        <v>712</v>
      </c>
      <c r="B12" s="538">
        <f>B412</f>
        <v>0</v>
      </c>
      <c r="C12" s="538">
        <f t="shared" ref="C12:BN12" si="22">C412</f>
        <v>0</v>
      </c>
      <c r="D12" s="538">
        <f t="shared" si="22"/>
        <v>0</v>
      </c>
      <c r="E12" s="538">
        <f t="shared" si="22"/>
        <v>0</v>
      </c>
      <c r="F12" s="538">
        <f t="shared" si="22"/>
        <v>0</v>
      </c>
      <c r="G12" s="538">
        <f t="shared" si="22"/>
        <v>0</v>
      </c>
      <c r="H12" s="538">
        <f t="shared" si="22"/>
        <v>0</v>
      </c>
      <c r="I12" s="538">
        <f t="shared" si="22"/>
        <v>0</v>
      </c>
      <c r="J12" s="538">
        <f t="shared" si="22"/>
        <v>0</v>
      </c>
      <c r="K12" s="538">
        <f t="shared" si="22"/>
        <v>0</v>
      </c>
      <c r="L12" s="538">
        <f t="shared" si="22"/>
        <v>0</v>
      </c>
      <c r="M12" s="538">
        <f t="shared" si="22"/>
        <v>0</v>
      </c>
      <c r="N12" s="538">
        <f t="shared" si="22"/>
        <v>0</v>
      </c>
      <c r="O12" s="538">
        <f t="shared" si="22"/>
        <v>0</v>
      </c>
      <c r="P12" s="538">
        <f t="shared" si="22"/>
        <v>0</v>
      </c>
      <c r="Q12" s="538">
        <f t="shared" si="22"/>
        <v>0</v>
      </c>
      <c r="R12" s="538">
        <f t="shared" si="22"/>
        <v>0</v>
      </c>
      <c r="S12" s="538">
        <f t="shared" si="22"/>
        <v>0</v>
      </c>
      <c r="T12" s="538">
        <f t="shared" si="22"/>
        <v>0</v>
      </c>
      <c r="U12" s="538">
        <f t="shared" si="22"/>
        <v>0</v>
      </c>
      <c r="V12" s="538">
        <f t="shared" si="22"/>
        <v>0</v>
      </c>
      <c r="W12" s="538">
        <f t="shared" si="22"/>
        <v>0</v>
      </c>
      <c r="X12" s="538">
        <f t="shared" si="22"/>
        <v>0</v>
      </c>
      <c r="Y12" s="538">
        <f t="shared" si="22"/>
        <v>0</v>
      </c>
      <c r="Z12" s="538">
        <f t="shared" si="22"/>
        <v>0</v>
      </c>
      <c r="AA12" s="538">
        <f t="shared" si="22"/>
        <v>0</v>
      </c>
      <c r="AB12" s="538">
        <f t="shared" si="22"/>
        <v>0</v>
      </c>
      <c r="AC12" s="538">
        <f t="shared" si="22"/>
        <v>0</v>
      </c>
      <c r="AD12" s="538">
        <f t="shared" si="22"/>
        <v>0</v>
      </c>
      <c r="AE12" s="538">
        <f t="shared" si="22"/>
        <v>0</v>
      </c>
      <c r="AF12" s="538">
        <f t="shared" si="22"/>
        <v>0</v>
      </c>
      <c r="AG12" s="538">
        <f t="shared" si="22"/>
        <v>0</v>
      </c>
      <c r="AH12" s="538">
        <f t="shared" si="22"/>
        <v>0</v>
      </c>
      <c r="AI12" s="538">
        <f t="shared" si="22"/>
        <v>0</v>
      </c>
      <c r="AJ12" s="538">
        <f t="shared" si="22"/>
        <v>0</v>
      </c>
      <c r="AK12" s="538">
        <f t="shared" si="22"/>
        <v>0</v>
      </c>
      <c r="AL12" s="538">
        <f t="shared" si="22"/>
        <v>0</v>
      </c>
      <c r="AM12" s="538">
        <f t="shared" si="22"/>
        <v>0</v>
      </c>
      <c r="AN12" s="538">
        <f t="shared" si="22"/>
        <v>0</v>
      </c>
      <c r="AO12" s="538">
        <f t="shared" si="22"/>
        <v>0</v>
      </c>
      <c r="AP12" s="538">
        <f t="shared" si="22"/>
        <v>0</v>
      </c>
      <c r="AQ12" s="538">
        <f t="shared" si="22"/>
        <v>0</v>
      </c>
      <c r="AR12" s="538">
        <f t="shared" si="22"/>
        <v>0</v>
      </c>
      <c r="AS12" s="538">
        <f t="shared" si="22"/>
        <v>0</v>
      </c>
      <c r="AT12" s="538">
        <f t="shared" si="22"/>
        <v>0</v>
      </c>
      <c r="AU12" s="538">
        <f t="shared" si="22"/>
        <v>0</v>
      </c>
      <c r="AV12" s="538">
        <f t="shared" si="22"/>
        <v>0</v>
      </c>
      <c r="AW12" s="538">
        <f t="shared" si="22"/>
        <v>0</v>
      </c>
      <c r="AX12" s="538">
        <f t="shared" si="22"/>
        <v>0</v>
      </c>
      <c r="AY12" s="538">
        <f t="shared" si="22"/>
        <v>0</v>
      </c>
      <c r="AZ12" s="538">
        <f t="shared" si="22"/>
        <v>0</v>
      </c>
      <c r="BA12" s="538">
        <f t="shared" si="22"/>
        <v>0</v>
      </c>
      <c r="BB12" s="538">
        <f t="shared" si="22"/>
        <v>0</v>
      </c>
      <c r="BC12" s="538">
        <f t="shared" si="22"/>
        <v>0</v>
      </c>
      <c r="BD12" s="538">
        <f t="shared" si="22"/>
        <v>0</v>
      </c>
      <c r="BE12" s="538">
        <f t="shared" si="22"/>
        <v>0</v>
      </c>
      <c r="BF12" s="538">
        <f t="shared" si="22"/>
        <v>0</v>
      </c>
      <c r="BG12" s="538">
        <f t="shared" si="22"/>
        <v>0</v>
      </c>
      <c r="BH12" s="538">
        <f t="shared" si="22"/>
        <v>0</v>
      </c>
      <c r="BI12" s="538">
        <f t="shared" si="22"/>
        <v>0</v>
      </c>
      <c r="BJ12" s="538">
        <f t="shared" si="22"/>
        <v>0</v>
      </c>
      <c r="BK12" s="538">
        <f t="shared" si="22"/>
        <v>0</v>
      </c>
      <c r="BL12" s="538">
        <f t="shared" si="22"/>
        <v>0</v>
      </c>
      <c r="BM12" s="538">
        <f t="shared" si="22"/>
        <v>0</v>
      </c>
      <c r="BN12" s="538">
        <f t="shared" si="22"/>
        <v>0</v>
      </c>
      <c r="BO12" s="538">
        <f t="shared" ref="BO12:CH12" si="23">BO412</f>
        <v>0</v>
      </c>
      <c r="BP12" s="538">
        <f t="shared" si="23"/>
        <v>188</v>
      </c>
      <c r="BQ12" s="538">
        <f t="shared" si="23"/>
        <v>186</v>
      </c>
      <c r="BR12" s="538">
        <f t="shared" si="23"/>
        <v>194</v>
      </c>
      <c r="BS12" s="538">
        <f t="shared" si="23"/>
        <v>210</v>
      </c>
      <c r="BT12" s="538">
        <f t="shared" si="23"/>
        <v>778</v>
      </c>
      <c r="BU12" s="538">
        <f t="shared" si="23"/>
        <v>203</v>
      </c>
      <c r="BV12" s="538">
        <f t="shared" si="23"/>
        <v>201</v>
      </c>
      <c r="BW12" s="538">
        <f t="shared" si="23"/>
        <v>188</v>
      </c>
      <c r="BX12" s="538">
        <f t="shared" si="23"/>
        <v>157</v>
      </c>
      <c r="BY12" s="538">
        <f t="shared" si="23"/>
        <v>749</v>
      </c>
      <c r="BZ12" s="538">
        <f t="shared" si="23"/>
        <v>165</v>
      </c>
      <c r="CA12" s="538">
        <f t="shared" si="23"/>
        <v>161</v>
      </c>
      <c r="CB12" s="538">
        <f t="shared" si="23"/>
        <v>180</v>
      </c>
      <c r="CC12" s="538">
        <f t="shared" si="23"/>
        <v>196</v>
      </c>
      <c r="CD12" s="538">
        <f t="shared" si="23"/>
        <v>702</v>
      </c>
      <c r="CE12" s="538">
        <f t="shared" si="23"/>
        <v>0</v>
      </c>
      <c r="CF12" s="538">
        <f t="shared" si="23"/>
        <v>0</v>
      </c>
      <c r="CG12" s="538">
        <f t="shared" si="23"/>
        <v>0</v>
      </c>
      <c r="CH12" s="538">
        <f t="shared" si="23"/>
        <v>0</v>
      </c>
      <c r="CI12" s="538">
        <f t="shared" ref="CI12:CM12" si="24">CI412</f>
        <v>0</v>
      </c>
      <c r="CJ12" s="538">
        <f t="shared" si="24"/>
        <v>0</v>
      </c>
      <c r="CK12" s="538">
        <f t="shared" si="24"/>
        <v>0</v>
      </c>
      <c r="CL12" s="538">
        <f t="shared" si="24"/>
        <v>0</v>
      </c>
      <c r="CM12" s="538">
        <f t="shared" si="24"/>
        <v>0</v>
      </c>
      <c r="CN12" s="195"/>
      <c r="CO12" s="202"/>
      <c r="CP12" s="195"/>
      <c r="CQ12" s="195"/>
      <c r="CR12" s="195"/>
      <c r="CS12" s="173"/>
      <c r="CT12" s="195"/>
      <c r="DE12" s="195"/>
      <c r="DF12" s="195"/>
      <c r="DG12" s="195"/>
    </row>
    <row r="13" spans="1:111" s="265" customFormat="1">
      <c r="A13" s="539" t="s">
        <v>263</v>
      </c>
      <c r="B13" s="266">
        <f t="shared" ref="B13:AG13" si="25">B416</f>
        <v>0</v>
      </c>
      <c r="C13" s="266">
        <f t="shared" si="25"/>
        <v>0</v>
      </c>
      <c r="D13" s="266">
        <f t="shared" si="25"/>
        <v>0</v>
      </c>
      <c r="E13" s="266">
        <f t="shared" si="25"/>
        <v>0</v>
      </c>
      <c r="F13" s="266">
        <f t="shared" si="25"/>
        <v>0</v>
      </c>
      <c r="G13" s="266">
        <f t="shared" si="25"/>
        <v>0</v>
      </c>
      <c r="H13" s="266">
        <f t="shared" si="25"/>
        <v>0</v>
      </c>
      <c r="I13" s="266">
        <f t="shared" si="25"/>
        <v>0</v>
      </c>
      <c r="J13" s="266">
        <f t="shared" si="25"/>
        <v>0</v>
      </c>
      <c r="K13" s="266">
        <f t="shared" si="25"/>
        <v>0</v>
      </c>
      <c r="L13" s="266">
        <f t="shared" si="25"/>
        <v>0</v>
      </c>
      <c r="M13" s="266">
        <f t="shared" si="25"/>
        <v>0</v>
      </c>
      <c r="N13" s="266">
        <f t="shared" si="25"/>
        <v>0</v>
      </c>
      <c r="O13" s="266">
        <f t="shared" si="25"/>
        <v>0</v>
      </c>
      <c r="P13" s="266">
        <f t="shared" si="25"/>
        <v>0</v>
      </c>
      <c r="Q13" s="266">
        <f t="shared" si="25"/>
        <v>0</v>
      </c>
      <c r="R13" s="266">
        <f t="shared" si="25"/>
        <v>0</v>
      </c>
      <c r="S13" s="266">
        <f t="shared" si="25"/>
        <v>0</v>
      </c>
      <c r="T13" s="266">
        <f t="shared" si="25"/>
        <v>0</v>
      </c>
      <c r="U13" s="266">
        <f t="shared" si="25"/>
        <v>0</v>
      </c>
      <c r="V13" s="266">
        <f t="shared" si="25"/>
        <v>0</v>
      </c>
      <c r="W13" s="266">
        <f t="shared" si="25"/>
        <v>2089</v>
      </c>
      <c r="X13" s="266">
        <f t="shared" si="25"/>
        <v>2144</v>
      </c>
      <c r="Y13" s="266">
        <f t="shared" si="25"/>
        <v>2128</v>
      </c>
      <c r="Z13" s="266">
        <f t="shared" si="25"/>
        <v>2177</v>
      </c>
      <c r="AA13" s="266">
        <f t="shared" si="25"/>
        <v>8538</v>
      </c>
      <c r="AB13" s="266">
        <f t="shared" si="25"/>
        <v>2143</v>
      </c>
      <c r="AC13" s="266">
        <f t="shared" si="25"/>
        <v>0</v>
      </c>
      <c r="AD13" s="266">
        <f t="shared" si="25"/>
        <v>0</v>
      </c>
      <c r="AE13" s="266">
        <f t="shared" si="25"/>
        <v>0</v>
      </c>
      <c r="AF13" s="266">
        <f t="shared" si="25"/>
        <v>2143</v>
      </c>
      <c r="AG13" s="266">
        <f t="shared" si="25"/>
        <v>2037</v>
      </c>
      <c r="AH13" s="266">
        <f t="shared" ref="AH13:BM13" si="26">AH416</f>
        <v>2046</v>
      </c>
      <c r="AI13" s="266">
        <f t="shared" si="26"/>
        <v>2041</v>
      </c>
      <c r="AJ13" s="266">
        <f t="shared" si="26"/>
        <v>2090</v>
      </c>
      <c r="AK13" s="266">
        <f t="shared" si="26"/>
        <v>8214</v>
      </c>
      <c r="AL13" s="266">
        <f t="shared" si="26"/>
        <v>2122</v>
      </c>
      <c r="AM13" s="266">
        <f t="shared" si="26"/>
        <v>2089</v>
      </c>
      <c r="AN13" s="266">
        <f t="shared" si="26"/>
        <v>2154</v>
      </c>
      <c r="AO13" s="266">
        <f t="shared" si="26"/>
        <v>2155</v>
      </c>
      <c r="AP13" s="266">
        <f t="shared" si="26"/>
        <v>8520</v>
      </c>
      <c r="AQ13" s="266">
        <f t="shared" si="26"/>
        <v>2122</v>
      </c>
      <c r="AR13" s="266">
        <f t="shared" si="26"/>
        <v>2055</v>
      </c>
      <c r="AS13" s="266">
        <f t="shared" si="26"/>
        <v>2113</v>
      </c>
      <c r="AT13" s="266">
        <f t="shared" si="26"/>
        <v>2165</v>
      </c>
      <c r="AU13" s="266">
        <f t="shared" si="26"/>
        <v>8455</v>
      </c>
      <c r="AV13" s="266">
        <f t="shared" si="26"/>
        <v>2076</v>
      </c>
      <c r="AW13" s="266">
        <f t="shared" si="26"/>
        <v>2069</v>
      </c>
      <c r="AX13" s="267">
        <f t="shared" si="26"/>
        <v>2090</v>
      </c>
      <c r="AY13" s="267">
        <f t="shared" si="26"/>
        <v>2036</v>
      </c>
      <c r="AZ13" s="266">
        <f t="shared" si="26"/>
        <v>8271</v>
      </c>
      <c r="BA13" s="266">
        <f t="shared" si="26"/>
        <v>1980</v>
      </c>
      <c r="BB13" s="266">
        <f t="shared" si="26"/>
        <v>2013</v>
      </c>
      <c r="BC13" s="266">
        <f t="shared" si="26"/>
        <v>2027</v>
      </c>
      <c r="BD13" s="266">
        <f t="shared" si="26"/>
        <v>2048</v>
      </c>
      <c r="BE13" s="266">
        <f t="shared" si="26"/>
        <v>8068</v>
      </c>
      <c r="BF13" s="266">
        <f t="shared" si="26"/>
        <v>1947</v>
      </c>
      <c r="BG13" s="266">
        <f t="shared" si="26"/>
        <v>1918</v>
      </c>
      <c r="BH13" s="266">
        <f t="shared" si="26"/>
        <v>1940</v>
      </c>
      <c r="BI13" s="266">
        <f t="shared" si="26"/>
        <v>1992</v>
      </c>
      <c r="BJ13" s="266">
        <f t="shared" si="26"/>
        <v>7797</v>
      </c>
      <c r="BK13" s="266">
        <f t="shared" si="26"/>
        <v>1940</v>
      </c>
      <c r="BL13" s="266">
        <f t="shared" si="26"/>
        <v>1900</v>
      </c>
      <c r="BM13" s="266">
        <f t="shared" si="26"/>
        <v>1940</v>
      </c>
      <c r="BN13" s="266">
        <f t="shared" ref="BN13:CM13" si="27">BN416</f>
        <v>1945</v>
      </c>
      <c r="BO13" s="266">
        <f t="shared" si="27"/>
        <v>7725</v>
      </c>
      <c r="BP13" s="266">
        <f t="shared" si="27"/>
        <v>1971</v>
      </c>
      <c r="BQ13" s="266">
        <f t="shared" si="27"/>
        <v>1997</v>
      </c>
      <c r="BR13" s="266">
        <f t="shared" si="27"/>
        <v>2033</v>
      </c>
      <c r="BS13" s="266">
        <f t="shared" si="27"/>
        <v>2016</v>
      </c>
      <c r="BT13" s="266">
        <f t="shared" si="27"/>
        <v>8017</v>
      </c>
      <c r="BU13" s="266">
        <f t="shared" si="27"/>
        <v>2030</v>
      </c>
      <c r="BV13" s="266">
        <f t="shared" si="27"/>
        <v>2084</v>
      </c>
      <c r="BW13" s="266">
        <f t="shared" si="27"/>
        <v>2108</v>
      </c>
      <c r="BX13" s="266">
        <f t="shared" si="27"/>
        <v>2114</v>
      </c>
      <c r="BY13" s="266">
        <f t="shared" si="27"/>
        <v>8336</v>
      </c>
      <c r="BZ13" s="266">
        <f t="shared" si="27"/>
        <v>2112</v>
      </c>
      <c r="CA13" s="266">
        <f t="shared" ref="CA13:CB13" si="28">CA416</f>
        <v>2113</v>
      </c>
      <c r="CB13" s="266">
        <f t="shared" si="28"/>
        <v>2145</v>
      </c>
      <c r="CC13" s="266">
        <f t="shared" ref="CC13" si="29">CC416</f>
        <v>2202</v>
      </c>
      <c r="CD13" s="266">
        <f t="shared" si="27"/>
        <v>8572</v>
      </c>
      <c r="CE13" s="266">
        <f t="shared" si="27"/>
        <v>8875.3896274259423</v>
      </c>
      <c r="CF13" s="266">
        <f t="shared" si="27"/>
        <v>9166.2852194545703</v>
      </c>
      <c r="CG13" s="266">
        <f t="shared" si="27"/>
        <v>9453.9064472295577</v>
      </c>
      <c r="CH13" s="266">
        <f t="shared" si="27"/>
        <v>9775.722393658667</v>
      </c>
      <c r="CI13" s="266">
        <f t="shared" si="27"/>
        <v>10129.040073373551</v>
      </c>
      <c r="CJ13" s="266">
        <f t="shared" si="27"/>
        <v>10482.504131796224</v>
      </c>
      <c r="CK13" s="266">
        <f t="shared" si="27"/>
        <v>10836.841471596532</v>
      </c>
      <c r="CL13" s="266">
        <f t="shared" si="27"/>
        <v>11192.762964870637</v>
      </c>
      <c r="CM13" s="266">
        <f t="shared" si="27"/>
        <v>11550.96524936147</v>
      </c>
      <c r="CN13" s="202"/>
      <c r="CO13" s="202"/>
      <c r="CP13" s="202"/>
      <c r="CQ13" s="202"/>
      <c r="CR13" s="202"/>
      <c r="CS13" s="202"/>
      <c r="CT13" s="202"/>
      <c r="DE13" s="202"/>
      <c r="DF13" s="202"/>
      <c r="DG13" s="202"/>
    </row>
    <row r="14" spans="1:111">
      <c r="A14" s="195" t="s">
        <v>0</v>
      </c>
      <c r="B14" s="241"/>
      <c r="C14" s="241"/>
      <c r="D14" s="241"/>
      <c r="E14" s="241"/>
      <c r="F14" s="241"/>
      <c r="G14" s="207" t="e">
        <f>G13/B13-1</f>
        <v>#DIV/0!</v>
      </c>
      <c r="H14" s="207"/>
      <c r="I14" s="207"/>
      <c r="J14" s="207"/>
      <c r="K14" s="207" t="e">
        <f t="shared" ref="K14" si="30">K13/F13-1</f>
        <v>#DIV/0!</v>
      </c>
      <c r="L14" s="207" t="e">
        <f t="shared" ref="L14" si="31">L13/G13-1</f>
        <v>#DIV/0!</v>
      </c>
      <c r="M14" s="207" t="e">
        <f t="shared" ref="M14" si="32">M13/H13-1</f>
        <v>#DIV/0!</v>
      </c>
      <c r="N14" s="207" t="e">
        <f t="shared" ref="N14" si="33">N13/I13-1</f>
        <v>#DIV/0!</v>
      </c>
      <c r="O14" s="207" t="e">
        <f t="shared" ref="O14" si="34">O13/J13-1</f>
        <v>#DIV/0!</v>
      </c>
      <c r="P14" s="207" t="e">
        <f t="shared" ref="P14" si="35">P13/K13-1</f>
        <v>#DIV/0!</v>
      </c>
      <c r="Q14" s="207" t="e">
        <f t="shared" ref="Q14" si="36">Q13/L13-1</f>
        <v>#DIV/0!</v>
      </c>
      <c r="R14" s="207" t="e">
        <f t="shared" ref="R14" si="37">R13/M13-1</f>
        <v>#DIV/0!</v>
      </c>
      <c r="S14" s="207" t="e">
        <f t="shared" ref="S14" si="38">S13/N13-1</f>
        <v>#DIV/0!</v>
      </c>
      <c r="T14" s="207" t="e">
        <f t="shared" ref="T14" si="39">T13/O13-1</f>
        <v>#DIV/0!</v>
      </c>
      <c r="U14" s="207" t="e">
        <f t="shared" ref="U14" si="40">U13/P13-1</f>
        <v>#DIV/0!</v>
      </c>
      <c r="V14" s="207" t="e">
        <f t="shared" ref="V14" si="41">V13/Q13-1</f>
        <v>#DIV/0!</v>
      </c>
      <c r="W14" s="207" t="e">
        <f t="shared" ref="W14" si="42">W13/R13-1</f>
        <v>#DIV/0!</v>
      </c>
      <c r="X14" s="207" t="e">
        <f t="shared" ref="X14" si="43">X13/S13-1</f>
        <v>#DIV/0!</v>
      </c>
      <c r="Y14" s="207" t="e">
        <f t="shared" ref="Y14" si="44">Y13/T13-1</f>
        <v>#DIV/0!</v>
      </c>
      <c r="Z14" s="207" t="e">
        <f t="shared" ref="Z14" si="45">Z13/U13-1</f>
        <v>#DIV/0!</v>
      </c>
      <c r="AA14" s="207" t="e">
        <f t="shared" ref="AA14" si="46">AA13/V13-1</f>
        <v>#DIV/0!</v>
      </c>
      <c r="AB14" s="207">
        <f t="shared" ref="AB14" si="47">AB13/W13-1</f>
        <v>2.5849688846337981E-2</v>
      </c>
      <c r="AC14" s="207">
        <f t="shared" ref="AC14" si="48">AC13/X13-1</f>
        <v>-1</v>
      </c>
      <c r="AD14" s="207">
        <f t="shared" ref="AD14" si="49">AD13/Y13-1</f>
        <v>-1</v>
      </c>
      <c r="AE14" s="207">
        <f t="shared" ref="AE14" si="50">AE13/Z13-1</f>
        <v>-1</v>
      </c>
      <c r="AF14" s="207">
        <f t="shared" ref="AF14" si="51">AF13/AA13-1</f>
        <v>-0.74900445069102828</v>
      </c>
      <c r="AG14" s="207">
        <f t="shared" ref="AG14" si="52">AG13/AB13-1</f>
        <v>-4.9463369108726063E-2</v>
      </c>
      <c r="AH14" s="207" t="e">
        <f t="shared" ref="AH14" si="53">AH13/AC13-1</f>
        <v>#DIV/0!</v>
      </c>
      <c r="AI14" s="207" t="e">
        <f t="shared" ref="AI14" si="54">AI13/AD13-1</f>
        <v>#DIV/0!</v>
      </c>
      <c r="AJ14" s="207" t="e">
        <f t="shared" ref="AJ14" si="55">AJ13/AE13-1</f>
        <v>#DIV/0!</v>
      </c>
      <c r="AK14" s="207">
        <f t="shared" ref="AK14" si="56">AK13/AF13-1</f>
        <v>2.8329444703686422</v>
      </c>
      <c r="AL14" s="207">
        <f t="shared" ref="AL14" si="57">AL13/AG13-1</f>
        <v>4.1728031418753142E-2</v>
      </c>
      <c r="AM14" s="207">
        <f t="shared" ref="AM14" si="58">AM13/AH13-1</f>
        <v>2.1016617790811321E-2</v>
      </c>
      <c r="AN14" s="207">
        <f t="shared" ref="AN14" si="59">AN13/AI13-1</f>
        <v>5.5365017148456541E-2</v>
      </c>
      <c r="AO14" s="207">
        <f t="shared" ref="AO14" si="60">AO13/AJ13-1</f>
        <v>3.1100478468899517E-2</v>
      </c>
      <c r="AP14" s="207">
        <f t="shared" ref="AP14" si="61">AP13/AK13-1</f>
        <v>3.7253469685902152E-2</v>
      </c>
      <c r="AQ14" s="207">
        <f t="shared" ref="AQ14" si="62">AQ13/AL13-1</f>
        <v>0</v>
      </c>
      <c r="AR14" s="207">
        <f t="shared" ref="AR14" si="63">AR13/AM13-1</f>
        <v>-1.627573001436089E-2</v>
      </c>
      <c r="AS14" s="207">
        <f t="shared" ref="AS14" si="64">AS13/AN13-1</f>
        <v>-1.9034354688950761E-2</v>
      </c>
      <c r="AT14" s="207">
        <f t="shared" ref="AT14" si="65">AT13/AO13-1</f>
        <v>4.6403712296982924E-3</v>
      </c>
      <c r="AU14" s="207">
        <f t="shared" ref="AU14" si="66">AU13/AP13-1</f>
        <v>-7.6291079812206286E-3</v>
      </c>
      <c r="AV14" s="207">
        <f t="shared" ref="AV14" si="67">AV13/AQ13-1</f>
        <v>-2.1677662582469392E-2</v>
      </c>
      <c r="AW14" s="207">
        <f t="shared" ref="AW14" si="68">AW13/AR13-1</f>
        <v>6.8126520681264235E-3</v>
      </c>
      <c r="AX14" s="207">
        <f t="shared" ref="AX14" si="69">AX13/AS13-1</f>
        <v>-1.0884997633696214E-2</v>
      </c>
      <c r="AY14" s="207">
        <f t="shared" ref="AY14" si="70">AY13/AT13-1</f>
        <v>-5.9584295612009286E-2</v>
      </c>
      <c r="AZ14" s="207">
        <f t="shared" ref="AZ14" si="71">AZ13/AU13-1</f>
        <v>-2.1762270845653409E-2</v>
      </c>
      <c r="BA14" s="207">
        <f t="shared" ref="BA14" si="72">BA13/AV13-1</f>
        <v>-4.6242774566473965E-2</v>
      </c>
      <c r="BB14" s="207">
        <f t="shared" ref="BB14" si="73">BB13/AW13-1</f>
        <v>-2.7066215563073981E-2</v>
      </c>
      <c r="BC14" s="207">
        <f t="shared" ref="BC14" si="74">BC13/AX13-1</f>
        <v>-3.0143540669856472E-2</v>
      </c>
      <c r="BD14" s="207">
        <f t="shared" ref="BD14" si="75">BD13/AY13-1</f>
        <v>5.893909626718985E-3</v>
      </c>
      <c r="BE14" s="207">
        <f t="shared" ref="BE14" si="76">BE13/AZ13-1</f>
        <v>-2.454358602345541E-2</v>
      </c>
      <c r="BF14" s="207">
        <f t="shared" ref="BF14" si="77">BF13/BA13-1</f>
        <v>-1.6666666666666718E-2</v>
      </c>
      <c r="BG14" s="207">
        <f t="shared" ref="BG14" si="78">BG13/BB13-1</f>
        <v>-4.7193243914555372E-2</v>
      </c>
      <c r="BH14" s="207">
        <f t="shared" ref="BH14" si="79">BH13/BC13-1</f>
        <v>-4.292057227429702E-2</v>
      </c>
      <c r="BI14" s="207">
        <f t="shared" ref="BI14" si="80">BI13/BD13-1</f>
        <v>-2.734375E-2</v>
      </c>
      <c r="BJ14" s="207">
        <f>BJ13/BE13-1</f>
        <v>-3.3589489340604906E-2</v>
      </c>
      <c r="BK14" s="207">
        <f t="shared" ref="BK14" si="81">BK13/BF13-1</f>
        <v>-3.5952747817155073E-3</v>
      </c>
      <c r="BL14" s="207">
        <f t="shared" ref="BL14" si="82">BL13/BG13-1</f>
        <v>-9.3847758081334609E-3</v>
      </c>
      <c r="BM14" s="207">
        <f t="shared" ref="BM14" si="83">BM13/BH13-1</f>
        <v>0</v>
      </c>
      <c r="BN14" s="207">
        <f t="shared" ref="BN14" si="84">BN13/BI13-1</f>
        <v>-2.3594377510040121E-2</v>
      </c>
      <c r="BO14" s="207">
        <f>BO13/BJ13-1</f>
        <v>-9.2343208926509712E-3</v>
      </c>
      <c r="BP14" s="207">
        <f t="shared" ref="BP14" si="85">BP13/BK13-1</f>
        <v>1.5979381443298912E-2</v>
      </c>
      <c r="BQ14" s="207">
        <f t="shared" ref="BQ14" si="86">BQ13/BL13-1</f>
        <v>5.1052631578947461E-2</v>
      </c>
      <c r="BR14" s="207">
        <f t="shared" ref="BR14" si="87">BR13/BM13-1</f>
        <v>4.7938144329896959E-2</v>
      </c>
      <c r="BS14" s="207">
        <f t="shared" ref="BS14" si="88">BS13/BN13-1</f>
        <v>3.6503856041131044E-2</v>
      </c>
      <c r="BT14" s="207">
        <f>BT13/BO13-1</f>
        <v>3.7799352750809145E-2</v>
      </c>
      <c r="BU14" s="207">
        <f t="shared" ref="BU14" si="89">BU13/BP13-1</f>
        <v>2.9934043632673824E-2</v>
      </c>
      <c r="BV14" s="207">
        <f t="shared" ref="BV14" si="90">BV13/BQ13-1</f>
        <v>4.3565348022033046E-2</v>
      </c>
      <c r="BW14" s="207">
        <f t="shared" ref="BW14" si="91">BW13/BR13-1</f>
        <v>3.6891293654697455E-2</v>
      </c>
      <c r="BX14" s="207">
        <f t="shared" ref="BX14" si="92">BX13/BS13-1</f>
        <v>4.861111111111116E-2</v>
      </c>
      <c r="BY14" s="207">
        <f>BY13/BT13-1</f>
        <v>3.979044530372966E-2</v>
      </c>
      <c r="BZ14" s="207">
        <f t="shared" ref="BZ14:CC14" si="93">BZ13/BU13-1</f>
        <v>4.0394088669950756E-2</v>
      </c>
      <c r="CA14" s="207">
        <f t="shared" si="93"/>
        <v>1.3915547024952124E-2</v>
      </c>
      <c r="CB14" s="207">
        <f t="shared" si="93"/>
        <v>1.7552182163187879E-2</v>
      </c>
      <c r="CC14" s="207">
        <f t="shared" si="93"/>
        <v>4.1627246925260097E-2</v>
      </c>
      <c r="CD14" s="207">
        <f>CD13/BY13-1</f>
        <v>2.831094049904026E-2</v>
      </c>
      <c r="CE14" s="207">
        <f t="shared" ref="CE14" si="94">CE13/CD13-1</f>
        <v>3.5393096993227013E-2</v>
      </c>
      <c r="CF14" s="207">
        <f t="shared" ref="CF14" si="95">CF13/CE13-1</f>
        <v>3.2775529215047339E-2</v>
      </c>
      <c r="CG14" s="207">
        <f t="shared" ref="CG14" si="96">CG13/CF13-1</f>
        <v>3.1378166933376583E-2</v>
      </c>
      <c r="CH14" s="207">
        <f t="shared" ref="CH14" si="97">CH13/CG13-1</f>
        <v>3.4040525810726363E-2</v>
      </c>
      <c r="CI14" s="207">
        <f t="shared" ref="CI14" si="98">CI13/CH13-1</f>
        <v>3.6142360174228783E-2</v>
      </c>
      <c r="CJ14" s="207">
        <f t="shared" ref="CJ14" si="99">CJ13/CI13-1</f>
        <v>3.4896106231411927E-2</v>
      </c>
      <c r="CK14" s="207">
        <f t="shared" ref="CK14" si="100">CK13/CJ13-1</f>
        <v>3.3802737909304437E-2</v>
      </c>
      <c r="CL14" s="207">
        <f t="shared" ref="CL14" si="101">CL13/CK13-1</f>
        <v>3.2843655986569464E-2</v>
      </c>
      <c r="CM14" s="207">
        <f t="shared" ref="CM14" si="102">CM13/CL13-1</f>
        <v>3.2003026028075476E-2</v>
      </c>
      <c r="CN14" s="195"/>
      <c r="CO14" s="202"/>
      <c r="CP14" s="195"/>
      <c r="CQ14" s="195"/>
      <c r="CR14" s="195"/>
      <c r="CS14" s="195"/>
      <c r="CT14" s="195"/>
      <c r="DE14" s="195"/>
      <c r="DF14" s="195"/>
      <c r="DG14" s="195"/>
    </row>
    <row r="15" spans="1:111">
      <c r="A15" s="355" t="s">
        <v>137</v>
      </c>
      <c r="B15" s="540"/>
      <c r="C15" s="540"/>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f t="shared" ref="BP15:CM15" si="103">ROUND(BP13-BP10-BP6,0)</f>
        <v>0</v>
      </c>
      <c r="BQ15" s="540">
        <f t="shared" si="103"/>
        <v>0</v>
      </c>
      <c r="BR15" s="540">
        <f t="shared" si="103"/>
        <v>0</v>
      </c>
      <c r="BS15" s="540">
        <f t="shared" si="103"/>
        <v>0</v>
      </c>
      <c r="BT15" s="540">
        <f t="shared" si="103"/>
        <v>0</v>
      </c>
      <c r="BU15" s="540">
        <f t="shared" si="103"/>
        <v>0</v>
      </c>
      <c r="BV15" s="540">
        <f t="shared" si="103"/>
        <v>0</v>
      </c>
      <c r="BW15" s="540">
        <f t="shared" si="103"/>
        <v>0</v>
      </c>
      <c r="BX15" s="540">
        <f t="shared" si="103"/>
        <v>0</v>
      </c>
      <c r="BY15" s="540">
        <f t="shared" si="103"/>
        <v>0</v>
      </c>
      <c r="BZ15" s="540">
        <f t="shared" si="103"/>
        <v>0</v>
      </c>
      <c r="CA15" s="540">
        <f t="shared" si="103"/>
        <v>0</v>
      </c>
      <c r="CB15" s="540">
        <f t="shared" si="103"/>
        <v>0</v>
      </c>
      <c r="CC15" s="540">
        <f t="shared" si="103"/>
        <v>0</v>
      </c>
      <c r="CD15" s="540">
        <f t="shared" si="103"/>
        <v>0</v>
      </c>
      <c r="CE15" s="540">
        <f t="shared" si="103"/>
        <v>0</v>
      </c>
      <c r="CF15" s="540">
        <f t="shared" si="103"/>
        <v>0</v>
      </c>
      <c r="CG15" s="540">
        <f t="shared" si="103"/>
        <v>0</v>
      </c>
      <c r="CH15" s="540">
        <f t="shared" si="103"/>
        <v>0</v>
      </c>
      <c r="CI15" s="540">
        <f t="shared" si="103"/>
        <v>0</v>
      </c>
      <c r="CJ15" s="540">
        <f t="shared" si="103"/>
        <v>0</v>
      </c>
      <c r="CK15" s="540">
        <f t="shared" si="103"/>
        <v>0</v>
      </c>
      <c r="CL15" s="540">
        <f t="shared" si="103"/>
        <v>0</v>
      </c>
      <c r="CM15" s="540">
        <f t="shared" si="103"/>
        <v>0</v>
      </c>
      <c r="CN15" s="195"/>
      <c r="CO15" s="202"/>
      <c r="CP15" s="195"/>
      <c r="CQ15" s="195"/>
      <c r="CR15" s="195"/>
      <c r="CS15" s="195"/>
      <c r="CT15" s="195"/>
      <c r="DE15" s="195"/>
      <c r="DF15" s="195"/>
      <c r="DG15" s="195"/>
    </row>
    <row r="16" spans="1:111">
      <c r="A16" s="208" t="s">
        <v>763</v>
      </c>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9"/>
      <c r="AG16" s="209"/>
      <c r="AH16" s="209"/>
      <c r="AI16" s="209"/>
      <c r="AJ16" s="209"/>
      <c r="AK16" s="209"/>
      <c r="AL16" s="209"/>
      <c r="AM16" s="209"/>
      <c r="AN16" s="209"/>
      <c r="AO16" s="209"/>
      <c r="AP16" s="209"/>
      <c r="AQ16" s="209"/>
      <c r="AR16" s="209"/>
      <c r="AS16" s="209"/>
      <c r="AT16" s="209"/>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1"/>
      <c r="BV16" s="211"/>
      <c r="BW16" s="211"/>
      <c r="BX16" s="211"/>
      <c r="BY16" s="210"/>
      <c r="BZ16" s="211"/>
      <c r="CA16" s="211"/>
      <c r="CB16" s="211"/>
      <c r="CC16" s="211"/>
      <c r="CD16" s="210" t="s">
        <v>764</v>
      </c>
      <c r="CE16" s="210" t="s">
        <v>805</v>
      </c>
      <c r="CF16" s="210"/>
      <c r="CG16" s="210"/>
      <c r="CH16" s="210"/>
      <c r="CI16" s="210"/>
      <c r="CJ16" s="210"/>
      <c r="CK16" s="210"/>
      <c r="CL16" s="210"/>
      <c r="CM16" s="210"/>
      <c r="CN16" s="195"/>
      <c r="CO16" s="202"/>
      <c r="CP16" s="195"/>
      <c r="CQ16" s="195"/>
      <c r="CR16" s="195"/>
      <c r="CS16" s="195"/>
      <c r="CT16" s="195"/>
      <c r="DE16" s="195"/>
      <c r="DF16" s="195"/>
      <c r="DG16" s="195"/>
    </row>
    <row r="17" spans="1:111">
      <c r="A17" s="208" t="s">
        <v>1</v>
      </c>
      <c r="B17" s="208"/>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9"/>
      <c r="AG17" s="209"/>
      <c r="AH17" s="209"/>
      <c r="AI17" s="209"/>
      <c r="AJ17" s="209"/>
      <c r="AK17" s="209"/>
      <c r="AL17" s="209"/>
      <c r="AM17" s="209"/>
      <c r="AN17" s="209"/>
      <c r="AO17" s="209"/>
      <c r="AP17" s="209"/>
      <c r="AQ17" s="209"/>
      <c r="AR17" s="209"/>
      <c r="AS17" s="209"/>
      <c r="AT17" s="209"/>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1"/>
      <c r="BV17" s="211"/>
      <c r="BW17" s="211"/>
      <c r="BX17" s="211"/>
      <c r="BY17" s="210"/>
      <c r="BZ17" s="211"/>
      <c r="CA17" s="211"/>
      <c r="CB17" s="211"/>
      <c r="CC17" s="211"/>
      <c r="CD17" s="499" cm="1">
        <f t="array" ref="CD17">_xll.VAData("MXSC_MY", "FY-"&amp;CD$2, "Service revenue", "Consensus", "CD", "IMPL","","")</f>
        <v>8533.3597596796917</v>
      </c>
      <c r="CE17" s="499" cm="1">
        <f t="array" ref="CE17">_xll.VAData("MXSC_MY", "FY-"&amp;CE$2, "Service revenue", "Consensus", "CD", "IMPL","","")</f>
        <v>8849.3962921994498</v>
      </c>
      <c r="CF17" s="499" cm="1">
        <f t="array" ref="CF17">_xll.VAData("MXSC_MY", "FY-"&amp;CF$2, "Service revenue", "Consensus", "CD", "IMPL","","")</f>
        <v>9077.8533850224539</v>
      </c>
      <c r="CG17" s="499" cm="1">
        <f t="array" ref="CG17">_xll.VAData("MXSC_MY", "FY-"&amp;CG$2, "Service revenue", "Consensus", "CD", "IMPL","","")</f>
        <v>9370.8100989640261</v>
      </c>
      <c r="CH17" s="499" cm="1">
        <f t="array" ref="CH17">_xll.VAData("MXSC_MY", "FY-"&amp;CH$2, "Service revenue", "Consensus", "CD", "IMPL","","")</f>
        <v>9689.5725238382838</v>
      </c>
      <c r="CI17" s="499" cm="1">
        <f t="array" ref="CI17">_xll.VAData("MXSC_MY", "FY-"&amp;CI$2, "Service revenue", "Consensus", "CD", "IMPL","","")</f>
        <v>9972.94896119441</v>
      </c>
      <c r="CJ17" s="499" cm="1">
        <f t="array" ref="CJ17">_xll.VAData("MXSC_MY", "FY-"&amp;CJ$2, "Service revenue", "Consensus", "CD", "IMPL","","")</f>
        <v>10285.075659880444</v>
      </c>
      <c r="CK17" s="499" cm="1">
        <f t="array" ref="CK17">_xll.VAData("MXSC_MY", "FY-"&amp;CK$2, "Service revenue", "Consensus", "CD", "IMPL","","")</f>
        <v>10607.704619046954</v>
      </c>
      <c r="CL17" s="499" cm="1">
        <f t="array" ref="CL17">_xll.VAData("MXSC_MY", "FY-"&amp;CL$2, "Service revenue", "Consensus", "CD", "IMPL","","")</f>
        <v>10946.23307534635</v>
      </c>
      <c r="CM17" s="499" cm="1">
        <f t="array" ref="CM17">_xll.VAData("MXSC_MY", "FY-"&amp;CM$2, "Service revenue", "Consensus", "CD", "IMPL","","")</f>
        <v>11301.671325724354</v>
      </c>
      <c r="CN17" s="195"/>
      <c r="CO17" s="202"/>
      <c r="CP17" s="195"/>
      <c r="CQ17" s="195"/>
      <c r="CR17" s="195"/>
      <c r="CS17" s="195"/>
      <c r="CT17" s="195"/>
      <c r="DE17" s="195"/>
      <c r="DF17" s="195"/>
      <c r="DG17" s="195"/>
    </row>
    <row r="18" spans="1:111">
      <c r="A18" s="208" t="s">
        <v>598</v>
      </c>
      <c r="B18" s="208"/>
      <c r="C18" s="208"/>
      <c r="D18" s="208"/>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9"/>
      <c r="AG18" s="209"/>
      <c r="AH18" s="209"/>
      <c r="AI18" s="209"/>
      <c r="AJ18" s="209"/>
      <c r="AK18" s="209"/>
      <c r="AL18" s="209"/>
      <c r="AM18" s="209"/>
      <c r="AN18" s="209"/>
      <c r="AO18" s="209"/>
      <c r="AP18" s="209"/>
      <c r="AQ18" s="209"/>
      <c r="AR18" s="209"/>
      <c r="AS18" s="209"/>
      <c r="AT18" s="209"/>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1"/>
      <c r="BV18" s="211"/>
      <c r="BW18" s="211"/>
      <c r="BX18" s="211"/>
      <c r="BY18" s="210"/>
      <c r="BZ18" s="211"/>
      <c r="CA18" s="211"/>
      <c r="CB18" s="211"/>
      <c r="CC18" s="211"/>
      <c r="CD18" s="212">
        <f>CD13/CD17-1</f>
        <v>4.5281391396252424E-3</v>
      </c>
      <c r="CE18" s="212">
        <f t="shared" ref="CE18:CM18" si="104">CE13/CE17-1</f>
        <v>2.9373003952151144E-3</v>
      </c>
      <c r="CF18" s="212">
        <f t="shared" si="104"/>
        <v>9.7414918132538997E-3</v>
      </c>
      <c r="CG18" s="212">
        <f t="shared" si="104"/>
        <v>8.8675736022778562E-3</v>
      </c>
      <c r="CH18" s="212">
        <f t="shared" si="104"/>
        <v>8.8909876682832234E-3</v>
      </c>
      <c r="CI18" s="212">
        <f t="shared" si="104"/>
        <v>1.5651450016089141E-2</v>
      </c>
      <c r="CJ18" s="212">
        <f t="shared" si="104"/>
        <v>1.9195626599607829E-2</v>
      </c>
      <c r="CK18" s="212">
        <f t="shared" si="104"/>
        <v>2.1600983509490357E-2</v>
      </c>
      <c r="CL18" s="212">
        <f t="shared" si="104"/>
        <v>2.2521892949596944E-2</v>
      </c>
      <c r="CM18" s="212">
        <f t="shared" si="104"/>
        <v>2.2058146662758293E-2</v>
      </c>
      <c r="CN18" s="195"/>
      <c r="CO18" s="202"/>
      <c r="CP18" s="195"/>
      <c r="CQ18" s="195"/>
      <c r="CR18" s="195"/>
      <c r="CS18" s="195"/>
      <c r="CT18" s="195"/>
      <c r="DE18" s="195"/>
      <c r="DF18" s="195"/>
      <c r="DG18" s="195"/>
    </row>
    <row r="19" spans="1:111">
      <c r="A19" s="195"/>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c r="CE19" s="241"/>
      <c r="CF19" s="241"/>
      <c r="CG19" s="241"/>
      <c r="CH19" s="241"/>
      <c r="CI19" s="241"/>
      <c r="CJ19" s="241"/>
      <c r="CK19" s="241"/>
      <c r="CL19" s="241"/>
      <c r="CM19" s="241"/>
      <c r="CN19" s="195"/>
      <c r="CO19" s="202"/>
      <c r="CP19" s="195"/>
      <c r="CQ19" s="195"/>
      <c r="CR19" s="195"/>
      <c r="CS19" s="195"/>
      <c r="CT19" s="195"/>
      <c r="DE19" s="195"/>
      <c r="DF19" s="195"/>
      <c r="DG19" s="195"/>
    </row>
    <row r="20" spans="1:111">
      <c r="A20" s="195" t="s">
        <v>0</v>
      </c>
      <c r="B20" s="241"/>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195"/>
      <c r="CO20" s="202"/>
      <c r="CP20" s="195"/>
      <c r="CQ20" s="195"/>
      <c r="CR20" s="195"/>
      <c r="CS20" s="195"/>
      <c r="CT20" s="195"/>
      <c r="DE20" s="195"/>
      <c r="DF20" s="195"/>
      <c r="DG20" s="195"/>
    </row>
    <row r="21" spans="1:111" s="265" customFormat="1">
      <c r="A21" s="241" t="s">
        <v>810</v>
      </c>
      <c r="B21" s="241"/>
      <c r="C21" s="241"/>
      <c r="D21" s="241"/>
      <c r="E21" s="241"/>
      <c r="F21" s="241"/>
      <c r="G21" s="244" t="e">
        <f>G6/B6-1</f>
        <v>#DIV/0!</v>
      </c>
      <c r="H21" s="244"/>
      <c r="I21" s="244"/>
      <c r="J21" s="244"/>
      <c r="K21" s="244" t="e">
        <f t="shared" ref="K21:AP21" si="105">K6/F6-1</f>
        <v>#DIV/0!</v>
      </c>
      <c r="L21" s="244" t="e">
        <f t="shared" si="105"/>
        <v>#DIV/0!</v>
      </c>
      <c r="M21" s="244" t="e">
        <f t="shared" si="105"/>
        <v>#DIV/0!</v>
      </c>
      <c r="N21" s="244" t="e">
        <f t="shared" si="105"/>
        <v>#DIV/0!</v>
      </c>
      <c r="O21" s="244" t="e">
        <f t="shared" si="105"/>
        <v>#DIV/0!</v>
      </c>
      <c r="P21" s="244" t="e">
        <f t="shared" si="105"/>
        <v>#DIV/0!</v>
      </c>
      <c r="Q21" s="244" t="e">
        <f t="shared" si="105"/>
        <v>#DIV/0!</v>
      </c>
      <c r="R21" s="244" t="e">
        <f t="shared" si="105"/>
        <v>#DIV/0!</v>
      </c>
      <c r="S21" s="244" t="e">
        <f t="shared" si="105"/>
        <v>#DIV/0!</v>
      </c>
      <c r="T21" s="244" t="e">
        <f t="shared" si="105"/>
        <v>#DIV/0!</v>
      </c>
      <c r="U21" s="244" t="e">
        <f t="shared" si="105"/>
        <v>#DIV/0!</v>
      </c>
      <c r="V21" s="244" t="e">
        <f t="shared" si="105"/>
        <v>#DIV/0!</v>
      </c>
      <c r="W21" s="244" t="e">
        <f t="shared" si="105"/>
        <v>#DIV/0!</v>
      </c>
      <c r="X21" s="244" t="e">
        <f t="shared" si="105"/>
        <v>#DIV/0!</v>
      </c>
      <c r="Y21" s="244" t="e">
        <f t="shared" si="105"/>
        <v>#DIV/0!</v>
      </c>
      <c r="Z21" s="244" t="e">
        <f t="shared" si="105"/>
        <v>#DIV/0!</v>
      </c>
      <c r="AA21" s="244" t="e">
        <f t="shared" si="105"/>
        <v>#DIV/0!</v>
      </c>
      <c r="AB21" s="244" t="e">
        <f t="shared" si="105"/>
        <v>#DIV/0!</v>
      </c>
      <c r="AC21" s="244" t="e">
        <f t="shared" si="105"/>
        <v>#DIV/0!</v>
      </c>
      <c r="AD21" s="244" t="e">
        <f t="shared" si="105"/>
        <v>#DIV/0!</v>
      </c>
      <c r="AE21" s="244" t="e">
        <f t="shared" si="105"/>
        <v>#DIV/0!</v>
      </c>
      <c r="AF21" s="244" t="e">
        <f t="shared" si="105"/>
        <v>#DIV/0!</v>
      </c>
      <c r="AG21" s="244" t="e">
        <f t="shared" si="105"/>
        <v>#DIV/0!</v>
      </c>
      <c r="AH21" s="244" t="e">
        <f t="shared" si="105"/>
        <v>#DIV/0!</v>
      </c>
      <c r="AI21" s="244" t="e">
        <f t="shared" si="105"/>
        <v>#DIV/0!</v>
      </c>
      <c r="AJ21" s="244" t="e">
        <f t="shared" si="105"/>
        <v>#DIV/0!</v>
      </c>
      <c r="AK21" s="244" t="e">
        <f t="shared" si="105"/>
        <v>#DIV/0!</v>
      </c>
      <c r="AL21" s="244" t="e">
        <f t="shared" si="105"/>
        <v>#DIV/0!</v>
      </c>
      <c r="AM21" s="244" t="e">
        <f t="shared" si="105"/>
        <v>#DIV/0!</v>
      </c>
      <c r="AN21" s="244" t="e">
        <f t="shared" si="105"/>
        <v>#DIV/0!</v>
      </c>
      <c r="AO21" s="244" t="e">
        <f t="shared" si="105"/>
        <v>#DIV/0!</v>
      </c>
      <c r="AP21" s="244" t="e">
        <f t="shared" si="105"/>
        <v>#DIV/0!</v>
      </c>
      <c r="AQ21" s="244" t="e">
        <f t="shared" ref="AQ21:BV21" si="106">AQ6/AL6-1</f>
        <v>#DIV/0!</v>
      </c>
      <c r="AR21" s="244" t="e">
        <f t="shared" si="106"/>
        <v>#DIV/0!</v>
      </c>
      <c r="AS21" s="244" t="e">
        <f t="shared" si="106"/>
        <v>#DIV/0!</v>
      </c>
      <c r="AT21" s="244" t="e">
        <f t="shared" si="106"/>
        <v>#DIV/0!</v>
      </c>
      <c r="AU21" s="244" t="e">
        <f t="shared" si="106"/>
        <v>#DIV/0!</v>
      </c>
      <c r="AV21" s="244" t="e">
        <f t="shared" si="106"/>
        <v>#DIV/0!</v>
      </c>
      <c r="AW21" s="244" t="e">
        <f t="shared" si="106"/>
        <v>#DIV/0!</v>
      </c>
      <c r="AX21" s="244" t="e">
        <f t="shared" si="106"/>
        <v>#DIV/0!</v>
      </c>
      <c r="AY21" s="244" t="e">
        <f t="shared" si="106"/>
        <v>#DIV/0!</v>
      </c>
      <c r="AZ21" s="244" t="e">
        <f t="shared" si="106"/>
        <v>#DIV/0!</v>
      </c>
      <c r="BA21" s="244" t="e">
        <f t="shared" si="106"/>
        <v>#DIV/0!</v>
      </c>
      <c r="BB21" s="244" t="e">
        <f t="shared" si="106"/>
        <v>#DIV/0!</v>
      </c>
      <c r="BC21" s="244" t="e">
        <f t="shared" si="106"/>
        <v>#DIV/0!</v>
      </c>
      <c r="BD21" s="244" t="e">
        <f t="shared" si="106"/>
        <v>#DIV/0!</v>
      </c>
      <c r="BE21" s="244" t="e">
        <f t="shared" si="106"/>
        <v>#DIV/0!</v>
      </c>
      <c r="BF21" s="244" t="e">
        <f t="shared" si="106"/>
        <v>#DIV/0!</v>
      </c>
      <c r="BG21" s="244" t="e">
        <f t="shared" si="106"/>
        <v>#DIV/0!</v>
      </c>
      <c r="BH21" s="244" t="e">
        <f t="shared" si="106"/>
        <v>#DIV/0!</v>
      </c>
      <c r="BI21" s="244" t="e">
        <f t="shared" si="106"/>
        <v>#DIV/0!</v>
      </c>
      <c r="BJ21" s="244" t="e">
        <f t="shared" si="106"/>
        <v>#DIV/0!</v>
      </c>
      <c r="BK21" s="244" t="e">
        <f t="shared" si="106"/>
        <v>#DIV/0!</v>
      </c>
      <c r="BL21" s="244" t="e">
        <f t="shared" si="106"/>
        <v>#DIV/0!</v>
      </c>
      <c r="BM21" s="244" t="e">
        <f t="shared" si="106"/>
        <v>#DIV/0!</v>
      </c>
      <c r="BN21" s="244" t="e">
        <f t="shared" si="106"/>
        <v>#DIV/0!</v>
      </c>
      <c r="BO21" s="244" t="e">
        <f t="shared" si="106"/>
        <v>#DIV/0!</v>
      </c>
      <c r="BP21" s="244" t="e">
        <f t="shared" si="106"/>
        <v>#DIV/0!</v>
      </c>
      <c r="BQ21" s="244" t="e">
        <f t="shared" si="106"/>
        <v>#DIV/0!</v>
      </c>
      <c r="BR21" s="244" t="e">
        <f t="shared" si="106"/>
        <v>#DIV/0!</v>
      </c>
      <c r="BS21" s="244" t="e">
        <f t="shared" si="106"/>
        <v>#DIV/0!</v>
      </c>
      <c r="BT21" s="244" t="e">
        <f t="shared" si="106"/>
        <v>#DIV/0!</v>
      </c>
      <c r="BU21" s="244">
        <f t="shared" si="106"/>
        <v>2.4329382407985101E-2</v>
      </c>
      <c r="BV21" s="244">
        <f t="shared" si="106"/>
        <v>4.4280442804428111E-2</v>
      </c>
      <c r="BW21" s="244">
        <f t="shared" ref="BW21:CD21" si="107">BW6/BR6-1</f>
        <v>4.1137326073805269E-2</v>
      </c>
      <c r="BX21" s="244">
        <f t="shared" si="107"/>
        <v>8.2251082251082241E-2</v>
      </c>
      <c r="BY21" s="244">
        <f t="shared" si="107"/>
        <v>4.8007385751654086E-2</v>
      </c>
      <c r="BZ21" s="244">
        <f t="shared" si="107"/>
        <v>6.3946406820950097E-2</v>
      </c>
      <c r="CA21" s="244">
        <f t="shared" si="107"/>
        <v>3.1213191990577149E-2</v>
      </c>
      <c r="CB21" s="244">
        <f t="shared" si="107"/>
        <v>2.5566531086577582E-2</v>
      </c>
      <c r="CC21" s="244">
        <f t="shared" si="107"/>
        <v>2.9142857142857137E-2</v>
      </c>
      <c r="CD21" s="244">
        <f t="shared" si="107"/>
        <v>3.7145793569226315E-2</v>
      </c>
      <c r="CE21" s="244">
        <f t="shared" ref="CE21:CM21" si="108">CE6/CD6-1</f>
        <v>3.2274862319640718E-2</v>
      </c>
      <c r="CF21" s="244">
        <f t="shared" si="108"/>
        <v>2.9035366593543444E-2</v>
      </c>
      <c r="CG21" s="244">
        <f t="shared" si="108"/>
        <v>2.7252197317511273E-2</v>
      </c>
      <c r="CH21" s="244">
        <f t="shared" si="108"/>
        <v>3.0426140944135094E-2</v>
      </c>
      <c r="CI21" s="244">
        <f t="shared" si="108"/>
        <v>3.2944367112831774E-2</v>
      </c>
      <c r="CJ21" s="244">
        <f t="shared" si="108"/>
        <v>3.1352956240583651E-2</v>
      </c>
      <c r="CK21" s="244">
        <f t="shared" si="108"/>
        <v>2.9934401761240848E-2</v>
      </c>
      <c r="CL21" s="244">
        <f t="shared" si="108"/>
        <v>2.8666438601204103E-2</v>
      </c>
      <c r="CM21" s="244">
        <f t="shared" si="108"/>
        <v>2.7530256219287397E-2</v>
      </c>
      <c r="CN21" s="202"/>
      <c r="CO21" s="202"/>
      <c r="CP21" s="202"/>
      <c r="CQ21" s="202"/>
      <c r="CR21" s="202"/>
      <c r="CS21" s="202"/>
      <c r="CT21" s="202"/>
      <c r="DE21" s="202"/>
      <c r="DF21" s="202"/>
      <c r="DG21" s="202"/>
    </row>
    <row r="22" spans="1:111">
      <c r="A22" s="173" t="s">
        <v>722</v>
      </c>
      <c r="B22" s="241"/>
      <c r="C22" s="241"/>
      <c r="D22" s="241"/>
      <c r="E22" s="241"/>
      <c r="F22" s="241"/>
      <c r="G22" s="207" t="e">
        <f t="shared" ref="G22:G27" si="109">G7/B7-1</f>
        <v>#DIV/0!</v>
      </c>
      <c r="H22" s="207"/>
      <c r="I22" s="207"/>
      <c r="J22" s="207"/>
      <c r="K22" s="207" t="e">
        <f t="shared" ref="K22:BV22" si="110">K7/F7-1</f>
        <v>#DIV/0!</v>
      </c>
      <c r="L22" s="207" t="e">
        <f t="shared" si="110"/>
        <v>#DIV/0!</v>
      </c>
      <c r="M22" s="207" t="e">
        <f t="shared" si="110"/>
        <v>#DIV/0!</v>
      </c>
      <c r="N22" s="207" t="e">
        <f t="shared" si="110"/>
        <v>#DIV/0!</v>
      </c>
      <c r="O22" s="207" t="e">
        <f t="shared" si="110"/>
        <v>#DIV/0!</v>
      </c>
      <c r="P22" s="207" t="e">
        <f t="shared" si="110"/>
        <v>#DIV/0!</v>
      </c>
      <c r="Q22" s="207" t="e">
        <f t="shared" si="110"/>
        <v>#DIV/0!</v>
      </c>
      <c r="R22" s="207" t="e">
        <f t="shared" si="110"/>
        <v>#DIV/0!</v>
      </c>
      <c r="S22" s="207" t="e">
        <f t="shared" si="110"/>
        <v>#DIV/0!</v>
      </c>
      <c r="T22" s="207" t="e">
        <f t="shared" si="110"/>
        <v>#DIV/0!</v>
      </c>
      <c r="U22" s="207" t="e">
        <f t="shared" si="110"/>
        <v>#DIV/0!</v>
      </c>
      <c r="V22" s="207" t="e">
        <f t="shared" si="110"/>
        <v>#DIV/0!</v>
      </c>
      <c r="W22" s="207" t="e">
        <f t="shared" si="110"/>
        <v>#DIV/0!</v>
      </c>
      <c r="X22" s="207" t="e">
        <f t="shared" si="110"/>
        <v>#DIV/0!</v>
      </c>
      <c r="Y22" s="207" t="e">
        <f t="shared" si="110"/>
        <v>#DIV/0!</v>
      </c>
      <c r="Z22" s="207" t="e">
        <f t="shared" si="110"/>
        <v>#DIV/0!</v>
      </c>
      <c r="AA22" s="207" t="e">
        <f t="shared" si="110"/>
        <v>#DIV/0!</v>
      </c>
      <c r="AB22" s="207" t="e">
        <f t="shared" si="110"/>
        <v>#DIV/0!</v>
      </c>
      <c r="AC22" s="207" t="e">
        <f t="shared" si="110"/>
        <v>#DIV/0!</v>
      </c>
      <c r="AD22" s="207" t="e">
        <f t="shared" si="110"/>
        <v>#DIV/0!</v>
      </c>
      <c r="AE22" s="207" t="e">
        <f t="shared" si="110"/>
        <v>#DIV/0!</v>
      </c>
      <c r="AF22" s="207" t="e">
        <f t="shared" si="110"/>
        <v>#DIV/0!</v>
      </c>
      <c r="AG22" s="207" t="e">
        <f t="shared" si="110"/>
        <v>#DIV/0!</v>
      </c>
      <c r="AH22" s="207" t="e">
        <f t="shared" si="110"/>
        <v>#DIV/0!</v>
      </c>
      <c r="AI22" s="207" t="e">
        <f t="shared" si="110"/>
        <v>#DIV/0!</v>
      </c>
      <c r="AJ22" s="207" t="e">
        <f t="shared" si="110"/>
        <v>#DIV/0!</v>
      </c>
      <c r="AK22" s="207" t="e">
        <f t="shared" si="110"/>
        <v>#DIV/0!</v>
      </c>
      <c r="AL22" s="207" t="e">
        <f t="shared" si="110"/>
        <v>#DIV/0!</v>
      </c>
      <c r="AM22" s="207" t="e">
        <f t="shared" si="110"/>
        <v>#DIV/0!</v>
      </c>
      <c r="AN22" s="207" t="e">
        <f t="shared" si="110"/>
        <v>#DIV/0!</v>
      </c>
      <c r="AO22" s="207" t="e">
        <f t="shared" si="110"/>
        <v>#DIV/0!</v>
      </c>
      <c r="AP22" s="207" t="e">
        <f t="shared" si="110"/>
        <v>#DIV/0!</v>
      </c>
      <c r="AQ22" s="207" t="e">
        <f t="shared" si="110"/>
        <v>#DIV/0!</v>
      </c>
      <c r="AR22" s="207" t="e">
        <f t="shared" si="110"/>
        <v>#DIV/0!</v>
      </c>
      <c r="AS22" s="207" t="e">
        <f t="shared" si="110"/>
        <v>#DIV/0!</v>
      </c>
      <c r="AT22" s="207" t="e">
        <f t="shared" si="110"/>
        <v>#DIV/0!</v>
      </c>
      <c r="AU22" s="207" t="e">
        <f t="shared" si="110"/>
        <v>#DIV/0!</v>
      </c>
      <c r="AV22" s="207" t="e">
        <f t="shared" si="110"/>
        <v>#DIV/0!</v>
      </c>
      <c r="AW22" s="207" t="e">
        <f t="shared" si="110"/>
        <v>#DIV/0!</v>
      </c>
      <c r="AX22" s="207" t="e">
        <f t="shared" si="110"/>
        <v>#DIV/0!</v>
      </c>
      <c r="AY22" s="207" t="e">
        <f t="shared" si="110"/>
        <v>#DIV/0!</v>
      </c>
      <c r="AZ22" s="207" t="e">
        <f t="shared" si="110"/>
        <v>#DIV/0!</v>
      </c>
      <c r="BA22" s="207" t="e">
        <f t="shared" si="110"/>
        <v>#DIV/0!</v>
      </c>
      <c r="BB22" s="207" t="e">
        <f t="shared" si="110"/>
        <v>#DIV/0!</v>
      </c>
      <c r="BC22" s="207" t="e">
        <f t="shared" si="110"/>
        <v>#DIV/0!</v>
      </c>
      <c r="BD22" s="207" t="e">
        <f t="shared" si="110"/>
        <v>#DIV/0!</v>
      </c>
      <c r="BE22" s="207" t="e">
        <f t="shared" si="110"/>
        <v>#DIV/0!</v>
      </c>
      <c r="BF22" s="207" t="e">
        <f t="shared" si="110"/>
        <v>#DIV/0!</v>
      </c>
      <c r="BG22" s="207" t="e">
        <f t="shared" si="110"/>
        <v>#DIV/0!</v>
      </c>
      <c r="BH22" s="207" t="e">
        <f t="shared" si="110"/>
        <v>#DIV/0!</v>
      </c>
      <c r="BI22" s="207" t="e">
        <f t="shared" si="110"/>
        <v>#DIV/0!</v>
      </c>
      <c r="BJ22" s="207" t="e">
        <f t="shared" si="110"/>
        <v>#DIV/0!</v>
      </c>
      <c r="BK22" s="207" t="e">
        <f t="shared" si="110"/>
        <v>#DIV/0!</v>
      </c>
      <c r="BL22" s="207" t="e">
        <f t="shared" si="110"/>
        <v>#DIV/0!</v>
      </c>
      <c r="BM22" s="207" t="e">
        <f t="shared" si="110"/>
        <v>#DIV/0!</v>
      </c>
      <c r="BN22" s="207" t="e">
        <f t="shared" si="110"/>
        <v>#DIV/0!</v>
      </c>
      <c r="BO22" s="207" t="e">
        <f t="shared" si="110"/>
        <v>#DIV/0!</v>
      </c>
      <c r="BP22" s="207" t="e">
        <f t="shared" si="110"/>
        <v>#DIV/0!</v>
      </c>
      <c r="BQ22" s="207" t="e">
        <f t="shared" si="110"/>
        <v>#DIV/0!</v>
      </c>
      <c r="BR22" s="207" t="e">
        <f t="shared" si="110"/>
        <v>#DIV/0!</v>
      </c>
      <c r="BS22" s="207" t="e">
        <f t="shared" si="110"/>
        <v>#DIV/0!</v>
      </c>
      <c r="BT22" s="207" t="e">
        <f t="shared" si="110"/>
        <v>#DIV/0!</v>
      </c>
      <c r="BU22" s="207">
        <f t="shared" si="110"/>
        <v>4.9465240641711317E-2</v>
      </c>
      <c r="BV22" s="207">
        <f t="shared" si="110"/>
        <v>5.7441253263707637E-2</v>
      </c>
      <c r="BW22" s="207">
        <f t="shared" ref="BW22:CD22" si="111">BW7/BR7-1</f>
        <v>6.0025542784163388E-2</v>
      </c>
      <c r="BX22" s="207">
        <f t="shared" si="111"/>
        <v>0.10966057441253274</v>
      </c>
      <c r="BY22" s="207">
        <f t="shared" si="111"/>
        <v>6.9213189683317022E-2</v>
      </c>
      <c r="BZ22" s="207">
        <f t="shared" si="111"/>
        <v>0.10063694267515921</v>
      </c>
      <c r="CA22" s="207">
        <f t="shared" si="111"/>
        <v>7.5308641975308621E-2</v>
      </c>
      <c r="CB22" s="207">
        <f t="shared" si="111"/>
        <v>6.2650602409638489E-2</v>
      </c>
      <c r="CC22" s="207">
        <f t="shared" si="111"/>
        <v>6.23529411764705E-2</v>
      </c>
      <c r="CD22" s="207">
        <f t="shared" si="111"/>
        <v>7.4809160305343569E-2</v>
      </c>
      <c r="CE22" s="207">
        <f t="shared" ref="CE22:CM22" si="112">CE7/CD7-1</f>
        <v>3.0269473206732567E-2</v>
      </c>
      <c r="CF22" s="207">
        <f t="shared" si="112"/>
        <v>1.8248424646016614E-2</v>
      </c>
      <c r="CG22" s="207">
        <f>CG7/CF7-1</f>
        <v>1.9414322589793809E-2</v>
      </c>
      <c r="CH22" s="207">
        <f t="shared" si="112"/>
        <v>2.3158071194440355E-2</v>
      </c>
      <c r="CI22" s="207">
        <f t="shared" si="112"/>
        <v>2.7048077458160957E-2</v>
      </c>
      <c r="CJ22" s="207">
        <f t="shared" si="112"/>
        <v>2.5960745455861245E-2</v>
      </c>
      <c r="CK22" s="207">
        <f t="shared" si="112"/>
        <v>2.4993700720026713E-2</v>
      </c>
      <c r="CL22" s="207">
        <f t="shared" si="112"/>
        <v>2.4131563333861905E-2</v>
      </c>
      <c r="CM22" s="207">
        <f t="shared" si="112"/>
        <v>2.3361234112202478E-2</v>
      </c>
      <c r="CN22" s="195"/>
      <c r="CO22" s="202"/>
      <c r="CP22" s="195"/>
      <c r="CQ22" s="195"/>
      <c r="CR22" s="195"/>
      <c r="CS22" s="195"/>
      <c r="CT22" s="195"/>
      <c r="DE22" s="195"/>
      <c r="DF22" s="195"/>
      <c r="DG22" s="195"/>
    </row>
    <row r="23" spans="1:111">
      <c r="A23" s="173" t="s">
        <v>570</v>
      </c>
      <c r="B23" s="241"/>
      <c r="C23" s="241"/>
      <c r="D23" s="241"/>
      <c r="E23" s="241"/>
      <c r="F23" s="241"/>
      <c r="G23" s="207" t="e">
        <f t="shared" si="109"/>
        <v>#DIV/0!</v>
      </c>
      <c r="H23" s="207"/>
      <c r="I23" s="207"/>
      <c r="J23" s="207"/>
      <c r="K23" s="207" t="e">
        <f t="shared" ref="K23:BV23" si="113">K8/F8-1</f>
        <v>#DIV/0!</v>
      </c>
      <c r="L23" s="207" t="e">
        <f t="shared" si="113"/>
        <v>#DIV/0!</v>
      </c>
      <c r="M23" s="207" t="e">
        <f t="shared" si="113"/>
        <v>#DIV/0!</v>
      </c>
      <c r="N23" s="207" t="e">
        <f t="shared" si="113"/>
        <v>#DIV/0!</v>
      </c>
      <c r="O23" s="207" t="e">
        <f t="shared" si="113"/>
        <v>#DIV/0!</v>
      </c>
      <c r="P23" s="207" t="e">
        <f t="shared" si="113"/>
        <v>#DIV/0!</v>
      </c>
      <c r="Q23" s="207" t="e">
        <f t="shared" si="113"/>
        <v>#DIV/0!</v>
      </c>
      <c r="R23" s="207" t="e">
        <f t="shared" si="113"/>
        <v>#DIV/0!</v>
      </c>
      <c r="S23" s="207" t="e">
        <f t="shared" si="113"/>
        <v>#DIV/0!</v>
      </c>
      <c r="T23" s="207" t="e">
        <f t="shared" si="113"/>
        <v>#DIV/0!</v>
      </c>
      <c r="U23" s="207" t="e">
        <f t="shared" si="113"/>
        <v>#DIV/0!</v>
      </c>
      <c r="V23" s="207" t="e">
        <f t="shared" si="113"/>
        <v>#DIV/0!</v>
      </c>
      <c r="W23" s="207" t="e">
        <f t="shared" si="113"/>
        <v>#DIV/0!</v>
      </c>
      <c r="X23" s="207" t="e">
        <f t="shared" si="113"/>
        <v>#DIV/0!</v>
      </c>
      <c r="Y23" s="207" t="e">
        <f t="shared" si="113"/>
        <v>#DIV/0!</v>
      </c>
      <c r="Z23" s="207" t="e">
        <f t="shared" si="113"/>
        <v>#DIV/0!</v>
      </c>
      <c r="AA23" s="207" t="e">
        <f t="shared" si="113"/>
        <v>#DIV/0!</v>
      </c>
      <c r="AB23" s="207" t="e">
        <f t="shared" si="113"/>
        <v>#DIV/0!</v>
      </c>
      <c r="AC23" s="207" t="e">
        <f t="shared" si="113"/>
        <v>#DIV/0!</v>
      </c>
      <c r="AD23" s="207" t="e">
        <f t="shared" si="113"/>
        <v>#DIV/0!</v>
      </c>
      <c r="AE23" s="207" t="e">
        <f t="shared" si="113"/>
        <v>#DIV/0!</v>
      </c>
      <c r="AF23" s="207" t="e">
        <f t="shared" si="113"/>
        <v>#DIV/0!</v>
      </c>
      <c r="AG23" s="207" t="e">
        <f t="shared" si="113"/>
        <v>#DIV/0!</v>
      </c>
      <c r="AH23" s="207" t="e">
        <f t="shared" si="113"/>
        <v>#DIV/0!</v>
      </c>
      <c r="AI23" s="207" t="e">
        <f t="shared" si="113"/>
        <v>#DIV/0!</v>
      </c>
      <c r="AJ23" s="207" t="e">
        <f t="shared" si="113"/>
        <v>#DIV/0!</v>
      </c>
      <c r="AK23" s="207" t="e">
        <f t="shared" si="113"/>
        <v>#DIV/0!</v>
      </c>
      <c r="AL23" s="207" t="e">
        <f t="shared" si="113"/>
        <v>#DIV/0!</v>
      </c>
      <c r="AM23" s="207" t="e">
        <f t="shared" si="113"/>
        <v>#DIV/0!</v>
      </c>
      <c r="AN23" s="207" t="e">
        <f t="shared" si="113"/>
        <v>#DIV/0!</v>
      </c>
      <c r="AO23" s="207" t="e">
        <f t="shared" si="113"/>
        <v>#DIV/0!</v>
      </c>
      <c r="AP23" s="207" t="e">
        <f t="shared" si="113"/>
        <v>#DIV/0!</v>
      </c>
      <c r="AQ23" s="207" t="e">
        <f t="shared" si="113"/>
        <v>#DIV/0!</v>
      </c>
      <c r="AR23" s="207" t="e">
        <f t="shared" si="113"/>
        <v>#DIV/0!</v>
      </c>
      <c r="AS23" s="207" t="e">
        <f t="shared" si="113"/>
        <v>#DIV/0!</v>
      </c>
      <c r="AT23" s="207" t="e">
        <f t="shared" si="113"/>
        <v>#DIV/0!</v>
      </c>
      <c r="AU23" s="207" t="e">
        <f t="shared" si="113"/>
        <v>#DIV/0!</v>
      </c>
      <c r="AV23" s="207" t="e">
        <f t="shared" si="113"/>
        <v>#DIV/0!</v>
      </c>
      <c r="AW23" s="207" t="e">
        <f t="shared" si="113"/>
        <v>#DIV/0!</v>
      </c>
      <c r="AX23" s="207" t="e">
        <f t="shared" si="113"/>
        <v>#DIV/0!</v>
      </c>
      <c r="AY23" s="207" t="e">
        <f t="shared" si="113"/>
        <v>#DIV/0!</v>
      </c>
      <c r="AZ23" s="207" t="e">
        <f t="shared" si="113"/>
        <v>#DIV/0!</v>
      </c>
      <c r="BA23" s="207" t="e">
        <f t="shared" si="113"/>
        <v>#DIV/0!</v>
      </c>
      <c r="BB23" s="207" t="e">
        <f t="shared" si="113"/>
        <v>#DIV/0!</v>
      </c>
      <c r="BC23" s="207" t="e">
        <f t="shared" si="113"/>
        <v>#DIV/0!</v>
      </c>
      <c r="BD23" s="207" t="e">
        <f t="shared" si="113"/>
        <v>#DIV/0!</v>
      </c>
      <c r="BE23" s="207" t="e">
        <f t="shared" si="113"/>
        <v>#DIV/0!</v>
      </c>
      <c r="BF23" s="207" t="e">
        <f t="shared" si="113"/>
        <v>#DIV/0!</v>
      </c>
      <c r="BG23" s="207" t="e">
        <f t="shared" si="113"/>
        <v>#DIV/0!</v>
      </c>
      <c r="BH23" s="207" t="e">
        <f t="shared" si="113"/>
        <v>#DIV/0!</v>
      </c>
      <c r="BI23" s="207" t="e">
        <f t="shared" si="113"/>
        <v>#DIV/0!</v>
      </c>
      <c r="BJ23" s="207" t="e">
        <f t="shared" si="113"/>
        <v>#DIV/0!</v>
      </c>
      <c r="BK23" s="207" t="e">
        <f t="shared" si="113"/>
        <v>#DIV/0!</v>
      </c>
      <c r="BL23" s="207" t="e">
        <f t="shared" si="113"/>
        <v>#DIV/0!</v>
      </c>
      <c r="BM23" s="207" t="e">
        <f t="shared" si="113"/>
        <v>#DIV/0!</v>
      </c>
      <c r="BN23" s="207" t="e">
        <f t="shared" si="113"/>
        <v>#DIV/0!</v>
      </c>
      <c r="BO23" s="207" t="e">
        <f t="shared" si="113"/>
        <v>#DIV/0!</v>
      </c>
      <c r="BP23" s="207" t="e">
        <f t="shared" si="113"/>
        <v>#DIV/0!</v>
      </c>
      <c r="BQ23" s="207" t="e">
        <f t="shared" si="113"/>
        <v>#DIV/0!</v>
      </c>
      <c r="BR23" s="207" t="e">
        <f t="shared" si="113"/>
        <v>#DIV/0!</v>
      </c>
      <c r="BS23" s="207" t="e">
        <f t="shared" si="113"/>
        <v>#DIV/0!</v>
      </c>
      <c r="BT23" s="207" t="e">
        <f t="shared" si="113"/>
        <v>#DIV/0!</v>
      </c>
      <c r="BU23" s="207">
        <f t="shared" si="113"/>
        <v>-4.7826086956521685E-2</v>
      </c>
      <c r="BV23" s="207">
        <f t="shared" si="113"/>
        <v>-8.7591240875912746E-3</v>
      </c>
      <c r="BW23" s="207">
        <f t="shared" ref="BW23:CD23" si="114">BW8/BR8-1</f>
        <v>-1.3138686131386912E-2</v>
      </c>
      <c r="BX23" s="207">
        <f t="shared" si="114"/>
        <v>3.969465648854964E-2</v>
      </c>
      <c r="BY23" s="207">
        <f t="shared" si="114"/>
        <v>-8.1031307550644138E-3</v>
      </c>
      <c r="BZ23" s="207">
        <f t="shared" si="114"/>
        <v>6.0882800608828003E-3</v>
      </c>
      <c r="CA23" s="207">
        <f t="shared" si="114"/>
        <v>-4.123711340206182E-2</v>
      </c>
      <c r="CB23" s="207">
        <f t="shared" si="114"/>
        <v>-3.5502958579881616E-2</v>
      </c>
      <c r="CC23" s="207">
        <f t="shared" si="114"/>
        <v>-3.8179148311306865E-2</v>
      </c>
      <c r="CD23" s="207">
        <f t="shared" si="114"/>
        <v>-2.7478648347567747E-2</v>
      </c>
      <c r="CE23" s="207">
        <f t="shared" ref="CE23:CM23" si="115">CE8/CD8-1</f>
        <v>8.5951688471421761E-3</v>
      </c>
      <c r="CF23" s="207">
        <f t="shared" si="115"/>
        <v>1.0660082487791378E-2</v>
      </c>
      <c r="CG23" s="207">
        <f t="shared" si="115"/>
        <v>6.7491988074406262E-3</v>
      </c>
      <c r="CH23" s="207">
        <f t="shared" si="115"/>
        <v>1.0477133649242854E-2</v>
      </c>
      <c r="CI23" s="207">
        <f t="shared" si="115"/>
        <v>1.4348721280057486E-2</v>
      </c>
      <c r="CJ23" s="207">
        <f t="shared" si="115"/>
        <v>1.3303578613161227E-2</v>
      </c>
      <c r="CK23" s="207">
        <f t="shared" si="115"/>
        <v>1.2376169083405442E-2</v>
      </c>
      <c r="CL23" s="207">
        <f t="shared" si="115"/>
        <v>1.1551319605180188E-2</v>
      </c>
      <c r="CM23" s="207">
        <f t="shared" si="115"/>
        <v>1.0816108416636272E-2</v>
      </c>
      <c r="CN23" s="195"/>
      <c r="CO23" s="202"/>
      <c r="CP23" s="195"/>
      <c r="CQ23" s="195"/>
      <c r="CR23" s="195"/>
      <c r="CS23" s="195"/>
      <c r="CT23" s="195"/>
      <c r="DE23" s="195"/>
      <c r="DF23" s="195"/>
      <c r="DG23" s="195"/>
    </row>
    <row r="24" spans="1:111">
      <c r="A24" s="173" t="s">
        <v>723</v>
      </c>
      <c r="B24" s="241"/>
      <c r="C24" s="241"/>
      <c r="D24" s="241"/>
      <c r="E24" s="241"/>
      <c r="F24" s="241"/>
      <c r="G24" s="207" t="e">
        <f t="shared" si="109"/>
        <v>#DIV/0!</v>
      </c>
      <c r="H24" s="207"/>
      <c r="I24" s="207"/>
      <c r="J24" s="207"/>
      <c r="K24" s="207" t="e">
        <f t="shared" ref="K24:BV24" si="116">K9/F9-1</f>
        <v>#DIV/0!</v>
      </c>
      <c r="L24" s="207" t="e">
        <f t="shared" si="116"/>
        <v>#DIV/0!</v>
      </c>
      <c r="M24" s="207" t="e">
        <f t="shared" si="116"/>
        <v>#DIV/0!</v>
      </c>
      <c r="N24" s="207" t="e">
        <f t="shared" si="116"/>
        <v>#DIV/0!</v>
      </c>
      <c r="O24" s="207" t="e">
        <f t="shared" si="116"/>
        <v>#DIV/0!</v>
      </c>
      <c r="P24" s="207" t="e">
        <f t="shared" si="116"/>
        <v>#DIV/0!</v>
      </c>
      <c r="Q24" s="207" t="e">
        <f t="shared" si="116"/>
        <v>#DIV/0!</v>
      </c>
      <c r="R24" s="207" t="e">
        <f t="shared" si="116"/>
        <v>#DIV/0!</v>
      </c>
      <c r="S24" s="207" t="e">
        <f t="shared" si="116"/>
        <v>#DIV/0!</v>
      </c>
      <c r="T24" s="207" t="e">
        <f t="shared" si="116"/>
        <v>#DIV/0!</v>
      </c>
      <c r="U24" s="207" t="e">
        <f t="shared" si="116"/>
        <v>#DIV/0!</v>
      </c>
      <c r="V24" s="207" t="e">
        <f t="shared" si="116"/>
        <v>#DIV/0!</v>
      </c>
      <c r="W24" s="207" t="e">
        <f t="shared" si="116"/>
        <v>#DIV/0!</v>
      </c>
      <c r="X24" s="207" t="e">
        <f t="shared" si="116"/>
        <v>#DIV/0!</v>
      </c>
      <c r="Y24" s="207" t="e">
        <f t="shared" si="116"/>
        <v>#DIV/0!</v>
      </c>
      <c r="Z24" s="207" t="e">
        <f t="shared" si="116"/>
        <v>#DIV/0!</v>
      </c>
      <c r="AA24" s="207" t="e">
        <f t="shared" si="116"/>
        <v>#DIV/0!</v>
      </c>
      <c r="AB24" s="207" t="e">
        <f t="shared" si="116"/>
        <v>#DIV/0!</v>
      </c>
      <c r="AC24" s="207" t="e">
        <f t="shared" si="116"/>
        <v>#DIV/0!</v>
      </c>
      <c r="AD24" s="207" t="e">
        <f t="shared" si="116"/>
        <v>#DIV/0!</v>
      </c>
      <c r="AE24" s="207" t="e">
        <f t="shared" si="116"/>
        <v>#DIV/0!</v>
      </c>
      <c r="AF24" s="207" t="e">
        <f t="shared" si="116"/>
        <v>#DIV/0!</v>
      </c>
      <c r="AG24" s="207" t="e">
        <f t="shared" si="116"/>
        <v>#DIV/0!</v>
      </c>
      <c r="AH24" s="207" t="e">
        <f t="shared" si="116"/>
        <v>#DIV/0!</v>
      </c>
      <c r="AI24" s="207" t="e">
        <f t="shared" si="116"/>
        <v>#DIV/0!</v>
      </c>
      <c r="AJ24" s="207" t="e">
        <f t="shared" si="116"/>
        <v>#DIV/0!</v>
      </c>
      <c r="AK24" s="207" t="e">
        <f t="shared" si="116"/>
        <v>#DIV/0!</v>
      </c>
      <c r="AL24" s="207" t="e">
        <f t="shared" si="116"/>
        <v>#DIV/0!</v>
      </c>
      <c r="AM24" s="207" t="e">
        <f t="shared" si="116"/>
        <v>#DIV/0!</v>
      </c>
      <c r="AN24" s="207" t="e">
        <f t="shared" si="116"/>
        <v>#DIV/0!</v>
      </c>
      <c r="AO24" s="207" t="e">
        <f t="shared" si="116"/>
        <v>#DIV/0!</v>
      </c>
      <c r="AP24" s="207" t="e">
        <f t="shared" si="116"/>
        <v>#DIV/0!</v>
      </c>
      <c r="AQ24" s="207" t="e">
        <f t="shared" si="116"/>
        <v>#DIV/0!</v>
      </c>
      <c r="AR24" s="207" t="e">
        <f t="shared" si="116"/>
        <v>#DIV/0!</v>
      </c>
      <c r="AS24" s="207" t="e">
        <f t="shared" si="116"/>
        <v>#DIV/0!</v>
      </c>
      <c r="AT24" s="207" t="e">
        <f t="shared" si="116"/>
        <v>#DIV/0!</v>
      </c>
      <c r="AU24" s="207" t="e">
        <f t="shared" si="116"/>
        <v>#DIV/0!</v>
      </c>
      <c r="AV24" s="207" t="e">
        <f t="shared" si="116"/>
        <v>#DIV/0!</v>
      </c>
      <c r="AW24" s="207" t="e">
        <f t="shared" si="116"/>
        <v>#DIV/0!</v>
      </c>
      <c r="AX24" s="207" t="e">
        <f t="shared" si="116"/>
        <v>#DIV/0!</v>
      </c>
      <c r="AY24" s="207" t="e">
        <f t="shared" si="116"/>
        <v>#DIV/0!</v>
      </c>
      <c r="AZ24" s="207" t="e">
        <f t="shared" si="116"/>
        <v>#DIV/0!</v>
      </c>
      <c r="BA24" s="207" t="e">
        <f t="shared" si="116"/>
        <v>#DIV/0!</v>
      </c>
      <c r="BB24" s="207" t="e">
        <f t="shared" si="116"/>
        <v>#DIV/0!</v>
      </c>
      <c r="BC24" s="207" t="e">
        <f t="shared" si="116"/>
        <v>#DIV/0!</v>
      </c>
      <c r="BD24" s="207" t="e">
        <f t="shared" si="116"/>
        <v>#DIV/0!</v>
      </c>
      <c r="BE24" s="207" t="e">
        <f t="shared" si="116"/>
        <v>#DIV/0!</v>
      </c>
      <c r="BF24" s="207" t="e">
        <f t="shared" si="116"/>
        <v>#DIV/0!</v>
      </c>
      <c r="BG24" s="207" t="e">
        <f t="shared" si="116"/>
        <v>#DIV/0!</v>
      </c>
      <c r="BH24" s="207" t="e">
        <f t="shared" si="116"/>
        <v>#DIV/0!</v>
      </c>
      <c r="BI24" s="207" t="e">
        <f t="shared" si="116"/>
        <v>#DIV/0!</v>
      </c>
      <c r="BJ24" s="207" t="e">
        <f t="shared" si="116"/>
        <v>#DIV/0!</v>
      </c>
      <c r="BK24" s="207" t="e">
        <f t="shared" si="116"/>
        <v>#DIV/0!</v>
      </c>
      <c r="BL24" s="207" t="e">
        <f t="shared" si="116"/>
        <v>#DIV/0!</v>
      </c>
      <c r="BM24" s="207" t="e">
        <f t="shared" si="116"/>
        <v>#DIV/0!</v>
      </c>
      <c r="BN24" s="207" t="e">
        <f t="shared" si="116"/>
        <v>#DIV/0!</v>
      </c>
      <c r="BO24" s="207" t="e">
        <f t="shared" si="116"/>
        <v>#DIV/0!</v>
      </c>
      <c r="BP24" s="207" t="e">
        <f t="shared" si="116"/>
        <v>#DIV/0!</v>
      </c>
      <c r="BQ24" s="207" t="e">
        <f t="shared" si="116"/>
        <v>#DIV/0!</v>
      </c>
      <c r="BR24" s="207" t="e">
        <f t="shared" si="116"/>
        <v>#DIV/0!</v>
      </c>
      <c r="BS24" s="207" t="e">
        <f t="shared" si="116"/>
        <v>#DIV/0!</v>
      </c>
      <c r="BT24" s="207" t="e">
        <f t="shared" si="116"/>
        <v>#DIV/0!</v>
      </c>
      <c r="BU24" s="207">
        <f t="shared" si="116"/>
        <v>0.21212121212121215</v>
      </c>
      <c r="BV24" s="207">
        <f t="shared" si="116"/>
        <v>0.19428571428571439</v>
      </c>
      <c r="BW24" s="207">
        <f t="shared" ref="BW24:CD24" si="117">BW9/BR9-1</f>
        <v>0.16216216216216206</v>
      </c>
      <c r="BX24" s="207">
        <f t="shared" si="117"/>
        <v>0.11734693877551017</v>
      </c>
      <c r="BY24" s="207">
        <f t="shared" si="117"/>
        <v>0.1692094313453536</v>
      </c>
      <c r="BZ24" s="207">
        <f t="shared" si="117"/>
        <v>0.1100000000000001</v>
      </c>
      <c r="CA24" s="207">
        <f t="shared" si="117"/>
        <v>9.5693779904306275E-2</v>
      </c>
      <c r="CB24" s="207">
        <f t="shared" si="117"/>
        <v>7.441860465116279E-2</v>
      </c>
      <c r="CC24" s="207">
        <f t="shared" si="117"/>
        <v>0.1095890410958904</v>
      </c>
      <c r="CD24" s="207">
        <f t="shared" si="117"/>
        <v>9.7271648873072269E-2</v>
      </c>
      <c r="CE24" s="207">
        <f t="shared" ref="CE24:CM24" si="118">CE9/CD9-1</f>
        <v>0.10695171300278616</v>
      </c>
      <c r="CF24" s="207">
        <f t="shared" si="118"/>
        <v>0.11464458835867264</v>
      </c>
      <c r="CG24" s="207">
        <f t="shared" si="118"/>
        <v>0.10057035553175253</v>
      </c>
      <c r="CH24" s="207">
        <f t="shared" si="118"/>
        <v>9.489288945743124E-2</v>
      </c>
      <c r="CI24" s="207">
        <f t="shared" si="118"/>
        <v>8.617875177477341E-2</v>
      </c>
      <c r="CJ24" s="207">
        <f t="shared" si="118"/>
        <v>7.8917718201089615E-2</v>
      </c>
      <c r="CK24" s="207">
        <f t="shared" si="118"/>
        <v>7.2786421224064313E-2</v>
      </c>
      <c r="CL24" s="207">
        <f t="shared" si="118"/>
        <v>6.7551078675543108E-2</v>
      </c>
      <c r="CM24" s="207">
        <f t="shared" si="118"/>
        <v>6.3038312568354904E-2</v>
      </c>
      <c r="CN24" s="195"/>
      <c r="CO24" s="202"/>
      <c r="CP24" s="195"/>
      <c r="CQ24" s="195"/>
      <c r="CR24" s="195"/>
      <c r="CS24" s="195"/>
      <c r="CT24" s="195"/>
      <c r="DE24" s="195"/>
      <c r="DF24" s="195"/>
      <c r="DG24" s="195"/>
    </row>
    <row r="25" spans="1:111" s="265" customFormat="1">
      <c r="A25" s="241" t="s">
        <v>811</v>
      </c>
      <c r="B25" s="241"/>
      <c r="C25" s="241"/>
      <c r="D25" s="241"/>
      <c r="E25" s="241"/>
      <c r="F25" s="241"/>
      <c r="G25" s="244" t="e">
        <f t="shared" si="109"/>
        <v>#DIV/0!</v>
      </c>
      <c r="H25" s="244"/>
      <c r="I25" s="244"/>
      <c r="J25" s="244"/>
      <c r="K25" s="244" t="e">
        <f t="shared" ref="K25:BV25" si="119">K10/F10-1</f>
        <v>#DIV/0!</v>
      </c>
      <c r="L25" s="244" t="e">
        <f t="shared" si="119"/>
        <v>#DIV/0!</v>
      </c>
      <c r="M25" s="244" t="e">
        <f t="shared" si="119"/>
        <v>#DIV/0!</v>
      </c>
      <c r="N25" s="244" t="e">
        <f t="shared" si="119"/>
        <v>#DIV/0!</v>
      </c>
      <c r="O25" s="244" t="e">
        <f t="shared" si="119"/>
        <v>#DIV/0!</v>
      </c>
      <c r="P25" s="244" t="e">
        <f t="shared" si="119"/>
        <v>#DIV/0!</v>
      </c>
      <c r="Q25" s="244" t="e">
        <f t="shared" si="119"/>
        <v>#DIV/0!</v>
      </c>
      <c r="R25" s="244" t="e">
        <f t="shared" si="119"/>
        <v>#DIV/0!</v>
      </c>
      <c r="S25" s="244" t="e">
        <f t="shared" si="119"/>
        <v>#DIV/0!</v>
      </c>
      <c r="T25" s="244" t="e">
        <f t="shared" si="119"/>
        <v>#DIV/0!</v>
      </c>
      <c r="U25" s="244" t="e">
        <f t="shared" si="119"/>
        <v>#DIV/0!</v>
      </c>
      <c r="V25" s="244" t="e">
        <f t="shared" si="119"/>
        <v>#DIV/0!</v>
      </c>
      <c r="W25" s="244" t="e">
        <f t="shared" si="119"/>
        <v>#DIV/0!</v>
      </c>
      <c r="X25" s="244" t="e">
        <f t="shared" si="119"/>
        <v>#DIV/0!</v>
      </c>
      <c r="Y25" s="244" t="e">
        <f t="shared" si="119"/>
        <v>#DIV/0!</v>
      </c>
      <c r="Z25" s="244" t="e">
        <f t="shared" si="119"/>
        <v>#DIV/0!</v>
      </c>
      <c r="AA25" s="244" t="e">
        <f t="shared" si="119"/>
        <v>#DIV/0!</v>
      </c>
      <c r="AB25" s="244" t="e">
        <f t="shared" si="119"/>
        <v>#DIV/0!</v>
      </c>
      <c r="AC25" s="244" t="e">
        <f t="shared" si="119"/>
        <v>#DIV/0!</v>
      </c>
      <c r="AD25" s="244" t="e">
        <f t="shared" si="119"/>
        <v>#DIV/0!</v>
      </c>
      <c r="AE25" s="244" t="e">
        <f t="shared" si="119"/>
        <v>#DIV/0!</v>
      </c>
      <c r="AF25" s="244" t="e">
        <f t="shared" si="119"/>
        <v>#DIV/0!</v>
      </c>
      <c r="AG25" s="244" t="e">
        <f t="shared" si="119"/>
        <v>#DIV/0!</v>
      </c>
      <c r="AH25" s="244" t="e">
        <f t="shared" si="119"/>
        <v>#DIV/0!</v>
      </c>
      <c r="AI25" s="244" t="e">
        <f t="shared" si="119"/>
        <v>#DIV/0!</v>
      </c>
      <c r="AJ25" s="244" t="e">
        <f t="shared" si="119"/>
        <v>#DIV/0!</v>
      </c>
      <c r="AK25" s="244" t="e">
        <f t="shared" si="119"/>
        <v>#DIV/0!</v>
      </c>
      <c r="AL25" s="244" t="e">
        <f t="shared" si="119"/>
        <v>#DIV/0!</v>
      </c>
      <c r="AM25" s="244" t="e">
        <f t="shared" si="119"/>
        <v>#DIV/0!</v>
      </c>
      <c r="AN25" s="244" t="e">
        <f t="shared" si="119"/>
        <v>#DIV/0!</v>
      </c>
      <c r="AO25" s="244" t="e">
        <f t="shared" si="119"/>
        <v>#DIV/0!</v>
      </c>
      <c r="AP25" s="244" t="e">
        <f t="shared" si="119"/>
        <v>#DIV/0!</v>
      </c>
      <c r="AQ25" s="244" t="e">
        <f t="shared" si="119"/>
        <v>#DIV/0!</v>
      </c>
      <c r="AR25" s="244" t="e">
        <f t="shared" si="119"/>
        <v>#DIV/0!</v>
      </c>
      <c r="AS25" s="244" t="e">
        <f t="shared" si="119"/>
        <v>#DIV/0!</v>
      </c>
      <c r="AT25" s="244" t="e">
        <f t="shared" si="119"/>
        <v>#DIV/0!</v>
      </c>
      <c r="AU25" s="244" t="e">
        <f t="shared" si="119"/>
        <v>#DIV/0!</v>
      </c>
      <c r="AV25" s="244" t="e">
        <f t="shared" si="119"/>
        <v>#DIV/0!</v>
      </c>
      <c r="AW25" s="244" t="e">
        <f t="shared" si="119"/>
        <v>#DIV/0!</v>
      </c>
      <c r="AX25" s="244" t="e">
        <f t="shared" si="119"/>
        <v>#DIV/0!</v>
      </c>
      <c r="AY25" s="244" t="e">
        <f t="shared" si="119"/>
        <v>#DIV/0!</v>
      </c>
      <c r="AZ25" s="244" t="e">
        <f t="shared" si="119"/>
        <v>#DIV/0!</v>
      </c>
      <c r="BA25" s="244" t="e">
        <f t="shared" si="119"/>
        <v>#DIV/0!</v>
      </c>
      <c r="BB25" s="244" t="e">
        <f t="shared" si="119"/>
        <v>#DIV/0!</v>
      </c>
      <c r="BC25" s="244" t="e">
        <f t="shared" si="119"/>
        <v>#DIV/0!</v>
      </c>
      <c r="BD25" s="244" t="e">
        <f t="shared" si="119"/>
        <v>#DIV/0!</v>
      </c>
      <c r="BE25" s="244" t="e">
        <f t="shared" si="119"/>
        <v>#DIV/0!</v>
      </c>
      <c r="BF25" s="244" t="e">
        <f t="shared" si="119"/>
        <v>#DIV/0!</v>
      </c>
      <c r="BG25" s="244" t="e">
        <f t="shared" si="119"/>
        <v>#DIV/0!</v>
      </c>
      <c r="BH25" s="244" t="e">
        <f t="shared" si="119"/>
        <v>#DIV/0!</v>
      </c>
      <c r="BI25" s="244" t="e">
        <f t="shared" si="119"/>
        <v>#DIV/0!</v>
      </c>
      <c r="BJ25" s="244" t="e">
        <f t="shared" si="119"/>
        <v>#DIV/0!</v>
      </c>
      <c r="BK25" s="244" t="e">
        <f t="shared" si="119"/>
        <v>#DIV/0!</v>
      </c>
      <c r="BL25" s="244" t="e">
        <f t="shared" si="119"/>
        <v>#DIV/0!</v>
      </c>
      <c r="BM25" s="244" t="e">
        <f t="shared" si="119"/>
        <v>#DIV/0!</v>
      </c>
      <c r="BN25" s="244" t="e">
        <f t="shared" si="119"/>
        <v>#DIV/0!</v>
      </c>
      <c r="BO25" s="244" t="e">
        <f t="shared" si="119"/>
        <v>#DIV/0!</v>
      </c>
      <c r="BP25" s="244" t="e">
        <f t="shared" si="119"/>
        <v>#DIV/0!</v>
      </c>
      <c r="BQ25" s="244" t="e">
        <f t="shared" si="119"/>
        <v>#DIV/0!</v>
      </c>
      <c r="BR25" s="244" t="e">
        <f t="shared" si="119"/>
        <v>#DIV/0!</v>
      </c>
      <c r="BS25" s="244" t="e">
        <f t="shared" si="119"/>
        <v>#DIV/0!</v>
      </c>
      <c r="BT25" s="244" t="e">
        <f t="shared" si="119"/>
        <v>#DIV/0!</v>
      </c>
      <c r="BU25" s="244">
        <f t="shared" si="119"/>
        <v>5.4347826086956541E-2</v>
      </c>
      <c r="BV25" s="244">
        <f t="shared" si="119"/>
        <v>4.0431266846361114E-2</v>
      </c>
      <c r="BW25" s="244">
        <f t="shared" ref="BW25:CD25" si="120">BW10/BR10-1</f>
        <v>1.8421052631578894E-2</v>
      </c>
      <c r="BX25" s="244">
        <f t="shared" si="120"/>
        <v>-8.7719298245614086E-2</v>
      </c>
      <c r="BY25" s="244">
        <f t="shared" si="120"/>
        <v>4.6113306982871194E-3</v>
      </c>
      <c r="BZ25" s="244">
        <f t="shared" si="120"/>
        <v>-5.9278350515463929E-2</v>
      </c>
      <c r="CA25" s="244">
        <f t="shared" si="120"/>
        <v>-6.2176165803108807E-2</v>
      </c>
      <c r="CB25" s="244">
        <f t="shared" si="120"/>
        <v>-1.8087855297157618E-2</v>
      </c>
      <c r="CC25" s="244">
        <f t="shared" si="120"/>
        <v>0.10164835164835173</v>
      </c>
      <c r="CD25" s="244">
        <f t="shared" si="120"/>
        <v>-1.1147540983606596E-2</v>
      </c>
      <c r="CE25" s="244">
        <f t="shared" ref="CE25:CM25" si="121">CE10/CD10-1</f>
        <v>5.0000000000000044E-2</v>
      </c>
      <c r="CF25" s="244">
        <f t="shared" si="121"/>
        <v>5.0000000000000044E-2</v>
      </c>
      <c r="CG25" s="244">
        <f t="shared" si="121"/>
        <v>5.0000000000000044E-2</v>
      </c>
      <c r="CH25" s="244">
        <f t="shared" si="121"/>
        <v>5.0000000000000044E-2</v>
      </c>
      <c r="CI25" s="244">
        <f t="shared" si="121"/>
        <v>5.0000000000000044E-2</v>
      </c>
      <c r="CJ25" s="244">
        <f t="shared" si="121"/>
        <v>5.0000000000000044E-2</v>
      </c>
      <c r="CK25" s="244">
        <f t="shared" si="121"/>
        <v>5.0000000000000044E-2</v>
      </c>
      <c r="CL25" s="244">
        <f t="shared" si="121"/>
        <v>5.0000000000000044E-2</v>
      </c>
      <c r="CM25" s="244">
        <f t="shared" si="121"/>
        <v>5.0000000000000044E-2</v>
      </c>
      <c r="CN25" s="202"/>
      <c r="CO25" s="202"/>
      <c r="CP25" s="202"/>
      <c r="CQ25" s="202"/>
      <c r="CR25" s="202"/>
      <c r="CS25" s="202"/>
      <c r="CT25" s="202"/>
      <c r="DE25" s="202"/>
      <c r="DF25" s="202"/>
      <c r="DG25" s="202"/>
    </row>
    <row r="26" spans="1:111">
      <c r="A26" s="173" t="s">
        <v>726</v>
      </c>
      <c r="B26" s="241"/>
      <c r="C26" s="241"/>
      <c r="D26" s="241"/>
      <c r="E26" s="241"/>
      <c r="F26" s="241"/>
      <c r="G26" s="207" t="e">
        <f t="shared" si="109"/>
        <v>#DIV/0!</v>
      </c>
      <c r="H26" s="207"/>
      <c r="I26" s="207"/>
      <c r="J26" s="207"/>
      <c r="K26" s="207" t="e">
        <f t="shared" ref="K26:BV26" si="122">K11/F11-1</f>
        <v>#DIV/0!</v>
      </c>
      <c r="L26" s="207" t="e">
        <f t="shared" si="122"/>
        <v>#DIV/0!</v>
      </c>
      <c r="M26" s="207" t="e">
        <f t="shared" si="122"/>
        <v>#DIV/0!</v>
      </c>
      <c r="N26" s="207" t="e">
        <f t="shared" si="122"/>
        <v>#DIV/0!</v>
      </c>
      <c r="O26" s="207" t="e">
        <f t="shared" si="122"/>
        <v>#DIV/0!</v>
      </c>
      <c r="P26" s="207" t="e">
        <f t="shared" si="122"/>
        <v>#DIV/0!</v>
      </c>
      <c r="Q26" s="207" t="e">
        <f t="shared" si="122"/>
        <v>#DIV/0!</v>
      </c>
      <c r="R26" s="207" t="e">
        <f t="shared" si="122"/>
        <v>#DIV/0!</v>
      </c>
      <c r="S26" s="207" t="e">
        <f t="shared" si="122"/>
        <v>#DIV/0!</v>
      </c>
      <c r="T26" s="207" t="e">
        <f t="shared" si="122"/>
        <v>#DIV/0!</v>
      </c>
      <c r="U26" s="207" t="e">
        <f t="shared" si="122"/>
        <v>#DIV/0!</v>
      </c>
      <c r="V26" s="207" t="e">
        <f t="shared" si="122"/>
        <v>#DIV/0!</v>
      </c>
      <c r="W26" s="207" t="e">
        <f t="shared" si="122"/>
        <v>#DIV/0!</v>
      </c>
      <c r="X26" s="207" t="e">
        <f t="shared" si="122"/>
        <v>#DIV/0!</v>
      </c>
      <c r="Y26" s="207" t="e">
        <f t="shared" si="122"/>
        <v>#DIV/0!</v>
      </c>
      <c r="Z26" s="207" t="e">
        <f t="shared" si="122"/>
        <v>#DIV/0!</v>
      </c>
      <c r="AA26" s="207" t="e">
        <f t="shared" si="122"/>
        <v>#DIV/0!</v>
      </c>
      <c r="AB26" s="207" t="e">
        <f t="shared" si="122"/>
        <v>#DIV/0!</v>
      </c>
      <c r="AC26" s="207" t="e">
        <f t="shared" si="122"/>
        <v>#DIV/0!</v>
      </c>
      <c r="AD26" s="207" t="e">
        <f t="shared" si="122"/>
        <v>#DIV/0!</v>
      </c>
      <c r="AE26" s="207" t="e">
        <f t="shared" si="122"/>
        <v>#DIV/0!</v>
      </c>
      <c r="AF26" s="207" t="e">
        <f t="shared" si="122"/>
        <v>#DIV/0!</v>
      </c>
      <c r="AG26" s="207" t="e">
        <f t="shared" si="122"/>
        <v>#DIV/0!</v>
      </c>
      <c r="AH26" s="207" t="e">
        <f t="shared" si="122"/>
        <v>#DIV/0!</v>
      </c>
      <c r="AI26" s="207" t="e">
        <f t="shared" si="122"/>
        <v>#DIV/0!</v>
      </c>
      <c r="AJ26" s="207" t="e">
        <f t="shared" si="122"/>
        <v>#DIV/0!</v>
      </c>
      <c r="AK26" s="207" t="e">
        <f t="shared" si="122"/>
        <v>#DIV/0!</v>
      </c>
      <c r="AL26" s="207" t="e">
        <f t="shared" si="122"/>
        <v>#DIV/0!</v>
      </c>
      <c r="AM26" s="207" t="e">
        <f t="shared" si="122"/>
        <v>#DIV/0!</v>
      </c>
      <c r="AN26" s="207" t="e">
        <f t="shared" si="122"/>
        <v>#DIV/0!</v>
      </c>
      <c r="AO26" s="207" t="e">
        <f t="shared" si="122"/>
        <v>#DIV/0!</v>
      </c>
      <c r="AP26" s="207" t="e">
        <f t="shared" si="122"/>
        <v>#DIV/0!</v>
      </c>
      <c r="AQ26" s="207" t="e">
        <f t="shared" si="122"/>
        <v>#DIV/0!</v>
      </c>
      <c r="AR26" s="207" t="e">
        <f t="shared" si="122"/>
        <v>#DIV/0!</v>
      </c>
      <c r="AS26" s="207" t="e">
        <f t="shared" si="122"/>
        <v>#DIV/0!</v>
      </c>
      <c r="AT26" s="207" t="e">
        <f t="shared" si="122"/>
        <v>#DIV/0!</v>
      </c>
      <c r="AU26" s="207" t="e">
        <f t="shared" si="122"/>
        <v>#DIV/0!</v>
      </c>
      <c r="AV26" s="207" t="e">
        <f t="shared" si="122"/>
        <v>#DIV/0!</v>
      </c>
      <c r="AW26" s="207" t="e">
        <f t="shared" si="122"/>
        <v>#DIV/0!</v>
      </c>
      <c r="AX26" s="207" t="e">
        <f t="shared" si="122"/>
        <v>#DIV/0!</v>
      </c>
      <c r="AY26" s="207" t="e">
        <f t="shared" si="122"/>
        <v>#DIV/0!</v>
      </c>
      <c r="AZ26" s="207" t="e">
        <f t="shared" si="122"/>
        <v>#DIV/0!</v>
      </c>
      <c r="BA26" s="207" t="e">
        <f t="shared" si="122"/>
        <v>#DIV/0!</v>
      </c>
      <c r="BB26" s="207" t="e">
        <f t="shared" si="122"/>
        <v>#DIV/0!</v>
      </c>
      <c r="BC26" s="207" t="e">
        <f t="shared" si="122"/>
        <v>#DIV/0!</v>
      </c>
      <c r="BD26" s="207" t="e">
        <f t="shared" si="122"/>
        <v>#DIV/0!</v>
      </c>
      <c r="BE26" s="207" t="e">
        <f t="shared" si="122"/>
        <v>#DIV/0!</v>
      </c>
      <c r="BF26" s="207" t="e">
        <f t="shared" si="122"/>
        <v>#DIV/0!</v>
      </c>
      <c r="BG26" s="207" t="e">
        <f t="shared" si="122"/>
        <v>#DIV/0!</v>
      </c>
      <c r="BH26" s="207" t="e">
        <f t="shared" si="122"/>
        <v>#DIV/0!</v>
      </c>
      <c r="BI26" s="207" t="e">
        <f t="shared" si="122"/>
        <v>#DIV/0!</v>
      </c>
      <c r="BJ26" s="207" t="e">
        <f t="shared" si="122"/>
        <v>#DIV/0!</v>
      </c>
      <c r="BK26" s="207" t="e">
        <f t="shared" si="122"/>
        <v>#DIV/0!</v>
      </c>
      <c r="BL26" s="207" t="e">
        <f t="shared" si="122"/>
        <v>#DIV/0!</v>
      </c>
      <c r="BM26" s="207" t="e">
        <f t="shared" si="122"/>
        <v>#DIV/0!</v>
      </c>
      <c r="BN26" s="207" t="e">
        <f t="shared" si="122"/>
        <v>#DIV/0!</v>
      </c>
      <c r="BO26" s="207" t="e">
        <f t="shared" si="122"/>
        <v>#DIV/0!</v>
      </c>
      <c r="BP26" s="207" t="e">
        <f t="shared" si="122"/>
        <v>#DIV/0!</v>
      </c>
      <c r="BQ26" s="207" t="e">
        <f t="shared" si="122"/>
        <v>#DIV/0!</v>
      </c>
      <c r="BR26" s="207" t="e">
        <f t="shared" si="122"/>
        <v>#DIV/0!</v>
      </c>
      <c r="BS26" s="207" t="e">
        <f t="shared" si="122"/>
        <v>#DIV/0!</v>
      </c>
      <c r="BT26" s="207" t="e">
        <f t="shared" si="122"/>
        <v>#DIV/0!</v>
      </c>
      <c r="BU26" s="207">
        <f t="shared" si="122"/>
        <v>2.7777777777777679E-2</v>
      </c>
      <c r="BV26" s="207">
        <f t="shared" si="122"/>
        <v>0</v>
      </c>
      <c r="BW26" s="207">
        <f t="shared" ref="BW26:CD26" si="123">BW11/BR11-1</f>
        <v>6.9892473118279508E-2</v>
      </c>
      <c r="BX26" s="207">
        <f t="shared" si="123"/>
        <v>9.5238095238095344E-2</v>
      </c>
      <c r="BY26" s="207">
        <f t="shared" si="123"/>
        <v>4.8648648648648596E-2</v>
      </c>
      <c r="BZ26" s="207">
        <f t="shared" si="123"/>
        <v>8.1081081081081141E-2</v>
      </c>
      <c r="CA26" s="207">
        <f t="shared" si="123"/>
        <v>8.6486486486486491E-2</v>
      </c>
      <c r="CB26" s="207">
        <f t="shared" si="123"/>
        <v>5.0251256281406143E-3</v>
      </c>
      <c r="CC26" s="207">
        <f t="shared" si="123"/>
        <v>-9.6618357487923134E-3</v>
      </c>
      <c r="CD26" s="207">
        <f t="shared" si="123"/>
        <v>3.8659793814433074E-2</v>
      </c>
      <c r="CE26" s="207"/>
      <c r="CF26" s="207"/>
      <c r="CG26" s="207"/>
      <c r="CH26" s="207"/>
      <c r="CI26" s="207"/>
      <c r="CJ26" s="207"/>
      <c r="CK26" s="207"/>
      <c r="CL26" s="207"/>
      <c r="CM26" s="207"/>
      <c r="CN26" s="195"/>
      <c r="CO26" s="202"/>
      <c r="CP26" s="195"/>
      <c r="CQ26" s="195"/>
      <c r="CR26" s="195"/>
      <c r="CS26" s="195"/>
      <c r="CT26" s="195"/>
      <c r="DE26" s="195"/>
      <c r="DF26" s="195"/>
      <c r="DG26" s="195"/>
    </row>
    <row r="27" spans="1:111">
      <c r="A27" s="173" t="s">
        <v>712</v>
      </c>
      <c r="B27" s="241"/>
      <c r="C27" s="241"/>
      <c r="D27" s="241"/>
      <c r="E27" s="241"/>
      <c r="F27" s="241"/>
      <c r="G27" s="207" t="e">
        <f t="shared" si="109"/>
        <v>#DIV/0!</v>
      </c>
      <c r="H27" s="207"/>
      <c r="I27" s="207"/>
      <c r="J27" s="207"/>
      <c r="K27" s="207" t="e">
        <f t="shared" ref="K27:BV27" si="124">K12/F12-1</f>
        <v>#DIV/0!</v>
      </c>
      <c r="L27" s="207" t="e">
        <f t="shared" si="124"/>
        <v>#DIV/0!</v>
      </c>
      <c r="M27" s="207" t="e">
        <f t="shared" si="124"/>
        <v>#DIV/0!</v>
      </c>
      <c r="N27" s="207" t="e">
        <f t="shared" si="124"/>
        <v>#DIV/0!</v>
      </c>
      <c r="O27" s="207" t="e">
        <f t="shared" si="124"/>
        <v>#DIV/0!</v>
      </c>
      <c r="P27" s="207" t="e">
        <f t="shared" si="124"/>
        <v>#DIV/0!</v>
      </c>
      <c r="Q27" s="207" t="e">
        <f t="shared" si="124"/>
        <v>#DIV/0!</v>
      </c>
      <c r="R27" s="207" t="e">
        <f t="shared" si="124"/>
        <v>#DIV/0!</v>
      </c>
      <c r="S27" s="207" t="e">
        <f t="shared" si="124"/>
        <v>#DIV/0!</v>
      </c>
      <c r="T27" s="207" t="e">
        <f t="shared" si="124"/>
        <v>#DIV/0!</v>
      </c>
      <c r="U27" s="207" t="e">
        <f t="shared" si="124"/>
        <v>#DIV/0!</v>
      </c>
      <c r="V27" s="207" t="e">
        <f t="shared" si="124"/>
        <v>#DIV/0!</v>
      </c>
      <c r="W27" s="207" t="e">
        <f t="shared" si="124"/>
        <v>#DIV/0!</v>
      </c>
      <c r="X27" s="207" t="e">
        <f t="shared" si="124"/>
        <v>#DIV/0!</v>
      </c>
      <c r="Y27" s="207" t="e">
        <f t="shared" si="124"/>
        <v>#DIV/0!</v>
      </c>
      <c r="Z27" s="207" t="e">
        <f t="shared" si="124"/>
        <v>#DIV/0!</v>
      </c>
      <c r="AA27" s="207" t="e">
        <f t="shared" si="124"/>
        <v>#DIV/0!</v>
      </c>
      <c r="AB27" s="207" t="e">
        <f t="shared" si="124"/>
        <v>#DIV/0!</v>
      </c>
      <c r="AC27" s="207" t="e">
        <f t="shared" si="124"/>
        <v>#DIV/0!</v>
      </c>
      <c r="AD27" s="207" t="e">
        <f t="shared" si="124"/>
        <v>#DIV/0!</v>
      </c>
      <c r="AE27" s="207" t="e">
        <f t="shared" si="124"/>
        <v>#DIV/0!</v>
      </c>
      <c r="AF27" s="207" t="e">
        <f t="shared" si="124"/>
        <v>#DIV/0!</v>
      </c>
      <c r="AG27" s="207" t="e">
        <f t="shared" si="124"/>
        <v>#DIV/0!</v>
      </c>
      <c r="AH27" s="207" t="e">
        <f t="shared" si="124"/>
        <v>#DIV/0!</v>
      </c>
      <c r="AI27" s="207" t="e">
        <f t="shared" si="124"/>
        <v>#DIV/0!</v>
      </c>
      <c r="AJ27" s="207" t="e">
        <f t="shared" si="124"/>
        <v>#DIV/0!</v>
      </c>
      <c r="AK27" s="207" t="e">
        <f t="shared" si="124"/>
        <v>#DIV/0!</v>
      </c>
      <c r="AL27" s="207" t="e">
        <f t="shared" si="124"/>
        <v>#DIV/0!</v>
      </c>
      <c r="AM27" s="207" t="e">
        <f t="shared" si="124"/>
        <v>#DIV/0!</v>
      </c>
      <c r="AN27" s="207" t="e">
        <f t="shared" si="124"/>
        <v>#DIV/0!</v>
      </c>
      <c r="AO27" s="207" t="e">
        <f t="shared" si="124"/>
        <v>#DIV/0!</v>
      </c>
      <c r="AP27" s="207" t="e">
        <f t="shared" si="124"/>
        <v>#DIV/0!</v>
      </c>
      <c r="AQ27" s="207" t="e">
        <f t="shared" si="124"/>
        <v>#DIV/0!</v>
      </c>
      <c r="AR27" s="207" t="e">
        <f t="shared" si="124"/>
        <v>#DIV/0!</v>
      </c>
      <c r="AS27" s="207" t="e">
        <f t="shared" si="124"/>
        <v>#DIV/0!</v>
      </c>
      <c r="AT27" s="207" t="e">
        <f t="shared" si="124"/>
        <v>#DIV/0!</v>
      </c>
      <c r="AU27" s="207" t="e">
        <f t="shared" si="124"/>
        <v>#DIV/0!</v>
      </c>
      <c r="AV27" s="207" t="e">
        <f t="shared" si="124"/>
        <v>#DIV/0!</v>
      </c>
      <c r="AW27" s="207" t="e">
        <f t="shared" si="124"/>
        <v>#DIV/0!</v>
      </c>
      <c r="AX27" s="207" t="e">
        <f t="shared" si="124"/>
        <v>#DIV/0!</v>
      </c>
      <c r="AY27" s="207" t="e">
        <f t="shared" si="124"/>
        <v>#DIV/0!</v>
      </c>
      <c r="AZ27" s="207" t="e">
        <f t="shared" si="124"/>
        <v>#DIV/0!</v>
      </c>
      <c r="BA27" s="207" t="e">
        <f t="shared" si="124"/>
        <v>#DIV/0!</v>
      </c>
      <c r="BB27" s="207" t="e">
        <f t="shared" si="124"/>
        <v>#DIV/0!</v>
      </c>
      <c r="BC27" s="207" t="e">
        <f t="shared" si="124"/>
        <v>#DIV/0!</v>
      </c>
      <c r="BD27" s="207" t="e">
        <f t="shared" si="124"/>
        <v>#DIV/0!</v>
      </c>
      <c r="BE27" s="207" t="e">
        <f t="shared" si="124"/>
        <v>#DIV/0!</v>
      </c>
      <c r="BF27" s="207" t="e">
        <f t="shared" si="124"/>
        <v>#DIV/0!</v>
      </c>
      <c r="BG27" s="207" t="e">
        <f t="shared" si="124"/>
        <v>#DIV/0!</v>
      </c>
      <c r="BH27" s="207" t="e">
        <f t="shared" si="124"/>
        <v>#DIV/0!</v>
      </c>
      <c r="BI27" s="207" t="e">
        <f t="shared" si="124"/>
        <v>#DIV/0!</v>
      </c>
      <c r="BJ27" s="207" t="e">
        <f t="shared" si="124"/>
        <v>#DIV/0!</v>
      </c>
      <c r="BK27" s="207" t="e">
        <f t="shared" si="124"/>
        <v>#DIV/0!</v>
      </c>
      <c r="BL27" s="207" t="e">
        <f t="shared" si="124"/>
        <v>#DIV/0!</v>
      </c>
      <c r="BM27" s="207" t="e">
        <f t="shared" si="124"/>
        <v>#DIV/0!</v>
      </c>
      <c r="BN27" s="207" t="e">
        <f t="shared" si="124"/>
        <v>#DIV/0!</v>
      </c>
      <c r="BO27" s="207" t="e">
        <f t="shared" si="124"/>
        <v>#DIV/0!</v>
      </c>
      <c r="BP27" s="207" t="e">
        <f t="shared" si="124"/>
        <v>#DIV/0!</v>
      </c>
      <c r="BQ27" s="207" t="e">
        <f t="shared" si="124"/>
        <v>#DIV/0!</v>
      </c>
      <c r="BR27" s="207" t="e">
        <f t="shared" si="124"/>
        <v>#DIV/0!</v>
      </c>
      <c r="BS27" s="207" t="e">
        <f t="shared" si="124"/>
        <v>#DIV/0!</v>
      </c>
      <c r="BT27" s="207" t="e">
        <f t="shared" si="124"/>
        <v>#DIV/0!</v>
      </c>
      <c r="BU27" s="207">
        <f t="shared" si="124"/>
        <v>7.9787234042553168E-2</v>
      </c>
      <c r="BV27" s="207">
        <f t="shared" si="124"/>
        <v>8.0645161290322509E-2</v>
      </c>
      <c r="BW27" s="207">
        <f t="shared" ref="BW27:CD27" si="125">BW12/BR12-1</f>
        <v>-3.0927835051546393E-2</v>
      </c>
      <c r="BX27" s="207">
        <f t="shared" si="125"/>
        <v>-0.25238095238095237</v>
      </c>
      <c r="BY27" s="207">
        <f t="shared" si="125"/>
        <v>-3.7275064267352165E-2</v>
      </c>
      <c r="BZ27" s="207">
        <f t="shared" si="125"/>
        <v>-0.18719211822660098</v>
      </c>
      <c r="CA27" s="207">
        <f t="shared" si="125"/>
        <v>-0.19900497512437809</v>
      </c>
      <c r="CB27" s="207">
        <f t="shared" si="125"/>
        <v>-4.2553191489361653E-2</v>
      </c>
      <c r="CC27" s="207">
        <f t="shared" si="125"/>
        <v>0.24840764331210186</v>
      </c>
      <c r="CD27" s="207">
        <f t="shared" si="125"/>
        <v>-6.2750333778371137E-2</v>
      </c>
      <c r="CE27" s="207"/>
      <c r="CF27" s="207"/>
      <c r="CG27" s="207"/>
      <c r="CH27" s="207"/>
      <c r="CI27" s="207"/>
      <c r="CJ27" s="207"/>
      <c r="CK27" s="207"/>
      <c r="CL27" s="207"/>
      <c r="CM27" s="207"/>
      <c r="CN27" s="195"/>
      <c r="CO27" s="202"/>
      <c r="CP27" s="195"/>
      <c r="CQ27" s="195"/>
      <c r="CR27" s="195"/>
      <c r="CS27" s="195"/>
      <c r="CT27" s="195"/>
      <c r="DE27" s="195"/>
      <c r="DF27" s="195"/>
      <c r="DG27" s="195"/>
    </row>
    <row r="28" spans="1:111">
      <c r="A28" s="195"/>
      <c r="B28" s="241"/>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c r="BV28" s="241"/>
      <c r="BW28" s="241"/>
      <c r="BX28" s="241"/>
      <c r="BY28" s="241"/>
      <c r="BZ28" s="241"/>
      <c r="CA28" s="241"/>
      <c r="CB28" s="241"/>
      <c r="CC28" s="241"/>
      <c r="CD28" s="241"/>
      <c r="CE28" s="241"/>
      <c r="CF28" s="241"/>
      <c r="CG28" s="241"/>
      <c r="CH28" s="241"/>
      <c r="CI28" s="241"/>
      <c r="CJ28" s="241"/>
      <c r="CK28" s="241"/>
      <c r="CL28" s="241"/>
      <c r="CM28" s="241"/>
      <c r="CN28" s="195"/>
      <c r="CO28" s="202"/>
      <c r="CP28" s="195"/>
      <c r="CQ28" s="195"/>
      <c r="CR28" s="195"/>
      <c r="CS28" s="195"/>
      <c r="CT28" s="195"/>
      <c r="DE28" s="195"/>
      <c r="DF28" s="195"/>
      <c r="DG28" s="195"/>
    </row>
    <row r="29" spans="1:111">
      <c r="A29" s="195" t="s">
        <v>264</v>
      </c>
      <c r="B29" s="203">
        <f t="shared" ref="B29:AG29" si="126">B489</f>
        <v>7690</v>
      </c>
      <c r="C29" s="203">
        <f t="shared" si="126"/>
        <v>0</v>
      </c>
      <c r="D29" s="203">
        <f t="shared" si="126"/>
        <v>0</v>
      </c>
      <c r="E29" s="203">
        <f t="shared" si="126"/>
        <v>0</v>
      </c>
      <c r="F29" s="203">
        <f t="shared" si="126"/>
        <v>2204</v>
      </c>
      <c r="G29" s="203">
        <f t="shared" si="126"/>
        <v>8449.9</v>
      </c>
      <c r="H29" s="203">
        <f t="shared" si="126"/>
        <v>2129</v>
      </c>
      <c r="I29" s="203">
        <f t="shared" si="126"/>
        <v>2116</v>
      </c>
      <c r="J29" s="203">
        <f t="shared" si="126"/>
        <v>2156</v>
      </c>
      <c r="K29" s="203">
        <f t="shared" si="126"/>
        <v>2211</v>
      </c>
      <c r="L29" s="203">
        <f t="shared" si="126"/>
        <v>8612</v>
      </c>
      <c r="M29" s="203">
        <f t="shared" si="126"/>
        <v>2152</v>
      </c>
      <c r="N29" s="203">
        <f t="shared" si="126"/>
        <v>2191</v>
      </c>
      <c r="O29" s="203">
        <f t="shared" si="126"/>
        <v>2216</v>
      </c>
      <c r="P29" s="203">
        <f t="shared" si="126"/>
        <v>2310</v>
      </c>
      <c r="Q29" s="203">
        <f t="shared" si="126"/>
        <v>8869</v>
      </c>
      <c r="R29" s="203">
        <f t="shared" si="126"/>
        <v>2133</v>
      </c>
      <c r="S29" s="203">
        <f t="shared" si="126"/>
        <v>2158</v>
      </c>
      <c r="T29" s="203">
        <f t="shared" si="126"/>
        <v>2244</v>
      </c>
      <c r="U29" s="203">
        <f t="shared" si="126"/>
        <v>2248</v>
      </c>
      <c r="V29" s="203">
        <f t="shared" si="126"/>
        <v>8783</v>
      </c>
      <c r="W29" s="203">
        <f t="shared" si="126"/>
        <v>2135</v>
      </c>
      <c r="X29" s="203">
        <f t="shared" si="126"/>
        <v>2223</v>
      </c>
      <c r="Y29" s="203">
        <f t="shared" si="126"/>
        <v>2216</v>
      </c>
      <c r="Z29" s="203">
        <f t="shared" si="126"/>
        <v>2306</v>
      </c>
      <c r="AA29" s="203">
        <f t="shared" si="126"/>
        <v>8880</v>
      </c>
      <c r="AB29" s="203">
        <f t="shared" si="126"/>
        <v>2327</v>
      </c>
      <c r="AC29" s="203">
        <f t="shared" si="126"/>
        <v>2295</v>
      </c>
      <c r="AD29" s="203">
        <f t="shared" si="126"/>
        <v>2239</v>
      </c>
      <c r="AE29" s="203">
        <f t="shared" si="126"/>
        <v>2224</v>
      </c>
      <c r="AF29" s="203">
        <f t="shared" si="126"/>
        <v>9028.3719999999994</v>
      </c>
      <c r="AG29" s="203">
        <f t="shared" si="126"/>
        <v>2119</v>
      </c>
      <c r="AH29" s="203">
        <f t="shared" ref="AH29:BU29" si="127">AH489</f>
        <v>2082</v>
      </c>
      <c r="AI29" s="203">
        <f t="shared" si="127"/>
        <v>2065</v>
      </c>
      <c r="AJ29" s="203">
        <f t="shared" si="127"/>
        <v>2123</v>
      </c>
      <c r="AK29" s="203">
        <f t="shared" si="127"/>
        <v>8404</v>
      </c>
      <c r="AL29" s="203">
        <f t="shared" si="127"/>
        <v>2149</v>
      </c>
      <c r="AM29" s="203">
        <f t="shared" si="127"/>
        <v>2110</v>
      </c>
      <c r="AN29" s="203">
        <f t="shared" si="127"/>
        <v>2166</v>
      </c>
      <c r="AO29" s="203">
        <f t="shared" si="127"/>
        <v>2176</v>
      </c>
      <c r="AP29" s="203">
        <f t="shared" si="127"/>
        <v>8601</v>
      </c>
      <c r="AQ29" s="203">
        <f t="shared" si="127"/>
        <v>2140</v>
      </c>
      <c r="AR29" s="203">
        <f t="shared" si="127"/>
        <v>2102</v>
      </c>
      <c r="AS29" s="203">
        <f t="shared" si="127"/>
        <v>2156</v>
      </c>
      <c r="AT29" s="203">
        <f t="shared" si="127"/>
        <v>2214</v>
      </c>
      <c r="AU29" s="203">
        <f t="shared" si="127"/>
        <v>8612</v>
      </c>
      <c r="AV29" s="203">
        <f t="shared" si="127"/>
        <v>2375</v>
      </c>
      <c r="AW29" s="203">
        <f t="shared" si="127"/>
        <v>2335</v>
      </c>
      <c r="AX29" s="204">
        <f t="shared" si="127"/>
        <v>2333</v>
      </c>
      <c r="AY29" s="204">
        <f t="shared" si="127"/>
        <v>2376</v>
      </c>
      <c r="AZ29" s="203">
        <f t="shared" si="127"/>
        <v>9419</v>
      </c>
      <c r="BA29" s="203">
        <f t="shared" si="127"/>
        <v>2237</v>
      </c>
      <c r="BB29" s="203">
        <f t="shared" si="127"/>
        <v>2246</v>
      </c>
      <c r="BC29" s="203">
        <f t="shared" si="127"/>
        <v>2264</v>
      </c>
      <c r="BD29" s="203">
        <f t="shared" si="127"/>
        <v>2445</v>
      </c>
      <c r="BE29" s="203">
        <f t="shared" si="127"/>
        <v>9192</v>
      </c>
      <c r="BF29" s="203">
        <f t="shared" si="127"/>
        <v>2232</v>
      </c>
      <c r="BG29" s="203">
        <f t="shared" si="127"/>
        <v>2206</v>
      </c>
      <c r="BH29" s="203">
        <f t="shared" si="127"/>
        <v>2285</v>
      </c>
      <c r="BI29" s="203">
        <f t="shared" si="127"/>
        <v>2590</v>
      </c>
      <c r="BJ29" s="203">
        <f t="shared" si="127"/>
        <v>9313</v>
      </c>
      <c r="BK29" s="203">
        <f t="shared" si="127"/>
        <v>2341</v>
      </c>
      <c r="BL29" s="203">
        <f t="shared" si="127"/>
        <v>2151</v>
      </c>
      <c r="BM29" s="203">
        <f t="shared" si="127"/>
        <v>2213</v>
      </c>
      <c r="BN29" s="203">
        <f t="shared" si="127"/>
        <v>2261</v>
      </c>
      <c r="BO29" s="203">
        <f t="shared" si="127"/>
        <v>8966</v>
      </c>
      <c r="BP29" s="203">
        <f t="shared" si="127"/>
        <v>2240</v>
      </c>
      <c r="BQ29" s="203">
        <f t="shared" si="127"/>
        <v>2274</v>
      </c>
      <c r="BR29" s="203">
        <f t="shared" si="127"/>
        <v>2271</v>
      </c>
      <c r="BS29" s="203">
        <f t="shared" si="127"/>
        <v>2456</v>
      </c>
      <c r="BT29" s="203">
        <f t="shared" si="127"/>
        <v>9241</v>
      </c>
      <c r="BU29" s="205">
        <f t="shared" si="127"/>
        <v>2406</v>
      </c>
      <c r="BV29" s="205">
        <f>BV489</f>
        <v>2424</v>
      </c>
      <c r="BW29" s="205">
        <f>BW489</f>
        <v>2405</v>
      </c>
      <c r="BX29" s="205">
        <f>BX489</f>
        <v>2554</v>
      </c>
      <c r="BY29" s="203">
        <f t="shared" ref="BY29:BZ29" si="128">BY489</f>
        <v>9789</v>
      </c>
      <c r="BZ29" s="205">
        <f t="shared" si="128"/>
        <v>2526</v>
      </c>
      <c r="CA29" s="205">
        <f t="shared" ref="CA29:CB29" si="129">CA489</f>
        <v>2470</v>
      </c>
      <c r="CB29" s="205">
        <f t="shared" si="129"/>
        <v>2442</v>
      </c>
      <c r="CC29" s="205">
        <f t="shared" ref="CC29" si="130">CC489</f>
        <v>2742</v>
      </c>
      <c r="CD29" s="203">
        <f t="shared" ref="CD29:CI29" si="131">CD489</f>
        <v>10180</v>
      </c>
      <c r="CE29" s="203">
        <f t="shared" si="131"/>
        <v>10628.828973949185</v>
      </c>
      <c r="CF29" s="203">
        <f t="shared" si="131"/>
        <v>10904.154172576371</v>
      </c>
      <c r="CG29" s="203">
        <f t="shared" si="131"/>
        <v>11209.68564380456</v>
      </c>
      <c r="CH29" s="203">
        <f t="shared" si="131"/>
        <v>11548.62078907947</v>
      </c>
      <c r="CI29" s="203">
        <f t="shared" si="131"/>
        <v>11918.346764710979</v>
      </c>
      <c r="CJ29" s="203">
        <f t="shared" ref="CJ29:CL29" si="132">CJ489</f>
        <v>12287.580727253633</v>
      </c>
      <c r="CK29" s="203">
        <f t="shared" si="132"/>
        <v>12657.115188796175</v>
      </c>
      <c r="CL29" s="203">
        <f t="shared" si="132"/>
        <v>13027.720388369175</v>
      </c>
      <c r="CM29" s="203">
        <f t="shared" ref="CM29" si="133">CM489</f>
        <v>13400.146684438816</v>
      </c>
      <c r="CN29" s="195"/>
      <c r="CO29" s="195"/>
      <c r="CP29" s="195"/>
      <c r="CQ29" s="195"/>
      <c r="CR29" s="195"/>
      <c r="CS29" s="195"/>
      <c r="CT29" s="195"/>
      <c r="DE29" s="195"/>
      <c r="DF29" s="195"/>
      <c r="DG29" s="195"/>
    </row>
    <row r="30" spans="1:111">
      <c r="A30" s="202" t="s">
        <v>4</v>
      </c>
      <c r="B30" s="206">
        <f t="shared" ref="B30:AG30" si="134">B489</f>
        <v>7690</v>
      </c>
      <c r="C30" s="206">
        <f t="shared" si="134"/>
        <v>0</v>
      </c>
      <c r="D30" s="206">
        <f t="shared" si="134"/>
        <v>0</v>
      </c>
      <c r="E30" s="206">
        <f t="shared" si="134"/>
        <v>0</v>
      </c>
      <c r="F30" s="206">
        <f t="shared" si="134"/>
        <v>2204</v>
      </c>
      <c r="G30" s="206">
        <f t="shared" si="134"/>
        <v>8449.9</v>
      </c>
      <c r="H30" s="206">
        <f t="shared" si="134"/>
        <v>2129</v>
      </c>
      <c r="I30" s="206">
        <f t="shared" si="134"/>
        <v>2116</v>
      </c>
      <c r="J30" s="206">
        <f t="shared" si="134"/>
        <v>2156</v>
      </c>
      <c r="K30" s="206">
        <f t="shared" si="134"/>
        <v>2211</v>
      </c>
      <c r="L30" s="206">
        <f t="shared" si="134"/>
        <v>8612</v>
      </c>
      <c r="M30" s="206">
        <f t="shared" si="134"/>
        <v>2152</v>
      </c>
      <c r="N30" s="206">
        <f t="shared" si="134"/>
        <v>2191</v>
      </c>
      <c r="O30" s="206">
        <f t="shared" si="134"/>
        <v>2216</v>
      </c>
      <c r="P30" s="206">
        <f t="shared" si="134"/>
        <v>2310</v>
      </c>
      <c r="Q30" s="206">
        <f t="shared" si="134"/>
        <v>8869</v>
      </c>
      <c r="R30" s="206">
        <f t="shared" si="134"/>
        <v>2133</v>
      </c>
      <c r="S30" s="206">
        <f t="shared" si="134"/>
        <v>2158</v>
      </c>
      <c r="T30" s="206">
        <f t="shared" si="134"/>
        <v>2244</v>
      </c>
      <c r="U30" s="206">
        <f t="shared" si="134"/>
        <v>2248</v>
      </c>
      <c r="V30" s="206">
        <f t="shared" si="134"/>
        <v>8783</v>
      </c>
      <c r="W30" s="206">
        <f t="shared" si="134"/>
        <v>2135</v>
      </c>
      <c r="X30" s="206">
        <f t="shared" si="134"/>
        <v>2223</v>
      </c>
      <c r="Y30" s="206">
        <f t="shared" si="134"/>
        <v>2216</v>
      </c>
      <c r="Z30" s="206">
        <f t="shared" si="134"/>
        <v>2306</v>
      </c>
      <c r="AA30" s="206">
        <f t="shared" si="134"/>
        <v>8880</v>
      </c>
      <c r="AB30" s="206">
        <f t="shared" si="134"/>
        <v>2327</v>
      </c>
      <c r="AC30" s="206">
        <f t="shared" si="134"/>
        <v>2295</v>
      </c>
      <c r="AD30" s="206">
        <f t="shared" si="134"/>
        <v>2239</v>
      </c>
      <c r="AE30" s="206">
        <f t="shared" si="134"/>
        <v>2224</v>
      </c>
      <c r="AF30" s="206">
        <f t="shared" si="134"/>
        <v>9028.3719999999994</v>
      </c>
      <c r="AG30" s="206">
        <f t="shared" si="134"/>
        <v>2119</v>
      </c>
      <c r="AH30" s="206">
        <f t="shared" ref="AH30:BI30" si="135">AH489</f>
        <v>2082</v>
      </c>
      <c r="AI30" s="206">
        <f t="shared" si="135"/>
        <v>2065</v>
      </c>
      <c r="AJ30" s="206">
        <f t="shared" si="135"/>
        <v>2123</v>
      </c>
      <c r="AK30" s="206">
        <f t="shared" si="135"/>
        <v>8404</v>
      </c>
      <c r="AL30" s="206">
        <f t="shared" si="135"/>
        <v>2149</v>
      </c>
      <c r="AM30" s="206">
        <f t="shared" si="135"/>
        <v>2110</v>
      </c>
      <c r="AN30" s="206">
        <f t="shared" si="135"/>
        <v>2166</v>
      </c>
      <c r="AO30" s="206">
        <f t="shared" si="135"/>
        <v>2176</v>
      </c>
      <c r="AP30" s="206">
        <f t="shared" si="135"/>
        <v>8601</v>
      </c>
      <c r="AQ30" s="206">
        <f t="shared" si="135"/>
        <v>2140</v>
      </c>
      <c r="AR30" s="206">
        <f t="shared" si="135"/>
        <v>2102</v>
      </c>
      <c r="AS30" s="206">
        <f t="shared" si="135"/>
        <v>2156</v>
      </c>
      <c r="AT30" s="206">
        <f t="shared" si="135"/>
        <v>2214</v>
      </c>
      <c r="AU30" s="206">
        <f t="shared" si="135"/>
        <v>8612</v>
      </c>
      <c r="AV30" s="206">
        <f t="shared" si="135"/>
        <v>2375</v>
      </c>
      <c r="AW30" s="206">
        <f t="shared" si="135"/>
        <v>2335</v>
      </c>
      <c r="AX30" s="206">
        <f t="shared" si="135"/>
        <v>2333</v>
      </c>
      <c r="AY30" s="206">
        <f t="shared" si="135"/>
        <v>2376</v>
      </c>
      <c r="AZ30" s="206">
        <f t="shared" si="135"/>
        <v>9419</v>
      </c>
      <c r="BA30" s="206">
        <f t="shared" si="135"/>
        <v>2237</v>
      </c>
      <c r="BB30" s="206">
        <f t="shared" si="135"/>
        <v>2246</v>
      </c>
      <c r="BC30" s="206">
        <f t="shared" si="135"/>
        <v>2264</v>
      </c>
      <c r="BD30" s="206">
        <f t="shared" si="135"/>
        <v>2445</v>
      </c>
      <c r="BE30" s="206">
        <f t="shared" si="135"/>
        <v>9192</v>
      </c>
      <c r="BF30" s="206">
        <f t="shared" si="135"/>
        <v>2232</v>
      </c>
      <c r="BG30" s="206">
        <f t="shared" si="135"/>
        <v>2206</v>
      </c>
      <c r="BH30" s="206">
        <f t="shared" si="135"/>
        <v>2285</v>
      </c>
      <c r="BI30" s="206">
        <f t="shared" si="135"/>
        <v>2590</v>
      </c>
      <c r="BJ30" s="206">
        <f>BJ419</f>
        <v>9313</v>
      </c>
      <c r="BK30" s="206">
        <f>BK489</f>
        <v>2341</v>
      </c>
      <c r="BL30" s="206">
        <f>BL489</f>
        <v>2151</v>
      </c>
      <c r="BM30" s="206">
        <f>BM489</f>
        <v>2213</v>
      </c>
      <c r="BN30" s="206">
        <f>BN489</f>
        <v>2261</v>
      </c>
      <c r="BO30" s="206">
        <f>BO419</f>
        <v>8966</v>
      </c>
      <c r="BP30" s="206">
        <f>BP489</f>
        <v>2240</v>
      </c>
      <c r="BQ30" s="206">
        <f>BQ489</f>
        <v>2274</v>
      </c>
      <c r="BR30" s="206">
        <f>BR489</f>
        <v>2271</v>
      </c>
      <c r="BS30" s="206">
        <f>BS489</f>
        <v>2456</v>
      </c>
      <c r="BT30" s="206">
        <f>BT419</f>
        <v>9241</v>
      </c>
      <c r="BU30" s="206">
        <f>BU489</f>
        <v>2406</v>
      </c>
      <c r="BV30" s="206">
        <f>BV489</f>
        <v>2424</v>
      </c>
      <c r="BW30" s="206">
        <f>BW489</f>
        <v>2405</v>
      </c>
      <c r="BX30" s="206">
        <f>BX489</f>
        <v>2554</v>
      </c>
      <c r="BY30" s="206">
        <f>BY419</f>
        <v>9789</v>
      </c>
      <c r="BZ30" s="206">
        <f>BZ489</f>
        <v>2526</v>
      </c>
      <c r="CA30" s="206">
        <f>CA489</f>
        <v>2470</v>
      </c>
      <c r="CB30" s="206">
        <f>CB489</f>
        <v>2442</v>
      </c>
      <c r="CC30" s="206">
        <f>CC489</f>
        <v>2742</v>
      </c>
      <c r="CD30" s="206">
        <f t="shared" ref="CD30:CI30" si="136">CD419</f>
        <v>10180</v>
      </c>
      <c r="CE30" s="206">
        <f t="shared" si="136"/>
        <v>10628.828973949185</v>
      </c>
      <c r="CF30" s="206">
        <f t="shared" si="136"/>
        <v>10904.154172576371</v>
      </c>
      <c r="CG30" s="206">
        <f t="shared" si="136"/>
        <v>11209.68564380456</v>
      </c>
      <c r="CH30" s="206">
        <f t="shared" si="136"/>
        <v>11548.62078907947</v>
      </c>
      <c r="CI30" s="206">
        <f t="shared" si="136"/>
        <v>11918.346764710979</v>
      </c>
      <c r="CJ30" s="206">
        <f t="shared" ref="CJ30:CL30" si="137">CJ419</f>
        <v>12287.580727253633</v>
      </c>
      <c r="CK30" s="206">
        <f t="shared" si="137"/>
        <v>12657.115188796175</v>
      </c>
      <c r="CL30" s="206">
        <f t="shared" si="137"/>
        <v>13027.720388369175</v>
      </c>
      <c r="CM30" s="206">
        <f t="shared" ref="CM30" si="138">CM419</f>
        <v>13400.146684438816</v>
      </c>
      <c r="CN30" s="195"/>
      <c r="CO30" s="195"/>
      <c r="CP30" s="195"/>
      <c r="CQ30" s="195"/>
      <c r="CR30" s="195"/>
      <c r="CS30" s="195"/>
      <c r="CT30" s="195"/>
      <c r="DE30" s="195"/>
      <c r="DF30" s="195"/>
      <c r="DG30" s="195"/>
    </row>
    <row r="31" spans="1:111">
      <c r="A31" s="195" t="s">
        <v>0</v>
      </c>
      <c r="B31" s="207"/>
      <c r="C31" s="207"/>
      <c r="D31" s="207"/>
      <c r="E31" s="207"/>
      <c r="F31" s="207"/>
      <c r="G31" s="207">
        <f>G30/B30-1</f>
        <v>9.881664499349796E-2</v>
      </c>
      <c r="H31" s="207"/>
      <c r="I31" s="207"/>
      <c r="J31" s="207"/>
      <c r="K31" s="207">
        <f t="shared" ref="K31:AZ31" si="139">K30/F30-1</f>
        <v>3.1760435571688284E-3</v>
      </c>
      <c r="L31" s="207">
        <f t="shared" si="139"/>
        <v>1.9183658978212836E-2</v>
      </c>
      <c r="M31" s="207">
        <f t="shared" si="139"/>
        <v>1.0803193987787729E-2</v>
      </c>
      <c r="N31" s="207">
        <f t="shared" si="139"/>
        <v>3.5444234404536923E-2</v>
      </c>
      <c r="O31" s="207">
        <f t="shared" si="139"/>
        <v>2.7829313543599188E-2</v>
      </c>
      <c r="P31" s="207">
        <f t="shared" si="139"/>
        <v>4.4776119402984982E-2</v>
      </c>
      <c r="Q31" s="207">
        <f t="shared" si="139"/>
        <v>2.9842080817463978E-2</v>
      </c>
      <c r="R31" s="207">
        <f t="shared" si="139"/>
        <v>-8.8289962825278678E-3</v>
      </c>
      <c r="S31" s="207">
        <f t="shared" si="139"/>
        <v>-1.5061615700593389E-2</v>
      </c>
      <c r="T31" s="207">
        <f t="shared" si="139"/>
        <v>1.2635379061371799E-2</v>
      </c>
      <c r="U31" s="207">
        <f t="shared" si="139"/>
        <v>-2.6839826839826886E-2</v>
      </c>
      <c r="V31" s="207">
        <f t="shared" si="139"/>
        <v>-9.69669635810122E-3</v>
      </c>
      <c r="W31" s="207">
        <f t="shared" si="139"/>
        <v>9.3764650726679832E-4</v>
      </c>
      <c r="X31" s="207">
        <f t="shared" si="139"/>
        <v>3.0120481927710774E-2</v>
      </c>
      <c r="Y31" s="207">
        <f t="shared" si="139"/>
        <v>-1.2477718360071277E-2</v>
      </c>
      <c r="Z31" s="207">
        <f t="shared" si="139"/>
        <v>2.5800711743772187E-2</v>
      </c>
      <c r="AA31" s="207">
        <f t="shared" si="139"/>
        <v>1.1044062393259724E-2</v>
      </c>
      <c r="AB31" s="207">
        <f t="shared" si="139"/>
        <v>8.9929742388758838E-2</v>
      </c>
      <c r="AC31" s="207">
        <f t="shared" si="139"/>
        <v>3.238866396761142E-2</v>
      </c>
      <c r="AD31" s="207">
        <f t="shared" si="139"/>
        <v>1.0379061371841081E-2</v>
      </c>
      <c r="AE31" s="207">
        <f t="shared" si="139"/>
        <v>-3.5559410234171751E-2</v>
      </c>
      <c r="AF31" s="207">
        <f t="shared" si="139"/>
        <v>1.6708558558558462E-2</v>
      </c>
      <c r="AG31" s="207">
        <f t="shared" si="139"/>
        <v>-8.9385474860335212E-2</v>
      </c>
      <c r="AH31" s="207">
        <f t="shared" si="139"/>
        <v>-9.2810457516339873E-2</v>
      </c>
      <c r="AI31" s="207">
        <f t="shared" si="139"/>
        <v>-7.771326485037966E-2</v>
      </c>
      <c r="AJ31" s="207">
        <f t="shared" si="139"/>
        <v>-4.5413669064748197E-2</v>
      </c>
      <c r="AK31" s="207">
        <f t="shared" si="139"/>
        <v>-6.9156654156474651E-2</v>
      </c>
      <c r="AL31" s="207">
        <f t="shared" si="139"/>
        <v>1.4157621519584662E-2</v>
      </c>
      <c r="AM31" s="207">
        <f t="shared" si="139"/>
        <v>1.344860710854956E-2</v>
      </c>
      <c r="AN31" s="207">
        <f t="shared" si="139"/>
        <v>4.8910411622276051E-2</v>
      </c>
      <c r="AO31" s="207">
        <f t="shared" si="139"/>
        <v>2.4964672633066343E-2</v>
      </c>
      <c r="AP31" s="207">
        <f t="shared" si="139"/>
        <v>2.3441218467396441E-2</v>
      </c>
      <c r="AQ31" s="207">
        <f t="shared" si="139"/>
        <v>-4.1879944160074789E-3</v>
      </c>
      <c r="AR31" s="207">
        <f t="shared" si="139"/>
        <v>-3.7914691943128354E-3</v>
      </c>
      <c r="AS31" s="207">
        <f t="shared" si="139"/>
        <v>-4.6168051708217472E-3</v>
      </c>
      <c r="AT31" s="207">
        <f t="shared" si="139"/>
        <v>1.7463235294117752E-2</v>
      </c>
      <c r="AU31" s="207">
        <f t="shared" si="139"/>
        <v>1.2789210556911623E-3</v>
      </c>
      <c r="AV31" s="207">
        <f t="shared" si="139"/>
        <v>0.10981308411214963</v>
      </c>
      <c r="AW31" s="207">
        <f t="shared" si="139"/>
        <v>0.11084681255946727</v>
      </c>
      <c r="AX31" s="207">
        <f t="shared" si="139"/>
        <v>8.2096474953617715E-2</v>
      </c>
      <c r="AY31" s="207">
        <f t="shared" si="139"/>
        <v>7.3170731707317138E-2</v>
      </c>
      <c r="AZ31" s="207">
        <f t="shared" si="139"/>
        <v>9.3706456107756519E-2</v>
      </c>
      <c r="BA31" s="207">
        <f t="shared" ref="BA31:CC31" si="140">BA30/AV30-1</f>
        <v>-5.8105263157894771E-2</v>
      </c>
      <c r="BB31" s="207">
        <f t="shared" si="140"/>
        <v>-3.8115631691648777E-2</v>
      </c>
      <c r="BC31" s="207">
        <f t="shared" si="140"/>
        <v>-2.9575653664809298E-2</v>
      </c>
      <c r="BD31" s="207">
        <f t="shared" si="140"/>
        <v>2.9040404040403978E-2</v>
      </c>
      <c r="BE31" s="207">
        <f t="shared" si="140"/>
        <v>-2.4100222953604367E-2</v>
      </c>
      <c r="BF31" s="207">
        <f t="shared" si="140"/>
        <v>-2.2351363433169569E-3</v>
      </c>
      <c r="BG31" s="207">
        <f t="shared" si="140"/>
        <v>-1.7809439002671401E-2</v>
      </c>
      <c r="BH31" s="207">
        <f t="shared" si="140"/>
        <v>9.2756183745583698E-3</v>
      </c>
      <c r="BI31" s="207">
        <f t="shared" si="140"/>
        <v>5.9304703476482645E-2</v>
      </c>
      <c r="BJ31" s="207">
        <f>BJ30/BE30-1</f>
        <v>1.3163620539599741E-2</v>
      </c>
      <c r="BK31" s="207">
        <f t="shared" si="140"/>
        <v>4.8835125448028593E-2</v>
      </c>
      <c r="BL31" s="207">
        <f t="shared" si="140"/>
        <v>-2.4932003626473298E-2</v>
      </c>
      <c r="BM31" s="207">
        <f t="shared" si="140"/>
        <v>-3.1509846827133425E-2</v>
      </c>
      <c r="BN31" s="207">
        <f t="shared" si="140"/>
        <v>-0.12702702702702706</v>
      </c>
      <c r="BO31" s="207">
        <f>BO30/BJ30-1</f>
        <v>-3.7259744443251419E-2</v>
      </c>
      <c r="BP31" s="207">
        <f t="shared" si="140"/>
        <v>-4.314395557454076E-2</v>
      </c>
      <c r="BQ31" s="207">
        <f t="shared" si="140"/>
        <v>5.7182705718270554E-2</v>
      </c>
      <c r="BR31" s="207">
        <f t="shared" si="140"/>
        <v>2.6208766380479087E-2</v>
      </c>
      <c r="BS31" s="207">
        <f t="shared" si="140"/>
        <v>8.6245024325519726E-2</v>
      </c>
      <c r="BT31" s="207">
        <f>BT30/BO30-1</f>
        <v>3.0671425384787065E-2</v>
      </c>
      <c r="BU31" s="207">
        <f t="shared" si="140"/>
        <v>7.4107142857142927E-2</v>
      </c>
      <c r="BV31" s="207">
        <f t="shared" si="140"/>
        <v>6.5963060686015762E-2</v>
      </c>
      <c r="BW31" s="207">
        <f t="shared" si="140"/>
        <v>5.9004843681197627E-2</v>
      </c>
      <c r="BX31" s="207">
        <f t="shared" si="140"/>
        <v>3.9902280130293066E-2</v>
      </c>
      <c r="BY31" s="207">
        <f>BY30/BT30-1</f>
        <v>5.9300941456552403E-2</v>
      </c>
      <c r="BZ31" s="207">
        <f t="shared" si="140"/>
        <v>4.9875311720698257E-2</v>
      </c>
      <c r="CA31" s="207">
        <f t="shared" si="140"/>
        <v>1.8976897689769068E-2</v>
      </c>
      <c r="CB31" s="207">
        <f t="shared" si="140"/>
        <v>1.538461538461533E-2</v>
      </c>
      <c r="CC31" s="207">
        <f t="shared" si="140"/>
        <v>7.3610023492560739E-2</v>
      </c>
      <c r="CD31" s="207">
        <f>CD30/BY30-1</f>
        <v>3.9942792930840687E-2</v>
      </c>
      <c r="CE31" s="207">
        <f t="shared" ref="CE31:CI31" si="141">CE30/CD30-1</f>
        <v>4.4089290171825501E-2</v>
      </c>
      <c r="CF31" s="207">
        <f t="shared" si="141"/>
        <v>2.5903624877396725E-2</v>
      </c>
      <c r="CG31" s="207">
        <f t="shared" si="141"/>
        <v>2.8019731415444449E-2</v>
      </c>
      <c r="CH31" s="207">
        <f t="shared" si="141"/>
        <v>3.0235918833480868E-2</v>
      </c>
      <c r="CI31" s="207">
        <f t="shared" si="141"/>
        <v>3.2014729930445629E-2</v>
      </c>
      <c r="CJ31" s="207">
        <f t="shared" ref="CJ31" si="142">CJ30/CI30-1</f>
        <v>3.0980300358093071E-2</v>
      </c>
      <c r="CK31" s="207">
        <f t="shared" ref="CK31" si="143">CK30/CJ30-1</f>
        <v>3.0073817600475339E-2</v>
      </c>
      <c r="CL31" s="207">
        <f t="shared" ref="CL31:CM31" si="144">CL30/CK30-1</f>
        <v>2.9280384514557722E-2</v>
      </c>
      <c r="CM31" s="207">
        <f t="shared" si="144"/>
        <v>2.8587219019693855E-2</v>
      </c>
      <c r="CN31" s="195"/>
      <c r="CO31" s="195"/>
      <c r="CP31" s="195"/>
      <c r="CQ31" s="195"/>
      <c r="CR31" s="195"/>
      <c r="CS31" s="195"/>
      <c r="CT31" s="195"/>
      <c r="DE31" s="195"/>
      <c r="DF31" s="195"/>
      <c r="DG31" s="195"/>
    </row>
    <row r="32" spans="1:111">
      <c r="A32" s="208" t="s">
        <v>1</v>
      </c>
      <c r="B32" s="208"/>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9"/>
      <c r="AG32" s="209"/>
      <c r="AH32" s="209"/>
      <c r="AI32" s="209"/>
      <c r="AJ32" s="209"/>
      <c r="AK32" s="209"/>
      <c r="AL32" s="209"/>
      <c r="AM32" s="209"/>
      <c r="AN32" s="209"/>
      <c r="AO32" s="209"/>
      <c r="AP32" s="209"/>
      <c r="AQ32" s="209"/>
      <c r="AR32" s="209"/>
      <c r="AS32" s="209"/>
      <c r="AT32" s="209"/>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1"/>
      <c r="BV32" s="211"/>
      <c r="BW32" s="211"/>
      <c r="BX32" s="211"/>
      <c r="BY32" s="210"/>
      <c r="BZ32" s="211"/>
      <c r="CA32" s="211"/>
      <c r="CB32" s="211"/>
      <c r="CC32" s="211"/>
      <c r="CD32" s="499" cm="1">
        <f t="array" ref="CD32">_xll.VAData("MXSC_MY", "FY-"&amp;CD$2, "Revenue", "Consensus", "CD", "IMPL","","")</f>
        <v>10166.75</v>
      </c>
      <c r="CE32" s="499" cm="1">
        <f t="array" ref="CE32">_xll.VAData("MXSC_MY", "FY-"&amp;CE$2, "Revenue", "Consensus", "CD", "IMPL","","")</f>
        <v>10441.866797266301</v>
      </c>
      <c r="CF32" s="499" cm="1">
        <f t="array" ref="CF32">_xll.VAData("MXSC_MY", "FY-"&amp;CF$2, "Revenue", "Consensus", "CD", "IMPL","","")</f>
        <v>10681.196388619899</v>
      </c>
      <c r="CG32" s="499" cm="1">
        <f t="array" ref="CG32">_xll.VAData("MXSC_MY", "FY-"&amp;CG$2, "Revenue", "Consensus", "CD", "IMPL","","")</f>
        <v>11043.802681859052</v>
      </c>
      <c r="CH32" s="499" cm="1">
        <f t="array" ref="CH32">_xll.VAData("MXSC_MY", "FY-"&amp;CH$2, "Revenue", "Consensus", "CD", "IMPL","","")</f>
        <v>11360.456829068899</v>
      </c>
      <c r="CI32" s="499" cm="1">
        <f t="array" ref="CI32">_xll.VAData("MXSC_MY", "FY-"&amp;CI$2, "Revenue", "Consensus", "CD", "IMPL","","")</f>
        <v>11653.48191466655</v>
      </c>
      <c r="CJ32" s="499" cm="1">
        <f t="array" ref="CJ32">_xll.VAData("MXSC_MY", "FY-"&amp;CJ$2, "Revenue", "Consensus", "CD", "IMPL","","")</f>
        <v>11937.265419689526</v>
      </c>
      <c r="CK32" s="499" cm="1">
        <f t="array" ref="CK32">_xll.VAData("MXSC_MY", "FY-"&amp;CK$2, "Revenue", "Consensus", "CD", "IMPL","","")</f>
        <v>12226.370822267376</v>
      </c>
      <c r="CL32" s="499" cm="1">
        <f t="array" ref="CL32">_xll.VAData("MXSC_MY", "FY-"&amp;CL$2, "Revenue", "Consensus", "CD", "IMPL","","")</f>
        <v>12526.547114130499</v>
      </c>
      <c r="CM32" s="499" cm="1">
        <f t="array" ref="CM32">_xll.VAData("MXSC_MY", "FY-"&amp;CM$2, "Revenue", "Consensus", "CD", "IMPL","","")</f>
        <v>12839.1903649576</v>
      </c>
      <c r="CN32" s="195"/>
      <c r="CO32" s="195"/>
      <c r="CP32" s="195"/>
      <c r="CQ32" s="195"/>
      <c r="CR32" s="195"/>
      <c r="CS32" s="195"/>
      <c r="CT32" s="195"/>
      <c r="DE32" s="195"/>
      <c r="DF32" s="195"/>
      <c r="DG32" s="195"/>
    </row>
    <row r="33" spans="1:114">
      <c r="A33" s="208" t="s">
        <v>598</v>
      </c>
      <c r="B33" s="208"/>
      <c r="C33" s="208"/>
      <c r="D33" s="208"/>
      <c r="E33" s="208"/>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9"/>
      <c r="AG33" s="209"/>
      <c r="AH33" s="209"/>
      <c r="AI33" s="209"/>
      <c r="AJ33" s="209"/>
      <c r="AK33" s="209"/>
      <c r="AL33" s="209"/>
      <c r="AM33" s="209"/>
      <c r="AN33" s="209"/>
      <c r="AO33" s="209"/>
      <c r="AP33" s="209"/>
      <c r="AQ33" s="209"/>
      <c r="AR33" s="209"/>
      <c r="AS33" s="209"/>
      <c r="AT33" s="209"/>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3"/>
      <c r="BV33" s="213"/>
      <c r="BW33" s="213"/>
      <c r="BX33" s="213"/>
      <c r="BY33" s="212"/>
      <c r="BZ33" s="213"/>
      <c r="CA33" s="213"/>
      <c r="CB33" s="213"/>
      <c r="CC33" s="213"/>
      <c r="CD33" s="212">
        <f t="shared" ref="CD33:CI33" si="145">CD30/CD32-1</f>
        <v>1.3032680059998913E-3</v>
      </c>
      <c r="CE33" s="212">
        <f t="shared" si="145"/>
        <v>1.790505283325694E-2</v>
      </c>
      <c r="CF33" s="212">
        <f t="shared" si="145"/>
        <v>2.0873858680664048E-2</v>
      </c>
      <c r="CG33" s="212">
        <f t="shared" si="145"/>
        <v>1.5020456877411714E-2</v>
      </c>
      <c r="CH33" s="212">
        <f t="shared" si="145"/>
        <v>1.6563062810036167E-2</v>
      </c>
      <c r="CI33" s="212">
        <f t="shared" si="145"/>
        <v>2.2728387273771133E-2</v>
      </c>
      <c r="CJ33" s="212">
        <f t="shared" ref="CJ33:CL33" si="146">CJ30/CJ32-1</f>
        <v>2.9346361603578952E-2</v>
      </c>
      <c r="CK33" s="212">
        <f t="shared" si="146"/>
        <v>3.5230762487941547E-2</v>
      </c>
      <c r="CL33" s="212">
        <f t="shared" si="146"/>
        <v>4.0008892288708298E-2</v>
      </c>
      <c r="CM33" s="212">
        <f t="shared" ref="CM33" si="147">CM30/CM32-1</f>
        <v>4.3690941837909891E-2</v>
      </c>
      <c r="CN33" s="195"/>
      <c r="CO33" s="195"/>
      <c r="CP33" s="195"/>
      <c r="CQ33" s="195"/>
      <c r="CR33" s="195"/>
      <c r="CS33" s="195"/>
      <c r="CT33" s="195"/>
      <c r="DE33" s="195"/>
      <c r="DF33" s="195"/>
      <c r="DG33" s="195"/>
    </row>
    <row r="34" spans="1:114">
      <c r="A34" s="195"/>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5"/>
      <c r="BV34" s="215"/>
      <c r="BW34" s="215"/>
      <c r="BX34" s="215"/>
      <c r="BY34" s="214"/>
      <c r="BZ34" s="215"/>
      <c r="CA34" s="215"/>
      <c r="CB34" s="215"/>
      <c r="CC34" s="215"/>
      <c r="CD34" s="214"/>
      <c r="CE34" s="214"/>
      <c r="CF34" s="214"/>
      <c r="CG34" s="214"/>
      <c r="CH34" s="214"/>
      <c r="CI34" s="214"/>
      <c r="CJ34" s="214"/>
      <c r="CK34" s="214"/>
      <c r="CL34" s="214"/>
      <c r="CM34" s="214"/>
      <c r="CN34" s="195"/>
      <c r="CO34" s="195"/>
      <c r="CP34" s="195"/>
      <c r="CQ34" s="195"/>
      <c r="CR34" s="195"/>
      <c r="CS34" s="195"/>
      <c r="CT34" s="195"/>
      <c r="DE34" s="195"/>
      <c r="DF34" s="195"/>
      <c r="DG34" s="195"/>
    </row>
    <row r="35" spans="1:114">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5"/>
      <c r="BV35" s="215"/>
      <c r="BW35" s="215"/>
      <c r="BX35" s="215"/>
      <c r="BY35" s="214"/>
      <c r="BZ35" s="215"/>
      <c r="CA35" s="215"/>
      <c r="CB35" s="215"/>
      <c r="CC35" s="215"/>
      <c r="CD35" s="214"/>
      <c r="CE35" s="214"/>
      <c r="CF35" s="214"/>
      <c r="CG35" s="214"/>
      <c r="CH35" s="214"/>
      <c r="CI35" s="214"/>
      <c r="CJ35" s="214"/>
      <c r="CK35" s="214"/>
      <c r="CL35" s="214"/>
      <c r="CM35" s="214"/>
      <c r="CN35" s="195"/>
      <c r="CO35" s="195"/>
      <c r="CP35" s="195"/>
      <c r="CQ35" s="195"/>
      <c r="CR35" s="195"/>
      <c r="CS35" s="195"/>
      <c r="CT35" s="195"/>
      <c r="DE35" s="195"/>
      <c r="DF35" s="195"/>
      <c r="DG35" s="195"/>
    </row>
    <row r="36" spans="1:114">
      <c r="A36" s="195" t="s">
        <v>2</v>
      </c>
      <c r="B36" s="203">
        <f t="shared" ref="B36:AG36" si="148">B428</f>
        <v>0</v>
      </c>
      <c r="C36" s="203">
        <f t="shared" si="148"/>
        <v>0</v>
      </c>
      <c r="D36" s="203">
        <f t="shared" si="148"/>
        <v>0</v>
      </c>
      <c r="E36" s="203">
        <f t="shared" si="148"/>
        <v>1185</v>
      </c>
      <c r="F36" s="203">
        <f t="shared" si="148"/>
        <v>1144</v>
      </c>
      <c r="G36" s="203">
        <f t="shared" si="148"/>
        <v>4402.2000000000007</v>
      </c>
      <c r="H36" s="203">
        <f t="shared" si="148"/>
        <v>1071</v>
      </c>
      <c r="I36" s="203">
        <f t="shared" si="148"/>
        <v>1075.2475247524753</v>
      </c>
      <c r="J36" s="203">
        <f t="shared" si="148"/>
        <v>1086</v>
      </c>
      <c r="K36" s="203">
        <f t="shared" si="148"/>
        <v>1106</v>
      </c>
      <c r="L36" s="203">
        <f t="shared" si="148"/>
        <v>4220</v>
      </c>
      <c r="M36" s="203">
        <f t="shared" si="148"/>
        <v>1082</v>
      </c>
      <c r="N36" s="203">
        <f t="shared" si="148"/>
        <v>1028</v>
      </c>
      <c r="O36" s="203">
        <f t="shared" si="148"/>
        <v>1140</v>
      </c>
      <c r="P36" s="203">
        <f t="shared" si="148"/>
        <v>1166</v>
      </c>
      <c r="Q36" s="203">
        <f t="shared" si="148"/>
        <v>4416</v>
      </c>
      <c r="R36" s="203">
        <f t="shared" si="148"/>
        <v>1090</v>
      </c>
      <c r="S36" s="203">
        <f t="shared" si="148"/>
        <v>1106</v>
      </c>
      <c r="T36" s="203">
        <f t="shared" si="148"/>
        <v>1123</v>
      </c>
      <c r="U36" s="203">
        <f t="shared" si="148"/>
        <v>1104</v>
      </c>
      <c r="V36" s="203">
        <f t="shared" si="148"/>
        <v>4423</v>
      </c>
      <c r="W36" s="203">
        <f t="shared" si="148"/>
        <v>1133</v>
      </c>
      <c r="X36" s="203">
        <f t="shared" si="148"/>
        <v>1106</v>
      </c>
      <c r="Y36" s="203">
        <f t="shared" si="148"/>
        <v>1060</v>
      </c>
      <c r="Z36" s="203">
        <f t="shared" si="148"/>
        <v>1065</v>
      </c>
      <c r="AA36" s="203">
        <f t="shared" si="148"/>
        <v>4359</v>
      </c>
      <c r="AB36" s="203">
        <f t="shared" si="148"/>
        <v>1133</v>
      </c>
      <c r="AC36" s="203">
        <f t="shared" si="148"/>
        <v>1106</v>
      </c>
      <c r="AD36" s="203">
        <f t="shared" si="148"/>
        <v>1060</v>
      </c>
      <c r="AE36" s="203">
        <f t="shared" si="148"/>
        <v>1065</v>
      </c>
      <c r="AF36" s="203">
        <f t="shared" si="148"/>
        <v>4364</v>
      </c>
      <c r="AG36" s="203">
        <f t="shared" si="148"/>
        <v>1073</v>
      </c>
      <c r="AH36" s="203">
        <f t="shared" ref="AH36:BF36" si="149">AH428</f>
        <v>1086</v>
      </c>
      <c r="AI36" s="203">
        <f t="shared" si="149"/>
        <v>1079</v>
      </c>
      <c r="AJ36" s="203">
        <f t="shared" si="149"/>
        <v>1034</v>
      </c>
      <c r="AK36" s="203">
        <f t="shared" si="149"/>
        <v>4272</v>
      </c>
      <c r="AL36" s="203">
        <f t="shared" si="149"/>
        <v>1047</v>
      </c>
      <c r="AM36" s="203">
        <f t="shared" si="149"/>
        <v>1101</v>
      </c>
      <c r="AN36" s="203">
        <f t="shared" si="149"/>
        <v>1021</v>
      </c>
      <c r="AO36" s="203">
        <f t="shared" si="149"/>
        <v>1162</v>
      </c>
      <c r="AP36" s="203">
        <f t="shared" si="149"/>
        <v>4331</v>
      </c>
      <c r="AQ36" s="203">
        <f t="shared" si="149"/>
        <v>1213</v>
      </c>
      <c r="AR36" s="203">
        <f t="shared" si="149"/>
        <v>1050</v>
      </c>
      <c r="AS36" s="203">
        <f t="shared" si="149"/>
        <v>1130</v>
      </c>
      <c r="AT36" s="203">
        <f t="shared" si="149"/>
        <v>1158</v>
      </c>
      <c r="AU36" s="203">
        <f t="shared" si="149"/>
        <v>4551</v>
      </c>
      <c r="AV36" s="203">
        <f t="shared" si="149"/>
        <v>1013</v>
      </c>
      <c r="AW36" s="203">
        <f t="shared" si="149"/>
        <v>1125</v>
      </c>
      <c r="AX36" s="204">
        <f t="shared" si="149"/>
        <v>1109</v>
      </c>
      <c r="AY36" s="204">
        <f t="shared" si="149"/>
        <v>1061</v>
      </c>
      <c r="AZ36" s="203">
        <f t="shared" si="149"/>
        <v>4308</v>
      </c>
      <c r="BA36" s="203">
        <f t="shared" si="149"/>
        <v>1023</v>
      </c>
      <c r="BB36" s="203">
        <f t="shared" si="149"/>
        <v>1007</v>
      </c>
      <c r="BC36" s="203">
        <f t="shared" si="149"/>
        <v>1025</v>
      </c>
      <c r="BD36" s="203">
        <f t="shared" si="149"/>
        <v>762</v>
      </c>
      <c r="BE36" s="203">
        <f t="shared" si="149"/>
        <v>3817</v>
      </c>
      <c r="BF36" s="203">
        <f t="shared" si="149"/>
        <v>982</v>
      </c>
      <c r="BG36" s="203">
        <f t="shared" ref="BG36:CI36" si="150">BG428</f>
        <v>978</v>
      </c>
      <c r="BH36" s="203">
        <f t="shared" si="150"/>
        <v>986</v>
      </c>
      <c r="BI36" s="203">
        <f t="shared" si="150"/>
        <v>945</v>
      </c>
      <c r="BJ36" s="203">
        <f t="shared" si="150"/>
        <v>3891</v>
      </c>
      <c r="BK36" s="203">
        <f t="shared" si="150"/>
        <v>944</v>
      </c>
      <c r="BL36" s="203">
        <f t="shared" si="150"/>
        <v>938</v>
      </c>
      <c r="BM36" s="203">
        <f t="shared" si="150"/>
        <v>953</v>
      </c>
      <c r="BN36" s="203">
        <f t="shared" si="150"/>
        <v>924</v>
      </c>
      <c r="BO36" s="203">
        <f t="shared" si="150"/>
        <v>3759</v>
      </c>
      <c r="BP36" s="203">
        <f t="shared" si="150"/>
        <v>961</v>
      </c>
      <c r="BQ36" s="203">
        <f t="shared" si="150"/>
        <v>996</v>
      </c>
      <c r="BR36" s="203">
        <f t="shared" si="150"/>
        <v>969</v>
      </c>
      <c r="BS36" s="203">
        <f t="shared" si="150"/>
        <v>932</v>
      </c>
      <c r="BT36" s="203">
        <f t="shared" si="150"/>
        <v>3858</v>
      </c>
      <c r="BU36" s="205">
        <f t="shared" si="150"/>
        <v>927</v>
      </c>
      <c r="BV36" s="205">
        <f t="shared" si="150"/>
        <v>1012</v>
      </c>
      <c r="BW36" s="205">
        <f t="shared" ref="BW36:BZ36" si="151">BW428</f>
        <v>1004</v>
      </c>
      <c r="BX36" s="205">
        <f t="shared" si="151"/>
        <v>986</v>
      </c>
      <c r="BY36" s="203">
        <f t="shared" si="151"/>
        <v>3929</v>
      </c>
      <c r="BZ36" s="205">
        <f t="shared" si="151"/>
        <v>972</v>
      </c>
      <c r="CA36" s="205">
        <f t="shared" ref="CA36:CB36" si="152">CA428</f>
        <v>1002</v>
      </c>
      <c r="CB36" s="205">
        <f t="shared" si="152"/>
        <v>929</v>
      </c>
      <c r="CC36" s="205">
        <f t="shared" ref="CC36" si="153">CC428</f>
        <v>1057</v>
      </c>
      <c r="CD36" s="203">
        <f t="shared" si="150"/>
        <v>3960</v>
      </c>
      <c r="CE36" s="203">
        <f t="shared" si="150"/>
        <v>4171.0576269054345</v>
      </c>
      <c r="CF36" s="203">
        <f t="shared" si="150"/>
        <v>4296.5338349015092</v>
      </c>
      <c r="CG36" s="203">
        <f t="shared" si="150"/>
        <v>4436.3939792013425</v>
      </c>
      <c r="CH36" s="203">
        <f t="shared" si="150"/>
        <v>4589.6746823582716</v>
      </c>
      <c r="CI36" s="203">
        <f t="shared" si="150"/>
        <v>4755.1149503443366</v>
      </c>
      <c r="CJ36" s="203">
        <f t="shared" ref="CJ36:CL36" si="154">CJ428</f>
        <v>4921.3878769655921</v>
      </c>
      <c r="CK36" s="203">
        <f t="shared" si="154"/>
        <v>5088.8125944151761</v>
      </c>
      <c r="CL36" s="203">
        <f t="shared" si="154"/>
        <v>5257.7045052849217</v>
      </c>
      <c r="CM36" s="203">
        <f t="shared" ref="CM36" si="155">CM428</f>
        <v>5428.3759740857668</v>
      </c>
      <c r="CN36" s="195"/>
      <c r="CO36" s="195"/>
      <c r="CP36" s="195"/>
      <c r="CQ36" s="195"/>
      <c r="CR36" s="195"/>
      <c r="CS36" s="195"/>
      <c r="CT36" s="195"/>
      <c r="DE36" s="195"/>
      <c r="DF36" s="195"/>
      <c r="DG36" s="195"/>
    </row>
    <row r="37" spans="1:114">
      <c r="A37" s="202" t="s">
        <v>2</v>
      </c>
      <c r="B37" s="206">
        <f>B428</f>
        <v>0</v>
      </c>
      <c r="C37" s="206">
        <f t="shared" ref="C37:CD37" si="156">C428</f>
        <v>0</v>
      </c>
      <c r="D37" s="206">
        <f t="shared" si="156"/>
        <v>0</v>
      </c>
      <c r="E37" s="206">
        <f t="shared" si="156"/>
        <v>1185</v>
      </c>
      <c r="F37" s="206">
        <f t="shared" si="156"/>
        <v>1144</v>
      </c>
      <c r="G37" s="206">
        <f t="shared" si="156"/>
        <v>4402.2000000000007</v>
      </c>
      <c r="H37" s="206">
        <f t="shared" si="156"/>
        <v>1071</v>
      </c>
      <c r="I37" s="206">
        <f t="shared" si="156"/>
        <v>1075.2475247524753</v>
      </c>
      <c r="J37" s="206">
        <f t="shared" si="156"/>
        <v>1086</v>
      </c>
      <c r="K37" s="206">
        <f t="shared" si="156"/>
        <v>1106</v>
      </c>
      <c r="L37" s="206">
        <f t="shared" si="156"/>
        <v>4220</v>
      </c>
      <c r="M37" s="206">
        <f t="shared" si="156"/>
        <v>1082</v>
      </c>
      <c r="N37" s="206">
        <f t="shared" si="156"/>
        <v>1028</v>
      </c>
      <c r="O37" s="206">
        <f t="shared" si="156"/>
        <v>1140</v>
      </c>
      <c r="P37" s="206">
        <f t="shared" si="156"/>
        <v>1166</v>
      </c>
      <c r="Q37" s="206">
        <f t="shared" si="156"/>
        <v>4416</v>
      </c>
      <c r="R37" s="206">
        <f t="shared" si="156"/>
        <v>1090</v>
      </c>
      <c r="S37" s="206">
        <f t="shared" si="156"/>
        <v>1106</v>
      </c>
      <c r="T37" s="206">
        <f t="shared" si="156"/>
        <v>1123</v>
      </c>
      <c r="U37" s="206">
        <f t="shared" si="156"/>
        <v>1104</v>
      </c>
      <c r="V37" s="206">
        <f t="shared" si="156"/>
        <v>4423</v>
      </c>
      <c r="W37" s="206">
        <f t="shared" si="156"/>
        <v>1133</v>
      </c>
      <c r="X37" s="206">
        <f t="shared" si="156"/>
        <v>1106</v>
      </c>
      <c r="Y37" s="206">
        <f t="shared" si="156"/>
        <v>1060</v>
      </c>
      <c r="Z37" s="206">
        <f t="shared" si="156"/>
        <v>1065</v>
      </c>
      <c r="AA37" s="206">
        <f t="shared" si="156"/>
        <v>4359</v>
      </c>
      <c r="AB37" s="206">
        <f t="shared" si="156"/>
        <v>1133</v>
      </c>
      <c r="AC37" s="206">
        <f t="shared" si="156"/>
        <v>1106</v>
      </c>
      <c r="AD37" s="206">
        <f t="shared" si="156"/>
        <v>1060</v>
      </c>
      <c r="AE37" s="206">
        <f t="shared" si="156"/>
        <v>1065</v>
      </c>
      <c r="AF37" s="206">
        <f t="shared" si="156"/>
        <v>4364</v>
      </c>
      <c r="AG37" s="206">
        <f t="shared" si="156"/>
        <v>1073</v>
      </c>
      <c r="AH37" s="206">
        <f t="shared" si="156"/>
        <v>1086</v>
      </c>
      <c r="AI37" s="206">
        <f t="shared" si="156"/>
        <v>1079</v>
      </c>
      <c r="AJ37" s="206">
        <f t="shared" si="156"/>
        <v>1034</v>
      </c>
      <c r="AK37" s="206">
        <f t="shared" si="156"/>
        <v>4272</v>
      </c>
      <c r="AL37" s="206">
        <f t="shared" si="156"/>
        <v>1047</v>
      </c>
      <c r="AM37" s="206">
        <f t="shared" si="156"/>
        <v>1101</v>
      </c>
      <c r="AN37" s="206">
        <f t="shared" si="156"/>
        <v>1021</v>
      </c>
      <c r="AO37" s="206">
        <f t="shared" si="156"/>
        <v>1162</v>
      </c>
      <c r="AP37" s="206">
        <f t="shared" si="156"/>
        <v>4331</v>
      </c>
      <c r="AQ37" s="206">
        <f t="shared" si="156"/>
        <v>1213</v>
      </c>
      <c r="AR37" s="206">
        <f t="shared" si="156"/>
        <v>1050</v>
      </c>
      <c r="AS37" s="206">
        <f t="shared" si="156"/>
        <v>1130</v>
      </c>
      <c r="AT37" s="206">
        <f t="shared" si="156"/>
        <v>1158</v>
      </c>
      <c r="AU37" s="206">
        <f t="shared" si="156"/>
        <v>4551</v>
      </c>
      <c r="AV37" s="206">
        <f t="shared" si="156"/>
        <v>1013</v>
      </c>
      <c r="AW37" s="206">
        <f t="shared" si="156"/>
        <v>1125</v>
      </c>
      <c r="AX37" s="206">
        <f t="shared" si="156"/>
        <v>1109</v>
      </c>
      <c r="AY37" s="206">
        <f t="shared" si="156"/>
        <v>1061</v>
      </c>
      <c r="AZ37" s="206">
        <f t="shared" si="156"/>
        <v>4308</v>
      </c>
      <c r="BA37" s="206">
        <f t="shared" si="156"/>
        <v>1023</v>
      </c>
      <c r="BB37" s="206">
        <f t="shared" si="156"/>
        <v>1007</v>
      </c>
      <c r="BC37" s="206">
        <f t="shared" si="156"/>
        <v>1025</v>
      </c>
      <c r="BD37" s="206">
        <f t="shared" si="156"/>
        <v>762</v>
      </c>
      <c r="BE37" s="206">
        <f t="shared" si="156"/>
        <v>3817</v>
      </c>
      <c r="BF37" s="206">
        <f t="shared" si="156"/>
        <v>982</v>
      </c>
      <c r="BG37" s="206">
        <f t="shared" si="156"/>
        <v>978</v>
      </c>
      <c r="BH37" s="206">
        <f t="shared" si="156"/>
        <v>986</v>
      </c>
      <c r="BI37" s="206">
        <f t="shared" si="156"/>
        <v>945</v>
      </c>
      <c r="BJ37" s="206">
        <f t="shared" si="156"/>
        <v>3891</v>
      </c>
      <c r="BK37" s="206">
        <f t="shared" ref="BK37:BV37" si="157">BK428</f>
        <v>944</v>
      </c>
      <c r="BL37" s="206">
        <f t="shared" si="157"/>
        <v>938</v>
      </c>
      <c r="BM37" s="206">
        <f t="shared" si="157"/>
        <v>953</v>
      </c>
      <c r="BN37" s="206">
        <f t="shared" si="157"/>
        <v>924</v>
      </c>
      <c r="BO37" s="206">
        <f t="shared" si="157"/>
        <v>3759</v>
      </c>
      <c r="BP37" s="206">
        <f t="shared" si="157"/>
        <v>961</v>
      </c>
      <c r="BQ37" s="206">
        <f t="shared" si="157"/>
        <v>996</v>
      </c>
      <c r="BR37" s="206">
        <f t="shared" si="157"/>
        <v>969</v>
      </c>
      <c r="BS37" s="206">
        <f t="shared" si="157"/>
        <v>932</v>
      </c>
      <c r="BT37" s="206">
        <f t="shared" si="157"/>
        <v>3858</v>
      </c>
      <c r="BU37" s="206">
        <f t="shared" si="157"/>
        <v>927</v>
      </c>
      <c r="BV37" s="206">
        <f t="shared" si="157"/>
        <v>1012</v>
      </c>
      <c r="BW37" s="206">
        <f t="shared" ref="BW37:BZ37" si="158">BW428</f>
        <v>1004</v>
      </c>
      <c r="BX37" s="206">
        <f t="shared" si="158"/>
        <v>986</v>
      </c>
      <c r="BY37" s="206">
        <f t="shared" si="158"/>
        <v>3929</v>
      </c>
      <c r="BZ37" s="206">
        <f t="shared" si="158"/>
        <v>972</v>
      </c>
      <c r="CA37" s="206">
        <f t="shared" ref="CA37:CB37" si="159">CA428</f>
        <v>1002</v>
      </c>
      <c r="CB37" s="206">
        <f t="shared" si="159"/>
        <v>929</v>
      </c>
      <c r="CC37" s="206">
        <f t="shared" ref="CC37" si="160">CC428</f>
        <v>1057</v>
      </c>
      <c r="CD37" s="206">
        <f t="shared" si="156"/>
        <v>3960</v>
      </c>
      <c r="CE37" s="206">
        <f>CE428</f>
        <v>4171.0576269054345</v>
      </c>
      <c r="CF37" s="206">
        <f>CF428</f>
        <v>4296.5338349015092</v>
      </c>
      <c r="CG37" s="206">
        <f>CG428</f>
        <v>4436.3939792013425</v>
      </c>
      <c r="CH37" s="206">
        <f>CH428</f>
        <v>4589.6746823582716</v>
      </c>
      <c r="CI37" s="206">
        <f>CI428</f>
        <v>4755.1149503443366</v>
      </c>
      <c r="CJ37" s="206">
        <f t="shared" ref="CJ37:CL37" si="161">CJ428</f>
        <v>4921.3878769655921</v>
      </c>
      <c r="CK37" s="206">
        <f t="shared" si="161"/>
        <v>5088.8125944151761</v>
      </c>
      <c r="CL37" s="206">
        <f t="shared" si="161"/>
        <v>5257.7045052849217</v>
      </c>
      <c r="CM37" s="206">
        <f t="shared" ref="CM37" si="162">CM428</f>
        <v>5428.3759740857668</v>
      </c>
      <c r="CN37" s="195"/>
      <c r="CO37" s="195"/>
      <c r="CP37" s="195"/>
      <c r="CQ37" s="195"/>
      <c r="CR37" s="195"/>
      <c r="CS37" s="195"/>
      <c r="CT37" s="195"/>
    </row>
    <row r="38" spans="1:114">
      <c r="A38" s="195" t="s">
        <v>0</v>
      </c>
      <c r="B38" s="207"/>
      <c r="C38" s="207"/>
      <c r="D38" s="207"/>
      <c r="E38" s="207"/>
      <c r="F38" s="207"/>
      <c r="G38" s="216"/>
      <c r="H38" s="216"/>
      <c r="I38" s="216"/>
      <c r="J38" s="207">
        <f>J37/E37-1</f>
        <v>-8.3544303797468356E-2</v>
      </c>
      <c r="K38" s="207">
        <f t="shared" ref="K38:AA38" si="163">K37/F37-1</f>
        <v>-3.321678321678323E-2</v>
      </c>
      <c r="L38" s="207">
        <f t="shared" si="163"/>
        <v>-4.1388396710735686E-2</v>
      </c>
      <c r="M38" s="207">
        <f t="shared" si="163"/>
        <v>1.0270774976657293E-2</v>
      </c>
      <c r="N38" s="207">
        <f t="shared" si="163"/>
        <v>-4.3941068139963235E-2</v>
      </c>
      <c r="O38" s="207">
        <f t="shared" si="163"/>
        <v>4.9723756906077332E-2</v>
      </c>
      <c r="P38" s="207">
        <f t="shared" si="163"/>
        <v>5.4249547920433905E-2</v>
      </c>
      <c r="Q38" s="207">
        <f t="shared" si="163"/>
        <v>4.6445497630331678E-2</v>
      </c>
      <c r="R38" s="207">
        <f t="shared" si="163"/>
        <v>7.3937153419594281E-3</v>
      </c>
      <c r="S38" s="207">
        <f t="shared" si="163"/>
        <v>7.587548638132291E-2</v>
      </c>
      <c r="T38" s="207">
        <f t="shared" si="163"/>
        <v>-1.4912280701754432E-2</v>
      </c>
      <c r="U38" s="207">
        <f t="shared" si="163"/>
        <v>-5.3173241852487174E-2</v>
      </c>
      <c r="V38" s="207">
        <f t="shared" si="163"/>
        <v>1.5851449275361418E-3</v>
      </c>
      <c r="W38" s="207">
        <f t="shared" si="163"/>
        <v>3.9449541284403589E-2</v>
      </c>
      <c r="X38" s="207">
        <f t="shared" si="163"/>
        <v>0</v>
      </c>
      <c r="Y38" s="207">
        <f t="shared" si="163"/>
        <v>-5.6099732858414963E-2</v>
      </c>
      <c r="Z38" s="207">
        <f t="shared" si="163"/>
        <v>-3.5326086956521729E-2</v>
      </c>
      <c r="AA38" s="207">
        <f t="shared" si="163"/>
        <v>-1.446981686638027E-2</v>
      </c>
      <c r="AB38" s="207">
        <f t="shared" ref="AB38:BJ38" si="164">AB37/W37-1</f>
        <v>0</v>
      </c>
      <c r="AC38" s="207">
        <f t="shared" si="164"/>
        <v>0</v>
      </c>
      <c r="AD38" s="207">
        <f t="shared" si="164"/>
        <v>0</v>
      </c>
      <c r="AE38" s="207">
        <f t="shared" si="164"/>
        <v>0</v>
      </c>
      <c r="AF38" s="207">
        <f t="shared" si="164"/>
        <v>1.1470520761642788E-3</v>
      </c>
      <c r="AG38" s="207">
        <f t="shared" si="164"/>
        <v>-5.2956751985878237E-2</v>
      </c>
      <c r="AH38" s="207">
        <f t="shared" si="164"/>
        <v>-1.8083182640144635E-2</v>
      </c>
      <c r="AI38" s="207">
        <f t="shared" si="164"/>
        <v>1.7924528301886733E-2</v>
      </c>
      <c r="AJ38" s="207">
        <f t="shared" si="164"/>
        <v>-2.9107981220657275E-2</v>
      </c>
      <c r="AK38" s="207">
        <f t="shared" si="164"/>
        <v>-2.1081576535288749E-2</v>
      </c>
      <c r="AL38" s="207">
        <f t="shared" si="164"/>
        <v>-2.4231127679403497E-2</v>
      </c>
      <c r="AM38" s="207">
        <f t="shared" si="164"/>
        <v>1.3812154696132506E-2</v>
      </c>
      <c r="AN38" s="207">
        <f t="shared" si="164"/>
        <v>-5.3753475440222465E-2</v>
      </c>
      <c r="AO38" s="207">
        <f t="shared" si="164"/>
        <v>0.12379110251450687</v>
      </c>
      <c r="AP38" s="207">
        <f t="shared" si="164"/>
        <v>1.3810861423221077E-2</v>
      </c>
      <c r="AQ38" s="207">
        <f t="shared" si="164"/>
        <v>0.15854823304680044</v>
      </c>
      <c r="AR38" s="207">
        <f t="shared" si="164"/>
        <v>-4.6321525885558601E-2</v>
      </c>
      <c r="AS38" s="207">
        <f t="shared" si="164"/>
        <v>0.10675808031341827</v>
      </c>
      <c r="AT38" s="207">
        <f t="shared" si="164"/>
        <v>-3.4423407917383297E-3</v>
      </c>
      <c r="AU38" s="207">
        <f t="shared" si="164"/>
        <v>5.0796582775340493E-2</v>
      </c>
      <c r="AV38" s="207">
        <f t="shared" si="164"/>
        <v>-0.16488046166529269</v>
      </c>
      <c r="AW38" s="207">
        <f t="shared" si="164"/>
        <v>7.1428571428571397E-2</v>
      </c>
      <c r="AX38" s="207">
        <f t="shared" si="164"/>
        <v>-1.8584070796460184E-2</v>
      </c>
      <c r="AY38" s="207">
        <f t="shared" si="164"/>
        <v>-8.376511226252159E-2</v>
      </c>
      <c r="AZ38" s="207">
        <f t="shared" si="164"/>
        <v>-5.339485827290702E-2</v>
      </c>
      <c r="BA38" s="207">
        <f t="shared" si="164"/>
        <v>9.8716683119446369E-3</v>
      </c>
      <c r="BB38" s="207">
        <f t="shared" si="164"/>
        <v>-0.10488888888888892</v>
      </c>
      <c r="BC38" s="207">
        <f t="shared" si="164"/>
        <v>-7.5743913435527555E-2</v>
      </c>
      <c r="BD38" s="207">
        <f t="shared" si="164"/>
        <v>-0.28180961357210177</v>
      </c>
      <c r="BE38" s="207">
        <f t="shared" si="164"/>
        <v>-0.11397400185701023</v>
      </c>
      <c r="BF38" s="207">
        <f t="shared" si="164"/>
        <v>-4.0078201368523914E-2</v>
      </c>
      <c r="BG38" s="207">
        <f t="shared" si="164"/>
        <v>-2.8798411122144985E-2</v>
      </c>
      <c r="BH38" s="207">
        <f t="shared" si="164"/>
        <v>-3.8048780487804912E-2</v>
      </c>
      <c r="BI38" s="207">
        <f t="shared" si="164"/>
        <v>0.24015748031496065</v>
      </c>
      <c r="BJ38" s="207">
        <f t="shared" si="164"/>
        <v>1.9386953104532312E-2</v>
      </c>
      <c r="BK38" s="207">
        <f t="shared" ref="BK38:CC38" si="165">BK37/BF37-1</f>
        <v>-3.8696537678207688E-2</v>
      </c>
      <c r="BL38" s="207">
        <f t="shared" si="165"/>
        <v>-4.0899795501022518E-2</v>
      </c>
      <c r="BM38" s="207">
        <f t="shared" si="165"/>
        <v>-3.3468559837728229E-2</v>
      </c>
      <c r="BN38" s="207">
        <f t="shared" si="165"/>
        <v>-2.2222222222222254E-2</v>
      </c>
      <c r="BO38" s="207">
        <f>BO37/BJ37-1</f>
        <v>-3.3924441017733176E-2</v>
      </c>
      <c r="BP38" s="207">
        <f t="shared" si="165"/>
        <v>1.8008474576271194E-2</v>
      </c>
      <c r="BQ38" s="207">
        <f t="shared" si="165"/>
        <v>6.1833688699360234E-2</v>
      </c>
      <c r="BR38" s="207">
        <f t="shared" si="165"/>
        <v>1.6789087093389332E-2</v>
      </c>
      <c r="BS38" s="207">
        <f t="shared" si="165"/>
        <v>8.6580086580085869E-3</v>
      </c>
      <c r="BT38" s="207">
        <f>BT37/BO37-1</f>
        <v>2.6336791699920203E-2</v>
      </c>
      <c r="BU38" s="207">
        <f t="shared" si="165"/>
        <v>-3.5379812695109258E-2</v>
      </c>
      <c r="BV38" s="207">
        <f t="shared" si="165"/>
        <v>1.6064257028112428E-2</v>
      </c>
      <c r="BW38" s="207">
        <f t="shared" si="165"/>
        <v>3.6119711042311708E-2</v>
      </c>
      <c r="BX38" s="207">
        <f t="shared" si="165"/>
        <v>5.7939914163090078E-2</v>
      </c>
      <c r="BY38" s="207">
        <f>BY37/BT37-1</f>
        <v>1.8403317781233719E-2</v>
      </c>
      <c r="BZ38" s="207">
        <f t="shared" si="165"/>
        <v>4.8543689320388328E-2</v>
      </c>
      <c r="CA38" s="207">
        <f t="shared" si="165"/>
        <v>-9.8814229249012397E-3</v>
      </c>
      <c r="CB38" s="207">
        <f t="shared" si="165"/>
        <v>-7.4701195219123551E-2</v>
      </c>
      <c r="CC38" s="207">
        <f t="shared" si="165"/>
        <v>7.2008113590263712E-2</v>
      </c>
      <c r="CD38" s="207">
        <f>CD37/BY37-1</f>
        <v>7.8900483583608239E-3</v>
      </c>
      <c r="CE38" s="207">
        <f t="shared" ref="CE38:CI38" si="166">CE37/CD37-1</f>
        <v>5.3297380531675431E-2</v>
      </c>
      <c r="CF38" s="207">
        <f t="shared" si="166"/>
        <v>3.008258797161889E-2</v>
      </c>
      <c r="CG38" s="207">
        <f t="shared" si="166"/>
        <v>3.2551854512054446E-2</v>
      </c>
      <c r="CH38" s="207">
        <f t="shared" si="166"/>
        <v>3.4550741858261125E-2</v>
      </c>
      <c r="CI38" s="207">
        <f t="shared" si="166"/>
        <v>3.6046186153886328E-2</v>
      </c>
      <c r="CJ38" s="207">
        <f t="shared" ref="CJ38" si="167">CJ37/CI37-1</f>
        <v>3.4967172898567878E-2</v>
      </c>
      <c r="CK38" s="207">
        <f t="shared" ref="CK38" si="168">CK37/CJ37-1</f>
        <v>3.4019817505791528E-2</v>
      </c>
      <c r="CL38" s="207">
        <f t="shared" ref="CL38:CM38" si="169">CL37/CK37-1</f>
        <v>3.3188864344326552E-2</v>
      </c>
      <c r="CM38" s="207">
        <f t="shared" si="169"/>
        <v>3.2461213563693025E-2</v>
      </c>
      <c r="CN38" s="195"/>
      <c r="CO38" s="195"/>
      <c r="CP38" s="195"/>
      <c r="CQ38" s="195"/>
      <c r="CR38" s="195"/>
      <c r="CS38" s="198"/>
      <c r="CT38" s="198"/>
      <c r="DE38" s="195"/>
      <c r="DF38" s="198"/>
      <c r="DG38" s="198"/>
    </row>
    <row r="39" spans="1:114">
      <c r="A39" s="195" t="s">
        <v>3</v>
      </c>
      <c r="B39" s="207">
        <f>B37/B30</f>
        <v>0</v>
      </c>
      <c r="C39" s="207"/>
      <c r="D39" s="207"/>
      <c r="E39" s="207"/>
      <c r="F39" s="207">
        <f>F37/F30</f>
        <v>0.51905626134301275</v>
      </c>
      <c r="G39" s="207">
        <f>G37/G30</f>
        <v>0.52097657960449251</v>
      </c>
      <c r="H39" s="207">
        <f t="shared" ref="H39:AY39" si="170">H37/H30</f>
        <v>0.50305307656176612</v>
      </c>
      <c r="I39" s="207">
        <f t="shared" si="170"/>
        <v>0.50815100413633052</v>
      </c>
      <c r="J39" s="207">
        <f t="shared" si="170"/>
        <v>0.50371057513914652</v>
      </c>
      <c r="K39" s="207">
        <f t="shared" si="170"/>
        <v>0.50022614201718685</v>
      </c>
      <c r="L39" s="207">
        <f t="shared" si="170"/>
        <v>0.49001393404551791</v>
      </c>
      <c r="M39" s="207">
        <f t="shared" si="170"/>
        <v>0.50278810408921937</v>
      </c>
      <c r="N39" s="207">
        <f t="shared" si="170"/>
        <v>0.46919214970333178</v>
      </c>
      <c r="O39" s="207">
        <f t="shared" si="170"/>
        <v>0.51444043321299637</v>
      </c>
      <c r="P39" s="207">
        <f t="shared" si="170"/>
        <v>0.50476190476190474</v>
      </c>
      <c r="Q39" s="207">
        <f t="shared" si="170"/>
        <v>0.4979140827601759</v>
      </c>
      <c r="R39" s="207">
        <f t="shared" si="170"/>
        <v>0.51101734646038444</v>
      </c>
      <c r="S39" s="207">
        <f t="shared" si="170"/>
        <v>0.51251158480074144</v>
      </c>
      <c r="T39" s="207">
        <f t="shared" si="170"/>
        <v>0.50044563279857401</v>
      </c>
      <c r="U39" s="207">
        <f t="shared" si="170"/>
        <v>0.49110320284697506</v>
      </c>
      <c r="V39" s="207">
        <f t="shared" si="170"/>
        <v>0.50358647386997613</v>
      </c>
      <c r="W39" s="207">
        <f t="shared" si="170"/>
        <v>0.53067915690866507</v>
      </c>
      <c r="X39" s="207">
        <f t="shared" si="170"/>
        <v>0.49752586594691856</v>
      </c>
      <c r="Y39" s="207">
        <f t="shared" si="170"/>
        <v>0.47833935018050544</v>
      </c>
      <c r="Z39" s="207">
        <f t="shared" si="170"/>
        <v>0.46183868169991327</v>
      </c>
      <c r="AA39" s="207">
        <f t="shared" si="170"/>
        <v>0.49087837837837839</v>
      </c>
      <c r="AB39" s="207">
        <f t="shared" si="170"/>
        <v>0.48689299527288354</v>
      </c>
      <c r="AC39" s="207">
        <f t="shared" si="170"/>
        <v>0.48191721132897603</v>
      </c>
      <c r="AD39" s="207">
        <f t="shared" si="170"/>
        <v>0.47342563644484142</v>
      </c>
      <c r="AE39" s="207">
        <f t="shared" si="170"/>
        <v>0.47886690647482016</v>
      </c>
      <c r="AF39" s="207">
        <f t="shared" si="170"/>
        <v>0.48336510724192583</v>
      </c>
      <c r="AG39" s="207">
        <f t="shared" si="170"/>
        <v>0.50637092968381314</v>
      </c>
      <c r="AH39" s="207">
        <f t="shared" si="170"/>
        <v>0.52161383285302598</v>
      </c>
      <c r="AI39" s="207">
        <f t="shared" si="170"/>
        <v>0.52251815980629535</v>
      </c>
      <c r="AJ39" s="207">
        <f t="shared" si="170"/>
        <v>0.48704663212435234</v>
      </c>
      <c r="AK39" s="207">
        <f t="shared" si="170"/>
        <v>0.50832936696811037</v>
      </c>
      <c r="AL39" s="207">
        <f t="shared" si="170"/>
        <v>0.48720335039553281</v>
      </c>
      <c r="AM39" s="207">
        <f t="shared" si="170"/>
        <v>0.52180094786729858</v>
      </c>
      <c r="AN39" s="207">
        <f t="shared" si="170"/>
        <v>0.47137580794090489</v>
      </c>
      <c r="AO39" s="207">
        <f t="shared" si="170"/>
        <v>0.53400735294117652</v>
      </c>
      <c r="AP39" s="207">
        <f t="shared" si="170"/>
        <v>0.50354609929078009</v>
      </c>
      <c r="AQ39" s="207">
        <f t="shared" si="170"/>
        <v>0.56682242990654208</v>
      </c>
      <c r="AR39" s="207">
        <f t="shared" si="170"/>
        <v>0.49952426260704091</v>
      </c>
      <c r="AS39" s="207">
        <f t="shared" si="170"/>
        <v>0.52411873840445267</v>
      </c>
      <c r="AT39" s="207">
        <f t="shared" si="170"/>
        <v>0.52303523035230348</v>
      </c>
      <c r="AU39" s="207">
        <f t="shared" si="170"/>
        <v>0.52844867626567582</v>
      </c>
      <c r="AV39" s="207">
        <f t="shared" si="170"/>
        <v>0.4265263157894737</v>
      </c>
      <c r="AW39" s="207">
        <f t="shared" si="170"/>
        <v>0.4817987152034261</v>
      </c>
      <c r="AX39" s="207">
        <f t="shared" si="170"/>
        <v>0.47535362194599229</v>
      </c>
      <c r="AY39" s="207">
        <f t="shared" si="170"/>
        <v>0.44654882154882153</v>
      </c>
      <c r="AZ39" s="207">
        <f>AZ37/AZ30</f>
        <v>0.45737339420320627</v>
      </c>
      <c r="BA39" s="207">
        <f t="shared" ref="BA39:BI39" si="171">BA37/BA30</f>
        <v>0.45730889584264639</v>
      </c>
      <c r="BB39" s="207">
        <f t="shared" si="171"/>
        <v>0.44835262689225291</v>
      </c>
      <c r="BC39" s="207">
        <f t="shared" si="171"/>
        <v>0.45273851590106007</v>
      </c>
      <c r="BD39" s="207">
        <f t="shared" si="171"/>
        <v>0.31165644171779139</v>
      </c>
      <c r="BE39" s="207">
        <f t="shared" si="171"/>
        <v>0.41525239338555264</v>
      </c>
      <c r="BF39" s="207">
        <f t="shared" si="171"/>
        <v>0.43996415770609321</v>
      </c>
      <c r="BG39" s="207">
        <f t="shared" si="171"/>
        <v>0.44333635539437899</v>
      </c>
      <c r="BH39" s="207">
        <f t="shared" si="171"/>
        <v>0.4315098468271335</v>
      </c>
      <c r="BI39" s="207">
        <f t="shared" si="171"/>
        <v>0.36486486486486486</v>
      </c>
      <c r="BJ39" s="207">
        <f t="shared" ref="BJ39:CI39" si="172">BJ37/BJ30</f>
        <v>0.41780307097605496</v>
      </c>
      <c r="BK39" s="207">
        <f t="shared" si="172"/>
        <v>0.40324647586501494</v>
      </c>
      <c r="BL39" s="207">
        <f t="shared" si="172"/>
        <v>0.43607624360762437</v>
      </c>
      <c r="BM39" s="207">
        <f t="shared" si="172"/>
        <v>0.43063714414821508</v>
      </c>
      <c r="BN39" s="207">
        <f t="shared" si="172"/>
        <v>0.4086687306501548</v>
      </c>
      <c r="BO39" s="207">
        <f t="shared" si="172"/>
        <v>0.41925050189605173</v>
      </c>
      <c r="BP39" s="207">
        <f t="shared" si="172"/>
        <v>0.42901785714285712</v>
      </c>
      <c r="BQ39" s="207">
        <f t="shared" si="172"/>
        <v>0.43799472295514513</v>
      </c>
      <c r="BR39" s="207">
        <f t="shared" si="172"/>
        <v>0.42668428005284015</v>
      </c>
      <c r="BS39" s="207">
        <f t="shared" si="172"/>
        <v>0.37947882736156352</v>
      </c>
      <c r="BT39" s="207">
        <f t="shared" si="172"/>
        <v>0.41748728492587384</v>
      </c>
      <c r="BU39" s="207">
        <f t="shared" si="172"/>
        <v>0.385286783042394</v>
      </c>
      <c r="BV39" s="207">
        <f t="shared" si="172"/>
        <v>0.41749174917491749</v>
      </c>
      <c r="BW39" s="207">
        <f t="shared" ref="BW39:BZ39" si="173">BW37/BW30</f>
        <v>0.41746361746361749</v>
      </c>
      <c r="BX39" s="207">
        <f t="shared" si="173"/>
        <v>0.38606108065779171</v>
      </c>
      <c r="BY39" s="207">
        <f t="shared" si="173"/>
        <v>0.40136888344059657</v>
      </c>
      <c r="BZ39" s="207">
        <f t="shared" si="173"/>
        <v>0.38479809976247031</v>
      </c>
      <c r="CA39" s="207">
        <f t="shared" ref="CA39:CB39" si="174">CA37/CA30</f>
        <v>0.40566801619433196</v>
      </c>
      <c r="CB39" s="207">
        <f t="shared" si="174"/>
        <v>0.38042588042588044</v>
      </c>
      <c r="CC39" s="207">
        <f t="shared" ref="CC39" si="175">CC37/CC30</f>
        <v>0.38548504741064915</v>
      </c>
      <c r="CD39" s="207">
        <f t="shared" si="172"/>
        <v>0.38899803536345778</v>
      </c>
      <c r="CE39" s="207">
        <f t="shared" si="172"/>
        <v>0.39242870848035305</v>
      </c>
      <c r="CF39" s="207">
        <f t="shared" si="172"/>
        <v>0.39402724566268205</v>
      </c>
      <c r="CG39" s="207">
        <f t="shared" si="172"/>
        <v>0.39576435237979013</v>
      </c>
      <c r="CH39" s="207">
        <f t="shared" si="172"/>
        <v>0.39742188839539427</v>
      </c>
      <c r="CI39" s="207">
        <f t="shared" si="172"/>
        <v>0.39897437490439125</v>
      </c>
      <c r="CJ39" s="207">
        <f t="shared" ref="CJ39:CL39" si="176">CJ37/CJ30</f>
        <v>0.40051723656635208</v>
      </c>
      <c r="CK39" s="207">
        <f t="shared" si="176"/>
        <v>0.40205153532296928</v>
      </c>
      <c r="CL39" s="207">
        <f t="shared" si="176"/>
        <v>0.40357824305001738</v>
      </c>
      <c r="CM39" s="207">
        <f t="shared" ref="CM39" si="177">CM37/CM30</f>
        <v>0.4050982501847965</v>
      </c>
      <c r="CN39" s="195"/>
      <c r="CO39" s="195"/>
      <c r="CP39" s="195"/>
      <c r="CQ39" s="195"/>
      <c r="CR39" s="195"/>
      <c r="CS39" s="196"/>
      <c r="CT39" s="196"/>
      <c r="CU39" s="196"/>
      <c r="CV39" s="196"/>
      <c r="DE39" s="195"/>
      <c r="DF39" s="196"/>
      <c r="DG39" s="196"/>
      <c r="DH39" s="196"/>
      <c r="DI39" s="196"/>
      <c r="DJ39" s="207"/>
    </row>
    <row r="40" spans="1:114">
      <c r="A40" s="208" t="s">
        <v>763</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17"/>
      <c r="AG40" s="217"/>
      <c r="AH40" s="217"/>
      <c r="AI40" s="217"/>
      <c r="AJ40" s="217"/>
      <c r="AK40" s="217"/>
      <c r="AL40" s="217"/>
      <c r="AM40" s="217"/>
      <c r="AN40" s="217"/>
      <c r="AO40" s="217"/>
      <c r="AP40" s="217"/>
      <c r="AQ40" s="217"/>
      <c r="AR40" s="217"/>
      <c r="AS40" s="217"/>
      <c r="AT40" s="217"/>
      <c r="AU40" s="210"/>
      <c r="AV40" s="217"/>
      <c r="AW40" s="217"/>
      <c r="AX40" s="217"/>
      <c r="AY40" s="217"/>
      <c r="AZ40" s="210"/>
      <c r="BA40" s="217"/>
      <c r="BB40" s="217"/>
      <c r="BC40" s="217"/>
      <c r="BD40" s="217"/>
      <c r="BE40" s="210"/>
      <c r="BF40" s="217"/>
      <c r="BG40" s="217"/>
      <c r="BH40" s="210"/>
      <c r="BI40" s="210"/>
      <c r="BJ40" s="210"/>
      <c r="BK40" s="217"/>
      <c r="BL40" s="217"/>
      <c r="BM40" s="217"/>
      <c r="BN40" s="217"/>
      <c r="BO40" s="210"/>
      <c r="BP40" s="217"/>
      <c r="BQ40" s="217"/>
      <c r="BR40" s="217"/>
      <c r="BS40" s="217"/>
      <c r="BT40" s="210"/>
      <c r="BU40" s="218"/>
      <c r="BV40" s="218"/>
      <c r="BW40" s="218"/>
      <c r="BX40" s="218"/>
      <c r="BY40" s="210"/>
      <c r="BZ40" s="218"/>
      <c r="CA40" s="218"/>
      <c r="CB40" s="218"/>
      <c r="CC40" s="218"/>
      <c r="CD40" s="443" t="s">
        <v>765</v>
      </c>
      <c r="CE40" s="210" t="s">
        <v>806</v>
      </c>
      <c r="CF40" s="210"/>
      <c r="CG40" s="210"/>
      <c r="CH40" s="210"/>
      <c r="CI40" s="210"/>
      <c r="CJ40" s="210"/>
      <c r="CK40" s="210"/>
      <c r="CL40" s="210"/>
      <c r="CM40" s="210"/>
      <c r="CN40" s="195"/>
      <c r="CO40" s="195"/>
      <c r="CP40" s="195"/>
      <c r="CQ40" s="195"/>
      <c r="CR40" s="195"/>
      <c r="CS40" s="196"/>
      <c r="CT40" s="196"/>
      <c r="CU40" s="196"/>
      <c r="CV40" s="196"/>
      <c r="DE40" s="195"/>
      <c r="DF40" s="196"/>
      <c r="DG40" s="196"/>
      <c r="DH40" s="196"/>
      <c r="DI40" s="196"/>
      <c r="DJ40" s="207"/>
    </row>
    <row r="41" spans="1:114">
      <c r="A41" s="208" t="s">
        <v>1</v>
      </c>
      <c r="B41" s="208"/>
      <c r="C41" s="208"/>
      <c r="D41" s="208"/>
      <c r="E41" s="208"/>
      <c r="F41" s="208"/>
      <c r="G41" s="208"/>
      <c r="H41" s="208"/>
      <c r="I41" s="208"/>
      <c r="J41" s="208"/>
      <c r="K41" s="208"/>
      <c r="L41" s="208"/>
      <c r="M41" s="208"/>
      <c r="N41" s="208"/>
      <c r="O41" s="208"/>
      <c r="P41" s="208"/>
      <c r="Q41" s="208"/>
      <c r="R41" s="208"/>
      <c r="S41" s="208"/>
      <c r="T41" s="208"/>
      <c r="U41" s="208"/>
      <c r="V41" s="208"/>
      <c r="W41" s="208"/>
      <c r="X41" s="208"/>
      <c r="Y41" s="208"/>
      <c r="Z41" s="208"/>
      <c r="AA41" s="208"/>
      <c r="AB41" s="208"/>
      <c r="AC41" s="208"/>
      <c r="AD41" s="208"/>
      <c r="AE41" s="208"/>
      <c r="AF41" s="217"/>
      <c r="AG41" s="217"/>
      <c r="AH41" s="217"/>
      <c r="AI41" s="217"/>
      <c r="AJ41" s="217"/>
      <c r="AK41" s="217"/>
      <c r="AL41" s="217"/>
      <c r="AM41" s="217"/>
      <c r="AN41" s="217"/>
      <c r="AO41" s="217"/>
      <c r="AP41" s="217"/>
      <c r="AQ41" s="217"/>
      <c r="AR41" s="217"/>
      <c r="AS41" s="217"/>
      <c r="AT41" s="217"/>
      <c r="AU41" s="210"/>
      <c r="AV41" s="217"/>
      <c r="AW41" s="217"/>
      <c r="AX41" s="217"/>
      <c r="AY41" s="217"/>
      <c r="AZ41" s="210"/>
      <c r="BA41" s="217"/>
      <c r="BB41" s="217"/>
      <c r="BC41" s="217"/>
      <c r="BD41" s="217"/>
      <c r="BE41" s="210"/>
      <c r="BF41" s="217"/>
      <c r="BG41" s="217"/>
      <c r="BH41" s="210"/>
      <c r="BI41" s="210"/>
      <c r="BJ41" s="210"/>
      <c r="BK41" s="217"/>
      <c r="BL41" s="217"/>
      <c r="BM41" s="217"/>
      <c r="BN41" s="217"/>
      <c r="BO41" s="210"/>
      <c r="BP41" s="217"/>
      <c r="BQ41" s="217"/>
      <c r="BR41" s="217"/>
      <c r="BS41" s="217"/>
      <c r="BT41" s="210"/>
      <c r="BU41" s="218"/>
      <c r="BV41" s="218"/>
      <c r="BW41" s="218"/>
      <c r="BX41" s="218"/>
      <c r="BY41" s="210"/>
      <c r="BZ41" s="218"/>
      <c r="CA41" s="218"/>
      <c r="CB41" s="218"/>
      <c r="CC41" s="218"/>
      <c r="CD41" s="499" cm="1">
        <f t="array" ref="CD41">_xll.VAData("MXSC_MY", "FY-"&amp;CD$2, "EBITDA", "Consensus", "CD", "IMPL","","")</f>
        <v>3918.375</v>
      </c>
      <c r="CE41" s="499" cm="1">
        <f t="array" ref="CE41">_xll.VAData("MXSC_MY", "FY-"&amp;CE$2, "EBITDA", "Consensus", "CD", "IMPL","","")</f>
        <v>4075.1682963024818</v>
      </c>
      <c r="CF41" s="499" cm="1">
        <f t="array" ref="CF41">_xll.VAData("MXSC_MY", "FY-"&amp;CF$2, "EBITDA", "Consensus", "CD", "IMPL","","")</f>
        <v>4149.9068964873513</v>
      </c>
      <c r="CG41" s="499" cm="1">
        <f t="array" ref="CG41">_xll.VAData("MXSC_MY", "FY-"&amp;CG$2, "EBITDA", "Consensus", "CD", "IMPL","","")</f>
        <v>4326.4089276791228</v>
      </c>
      <c r="CH41" s="499" cm="1">
        <f t="array" ref="CH41">_xll.VAData("MXSC_MY", "FY-"&amp;CH$2, "EBITDA", "Consensus", "CD", "IMPL","","")</f>
        <v>4521.5468201461081</v>
      </c>
      <c r="CI41" s="499" cm="1">
        <f t="array" ref="CI41">_xll.VAData("MXSC_MY", "FY-"&amp;CI$2, "EBITDA", "Consensus", "CD", "IMPL","","")</f>
        <v>4626.0391921386927</v>
      </c>
      <c r="CJ41" s="499" cm="1">
        <f t="array" ref="CJ41">_xll.VAData("MXSC_MY", "FY-"&amp;CJ$2, "EBITDA", "Consensus", "CD", "IMPL","","")</f>
        <v>4739.0082941715127</v>
      </c>
      <c r="CK41" s="499" cm="1">
        <f t="array" ref="CK41">_xll.VAData("MXSC_MY", "FY-"&amp;CK$2, "EBITDA", "Consensus", "CD", "IMPL","","")</f>
        <v>4852.872359952923</v>
      </c>
      <c r="CL41" s="499" cm="1">
        <f t="array" ref="CL41">_xll.VAData("MXSC_MY", "FY-"&amp;CL$2, "EBITDA", "Consensus", "CD", "IMPL","","")</f>
        <v>4969.5267050609054</v>
      </c>
      <c r="CM41" s="499" cm="1">
        <f t="array" ref="CM41">_xll.VAData("MXSC_MY", "FY-"&amp;CM$2, "EBITDA", "Consensus", "CD", "IMPL","","")</f>
        <v>5089.3167048901905</v>
      </c>
      <c r="CN41" s="195"/>
      <c r="CO41" s="195"/>
      <c r="CP41" s="195"/>
      <c r="CQ41" s="195"/>
      <c r="CR41" s="195"/>
      <c r="CS41" s="196"/>
      <c r="CT41" s="196"/>
      <c r="CU41" s="196"/>
      <c r="CV41" s="196"/>
      <c r="DE41" s="195"/>
      <c r="DF41" s="196"/>
      <c r="DG41" s="196"/>
      <c r="DH41" s="196"/>
      <c r="DI41" s="196"/>
      <c r="DJ41" s="207"/>
    </row>
    <row r="42" spans="1:114">
      <c r="A42" s="208" t="s">
        <v>812</v>
      </c>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17"/>
      <c r="AG42" s="217"/>
      <c r="AH42" s="217"/>
      <c r="AI42" s="217"/>
      <c r="AJ42" s="217"/>
      <c r="AK42" s="217"/>
      <c r="AL42" s="217"/>
      <c r="AM42" s="217"/>
      <c r="AN42" s="217"/>
      <c r="AO42" s="217"/>
      <c r="AP42" s="217"/>
      <c r="AQ42" s="217"/>
      <c r="AR42" s="217"/>
      <c r="AS42" s="217"/>
      <c r="AT42" s="217"/>
      <c r="AU42" s="210"/>
      <c r="AV42" s="217"/>
      <c r="AW42" s="217"/>
      <c r="AX42" s="217"/>
      <c r="AY42" s="217"/>
      <c r="AZ42" s="210"/>
      <c r="BA42" s="217"/>
      <c r="BB42" s="217"/>
      <c r="BC42" s="217"/>
      <c r="BD42" s="217"/>
      <c r="BE42" s="210"/>
      <c r="BF42" s="217"/>
      <c r="BG42" s="217"/>
      <c r="BH42" s="210"/>
      <c r="BI42" s="210"/>
      <c r="BJ42" s="210"/>
      <c r="BK42" s="217"/>
      <c r="BL42" s="217"/>
      <c r="BM42" s="217"/>
      <c r="BN42" s="217"/>
      <c r="BO42" s="210"/>
      <c r="BP42" s="217"/>
      <c r="BQ42" s="217"/>
      <c r="BR42" s="217"/>
      <c r="BS42" s="217"/>
      <c r="BT42" s="210"/>
      <c r="BU42" s="218"/>
      <c r="BV42" s="218"/>
      <c r="BW42" s="218"/>
      <c r="BX42" s="218"/>
      <c r="BY42" s="210"/>
      <c r="BZ42" s="218"/>
      <c r="CA42" s="218"/>
      <c r="CB42" s="218"/>
      <c r="CC42" s="218"/>
      <c r="CD42" s="499"/>
      <c r="CE42" s="212">
        <f>CE41/CD41-1</f>
        <v>4.0014877673137939E-2</v>
      </c>
      <c r="CF42" s="212">
        <f t="shared" ref="CF42:CK42" si="178">CF41/CE41-1</f>
        <v>1.8340003344814448E-2</v>
      </c>
      <c r="CG42" s="212">
        <f t="shared" si="178"/>
        <v>4.2531564103563291E-2</v>
      </c>
      <c r="CH42" s="212">
        <f t="shared" si="178"/>
        <v>4.5103894645406539E-2</v>
      </c>
      <c r="CI42" s="212">
        <f t="shared" si="178"/>
        <v>2.3109872826487354E-2</v>
      </c>
      <c r="CJ42" s="212">
        <f t="shared" si="178"/>
        <v>2.4420264796890523E-2</v>
      </c>
      <c r="CK42" s="212">
        <f t="shared" si="178"/>
        <v>2.4026981746677167E-2</v>
      </c>
      <c r="CL42" s="499"/>
      <c r="CM42" s="499"/>
      <c r="CN42" s="195"/>
      <c r="CO42" s="195"/>
      <c r="CP42" s="195"/>
      <c r="CQ42" s="195"/>
      <c r="CR42" s="195"/>
      <c r="CS42" s="196"/>
      <c r="CT42" s="196"/>
      <c r="CU42" s="196"/>
      <c r="CV42" s="196"/>
      <c r="DE42" s="195"/>
      <c r="DF42" s="196"/>
      <c r="DG42" s="196"/>
      <c r="DH42" s="196"/>
      <c r="DI42" s="196"/>
      <c r="DJ42" s="207"/>
    </row>
    <row r="43" spans="1:114">
      <c r="A43" s="208" t="s">
        <v>813</v>
      </c>
      <c r="B43" s="208"/>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17"/>
      <c r="AG43" s="217"/>
      <c r="AH43" s="217"/>
      <c r="AI43" s="217"/>
      <c r="AJ43" s="217"/>
      <c r="AK43" s="217"/>
      <c r="AL43" s="217"/>
      <c r="AM43" s="217"/>
      <c r="AN43" s="217"/>
      <c r="AO43" s="217"/>
      <c r="AP43" s="217"/>
      <c r="AQ43" s="217"/>
      <c r="AR43" s="217"/>
      <c r="AS43" s="217"/>
      <c r="AT43" s="217"/>
      <c r="AU43" s="210"/>
      <c r="AV43" s="217"/>
      <c r="AW43" s="217"/>
      <c r="AX43" s="217"/>
      <c r="AY43" s="217"/>
      <c r="AZ43" s="210"/>
      <c r="BA43" s="217"/>
      <c r="BB43" s="217"/>
      <c r="BC43" s="217"/>
      <c r="BD43" s="217"/>
      <c r="BE43" s="210"/>
      <c r="BF43" s="217"/>
      <c r="BG43" s="217"/>
      <c r="BH43" s="210"/>
      <c r="BI43" s="210"/>
      <c r="BJ43" s="210"/>
      <c r="BK43" s="217"/>
      <c r="BL43" s="217"/>
      <c r="BM43" s="217"/>
      <c r="BN43" s="217"/>
      <c r="BO43" s="210"/>
      <c r="BP43" s="217"/>
      <c r="BQ43" s="217"/>
      <c r="BR43" s="217"/>
      <c r="BS43" s="217"/>
      <c r="BT43" s="210"/>
      <c r="BU43" s="218"/>
      <c r="BV43" s="218"/>
      <c r="BW43" s="218"/>
      <c r="BX43" s="218"/>
      <c r="BY43" s="210"/>
      <c r="BZ43" s="218"/>
      <c r="CA43" s="218"/>
      <c r="CB43" s="218"/>
      <c r="CC43" s="218"/>
      <c r="CD43" s="212">
        <f>IFERROR(CD41/CD32,"")</f>
        <v>0.38541077532151374</v>
      </c>
      <c r="CE43" s="212">
        <f>IFERROR(CE41/CE32,"")</f>
        <v>0.39027200551623281</v>
      </c>
      <c r="CF43" s="212">
        <f t="shared" ref="CF43:CK43" si="179">IFERROR(CF41/CF32,"")</f>
        <v>0.38852453840365669</v>
      </c>
      <c r="CG43" s="212">
        <f t="shared" si="179"/>
        <v>0.3917499300115021</v>
      </c>
      <c r="CH43" s="212">
        <f t="shared" si="179"/>
        <v>0.39800748228508459</v>
      </c>
      <c r="CI43" s="212">
        <f t="shared" si="179"/>
        <v>0.39696626519122724</v>
      </c>
      <c r="CJ43" s="212">
        <f t="shared" si="179"/>
        <v>0.39699278918226222</v>
      </c>
      <c r="CK43" s="212">
        <f t="shared" si="179"/>
        <v>0.39691846668960756</v>
      </c>
      <c r="CL43" s="499"/>
      <c r="CM43" s="499"/>
      <c r="CN43" s="195"/>
      <c r="CO43" s="195"/>
      <c r="CP43" s="195"/>
      <c r="CQ43" s="195"/>
      <c r="CR43" s="195"/>
      <c r="CS43" s="196"/>
      <c r="CT43" s="196"/>
      <c r="CU43" s="196"/>
      <c r="CV43" s="196"/>
      <c r="DE43" s="195"/>
      <c r="DF43" s="196"/>
      <c r="DG43" s="196"/>
      <c r="DH43" s="196"/>
      <c r="DI43" s="196"/>
      <c r="DJ43" s="207"/>
    </row>
    <row r="44" spans="1:114">
      <c r="A44" s="208" t="s">
        <v>598</v>
      </c>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17"/>
      <c r="AG44" s="217"/>
      <c r="AH44" s="217"/>
      <c r="AI44" s="217"/>
      <c r="AJ44" s="217"/>
      <c r="AK44" s="217"/>
      <c r="AL44" s="217"/>
      <c r="AM44" s="217"/>
      <c r="AN44" s="217"/>
      <c r="AO44" s="217"/>
      <c r="AP44" s="217"/>
      <c r="AQ44" s="217"/>
      <c r="AR44" s="217"/>
      <c r="AS44" s="217"/>
      <c r="AT44" s="217"/>
      <c r="AU44" s="212"/>
      <c r="AV44" s="217"/>
      <c r="AW44" s="217"/>
      <c r="AX44" s="217"/>
      <c r="AY44" s="217"/>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3"/>
      <c r="BV44" s="213"/>
      <c r="BW44" s="213"/>
      <c r="BX44" s="213"/>
      <c r="BY44" s="212"/>
      <c r="BZ44" s="213"/>
      <c r="CA44" s="213"/>
      <c r="CB44" s="213"/>
      <c r="CC44" s="213"/>
      <c r="CD44" s="212">
        <f t="shared" ref="CD44:CI44" si="180">CD37/CD41-1</f>
        <v>1.0623026126902024E-2</v>
      </c>
      <c r="CE44" s="212">
        <f t="shared" si="180"/>
        <v>2.3530152285969663E-2</v>
      </c>
      <c r="CF44" s="212">
        <f t="shared" si="180"/>
        <v>3.5332585060708022E-2</v>
      </c>
      <c r="CG44" s="212">
        <f t="shared" si="180"/>
        <v>2.5421788222228958E-2</v>
      </c>
      <c r="CH44" s="212">
        <f t="shared" si="180"/>
        <v>1.5067379576523265E-2</v>
      </c>
      <c r="CI44" s="212">
        <f t="shared" si="180"/>
        <v>2.7902002738106946E-2</v>
      </c>
      <c r="CJ44" s="212">
        <f t="shared" ref="CJ44:CL44" si="181">CJ37/CJ41-1</f>
        <v>3.8484757036274297E-2</v>
      </c>
      <c r="CK44" s="212">
        <f t="shared" si="181"/>
        <v>4.8618677138366317E-2</v>
      </c>
      <c r="CL44" s="212">
        <f t="shared" si="181"/>
        <v>5.7988983121982196E-2</v>
      </c>
      <c r="CM44" s="212">
        <f t="shared" ref="CM44" si="182">CM37/CM41-1</f>
        <v>6.6621766507433788E-2</v>
      </c>
      <c r="CN44" s="195"/>
      <c r="CO44" s="195"/>
      <c r="CP44" s="195"/>
      <c r="CQ44" s="195"/>
      <c r="CR44" s="195"/>
      <c r="CS44" s="196"/>
      <c r="CT44" s="196"/>
      <c r="CU44" s="196"/>
      <c r="CV44" s="196"/>
      <c r="DE44" s="195"/>
      <c r="DF44" s="196"/>
      <c r="DG44" s="196"/>
      <c r="DH44" s="196"/>
      <c r="DI44" s="196"/>
      <c r="DJ44" s="207"/>
    </row>
    <row r="45" spans="1:114">
      <c r="A45" s="195"/>
      <c r="B45" s="195"/>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219"/>
      <c r="AU45" s="219"/>
      <c r="AV45" s="195"/>
      <c r="AW45" s="195"/>
      <c r="AX45" s="195"/>
      <c r="AY45" s="219"/>
      <c r="AZ45" s="220"/>
      <c r="BA45" s="220"/>
      <c r="BB45" s="220"/>
      <c r="BC45" s="220"/>
      <c r="BD45" s="220"/>
      <c r="BE45" s="220"/>
      <c r="BF45" s="220"/>
      <c r="BG45" s="220"/>
      <c r="BH45" s="220"/>
      <c r="BI45" s="220"/>
      <c r="BJ45" s="219"/>
      <c r="BK45" s="220"/>
      <c r="BL45" s="220"/>
      <c r="BM45" s="220"/>
      <c r="BN45" s="220"/>
      <c r="BO45" s="219"/>
      <c r="BP45" s="220"/>
      <c r="BQ45" s="220"/>
      <c r="BR45" s="220"/>
      <c r="BS45" s="220"/>
      <c r="BT45" s="219"/>
      <c r="BU45" s="221"/>
      <c r="BV45" s="221"/>
      <c r="BW45" s="221"/>
      <c r="BX45" s="221"/>
      <c r="BY45" s="219"/>
      <c r="BZ45" s="221"/>
      <c r="CA45" s="221"/>
      <c r="CB45" s="221"/>
      <c r="CC45" s="221"/>
      <c r="CD45" s="219"/>
      <c r="CE45" s="219"/>
      <c r="CF45" s="219"/>
      <c r="CG45" s="219"/>
      <c r="CH45" s="219"/>
      <c r="CI45" s="219"/>
      <c r="CJ45" s="219"/>
      <c r="CK45" s="219"/>
      <c r="CL45" s="219"/>
      <c r="CM45" s="219"/>
      <c r="CN45" s="195"/>
      <c r="CO45" s="195"/>
      <c r="CP45" s="195"/>
      <c r="CQ45" s="195"/>
      <c r="CR45" s="195"/>
      <c r="CS45" s="196"/>
      <c r="CT45" s="196"/>
      <c r="CU45" s="196"/>
      <c r="CV45" s="196"/>
      <c r="DE45" s="195"/>
      <c r="DF45" s="196"/>
      <c r="DG45" s="196"/>
      <c r="DH45" s="196"/>
      <c r="DI45" s="196"/>
      <c r="DJ45" s="207"/>
    </row>
    <row r="46" spans="1:114">
      <c r="A46" s="195"/>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219"/>
      <c r="AU46" s="219"/>
      <c r="AV46" s="196"/>
      <c r="AW46" s="195"/>
      <c r="AX46" s="195"/>
      <c r="AY46" s="219"/>
      <c r="AZ46" s="220"/>
      <c r="BA46" s="220"/>
      <c r="BB46" s="220"/>
      <c r="BC46" s="220"/>
      <c r="BD46" s="220"/>
      <c r="BE46" s="220"/>
      <c r="BF46" s="220"/>
      <c r="BG46" s="220"/>
      <c r="BH46" s="220"/>
      <c r="BI46" s="220"/>
      <c r="BJ46" s="219"/>
      <c r="BK46" s="220"/>
      <c r="BL46" s="220"/>
      <c r="BM46" s="220"/>
      <c r="BN46" s="220"/>
      <c r="BO46" s="219"/>
      <c r="BP46" s="220"/>
      <c r="BQ46" s="220"/>
      <c r="BR46" s="220"/>
      <c r="BS46" s="220"/>
      <c r="BT46" s="219"/>
      <c r="BU46" s="221"/>
      <c r="BV46" s="221"/>
      <c r="BW46" s="221"/>
      <c r="BX46" s="221"/>
      <c r="BY46" s="219"/>
      <c r="BZ46" s="221"/>
      <c r="CA46" s="221"/>
      <c r="CB46" s="221"/>
      <c r="CC46" s="221"/>
      <c r="CD46" s="219"/>
      <c r="CE46" s="219"/>
      <c r="CF46" s="219"/>
      <c r="CG46" s="219"/>
      <c r="CH46" s="219"/>
      <c r="CI46" s="219"/>
      <c r="CJ46" s="219"/>
      <c r="CK46" s="219"/>
      <c r="CL46" s="219"/>
      <c r="CM46" s="219"/>
      <c r="CN46" s="195"/>
      <c r="CO46" s="195"/>
      <c r="CP46" s="195"/>
      <c r="CQ46" s="195"/>
      <c r="CR46" s="195"/>
      <c r="CS46" s="196"/>
      <c r="CT46" s="196"/>
      <c r="CU46" s="196"/>
      <c r="CV46" s="196"/>
      <c r="DE46" s="195"/>
      <c r="DF46" s="196"/>
      <c r="DG46" s="196"/>
      <c r="DH46" s="196"/>
      <c r="DI46" s="196"/>
      <c r="DJ46" s="207"/>
    </row>
    <row r="48" spans="1:114">
      <c r="A48" s="202" t="s">
        <v>248</v>
      </c>
      <c r="B48" s="206">
        <f t="shared" ref="B48:AG48" si="183">B473</f>
        <v>1124</v>
      </c>
      <c r="C48" s="206">
        <f t="shared" si="183"/>
        <v>129.79999999999995</v>
      </c>
      <c r="D48" s="206">
        <f t="shared" si="183"/>
        <v>171</v>
      </c>
      <c r="E48" s="206">
        <f t="shared" si="183"/>
        <v>195</v>
      </c>
      <c r="F48" s="206">
        <f t="shared" si="183"/>
        <v>401</v>
      </c>
      <c r="G48" s="206">
        <f t="shared" si="183"/>
        <v>802.8</v>
      </c>
      <c r="H48" s="206">
        <f t="shared" si="183"/>
        <v>158</v>
      </c>
      <c r="I48" s="206">
        <f t="shared" si="183"/>
        <v>199</v>
      </c>
      <c r="J48" s="206">
        <f t="shared" si="183"/>
        <v>291</v>
      </c>
      <c r="K48" s="206">
        <f t="shared" si="183"/>
        <v>596</v>
      </c>
      <c r="L48" s="206">
        <f t="shared" si="183"/>
        <v>590</v>
      </c>
      <c r="M48" s="206">
        <f t="shared" si="183"/>
        <v>135</v>
      </c>
      <c r="N48" s="206">
        <f t="shared" si="183"/>
        <v>307</v>
      </c>
      <c r="O48" s="206">
        <f t="shared" si="183"/>
        <v>489</v>
      </c>
      <c r="P48" s="206">
        <f t="shared" si="183"/>
        <v>513</v>
      </c>
      <c r="Q48" s="206">
        <f t="shared" si="183"/>
        <v>1444</v>
      </c>
      <c r="R48" s="206">
        <f t="shared" si="183"/>
        <v>257</v>
      </c>
      <c r="S48" s="206">
        <f t="shared" si="183"/>
        <v>225</v>
      </c>
      <c r="T48" s="206">
        <f t="shared" si="183"/>
        <v>225</v>
      </c>
      <c r="U48" s="206">
        <f t="shared" si="183"/>
        <v>282</v>
      </c>
      <c r="V48" s="206">
        <f t="shared" si="183"/>
        <v>989</v>
      </c>
      <c r="W48" s="206">
        <f t="shared" si="183"/>
        <v>78</v>
      </c>
      <c r="X48" s="206">
        <f t="shared" si="183"/>
        <v>176</v>
      </c>
      <c r="Y48" s="206">
        <f t="shared" si="183"/>
        <v>145</v>
      </c>
      <c r="Z48" s="206">
        <f t="shared" si="183"/>
        <v>591</v>
      </c>
      <c r="AA48" s="206">
        <f t="shared" si="183"/>
        <v>990</v>
      </c>
      <c r="AB48" s="206">
        <f t="shared" si="183"/>
        <v>191</v>
      </c>
      <c r="AC48" s="206">
        <f t="shared" si="183"/>
        <v>216</v>
      </c>
      <c r="AD48" s="206">
        <f t="shared" si="183"/>
        <v>141</v>
      </c>
      <c r="AE48" s="206">
        <f t="shared" si="183"/>
        <v>267</v>
      </c>
      <c r="AF48" s="206">
        <f t="shared" si="183"/>
        <v>815</v>
      </c>
      <c r="AG48" s="206">
        <f t="shared" si="183"/>
        <v>118</v>
      </c>
      <c r="AH48" s="206">
        <f t="shared" ref="AH48:BJ48" si="184">AH473</f>
        <v>155</v>
      </c>
      <c r="AI48" s="206">
        <f t="shared" si="184"/>
        <v>337</v>
      </c>
      <c r="AJ48" s="206">
        <f t="shared" si="184"/>
        <v>530</v>
      </c>
      <c r="AK48" s="206">
        <f t="shared" si="184"/>
        <v>1140</v>
      </c>
      <c r="AL48" s="206">
        <f t="shared" si="184"/>
        <v>146</v>
      </c>
      <c r="AM48" s="206">
        <f t="shared" si="184"/>
        <v>260</v>
      </c>
      <c r="AN48" s="206">
        <f t="shared" si="184"/>
        <v>359</v>
      </c>
      <c r="AO48" s="206">
        <f t="shared" si="184"/>
        <v>539</v>
      </c>
      <c r="AP48" s="206">
        <f t="shared" si="184"/>
        <v>1304</v>
      </c>
      <c r="AQ48" s="206">
        <f t="shared" si="184"/>
        <v>159</v>
      </c>
      <c r="AR48" s="206">
        <f t="shared" si="184"/>
        <v>333</v>
      </c>
      <c r="AS48" s="206">
        <f t="shared" si="184"/>
        <v>249</v>
      </c>
      <c r="AT48" s="206">
        <f t="shared" si="184"/>
        <v>448</v>
      </c>
      <c r="AU48" s="206">
        <f t="shared" si="184"/>
        <v>1189</v>
      </c>
      <c r="AV48" s="206">
        <f t="shared" si="184"/>
        <v>162</v>
      </c>
      <c r="AW48" s="206">
        <f t="shared" si="184"/>
        <v>211</v>
      </c>
      <c r="AX48" s="206">
        <f t="shared" si="184"/>
        <v>273</v>
      </c>
      <c r="AY48" s="206">
        <f t="shared" si="184"/>
        <v>382</v>
      </c>
      <c r="AZ48" s="206">
        <f t="shared" si="184"/>
        <v>1028</v>
      </c>
      <c r="BA48" s="206">
        <f t="shared" si="184"/>
        <v>107</v>
      </c>
      <c r="BB48" s="206">
        <f t="shared" si="184"/>
        <v>212</v>
      </c>
      <c r="BC48" s="206">
        <f t="shared" si="184"/>
        <v>195</v>
      </c>
      <c r="BD48" s="206">
        <f t="shared" si="184"/>
        <v>524</v>
      </c>
      <c r="BE48" s="206">
        <f t="shared" si="184"/>
        <v>1038</v>
      </c>
      <c r="BF48" s="206">
        <f t="shared" si="184"/>
        <v>127</v>
      </c>
      <c r="BG48" s="206">
        <f t="shared" si="184"/>
        <v>267</v>
      </c>
      <c r="BH48" s="206">
        <f t="shared" si="184"/>
        <v>242</v>
      </c>
      <c r="BI48" s="206">
        <f t="shared" si="184"/>
        <v>577</v>
      </c>
      <c r="BJ48" s="206">
        <f t="shared" si="184"/>
        <v>1213</v>
      </c>
      <c r="BK48" s="206">
        <f t="shared" ref="BK48:BV48" si="185">BK473</f>
        <v>163</v>
      </c>
      <c r="BL48" s="206">
        <f t="shared" si="185"/>
        <v>259</v>
      </c>
      <c r="BM48" s="206">
        <f t="shared" si="185"/>
        <v>319</v>
      </c>
      <c r="BN48" s="206">
        <f t="shared" si="185"/>
        <v>504</v>
      </c>
      <c r="BO48" s="206">
        <f t="shared" si="185"/>
        <v>1245</v>
      </c>
      <c r="BP48" s="206">
        <f t="shared" si="185"/>
        <v>136</v>
      </c>
      <c r="BQ48" s="206">
        <f t="shared" si="185"/>
        <v>180</v>
      </c>
      <c r="BR48" s="206">
        <f t="shared" si="185"/>
        <v>274</v>
      </c>
      <c r="BS48" s="206">
        <f t="shared" si="185"/>
        <v>597</v>
      </c>
      <c r="BT48" s="206">
        <f t="shared" si="185"/>
        <v>1187</v>
      </c>
      <c r="BU48" s="206">
        <f t="shared" si="185"/>
        <v>171</v>
      </c>
      <c r="BV48" s="206">
        <f t="shared" si="185"/>
        <v>241</v>
      </c>
      <c r="BW48" s="206">
        <f t="shared" ref="BW48:BZ48" si="186">BW473</f>
        <v>272</v>
      </c>
      <c r="BX48" s="206">
        <f t="shared" si="186"/>
        <v>430</v>
      </c>
      <c r="BY48" s="206">
        <f t="shared" si="186"/>
        <v>1114</v>
      </c>
      <c r="BZ48" s="206">
        <f t="shared" si="186"/>
        <v>130</v>
      </c>
      <c r="CA48" s="206">
        <f t="shared" ref="CA48:CB48" si="187">CA473</f>
        <v>166</v>
      </c>
      <c r="CB48" s="206">
        <f t="shared" si="187"/>
        <v>215</v>
      </c>
      <c r="CC48" s="206">
        <f t="shared" ref="CC48" si="188">CC473</f>
        <v>302</v>
      </c>
      <c r="CD48" s="206">
        <f t="shared" ref="CD48:CI48" si="189">CD473</f>
        <v>813</v>
      </c>
      <c r="CE48" s="206">
        <f t="shared" si="189"/>
        <v>1169.1711871344103</v>
      </c>
      <c r="CF48" s="206">
        <f t="shared" si="189"/>
        <v>1199.4569589834009</v>
      </c>
      <c r="CG48" s="206">
        <f t="shared" si="189"/>
        <v>1233.0654208185015</v>
      </c>
      <c r="CH48" s="206">
        <f t="shared" si="189"/>
        <v>1270.3482867987418</v>
      </c>
      <c r="CI48" s="206">
        <f t="shared" si="189"/>
        <v>1311.0181441182078</v>
      </c>
      <c r="CJ48" s="206">
        <f t="shared" ref="CJ48:CL48" si="190">CJ473</f>
        <v>1351.6338799978996</v>
      </c>
      <c r="CK48" s="206">
        <f t="shared" si="190"/>
        <v>1392.2826707675792</v>
      </c>
      <c r="CL48" s="206">
        <f t="shared" si="190"/>
        <v>1433.0492427206093</v>
      </c>
      <c r="CM48" s="206">
        <f t="shared" ref="CM48" si="191">CM473</f>
        <v>1608.0176021326579</v>
      </c>
      <c r="CN48" s="195"/>
      <c r="CO48" s="195"/>
      <c r="CP48" s="195"/>
      <c r="CQ48" s="195"/>
      <c r="CR48" s="195"/>
      <c r="CS48" s="196"/>
      <c r="CT48" s="196"/>
      <c r="CU48" s="196"/>
      <c r="CV48" s="196"/>
    </row>
    <row r="49" spans="1:114">
      <c r="A49" s="195" t="s">
        <v>0</v>
      </c>
      <c r="B49" s="207"/>
      <c r="C49" s="207"/>
      <c r="D49" s="207"/>
      <c r="E49" s="207"/>
      <c r="F49" s="207"/>
      <c r="G49" s="207">
        <f t="shared" ref="G49:L49" si="192">G48/B48-1</f>
        <v>-0.28576512455516023</v>
      </c>
      <c r="H49" s="207">
        <f t="shared" si="192"/>
        <v>0.21725731895223466</v>
      </c>
      <c r="I49" s="207">
        <f t="shared" si="192"/>
        <v>0.16374269005847952</v>
      </c>
      <c r="J49" s="207">
        <f t="shared" si="192"/>
        <v>0.49230769230769234</v>
      </c>
      <c r="K49" s="207">
        <f t="shared" si="192"/>
        <v>0.486284289276808</v>
      </c>
      <c r="L49" s="207">
        <f t="shared" si="192"/>
        <v>-0.26507224713502742</v>
      </c>
      <c r="M49" s="207">
        <f t="shared" ref="M49:BD49" si="193">M48/H48-1</f>
        <v>-0.14556962025316456</v>
      </c>
      <c r="N49" s="207">
        <f t="shared" si="193"/>
        <v>0.54271356783919589</v>
      </c>
      <c r="O49" s="207">
        <f t="shared" si="193"/>
        <v>0.68041237113402064</v>
      </c>
      <c r="P49" s="207">
        <f t="shared" si="193"/>
        <v>-0.13926174496644295</v>
      </c>
      <c r="Q49" s="207">
        <f t="shared" si="193"/>
        <v>1.4474576271186441</v>
      </c>
      <c r="R49" s="207">
        <f t="shared" si="193"/>
        <v>0.90370370370370368</v>
      </c>
      <c r="S49" s="207">
        <f t="shared" si="193"/>
        <v>-0.26710097719869708</v>
      </c>
      <c r="T49" s="207">
        <f t="shared" si="193"/>
        <v>-0.53987730061349692</v>
      </c>
      <c r="U49" s="207">
        <f t="shared" si="193"/>
        <v>-0.45029239766081874</v>
      </c>
      <c r="V49" s="207">
        <f t="shared" si="193"/>
        <v>-0.3150969529085873</v>
      </c>
      <c r="W49" s="207">
        <f t="shared" si="193"/>
        <v>-0.69649805447470814</v>
      </c>
      <c r="X49" s="207">
        <f t="shared" si="193"/>
        <v>-0.21777777777777774</v>
      </c>
      <c r="Y49" s="207">
        <f t="shared" si="193"/>
        <v>-0.35555555555555551</v>
      </c>
      <c r="Z49" s="207">
        <f t="shared" si="193"/>
        <v>1.0957446808510638</v>
      </c>
      <c r="AA49" s="207">
        <f t="shared" si="193"/>
        <v>1.0111223458038054E-3</v>
      </c>
      <c r="AB49" s="207">
        <f t="shared" si="193"/>
        <v>1.4487179487179489</v>
      </c>
      <c r="AC49" s="207">
        <f t="shared" si="193"/>
        <v>0.22727272727272729</v>
      </c>
      <c r="AD49" s="207">
        <f t="shared" si="193"/>
        <v>-2.7586206896551779E-2</v>
      </c>
      <c r="AE49" s="207">
        <f t="shared" si="193"/>
        <v>-0.54822335025380708</v>
      </c>
      <c r="AF49" s="207">
        <f t="shared" si="193"/>
        <v>-0.1767676767676768</v>
      </c>
      <c r="AG49" s="207">
        <f t="shared" si="193"/>
        <v>-0.38219895287958117</v>
      </c>
      <c r="AH49" s="207">
        <f t="shared" si="193"/>
        <v>-0.28240740740740744</v>
      </c>
      <c r="AI49" s="207">
        <f t="shared" si="193"/>
        <v>1.3900709219858154</v>
      </c>
      <c r="AJ49" s="207">
        <f t="shared" si="193"/>
        <v>0.98501872659176026</v>
      </c>
      <c r="AK49" s="207">
        <f t="shared" si="193"/>
        <v>0.39877300613496924</v>
      </c>
      <c r="AL49" s="207">
        <f t="shared" si="193"/>
        <v>0.23728813559322037</v>
      </c>
      <c r="AM49" s="207">
        <f t="shared" si="193"/>
        <v>0.67741935483870974</v>
      </c>
      <c r="AN49" s="207">
        <f t="shared" si="193"/>
        <v>6.5281899109792318E-2</v>
      </c>
      <c r="AO49" s="207">
        <f t="shared" si="193"/>
        <v>1.6981132075471805E-2</v>
      </c>
      <c r="AP49" s="207">
        <f t="shared" si="193"/>
        <v>0.14385964912280702</v>
      </c>
      <c r="AQ49" s="207">
        <f t="shared" si="193"/>
        <v>8.9041095890410871E-2</v>
      </c>
      <c r="AR49" s="207">
        <f t="shared" si="193"/>
        <v>0.28076923076923066</v>
      </c>
      <c r="AS49" s="207">
        <f t="shared" si="193"/>
        <v>-0.30640668523676884</v>
      </c>
      <c r="AT49" s="207">
        <f t="shared" si="193"/>
        <v>-0.16883116883116878</v>
      </c>
      <c r="AU49" s="207">
        <f t="shared" si="193"/>
        <v>-8.8190184049079745E-2</v>
      </c>
      <c r="AV49" s="207">
        <f t="shared" si="193"/>
        <v>1.8867924528301883E-2</v>
      </c>
      <c r="AW49" s="207">
        <f t="shared" si="193"/>
        <v>-0.36636636636636633</v>
      </c>
      <c r="AX49" s="207">
        <f t="shared" si="193"/>
        <v>9.6385542168674787E-2</v>
      </c>
      <c r="AY49" s="207">
        <f t="shared" si="193"/>
        <v>-0.1473214285714286</v>
      </c>
      <c r="AZ49" s="207">
        <f t="shared" si="193"/>
        <v>-0.13540790580319595</v>
      </c>
      <c r="BA49" s="207">
        <f t="shared" si="193"/>
        <v>-0.33950617283950613</v>
      </c>
      <c r="BB49" s="207">
        <f t="shared" si="193"/>
        <v>4.7393364928909332E-3</v>
      </c>
      <c r="BC49" s="207">
        <f t="shared" si="193"/>
        <v>-0.2857142857142857</v>
      </c>
      <c r="BD49" s="207">
        <f t="shared" si="193"/>
        <v>0.37172774869109948</v>
      </c>
      <c r="BE49" s="207">
        <f t="shared" ref="BE49:CC49" si="194">BE48/AZ48-1</f>
        <v>9.7276264591439343E-3</v>
      </c>
      <c r="BF49" s="207">
        <f t="shared" si="194"/>
        <v>0.18691588785046731</v>
      </c>
      <c r="BG49" s="207">
        <f t="shared" si="194"/>
        <v>0.25943396226415105</v>
      </c>
      <c r="BH49" s="207">
        <f t="shared" si="194"/>
        <v>0.24102564102564106</v>
      </c>
      <c r="BI49" s="207">
        <f t="shared" si="194"/>
        <v>0.10114503816793885</v>
      </c>
      <c r="BJ49" s="207">
        <f>BJ48/BE48-1</f>
        <v>0.16859344894026984</v>
      </c>
      <c r="BK49" s="207">
        <f t="shared" si="194"/>
        <v>0.2834645669291338</v>
      </c>
      <c r="BL49" s="207">
        <f t="shared" si="194"/>
        <v>-2.9962546816479363E-2</v>
      </c>
      <c r="BM49" s="207">
        <f t="shared" si="194"/>
        <v>0.31818181818181812</v>
      </c>
      <c r="BN49" s="207">
        <f t="shared" si="194"/>
        <v>-0.12651646447140386</v>
      </c>
      <c r="BO49" s="207">
        <f>BO48/BJ48-1</f>
        <v>2.638087386644683E-2</v>
      </c>
      <c r="BP49" s="207">
        <f t="shared" si="194"/>
        <v>-0.16564417177914115</v>
      </c>
      <c r="BQ49" s="207">
        <f t="shared" si="194"/>
        <v>-0.30501930501930496</v>
      </c>
      <c r="BR49" s="207">
        <f t="shared" si="194"/>
        <v>-0.14106583072100309</v>
      </c>
      <c r="BS49" s="207">
        <f t="shared" si="194"/>
        <v>0.18452380952380953</v>
      </c>
      <c r="BT49" s="207">
        <f>BT48/BO48-1</f>
        <v>-4.6586345381526062E-2</v>
      </c>
      <c r="BU49" s="207">
        <f t="shared" si="194"/>
        <v>0.25735294117647056</v>
      </c>
      <c r="BV49" s="207">
        <f t="shared" si="194"/>
        <v>0.3388888888888888</v>
      </c>
      <c r="BW49" s="207">
        <f t="shared" si="194"/>
        <v>-7.2992700729926918E-3</v>
      </c>
      <c r="BX49" s="207">
        <f t="shared" si="194"/>
        <v>-0.27973199329983245</v>
      </c>
      <c r="BY49" s="207">
        <f>BY48/BT48-1</f>
        <v>-6.1499578770008445E-2</v>
      </c>
      <c r="BZ49" s="207">
        <f t="shared" si="194"/>
        <v>-0.23976608187134507</v>
      </c>
      <c r="CA49" s="207">
        <f t="shared" si="194"/>
        <v>-0.31120331950207469</v>
      </c>
      <c r="CB49" s="207">
        <f t="shared" si="194"/>
        <v>-0.2095588235294118</v>
      </c>
      <c r="CC49" s="207">
        <f t="shared" si="194"/>
        <v>-0.29767441860465116</v>
      </c>
      <c r="CD49" s="207">
        <f>CD48/BY48-1</f>
        <v>-0.27019748653500897</v>
      </c>
      <c r="CE49" s="207">
        <f t="shared" ref="CE49:CI49" si="195">CE48/CD48-1</f>
        <v>0.4380949411247359</v>
      </c>
      <c r="CF49" s="207">
        <f t="shared" si="195"/>
        <v>2.5903624877396947E-2</v>
      </c>
      <c r="CG49" s="207">
        <f t="shared" si="195"/>
        <v>2.8019731415444449E-2</v>
      </c>
      <c r="CH49" s="207">
        <f t="shared" si="195"/>
        <v>3.023591883348109E-2</v>
      </c>
      <c r="CI49" s="207">
        <f t="shared" si="195"/>
        <v>3.2014729930445629E-2</v>
      </c>
      <c r="CJ49" s="207">
        <f t="shared" ref="CJ49" si="196">CJ48/CI48-1</f>
        <v>3.0980300358093071E-2</v>
      </c>
      <c r="CK49" s="207">
        <f t="shared" ref="CK49" si="197">CK48/CJ48-1</f>
        <v>3.0073817600475339E-2</v>
      </c>
      <c r="CL49" s="207">
        <f t="shared" ref="CL49:CM49" si="198">CL48/CK48-1</f>
        <v>2.9280384514557722E-2</v>
      </c>
      <c r="CM49" s="207">
        <f t="shared" si="198"/>
        <v>0.12209514802148425</v>
      </c>
      <c r="CN49" s="195"/>
      <c r="CO49" s="195"/>
      <c r="CP49" s="195"/>
      <c r="CQ49" s="195"/>
      <c r="CR49" s="195"/>
      <c r="CS49" s="196"/>
      <c r="CT49" s="196"/>
      <c r="CU49" s="196"/>
      <c r="CV49" s="196"/>
    </row>
    <row r="50" spans="1:114">
      <c r="A50" s="195" t="s">
        <v>158</v>
      </c>
      <c r="B50" s="207">
        <f>B48/B30</f>
        <v>0.14616384915474642</v>
      </c>
      <c r="C50" s="207"/>
      <c r="D50" s="207"/>
      <c r="E50" s="207"/>
      <c r="F50" s="207">
        <f t="shared" ref="F50:CG50" si="199">F48/F30</f>
        <v>0.18194192377495463</v>
      </c>
      <c r="G50" s="207">
        <f t="shared" si="199"/>
        <v>9.5007041503449741E-2</v>
      </c>
      <c r="H50" s="207">
        <f t="shared" si="199"/>
        <v>7.4213245655237195E-2</v>
      </c>
      <c r="I50" s="207">
        <f t="shared" si="199"/>
        <v>9.4045368620037803E-2</v>
      </c>
      <c r="J50" s="207">
        <f t="shared" si="199"/>
        <v>0.13497217068645639</v>
      </c>
      <c r="K50" s="207">
        <f t="shared" si="199"/>
        <v>0.26956128448665762</v>
      </c>
      <c r="L50" s="207">
        <f t="shared" si="199"/>
        <v>6.8509057129586617E-2</v>
      </c>
      <c r="M50" s="207">
        <f t="shared" si="199"/>
        <v>6.2732342007434938E-2</v>
      </c>
      <c r="N50" s="207">
        <f t="shared" si="199"/>
        <v>0.1401186672752168</v>
      </c>
      <c r="O50" s="207">
        <f t="shared" si="199"/>
        <v>0.22066787003610108</v>
      </c>
      <c r="P50" s="207">
        <f t="shared" si="199"/>
        <v>0.22207792207792207</v>
      </c>
      <c r="Q50" s="207">
        <f t="shared" si="199"/>
        <v>0.16281429698951405</v>
      </c>
      <c r="R50" s="207">
        <f t="shared" si="199"/>
        <v>0.12048757618377871</v>
      </c>
      <c r="S50" s="207">
        <f t="shared" si="199"/>
        <v>0.10426320667284522</v>
      </c>
      <c r="T50" s="207">
        <f t="shared" si="199"/>
        <v>0.10026737967914438</v>
      </c>
      <c r="U50" s="207">
        <f t="shared" si="199"/>
        <v>0.12544483985765126</v>
      </c>
      <c r="V50" s="207">
        <f t="shared" si="199"/>
        <v>0.11260389388591598</v>
      </c>
      <c r="W50" s="207">
        <f t="shared" si="199"/>
        <v>3.6533957845433257E-2</v>
      </c>
      <c r="X50" s="207">
        <f t="shared" si="199"/>
        <v>7.9172289698605486E-2</v>
      </c>
      <c r="Y50" s="207">
        <f t="shared" si="199"/>
        <v>6.5433212996389892E-2</v>
      </c>
      <c r="Z50" s="207">
        <f t="shared" si="199"/>
        <v>0.25628794449262793</v>
      </c>
      <c r="AA50" s="207">
        <f t="shared" si="199"/>
        <v>0.11148648648648649</v>
      </c>
      <c r="AB50" s="207">
        <f t="shared" si="199"/>
        <v>8.2079931241942419E-2</v>
      </c>
      <c r="AC50" s="207">
        <f t="shared" si="199"/>
        <v>9.4117647058823528E-2</v>
      </c>
      <c r="AD50" s="207">
        <f t="shared" si="199"/>
        <v>6.2974542206342118E-2</v>
      </c>
      <c r="AE50" s="207">
        <f t="shared" si="199"/>
        <v>0.12005395683453238</v>
      </c>
      <c r="AF50" s="207">
        <f t="shared" si="199"/>
        <v>9.0270981302055353E-2</v>
      </c>
      <c r="AG50" s="207">
        <f t="shared" si="199"/>
        <v>5.5686644643699858E-2</v>
      </c>
      <c r="AH50" s="207">
        <f t="shared" si="199"/>
        <v>7.4447646493756001E-2</v>
      </c>
      <c r="AI50" s="207">
        <f t="shared" si="199"/>
        <v>0.16319612590799032</v>
      </c>
      <c r="AJ50" s="207">
        <f t="shared" si="199"/>
        <v>0.24964672633066415</v>
      </c>
      <c r="AK50" s="207">
        <f t="shared" si="199"/>
        <v>0.13564969062351262</v>
      </c>
      <c r="AL50" s="207">
        <f t="shared" si="199"/>
        <v>6.7938576081898558E-2</v>
      </c>
      <c r="AM50" s="207">
        <f t="shared" si="199"/>
        <v>0.12322274881516587</v>
      </c>
      <c r="AN50" s="207">
        <f t="shared" si="199"/>
        <v>0.16574330563250231</v>
      </c>
      <c r="AO50" s="207">
        <f t="shared" si="199"/>
        <v>0.24770220588235295</v>
      </c>
      <c r="AP50" s="207">
        <f t="shared" si="199"/>
        <v>0.15161027787466574</v>
      </c>
      <c r="AQ50" s="207">
        <f t="shared" si="199"/>
        <v>7.429906542056075E-2</v>
      </c>
      <c r="AR50" s="207">
        <f t="shared" si="199"/>
        <v>0.15842055185537585</v>
      </c>
      <c r="AS50" s="207">
        <f t="shared" si="199"/>
        <v>0.11549165120593692</v>
      </c>
      <c r="AT50" s="207">
        <f t="shared" si="199"/>
        <v>0.20234869015356821</v>
      </c>
      <c r="AU50" s="207">
        <f t="shared" si="199"/>
        <v>0.13806316767301441</v>
      </c>
      <c r="AV50" s="207">
        <f t="shared" si="199"/>
        <v>6.8210526315789471E-2</v>
      </c>
      <c r="AW50" s="207">
        <f t="shared" si="199"/>
        <v>9.036402569593148E-2</v>
      </c>
      <c r="AX50" s="207">
        <f t="shared" si="199"/>
        <v>0.11701671667381054</v>
      </c>
      <c r="AY50" s="207">
        <f t="shared" si="199"/>
        <v>0.16077441077441076</v>
      </c>
      <c r="AZ50" s="207">
        <f t="shared" si="199"/>
        <v>0.10914109778108079</v>
      </c>
      <c r="BA50" s="207">
        <f t="shared" si="199"/>
        <v>4.7831917746982568E-2</v>
      </c>
      <c r="BB50" s="207">
        <f t="shared" si="199"/>
        <v>9.4390026714158498E-2</v>
      </c>
      <c r="BC50" s="207">
        <f t="shared" si="199"/>
        <v>8.6130742049469966E-2</v>
      </c>
      <c r="BD50" s="207">
        <f t="shared" si="199"/>
        <v>0.21431492842535788</v>
      </c>
      <c r="BE50" s="207">
        <f t="shared" si="199"/>
        <v>0.1129242819843342</v>
      </c>
      <c r="BF50" s="207">
        <f t="shared" si="199"/>
        <v>5.6899641577060935E-2</v>
      </c>
      <c r="BG50" s="207">
        <f t="shared" si="199"/>
        <v>0.12103354487760652</v>
      </c>
      <c r="BH50" s="207">
        <f t="shared" si="199"/>
        <v>0.10590809628008753</v>
      </c>
      <c r="BI50" s="207">
        <f t="shared" si="199"/>
        <v>0.22277992277992278</v>
      </c>
      <c r="BJ50" s="207">
        <f t="shared" si="199"/>
        <v>0.13024804037367121</v>
      </c>
      <c r="BK50" s="207">
        <f t="shared" ref="BK50:BV50" si="200">BK48/BK30</f>
        <v>6.9628363947031188E-2</v>
      </c>
      <c r="BL50" s="207">
        <f t="shared" si="200"/>
        <v>0.1204091120409112</v>
      </c>
      <c r="BM50" s="207">
        <f t="shared" si="200"/>
        <v>0.14414821509263442</v>
      </c>
      <c r="BN50" s="207">
        <f t="shared" si="200"/>
        <v>0.22291021671826625</v>
      </c>
      <c r="BO50" s="207">
        <f t="shared" si="200"/>
        <v>0.13885790765112649</v>
      </c>
      <c r="BP50" s="207">
        <f t="shared" si="200"/>
        <v>6.0714285714285714E-2</v>
      </c>
      <c r="BQ50" s="207">
        <f t="shared" si="200"/>
        <v>7.9155672823219003E-2</v>
      </c>
      <c r="BR50" s="207">
        <f t="shared" si="200"/>
        <v>0.12065169528841919</v>
      </c>
      <c r="BS50" s="207">
        <f t="shared" si="200"/>
        <v>0.24307817589576547</v>
      </c>
      <c r="BT50" s="207">
        <f t="shared" si="200"/>
        <v>0.12844930202359053</v>
      </c>
      <c r="BU50" s="207">
        <f t="shared" si="200"/>
        <v>7.1072319201995013E-2</v>
      </c>
      <c r="BV50" s="207">
        <f t="shared" si="200"/>
        <v>9.9422442244224418E-2</v>
      </c>
      <c r="BW50" s="207">
        <f t="shared" ref="BW50:BZ50" si="201">BW48/BW30</f>
        <v>0.1130977130977131</v>
      </c>
      <c r="BX50" s="207">
        <f t="shared" si="201"/>
        <v>0.16836335160532498</v>
      </c>
      <c r="BY50" s="207">
        <f t="shared" si="201"/>
        <v>0.11380120543467157</v>
      </c>
      <c r="BZ50" s="207">
        <f t="shared" si="201"/>
        <v>5.1464766429136978E-2</v>
      </c>
      <c r="CA50" s="207">
        <f t="shared" ref="CA50:CB50" si="202">CA48/CA30</f>
        <v>6.7206477732793521E-2</v>
      </c>
      <c r="CB50" s="207">
        <f t="shared" si="202"/>
        <v>8.8042588042588049E-2</v>
      </c>
      <c r="CC50" s="207">
        <f t="shared" ref="CC50" si="203">CC48/CC30</f>
        <v>0.11013858497447118</v>
      </c>
      <c r="CD50" s="207">
        <f t="shared" si="199"/>
        <v>7.9862475442043224E-2</v>
      </c>
      <c r="CE50" s="207">
        <f t="shared" si="199"/>
        <v>0.11</v>
      </c>
      <c r="CF50" s="207">
        <f t="shared" si="199"/>
        <v>0.11000000000000001</v>
      </c>
      <c r="CG50" s="207">
        <f t="shared" si="199"/>
        <v>0.10999999999999999</v>
      </c>
      <c r="CH50" s="207">
        <f>CH48/CH30</f>
        <v>0.11</v>
      </c>
      <c r="CI50" s="207">
        <f>CI48/CI30</f>
        <v>0.11000000000000001</v>
      </c>
      <c r="CJ50" s="207">
        <f t="shared" ref="CJ50:CL50" si="204">CJ48/CJ30</f>
        <v>0.11</v>
      </c>
      <c r="CK50" s="207">
        <f t="shared" si="204"/>
        <v>0.11</v>
      </c>
      <c r="CL50" s="207">
        <f t="shared" si="204"/>
        <v>0.11000000000000001</v>
      </c>
      <c r="CM50" s="207">
        <f t="shared" ref="CM50" si="205">CM48/CM30</f>
        <v>0.12</v>
      </c>
      <c r="CN50" s="195"/>
      <c r="CO50" s="195"/>
      <c r="CP50" s="195"/>
      <c r="CQ50" s="195"/>
      <c r="CR50" s="195"/>
      <c r="CS50" s="222"/>
      <c r="CT50" s="222"/>
      <c r="CU50" s="222"/>
      <c r="CV50" s="222"/>
    </row>
    <row r="51" spans="1:114">
      <c r="A51" s="195" t="s">
        <v>541</v>
      </c>
      <c r="B51" s="207">
        <f t="shared" ref="B51:AG51" si="206">B473/B438</f>
        <v>1.2572706935123044</v>
      </c>
      <c r="C51" s="207" t="e">
        <f t="shared" si="206"/>
        <v>#DIV/0!</v>
      </c>
      <c r="D51" s="207" t="e">
        <f t="shared" si="206"/>
        <v>#DIV/0!</v>
      </c>
      <c r="E51" s="207" t="e">
        <f t="shared" si="206"/>
        <v>#DIV/0!</v>
      </c>
      <c r="F51" s="207" t="e">
        <f t="shared" si="206"/>
        <v>#DIV/0!</v>
      </c>
      <c r="G51" s="207">
        <f t="shared" si="206"/>
        <v>0.67337695017614485</v>
      </c>
      <c r="H51" s="207" t="e">
        <f t="shared" si="206"/>
        <v>#DIV/0!</v>
      </c>
      <c r="I51" s="207" t="e">
        <f t="shared" si="206"/>
        <v>#DIV/0!</v>
      </c>
      <c r="J51" s="207">
        <f t="shared" si="206"/>
        <v>1.0467625899280575</v>
      </c>
      <c r="K51" s="207">
        <f t="shared" si="206"/>
        <v>2.1209964412811386</v>
      </c>
      <c r="L51" s="207">
        <f t="shared" si="206"/>
        <v>0.50643776824034337</v>
      </c>
      <c r="M51" s="207">
        <f t="shared" si="206"/>
        <v>0.5056179775280899</v>
      </c>
      <c r="N51" s="207">
        <f t="shared" si="206"/>
        <v>1.2134387351778657</v>
      </c>
      <c r="O51" s="207">
        <f t="shared" si="206"/>
        <v>1.7846715328467153</v>
      </c>
      <c r="P51" s="207">
        <f t="shared" si="206"/>
        <v>1.8387096774193548</v>
      </c>
      <c r="Q51" s="207">
        <f t="shared" si="206"/>
        <v>1.3457595526561044</v>
      </c>
      <c r="R51" s="207">
        <f t="shared" si="206"/>
        <v>0.90175438596491231</v>
      </c>
      <c r="S51" s="207">
        <f t="shared" si="206"/>
        <v>0.78125</v>
      </c>
      <c r="T51" s="207">
        <f t="shared" si="206"/>
        <v>0.72815533980582525</v>
      </c>
      <c r="U51" s="207">
        <f t="shared" si="206"/>
        <v>0.91262135922330101</v>
      </c>
      <c r="V51" s="207">
        <f t="shared" si="206"/>
        <v>0.83039462636439965</v>
      </c>
      <c r="W51" s="207">
        <f t="shared" si="206"/>
        <v>0.26440677966101694</v>
      </c>
      <c r="X51" s="207">
        <f t="shared" si="206"/>
        <v>0.60899653979238755</v>
      </c>
      <c r="Y51" s="207">
        <f t="shared" si="206"/>
        <v>0.5017301038062284</v>
      </c>
      <c r="Z51" s="207">
        <f t="shared" si="206"/>
        <v>1.2085889570552146</v>
      </c>
      <c r="AA51" s="207">
        <f t="shared" si="206"/>
        <v>0.72687224669603523</v>
      </c>
      <c r="AB51" s="207">
        <f t="shared" si="206"/>
        <v>0.51621621621621616</v>
      </c>
      <c r="AC51" s="207">
        <f t="shared" si="206"/>
        <v>0.63529411764705879</v>
      </c>
      <c r="AD51" s="207">
        <f t="shared" si="206"/>
        <v>0.46534653465346537</v>
      </c>
      <c r="AE51" s="207">
        <f t="shared" si="206"/>
        <v>0.75637393767705385</v>
      </c>
      <c r="AF51" s="207">
        <f t="shared" si="206"/>
        <v>0.59663250366032206</v>
      </c>
      <c r="AG51" s="207">
        <f t="shared" si="206"/>
        <v>0.35542168674698793</v>
      </c>
      <c r="AH51" s="207">
        <f t="shared" ref="AH51:BJ51" si="207">AH473/AH438</f>
        <v>0.46268656716417911</v>
      </c>
      <c r="AI51" s="207">
        <f t="shared" si="207"/>
        <v>1.0337423312883436</v>
      </c>
      <c r="AJ51" s="207">
        <f t="shared" si="207"/>
        <v>1.2211981566820276</v>
      </c>
      <c r="AK51" s="207">
        <f t="shared" si="207"/>
        <v>0.79887876664330759</v>
      </c>
      <c r="AL51" s="207">
        <f t="shared" si="207"/>
        <v>0.60082304526748975</v>
      </c>
      <c r="AM51" s="207">
        <f t="shared" si="207"/>
        <v>1.0743801652892562</v>
      </c>
      <c r="AN51" s="207">
        <f t="shared" si="207"/>
        <v>1.4534412955465588</v>
      </c>
      <c r="AO51" s="207">
        <f t="shared" si="207"/>
        <v>2.0810810810810811</v>
      </c>
      <c r="AP51" s="207">
        <f t="shared" si="207"/>
        <v>1.3158425832492431</v>
      </c>
      <c r="AQ51" s="207">
        <f t="shared" si="207"/>
        <v>0.58029197080291972</v>
      </c>
      <c r="AR51" s="207">
        <f t="shared" si="207"/>
        <v>1.2957198443579767</v>
      </c>
      <c r="AS51" s="207">
        <f t="shared" si="207"/>
        <v>0.93962264150943398</v>
      </c>
      <c r="AT51" s="207">
        <f t="shared" si="207"/>
        <v>1.75</v>
      </c>
      <c r="AU51" s="207">
        <f t="shared" si="207"/>
        <v>1.1302281368821292</v>
      </c>
      <c r="AV51" s="207">
        <f t="shared" si="207"/>
        <v>0.67500000000000004</v>
      </c>
      <c r="AW51" s="207">
        <f t="shared" si="207"/>
        <v>0.88655462184873945</v>
      </c>
      <c r="AX51" s="207">
        <f t="shared" si="207"/>
        <v>1.0340909090909092</v>
      </c>
      <c r="AY51" s="207">
        <f t="shared" si="207"/>
        <v>1.3691756272401434</v>
      </c>
      <c r="AZ51" s="207">
        <f t="shared" si="207"/>
        <v>1.0068560235063664</v>
      </c>
      <c r="BA51" s="207">
        <f t="shared" si="207"/>
        <v>0.4553191489361702</v>
      </c>
      <c r="BB51" s="207">
        <f t="shared" si="207"/>
        <v>0.79104477611940294</v>
      </c>
      <c r="BC51" s="207">
        <f t="shared" si="207"/>
        <v>0.75</v>
      </c>
      <c r="BD51" s="207">
        <f t="shared" si="207"/>
        <v>1.7180327868852459</v>
      </c>
      <c r="BE51" s="207">
        <f t="shared" si="207"/>
        <v>0.9719101123595506</v>
      </c>
      <c r="BF51" s="207">
        <f t="shared" si="207"/>
        <v>0.39318885448916407</v>
      </c>
      <c r="BG51" s="207">
        <f t="shared" si="207"/>
        <v>0.82662538699690402</v>
      </c>
      <c r="BH51" s="207">
        <f t="shared" si="207"/>
        <v>0.64533333333333331</v>
      </c>
      <c r="BI51" s="207">
        <f t="shared" si="207"/>
        <v>1.6117318435754191</v>
      </c>
      <c r="BJ51" s="207">
        <f t="shared" si="207"/>
        <v>0.87962291515591007</v>
      </c>
      <c r="BK51" s="207">
        <f t="shared" ref="BK51:BV51" si="208">BK473/BK438</f>
        <v>0.45915492957746479</v>
      </c>
      <c r="BL51" s="207">
        <f t="shared" si="208"/>
        <v>0.72549019607843135</v>
      </c>
      <c r="BM51" s="207">
        <f t="shared" si="208"/>
        <v>0.94100294985250732</v>
      </c>
      <c r="BN51" s="207">
        <f t="shared" si="208"/>
        <v>1.3922651933701657</v>
      </c>
      <c r="BO51" s="207">
        <f t="shared" si="208"/>
        <v>0.88110403397027603</v>
      </c>
      <c r="BP51" s="207">
        <f t="shared" si="208"/>
        <v>0.35233160621761656</v>
      </c>
      <c r="BQ51" s="207">
        <f t="shared" si="208"/>
        <v>0.4580152671755725</v>
      </c>
      <c r="BR51" s="207">
        <f t="shared" si="208"/>
        <v>0.74254742547425479</v>
      </c>
      <c r="BS51" s="207">
        <f t="shared" si="208"/>
        <v>1.6048387096774193</v>
      </c>
      <c r="BT51" s="207">
        <f t="shared" si="208"/>
        <v>0.78092105263157896</v>
      </c>
      <c r="BU51" s="207">
        <f t="shared" si="208"/>
        <v>0.48857142857142855</v>
      </c>
      <c r="BV51" s="207">
        <f t="shared" si="208"/>
        <v>0.70262390670553931</v>
      </c>
      <c r="BW51" s="207">
        <f t="shared" ref="BW51:BZ51" si="209">BW473/BW438</f>
        <v>0.79300291545189505</v>
      </c>
      <c r="BX51" s="207">
        <f t="shared" si="209"/>
        <v>1.1559139784946237</v>
      </c>
      <c r="BY51" s="207">
        <f t="shared" si="209"/>
        <v>0.79119318181818177</v>
      </c>
      <c r="BZ51" s="207">
        <f t="shared" si="209"/>
        <v>0.37249283667621774</v>
      </c>
      <c r="CA51" s="207">
        <f t="shared" ref="CA51:CB51" si="210">CA473/CA438</f>
        <v>0.47976878612716761</v>
      </c>
      <c r="CB51" s="207">
        <f t="shared" si="210"/>
        <v>0.61428571428571432</v>
      </c>
      <c r="CC51" s="207">
        <f t="shared" ref="CC51" si="211">CC473/CC438</f>
        <v>0.62916666666666665</v>
      </c>
      <c r="CD51" s="207">
        <f t="shared" ref="CD51:CI51" si="212">CD473/CD438</f>
        <v>0.53311475409836062</v>
      </c>
      <c r="CE51" s="207">
        <f t="shared" si="212"/>
        <v>0.80298106402101432</v>
      </c>
      <c r="CF51" s="207">
        <f t="shared" si="212"/>
        <v>0.87014366673758647</v>
      </c>
      <c r="CG51" s="207">
        <f t="shared" si="212"/>
        <v>0.92708221502587018</v>
      </c>
      <c r="CH51" s="207">
        <f t="shared" si="212"/>
        <v>0.97432687163627696</v>
      </c>
      <c r="CI51" s="207">
        <f t="shared" si="212"/>
        <v>1.0125498065027174</v>
      </c>
      <c r="CJ51" s="207">
        <f t="shared" ref="CJ51:CL51" si="213">CJ473/CJ438</f>
        <v>1.040387884549997</v>
      </c>
      <c r="CK51" s="207">
        <f t="shared" si="213"/>
        <v>1.0600974904509874</v>
      </c>
      <c r="CL51" s="207">
        <f t="shared" si="213"/>
        <v>1.0736872927031282</v>
      </c>
      <c r="CM51" s="207">
        <f t="shared" ref="CM51" si="214">CM473/CM438</f>
        <v>1.1812397385019571</v>
      </c>
      <c r="CN51" s="195"/>
      <c r="CO51" s="195"/>
      <c r="CP51" s="195"/>
      <c r="CQ51" s="195"/>
      <c r="CR51" s="195"/>
      <c r="CS51" s="222"/>
      <c r="CT51" s="222"/>
      <c r="CU51" s="222"/>
      <c r="CV51" s="222"/>
    </row>
    <row r="52" spans="1:114">
      <c r="A52" s="208" t="s">
        <v>763</v>
      </c>
      <c r="B52" s="208"/>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17"/>
      <c r="AG52" s="217"/>
      <c r="AH52" s="217"/>
      <c r="AI52" s="217"/>
      <c r="AJ52" s="217"/>
      <c r="AK52" s="217"/>
      <c r="AL52" s="217"/>
      <c r="AM52" s="217"/>
      <c r="AN52" s="217"/>
      <c r="AO52" s="217"/>
      <c r="AP52" s="217"/>
      <c r="AQ52" s="217"/>
      <c r="AR52" s="217"/>
      <c r="AS52" s="217"/>
      <c r="AT52" s="217"/>
      <c r="AU52" s="210"/>
      <c r="AV52" s="217"/>
      <c r="AW52" s="217"/>
      <c r="AX52" s="217"/>
      <c r="AY52" s="217"/>
      <c r="AZ52" s="210"/>
      <c r="BA52" s="217"/>
      <c r="BB52" s="217"/>
      <c r="BC52" s="217"/>
      <c r="BD52" s="217"/>
      <c r="BE52" s="210"/>
      <c r="BF52" s="217"/>
      <c r="BG52" s="217"/>
      <c r="BH52" s="210"/>
      <c r="BI52" s="210"/>
      <c r="BJ52" s="210"/>
      <c r="BK52" s="217"/>
      <c r="BL52" s="217"/>
      <c r="BM52" s="217"/>
      <c r="BN52" s="217"/>
      <c r="BO52" s="210"/>
      <c r="BP52" s="217"/>
      <c r="BQ52" s="217"/>
      <c r="BR52" s="217"/>
      <c r="BS52" s="217"/>
      <c r="BT52" s="210"/>
      <c r="BU52" s="218"/>
      <c r="BV52" s="218"/>
      <c r="BW52" s="218"/>
      <c r="BX52" s="218"/>
      <c r="BY52" s="210"/>
      <c r="BZ52" s="218"/>
      <c r="CA52" s="218"/>
      <c r="CB52" s="218"/>
      <c r="CC52" s="218"/>
      <c r="CD52" s="443" t="s">
        <v>766</v>
      </c>
      <c r="CE52" s="210" t="s">
        <v>807</v>
      </c>
      <c r="CF52" s="210"/>
      <c r="CG52" s="210"/>
      <c r="CH52" s="210"/>
      <c r="CI52" s="210"/>
      <c r="CJ52" s="210"/>
      <c r="CK52" s="210"/>
      <c r="CL52" s="210"/>
      <c r="CM52" s="210"/>
      <c r="CN52" s="195"/>
      <c r="CO52" s="195"/>
      <c r="CP52" s="195"/>
      <c r="CQ52" s="195"/>
      <c r="CR52" s="195"/>
      <c r="CS52" s="196"/>
      <c r="CT52" s="196"/>
      <c r="CU52" s="196"/>
      <c r="CV52" s="196"/>
      <c r="DE52" s="195"/>
      <c r="DF52" s="196"/>
      <c r="DG52" s="196"/>
      <c r="DH52" s="196"/>
      <c r="DI52" s="196"/>
      <c r="DJ52" s="207"/>
    </row>
    <row r="53" spans="1:114">
      <c r="A53" s="208" t="s">
        <v>1</v>
      </c>
      <c r="B53" s="223"/>
      <c r="C53" s="223"/>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4"/>
      <c r="AV53" s="223"/>
      <c r="AW53" s="223"/>
      <c r="AX53" s="223"/>
      <c r="AY53" s="223"/>
      <c r="AZ53" s="224"/>
      <c r="BA53" s="223"/>
      <c r="BB53" s="223"/>
      <c r="BC53" s="223"/>
      <c r="BD53" s="223"/>
      <c r="BE53" s="224"/>
      <c r="BF53" s="223"/>
      <c r="BG53" s="223"/>
      <c r="BH53" s="224"/>
      <c r="BI53" s="224"/>
      <c r="BJ53" s="224"/>
      <c r="BK53" s="223"/>
      <c r="BL53" s="223"/>
      <c r="BM53" s="223"/>
      <c r="BN53" s="223"/>
      <c r="BO53" s="224"/>
      <c r="BP53" s="223"/>
      <c r="BQ53" s="223"/>
      <c r="BR53" s="223"/>
      <c r="BS53" s="223"/>
      <c r="BT53" s="224"/>
      <c r="BU53" s="223"/>
      <c r="BV53" s="223"/>
      <c r="BW53" s="223"/>
      <c r="BX53" s="223"/>
      <c r="BY53" s="224"/>
      <c r="BZ53" s="223"/>
      <c r="CA53" s="223"/>
      <c r="CB53" s="223"/>
      <c r="CC53" s="223"/>
      <c r="CD53" s="223"/>
      <c r="CE53" s="223"/>
      <c r="CF53" s="223"/>
      <c r="CG53" s="223"/>
      <c r="CH53" s="223"/>
      <c r="CI53" s="223"/>
      <c r="CJ53" s="223"/>
      <c r="CK53" s="223"/>
      <c r="CL53" s="223"/>
      <c r="CM53" s="223"/>
      <c r="CN53" s="195"/>
      <c r="CO53" s="195"/>
      <c r="CP53" s="195"/>
      <c r="CQ53" s="195"/>
      <c r="CR53" s="195"/>
      <c r="CS53" s="196"/>
      <c r="CT53" s="196"/>
      <c r="CU53" s="196"/>
      <c r="CV53" s="196"/>
    </row>
    <row r="54" spans="1:114">
      <c r="A54" s="208" t="s">
        <v>598</v>
      </c>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3"/>
      <c r="BK54" s="225"/>
      <c r="BL54" s="225"/>
      <c r="BM54" s="225"/>
      <c r="BN54" s="225"/>
      <c r="BO54" s="223"/>
      <c r="BP54" s="225"/>
      <c r="BQ54" s="225"/>
      <c r="BR54" s="225"/>
      <c r="BS54" s="225"/>
      <c r="BT54" s="223"/>
      <c r="BU54" s="225"/>
      <c r="BV54" s="225"/>
      <c r="BW54" s="225"/>
      <c r="BX54" s="225"/>
      <c r="BY54" s="223"/>
      <c r="BZ54" s="225"/>
      <c r="CA54" s="225"/>
      <c r="CB54" s="225"/>
      <c r="CC54" s="225"/>
      <c r="CD54" s="225"/>
      <c r="CE54" s="225"/>
      <c r="CF54" s="225"/>
      <c r="CG54" s="225"/>
      <c r="CH54" s="225"/>
      <c r="CI54" s="225"/>
      <c r="CJ54" s="225"/>
      <c r="CK54" s="225"/>
      <c r="CL54" s="225"/>
      <c r="CM54" s="225"/>
    </row>
    <row r="56" spans="1:114">
      <c r="A56" s="195"/>
      <c r="B56" s="195"/>
      <c r="C56" s="195"/>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226"/>
      <c r="AG56" s="226"/>
      <c r="AH56" s="226"/>
      <c r="AI56" s="226"/>
      <c r="AJ56" s="226"/>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195"/>
      <c r="CO56" s="195"/>
      <c r="CP56" s="195"/>
      <c r="CQ56" s="195"/>
      <c r="CR56" s="195"/>
      <c r="CS56" s="222"/>
      <c r="CT56" s="222"/>
      <c r="CU56" s="222"/>
      <c r="CV56" s="222"/>
    </row>
    <row r="57" spans="1:114">
      <c r="A57" s="195"/>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6"/>
      <c r="AG57" s="226"/>
      <c r="AH57" s="226"/>
      <c r="AI57" s="226"/>
      <c r="AJ57" s="226"/>
      <c r="AK57" s="227"/>
      <c r="AL57" s="227"/>
      <c r="AM57" s="227"/>
      <c r="AN57" s="227"/>
      <c r="AO57" s="227"/>
      <c r="AP57" s="195"/>
      <c r="AQ57" s="195"/>
      <c r="AR57" s="195"/>
      <c r="AS57" s="195"/>
      <c r="AT57" s="195"/>
      <c r="AU57" s="195"/>
      <c r="AV57" s="195"/>
      <c r="AW57" s="195"/>
      <c r="AX57" s="195"/>
      <c r="AY57" s="195"/>
      <c r="AZ57" s="195"/>
      <c r="BA57" s="195"/>
      <c r="BB57" s="195"/>
      <c r="BC57" s="195"/>
      <c r="BD57" s="195"/>
      <c r="BE57" s="195"/>
      <c r="BF57" s="195"/>
      <c r="BG57" s="195"/>
      <c r="BH57" s="195"/>
      <c r="BI57" s="195"/>
      <c r="BJ57" s="195"/>
      <c r="BK57" s="195"/>
      <c r="BL57" s="195"/>
      <c r="BM57" s="195"/>
      <c r="BN57" s="195"/>
      <c r="BO57" s="195"/>
      <c r="BP57" s="195"/>
      <c r="BQ57" s="195"/>
      <c r="BR57" s="195"/>
      <c r="BS57" s="195"/>
      <c r="BT57" s="195"/>
      <c r="BU57" s="195"/>
      <c r="BV57" s="195"/>
      <c r="BW57" s="195"/>
      <c r="BX57" s="195"/>
      <c r="BY57" s="195"/>
      <c r="BZ57" s="195"/>
      <c r="CA57" s="195"/>
      <c r="CB57" s="195"/>
      <c r="CC57" s="195"/>
      <c r="CD57" s="195"/>
      <c r="CE57" s="195"/>
      <c r="CF57" s="195"/>
      <c r="CG57" s="195"/>
      <c r="CH57" s="195"/>
      <c r="CI57" s="195"/>
      <c r="CJ57" s="195"/>
      <c r="CK57" s="195"/>
      <c r="CL57" s="195"/>
      <c r="CM57" s="195"/>
      <c r="CN57" s="195"/>
      <c r="CO57" s="195"/>
      <c r="CP57" s="195"/>
      <c r="CQ57" s="195"/>
      <c r="CR57" s="195"/>
      <c r="CS57" s="195"/>
      <c r="CT57" s="195"/>
      <c r="DE57" s="195"/>
      <c r="DF57" s="229"/>
    </row>
    <row r="58" spans="1:114">
      <c r="A58" s="230" t="s">
        <v>754</v>
      </c>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2"/>
      <c r="AG58" s="232"/>
      <c r="AH58" s="232"/>
      <c r="AI58" s="232"/>
      <c r="AJ58" s="232"/>
      <c r="AK58" s="233"/>
      <c r="AL58" s="233"/>
      <c r="AM58" s="233"/>
      <c r="AN58" s="233"/>
      <c r="AO58" s="233"/>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195"/>
      <c r="CO58" s="195"/>
      <c r="CP58" s="195"/>
      <c r="CQ58" s="195"/>
      <c r="CR58" s="195"/>
      <c r="CS58" s="195"/>
      <c r="CT58" s="195"/>
      <c r="DE58" s="195"/>
      <c r="DF58" s="229"/>
    </row>
    <row r="59" spans="1:114">
      <c r="A59" s="195"/>
      <c r="B59" s="228"/>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34"/>
      <c r="AG59" s="234"/>
      <c r="AH59" s="234"/>
      <c r="AI59" s="234"/>
      <c r="AJ59" s="234"/>
      <c r="AK59" s="234"/>
      <c r="AL59" s="234"/>
      <c r="AM59" s="234"/>
      <c r="AN59" s="234"/>
      <c r="AO59" s="234"/>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DE59" s="235"/>
      <c r="DF59" s="236"/>
    </row>
    <row r="60" spans="1:114">
      <c r="A60" s="237" t="s">
        <v>6</v>
      </c>
      <c r="B60" s="237">
        <f t="shared" ref="B60:AG60" si="215">B2</f>
        <v>2007</v>
      </c>
      <c r="C60" s="237" t="str">
        <f t="shared" si="215"/>
        <v>Q1</v>
      </c>
      <c r="D60" s="237" t="str">
        <f t="shared" si="215"/>
        <v>Q2</v>
      </c>
      <c r="E60" s="237" t="str">
        <f t="shared" si="215"/>
        <v>Q3</v>
      </c>
      <c r="F60" s="237" t="str">
        <f t="shared" si="215"/>
        <v>Q4</v>
      </c>
      <c r="G60" s="237">
        <f t="shared" si="215"/>
        <v>2008</v>
      </c>
      <c r="H60" s="237" t="str">
        <f t="shared" si="215"/>
        <v>Q1</v>
      </c>
      <c r="I60" s="237" t="str">
        <f t="shared" si="215"/>
        <v>Q2</v>
      </c>
      <c r="J60" s="237" t="str">
        <f t="shared" si="215"/>
        <v>Q3</v>
      </c>
      <c r="K60" s="237" t="str">
        <f t="shared" si="215"/>
        <v>Q4</v>
      </c>
      <c r="L60" s="237">
        <f t="shared" si="215"/>
        <v>2009</v>
      </c>
      <c r="M60" s="237" t="str">
        <f t="shared" si="215"/>
        <v>Q1</v>
      </c>
      <c r="N60" s="237" t="str">
        <f t="shared" si="215"/>
        <v>Q2</v>
      </c>
      <c r="O60" s="237" t="str">
        <f t="shared" si="215"/>
        <v>Q3</v>
      </c>
      <c r="P60" s="237" t="str">
        <f t="shared" si="215"/>
        <v>Q4</v>
      </c>
      <c r="Q60" s="237">
        <f t="shared" si="215"/>
        <v>2010</v>
      </c>
      <c r="R60" s="237" t="str">
        <f t="shared" si="215"/>
        <v>Q1</v>
      </c>
      <c r="S60" s="237" t="str">
        <f t="shared" si="215"/>
        <v>Q2</v>
      </c>
      <c r="T60" s="237" t="str">
        <f t="shared" si="215"/>
        <v>Q3</v>
      </c>
      <c r="U60" s="237" t="str">
        <f t="shared" si="215"/>
        <v>Q4</v>
      </c>
      <c r="V60" s="237">
        <f t="shared" si="215"/>
        <v>2011</v>
      </c>
      <c r="W60" s="237" t="str">
        <f t="shared" si="215"/>
        <v>Q1</v>
      </c>
      <c r="X60" s="237" t="str">
        <f t="shared" si="215"/>
        <v>Q2</v>
      </c>
      <c r="Y60" s="237" t="str">
        <f t="shared" si="215"/>
        <v>Q3</v>
      </c>
      <c r="Z60" s="237" t="str">
        <f t="shared" si="215"/>
        <v>Q4</v>
      </c>
      <c r="AA60" s="237">
        <f t="shared" si="215"/>
        <v>2012</v>
      </c>
      <c r="AB60" s="237" t="str">
        <f t="shared" si="215"/>
        <v>Q1</v>
      </c>
      <c r="AC60" s="237" t="str">
        <f t="shared" si="215"/>
        <v>Q2</v>
      </c>
      <c r="AD60" s="237" t="str">
        <f t="shared" si="215"/>
        <v>Q3</v>
      </c>
      <c r="AE60" s="237" t="str">
        <f t="shared" si="215"/>
        <v>Q4</v>
      </c>
      <c r="AF60" s="237">
        <f t="shared" si="215"/>
        <v>2013</v>
      </c>
      <c r="AG60" s="237" t="str">
        <f t="shared" si="215"/>
        <v>Q1</v>
      </c>
      <c r="AH60" s="237" t="str">
        <f t="shared" ref="AH60:BM60" si="216">AH2</f>
        <v>Q2</v>
      </c>
      <c r="AI60" s="237" t="str">
        <f t="shared" si="216"/>
        <v>Q3</v>
      </c>
      <c r="AJ60" s="237" t="str">
        <f t="shared" si="216"/>
        <v>Q4</v>
      </c>
      <c r="AK60" s="237">
        <f t="shared" si="216"/>
        <v>2014</v>
      </c>
      <c r="AL60" s="237" t="str">
        <f t="shared" si="216"/>
        <v>Q1</v>
      </c>
      <c r="AM60" s="237" t="str">
        <f t="shared" si="216"/>
        <v>Q2</v>
      </c>
      <c r="AN60" s="237" t="str">
        <f t="shared" si="216"/>
        <v>Q3</v>
      </c>
      <c r="AO60" s="237" t="str">
        <f t="shared" si="216"/>
        <v>Q4</v>
      </c>
      <c r="AP60" s="237">
        <f t="shared" si="216"/>
        <v>2015</v>
      </c>
      <c r="AQ60" s="237" t="str">
        <f t="shared" si="216"/>
        <v>Q1</v>
      </c>
      <c r="AR60" s="237" t="str">
        <f t="shared" si="216"/>
        <v>Q2</v>
      </c>
      <c r="AS60" s="237" t="str">
        <f t="shared" si="216"/>
        <v>Q3</v>
      </c>
      <c r="AT60" s="237" t="str">
        <f t="shared" si="216"/>
        <v>Q4</v>
      </c>
      <c r="AU60" s="237">
        <f t="shared" si="216"/>
        <v>2016</v>
      </c>
      <c r="AV60" s="237" t="str">
        <f t="shared" si="216"/>
        <v>Q1</v>
      </c>
      <c r="AW60" s="237" t="str">
        <f t="shared" si="216"/>
        <v>Q2</v>
      </c>
      <c r="AX60" s="237" t="str">
        <f t="shared" si="216"/>
        <v>Q3</v>
      </c>
      <c r="AY60" s="237" t="str">
        <f t="shared" si="216"/>
        <v>Q4</v>
      </c>
      <c r="AZ60" s="237">
        <f t="shared" si="216"/>
        <v>2017</v>
      </c>
      <c r="BA60" s="237" t="str">
        <f t="shared" si="216"/>
        <v>Q1</v>
      </c>
      <c r="BB60" s="237" t="str">
        <f t="shared" si="216"/>
        <v>Q2</v>
      </c>
      <c r="BC60" s="237" t="str">
        <f t="shared" si="216"/>
        <v>Q3</v>
      </c>
      <c r="BD60" s="237" t="str">
        <f t="shared" si="216"/>
        <v>Q4</v>
      </c>
      <c r="BE60" s="237">
        <f t="shared" si="216"/>
        <v>2018</v>
      </c>
      <c r="BF60" s="237" t="str">
        <f t="shared" si="216"/>
        <v>Q1</v>
      </c>
      <c r="BG60" s="237" t="str">
        <f t="shared" si="216"/>
        <v>Q2</v>
      </c>
      <c r="BH60" s="237" t="str">
        <f t="shared" si="216"/>
        <v>Q3</v>
      </c>
      <c r="BI60" s="237" t="str">
        <f t="shared" si="216"/>
        <v>Q4</v>
      </c>
      <c r="BJ60" s="237">
        <f t="shared" si="216"/>
        <v>2019</v>
      </c>
      <c r="BK60" s="237" t="str">
        <f t="shared" si="216"/>
        <v>Q1</v>
      </c>
      <c r="BL60" s="237" t="str">
        <f t="shared" si="216"/>
        <v>Q2</v>
      </c>
      <c r="BM60" s="237" t="str">
        <f t="shared" si="216"/>
        <v>Q3</v>
      </c>
      <c r="BN60" s="237" t="str">
        <f t="shared" ref="BN60:CM60" si="217">BN2</f>
        <v>Q4</v>
      </c>
      <c r="BO60" s="237">
        <f t="shared" si="217"/>
        <v>2020</v>
      </c>
      <c r="BP60" s="237" t="str">
        <f t="shared" si="217"/>
        <v>Q1</v>
      </c>
      <c r="BQ60" s="237" t="str">
        <f t="shared" si="217"/>
        <v>Q2</v>
      </c>
      <c r="BR60" s="237" t="str">
        <f t="shared" si="217"/>
        <v>Q3</v>
      </c>
      <c r="BS60" s="237" t="str">
        <f t="shared" si="217"/>
        <v>Q4</v>
      </c>
      <c r="BT60" s="237">
        <f t="shared" si="217"/>
        <v>2021</v>
      </c>
      <c r="BU60" s="237" t="str">
        <f t="shared" si="217"/>
        <v>Q1</v>
      </c>
      <c r="BV60" s="237" t="str">
        <f t="shared" si="217"/>
        <v>Q2</v>
      </c>
      <c r="BW60" s="237" t="str">
        <f t="shared" si="217"/>
        <v>Q3</v>
      </c>
      <c r="BX60" s="237" t="str">
        <f t="shared" si="217"/>
        <v>Q4</v>
      </c>
      <c r="BY60" s="237">
        <f t="shared" si="217"/>
        <v>2022</v>
      </c>
      <c r="BZ60" s="237" t="str">
        <f t="shared" si="217"/>
        <v>Q1</v>
      </c>
      <c r="CA60" s="237" t="str">
        <f t="shared" si="217"/>
        <v>Q2</v>
      </c>
      <c r="CB60" s="237" t="str">
        <f t="shared" si="217"/>
        <v>Q3</v>
      </c>
      <c r="CC60" s="237" t="str">
        <f t="shared" si="217"/>
        <v>Q4</v>
      </c>
      <c r="CD60" s="237">
        <f t="shared" si="217"/>
        <v>2023</v>
      </c>
      <c r="CE60" s="237">
        <f t="shared" si="217"/>
        <v>2024</v>
      </c>
      <c r="CF60" s="237">
        <f t="shared" si="217"/>
        <v>2025</v>
      </c>
      <c r="CG60" s="237">
        <f t="shared" si="217"/>
        <v>2026</v>
      </c>
      <c r="CH60" s="237">
        <f t="shared" si="217"/>
        <v>2027</v>
      </c>
      <c r="CI60" s="237">
        <f t="shared" si="217"/>
        <v>2028</v>
      </c>
      <c r="CJ60" s="237">
        <f t="shared" si="217"/>
        <v>2029</v>
      </c>
      <c r="CK60" s="237">
        <f t="shared" si="217"/>
        <v>2030</v>
      </c>
      <c r="CL60" s="237">
        <f t="shared" si="217"/>
        <v>2031</v>
      </c>
      <c r="CM60" s="237">
        <f t="shared" si="217"/>
        <v>2032</v>
      </c>
      <c r="CN60" s="195"/>
      <c r="CO60" s="195"/>
      <c r="CP60" s="195"/>
      <c r="CQ60" s="195"/>
      <c r="CR60" s="195"/>
      <c r="CS60" s="195"/>
      <c r="CT60" s="195"/>
    </row>
    <row r="61" spans="1:114" hidden="1" outlineLevel="1">
      <c r="A61" s="195" t="s">
        <v>253</v>
      </c>
      <c r="B61" s="238">
        <v>0.41774112131141933</v>
      </c>
      <c r="C61" s="196"/>
      <c r="D61" s="196"/>
      <c r="E61" s="196"/>
      <c r="F61" s="196"/>
      <c r="G61" s="238">
        <v>0.41519970728570321</v>
      </c>
      <c r="H61" s="196"/>
      <c r="I61" s="196"/>
      <c r="J61" s="196"/>
      <c r="K61" s="196"/>
      <c r="L61" s="238">
        <v>0.40407065663088371</v>
      </c>
      <c r="M61" s="196"/>
      <c r="N61" s="196"/>
      <c r="O61" s="196"/>
      <c r="P61" s="196"/>
      <c r="Q61" s="238">
        <v>0.41162241887905604</v>
      </c>
      <c r="R61" s="196"/>
      <c r="S61" s="196"/>
      <c r="T61" s="196"/>
      <c r="U61" s="196"/>
      <c r="V61" s="238">
        <v>0.34700272479564032</v>
      </c>
      <c r="W61" s="196"/>
      <c r="X61" s="196"/>
      <c r="Y61" s="196"/>
      <c r="Z61" s="196"/>
      <c r="AA61" s="238">
        <v>0.34118644067796611</v>
      </c>
      <c r="AB61" s="196"/>
      <c r="AC61" s="196"/>
      <c r="AD61" s="196"/>
      <c r="AE61" s="196"/>
      <c r="AF61" s="238">
        <v>0.2998372093023256</v>
      </c>
      <c r="AG61" s="196"/>
      <c r="AH61" s="196"/>
      <c r="AI61" s="196"/>
      <c r="AJ61" s="196"/>
      <c r="AK61" s="238">
        <v>0.28759465478841872</v>
      </c>
      <c r="AL61" s="196"/>
      <c r="AM61" s="196"/>
      <c r="AN61" s="196"/>
      <c r="AO61" s="196"/>
      <c r="AP61" s="238">
        <v>0.28784580498866214</v>
      </c>
      <c r="AQ61" s="196"/>
      <c r="AR61" s="196"/>
      <c r="AS61" s="196"/>
      <c r="AT61" s="196"/>
      <c r="AU61" s="239">
        <f>AU72/AU$76</f>
        <v>0.26571428571428574</v>
      </c>
      <c r="AV61" s="239"/>
      <c r="AW61" s="239"/>
      <c r="AX61" s="239"/>
      <c r="AY61" s="239"/>
      <c r="AZ61" s="239">
        <f>AZ72/AZ$76</f>
        <v>0.25567955826957722</v>
      </c>
      <c r="BA61" s="239"/>
      <c r="BB61" s="239"/>
      <c r="BC61" s="239"/>
      <c r="BD61" s="239"/>
      <c r="BE61" s="239">
        <f>BE72/BE$76</f>
        <v>0.25371937849244336</v>
      </c>
      <c r="BF61" s="239"/>
      <c r="BG61" s="239"/>
      <c r="BH61" s="239"/>
      <c r="BI61" s="239"/>
      <c r="BJ61" s="239">
        <f>BJ72/BJ$76</f>
        <v>0.24954597430550884</v>
      </c>
      <c r="BK61" s="239"/>
      <c r="BL61" s="239"/>
      <c r="BM61" s="239"/>
      <c r="BN61" s="239"/>
      <c r="BO61" s="239">
        <f>BO72/BO$76</f>
        <v>0.25459934680584395</v>
      </c>
      <c r="BP61" s="239"/>
      <c r="BQ61" s="239"/>
      <c r="BR61" s="239"/>
      <c r="BS61" s="239"/>
      <c r="BT61" s="239">
        <f>BT72/BT$76</f>
        <v>0.24589921053188563</v>
      </c>
      <c r="BU61" s="240"/>
      <c r="BV61" s="240"/>
      <c r="BW61" s="240"/>
      <c r="BX61" s="240"/>
      <c r="BY61" s="239">
        <f>BY72/BY$76</f>
        <v>0.24736575908286268</v>
      </c>
      <c r="BZ61" s="240"/>
      <c r="CA61" s="240"/>
      <c r="CB61" s="240"/>
      <c r="CC61" s="240"/>
      <c r="CD61" s="239">
        <f t="shared" ref="CD61:CI63" si="218">CD72/CD$76</f>
        <v>0.25710679050044355</v>
      </c>
      <c r="CE61" s="239">
        <f t="shared" si="218"/>
        <v>0.25710679050044355</v>
      </c>
      <c r="CF61" s="239">
        <f t="shared" si="218"/>
        <v>0.25710679050044355</v>
      </c>
      <c r="CG61" s="239">
        <f t="shared" si="218"/>
        <v>0.25710679050044355</v>
      </c>
      <c r="CH61" s="239">
        <f t="shared" si="218"/>
        <v>0.25710679050044355</v>
      </c>
      <c r="CI61" s="239">
        <f t="shared" si="218"/>
        <v>0.25710679050044355</v>
      </c>
      <c r="CJ61" s="239">
        <f t="shared" ref="CJ61:CL61" si="219">CJ72/CJ$76</f>
        <v>0.25710679050044355</v>
      </c>
      <c r="CK61" s="239">
        <f t="shared" si="219"/>
        <v>0.25710679050044355</v>
      </c>
      <c r="CL61" s="239">
        <f t="shared" si="219"/>
        <v>0.25710679050044355</v>
      </c>
      <c r="CM61" s="239">
        <f t="shared" ref="CM61" si="220">CM72/CM$76</f>
        <v>0.25710679050044355</v>
      </c>
      <c r="CN61" s="195"/>
      <c r="CO61" s="195"/>
      <c r="CP61" s="195"/>
      <c r="CQ61" s="195"/>
      <c r="CR61" s="241"/>
      <c r="CS61" s="241"/>
      <c r="CT61" s="242"/>
      <c r="CU61" s="241"/>
      <c r="CV61" s="241"/>
      <c r="CW61" s="241"/>
      <c r="CX61" s="241"/>
      <c r="CY61" s="241"/>
      <c r="CZ61" s="241"/>
    </row>
    <row r="62" spans="1:114" hidden="1" outlineLevel="1">
      <c r="A62" s="195" t="s">
        <v>254</v>
      </c>
      <c r="B62" s="238">
        <v>0.30809113542834166</v>
      </c>
      <c r="C62" s="196"/>
      <c r="D62" s="196"/>
      <c r="E62" s="196"/>
      <c r="F62" s="196"/>
      <c r="G62" s="238">
        <v>0.32379671139922611</v>
      </c>
      <c r="H62" s="196"/>
      <c r="I62" s="196"/>
      <c r="J62" s="196"/>
      <c r="K62" s="196"/>
      <c r="L62" s="238">
        <v>0.33273177657317016</v>
      </c>
      <c r="M62" s="196"/>
      <c r="N62" s="196"/>
      <c r="O62" s="196"/>
      <c r="P62" s="196"/>
      <c r="Q62" s="238">
        <v>0.33017699115044247</v>
      </c>
      <c r="R62" s="196"/>
      <c r="S62" s="196"/>
      <c r="T62" s="196"/>
      <c r="U62" s="196"/>
      <c r="V62" s="238">
        <v>0.32643051771117165</v>
      </c>
      <c r="W62" s="196"/>
      <c r="X62" s="196"/>
      <c r="Y62" s="196"/>
      <c r="Z62" s="196"/>
      <c r="AA62" s="238">
        <v>0.30704600484261502</v>
      </c>
      <c r="AB62" s="196"/>
      <c r="AC62" s="196"/>
      <c r="AD62" s="196"/>
      <c r="AE62" s="196"/>
      <c r="AF62" s="238">
        <v>0.30551162790697672</v>
      </c>
      <c r="AG62" s="196"/>
      <c r="AH62" s="196"/>
      <c r="AI62" s="196"/>
      <c r="AJ62" s="196"/>
      <c r="AK62" s="238">
        <v>0.28881959910913141</v>
      </c>
      <c r="AL62" s="196"/>
      <c r="AM62" s="196"/>
      <c r="AN62" s="196"/>
      <c r="AO62" s="196"/>
      <c r="AP62" s="238">
        <v>0.27777777777777779</v>
      </c>
      <c r="AQ62" s="196"/>
      <c r="AR62" s="196"/>
      <c r="AS62" s="196"/>
      <c r="AT62" s="196"/>
      <c r="AU62" s="239">
        <f>AU73/AU$76</f>
        <v>0.23936507936507936</v>
      </c>
      <c r="AV62" s="239"/>
      <c r="AW62" s="239"/>
      <c r="AX62" s="239"/>
      <c r="AY62" s="239"/>
      <c r="AZ62" s="239">
        <f>AZ73/AZ$76</f>
        <v>0.2233452656699656</v>
      </c>
      <c r="BA62" s="239"/>
      <c r="BB62" s="239"/>
      <c r="BC62" s="239"/>
      <c r="BD62" s="239"/>
      <c r="BE62" s="239">
        <f>BE73/BE$76</f>
        <v>0.2139909933275175</v>
      </c>
      <c r="BF62" s="239"/>
      <c r="BG62" s="239"/>
      <c r="BH62" s="239"/>
      <c r="BI62" s="239"/>
      <c r="BJ62" s="239">
        <f>BJ73/BJ$76</f>
        <v>0.18770879576691105</v>
      </c>
      <c r="BK62" s="239"/>
      <c r="BL62" s="239"/>
      <c r="BM62" s="239"/>
      <c r="BN62" s="239"/>
      <c r="BO62" s="239">
        <f>BO73/BO$76</f>
        <v>0.19847405062712126</v>
      </c>
      <c r="BP62" s="239"/>
      <c r="BQ62" s="239"/>
      <c r="BR62" s="239"/>
      <c r="BS62" s="239"/>
      <c r="BT62" s="239">
        <f>BT73/BT$76</f>
        <v>0.20308167714352235</v>
      </c>
      <c r="BU62" s="240"/>
      <c r="BV62" s="240"/>
      <c r="BW62" s="240"/>
      <c r="BX62" s="240"/>
      <c r="BY62" s="239">
        <f>BY73/BY$76</f>
        <v>0</v>
      </c>
      <c r="BZ62" s="240"/>
      <c r="CA62" s="240"/>
      <c r="CB62" s="240"/>
      <c r="CC62" s="240"/>
      <c r="CD62" s="239">
        <f t="shared" si="218"/>
        <v>0</v>
      </c>
      <c r="CE62" s="239">
        <f t="shared" si="218"/>
        <v>0</v>
      </c>
      <c r="CF62" s="239">
        <f t="shared" si="218"/>
        <v>0</v>
      </c>
      <c r="CG62" s="239">
        <f t="shared" si="218"/>
        <v>0</v>
      </c>
      <c r="CH62" s="239">
        <f t="shared" si="218"/>
        <v>0</v>
      </c>
      <c r="CI62" s="239">
        <f t="shared" si="218"/>
        <v>0</v>
      </c>
      <c r="CJ62" s="239">
        <f t="shared" ref="CJ62:CL62" si="221">CJ73/CJ$76</f>
        <v>0</v>
      </c>
      <c r="CK62" s="239">
        <f t="shared" si="221"/>
        <v>0</v>
      </c>
      <c r="CL62" s="239">
        <f t="shared" si="221"/>
        <v>0</v>
      </c>
      <c r="CM62" s="239">
        <f t="shared" ref="CM62" si="222">CM73/CM$76</f>
        <v>0</v>
      </c>
      <c r="CN62" s="195"/>
      <c r="CO62" s="195"/>
      <c r="CP62" s="195"/>
      <c r="CQ62" s="195"/>
      <c r="CR62" s="195"/>
      <c r="CS62" s="207"/>
      <c r="CT62" s="207"/>
      <c r="CU62" s="207"/>
      <c r="CV62" s="207"/>
      <c r="CW62" s="207"/>
      <c r="CX62" s="229"/>
      <c r="CY62" s="229"/>
      <c r="CZ62" s="229"/>
    </row>
    <row r="63" spans="1:114" hidden="1" outlineLevel="1">
      <c r="A63" s="195" t="s">
        <v>255</v>
      </c>
      <c r="B63" s="238">
        <v>0.27416774326023902</v>
      </c>
      <c r="C63" s="196"/>
      <c r="D63" s="196"/>
      <c r="E63" s="196"/>
      <c r="F63" s="196"/>
      <c r="G63" s="238">
        <v>0.26100358131507073</v>
      </c>
      <c r="H63" s="196"/>
      <c r="I63" s="196"/>
      <c r="J63" s="196"/>
      <c r="K63" s="196"/>
      <c r="L63" s="238">
        <v>0.25319756679594613</v>
      </c>
      <c r="M63" s="196"/>
      <c r="N63" s="196"/>
      <c r="O63" s="196"/>
      <c r="P63" s="196"/>
      <c r="Q63" s="238">
        <v>0.25855457227138645</v>
      </c>
      <c r="R63" s="196"/>
      <c r="S63" s="196"/>
      <c r="T63" s="196"/>
      <c r="U63" s="196"/>
      <c r="V63" s="238">
        <v>0.26466302239769279</v>
      </c>
      <c r="W63" s="196"/>
      <c r="X63" s="196"/>
      <c r="Y63" s="196"/>
      <c r="Z63" s="196"/>
      <c r="AA63" s="238">
        <v>0.25409200968523005</v>
      </c>
      <c r="AB63" s="196"/>
      <c r="AC63" s="196"/>
      <c r="AD63" s="196"/>
      <c r="AE63" s="196"/>
      <c r="AF63" s="238">
        <v>0.25569767441860464</v>
      </c>
      <c r="AG63" s="196"/>
      <c r="AH63" s="196"/>
      <c r="AI63" s="196"/>
      <c r="AJ63" s="196"/>
      <c r="AK63" s="238">
        <v>0.25436525612472161</v>
      </c>
      <c r="AL63" s="196"/>
      <c r="AM63" s="196"/>
      <c r="AN63" s="196"/>
      <c r="AO63" s="196"/>
      <c r="AP63" s="238">
        <v>0.27494331065759636</v>
      </c>
      <c r="AQ63" s="196"/>
      <c r="AR63" s="196"/>
      <c r="AS63" s="196"/>
      <c r="AT63" s="196"/>
      <c r="AU63" s="239">
        <f>AU74/AU$76</f>
        <v>0.27888888888888891</v>
      </c>
      <c r="AV63" s="239"/>
      <c r="AW63" s="239"/>
      <c r="AX63" s="239"/>
      <c r="AY63" s="239"/>
      <c r="AZ63" s="239">
        <f>AZ74/AZ$76</f>
        <v>0.2748414870966987</v>
      </c>
      <c r="BA63" s="239"/>
      <c r="BB63" s="239"/>
      <c r="BC63" s="239"/>
      <c r="BD63" s="239"/>
      <c r="BE63" s="239">
        <f>BE74/BE$76</f>
        <v>0.2749157098059557</v>
      </c>
      <c r="BF63" s="239"/>
      <c r="BG63" s="239"/>
      <c r="BH63" s="239"/>
      <c r="BI63" s="239"/>
      <c r="BJ63" s="239">
        <f>BJ74/BJ$76</f>
        <v>0.25293154861998612</v>
      </c>
      <c r="BK63" s="239"/>
      <c r="BL63" s="239"/>
      <c r="BM63" s="239"/>
      <c r="BN63" s="239"/>
      <c r="BO63" s="239">
        <f>BO74/BO$76</f>
        <v>0.23879552461370973</v>
      </c>
      <c r="BP63" s="239"/>
      <c r="BQ63" s="239"/>
      <c r="BR63" s="239"/>
      <c r="BS63" s="239"/>
      <c r="BT63" s="239">
        <f>BT74/BT$76</f>
        <v>0.2181090862911931</v>
      </c>
      <c r="BU63" s="240"/>
      <c r="BV63" s="240"/>
      <c r="BW63" s="240"/>
      <c r="BX63" s="240"/>
      <c r="BY63" s="239">
        <f>BY74/BY$76</f>
        <v>0.42116243783191437</v>
      </c>
      <c r="BZ63" s="240"/>
      <c r="CA63" s="240"/>
      <c r="CB63" s="240"/>
      <c r="CC63" s="240"/>
      <c r="CD63" s="239">
        <f t="shared" si="218"/>
        <v>0.41965504246402963</v>
      </c>
      <c r="CE63" s="239">
        <f t="shared" si="218"/>
        <v>0.41965504246402963</v>
      </c>
      <c r="CF63" s="239">
        <f t="shared" si="218"/>
        <v>0.41965504246402963</v>
      </c>
      <c r="CG63" s="239">
        <f t="shared" si="218"/>
        <v>0.41965504246402963</v>
      </c>
      <c r="CH63" s="239">
        <f t="shared" si="218"/>
        <v>0.41965504246402963</v>
      </c>
      <c r="CI63" s="239">
        <f t="shared" si="218"/>
        <v>0.41965504246402963</v>
      </c>
      <c r="CJ63" s="239">
        <f t="shared" ref="CJ63:CL63" si="223">CJ74/CJ$76</f>
        <v>0.41965504246402963</v>
      </c>
      <c r="CK63" s="239">
        <f t="shared" si="223"/>
        <v>0.41965504246402963</v>
      </c>
      <c r="CL63" s="239">
        <f t="shared" si="223"/>
        <v>0.41965504246402963</v>
      </c>
      <c r="CM63" s="239">
        <f t="shared" ref="CM63" si="224">CM74/CM$76</f>
        <v>0.41965504246402963</v>
      </c>
      <c r="CN63" s="195"/>
      <c r="CO63" s="195"/>
      <c r="CP63" s="195"/>
      <c r="CQ63" s="195"/>
      <c r="CR63" s="195"/>
      <c r="CS63" s="207"/>
      <c r="CT63" s="207"/>
      <c r="CU63" s="207"/>
      <c r="CV63" s="207"/>
      <c r="CW63" s="207"/>
      <c r="CX63" s="229"/>
      <c r="CY63" s="229"/>
      <c r="CZ63" s="229"/>
    </row>
    <row r="64" spans="1:114" hidden="1" outlineLevel="1">
      <c r="A64" s="195"/>
      <c r="B64" s="243">
        <f>B75/B76</f>
        <v>0</v>
      </c>
      <c r="C64" s="243" t="e">
        <f t="shared" ref="C64:BE64" si="225">C75/C76</f>
        <v>#DIV/0!</v>
      </c>
      <c r="D64" s="243" t="e">
        <f t="shared" si="225"/>
        <v>#DIV/0!</v>
      </c>
      <c r="E64" s="243" t="e">
        <f t="shared" si="225"/>
        <v>#DIV/0!</v>
      </c>
      <c r="F64" s="243" t="e">
        <f t="shared" si="225"/>
        <v>#DIV/0!</v>
      </c>
      <c r="G64" s="243">
        <f t="shared" si="225"/>
        <v>0</v>
      </c>
      <c r="H64" s="243" t="e">
        <f t="shared" si="225"/>
        <v>#DIV/0!</v>
      </c>
      <c r="I64" s="243" t="e">
        <f t="shared" si="225"/>
        <v>#DIV/0!</v>
      </c>
      <c r="J64" s="243" t="e">
        <f t="shared" si="225"/>
        <v>#DIV/0!</v>
      </c>
      <c r="K64" s="243" t="e">
        <f t="shared" si="225"/>
        <v>#DIV/0!</v>
      </c>
      <c r="L64" s="243">
        <f t="shared" si="225"/>
        <v>1.0000000000000012E-2</v>
      </c>
      <c r="M64" s="243" t="e">
        <f t="shared" si="225"/>
        <v>#DIV/0!</v>
      </c>
      <c r="N64" s="243" t="e">
        <f t="shared" si="225"/>
        <v>#DIV/0!</v>
      </c>
      <c r="O64" s="243" t="e">
        <f t="shared" si="225"/>
        <v>#DIV/0!</v>
      </c>
      <c r="P64" s="243" t="e">
        <f t="shared" si="225"/>
        <v>#DIV/0!</v>
      </c>
      <c r="Q64" s="243">
        <f t="shared" si="225"/>
        <v>-3.5398230088495576E-4</v>
      </c>
      <c r="R64" s="243" t="e">
        <f t="shared" si="225"/>
        <v>#DIV/0!</v>
      </c>
      <c r="S64" s="243" t="e">
        <f t="shared" si="225"/>
        <v>#DIV/0!</v>
      </c>
      <c r="T64" s="243" t="e">
        <f t="shared" si="225"/>
        <v>#DIV/0!</v>
      </c>
      <c r="U64" s="243" t="e">
        <f t="shared" si="225"/>
        <v>#DIV/0!</v>
      </c>
      <c r="V64" s="243">
        <f t="shared" si="225"/>
        <v>6.190373509549521E-2</v>
      </c>
      <c r="W64" s="243" t="e">
        <f t="shared" si="225"/>
        <v>#DIV/0!</v>
      </c>
      <c r="X64" s="243" t="e">
        <f t="shared" si="225"/>
        <v>#DIV/0!</v>
      </c>
      <c r="Y64" s="243" t="e">
        <f t="shared" si="225"/>
        <v>#DIV/0!</v>
      </c>
      <c r="Z64" s="243" t="e">
        <f t="shared" si="225"/>
        <v>#DIV/0!</v>
      </c>
      <c r="AA64" s="243">
        <f t="shared" si="225"/>
        <v>9.7675544794188857E-2</v>
      </c>
      <c r="AB64" s="243" t="e">
        <f t="shared" si="225"/>
        <v>#DIV/0!</v>
      </c>
      <c r="AC64" s="243" t="e">
        <f t="shared" si="225"/>
        <v>#DIV/0!</v>
      </c>
      <c r="AD64" s="243" t="e">
        <f t="shared" si="225"/>
        <v>#DIV/0!</v>
      </c>
      <c r="AE64" s="243" t="e">
        <f t="shared" si="225"/>
        <v>#DIV/0!</v>
      </c>
      <c r="AF64" s="243">
        <f t="shared" si="225"/>
        <v>0.13895348837209304</v>
      </c>
      <c r="AG64" s="243" t="e">
        <f t="shared" si="225"/>
        <v>#DIV/0!</v>
      </c>
      <c r="AH64" s="243" t="e">
        <f t="shared" si="225"/>
        <v>#DIV/0!</v>
      </c>
      <c r="AI64" s="243" t="e">
        <f t="shared" si="225"/>
        <v>#DIV/0!</v>
      </c>
      <c r="AJ64" s="243" t="e">
        <f t="shared" si="225"/>
        <v>#DIV/0!</v>
      </c>
      <c r="AK64" s="243">
        <f t="shared" si="225"/>
        <v>0.16922048997772829</v>
      </c>
      <c r="AL64" s="243" t="e">
        <f t="shared" si="225"/>
        <v>#DIV/0!</v>
      </c>
      <c r="AM64" s="243" t="e">
        <f t="shared" si="225"/>
        <v>#DIV/0!</v>
      </c>
      <c r="AN64" s="243" t="e">
        <f t="shared" si="225"/>
        <v>#DIV/0!</v>
      </c>
      <c r="AO64" s="243" t="e">
        <f t="shared" si="225"/>
        <v>#DIV/0!</v>
      </c>
      <c r="AP64" s="243">
        <f t="shared" si="225"/>
        <v>0.15943310657596371</v>
      </c>
      <c r="AQ64" s="243" t="e">
        <f t="shared" si="225"/>
        <v>#DIV/0!</v>
      </c>
      <c r="AR64" s="243" t="e">
        <f t="shared" si="225"/>
        <v>#DIV/0!</v>
      </c>
      <c r="AS64" s="243" t="e">
        <f t="shared" si="225"/>
        <v>#DIV/0!</v>
      </c>
      <c r="AT64" s="243" t="e">
        <f t="shared" si="225"/>
        <v>#DIV/0!</v>
      </c>
      <c r="AU64" s="243">
        <f t="shared" si="225"/>
        <v>0.21603174603174602</v>
      </c>
      <c r="AV64" s="243" t="e">
        <f t="shared" si="225"/>
        <v>#DIV/0!</v>
      </c>
      <c r="AW64" s="243" t="e">
        <f t="shared" si="225"/>
        <v>#DIV/0!</v>
      </c>
      <c r="AX64" s="243" t="e">
        <f t="shared" si="225"/>
        <v>#DIV/0!</v>
      </c>
      <c r="AY64" s="243" t="e">
        <f t="shared" si="225"/>
        <v>#DIV/0!</v>
      </c>
      <c r="AZ64" s="243">
        <f t="shared" si="225"/>
        <v>0.24613368896375845</v>
      </c>
      <c r="BA64" s="243" t="e">
        <f t="shared" si="225"/>
        <v>#DIV/0!</v>
      </c>
      <c r="BB64" s="243" t="e">
        <f t="shared" si="225"/>
        <v>#DIV/0!</v>
      </c>
      <c r="BC64" s="243" t="e">
        <f t="shared" si="225"/>
        <v>#DIV/0!</v>
      </c>
      <c r="BD64" s="243" t="e">
        <f t="shared" si="225"/>
        <v>#DIV/0!</v>
      </c>
      <c r="BE64" s="243">
        <f t="shared" si="225"/>
        <v>0.25737391837408341</v>
      </c>
      <c r="BF64" s="243"/>
      <c r="BG64" s="243"/>
      <c r="BH64" s="243"/>
      <c r="BI64" s="243"/>
      <c r="BJ64" s="239"/>
      <c r="BK64" s="243"/>
      <c r="BL64" s="243"/>
      <c r="BM64" s="243"/>
      <c r="BN64" s="243"/>
      <c r="BO64" s="239"/>
      <c r="BP64" s="243"/>
      <c r="BQ64" s="243"/>
      <c r="BR64" s="243"/>
      <c r="BS64" s="243"/>
      <c r="BT64" s="239"/>
      <c r="BU64" s="222"/>
      <c r="BV64" s="222"/>
      <c r="BW64" s="222"/>
      <c r="BX64" s="222"/>
      <c r="BY64" s="239"/>
      <c r="BZ64" s="222"/>
      <c r="CA64" s="222"/>
      <c r="CB64" s="222"/>
      <c r="CC64" s="222"/>
      <c r="CD64" s="239"/>
      <c r="CE64" s="239"/>
      <c r="CF64" s="239"/>
      <c r="CG64" s="239"/>
      <c r="CH64" s="239"/>
      <c r="CI64" s="239"/>
      <c r="CJ64" s="239"/>
      <c r="CK64" s="239"/>
      <c r="CL64" s="239"/>
      <c r="CM64" s="239"/>
      <c r="CN64" s="195"/>
      <c r="CO64" s="195"/>
      <c r="CP64" s="195"/>
      <c r="CQ64" s="195"/>
      <c r="CR64" s="195"/>
      <c r="CS64" s="207"/>
      <c r="CT64" s="207"/>
      <c r="CU64" s="207"/>
      <c r="CV64" s="207"/>
      <c r="CW64" s="207"/>
      <c r="CX64" s="229"/>
      <c r="CY64" s="229"/>
      <c r="CZ64" s="229"/>
    </row>
    <row r="65" spans="1:111" hidden="1" outlineLevel="1">
      <c r="A65" s="202" t="s">
        <v>5</v>
      </c>
      <c r="B65" s="244">
        <f>SUM(B61:B64)</f>
        <v>1</v>
      </c>
      <c r="C65" s="244" t="e">
        <f t="shared" ref="C65:BE65" si="226">SUM(C61:C64)</f>
        <v>#DIV/0!</v>
      </c>
      <c r="D65" s="244" t="e">
        <f t="shared" si="226"/>
        <v>#DIV/0!</v>
      </c>
      <c r="E65" s="244" t="e">
        <f t="shared" si="226"/>
        <v>#DIV/0!</v>
      </c>
      <c r="F65" s="244" t="e">
        <f t="shared" si="226"/>
        <v>#DIV/0!</v>
      </c>
      <c r="G65" s="244">
        <f t="shared" si="226"/>
        <v>1</v>
      </c>
      <c r="H65" s="244" t="e">
        <f t="shared" si="226"/>
        <v>#DIV/0!</v>
      </c>
      <c r="I65" s="244" t="e">
        <f t="shared" si="226"/>
        <v>#DIV/0!</v>
      </c>
      <c r="J65" s="244" t="e">
        <f t="shared" si="226"/>
        <v>#DIV/0!</v>
      </c>
      <c r="K65" s="244" t="e">
        <f t="shared" si="226"/>
        <v>#DIV/0!</v>
      </c>
      <c r="L65" s="244">
        <f t="shared" si="226"/>
        <v>1</v>
      </c>
      <c r="M65" s="244" t="e">
        <f t="shared" si="226"/>
        <v>#DIV/0!</v>
      </c>
      <c r="N65" s="244" t="e">
        <f t="shared" si="226"/>
        <v>#DIV/0!</v>
      </c>
      <c r="O65" s="244" t="e">
        <f t="shared" si="226"/>
        <v>#DIV/0!</v>
      </c>
      <c r="P65" s="244" t="e">
        <f t="shared" si="226"/>
        <v>#DIV/0!</v>
      </c>
      <c r="Q65" s="244">
        <f t="shared" si="226"/>
        <v>1</v>
      </c>
      <c r="R65" s="244" t="e">
        <f t="shared" si="226"/>
        <v>#DIV/0!</v>
      </c>
      <c r="S65" s="244" t="e">
        <f t="shared" si="226"/>
        <v>#DIV/0!</v>
      </c>
      <c r="T65" s="244" t="e">
        <f t="shared" si="226"/>
        <v>#DIV/0!</v>
      </c>
      <c r="U65" s="244" t="e">
        <f t="shared" si="226"/>
        <v>#DIV/0!</v>
      </c>
      <c r="V65" s="244">
        <f t="shared" si="226"/>
        <v>0.99999999999999989</v>
      </c>
      <c r="W65" s="244" t="e">
        <f t="shared" si="226"/>
        <v>#DIV/0!</v>
      </c>
      <c r="X65" s="244" t="e">
        <f t="shared" si="226"/>
        <v>#DIV/0!</v>
      </c>
      <c r="Y65" s="244" t="e">
        <f t="shared" si="226"/>
        <v>#DIV/0!</v>
      </c>
      <c r="Z65" s="244" t="e">
        <f t="shared" si="226"/>
        <v>#DIV/0!</v>
      </c>
      <c r="AA65" s="244">
        <f t="shared" si="226"/>
        <v>1</v>
      </c>
      <c r="AB65" s="244" t="e">
        <f t="shared" si="226"/>
        <v>#DIV/0!</v>
      </c>
      <c r="AC65" s="244" t="e">
        <f t="shared" si="226"/>
        <v>#DIV/0!</v>
      </c>
      <c r="AD65" s="244" t="e">
        <f t="shared" si="226"/>
        <v>#DIV/0!</v>
      </c>
      <c r="AE65" s="244" t="e">
        <f t="shared" si="226"/>
        <v>#DIV/0!</v>
      </c>
      <c r="AF65" s="244">
        <f t="shared" si="226"/>
        <v>1</v>
      </c>
      <c r="AG65" s="244" t="e">
        <f t="shared" si="226"/>
        <v>#DIV/0!</v>
      </c>
      <c r="AH65" s="244" t="e">
        <f t="shared" si="226"/>
        <v>#DIV/0!</v>
      </c>
      <c r="AI65" s="244" t="e">
        <f t="shared" si="226"/>
        <v>#DIV/0!</v>
      </c>
      <c r="AJ65" s="244" t="e">
        <f t="shared" si="226"/>
        <v>#DIV/0!</v>
      </c>
      <c r="AK65" s="244">
        <f t="shared" si="226"/>
        <v>1</v>
      </c>
      <c r="AL65" s="244" t="e">
        <f t="shared" si="226"/>
        <v>#DIV/0!</v>
      </c>
      <c r="AM65" s="244" t="e">
        <f t="shared" si="226"/>
        <v>#DIV/0!</v>
      </c>
      <c r="AN65" s="244" t="e">
        <f t="shared" si="226"/>
        <v>#DIV/0!</v>
      </c>
      <c r="AO65" s="244" t="e">
        <f t="shared" si="226"/>
        <v>#DIV/0!</v>
      </c>
      <c r="AP65" s="244">
        <f t="shared" si="226"/>
        <v>1</v>
      </c>
      <c r="AQ65" s="244" t="e">
        <f t="shared" si="226"/>
        <v>#DIV/0!</v>
      </c>
      <c r="AR65" s="244" t="e">
        <f t="shared" si="226"/>
        <v>#DIV/0!</v>
      </c>
      <c r="AS65" s="244" t="e">
        <f t="shared" si="226"/>
        <v>#DIV/0!</v>
      </c>
      <c r="AT65" s="244" t="e">
        <f t="shared" si="226"/>
        <v>#DIV/0!</v>
      </c>
      <c r="AU65" s="244">
        <f t="shared" si="226"/>
        <v>1</v>
      </c>
      <c r="AV65" s="244" t="e">
        <f t="shared" si="226"/>
        <v>#DIV/0!</v>
      </c>
      <c r="AW65" s="244" t="e">
        <f t="shared" si="226"/>
        <v>#DIV/0!</v>
      </c>
      <c r="AX65" s="244" t="e">
        <f t="shared" si="226"/>
        <v>#DIV/0!</v>
      </c>
      <c r="AY65" s="244" t="e">
        <f t="shared" si="226"/>
        <v>#DIV/0!</v>
      </c>
      <c r="AZ65" s="244">
        <f t="shared" si="226"/>
        <v>1</v>
      </c>
      <c r="BA65" s="244" t="e">
        <f t="shared" si="226"/>
        <v>#DIV/0!</v>
      </c>
      <c r="BB65" s="244" t="e">
        <f t="shared" si="226"/>
        <v>#DIV/0!</v>
      </c>
      <c r="BC65" s="244" t="e">
        <f t="shared" si="226"/>
        <v>#DIV/0!</v>
      </c>
      <c r="BD65" s="244" t="e">
        <f t="shared" si="226"/>
        <v>#DIV/0!</v>
      </c>
      <c r="BE65" s="244">
        <f t="shared" si="226"/>
        <v>1</v>
      </c>
      <c r="BF65" s="244"/>
      <c r="BG65" s="244"/>
      <c r="BH65" s="244"/>
      <c r="BI65" s="244"/>
      <c r="BJ65" s="236">
        <f>SUM(BJ61:BJ63)</f>
        <v>0.69018631869240599</v>
      </c>
      <c r="BK65" s="244"/>
      <c r="BL65" s="244"/>
      <c r="BM65" s="244"/>
      <c r="BN65" s="244"/>
      <c r="BO65" s="236">
        <f>SUM(BO61:BO63)</f>
        <v>0.69186892204667494</v>
      </c>
      <c r="BP65" s="244"/>
      <c r="BQ65" s="244"/>
      <c r="BR65" s="244"/>
      <c r="BS65" s="244"/>
      <c r="BT65" s="236">
        <f>SUM(BT61:BT63)</f>
        <v>0.66708997396660108</v>
      </c>
      <c r="BU65" s="244"/>
      <c r="BV65" s="244"/>
      <c r="BW65" s="244"/>
      <c r="BX65" s="244"/>
      <c r="BY65" s="236">
        <f>SUM(BY61:BY63)</f>
        <v>0.66852819691477705</v>
      </c>
      <c r="BZ65" s="244"/>
      <c r="CA65" s="244"/>
      <c r="CB65" s="244"/>
      <c r="CC65" s="244"/>
      <c r="CD65" s="236">
        <f t="shared" ref="CD65:CI65" si="227">SUM(CD61:CD63)</f>
        <v>0.67676183296447312</v>
      </c>
      <c r="CE65" s="236">
        <f t="shared" si="227"/>
        <v>0.67676183296447312</v>
      </c>
      <c r="CF65" s="236">
        <f t="shared" si="227"/>
        <v>0.67676183296447312</v>
      </c>
      <c r="CG65" s="236">
        <f t="shared" si="227"/>
        <v>0.67676183296447312</v>
      </c>
      <c r="CH65" s="236">
        <f t="shared" si="227"/>
        <v>0.67676183296447312</v>
      </c>
      <c r="CI65" s="236">
        <f t="shared" si="227"/>
        <v>0.67676183296447312</v>
      </c>
      <c r="CJ65" s="236">
        <f t="shared" ref="CJ65:CL65" si="228">SUM(CJ61:CJ63)</f>
        <v>0.67676183296447312</v>
      </c>
      <c r="CK65" s="236">
        <f t="shared" si="228"/>
        <v>0.67676183296447312</v>
      </c>
      <c r="CL65" s="236">
        <f t="shared" si="228"/>
        <v>0.67676183296447312</v>
      </c>
      <c r="CM65" s="236">
        <f t="shared" ref="CM65" si="229">SUM(CM61:CM63)</f>
        <v>0.67676183296447312</v>
      </c>
      <c r="CN65" s="195"/>
      <c r="CO65" s="195"/>
      <c r="CP65" s="195"/>
      <c r="CQ65" s="195"/>
      <c r="CR65" s="195"/>
      <c r="CS65" s="207"/>
      <c r="CT65" s="207"/>
      <c r="CU65" s="207"/>
      <c r="CV65" s="207"/>
      <c r="CW65" s="207"/>
      <c r="CX65" s="229"/>
      <c r="CY65" s="229"/>
      <c r="CZ65" s="229"/>
    </row>
    <row r="66" spans="1:111" hidden="1" outlineLevel="1">
      <c r="A66" s="235"/>
      <c r="B66" s="228"/>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45"/>
      <c r="AG66" s="245"/>
      <c r="AH66" s="245"/>
      <c r="AI66" s="245"/>
      <c r="AJ66" s="245"/>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195"/>
      <c r="CO66" s="195"/>
      <c r="CP66" s="195"/>
      <c r="CQ66" s="195"/>
      <c r="CR66" s="235"/>
      <c r="CS66" s="207"/>
      <c r="CT66" s="207"/>
      <c r="CU66" s="207"/>
      <c r="CV66" s="207"/>
      <c r="CW66" s="207"/>
      <c r="CX66" s="236"/>
      <c r="CY66" s="236"/>
      <c r="CZ66" s="236"/>
    </row>
    <row r="67" spans="1:111" hidden="1" outlineLevel="1">
      <c r="A67" s="237" t="s">
        <v>7</v>
      </c>
      <c r="B67" s="237">
        <f t="shared" ref="B67:AG67" si="230">B2</f>
        <v>2007</v>
      </c>
      <c r="C67" s="237" t="str">
        <f t="shared" si="230"/>
        <v>Q1</v>
      </c>
      <c r="D67" s="237" t="str">
        <f t="shared" si="230"/>
        <v>Q2</v>
      </c>
      <c r="E67" s="237" t="str">
        <f t="shared" si="230"/>
        <v>Q3</v>
      </c>
      <c r="F67" s="237" t="str">
        <f t="shared" si="230"/>
        <v>Q4</v>
      </c>
      <c r="G67" s="237">
        <f t="shared" si="230"/>
        <v>2008</v>
      </c>
      <c r="H67" s="237" t="str">
        <f t="shared" si="230"/>
        <v>Q1</v>
      </c>
      <c r="I67" s="237" t="str">
        <f t="shared" si="230"/>
        <v>Q2</v>
      </c>
      <c r="J67" s="237" t="str">
        <f t="shared" si="230"/>
        <v>Q3</v>
      </c>
      <c r="K67" s="237" t="str">
        <f t="shared" si="230"/>
        <v>Q4</v>
      </c>
      <c r="L67" s="237">
        <f t="shared" si="230"/>
        <v>2009</v>
      </c>
      <c r="M67" s="237" t="str">
        <f t="shared" si="230"/>
        <v>Q1</v>
      </c>
      <c r="N67" s="237" t="str">
        <f t="shared" si="230"/>
        <v>Q2</v>
      </c>
      <c r="O67" s="237" t="str">
        <f t="shared" si="230"/>
        <v>Q3</v>
      </c>
      <c r="P67" s="237" t="str">
        <f t="shared" si="230"/>
        <v>Q4</v>
      </c>
      <c r="Q67" s="237">
        <f t="shared" si="230"/>
        <v>2010</v>
      </c>
      <c r="R67" s="237" t="str">
        <f t="shared" si="230"/>
        <v>Q1</v>
      </c>
      <c r="S67" s="237" t="str">
        <f t="shared" si="230"/>
        <v>Q2</v>
      </c>
      <c r="T67" s="237" t="str">
        <f t="shared" si="230"/>
        <v>Q3</v>
      </c>
      <c r="U67" s="237" t="str">
        <f t="shared" si="230"/>
        <v>Q4</v>
      </c>
      <c r="V67" s="237">
        <f t="shared" si="230"/>
        <v>2011</v>
      </c>
      <c r="W67" s="237" t="str">
        <f t="shared" si="230"/>
        <v>Q1</v>
      </c>
      <c r="X67" s="237" t="str">
        <f t="shared" si="230"/>
        <v>Q2</v>
      </c>
      <c r="Y67" s="237" t="str">
        <f t="shared" si="230"/>
        <v>Q3</v>
      </c>
      <c r="Z67" s="237" t="str">
        <f t="shared" si="230"/>
        <v>Q4</v>
      </c>
      <c r="AA67" s="237">
        <f t="shared" si="230"/>
        <v>2012</v>
      </c>
      <c r="AB67" s="237" t="str">
        <f t="shared" si="230"/>
        <v>Q1</v>
      </c>
      <c r="AC67" s="237" t="str">
        <f t="shared" si="230"/>
        <v>Q2</v>
      </c>
      <c r="AD67" s="237" t="str">
        <f t="shared" si="230"/>
        <v>Q3</v>
      </c>
      <c r="AE67" s="237" t="str">
        <f t="shared" si="230"/>
        <v>Q4</v>
      </c>
      <c r="AF67" s="237">
        <f t="shared" si="230"/>
        <v>2013</v>
      </c>
      <c r="AG67" s="237" t="str">
        <f t="shared" si="230"/>
        <v>Q1</v>
      </c>
      <c r="AH67" s="237" t="str">
        <f t="shared" ref="AH67:BM67" si="231">AH2</f>
        <v>Q2</v>
      </c>
      <c r="AI67" s="237" t="str">
        <f t="shared" si="231"/>
        <v>Q3</v>
      </c>
      <c r="AJ67" s="237" t="str">
        <f t="shared" si="231"/>
        <v>Q4</v>
      </c>
      <c r="AK67" s="237">
        <f t="shared" si="231"/>
        <v>2014</v>
      </c>
      <c r="AL67" s="237" t="str">
        <f t="shared" si="231"/>
        <v>Q1</v>
      </c>
      <c r="AM67" s="237" t="str">
        <f t="shared" si="231"/>
        <v>Q2</v>
      </c>
      <c r="AN67" s="237" t="str">
        <f t="shared" si="231"/>
        <v>Q3</v>
      </c>
      <c r="AO67" s="237" t="str">
        <f t="shared" si="231"/>
        <v>Q4</v>
      </c>
      <c r="AP67" s="237">
        <f t="shared" si="231"/>
        <v>2015</v>
      </c>
      <c r="AQ67" s="237" t="str">
        <f t="shared" si="231"/>
        <v>Q1</v>
      </c>
      <c r="AR67" s="237" t="str">
        <f t="shared" si="231"/>
        <v>Q2</v>
      </c>
      <c r="AS67" s="237" t="str">
        <f t="shared" si="231"/>
        <v>Q3</v>
      </c>
      <c r="AT67" s="237" t="str">
        <f t="shared" si="231"/>
        <v>Q4</v>
      </c>
      <c r="AU67" s="237">
        <f t="shared" si="231"/>
        <v>2016</v>
      </c>
      <c r="AV67" s="237" t="str">
        <f t="shared" si="231"/>
        <v>Q1</v>
      </c>
      <c r="AW67" s="237" t="str">
        <f t="shared" si="231"/>
        <v>Q2</v>
      </c>
      <c r="AX67" s="237" t="str">
        <f t="shared" si="231"/>
        <v>Q3</v>
      </c>
      <c r="AY67" s="237" t="str">
        <f t="shared" si="231"/>
        <v>Q4</v>
      </c>
      <c r="AZ67" s="237">
        <f t="shared" si="231"/>
        <v>2017</v>
      </c>
      <c r="BA67" s="237" t="str">
        <f t="shared" si="231"/>
        <v>Q1</v>
      </c>
      <c r="BB67" s="237" t="str">
        <f t="shared" si="231"/>
        <v>Q2</v>
      </c>
      <c r="BC67" s="237" t="str">
        <f t="shared" si="231"/>
        <v>Q3</v>
      </c>
      <c r="BD67" s="237" t="str">
        <f t="shared" si="231"/>
        <v>Q4</v>
      </c>
      <c r="BE67" s="237">
        <f t="shared" si="231"/>
        <v>2018</v>
      </c>
      <c r="BF67" s="237" t="str">
        <f t="shared" si="231"/>
        <v>Q1</v>
      </c>
      <c r="BG67" s="237" t="str">
        <f t="shared" si="231"/>
        <v>Q2</v>
      </c>
      <c r="BH67" s="237" t="str">
        <f t="shared" si="231"/>
        <v>Q3</v>
      </c>
      <c r="BI67" s="237" t="str">
        <f t="shared" si="231"/>
        <v>Q4</v>
      </c>
      <c r="BJ67" s="237">
        <f t="shared" si="231"/>
        <v>2019</v>
      </c>
      <c r="BK67" s="237" t="str">
        <f t="shared" si="231"/>
        <v>Q1</v>
      </c>
      <c r="BL67" s="237" t="str">
        <f t="shared" si="231"/>
        <v>Q2</v>
      </c>
      <c r="BM67" s="237" t="str">
        <f t="shared" si="231"/>
        <v>Q3</v>
      </c>
      <c r="BN67" s="237" t="str">
        <f t="shared" ref="BN67:CM67" si="232">BN2</f>
        <v>Q4</v>
      </c>
      <c r="BO67" s="237">
        <f t="shared" si="232"/>
        <v>2020</v>
      </c>
      <c r="BP67" s="237" t="str">
        <f t="shared" si="232"/>
        <v>Q1</v>
      </c>
      <c r="BQ67" s="237" t="str">
        <f t="shared" si="232"/>
        <v>Q2</v>
      </c>
      <c r="BR67" s="237" t="str">
        <f t="shared" si="232"/>
        <v>Q3</v>
      </c>
      <c r="BS67" s="237" t="str">
        <f t="shared" si="232"/>
        <v>Q4</v>
      </c>
      <c r="BT67" s="237">
        <f t="shared" si="232"/>
        <v>2021</v>
      </c>
      <c r="BU67" s="237" t="str">
        <f t="shared" si="232"/>
        <v>Q1</v>
      </c>
      <c r="BV67" s="237" t="str">
        <f t="shared" si="232"/>
        <v>Q2</v>
      </c>
      <c r="BW67" s="237" t="str">
        <f t="shared" si="232"/>
        <v>Q3</v>
      </c>
      <c r="BX67" s="237" t="str">
        <f t="shared" si="232"/>
        <v>Q4</v>
      </c>
      <c r="BY67" s="237">
        <f t="shared" si="232"/>
        <v>2022</v>
      </c>
      <c r="BZ67" s="237" t="str">
        <f t="shared" si="232"/>
        <v>Q1</v>
      </c>
      <c r="CA67" s="237" t="str">
        <f t="shared" si="232"/>
        <v>Q2</v>
      </c>
      <c r="CB67" s="237" t="str">
        <f t="shared" si="232"/>
        <v>Q3</v>
      </c>
      <c r="CC67" s="237" t="str">
        <f t="shared" si="232"/>
        <v>Q4</v>
      </c>
      <c r="CD67" s="237">
        <f t="shared" si="232"/>
        <v>2023</v>
      </c>
      <c r="CE67" s="237">
        <f t="shared" si="232"/>
        <v>2024</v>
      </c>
      <c r="CF67" s="237">
        <f t="shared" si="232"/>
        <v>2025</v>
      </c>
      <c r="CG67" s="237">
        <f t="shared" si="232"/>
        <v>2026</v>
      </c>
      <c r="CH67" s="237">
        <f t="shared" si="232"/>
        <v>2027</v>
      </c>
      <c r="CI67" s="237">
        <f t="shared" si="232"/>
        <v>2028</v>
      </c>
      <c r="CJ67" s="237">
        <f t="shared" si="232"/>
        <v>2029</v>
      </c>
      <c r="CK67" s="237">
        <f t="shared" si="232"/>
        <v>2030</v>
      </c>
      <c r="CL67" s="237">
        <f t="shared" si="232"/>
        <v>2031</v>
      </c>
      <c r="CM67" s="237">
        <f t="shared" si="232"/>
        <v>2032</v>
      </c>
      <c r="CN67" s="195"/>
      <c r="CO67" s="195"/>
      <c r="CP67" s="195"/>
      <c r="CQ67" s="195"/>
      <c r="CR67" s="195"/>
      <c r="CS67" s="195"/>
      <c r="CT67" s="195"/>
      <c r="DE67" s="195"/>
      <c r="DF67" s="198"/>
      <c r="DG67" s="198"/>
    </row>
    <row r="68" spans="1:111" hidden="1" outlineLevel="1">
      <c r="A68" s="241" t="s">
        <v>53</v>
      </c>
      <c r="B68" s="247">
        <v>27174</v>
      </c>
      <c r="C68" s="248"/>
      <c r="D68" s="248"/>
      <c r="E68" s="248"/>
      <c r="F68" s="248"/>
      <c r="G68" s="247">
        <v>27728</v>
      </c>
      <c r="H68" s="248"/>
      <c r="I68" s="248"/>
      <c r="J68" s="248"/>
      <c r="K68" s="248"/>
      <c r="L68" s="247">
        <v>28231.504111999999</v>
      </c>
      <c r="M68" s="248"/>
      <c r="N68" s="248"/>
      <c r="O68" s="248"/>
      <c r="P68" s="248"/>
      <c r="Q68" s="247">
        <v>28725.555433960002</v>
      </c>
      <c r="R68" s="248"/>
      <c r="S68" s="248"/>
      <c r="T68" s="248"/>
      <c r="U68" s="248"/>
      <c r="V68" s="247">
        <v>29228.252654054304</v>
      </c>
      <c r="W68" s="248"/>
      <c r="X68" s="248"/>
      <c r="Y68" s="248"/>
      <c r="Z68" s="248"/>
      <c r="AA68" s="247">
        <v>29739.747075500258</v>
      </c>
      <c r="AB68" s="248"/>
      <c r="AC68" s="248"/>
      <c r="AD68" s="248"/>
      <c r="AE68" s="248"/>
      <c r="AF68" s="247">
        <v>30260.192649321514</v>
      </c>
      <c r="AG68" s="248"/>
      <c r="AH68" s="248"/>
      <c r="AI68" s="248"/>
      <c r="AJ68" s="248"/>
      <c r="AK68" s="247">
        <v>30789.746020684644</v>
      </c>
      <c r="AL68" s="248"/>
      <c r="AM68" s="248"/>
      <c r="AN68" s="248"/>
      <c r="AO68" s="248"/>
      <c r="AP68" s="247">
        <v>31328.566576046629</v>
      </c>
      <c r="AQ68" s="248"/>
      <c r="AR68" s="248"/>
      <c r="AS68" s="248"/>
      <c r="AT68" s="248"/>
      <c r="AU68" s="249">
        <f>'[1]Malaysian mobile model'!BK5</f>
        <v>31876.816491127447</v>
      </c>
      <c r="AV68" s="248"/>
      <c r="AW68" s="248"/>
      <c r="AX68" s="250"/>
      <c r="AY68" s="250"/>
      <c r="AZ68" s="249">
        <f>'[1]Malaysian mobile model'!BP5</f>
        <v>32022.6</v>
      </c>
      <c r="BA68" s="248"/>
      <c r="BB68" s="248"/>
      <c r="BC68" s="248"/>
      <c r="BD68" s="248"/>
      <c r="BE68" s="249">
        <f>'[1]Malaysian mobile model'!BU5</f>
        <v>32382.3</v>
      </c>
      <c r="BF68" s="250"/>
      <c r="BG68" s="250"/>
      <c r="BH68" s="250"/>
      <c r="BI68" s="250"/>
      <c r="BJ68" s="249">
        <f>'[1]Malaysian mobile model'!BZ5</f>
        <v>32523</v>
      </c>
      <c r="BK68" s="250"/>
      <c r="BL68" s="250"/>
      <c r="BM68" s="250"/>
      <c r="BN68" s="250"/>
      <c r="BO68" s="249">
        <f>'[1]Malaysian mobile model'!CE5</f>
        <v>32657</v>
      </c>
      <c r="BP68" s="250"/>
      <c r="BQ68" s="250"/>
      <c r="BR68" s="250"/>
      <c r="BS68" s="250"/>
      <c r="BT68" s="249">
        <f>'[1]Malaysian mobile model'!CJ5</f>
        <v>33573.874000000003</v>
      </c>
      <c r="BU68" s="250"/>
      <c r="BV68" s="250"/>
      <c r="BW68" s="250"/>
      <c r="BX68" s="250"/>
      <c r="BY68" s="249">
        <f>'[1]Malaysian mobile model'!CO5</f>
        <v>33938.22</v>
      </c>
      <c r="BZ68" s="250"/>
      <c r="CA68" s="250"/>
      <c r="CB68" s="250"/>
      <c r="CC68" s="250"/>
      <c r="CD68" s="249">
        <f>'[1]Malaysian mobile model'!CT5</f>
        <v>34306.519907961767</v>
      </c>
      <c r="CE68" s="249">
        <f>'[1]Malaysian mobile model'!CU5</f>
        <v>34649.585107041385</v>
      </c>
      <c r="CF68" s="249">
        <f>'[1]Malaysian mobile model'!CV5</f>
        <v>34822.833032576586</v>
      </c>
      <c r="CG68" s="249">
        <f>'[1]Malaysian mobile model'!CW5</f>
        <v>34996.947197739464</v>
      </c>
      <c r="CH68" s="249">
        <f>'[1]Malaysian mobile model'!CX5</f>
        <v>35171.931933728156</v>
      </c>
      <c r="CI68" s="249">
        <f>'[1]Malaysian mobile model'!CY5</f>
        <v>35347.791593396796</v>
      </c>
      <c r="CJ68" s="249">
        <f>'[1]Malaysian mobile model'!CZ5</f>
        <v>35524.53055136378</v>
      </c>
      <c r="CK68" s="249">
        <f>'[1]Malaysian mobile model'!DA5</f>
        <v>35702.153204120594</v>
      </c>
      <c r="CL68" s="249">
        <f>'[1]Malaysian mobile model'!DB5</f>
        <v>35880.663970141191</v>
      </c>
      <c r="CM68" s="249">
        <f>'[1]Malaysian mobile model'!DC5</f>
        <v>36060.067289991894</v>
      </c>
      <c r="CN68" s="195"/>
      <c r="CO68" s="195"/>
      <c r="CP68" s="195"/>
      <c r="CQ68" s="195"/>
      <c r="CR68" s="195"/>
      <c r="CS68" s="195"/>
      <c r="CT68" s="195"/>
      <c r="DE68" s="195"/>
      <c r="DF68" s="198"/>
      <c r="DG68" s="198"/>
    </row>
    <row r="69" spans="1:111" hidden="1" outlineLevel="1">
      <c r="A69" s="241"/>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195"/>
      <c r="CO69" s="195"/>
      <c r="CP69" s="195"/>
      <c r="CQ69" s="195"/>
      <c r="CR69" s="195"/>
      <c r="CS69" s="195"/>
      <c r="CT69" s="195"/>
      <c r="DE69" s="195"/>
      <c r="DF69" s="198"/>
      <c r="DG69" s="198"/>
    </row>
    <row r="70" spans="1:111" hidden="1" outlineLevel="1">
      <c r="A70" s="241" t="s">
        <v>10</v>
      </c>
      <c r="B70" s="251">
        <v>0.86024140722749687</v>
      </c>
      <c r="C70" s="251"/>
      <c r="D70" s="251"/>
      <c r="E70" s="251"/>
      <c r="F70" s="251"/>
      <c r="G70" s="251">
        <v>0.97580424120023079</v>
      </c>
      <c r="H70" s="251"/>
      <c r="I70" s="251"/>
      <c r="J70" s="251"/>
      <c r="K70" s="251"/>
      <c r="L70" s="251">
        <v>1.08</v>
      </c>
      <c r="M70" s="251"/>
      <c r="N70" s="251"/>
      <c r="O70" s="251"/>
      <c r="P70" s="251"/>
      <c r="Q70" s="251">
        <v>1.1801338385931661</v>
      </c>
      <c r="R70" s="251"/>
      <c r="S70" s="251"/>
      <c r="T70" s="251"/>
      <c r="U70" s="251"/>
      <c r="V70" s="251">
        <v>1.2556344176431387</v>
      </c>
      <c r="W70" s="251"/>
      <c r="X70" s="251"/>
      <c r="Y70" s="251"/>
      <c r="Z70" s="251"/>
      <c r="AA70" s="251">
        <v>1.3887138950829589</v>
      </c>
      <c r="AB70" s="251"/>
      <c r="AC70" s="251"/>
      <c r="AD70" s="251"/>
      <c r="AE70" s="251"/>
      <c r="AF70" s="251">
        <v>1.4210087985333475</v>
      </c>
      <c r="AG70" s="251"/>
      <c r="AH70" s="251"/>
      <c r="AI70" s="251"/>
      <c r="AJ70" s="251"/>
      <c r="AK70" s="251">
        <v>1.458277699654815</v>
      </c>
      <c r="AL70" s="251"/>
      <c r="AM70" s="251"/>
      <c r="AN70" s="251"/>
      <c r="AO70" s="251"/>
      <c r="AP70" s="251">
        <v>1.4076609567485996</v>
      </c>
      <c r="AQ70" s="251"/>
      <c r="AR70" s="251"/>
      <c r="AS70" s="251"/>
      <c r="AT70" s="251"/>
      <c r="AU70" s="252">
        <f>'[1]Malaysian mobile model'!BK7</f>
        <v>1.399</v>
      </c>
      <c r="AV70" s="251"/>
      <c r="AW70" s="251"/>
      <c r="AX70" s="253"/>
      <c r="AY70" s="253"/>
      <c r="AZ70" s="252">
        <f>'[1]Malaysian mobile model'!BP7</f>
        <v>1.3120000000000001</v>
      </c>
      <c r="BA70" s="251"/>
      <c r="BB70" s="251"/>
      <c r="BC70" s="251"/>
      <c r="BD70" s="251"/>
      <c r="BE70" s="252">
        <f>'[1]Malaysian mobile model'!BU7</f>
        <v>1.302</v>
      </c>
      <c r="BF70" s="251"/>
      <c r="BG70" s="253"/>
      <c r="BH70" s="253"/>
      <c r="BI70" s="253"/>
      <c r="BJ70" s="252">
        <f>'[1]Malaysian mobile model'!BZ7</f>
        <v>1.3540000000000001</v>
      </c>
      <c r="BK70" s="251"/>
      <c r="BL70" s="251"/>
      <c r="BM70" s="251"/>
      <c r="BN70" s="251"/>
      <c r="BO70" s="252">
        <f>'[1]Malaysian mobile model'!CE7</f>
        <v>1.3360000000000001</v>
      </c>
      <c r="BP70" s="251"/>
      <c r="BQ70" s="251"/>
      <c r="BR70" s="251"/>
      <c r="BS70" s="251"/>
      <c r="BT70" s="252">
        <f>'[1]Malaysian mobile model'!CJ7</f>
        <v>1.4072549387657796</v>
      </c>
      <c r="BU70" s="251"/>
      <c r="BV70" s="251"/>
      <c r="BW70" s="251"/>
      <c r="BX70" s="251"/>
      <c r="BY70" s="252">
        <f>'[1]Malaysian mobile model'!CO7</f>
        <v>1.3981876480263253</v>
      </c>
      <c r="BZ70" s="251"/>
      <c r="CA70" s="251"/>
      <c r="CB70" s="251"/>
      <c r="CC70" s="251"/>
      <c r="CD70" s="252">
        <f>'[1]Malaysian mobile model'!CT7</f>
        <v>1.4181876480263254</v>
      </c>
      <c r="CE70" s="252">
        <f>'[1]Malaysian mobile model'!CU7</f>
        <v>1.4381876480263254</v>
      </c>
      <c r="CF70" s="252">
        <f>'[1]Malaysian mobile model'!CV7</f>
        <v>1.4561876480263254</v>
      </c>
      <c r="CG70" s="252">
        <f>'[1]Malaysian mobile model'!CW7</f>
        <v>1.4723876480263254</v>
      </c>
      <c r="CH70" s="252">
        <f>'[1]Malaysian mobile model'!CX7</f>
        <v>1.4869676480263254</v>
      </c>
      <c r="CI70" s="252">
        <f>'[1]Malaysian mobile model'!CY7</f>
        <v>1.5000896480263255</v>
      </c>
      <c r="CJ70" s="252">
        <f>'[1]Malaysian mobile model'!CZ7</f>
        <v>1.5118994480263255</v>
      </c>
      <c r="CK70" s="252">
        <f>'[1]Malaysian mobile model'!DA7</f>
        <v>1.5225282680263255</v>
      </c>
      <c r="CL70" s="252">
        <f>'[1]Malaysian mobile model'!DB7</f>
        <v>1.5320942060263254</v>
      </c>
      <c r="CM70" s="252">
        <f>'[1]Malaysian mobile model'!DC7</f>
        <v>1.5407035502263253</v>
      </c>
      <c r="CN70" s="195"/>
      <c r="CO70" s="195"/>
      <c r="CP70" s="195"/>
      <c r="CQ70" s="195"/>
      <c r="CR70" s="195"/>
      <c r="CS70" s="195"/>
      <c r="CT70" s="195"/>
      <c r="DE70" s="195"/>
      <c r="DF70" s="198"/>
      <c r="DG70" s="198"/>
    </row>
    <row r="71" spans="1:111" hidden="1" outlineLevel="1">
      <c r="A71" s="241"/>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195"/>
      <c r="CO71" s="195"/>
      <c r="CP71" s="195"/>
      <c r="CQ71" s="195"/>
      <c r="CR71" s="195"/>
      <c r="CS71" s="195"/>
      <c r="CT71" s="195"/>
      <c r="DE71" s="195"/>
      <c r="DF71" s="198"/>
      <c r="DG71" s="198"/>
    </row>
    <row r="72" spans="1:111" hidden="1" outlineLevel="1">
      <c r="A72" s="195" t="s">
        <v>253</v>
      </c>
      <c r="B72" s="205">
        <f>B61*B$76</f>
        <v>9765.2000000000007</v>
      </c>
      <c r="C72" s="205"/>
      <c r="D72" s="205"/>
      <c r="E72" s="205"/>
      <c r="F72" s="205"/>
      <c r="G72" s="205">
        <f>G61*G$76</f>
        <v>11234.1</v>
      </c>
      <c r="H72" s="205"/>
      <c r="I72" s="205"/>
      <c r="J72" s="205"/>
      <c r="K72" s="205"/>
      <c r="L72" s="205">
        <f>L61*L$76</f>
        <v>12320.124196550401</v>
      </c>
      <c r="M72" s="205"/>
      <c r="N72" s="205"/>
      <c r="O72" s="205"/>
      <c r="P72" s="205"/>
      <c r="Q72" s="205">
        <f>Q61*Q$76</f>
        <v>13954</v>
      </c>
      <c r="R72" s="205"/>
      <c r="S72" s="205"/>
      <c r="T72" s="205"/>
      <c r="U72" s="205"/>
      <c r="V72" s="205">
        <f>V61*V$76</f>
        <v>12735</v>
      </c>
      <c r="W72" s="205"/>
      <c r="X72" s="205"/>
      <c r="Y72" s="205"/>
      <c r="Z72" s="205"/>
      <c r="AA72" s="205">
        <f>AA61*AA$76</f>
        <v>14091</v>
      </c>
      <c r="AB72" s="205"/>
      <c r="AC72" s="205"/>
      <c r="AD72" s="205"/>
      <c r="AE72" s="205"/>
      <c r="AF72" s="205">
        <f>AF61*AF$76</f>
        <v>12893</v>
      </c>
      <c r="AG72" s="205"/>
      <c r="AH72" s="205"/>
      <c r="AI72" s="205"/>
      <c r="AJ72" s="205"/>
      <c r="AK72" s="205">
        <f>AK61*AK$76</f>
        <v>12913</v>
      </c>
      <c r="AL72" s="205"/>
      <c r="AM72" s="205"/>
      <c r="AN72" s="205"/>
      <c r="AO72" s="205"/>
      <c r="AP72" s="205">
        <f>AP61*AP$76</f>
        <v>12694</v>
      </c>
      <c r="AQ72" s="205"/>
      <c r="AR72" s="205"/>
      <c r="AS72" s="205"/>
      <c r="AT72" s="205"/>
      <c r="AU72" s="249">
        <f>'[1]Malaysian mobile model'!BK15</f>
        <v>11718</v>
      </c>
      <c r="AV72" s="205"/>
      <c r="AW72" s="205"/>
      <c r="AX72" s="254"/>
      <c r="AY72" s="254"/>
      <c r="AZ72" s="249">
        <f>'[1]Malaysian mobile model'!BP15</f>
        <v>10928</v>
      </c>
      <c r="BA72" s="205"/>
      <c r="BB72" s="205"/>
      <c r="BC72" s="205"/>
      <c r="BD72" s="205"/>
      <c r="BE72" s="249">
        <f>'[1]Malaysian mobile model'!BU15</f>
        <v>10761</v>
      </c>
      <c r="BF72" s="205"/>
      <c r="BG72" s="254"/>
      <c r="BH72" s="254"/>
      <c r="BI72" s="254"/>
      <c r="BJ72" s="249">
        <f>'[1]Malaysian mobile model'!BZ15</f>
        <v>11130</v>
      </c>
      <c r="BK72" s="205"/>
      <c r="BL72" s="205"/>
      <c r="BM72" s="205"/>
      <c r="BN72" s="205"/>
      <c r="BO72" s="249">
        <f>'[1]Malaysian mobile model'!CE15</f>
        <v>11132</v>
      </c>
      <c r="BP72" s="205"/>
      <c r="BQ72" s="205"/>
      <c r="BR72" s="205"/>
      <c r="BS72" s="205"/>
      <c r="BT72" s="249">
        <f>'[1]Malaysian mobile model'!CJ15</f>
        <v>11618</v>
      </c>
      <c r="BU72" s="205"/>
      <c r="BV72" s="205"/>
      <c r="BW72" s="205"/>
      <c r="BX72" s="205"/>
      <c r="BY72" s="249">
        <f>'[1]Malaysian mobile model'!CO15</f>
        <v>11738</v>
      </c>
      <c r="BZ72" s="205"/>
      <c r="CA72" s="205"/>
      <c r="CB72" s="205"/>
      <c r="CC72" s="205"/>
      <c r="CD72" s="249">
        <f>'[1]Malaysian mobile model'!CT15</f>
        <v>12511</v>
      </c>
      <c r="CE72" s="249">
        <f>'[1]Malaysian mobile model'!CU15</f>
        <v>12812.301213576728</v>
      </c>
      <c r="CF72" s="249">
        <f>'[1]Malaysian mobile model'!CV15</f>
        <v>13037.520082713105</v>
      </c>
      <c r="CG72" s="249">
        <f>'[1]Malaysian mobile model'!CW15</f>
        <v>13248.474518022122</v>
      </c>
      <c r="CH72" s="249">
        <f>'[1]Malaysian mobile model'!CX15</f>
        <v>13446.562992775167</v>
      </c>
      <c r="CI72" s="249">
        <f>'[1]Malaysian mobile model'!CY15</f>
        <v>13633.05060714542</v>
      </c>
      <c r="CJ72" s="249">
        <f>'[1]Malaysian mobile model'!CZ15</f>
        <v>13809.081826244215</v>
      </c>
      <c r="CK72" s="249">
        <f>'[1]Malaysian mobile model'!DA15</f>
        <v>13975.692001679479</v>
      </c>
      <c r="CL72" s="249">
        <f>'[1]Malaysian mobile model'!DB15</f>
        <v>14133.817792809883</v>
      </c>
      <c r="CM72" s="249">
        <f>'[1]Malaysian mobile model'!DC15</f>
        <v>14284.306592773788</v>
      </c>
      <c r="CN72" s="195"/>
      <c r="CO72" s="195"/>
      <c r="CP72" s="195"/>
      <c r="CQ72" s="195"/>
      <c r="CR72" s="195"/>
      <c r="CS72" s="195"/>
      <c r="CT72" s="195"/>
      <c r="DE72" s="195"/>
      <c r="DF72" s="198"/>
      <c r="DG72" s="198"/>
    </row>
    <row r="73" spans="1:111" hidden="1" outlineLevel="1">
      <c r="A73" s="195" t="s">
        <v>254</v>
      </c>
      <c r="B73" s="205">
        <f>B62*B$76</f>
        <v>7202</v>
      </c>
      <c r="C73" s="205"/>
      <c r="D73" s="205"/>
      <c r="E73" s="205"/>
      <c r="F73" s="205"/>
      <c r="G73" s="205">
        <f>G62*G$76</f>
        <v>8761</v>
      </c>
      <c r="H73" s="205"/>
      <c r="I73" s="205"/>
      <c r="J73" s="205"/>
      <c r="K73" s="205"/>
      <c r="L73" s="205">
        <f>L62*L$76</f>
        <v>10145</v>
      </c>
      <c r="M73" s="205"/>
      <c r="N73" s="205"/>
      <c r="O73" s="205"/>
      <c r="P73" s="205"/>
      <c r="Q73" s="205">
        <f>Q62*Q$76</f>
        <v>11193</v>
      </c>
      <c r="R73" s="205"/>
      <c r="S73" s="205"/>
      <c r="T73" s="205"/>
      <c r="U73" s="205"/>
      <c r="V73" s="205">
        <f>V62*V$76</f>
        <v>11980</v>
      </c>
      <c r="W73" s="205"/>
      <c r="X73" s="205"/>
      <c r="Y73" s="205"/>
      <c r="Z73" s="205"/>
      <c r="AA73" s="205">
        <f>AA62*AA$76</f>
        <v>12681</v>
      </c>
      <c r="AB73" s="205"/>
      <c r="AC73" s="205"/>
      <c r="AD73" s="205"/>
      <c r="AE73" s="205"/>
      <c r="AF73" s="205">
        <f>AF62*AF$76</f>
        <v>13137</v>
      </c>
      <c r="AG73" s="205"/>
      <c r="AH73" s="205"/>
      <c r="AI73" s="205"/>
      <c r="AJ73" s="205"/>
      <c r="AK73" s="205">
        <f>AK62*AK$76</f>
        <v>12968</v>
      </c>
      <c r="AL73" s="205"/>
      <c r="AM73" s="205"/>
      <c r="AN73" s="205"/>
      <c r="AO73" s="205"/>
      <c r="AP73" s="205">
        <f>AP62*AP$76</f>
        <v>12250</v>
      </c>
      <c r="AQ73" s="205"/>
      <c r="AR73" s="205"/>
      <c r="AS73" s="205"/>
      <c r="AT73" s="205"/>
      <c r="AU73" s="249">
        <f>'[1]Malaysian mobile model'!BK16</f>
        <v>10556</v>
      </c>
      <c r="AV73" s="205"/>
      <c r="AW73" s="205"/>
      <c r="AX73" s="254"/>
      <c r="AY73" s="254"/>
      <c r="AZ73" s="249">
        <f>'[1]Malaysian mobile model'!BP16</f>
        <v>9546</v>
      </c>
      <c r="BA73" s="205"/>
      <c r="BB73" s="205"/>
      <c r="BC73" s="205"/>
      <c r="BD73" s="205"/>
      <c r="BE73" s="249">
        <f>'[1]Malaysian mobile model'!BU16</f>
        <v>9076</v>
      </c>
      <c r="BF73" s="205"/>
      <c r="BG73" s="254"/>
      <c r="BH73" s="254"/>
      <c r="BI73" s="254"/>
      <c r="BJ73" s="249">
        <f>'[1]Malaysian mobile model'!BZ16</f>
        <v>8372</v>
      </c>
      <c r="BK73" s="205"/>
      <c r="BL73" s="205"/>
      <c r="BM73" s="205"/>
      <c r="BN73" s="205"/>
      <c r="BO73" s="249">
        <f>'[1]Malaysian mobile model'!CE16</f>
        <v>8678</v>
      </c>
      <c r="BP73" s="205"/>
      <c r="BQ73" s="205"/>
      <c r="BR73" s="205"/>
      <c r="BS73" s="205"/>
      <c r="BT73" s="249">
        <f>'[1]Malaysian mobile model'!CJ16</f>
        <v>9595</v>
      </c>
      <c r="BU73" s="205"/>
      <c r="BV73" s="205"/>
      <c r="BW73" s="205"/>
      <c r="BX73" s="205"/>
      <c r="BY73" s="249">
        <f>'[1]Malaysian mobile model'!CO16</f>
        <v>0</v>
      </c>
      <c r="BZ73" s="205"/>
      <c r="CA73" s="205"/>
      <c r="CB73" s="205"/>
      <c r="CC73" s="205"/>
      <c r="CD73" s="249">
        <f>'[1]Malaysian mobile model'!CT16</f>
        <v>0</v>
      </c>
      <c r="CE73" s="249">
        <f>'[1]Malaysian mobile model'!CU16</f>
        <v>0</v>
      </c>
      <c r="CF73" s="249">
        <f>'[1]Malaysian mobile model'!CV16</f>
        <v>0</v>
      </c>
      <c r="CG73" s="249">
        <f>'[1]Malaysian mobile model'!CW16</f>
        <v>0</v>
      </c>
      <c r="CH73" s="249">
        <f>'[1]Malaysian mobile model'!CX16</f>
        <v>0</v>
      </c>
      <c r="CI73" s="249">
        <f>'[1]Malaysian mobile model'!CY16</f>
        <v>0</v>
      </c>
      <c r="CJ73" s="249">
        <f>'[1]Malaysian mobile model'!CZ16</f>
        <v>0</v>
      </c>
      <c r="CK73" s="249">
        <f>'[1]Malaysian mobile model'!DA16</f>
        <v>0</v>
      </c>
      <c r="CL73" s="249">
        <f>'[1]Malaysian mobile model'!DB16</f>
        <v>0</v>
      </c>
      <c r="CM73" s="249">
        <f>'[1]Malaysian mobile model'!DC16</f>
        <v>0</v>
      </c>
      <c r="CN73" s="195"/>
      <c r="CO73" s="195"/>
      <c r="CP73" s="195"/>
      <c r="CQ73" s="195"/>
      <c r="CR73" s="195"/>
      <c r="CS73" s="195"/>
      <c r="CT73" s="195"/>
      <c r="DE73" s="195"/>
      <c r="DF73" s="198"/>
      <c r="DG73" s="198"/>
    </row>
    <row r="74" spans="1:111" hidden="1" outlineLevel="1">
      <c r="A74" s="195" t="s">
        <v>255</v>
      </c>
      <c r="B74" s="205">
        <f>B63*B$76</f>
        <v>6408.9999999999991</v>
      </c>
      <c r="C74" s="205"/>
      <c r="D74" s="205"/>
      <c r="E74" s="205"/>
      <c r="F74" s="205"/>
      <c r="G74" s="205">
        <f>G63*G$76</f>
        <v>7062</v>
      </c>
      <c r="H74" s="205"/>
      <c r="I74" s="205"/>
      <c r="J74" s="205"/>
      <c r="K74" s="205"/>
      <c r="L74" s="205">
        <f>L63*L$76</f>
        <v>7720</v>
      </c>
      <c r="M74" s="205"/>
      <c r="N74" s="205"/>
      <c r="O74" s="205"/>
      <c r="P74" s="205"/>
      <c r="Q74" s="205">
        <f>Q63*Q$76</f>
        <v>8765</v>
      </c>
      <c r="R74" s="205"/>
      <c r="S74" s="205"/>
      <c r="T74" s="205"/>
      <c r="U74" s="205"/>
      <c r="V74" s="205">
        <f>V63*V$76</f>
        <v>9713.1329219953259</v>
      </c>
      <c r="W74" s="205"/>
      <c r="X74" s="205"/>
      <c r="Y74" s="205"/>
      <c r="Z74" s="205"/>
      <c r="AA74" s="205">
        <f>AA63*AA$76</f>
        <v>10494.000000000002</v>
      </c>
      <c r="AB74" s="205"/>
      <c r="AC74" s="205"/>
      <c r="AD74" s="205"/>
      <c r="AE74" s="205"/>
      <c r="AF74" s="205">
        <f>AF63*AF$76</f>
        <v>10995</v>
      </c>
      <c r="AG74" s="205"/>
      <c r="AH74" s="205"/>
      <c r="AI74" s="205"/>
      <c r="AJ74" s="205"/>
      <c r="AK74" s="205">
        <f>AK63*AK$76</f>
        <v>11421</v>
      </c>
      <c r="AL74" s="205"/>
      <c r="AM74" s="205"/>
      <c r="AN74" s="205"/>
      <c r="AO74" s="205"/>
      <c r="AP74" s="205">
        <f>AP63*AP$76</f>
        <v>12125</v>
      </c>
      <c r="AQ74" s="205"/>
      <c r="AR74" s="205"/>
      <c r="AS74" s="205"/>
      <c r="AT74" s="205"/>
      <c r="AU74" s="249">
        <f>'[1]Malaysian mobile model'!BK17</f>
        <v>12299</v>
      </c>
      <c r="AV74" s="205"/>
      <c r="AW74" s="205"/>
      <c r="AX74" s="254"/>
      <c r="AY74" s="254"/>
      <c r="AZ74" s="249">
        <f>'[1]Malaysian mobile model'!BP17</f>
        <v>11747</v>
      </c>
      <c r="BA74" s="205"/>
      <c r="BB74" s="205"/>
      <c r="BC74" s="205"/>
      <c r="BD74" s="205"/>
      <c r="BE74" s="249">
        <f>'[1]Malaysian mobile model'!BU17</f>
        <v>11660</v>
      </c>
      <c r="BF74" s="205"/>
      <c r="BG74" s="254"/>
      <c r="BH74" s="254"/>
      <c r="BI74" s="254"/>
      <c r="BJ74" s="249">
        <f>'[1]Malaysian mobile model'!BZ17</f>
        <v>11281</v>
      </c>
      <c r="BK74" s="205"/>
      <c r="BL74" s="205"/>
      <c r="BM74" s="205"/>
      <c r="BN74" s="205"/>
      <c r="BO74" s="249">
        <f>'[1]Malaysian mobile model'!CE17</f>
        <v>10441</v>
      </c>
      <c r="BP74" s="205"/>
      <c r="BQ74" s="205"/>
      <c r="BR74" s="205"/>
      <c r="BS74" s="205"/>
      <c r="BT74" s="249">
        <f>'[1]Malaysian mobile model'!CJ17</f>
        <v>10305</v>
      </c>
      <c r="BU74" s="205"/>
      <c r="BV74" s="205"/>
      <c r="BW74" s="205"/>
      <c r="BX74" s="205"/>
      <c r="BY74" s="249">
        <f>'[1]Malaysian mobile model'!CO17</f>
        <v>19985</v>
      </c>
      <c r="BZ74" s="205"/>
      <c r="CA74" s="205"/>
      <c r="CB74" s="205"/>
      <c r="CC74" s="205"/>
      <c r="CD74" s="249">
        <f>'[1]Malaysian mobile model'!CT17</f>
        <v>20420.714</v>
      </c>
      <c r="CE74" s="249">
        <f>'[1]Malaysian mobile model'!CU17</f>
        <v>20912.504097538429</v>
      </c>
      <c r="CF74" s="249">
        <f>'[1]Malaysian mobile model'!CV17</f>
        <v>21280.111012576184</v>
      </c>
      <c r="CG74" s="249">
        <f>'[1]Malaysian mobile model'!CW17</f>
        <v>21624.435222509597</v>
      </c>
      <c r="CH74" s="249">
        <f>'[1]Malaysian mobile model'!CX17</f>
        <v>21947.759344452541</v>
      </c>
      <c r="CI74" s="249">
        <f>'[1]Malaysian mobile model'!CY17</f>
        <v>22252.1483011784</v>
      </c>
      <c r="CJ74" s="249">
        <f>'[1]Malaysian mobile model'!CZ17</f>
        <v>22539.470112407547</v>
      </c>
      <c r="CK74" s="249">
        <f>'[1]Malaysian mobile model'!DA17</f>
        <v>22811.414700534264</v>
      </c>
      <c r="CL74" s="249">
        <f>'[1]Malaysian mobile model'!DB17</f>
        <v>23069.510900414185</v>
      </c>
      <c r="CM74" s="249">
        <f>'[1]Malaysian mobile model'!DC17</f>
        <v>23315.14184472448</v>
      </c>
      <c r="CN74" s="195"/>
      <c r="CO74" s="195"/>
      <c r="CP74" s="195"/>
      <c r="CQ74" s="195"/>
      <c r="CR74" s="195"/>
      <c r="CS74" s="195"/>
      <c r="CT74" s="195"/>
      <c r="DE74" s="195"/>
      <c r="DF74" s="198"/>
      <c r="DG74" s="198"/>
    </row>
    <row r="75" spans="1:111" hidden="1" outlineLevel="1">
      <c r="A75" s="195" t="s">
        <v>206</v>
      </c>
      <c r="B75" s="205">
        <f>B76-SUM(B72:B74)</f>
        <v>0</v>
      </c>
      <c r="C75" s="205"/>
      <c r="D75" s="205"/>
      <c r="E75" s="205"/>
      <c r="F75" s="205"/>
      <c r="G75" s="205">
        <f>G76-SUM(G72:G74)</f>
        <v>0</v>
      </c>
      <c r="H75" s="205"/>
      <c r="I75" s="205"/>
      <c r="J75" s="205"/>
      <c r="K75" s="205"/>
      <c r="L75" s="205">
        <f>L76-SUM(L72:L74)</f>
        <v>304.90024440960042</v>
      </c>
      <c r="M75" s="205"/>
      <c r="N75" s="205"/>
      <c r="O75" s="205"/>
      <c r="P75" s="205"/>
      <c r="Q75" s="205">
        <f>Q76-SUM(Q72:Q74)</f>
        <v>-12</v>
      </c>
      <c r="R75" s="205"/>
      <c r="S75" s="205"/>
      <c r="T75" s="205"/>
      <c r="U75" s="205"/>
      <c r="V75" s="205">
        <f>V76-SUM(V72:V74)</f>
        <v>2271.8670780046741</v>
      </c>
      <c r="W75" s="205"/>
      <c r="X75" s="205"/>
      <c r="Y75" s="205"/>
      <c r="Z75" s="205"/>
      <c r="AA75" s="205">
        <f>AA76-SUM(AA72:AA74)</f>
        <v>4034</v>
      </c>
      <c r="AB75" s="205"/>
      <c r="AC75" s="205"/>
      <c r="AD75" s="205"/>
      <c r="AE75" s="205"/>
      <c r="AF75" s="205">
        <f>AF76-SUM(AF72:AF74)</f>
        <v>5975</v>
      </c>
      <c r="AG75" s="205"/>
      <c r="AH75" s="205"/>
      <c r="AI75" s="205"/>
      <c r="AJ75" s="205"/>
      <c r="AK75" s="205">
        <f>AK76-SUM(AK72:AK74)</f>
        <v>7598</v>
      </c>
      <c r="AL75" s="205"/>
      <c r="AM75" s="205"/>
      <c r="AN75" s="205"/>
      <c r="AO75" s="205"/>
      <c r="AP75" s="205">
        <f>AP76-SUM(AP72:AP74)</f>
        <v>7031</v>
      </c>
      <c r="AQ75" s="205"/>
      <c r="AR75" s="205"/>
      <c r="AS75" s="205"/>
      <c r="AT75" s="205"/>
      <c r="AU75" s="205">
        <f t="shared" ref="AU75" si="233">AU76-SUM(AU72:AU74)</f>
        <v>9527</v>
      </c>
      <c r="AV75" s="205"/>
      <c r="AW75" s="205"/>
      <c r="AX75" s="254"/>
      <c r="AY75" s="254"/>
      <c r="AZ75" s="205">
        <f t="shared" ref="AZ75" si="234">AZ76-SUM(AZ72:AZ74)</f>
        <v>10520</v>
      </c>
      <c r="BA75" s="205"/>
      <c r="BB75" s="205"/>
      <c r="BC75" s="205"/>
      <c r="BD75" s="205"/>
      <c r="BE75" s="205">
        <f t="shared" ref="BE75" si="235">BE76-SUM(BE72:BE74)</f>
        <v>10916</v>
      </c>
      <c r="BF75" s="205"/>
      <c r="BG75" s="254"/>
      <c r="BH75" s="254"/>
      <c r="BI75" s="254"/>
      <c r="BJ75" s="205">
        <f t="shared" ref="BJ75" si="236">BJ76-SUM(BJ72:BJ74)</f>
        <v>13818</v>
      </c>
      <c r="BK75" s="205"/>
      <c r="BL75" s="205"/>
      <c r="BM75" s="205"/>
      <c r="BN75" s="205"/>
      <c r="BO75" s="205">
        <f t="shared" ref="BO75" si="237">BO76-SUM(BO72:BO74)</f>
        <v>13472.600000000006</v>
      </c>
      <c r="BP75" s="205"/>
      <c r="BQ75" s="205"/>
      <c r="BR75" s="205"/>
      <c r="BS75" s="205"/>
      <c r="BT75" s="205">
        <f t="shared" ref="BT75" si="238">BT76-SUM(BT72:BT74)</f>
        <v>15729</v>
      </c>
      <c r="BU75" s="205"/>
      <c r="BV75" s="205"/>
      <c r="BW75" s="205"/>
      <c r="BX75" s="205"/>
      <c r="BY75" s="205">
        <f t="shared" ref="BY75" si="239">BY76-SUM(BY72:BY74)</f>
        <v>15729</v>
      </c>
      <c r="BZ75" s="205"/>
      <c r="CA75" s="205"/>
      <c r="CB75" s="205"/>
      <c r="CC75" s="205"/>
      <c r="CD75" s="205">
        <f t="shared" ref="CD75:CI75" si="240">CD76-SUM(CD72:CD74)</f>
        <v>15729</v>
      </c>
      <c r="CE75" s="205">
        <f t="shared" si="240"/>
        <v>16107.799999068688</v>
      </c>
      <c r="CF75" s="205">
        <f t="shared" si="240"/>
        <v>16390.948236031843</v>
      </c>
      <c r="CG75" s="205">
        <f t="shared" si="240"/>
        <v>16656.163032049393</v>
      </c>
      <c r="CH75" s="205">
        <f t="shared" si="240"/>
        <v>16905.202566810054</v>
      </c>
      <c r="CI75" s="205">
        <f t="shared" si="240"/>
        <v>17139.657341522681</v>
      </c>
      <c r="CJ75" s="205">
        <f t="shared" ref="CJ75:CL75" si="241">CJ76-SUM(CJ72:CJ74)</f>
        <v>17360.966193349472</v>
      </c>
      <c r="CK75" s="205">
        <f t="shared" si="241"/>
        <v>17570.430780466508</v>
      </c>
      <c r="CL75" s="205">
        <f t="shared" si="241"/>
        <v>17769.228683806781</v>
      </c>
      <c r="CM75" s="205">
        <f t="shared" ref="CM75" si="242">CM76-SUM(CM72:CM74)</f>
        <v>17958.425257592426</v>
      </c>
      <c r="CN75" s="195"/>
      <c r="CO75" s="195"/>
      <c r="CP75" s="195"/>
      <c r="CQ75" s="195"/>
      <c r="CR75" s="195"/>
      <c r="CS75" s="195"/>
      <c r="CT75" s="195"/>
      <c r="DE75" s="195"/>
      <c r="DF75" s="198"/>
      <c r="DG75" s="198"/>
    </row>
    <row r="76" spans="1:111" hidden="1" outlineLevel="1">
      <c r="A76" s="255" t="s">
        <v>5</v>
      </c>
      <c r="B76" s="255">
        <f>B68*B70</f>
        <v>23376.2</v>
      </c>
      <c r="C76" s="255"/>
      <c r="D76" s="255"/>
      <c r="E76" s="255"/>
      <c r="F76" s="255"/>
      <c r="G76" s="255">
        <f>G68*G70</f>
        <v>27057.1</v>
      </c>
      <c r="H76" s="255"/>
      <c r="I76" s="255"/>
      <c r="J76" s="255"/>
      <c r="K76" s="255"/>
      <c r="L76" s="255">
        <f>L68*L70</f>
        <v>30490.024440960002</v>
      </c>
      <c r="M76" s="255"/>
      <c r="N76" s="255"/>
      <c r="O76" s="255"/>
      <c r="P76" s="255"/>
      <c r="Q76" s="255">
        <f>Q68*Q70</f>
        <v>33900</v>
      </c>
      <c r="R76" s="255"/>
      <c r="S76" s="255"/>
      <c r="T76" s="255"/>
      <c r="U76" s="255"/>
      <c r="V76" s="255">
        <f>V68*V70</f>
        <v>36700</v>
      </c>
      <c r="W76" s="255"/>
      <c r="X76" s="255"/>
      <c r="Y76" s="255"/>
      <c r="Z76" s="255"/>
      <c r="AA76" s="255">
        <f>AA68*AA70</f>
        <v>41300</v>
      </c>
      <c r="AB76" s="255"/>
      <c r="AC76" s="255"/>
      <c r="AD76" s="255"/>
      <c r="AE76" s="255"/>
      <c r="AF76" s="255">
        <f>AF68*AF70</f>
        <v>43000</v>
      </c>
      <c r="AG76" s="255"/>
      <c r="AH76" s="255"/>
      <c r="AI76" s="255"/>
      <c r="AJ76" s="255"/>
      <c r="AK76" s="255">
        <f>AK68*AK70</f>
        <v>44900</v>
      </c>
      <c r="AL76" s="255"/>
      <c r="AM76" s="255"/>
      <c r="AN76" s="255"/>
      <c r="AO76" s="255"/>
      <c r="AP76" s="255">
        <f>AP68*AP70</f>
        <v>44100</v>
      </c>
      <c r="AQ76" s="255"/>
      <c r="AR76" s="255"/>
      <c r="AS76" s="255"/>
      <c r="AT76" s="255"/>
      <c r="AU76" s="256">
        <f>'[1]Malaysian mobile model'!BK21</f>
        <v>44100</v>
      </c>
      <c r="AV76" s="257"/>
      <c r="AW76" s="257"/>
      <c r="AX76" s="257"/>
      <c r="AY76" s="257"/>
      <c r="AZ76" s="256">
        <f>'[1]Malaysian mobile model'!BP21</f>
        <v>42741</v>
      </c>
      <c r="BA76" s="257"/>
      <c r="BB76" s="257"/>
      <c r="BC76" s="257"/>
      <c r="BD76" s="257"/>
      <c r="BE76" s="256">
        <f>'[1]Malaysian mobile model'!BU21</f>
        <v>42413</v>
      </c>
      <c r="BF76" s="255"/>
      <c r="BG76" s="255"/>
      <c r="BH76" s="255"/>
      <c r="BI76" s="255"/>
      <c r="BJ76" s="256">
        <f>'[1]Malaysian mobile model'!BZ21</f>
        <v>44601</v>
      </c>
      <c r="BK76" s="255"/>
      <c r="BL76" s="255"/>
      <c r="BM76" s="255"/>
      <c r="BN76" s="255"/>
      <c r="BO76" s="256">
        <f>'[1]Malaysian mobile model'!CE21</f>
        <v>43723.600000000006</v>
      </c>
      <c r="BP76" s="255"/>
      <c r="BQ76" s="255"/>
      <c r="BR76" s="255"/>
      <c r="BS76" s="255"/>
      <c r="BT76" s="256">
        <f>'[1]Malaysian mobile model'!CJ21</f>
        <v>47247</v>
      </c>
      <c r="BU76" s="255"/>
      <c r="BV76" s="255"/>
      <c r="BW76" s="255"/>
      <c r="BX76" s="255"/>
      <c r="BY76" s="256">
        <f>'[1]Malaysian mobile model'!CO21</f>
        <v>47452</v>
      </c>
      <c r="BZ76" s="255"/>
      <c r="CA76" s="255"/>
      <c r="CB76" s="255"/>
      <c r="CC76" s="255"/>
      <c r="CD76" s="256">
        <f>'[1]Malaysian mobile model'!CT21</f>
        <v>48660.714</v>
      </c>
      <c r="CE76" s="256">
        <f>'[1]Malaysian mobile model'!CU21</f>
        <v>49832.605310183841</v>
      </c>
      <c r="CF76" s="256">
        <f>'[1]Malaysian mobile model'!CV21</f>
        <v>50708.579331321132</v>
      </c>
      <c r="CG76" s="256">
        <f>'[1]Malaysian mobile model'!CW21</f>
        <v>51529.072772581108</v>
      </c>
      <c r="CH76" s="256">
        <f>'[1]Malaysian mobile model'!CX21</f>
        <v>52299.52490403776</v>
      </c>
      <c r="CI76" s="256">
        <f>'[1]Malaysian mobile model'!CY21</f>
        <v>53024.856249846503</v>
      </c>
      <c r="CJ76" s="256">
        <f>'[1]Malaysian mobile model'!CZ21</f>
        <v>53709.518132001234</v>
      </c>
      <c r="CK76" s="256">
        <f>'[1]Malaysian mobile model'!DA21</f>
        <v>54357.537482680251</v>
      </c>
      <c r="CL76" s="256">
        <f>'[1]Malaysian mobile model'!DB21</f>
        <v>54972.557377030847</v>
      </c>
      <c r="CM76" s="256">
        <f>'[1]Malaysian mobile model'!DC21</f>
        <v>55557.873695090697</v>
      </c>
      <c r="CN76" s="195"/>
      <c r="CO76" s="195"/>
      <c r="CP76" s="195"/>
      <c r="CQ76" s="195"/>
      <c r="CR76" s="195"/>
      <c r="CS76" s="207"/>
      <c r="CT76" s="207"/>
      <c r="CU76" s="207"/>
      <c r="CV76" s="207"/>
      <c r="CW76" s="207">
        <v>0.46076720584682074</v>
      </c>
      <c r="CX76" s="207">
        <v>0.30360377369499791</v>
      </c>
      <c r="CY76" s="207">
        <v>0.45576720584682073</v>
      </c>
      <c r="CZ76" s="207">
        <v>0.4557672058468194</v>
      </c>
      <c r="DA76" s="207">
        <v>0.45576720584682345</v>
      </c>
      <c r="DB76" s="207">
        <v>0.45576720584682157</v>
      </c>
      <c r="DC76" s="207">
        <v>0.46078064511114025</v>
      </c>
    </row>
    <row r="77" spans="1:111" hidden="1" outlineLevel="1">
      <c r="A77" s="258" t="s">
        <v>8</v>
      </c>
      <c r="B77" s="259"/>
      <c r="C77" s="259"/>
      <c r="D77" s="259"/>
      <c r="E77" s="259"/>
      <c r="F77" s="259"/>
      <c r="G77" s="259">
        <f>G76/B76-1</f>
        <v>0.15746357406250788</v>
      </c>
      <c r="H77" s="259"/>
      <c r="I77" s="259"/>
      <c r="J77" s="259"/>
      <c r="K77" s="259"/>
      <c r="L77" s="259">
        <f>L76/G76-1</f>
        <v>0.12687702824619063</v>
      </c>
      <c r="M77" s="259"/>
      <c r="N77" s="259"/>
      <c r="O77" s="259"/>
      <c r="P77" s="259"/>
      <c r="Q77" s="259">
        <f>Q76/L76-1</f>
        <v>0.11183905626717272</v>
      </c>
      <c r="R77" s="259"/>
      <c r="S77" s="259"/>
      <c r="T77" s="259"/>
      <c r="U77" s="259"/>
      <c r="V77" s="259">
        <f>V76/Q76-1</f>
        <v>8.259587020648973E-2</v>
      </c>
      <c r="W77" s="259"/>
      <c r="X77" s="259"/>
      <c r="Y77" s="259"/>
      <c r="Z77" s="259"/>
      <c r="AA77" s="259">
        <f>AA76/V76-1</f>
        <v>0.12534059945504095</v>
      </c>
      <c r="AB77" s="259"/>
      <c r="AC77" s="259"/>
      <c r="AD77" s="259"/>
      <c r="AE77" s="259"/>
      <c r="AF77" s="259">
        <f>AF76/AA76-1</f>
        <v>4.1162227602905554E-2</v>
      </c>
      <c r="AG77" s="259"/>
      <c r="AH77" s="259"/>
      <c r="AI77" s="259"/>
      <c r="AJ77" s="259"/>
      <c r="AK77" s="259">
        <f>AK76/AF76-1</f>
        <v>4.4186046511627941E-2</v>
      </c>
      <c r="AL77" s="259"/>
      <c r="AM77" s="259"/>
      <c r="AN77" s="259"/>
      <c r="AO77" s="259"/>
      <c r="AP77" s="259">
        <f>AP76/AK76-1</f>
        <v>-1.7817371937639215E-2</v>
      </c>
      <c r="AQ77" s="259"/>
      <c r="AR77" s="259"/>
      <c r="AS77" s="259"/>
      <c r="AT77" s="259"/>
      <c r="AU77" s="259">
        <f>AU76/AP76-1</f>
        <v>0</v>
      </c>
      <c r="AV77" s="259"/>
      <c r="AW77" s="259"/>
      <c r="AX77" s="260"/>
      <c r="AY77" s="260"/>
      <c r="AZ77" s="259">
        <f>AZ76/AU76-1</f>
        <v>-3.0816326530612281E-2</v>
      </c>
      <c r="BA77" s="259"/>
      <c r="BB77" s="259"/>
      <c r="BC77" s="259"/>
      <c r="BD77" s="259"/>
      <c r="BE77" s="259">
        <f>BE76/AZ76-1</f>
        <v>-7.6741302262464117E-3</v>
      </c>
      <c r="BF77" s="259"/>
      <c r="BG77" s="260"/>
      <c r="BH77" s="260"/>
      <c r="BI77" s="260"/>
      <c r="BJ77" s="259">
        <f>BJ76/BE76-1</f>
        <v>5.1587956522764156E-2</v>
      </c>
      <c r="BK77" s="259"/>
      <c r="BL77" s="259"/>
      <c r="BM77" s="259"/>
      <c r="BN77" s="259"/>
      <c r="BO77" s="259">
        <f>BO76/BJ76-1</f>
        <v>-1.9672204659088255E-2</v>
      </c>
      <c r="BP77" s="259"/>
      <c r="BQ77" s="259"/>
      <c r="BR77" s="259"/>
      <c r="BS77" s="259"/>
      <c r="BT77" s="259">
        <f>BT76/BO76-1</f>
        <v>8.0583483519197641E-2</v>
      </c>
      <c r="BU77" s="251"/>
      <c r="BV77" s="251"/>
      <c r="BW77" s="251"/>
      <c r="BX77" s="251"/>
      <c r="BY77" s="259">
        <f>BY76/BT76-1</f>
        <v>4.3388998243274468E-3</v>
      </c>
      <c r="BZ77" s="251"/>
      <c r="CA77" s="251"/>
      <c r="CB77" s="251"/>
      <c r="CC77" s="251"/>
      <c r="CD77" s="259">
        <f>CD76/BY76-1</f>
        <v>2.5472351007333804E-2</v>
      </c>
      <c r="CE77" s="259">
        <f t="shared" ref="CE77:CI77" si="243">CE76/CD76-1</f>
        <v>2.4082904130503291E-2</v>
      </c>
      <c r="CF77" s="259">
        <f t="shared" si="243"/>
        <v>1.7578330807405562E-2</v>
      </c>
      <c r="CG77" s="259">
        <f t="shared" si="243"/>
        <v>1.6180564552972676E-2</v>
      </c>
      <c r="CH77" s="259">
        <f t="shared" si="243"/>
        <v>1.4951794977118515E-2</v>
      </c>
      <c r="CI77" s="259">
        <f t="shared" si="243"/>
        <v>1.3868794164758169E-2</v>
      </c>
      <c r="CJ77" s="259">
        <f t="shared" ref="CJ77" si="244">CJ76/CI76-1</f>
        <v>1.2912093130977853E-2</v>
      </c>
      <c r="CK77" s="259">
        <f t="shared" ref="CK77" si="245">CK76/CJ76-1</f>
        <v>1.2065260929848387E-2</v>
      </c>
      <c r="CL77" s="259">
        <f t="shared" ref="CL77:CM77" si="246">CL76/CK76-1</f>
        <v>1.1314344299473866E-2</v>
      </c>
      <c r="CM77" s="259">
        <f t="shared" si="246"/>
        <v>1.0647427479959504E-2</v>
      </c>
      <c r="CN77" s="261"/>
      <c r="CO77" s="261"/>
      <c r="CP77" s="261"/>
      <c r="CQ77" s="261"/>
      <c r="CR77" s="262"/>
      <c r="CS77" s="207"/>
      <c r="CT77" s="207"/>
      <c r="CU77" s="207"/>
      <c r="CV77" s="207"/>
      <c r="CW77" s="207">
        <v>0.54393727942004988</v>
      </c>
      <c r="CX77" s="207">
        <v>0.45348077777151813</v>
      </c>
      <c r="CY77" s="207">
        <v>0.29423279415317793</v>
      </c>
      <c r="CZ77" s="207">
        <v>0.29423279415317877</v>
      </c>
      <c r="DA77" s="207">
        <v>0.29423279415317838</v>
      </c>
      <c r="DB77" s="207">
        <v>0.29423279415318132</v>
      </c>
      <c r="DC77" s="207">
        <v>0.29746935488886639</v>
      </c>
    </row>
    <row r="78" spans="1:111" hidden="1" outlineLevel="1">
      <c r="A78" s="235"/>
      <c r="B78" s="263"/>
      <c r="C78" s="263"/>
      <c r="D78" s="263"/>
      <c r="E78" s="263"/>
      <c r="F78" s="263"/>
      <c r="G78" s="263"/>
      <c r="H78" s="263"/>
      <c r="I78" s="263"/>
      <c r="J78" s="263"/>
      <c r="K78" s="263"/>
      <c r="L78" s="263"/>
      <c r="M78" s="263"/>
      <c r="N78" s="263"/>
      <c r="O78" s="263"/>
      <c r="P78" s="263"/>
      <c r="Q78" s="263"/>
      <c r="R78" s="263"/>
      <c r="S78" s="263"/>
      <c r="T78" s="263"/>
      <c r="U78" s="263"/>
      <c r="V78" s="263"/>
      <c r="W78" s="263"/>
      <c r="X78" s="263"/>
      <c r="Y78" s="263"/>
      <c r="Z78" s="263"/>
      <c r="AA78" s="263"/>
      <c r="AB78" s="263"/>
      <c r="AC78" s="263"/>
      <c r="AD78" s="263"/>
      <c r="AE78" s="263"/>
      <c r="AF78" s="227"/>
      <c r="AG78" s="227"/>
      <c r="AH78" s="227"/>
      <c r="AI78" s="227"/>
      <c r="AJ78" s="227"/>
      <c r="AK78" s="234"/>
      <c r="AL78" s="234"/>
      <c r="AM78" s="234"/>
      <c r="AN78" s="234"/>
      <c r="AO78" s="234"/>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259">
        <f>CE72/CD72-1</f>
        <v>2.4082904130503291E-2</v>
      </c>
      <c r="CF78" s="259">
        <f t="shared" ref="CF78:CM78" si="247">CF72/CE72-1</f>
        <v>1.7578330807405784E-2</v>
      </c>
      <c r="CG78" s="259">
        <f t="shared" si="247"/>
        <v>1.6180564552972676E-2</v>
      </c>
      <c r="CH78" s="259">
        <f t="shared" si="247"/>
        <v>1.4951794977118515E-2</v>
      </c>
      <c r="CI78" s="259">
        <f t="shared" si="247"/>
        <v>1.3868794164758169E-2</v>
      </c>
      <c r="CJ78" s="259">
        <f t="shared" si="247"/>
        <v>1.2912093130977853E-2</v>
      </c>
      <c r="CK78" s="259">
        <f t="shared" si="247"/>
        <v>1.2065260929848387E-2</v>
      </c>
      <c r="CL78" s="259">
        <f t="shared" si="247"/>
        <v>1.1314344299473866E-2</v>
      </c>
      <c r="CM78" s="259">
        <f t="shared" si="247"/>
        <v>1.0647427479959504E-2</v>
      </c>
      <c r="CN78" s="195"/>
      <c r="CO78" s="195"/>
      <c r="CP78" s="195"/>
      <c r="CQ78" s="195"/>
      <c r="CR78" s="264"/>
      <c r="CS78" s="207"/>
      <c r="CT78" s="207"/>
      <c r="CU78" s="207"/>
      <c r="CV78" s="207"/>
      <c r="CW78" s="207">
        <v>1</v>
      </c>
      <c r="CX78" s="207">
        <v>1</v>
      </c>
      <c r="CY78" s="207">
        <v>1</v>
      </c>
      <c r="CZ78" s="207">
        <v>1</v>
      </c>
      <c r="DA78" s="207">
        <v>1</v>
      </c>
      <c r="DB78" s="207">
        <v>1</v>
      </c>
      <c r="DC78" s="207">
        <v>1.0110000000000088</v>
      </c>
    </row>
    <row r="79" spans="1:111" hidden="1" outlineLevel="1">
      <c r="A79" s="237" t="s">
        <v>11</v>
      </c>
      <c r="B79" s="237">
        <f>B67</f>
        <v>2007</v>
      </c>
      <c r="C79" s="237"/>
      <c r="D79" s="237"/>
      <c r="E79" s="237"/>
      <c r="F79" s="237"/>
      <c r="G79" s="237">
        <f>B79+1</f>
        <v>2008</v>
      </c>
      <c r="H79" s="237"/>
      <c r="I79" s="237"/>
      <c r="J79" s="237"/>
      <c r="K79" s="237"/>
      <c r="L79" s="237">
        <f>G79+1</f>
        <v>2009</v>
      </c>
      <c r="M79" s="237"/>
      <c r="N79" s="237"/>
      <c r="O79" s="237"/>
      <c r="P79" s="237"/>
      <c r="Q79" s="237">
        <f>L79+1</f>
        <v>2010</v>
      </c>
      <c r="R79" s="237"/>
      <c r="S79" s="237"/>
      <c r="T79" s="237"/>
      <c r="U79" s="237"/>
      <c r="V79" s="237">
        <f>Q79+1</f>
        <v>2011</v>
      </c>
      <c r="W79" s="237"/>
      <c r="X79" s="237"/>
      <c r="Y79" s="237"/>
      <c r="Z79" s="237"/>
      <c r="AA79" s="237">
        <f>V79+1</f>
        <v>2012</v>
      </c>
      <c r="AB79" s="237"/>
      <c r="AC79" s="237"/>
      <c r="AD79" s="237"/>
      <c r="AE79" s="237"/>
      <c r="AF79" s="237">
        <f>AA79+1</f>
        <v>2013</v>
      </c>
      <c r="AG79" s="237"/>
      <c r="AH79" s="237"/>
      <c r="AI79" s="237"/>
      <c r="AJ79" s="237"/>
      <c r="AK79" s="237">
        <f>AF79+1</f>
        <v>2014</v>
      </c>
      <c r="AL79" s="237"/>
      <c r="AM79" s="237"/>
      <c r="AN79" s="237"/>
      <c r="AO79" s="237"/>
      <c r="AP79" s="237">
        <f>AK79+1</f>
        <v>2015</v>
      </c>
      <c r="AQ79" s="237"/>
      <c r="AR79" s="237"/>
      <c r="AS79" s="237"/>
      <c r="AT79" s="237"/>
      <c r="AU79" s="237">
        <f>AP79+1</f>
        <v>2016</v>
      </c>
      <c r="AV79" s="237"/>
      <c r="AW79" s="237"/>
      <c r="AX79" s="237"/>
      <c r="AY79" s="237"/>
      <c r="AZ79" s="237">
        <f>AU79+1</f>
        <v>2017</v>
      </c>
      <c r="BA79" s="237"/>
      <c r="BB79" s="237"/>
      <c r="BC79" s="237"/>
      <c r="BD79" s="237"/>
      <c r="BE79" s="237">
        <f>AZ79+1</f>
        <v>2018</v>
      </c>
      <c r="BF79" s="237"/>
      <c r="BG79" s="237"/>
      <c r="BH79" s="237"/>
      <c r="BI79" s="237"/>
      <c r="BJ79" s="237">
        <f>BE79+1</f>
        <v>2019</v>
      </c>
      <c r="BK79" s="237"/>
      <c r="BL79" s="237"/>
      <c r="BM79" s="237"/>
      <c r="BN79" s="237"/>
      <c r="BO79" s="237">
        <f>BJ79+1</f>
        <v>2020</v>
      </c>
      <c r="BP79" s="237"/>
      <c r="BQ79" s="237"/>
      <c r="BR79" s="237"/>
      <c r="BS79" s="237"/>
      <c r="BT79" s="237">
        <f>BO79+1</f>
        <v>2021</v>
      </c>
      <c r="BU79" s="237"/>
      <c r="BV79" s="237"/>
      <c r="BW79" s="237"/>
      <c r="BX79" s="237"/>
      <c r="BY79" s="237">
        <f>BT79+1</f>
        <v>2022</v>
      </c>
      <c r="BZ79" s="237"/>
      <c r="CA79" s="237"/>
      <c r="CB79" s="237"/>
      <c r="CC79" s="237"/>
      <c r="CD79" s="237">
        <f>BY79+1</f>
        <v>2023</v>
      </c>
      <c r="CE79" s="237">
        <f t="shared" ref="CE79:CI79" si="248">CD79+1</f>
        <v>2024</v>
      </c>
      <c r="CF79" s="237">
        <f t="shared" si="248"/>
        <v>2025</v>
      </c>
      <c r="CG79" s="237">
        <f t="shared" si="248"/>
        <v>2026</v>
      </c>
      <c r="CH79" s="237">
        <f t="shared" si="248"/>
        <v>2027</v>
      </c>
      <c r="CI79" s="237">
        <f t="shared" si="248"/>
        <v>2028</v>
      </c>
      <c r="CJ79" s="237">
        <f t="shared" ref="CJ79" si="249">CI79+1</f>
        <v>2029</v>
      </c>
      <c r="CK79" s="237">
        <f t="shared" ref="CK79" si="250">CJ79+1</f>
        <v>2030</v>
      </c>
      <c r="CL79" s="237">
        <f t="shared" ref="CL79:CM79" si="251">CK79+1</f>
        <v>2031</v>
      </c>
      <c r="CM79" s="237">
        <f t="shared" si="251"/>
        <v>2032</v>
      </c>
      <c r="CN79" s="195"/>
      <c r="CO79" s="195"/>
      <c r="CP79" s="195"/>
      <c r="CQ79" s="195"/>
      <c r="CR79" s="195"/>
      <c r="CS79" s="195"/>
      <c r="CT79" s="195"/>
    </row>
    <row r="80" spans="1:111" hidden="1" outlineLevel="1">
      <c r="A80" s="195" t="s">
        <v>253</v>
      </c>
      <c r="B80" s="203"/>
      <c r="C80" s="203"/>
      <c r="D80" s="203"/>
      <c r="E80" s="203"/>
      <c r="F80" s="203"/>
      <c r="G80" s="203">
        <f>G72-B72</f>
        <v>1468.8999999999996</v>
      </c>
      <c r="H80" s="203"/>
      <c r="I80" s="203"/>
      <c r="J80" s="203"/>
      <c r="K80" s="203"/>
      <c r="L80" s="203">
        <f>L72-G72</f>
        <v>1086.024196550401</v>
      </c>
      <c r="M80" s="203"/>
      <c r="N80" s="203"/>
      <c r="O80" s="203"/>
      <c r="P80" s="203"/>
      <c r="Q80" s="203">
        <f>Q72-L72</f>
        <v>1633.8758034495986</v>
      </c>
      <c r="R80" s="203"/>
      <c r="S80" s="203"/>
      <c r="T80" s="203"/>
      <c r="U80" s="203"/>
      <c r="V80" s="203">
        <f>V72-Q72</f>
        <v>-1219</v>
      </c>
      <c r="W80" s="203"/>
      <c r="X80" s="203"/>
      <c r="Y80" s="203"/>
      <c r="Z80" s="203"/>
      <c r="AA80" s="203">
        <f>AA72-V72</f>
        <v>1356</v>
      </c>
      <c r="AB80" s="203"/>
      <c r="AC80" s="203"/>
      <c r="AD80" s="203"/>
      <c r="AE80" s="203"/>
      <c r="AF80" s="203">
        <f>AF72-AA72</f>
        <v>-1198</v>
      </c>
      <c r="AG80" s="203"/>
      <c r="AH80" s="203"/>
      <c r="AI80" s="203"/>
      <c r="AJ80" s="203"/>
      <c r="AK80" s="203">
        <f>AK72-AF72</f>
        <v>20</v>
      </c>
      <c r="AL80" s="203"/>
      <c r="AM80" s="203"/>
      <c r="AN80" s="203"/>
      <c r="AO80" s="203"/>
      <c r="AP80" s="203">
        <f>AP72-AK72</f>
        <v>-219</v>
      </c>
      <c r="AQ80" s="203"/>
      <c r="AR80" s="203"/>
      <c r="AS80" s="203"/>
      <c r="AT80" s="203"/>
      <c r="AU80" s="203">
        <f>AU72-AP72</f>
        <v>-976</v>
      </c>
      <c r="AV80" s="203"/>
      <c r="AW80" s="203"/>
      <c r="AX80" s="204"/>
      <c r="AY80" s="204"/>
      <c r="AZ80" s="203">
        <f>AZ72-AU72</f>
        <v>-790</v>
      </c>
      <c r="BA80" s="203"/>
      <c r="BB80" s="203"/>
      <c r="BC80" s="203"/>
      <c r="BD80" s="203"/>
      <c r="BE80" s="203">
        <f>BE72-AZ72</f>
        <v>-167</v>
      </c>
      <c r="BF80" s="203"/>
      <c r="BG80" s="204"/>
      <c r="BH80" s="204"/>
      <c r="BI80" s="204"/>
      <c r="BJ80" s="203">
        <f>BJ72-BE72</f>
        <v>369</v>
      </c>
      <c r="BK80" s="203"/>
      <c r="BL80" s="203"/>
      <c r="BM80" s="203"/>
      <c r="BN80" s="203"/>
      <c r="BO80" s="203">
        <f>BO72-BJ72</f>
        <v>2</v>
      </c>
      <c r="BP80" s="203"/>
      <c r="BQ80" s="203"/>
      <c r="BR80" s="203"/>
      <c r="BS80" s="203"/>
      <c r="BT80" s="203">
        <f>BT72-BO72</f>
        <v>486</v>
      </c>
      <c r="BU80" s="205"/>
      <c r="BV80" s="205"/>
      <c r="BW80" s="205"/>
      <c r="BX80" s="205"/>
      <c r="BY80" s="203">
        <f>BY72-BT72</f>
        <v>120</v>
      </c>
      <c r="BZ80" s="205"/>
      <c r="CA80" s="205"/>
      <c r="CB80" s="205"/>
      <c r="CC80" s="205"/>
      <c r="CD80" s="203">
        <f>CD72-BY72</f>
        <v>773</v>
      </c>
      <c r="CE80" s="203">
        <f t="shared" ref="CE80:CI80" si="252">CE72-CD72</f>
        <v>301.3012135767276</v>
      </c>
      <c r="CF80" s="203">
        <f t="shared" si="252"/>
        <v>225.21886913637718</v>
      </c>
      <c r="CG80" s="203">
        <f t="shared" si="252"/>
        <v>210.95443530901684</v>
      </c>
      <c r="CH80" s="203">
        <f t="shared" si="252"/>
        <v>198.08847475304538</v>
      </c>
      <c r="CI80" s="203">
        <f t="shared" si="252"/>
        <v>186.48761437025314</v>
      </c>
      <c r="CJ80" s="203">
        <f t="shared" ref="CJ80:CJ84" si="253">CJ72-CI72</f>
        <v>176.03121909879519</v>
      </c>
      <c r="CK80" s="203">
        <f t="shared" ref="CK80:CK84" si="254">CK72-CJ72</f>
        <v>166.61017543526395</v>
      </c>
      <c r="CL80" s="203">
        <f t="shared" ref="CL80:CM84" si="255">CL72-CK72</f>
        <v>158.12579113040374</v>
      </c>
      <c r="CM80" s="203">
        <f t="shared" si="255"/>
        <v>150.48879996390497</v>
      </c>
      <c r="CN80" s="195"/>
      <c r="CO80" s="195"/>
      <c r="CP80" s="195"/>
      <c r="CQ80" s="195"/>
      <c r="CR80" s="195"/>
      <c r="CS80" s="195"/>
      <c r="CT80" s="195"/>
    </row>
    <row r="81" spans="1:113" hidden="1" outlineLevel="1">
      <c r="A81" s="195" t="s">
        <v>254</v>
      </c>
      <c r="B81" s="203"/>
      <c r="C81" s="203"/>
      <c r="D81" s="203"/>
      <c r="E81" s="203"/>
      <c r="F81" s="203"/>
      <c r="G81" s="203">
        <f>G73-B73</f>
        <v>1559</v>
      </c>
      <c r="H81" s="203"/>
      <c r="I81" s="203"/>
      <c r="J81" s="203"/>
      <c r="K81" s="203"/>
      <c r="L81" s="203">
        <f>L73-G73</f>
        <v>1384</v>
      </c>
      <c r="M81" s="203"/>
      <c r="N81" s="203"/>
      <c r="O81" s="203"/>
      <c r="P81" s="203"/>
      <c r="Q81" s="203">
        <f>Q73-L73</f>
        <v>1048</v>
      </c>
      <c r="R81" s="203"/>
      <c r="S81" s="203"/>
      <c r="T81" s="203"/>
      <c r="U81" s="203"/>
      <c r="V81" s="203">
        <f>V73-Q73</f>
        <v>787</v>
      </c>
      <c r="W81" s="203"/>
      <c r="X81" s="203"/>
      <c r="Y81" s="203"/>
      <c r="Z81" s="203"/>
      <c r="AA81" s="203">
        <f>AA73-V73</f>
        <v>701</v>
      </c>
      <c r="AB81" s="203"/>
      <c r="AC81" s="203"/>
      <c r="AD81" s="203"/>
      <c r="AE81" s="203"/>
      <c r="AF81" s="203">
        <f>AF73-AA73</f>
        <v>456</v>
      </c>
      <c r="AG81" s="203"/>
      <c r="AH81" s="203"/>
      <c r="AI81" s="203"/>
      <c r="AJ81" s="203"/>
      <c r="AK81" s="203">
        <f>AK73-AF73</f>
        <v>-169</v>
      </c>
      <c r="AL81" s="203"/>
      <c r="AM81" s="203"/>
      <c r="AN81" s="203"/>
      <c r="AO81" s="203"/>
      <c r="AP81" s="203">
        <f>AP73-AK73</f>
        <v>-718</v>
      </c>
      <c r="AQ81" s="203"/>
      <c r="AR81" s="203"/>
      <c r="AS81" s="203"/>
      <c r="AT81" s="203"/>
      <c r="AU81" s="203">
        <f>AU73-AP73</f>
        <v>-1694</v>
      </c>
      <c r="AV81" s="203"/>
      <c r="AW81" s="203"/>
      <c r="AX81" s="204"/>
      <c r="AY81" s="204"/>
      <c r="AZ81" s="203">
        <f>AZ73-AU73</f>
        <v>-1010</v>
      </c>
      <c r="BA81" s="203"/>
      <c r="BB81" s="203"/>
      <c r="BC81" s="203"/>
      <c r="BD81" s="203"/>
      <c r="BE81" s="203">
        <f>BE73-AZ73</f>
        <v>-470</v>
      </c>
      <c r="BF81" s="203"/>
      <c r="BG81" s="204"/>
      <c r="BH81" s="204"/>
      <c r="BI81" s="204"/>
      <c r="BJ81" s="203">
        <f>BJ73-BE73</f>
        <v>-704</v>
      </c>
      <c r="BK81" s="203"/>
      <c r="BL81" s="203"/>
      <c r="BM81" s="203"/>
      <c r="BN81" s="203"/>
      <c r="BO81" s="203">
        <f>BO73-BJ73</f>
        <v>306</v>
      </c>
      <c r="BP81" s="203"/>
      <c r="BQ81" s="203"/>
      <c r="BR81" s="203"/>
      <c r="BS81" s="203"/>
      <c r="BT81" s="203">
        <f>BT73-BO73</f>
        <v>917</v>
      </c>
      <c r="BU81" s="205"/>
      <c r="BV81" s="205"/>
      <c r="BW81" s="205"/>
      <c r="BX81" s="205"/>
      <c r="BY81" s="203">
        <f>BY73-BT73</f>
        <v>-9595</v>
      </c>
      <c r="BZ81" s="205"/>
      <c r="CA81" s="205"/>
      <c r="CB81" s="205"/>
      <c r="CC81" s="205"/>
      <c r="CD81" s="203">
        <f>CD73-BY73</f>
        <v>0</v>
      </c>
      <c r="CE81" s="203">
        <f t="shared" ref="CE81:CI81" si="256">CE73-CD73</f>
        <v>0</v>
      </c>
      <c r="CF81" s="203">
        <f t="shared" si="256"/>
        <v>0</v>
      </c>
      <c r="CG81" s="203">
        <f t="shared" si="256"/>
        <v>0</v>
      </c>
      <c r="CH81" s="203">
        <f t="shared" si="256"/>
        <v>0</v>
      </c>
      <c r="CI81" s="203">
        <f t="shared" si="256"/>
        <v>0</v>
      </c>
      <c r="CJ81" s="203">
        <f t="shared" si="253"/>
        <v>0</v>
      </c>
      <c r="CK81" s="203">
        <f t="shared" si="254"/>
        <v>0</v>
      </c>
      <c r="CL81" s="203">
        <f t="shared" si="255"/>
        <v>0</v>
      </c>
      <c r="CM81" s="203">
        <f t="shared" si="255"/>
        <v>0</v>
      </c>
      <c r="CN81" s="195"/>
      <c r="CO81" s="195"/>
      <c r="CP81" s="195"/>
      <c r="CQ81" s="195"/>
      <c r="CR81" s="195"/>
      <c r="CS81" s="195"/>
      <c r="CT81" s="195"/>
      <c r="DE81" s="265"/>
      <c r="DF81" s="265"/>
      <c r="DG81" s="265"/>
      <c r="DH81" s="265"/>
      <c r="DI81" s="265"/>
    </row>
    <row r="82" spans="1:113" hidden="1" outlineLevel="1">
      <c r="A82" s="195" t="s">
        <v>255</v>
      </c>
      <c r="B82" s="203"/>
      <c r="C82" s="203"/>
      <c r="D82" s="203"/>
      <c r="E82" s="203"/>
      <c r="F82" s="203"/>
      <c r="G82" s="203">
        <f>G74-B74</f>
        <v>653.00000000000091</v>
      </c>
      <c r="H82" s="203"/>
      <c r="I82" s="203"/>
      <c r="J82" s="203"/>
      <c r="K82" s="203"/>
      <c r="L82" s="203">
        <f>L74-G74</f>
        <v>658</v>
      </c>
      <c r="M82" s="203"/>
      <c r="N82" s="203"/>
      <c r="O82" s="203"/>
      <c r="P82" s="203"/>
      <c r="Q82" s="203">
        <f>Q74-L74</f>
        <v>1045</v>
      </c>
      <c r="R82" s="203"/>
      <c r="S82" s="203"/>
      <c r="T82" s="203"/>
      <c r="U82" s="203"/>
      <c r="V82" s="203">
        <f>V74-Q74</f>
        <v>948.13292199532589</v>
      </c>
      <c r="W82" s="203"/>
      <c r="X82" s="203"/>
      <c r="Y82" s="203"/>
      <c r="Z82" s="203"/>
      <c r="AA82" s="203">
        <f>AA74-V74</f>
        <v>780.86707800467593</v>
      </c>
      <c r="AB82" s="203"/>
      <c r="AC82" s="203"/>
      <c r="AD82" s="203"/>
      <c r="AE82" s="203"/>
      <c r="AF82" s="203">
        <f>AF74-AA74</f>
        <v>500.99999999999818</v>
      </c>
      <c r="AG82" s="203"/>
      <c r="AH82" s="203"/>
      <c r="AI82" s="203"/>
      <c r="AJ82" s="203"/>
      <c r="AK82" s="203">
        <f>AK74-AF74</f>
        <v>426</v>
      </c>
      <c r="AL82" s="203"/>
      <c r="AM82" s="203"/>
      <c r="AN82" s="203"/>
      <c r="AO82" s="203"/>
      <c r="AP82" s="203">
        <f>AP74-AK74</f>
        <v>704</v>
      </c>
      <c r="AQ82" s="203"/>
      <c r="AR82" s="203"/>
      <c r="AS82" s="203"/>
      <c r="AT82" s="203"/>
      <c r="AU82" s="203">
        <f>AU74-AP74</f>
        <v>174</v>
      </c>
      <c r="AV82" s="203"/>
      <c r="AW82" s="203"/>
      <c r="AX82" s="204"/>
      <c r="AY82" s="204"/>
      <c r="AZ82" s="203">
        <f>AZ74-AU74</f>
        <v>-552</v>
      </c>
      <c r="BA82" s="203"/>
      <c r="BB82" s="203"/>
      <c r="BC82" s="203"/>
      <c r="BD82" s="203"/>
      <c r="BE82" s="203">
        <f>BE74-AZ74</f>
        <v>-87</v>
      </c>
      <c r="BF82" s="203"/>
      <c r="BG82" s="204"/>
      <c r="BH82" s="204"/>
      <c r="BI82" s="204"/>
      <c r="BJ82" s="203">
        <f>BJ74-BE74</f>
        <v>-379</v>
      </c>
      <c r="BK82" s="203"/>
      <c r="BL82" s="203"/>
      <c r="BM82" s="203"/>
      <c r="BN82" s="203"/>
      <c r="BO82" s="203">
        <f>BO74-BJ74</f>
        <v>-840</v>
      </c>
      <c r="BP82" s="203"/>
      <c r="BQ82" s="203"/>
      <c r="BR82" s="203"/>
      <c r="BS82" s="203"/>
      <c r="BT82" s="203">
        <f>BT74-BO74</f>
        <v>-136</v>
      </c>
      <c r="BU82" s="205"/>
      <c r="BV82" s="205"/>
      <c r="BW82" s="205"/>
      <c r="BX82" s="205"/>
      <c r="BY82" s="203">
        <f>BY74-BT74</f>
        <v>9680</v>
      </c>
      <c r="BZ82" s="205"/>
      <c r="CA82" s="205"/>
      <c r="CB82" s="205"/>
      <c r="CC82" s="205"/>
      <c r="CD82" s="203">
        <f>CD74-BY74</f>
        <v>435.71399999999994</v>
      </c>
      <c r="CE82" s="203">
        <f t="shared" ref="CE82:CI82" si="257">CE74-CD74</f>
        <v>491.79009753842911</v>
      </c>
      <c r="CF82" s="203">
        <f t="shared" si="257"/>
        <v>367.60691503775524</v>
      </c>
      <c r="CG82" s="203">
        <f t="shared" si="257"/>
        <v>344.32420993341293</v>
      </c>
      <c r="CH82" s="203">
        <f t="shared" si="257"/>
        <v>323.32412194294375</v>
      </c>
      <c r="CI82" s="203">
        <f t="shared" si="257"/>
        <v>304.38895672585932</v>
      </c>
      <c r="CJ82" s="203">
        <f t="shared" si="253"/>
        <v>287.32181122914699</v>
      </c>
      <c r="CK82" s="203">
        <f t="shared" si="254"/>
        <v>271.94458812671655</v>
      </c>
      <c r="CL82" s="203">
        <f t="shared" si="255"/>
        <v>258.09619987992119</v>
      </c>
      <c r="CM82" s="203">
        <f t="shared" si="255"/>
        <v>245.63094431029458</v>
      </c>
      <c r="CN82" s="195"/>
      <c r="CO82" s="195"/>
      <c r="CP82" s="195"/>
      <c r="CQ82" s="195"/>
      <c r="CR82" s="195"/>
      <c r="CS82" s="195"/>
      <c r="CT82" s="195"/>
    </row>
    <row r="83" spans="1:113" hidden="1" outlineLevel="1">
      <c r="A83" s="195" t="s">
        <v>206</v>
      </c>
      <c r="B83" s="203"/>
      <c r="C83" s="203"/>
      <c r="D83" s="203"/>
      <c r="E83" s="203"/>
      <c r="F83" s="203"/>
      <c r="G83" s="203">
        <f>G75-B75</f>
        <v>0</v>
      </c>
      <c r="H83" s="203"/>
      <c r="I83" s="203"/>
      <c r="J83" s="203"/>
      <c r="K83" s="203"/>
      <c r="L83" s="203">
        <f>L75-G75</f>
        <v>304.90024440960042</v>
      </c>
      <c r="M83" s="203"/>
      <c r="N83" s="203"/>
      <c r="O83" s="203"/>
      <c r="P83" s="203"/>
      <c r="Q83" s="203">
        <f>Q75-L75</f>
        <v>-316.90024440960042</v>
      </c>
      <c r="R83" s="203"/>
      <c r="S83" s="203"/>
      <c r="T83" s="203"/>
      <c r="U83" s="203"/>
      <c r="V83" s="203">
        <f>V75-Q75</f>
        <v>2283.8670780046741</v>
      </c>
      <c r="W83" s="203"/>
      <c r="X83" s="203"/>
      <c r="Y83" s="203"/>
      <c r="Z83" s="203"/>
      <c r="AA83" s="203">
        <f>AA75-V75</f>
        <v>1762.1329219953259</v>
      </c>
      <c r="AB83" s="203"/>
      <c r="AC83" s="203"/>
      <c r="AD83" s="203"/>
      <c r="AE83" s="203"/>
      <c r="AF83" s="203">
        <f>AF75-AA75</f>
        <v>1941</v>
      </c>
      <c r="AG83" s="203"/>
      <c r="AH83" s="203"/>
      <c r="AI83" s="203"/>
      <c r="AJ83" s="203"/>
      <c r="AK83" s="203">
        <f>AK75-AF75</f>
        <v>1623</v>
      </c>
      <c r="AL83" s="203"/>
      <c r="AM83" s="203"/>
      <c r="AN83" s="203"/>
      <c r="AO83" s="203"/>
      <c r="AP83" s="203">
        <f>AP75-AK75</f>
        <v>-567</v>
      </c>
      <c r="AQ83" s="203"/>
      <c r="AR83" s="203"/>
      <c r="AS83" s="203"/>
      <c r="AT83" s="203"/>
      <c r="AU83" s="203">
        <f>AU75-AP75</f>
        <v>2496</v>
      </c>
      <c r="AV83" s="203"/>
      <c r="AW83" s="203"/>
      <c r="AX83" s="204"/>
      <c r="AY83" s="204"/>
      <c r="AZ83" s="203">
        <f>AZ75-AU75</f>
        <v>993</v>
      </c>
      <c r="BA83" s="203"/>
      <c r="BB83" s="203"/>
      <c r="BC83" s="203"/>
      <c r="BD83" s="203"/>
      <c r="BE83" s="203">
        <f>BE75-AZ75</f>
        <v>396</v>
      </c>
      <c r="BF83" s="203"/>
      <c r="BG83" s="203"/>
      <c r="BH83" s="203"/>
      <c r="BI83" s="203"/>
      <c r="BJ83" s="203">
        <f>BJ75-BE75</f>
        <v>2902</v>
      </c>
      <c r="BK83" s="203"/>
      <c r="BL83" s="203"/>
      <c r="BM83" s="203"/>
      <c r="BN83" s="203"/>
      <c r="BO83" s="203">
        <f>BO75-BJ75</f>
        <v>-345.39999999999418</v>
      </c>
      <c r="BP83" s="203"/>
      <c r="BQ83" s="203"/>
      <c r="BR83" s="203"/>
      <c r="BS83" s="203"/>
      <c r="BT83" s="203">
        <f>BT75-BO75</f>
        <v>2256.3999999999942</v>
      </c>
      <c r="BU83" s="205"/>
      <c r="BV83" s="205"/>
      <c r="BW83" s="205"/>
      <c r="BX83" s="205"/>
      <c r="BY83" s="203">
        <f>BY75-BT75</f>
        <v>0</v>
      </c>
      <c r="BZ83" s="205"/>
      <c r="CA83" s="205"/>
      <c r="CB83" s="205"/>
      <c r="CC83" s="205"/>
      <c r="CD83" s="203">
        <f>CD75-BY75</f>
        <v>0</v>
      </c>
      <c r="CE83" s="203">
        <f t="shared" ref="CE83:CI83" si="258">CE75-CD75</f>
        <v>378.79999906868761</v>
      </c>
      <c r="CF83" s="203">
        <f t="shared" si="258"/>
        <v>283.1482369631558</v>
      </c>
      <c r="CG83" s="203">
        <f t="shared" si="258"/>
        <v>265.21479601754982</v>
      </c>
      <c r="CH83" s="203">
        <f t="shared" si="258"/>
        <v>249.0395347606609</v>
      </c>
      <c r="CI83" s="203">
        <f t="shared" si="258"/>
        <v>234.45477471262711</v>
      </c>
      <c r="CJ83" s="203">
        <f t="shared" si="253"/>
        <v>221.30885182679049</v>
      </c>
      <c r="CK83" s="203">
        <f t="shared" si="254"/>
        <v>209.46458711703599</v>
      </c>
      <c r="CL83" s="203">
        <f t="shared" si="255"/>
        <v>198.79790334027348</v>
      </c>
      <c r="CM83" s="203">
        <f t="shared" si="255"/>
        <v>189.19657378564443</v>
      </c>
      <c r="CN83" s="195"/>
      <c r="CO83" s="195"/>
      <c r="CP83" s="195"/>
      <c r="CQ83" s="195"/>
      <c r="CR83" s="195"/>
      <c r="CS83" s="195"/>
      <c r="CT83" s="195"/>
    </row>
    <row r="84" spans="1:113" s="265" customFormat="1" hidden="1" outlineLevel="1">
      <c r="A84" s="255" t="s">
        <v>5</v>
      </c>
      <c r="B84" s="266"/>
      <c r="C84" s="266"/>
      <c r="D84" s="266"/>
      <c r="E84" s="266"/>
      <c r="F84" s="266"/>
      <c r="G84" s="266">
        <f>SUM(G80:G82)</f>
        <v>3680.9000000000005</v>
      </c>
      <c r="H84" s="266"/>
      <c r="I84" s="266"/>
      <c r="J84" s="266"/>
      <c r="K84" s="266"/>
      <c r="L84" s="266">
        <f>SUM(L80:L82)</f>
        <v>3128.024196550401</v>
      </c>
      <c r="M84" s="266"/>
      <c r="N84" s="266"/>
      <c r="O84" s="266"/>
      <c r="P84" s="266"/>
      <c r="Q84" s="266">
        <f>SUM(Q80:Q82)</f>
        <v>3726.8758034495986</v>
      </c>
      <c r="R84" s="266"/>
      <c r="S84" s="266"/>
      <c r="T84" s="266"/>
      <c r="U84" s="266"/>
      <c r="V84" s="266">
        <f>V76-Q76</f>
        <v>2800</v>
      </c>
      <c r="W84" s="266"/>
      <c r="X84" s="266"/>
      <c r="Y84" s="266"/>
      <c r="Z84" s="266"/>
      <c r="AA84" s="266">
        <f>AA76-V76</f>
        <v>4600</v>
      </c>
      <c r="AB84" s="266"/>
      <c r="AC84" s="266"/>
      <c r="AD84" s="266"/>
      <c r="AE84" s="266"/>
      <c r="AF84" s="266">
        <f>AF76-AA76</f>
        <v>1700</v>
      </c>
      <c r="AG84" s="266"/>
      <c r="AH84" s="266"/>
      <c r="AI84" s="266"/>
      <c r="AJ84" s="266"/>
      <c r="AK84" s="266">
        <f>AK76-AF76</f>
        <v>1900</v>
      </c>
      <c r="AL84" s="266"/>
      <c r="AM84" s="266"/>
      <c r="AN84" s="266"/>
      <c r="AO84" s="266"/>
      <c r="AP84" s="266">
        <f>AP76-AK76</f>
        <v>-800</v>
      </c>
      <c r="AQ84" s="266"/>
      <c r="AR84" s="266"/>
      <c r="AS84" s="266"/>
      <c r="AT84" s="266"/>
      <c r="AU84" s="266">
        <f>AU76-AP76</f>
        <v>0</v>
      </c>
      <c r="AV84" s="266"/>
      <c r="AW84" s="266"/>
      <c r="AX84" s="267"/>
      <c r="AY84" s="267"/>
      <c r="AZ84" s="266">
        <f>AZ76-AU76</f>
        <v>-1359</v>
      </c>
      <c r="BA84" s="266"/>
      <c r="BB84" s="266"/>
      <c r="BC84" s="266"/>
      <c r="BD84" s="266"/>
      <c r="BE84" s="266">
        <f>BE76-AZ76</f>
        <v>-328</v>
      </c>
      <c r="BF84" s="266"/>
      <c r="BG84" s="267"/>
      <c r="BH84" s="267"/>
      <c r="BI84" s="267"/>
      <c r="BJ84" s="266">
        <f>BJ76-BE76</f>
        <v>2188</v>
      </c>
      <c r="BK84" s="266"/>
      <c r="BL84" s="266"/>
      <c r="BM84" s="266"/>
      <c r="BN84" s="266"/>
      <c r="BO84" s="266">
        <f>BO76-BJ76</f>
        <v>-877.39999999999418</v>
      </c>
      <c r="BP84" s="266"/>
      <c r="BQ84" s="266"/>
      <c r="BR84" s="266"/>
      <c r="BS84" s="266"/>
      <c r="BT84" s="266">
        <f>BT76-BO76</f>
        <v>3523.3999999999942</v>
      </c>
      <c r="BU84" s="266"/>
      <c r="BV84" s="266"/>
      <c r="BW84" s="266"/>
      <c r="BX84" s="266"/>
      <c r="BY84" s="266">
        <f>BY76-BT76</f>
        <v>205</v>
      </c>
      <c r="BZ84" s="266"/>
      <c r="CA84" s="266"/>
      <c r="CB84" s="266"/>
      <c r="CC84" s="266"/>
      <c r="CD84" s="266">
        <f>CD76-BY76</f>
        <v>1208.7139999999999</v>
      </c>
      <c r="CE84" s="266">
        <f t="shared" ref="CE84:CI84" si="259">CE76-CD76</f>
        <v>1171.8913101838407</v>
      </c>
      <c r="CF84" s="266">
        <f t="shared" si="259"/>
        <v>875.97402113729186</v>
      </c>
      <c r="CG84" s="266">
        <f t="shared" si="259"/>
        <v>820.49344125997595</v>
      </c>
      <c r="CH84" s="266">
        <f t="shared" si="259"/>
        <v>770.45213145665184</v>
      </c>
      <c r="CI84" s="266">
        <f t="shared" si="259"/>
        <v>725.33134580874321</v>
      </c>
      <c r="CJ84" s="266">
        <f t="shared" si="253"/>
        <v>684.66188215473085</v>
      </c>
      <c r="CK84" s="266">
        <f t="shared" si="254"/>
        <v>648.0193506790165</v>
      </c>
      <c r="CL84" s="266">
        <f t="shared" si="255"/>
        <v>615.01989435059659</v>
      </c>
      <c r="CM84" s="266">
        <f t="shared" si="255"/>
        <v>585.31631805984944</v>
      </c>
      <c r="CN84" s="202"/>
      <c r="CO84" s="202"/>
      <c r="CP84" s="202"/>
      <c r="CQ84" s="202"/>
      <c r="CR84" s="202"/>
      <c r="CS84" s="202"/>
      <c r="CT84" s="202"/>
      <c r="DE84" s="200"/>
      <c r="DF84" s="200"/>
      <c r="DG84" s="200"/>
      <c r="DH84" s="200"/>
      <c r="DI84" s="200"/>
    </row>
    <row r="85" spans="1:113" hidden="1" outlineLevel="1">
      <c r="A85" s="195"/>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68"/>
      <c r="AG85" s="268"/>
      <c r="AH85" s="268"/>
      <c r="AI85" s="268"/>
      <c r="AJ85" s="268"/>
      <c r="AK85" s="268"/>
      <c r="AL85" s="268"/>
      <c r="AM85" s="268"/>
      <c r="AN85" s="268"/>
      <c r="AO85" s="268"/>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row>
    <row r="86" spans="1:113" hidden="1" outlineLevel="1">
      <c r="A86" s="237" t="s">
        <v>9</v>
      </c>
      <c r="B86" s="237">
        <f>B79</f>
        <v>2007</v>
      </c>
      <c r="C86" s="237"/>
      <c r="D86" s="237"/>
      <c r="E86" s="237"/>
      <c r="F86" s="237"/>
      <c r="G86" s="237">
        <f>B86+1</f>
        <v>2008</v>
      </c>
      <c r="H86" s="237"/>
      <c r="I86" s="237"/>
      <c r="J86" s="237"/>
      <c r="K86" s="237"/>
      <c r="L86" s="237">
        <f>G86+1</f>
        <v>2009</v>
      </c>
      <c r="M86" s="237"/>
      <c r="N86" s="237"/>
      <c r="O86" s="237"/>
      <c r="P86" s="237"/>
      <c r="Q86" s="237">
        <f>L86+1</f>
        <v>2010</v>
      </c>
      <c r="R86" s="237"/>
      <c r="S86" s="237"/>
      <c r="T86" s="237"/>
      <c r="U86" s="237"/>
      <c r="V86" s="237">
        <f>Q86+1</f>
        <v>2011</v>
      </c>
      <c r="W86" s="237"/>
      <c r="X86" s="237"/>
      <c r="Y86" s="237"/>
      <c r="Z86" s="237"/>
      <c r="AA86" s="237">
        <f>V86+1</f>
        <v>2012</v>
      </c>
      <c r="AB86" s="237"/>
      <c r="AC86" s="237"/>
      <c r="AD86" s="237"/>
      <c r="AE86" s="237"/>
      <c r="AF86" s="237">
        <f>AA86+1</f>
        <v>2013</v>
      </c>
      <c r="AG86" s="237"/>
      <c r="AH86" s="237"/>
      <c r="AI86" s="237"/>
      <c r="AJ86" s="237"/>
      <c r="AK86" s="237">
        <f>AF86+1</f>
        <v>2014</v>
      </c>
      <c r="AL86" s="237"/>
      <c r="AM86" s="237"/>
      <c r="AN86" s="237"/>
      <c r="AO86" s="237"/>
      <c r="AP86" s="237">
        <f>AK86+1</f>
        <v>2015</v>
      </c>
      <c r="AQ86" s="237"/>
      <c r="AR86" s="237"/>
      <c r="AS86" s="237"/>
      <c r="AT86" s="237"/>
      <c r="AU86" s="237">
        <f>AP86+1</f>
        <v>2016</v>
      </c>
      <c r="AV86" s="237"/>
      <c r="AW86" s="237"/>
      <c r="AX86" s="237"/>
      <c r="AY86" s="237"/>
      <c r="AZ86" s="237">
        <f>AU86+1</f>
        <v>2017</v>
      </c>
      <c r="BA86" s="237"/>
      <c r="BB86" s="237"/>
      <c r="BC86" s="237"/>
      <c r="BD86" s="237"/>
      <c r="BE86" s="237">
        <f>AZ86+1</f>
        <v>2018</v>
      </c>
      <c r="BF86" s="237"/>
      <c r="BG86" s="237"/>
      <c r="BH86" s="237"/>
      <c r="BI86" s="237"/>
      <c r="BJ86" s="237">
        <f>BE86+1</f>
        <v>2019</v>
      </c>
      <c r="BK86" s="237"/>
      <c r="BL86" s="237"/>
      <c r="BM86" s="237"/>
      <c r="BN86" s="237"/>
      <c r="BO86" s="237">
        <f>BJ86+1</f>
        <v>2020</v>
      </c>
      <c r="BP86" s="237"/>
      <c r="BQ86" s="237"/>
      <c r="BR86" s="237"/>
      <c r="BS86" s="237"/>
      <c r="BT86" s="237">
        <f>BO86+1</f>
        <v>2021</v>
      </c>
      <c r="BU86" s="237"/>
      <c r="BV86" s="237"/>
      <c r="BW86" s="237"/>
      <c r="BX86" s="237"/>
      <c r="BY86" s="237">
        <f>BT86+1</f>
        <v>2022</v>
      </c>
      <c r="BZ86" s="237"/>
      <c r="CA86" s="237"/>
      <c r="CB86" s="237"/>
      <c r="CC86" s="237"/>
      <c r="CD86" s="237">
        <f>BY86+1</f>
        <v>2023</v>
      </c>
      <c r="CE86" s="237">
        <f t="shared" ref="CE86:CI86" si="260">CD86+1</f>
        <v>2024</v>
      </c>
      <c r="CF86" s="237">
        <f t="shared" si="260"/>
        <v>2025</v>
      </c>
      <c r="CG86" s="237">
        <f t="shared" si="260"/>
        <v>2026</v>
      </c>
      <c r="CH86" s="237">
        <f t="shared" si="260"/>
        <v>2027</v>
      </c>
      <c r="CI86" s="237">
        <f t="shared" si="260"/>
        <v>2028</v>
      </c>
      <c r="CJ86" s="237">
        <f t="shared" ref="CJ86" si="261">CI86+1</f>
        <v>2029</v>
      </c>
      <c r="CK86" s="237">
        <f t="shared" ref="CK86" si="262">CJ86+1</f>
        <v>2030</v>
      </c>
      <c r="CL86" s="237">
        <f t="shared" ref="CL86:CM86" si="263">CK86+1</f>
        <v>2031</v>
      </c>
      <c r="CM86" s="237">
        <f t="shared" si="263"/>
        <v>2032</v>
      </c>
      <c r="CN86" s="195"/>
      <c r="CO86" s="195"/>
      <c r="CP86" s="195"/>
      <c r="CQ86" s="195"/>
      <c r="CR86" s="195"/>
      <c r="CS86" s="195"/>
      <c r="CT86" s="195"/>
    </row>
    <row r="87" spans="1:113" hidden="1" outlineLevel="1">
      <c r="A87" s="195" t="s">
        <v>253</v>
      </c>
      <c r="B87" s="207"/>
      <c r="C87" s="207"/>
      <c r="D87" s="207"/>
      <c r="E87" s="207"/>
      <c r="F87" s="207"/>
      <c r="G87" s="207">
        <f>G80/$G$84</f>
        <v>0.39906001249694351</v>
      </c>
      <c r="H87" s="207"/>
      <c r="I87" s="207"/>
      <c r="J87" s="207"/>
      <c r="K87" s="207"/>
      <c r="L87" s="207">
        <f>L80/$L$84</f>
        <v>0.34719175054594315</v>
      </c>
      <c r="M87" s="207"/>
      <c r="N87" s="207"/>
      <c r="O87" s="207"/>
      <c r="P87" s="207"/>
      <c r="Q87" s="207">
        <f>Q80/$Q$84</f>
        <v>0.43840360924753169</v>
      </c>
      <c r="R87" s="207"/>
      <c r="S87" s="207"/>
      <c r="T87" s="207"/>
      <c r="U87" s="207"/>
      <c r="V87" s="207">
        <f>V80/$V$84</f>
        <v>-0.43535714285714283</v>
      </c>
      <c r="W87" s="207"/>
      <c r="X87" s="207"/>
      <c r="Y87" s="207"/>
      <c r="Z87" s="207"/>
      <c r="AA87" s="207">
        <f>AA80/$AA$84</f>
        <v>0.29478260869565215</v>
      </c>
      <c r="AB87" s="207"/>
      <c r="AC87" s="207"/>
      <c r="AD87" s="207"/>
      <c r="AE87" s="207"/>
      <c r="AF87" s="207">
        <f>AF80/$AF$84</f>
        <v>-0.70470588235294118</v>
      </c>
      <c r="AG87" s="207"/>
      <c r="AH87" s="207"/>
      <c r="AI87" s="207"/>
      <c r="AJ87" s="207"/>
      <c r="AK87" s="207">
        <f>AK80/$AK$84</f>
        <v>1.0526315789473684E-2</v>
      </c>
      <c r="AL87" s="207"/>
      <c r="AM87" s="207"/>
      <c r="AN87" s="207"/>
      <c r="AO87" s="207"/>
      <c r="AP87" s="207">
        <f>AP80/$AK$84</f>
        <v>-0.11526315789473685</v>
      </c>
      <c r="AQ87" s="207"/>
      <c r="AR87" s="207"/>
      <c r="AS87" s="207"/>
      <c r="AT87" s="207"/>
      <c r="AU87" s="207">
        <f>AU80/$AK$84</f>
        <v>-0.51368421052631574</v>
      </c>
      <c r="AV87" s="207"/>
      <c r="AW87" s="207"/>
      <c r="AX87" s="207"/>
      <c r="AY87" s="207"/>
      <c r="AZ87" s="207">
        <f>AZ80/$AK$84</f>
        <v>-0.41578947368421054</v>
      </c>
      <c r="BA87" s="207"/>
      <c r="BB87" s="207"/>
      <c r="BC87" s="207"/>
      <c r="BD87" s="207"/>
      <c r="BE87" s="207">
        <f>BE80/$AK$84</f>
        <v>-8.7894736842105262E-2</v>
      </c>
      <c r="BF87" s="207"/>
      <c r="BG87" s="207"/>
      <c r="BH87" s="207"/>
      <c r="BI87" s="207"/>
      <c r="BJ87" s="207">
        <f>BJ80/$AK$84</f>
        <v>0.19421052631578947</v>
      </c>
      <c r="BK87" s="207"/>
      <c r="BL87" s="207"/>
      <c r="BM87" s="207"/>
      <c r="BN87" s="207"/>
      <c r="BO87" s="207">
        <f>BO80/$AK$84</f>
        <v>1.0526315789473684E-3</v>
      </c>
      <c r="BP87" s="207"/>
      <c r="BQ87" s="207"/>
      <c r="BR87" s="207"/>
      <c r="BS87" s="207"/>
      <c r="BT87" s="207">
        <f>BT80/$AK$84</f>
        <v>0.25578947368421051</v>
      </c>
      <c r="BU87" s="207"/>
      <c r="BV87" s="207"/>
      <c r="BW87" s="207"/>
      <c r="BX87" s="207"/>
      <c r="BY87" s="207">
        <f>BY80/$AK$84</f>
        <v>6.3157894736842107E-2</v>
      </c>
      <c r="BZ87" s="207"/>
      <c r="CA87" s="207"/>
      <c r="CB87" s="207"/>
      <c r="CC87" s="207"/>
      <c r="CD87" s="207">
        <f t="shared" ref="CD87:CI91" si="264">CD80/$AK$84</f>
        <v>0.40684210526315789</v>
      </c>
      <c r="CE87" s="207">
        <f t="shared" si="264"/>
        <v>0.15857958609301454</v>
      </c>
      <c r="CF87" s="207">
        <f t="shared" si="264"/>
        <v>0.11853624691388273</v>
      </c>
      <c r="CG87" s="207">
        <f t="shared" si="264"/>
        <v>0.11102865016264045</v>
      </c>
      <c r="CH87" s="207">
        <f t="shared" si="264"/>
        <v>0.10425709197528704</v>
      </c>
      <c r="CI87" s="207">
        <f t="shared" si="264"/>
        <v>9.8151375984343758E-2</v>
      </c>
      <c r="CJ87" s="207">
        <f t="shared" ref="CJ87:CL87" si="265">CJ80/$AK$84</f>
        <v>9.2648010051997465E-2</v>
      </c>
      <c r="CK87" s="207">
        <f t="shared" si="265"/>
        <v>8.768956601855997E-2</v>
      </c>
      <c r="CL87" s="207">
        <f t="shared" si="265"/>
        <v>8.3224100594949335E-2</v>
      </c>
      <c r="CM87" s="207">
        <f t="shared" ref="CM87" si="266">CM80/$AK$84</f>
        <v>7.9204631559949987E-2</v>
      </c>
      <c r="CN87" s="195"/>
      <c r="CO87" s="195"/>
      <c r="CP87" s="195"/>
      <c r="CQ87" s="195"/>
      <c r="CR87" s="237"/>
      <c r="CS87" s="237"/>
      <c r="CT87" s="237"/>
      <c r="CU87" s="237"/>
      <c r="CV87" s="237"/>
      <c r="CW87" s="237">
        <f>CV87+1</f>
        <v>1</v>
      </c>
      <c r="CX87" s="237">
        <f>CW87+1</f>
        <v>2</v>
      </c>
      <c r="CY87" s="237">
        <f>CX87+1</f>
        <v>3</v>
      </c>
    </row>
    <row r="88" spans="1:113" hidden="1" outlineLevel="1">
      <c r="A88" s="195" t="s">
        <v>254</v>
      </c>
      <c r="B88" s="207"/>
      <c r="C88" s="207"/>
      <c r="D88" s="207"/>
      <c r="E88" s="207"/>
      <c r="F88" s="207"/>
      <c r="G88" s="207">
        <f>G81/$G$84</f>
        <v>0.42353772175283211</v>
      </c>
      <c r="H88" s="207"/>
      <c r="I88" s="207"/>
      <c r="J88" s="207"/>
      <c r="K88" s="207"/>
      <c r="L88" s="207">
        <f>L81/$L$84</f>
        <v>0.44245182039393471</v>
      </c>
      <c r="M88" s="207"/>
      <c r="N88" s="207"/>
      <c r="O88" s="207"/>
      <c r="P88" s="207"/>
      <c r="Q88" s="207">
        <f>Q81/$Q$84</f>
        <v>0.28120067726162767</v>
      </c>
      <c r="R88" s="207"/>
      <c r="S88" s="207"/>
      <c r="T88" s="207"/>
      <c r="U88" s="207"/>
      <c r="V88" s="207">
        <f>V81/$V$84</f>
        <v>0.28107142857142858</v>
      </c>
      <c r="W88" s="207"/>
      <c r="X88" s="207"/>
      <c r="Y88" s="207"/>
      <c r="Z88" s="207"/>
      <c r="AA88" s="207">
        <f>AA81/$AA$84</f>
        <v>0.15239130434782608</v>
      </c>
      <c r="AB88" s="207"/>
      <c r="AC88" s="207"/>
      <c r="AD88" s="207"/>
      <c r="AE88" s="207"/>
      <c r="AF88" s="207">
        <f>AF81/$AF$84</f>
        <v>0.26823529411764707</v>
      </c>
      <c r="AG88" s="207"/>
      <c r="AH88" s="207"/>
      <c r="AI88" s="207"/>
      <c r="AJ88" s="207"/>
      <c r="AK88" s="207">
        <f>AK81/$AK$84</f>
        <v>-8.8947368421052636E-2</v>
      </c>
      <c r="AL88" s="207"/>
      <c r="AM88" s="207"/>
      <c r="AN88" s="207"/>
      <c r="AO88" s="207"/>
      <c r="AP88" s="207">
        <f>AP81/$AK$84</f>
        <v>-0.37789473684210528</v>
      </c>
      <c r="AQ88" s="207"/>
      <c r="AR88" s="207"/>
      <c r="AS88" s="207"/>
      <c r="AT88" s="207"/>
      <c r="AU88" s="207">
        <f>AU81/$AK$84</f>
        <v>-0.89157894736842103</v>
      </c>
      <c r="AV88" s="207"/>
      <c r="AW88" s="207"/>
      <c r="AX88" s="207"/>
      <c r="AY88" s="207"/>
      <c r="AZ88" s="207">
        <f>AZ81/$AK$84</f>
        <v>-0.53157894736842104</v>
      </c>
      <c r="BA88" s="207"/>
      <c r="BB88" s="207"/>
      <c r="BC88" s="207"/>
      <c r="BD88" s="207"/>
      <c r="BE88" s="207">
        <f>BE81/$AK$84</f>
        <v>-0.24736842105263157</v>
      </c>
      <c r="BF88" s="207"/>
      <c r="BG88" s="207"/>
      <c r="BH88" s="207"/>
      <c r="BI88" s="207"/>
      <c r="BJ88" s="207">
        <f>BJ81/$AK$84</f>
        <v>-0.3705263157894737</v>
      </c>
      <c r="BK88" s="207"/>
      <c r="BL88" s="207"/>
      <c r="BM88" s="207"/>
      <c r="BN88" s="207"/>
      <c r="BO88" s="207">
        <f>BO81/$AK$84</f>
        <v>0.16105263157894736</v>
      </c>
      <c r="BP88" s="207"/>
      <c r="BQ88" s="207"/>
      <c r="BR88" s="207"/>
      <c r="BS88" s="207"/>
      <c r="BT88" s="207">
        <f>BT81/$AK$84</f>
        <v>0.48263157894736841</v>
      </c>
      <c r="BU88" s="207"/>
      <c r="BV88" s="207"/>
      <c r="BW88" s="207"/>
      <c r="BX88" s="207"/>
      <c r="BY88" s="207">
        <f>BY81/$AK$84</f>
        <v>-5.05</v>
      </c>
      <c r="BZ88" s="207"/>
      <c r="CA88" s="207"/>
      <c r="CB88" s="207"/>
      <c r="CC88" s="207"/>
      <c r="CD88" s="207">
        <f t="shared" si="264"/>
        <v>0</v>
      </c>
      <c r="CE88" s="207">
        <f t="shared" si="264"/>
        <v>0</v>
      </c>
      <c r="CF88" s="207">
        <f t="shared" si="264"/>
        <v>0</v>
      </c>
      <c r="CG88" s="207">
        <f t="shared" si="264"/>
        <v>0</v>
      </c>
      <c r="CH88" s="207">
        <f t="shared" si="264"/>
        <v>0</v>
      </c>
      <c r="CI88" s="207">
        <f t="shared" si="264"/>
        <v>0</v>
      </c>
      <c r="CJ88" s="207">
        <f t="shared" ref="CJ88:CL88" si="267">CJ81/$AK$84</f>
        <v>0</v>
      </c>
      <c r="CK88" s="207">
        <f t="shared" si="267"/>
        <v>0</v>
      </c>
      <c r="CL88" s="207">
        <f t="shared" si="267"/>
        <v>0</v>
      </c>
      <c r="CM88" s="207">
        <f t="shared" ref="CM88" si="268">CM81/$AK$84</f>
        <v>0</v>
      </c>
      <c r="CN88" s="195"/>
      <c r="CO88" s="195"/>
      <c r="CP88" s="195"/>
      <c r="CQ88" s="195"/>
      <c r="CR88" s="195"/>
      <c r="CS88" s="195"/>
      <c r="CT88" s="195"/>
      <c r="CU88" s="195"/>
      <c r="CV88" s="195"/>
      <c r="CW88" s="195">
        <f>CY81*CY$76</f>
        <v>0</v>
      </c>
      <c r="CX88" s="195">
        <f>CZ81*CZ$76</f>
        <v>0</v>
      </c>
      <c r="CY88" s="195">
        <f>DA81*DA$76</f>
        <v>0</v>
      </c>
    </row>
    <row r="89" spans="1:113" hidden="1" outlineLevel="1">
      <c r="A89" s="195" t="s">
        <v>255</v>
      </c>
      <c r="B89" s="207"/>
      <c r="C89" s="207"/>
      <c r="D89" s="207"/>
      <c r="E89" s="207"/>
      <c r="F89" s="207"/>
      <c r="G89" s="207">
        <f>G82/$G$84</f>
        <v>0.17740226575022436</v>
      </c>
      <c r="H89" s="207"/>
      <c r="I89" s="207"/>
      <c r="J89" s="207"/>
      <c r="K89" s="207"/>
      <c r="L89" s="207">
        <f>L82/$L$84</f>
        <v>0.21035642906012214</v>
      </c>
      <c r="M89" s="207"/>
      <c r="N89" s="207"/>
      <c r="O89" s="207"/>
      <c r="P89" s="207"/>
      <c r="Q89" s="207">
        <f>Q82/$Q$84</f>
        <v>0.28039571349084058</v>
      </c>
      <c r="R89" s="207"/>
      <c r="S89" s="207"/>
      <c r="T89" s="207"/>
      <c r="U89" s="207"/>
      <c r="V89" s="207">
        <f>V82/$V$84</f>
        <v>0.33861890071261641</v>
      </c>
      <c r="W89" s="207"/>
      <c r="X89" s="207"/>
      <c r="Y89" s="207"/>
      <c r="Z89" s="207"/>
      <c r="AA89" s="207">
        <f>AA82/$AA$84</f>
        <v>0.16975371260971217</v>
      </c>
      <c r="AB89" s="207"/>
      <c r="AC89" s="207"/>
      <c r="AD89" s="207"/>
      <c r="AE89" s="207"/>
      <c r="AF89" s="207">
        <f>AF82/$AF$84</f>
        <v>0.2947058823529401</v>
      </c>
      <c r="AG89" s="207"/>
      <c r="AH89" s="207"/>
      <c r="AI89" s="207"/>
      <c r="AJ89" s="207"/>
      <c r="AK89" s="207">
        <f>AK82/$AK$84</f>
        <v>0.22421052631578947</v>
      </c>
      <c r="AL89" s="207"/>
      <c r="AM89" s="207"/>
      <c r="AN89" s="207"/>
      <c r="AO89" s="207"/>
      <c r="AP89" s="207">
        <f>AP82/$AK$84</f>
        <v>0.3705263157894737</v>
      </c>
      <c r="AQ89" s="207"/>
      <c r="AR89" s="207"/>
      <c r="AS89" s="207"/>
      <c r="AT89" s="207"/>
      <c r="AU89" s="207">
        <f>AU82/$AK$84</f>
        <v>9.1578947368421051E-2</v>
      </c>
      <c r="AV89" s="207"/>
      <c r="AW89" s="207"/>
      <c r="AX89" s="207"/>
      <c r="AY89" s="207"/>
      <c r="AZ89" s="207">
        <f>AZ82/$AK$84</f>
        <v>-0.29052631578947369</v>
      </c>
      <c r="BA89" s="207"/>
      <c r="BB89" s="207"/>
      <c r="BC89" s="207"/>
      <c r="BD89" s="207"/>
      <c r="BE89" s="207">
        <f>BE82/$AK$84</f>
        <v>-4.5789473684210526E-2</v>
      </c>
      <c r="BF89" s="207"/>
      <c r="BG89" s="207"/>
      <c r="BH89" s="207"/>
      <c r="BI89" s="207"/>
      <c r="BJ89" s="207">
        <f>BJ82/$AK$84</f>
        <v>-0.1994736842105263</v>
      </c>
      <c r="BK89" s="207"/>
      <c r="BL89" s="207"/>
      <c r="BM89" s="207"/>
      <c r="BN89" s="207"/>
      <c r="BO89" s="207">
        <f>BO82/$AK$84</f>
        <v>-0.44210526315789472</v>
      </c>
      <c r="BP89" s="207"/>
      <c r="BQ89" s="207"/>
      <c r="BR89" s="207"/>
      <c r="BS89" s="207"/>
      <c r="BT89" s="207">
        <f>BT82/$AK$84</f>
        <v>-7.1578947368421048E-2</v>
      </c>
      <c r="BU89" s="207"/>
      <c r="BV89" s="207"/>
      <c r="BW89" s="207"/>
      <c r="BX89" s="207"/>
      <c r="BY89" s="207">
        <f>BY82/$AK$84</f>
        <v>5.094736842105263</v>
      </c>
      <c r="BZ89" s="207"/>
      <c r="CA89" s="207"/>
      <c r="CB89" s="207"/>
      <c r="CC89" s="207"/>
      <c r="CD89" s="207">
        <f t="shared" si="264"/>
        <v>0.22932315789473681</v>
      </c>
      <c r="CE89" s="207">
        <f t="shared" si="264"/>
        <v>0.25883689344127847</v>
      </c>
      <c r="CF89" s="207">
        <f t="shared" si="264"/>
        <v>0.19347732370408172</v>
      </c>
      <c r="CG89" s="207">
        <f t="shared" si="264"/>
        <v>0.1812232683860068</v>
      </c>
      <c r="CH89" s="207">
        <f t="shared" si="264"/>
        <v>0.17017059049628619</v>
      </c>
      <c r="CI89" s="207">
        <f t="shared" si="264"/>
        <v>0.16020471406624173</v>
      </c>
      <c r="CJ89" s="207">
        <f t="shared" ref="CJ89:CL89" si="269">CJ82/$AK$84</f>
        <v>0.15122200591007737</v>
      </c>
      <c r="CK89" s="207">
        <f t="shared" si="269"/>
        <v>0.14312873059300871</v>
      </c>
      <c r="CL89" s="207">
        <f t="shared" si="269"/>
        <v>0.13584010519995851</v>
      </c>
      <c r="CM89" s="207">
        <f t="shared" ref="CM89" si="270">CM82/$AK$84</f>
        <v>0.12927944437383926</v>
      </c>
      <c r="CN89" s="195"/>
      <c r="CO89" s="195"/>
      <c r="CP89" s="195"/>
      <c r="CQ89" s="195"/>
      <c r="CR89" s="269"/>
      <c r="CS89" s="270"/>
      <c r="CT89" s="270"/>
      <c r="CU89" s="270"/>
      <c r="CV89" s="270"/>
      <c r="CW89" s="270" t="e">
        <f>CW88/CV88-1</f>
        <v>#DIV/0!</v>
      </c>
      <c r="CX89" s="270" t="e">
        <f>CX88/CW88-1</f>
        <v>#DIV/0!</v>
      </c>
      <c r="CY89" s="270" t="e">
        <f>CY88/CX88-1</f>
        <v>#DIV/0!</v>
      </c>
    </row>
    <row r="90" spans="1:113" hidden="1" outlineLevel="1">
      <c r="A90" s="195"/>
      <c r="B90" s="207"/>
      <c r="C90" s="207"/>
      <c r="D90" s="207"/>
      <c r="E90" s="207"/>
      <c r="F90" s="207"/>
      <c r="G90" s="207">
        <f>G83/$G$84</f>
        <v>0</v>
      </c>
      <c r="H90" s="207"/>
      <c r="I90" s="207"/>
      <c r="J90" s="207"/>
      <c r="K90" s="207"/>
      <c r="L90" s="207">
        <f>L83/$L$84</f>
        <v>9.7473748683224948E-2</v>
      </c>
      <c r="M90" s="207"/>
      <c r="N90" s="207"/>
      <c r="O90" s="207"/>
      <c r="P90" s="207"/>
      <c r="Q90" s="207">
        <f>Q83/$Q$84</f>
        <v>-8.5031071901102082E-2</v>
      </c>
      <c r="R90" s="207"/>
      <c r="S90" s="207"/>
      <c r="T90" s="207"/>
      <c r="U90" s="207"/>
      <c r="V90" s="207">
        <f>V83/$V$84</f>
        <v>0.81566681357309789</v>
      </c>
      <c r="W90" s="207"/>
      <c r="X90" s="207"/>
      <c r="Y90" s="207"/>
      <c r="Z90" s="207"/>
      <c r="AA90" s="207">
        <f>AA83/$AA$84</f>
        <v>0.38307237434680996</v>
      </c>
      <c r="AB90" s="207"/>
      <c r="AC90" s="207"/>
      <c r="AD90" s="207"/>
      <c r="AE90" s="207"/>
      <c r="AF90" s="207">
        <f>AF83/$AF$84</f>
        <v>1.141764705882353</v>
      </c>
      <c r="AG90" s="207"/>
      <c r="AH90" s="207"/>
      <c r="AI90" s="207"/>
      <c r="AJ90" s="207"/>
      <c r="AK90" s="207">
        <f>AK83/$AK$84</f>
        <v>0.85421052631578942</v>
      </c>
      <c r="AL90" s="207"/>
      <c r="AM90" s="207"/>
      <c r="AN90" s="207"/>
      <c r="AO90" s="207"/>
      <c r="AP90" s="207">
        <f>AP83/$AK$84</f>
        <v>-0.29842105263157892</v>
      </c>
      <c r="AQ90" s="207"/>
      <c r="AR90" s="207"/>
      <c r="AS90" s="207"/>
      <c r="AT90" s="207"/>
      <c r="AU90" s="207">
        <f>AU83/$AK$84</f>
        <v>1.3136842105263158</v>
      </c>
      <c r="AV90" s="207"/>
      <c r="AW90" s="207"/>
      <c r="AX90" s="207"/>
      <c r="AY90" s="207"/>
      <c r="AZ90" s="207">
        <f>AZ83/$AK$84</f>
        <v>0.52263157894736845</v>
      </c>
      <c r="BA90" s="207"/>
      <c r="BB90" s="207"/>
      <c r="BC90" s="207"/>
      <c r="BD90" s="207"/>
      <c r="BE90" s="207">
        <f>BE83/$AK$84</f>
        <v>0.20842105263157895</v>
      </c>
      <c r="BF90" s="207"/>
      <c r="BG90" s="207"/>
      <c r="BH90" s="207"/>
      <c r="BI90" s="207"/>
      <c r="BJ90" s="207">
        <f>BJ83/$AK$84</f>
        <v>1.5273684210526315</v>
      </c>
      <c r="BK90" s="207"/>
      <c r="BL90" s="207"/>
      <c r="BM90" s="207"/>
      <c r="BN90" s="207"/>
      <c r="BO90" s="207">
        <f>BO83/$AK$84</f>
        <v>-0.18178947368420748</v>
      </c>
      <c r="BP90" s="207"/>
      <c r="BQ90" s="207"/>
      <c r="BR90" s="207"/>
      <c r="BS90" s="207"/>
      <c r="BT90" s="207">
        <f>BT83/$AK$84</f>
        <v>1.187578947368418</v>
      </c>
      <c r="BU90" s="207"/>
      <c r="BV90" s="207"/>
      <c r="BW90" s="207"/>
      <c r="BX90" s="207"/>
      <c r="BY90" s="207">
        <f>BY83/$AK$84</f>
        <v>0</v>
      </c>
      <c r="BZ90" s="207"/>
      <c r="CA90" s="207"/>
      <c r="CB90" s="207"/>
      <c r="CC90" s="207"/>
      <c r="CD90" s="207">
        <f t="shared" si="264"/>
        <v>0</v>
      </c>
      <c r="CE90" s="207">
        <f t="shared" si="264"/>
        <v>0.19936842056246717</v>
      </c>
      <c r="CF90" s="207">
        <f t="shared" si="264"/>
        <v>0.14902538787534517</v>
      </c>
      <c r="CG90" s="207">
        <f t="shared" si="264"/>
        <v>0.13958673474607886</v>
      </c>
      <c r="CH90" s="207">
        <f t="shared" si="264"/>
        <v>0.13107343934771626</v>
      </c>
      <c r="CI90" s="207">
        <f t="shared" si="264"/>
        <v>0.12339724984875111</v>
      </c>
      <c r="CJ90" s="207">
        <f t="shared" ref="CJ90:CL90" si="271">CJ83/$AK$84</f>
        <v>0.11647834306673184</v>
      </c>
      <c r="CK90" s="207">
        <f t="shared" si="271"/>
        <v>0.1102445195352821</v>
      </c>
      <c r="CL90" s="207">
        <f t="shared" si="271"/>
        <v>0.1046304754422492</v>
      </c>
      <c r="CM90" s="207">
        <f t="shared" ref="CM90" si="272">CM83/$AK$84</f>
        <v>9.9577144097707598E-2</v>
      </c>
      <c r="CN90" s="195"/>
      <c r="CO90" s="195"/>
      <c r="CP90" s="195"/>
      <c r="CQ90" s="195"/>
      <c r="CR90" s="269"/>
      <c r="CS90" s="270"/>
      <c r="CT90" s="270"/>
      <c r="CU90" s="270"/>
      <c r="CV90" s="270"/>
      <c r="CW90" s="270"/>
      <c r="CX90" s="270"/>
      <c r="CY90" s="270"/>
    </row>
    <row r="91" spans="1:113" hidden="1" outlineLevel="1">
      <c r="A91" s="255" t="s">
        <v>5</v>
      </c>
      <c r="B91" s="271"/>
      <c r="C91" s="271"/>
      <c r="D91" s="271"/>
      <c r="E91" s="271"/>
      <c r="F91" s="271"/>
      <c r="G91" s="271">
        <f>G84/$G$84</f>
        <v>1</v>
      </c>
      <c r="H91" s="271"/>
      <c r="I91" s="271"/>
      <c r="J91" s="271"/>
      <c r="K91" s="271"/>
      <c r="L91" s="271">
        <f>L84/$L$84</f>
        <v>1</v>
      </c>
      <c r="M91" s="271"/>
      <c r="N91" s="271"/>
      <c r="O91" s="271"/>
      <c r="P91" s="271"/>
      <c r="Q91" s="271">
        <f>Q84/$Q$84</f>
        <v>1</v>
      </c>
      <c r="R91" s="271"/>
      <c r="S91" s="271"/>
      <c r="T91" s="271"/>
      <c r="U91" s="271"/>
      <c r="V91" s="271">
        <f>V84/$V$84</f>
        <v>1</v>
      </c>
      <c r="W91" s="271"/>
      <c r="X91" s="271"/>
      <c r="Y91" s="271"/>
      <c r="Z91" s="271"/>
      <c r="AA91" s="271">
        <f>AA84/$AA$84</f>
        <v>1</v>
      </c>
      <c r="AB91" s="271"/>
      <c r="AC91" s="271"/>
      <c r="AD91" s="271"/>
      <c r="AE91" s="271"/>
      <c r="AF91" s="271">
        <f>AF84/$AF$84</f>
        <v>1</v>
      </c>
      <c r="AG91" s="271"/>
      <c r="AH91" s="271"/>
      <c r="AI91" s="271"/>
      <c r="AJ91" s="271"/>
      <c r="AK91" s="271">
        <f>AK84/$AK$84</f>
        <v>1</v>
      </c>
      <c r="AL91" s="271"/>
      <c r="AM91" s="271"/>
      <c r="AN91" s="271"/>
      <c r="AO91" s="271"/>
      <c r="AP91" s="271">
        <f>AP84/$AK$84</f>
        <v>-0.42105263157894735</v>
      </c>
      <c r="AQ91" s="271"/>
      <c r="AR91" s="271"/>
      <c r="AS91" s="271"/>
      <c r="AT91" s="271"/>
      <c r="AU91" s="271">
        <f>AU84/$AK$84</f>
        <v>0</v>
      </c>
      <c r="AV91" s="271"/>
      <c r="AW91" s="271"/>
      <c r="AX91" s="271"/>
      <c r="AY91" s="271"/>
      <c r="AZ91" s="271">
        <f>AZ84/$AK$84</f>
        <v>-0.71526315789473682</v>
      </c>
      <c r="BA91" s="271"/>
      <c r="BB91" s="271"/>
      <c r="BC91" s="271"/>
      <c r="BD91" s="271"/>
      <c r="BE91" s="271">
        <f>BE84/$AK$84</f>
        <v>-0.17263157894736841</v>
      </c>
      <c r="BF91" s="271"/>
      <c r="BG91" s="271"/>
      <c r="BH91" s="271"/>
      <c r="BI91" s="271"/>
      <c r="BJ91" s="271">
        <f>BJ84/$AK$84</f>
        <v>1.151578947368421</v>
      </c>
      <c r="BK91" s="271"/>
      <c r="BL91" s="271"/>
      <c r="BM91" s="271"/>
      <c r="BN91" s="271"/>
      <c r="BO91" s="271">
        <f>BO84/$AK$84</f>
        <v>-0.46178947368420747</v>
      </c>
      <c r="BP91" s="271"/>
      <c r="BQ91" s="271"/>
      <c r="BR91" s="271"/>
      <c r="BS91" s="271"/>
      <c r="BT91" s="271">
        <f>BT84/$AK$84</f>
        <v>1.8544210526315759</v>
      </c>
      <c r="BU91" s="271"/>
      <c r="BV91" s="271"/>
      <c r="BW91" s="271"/>
      <c r="BX91" s="271"/>
      <c r="BY91" s="271">
        <f>BY84/$AK$84</f>
        <v>0.10789473684210527</v>
      </c>
      <c r="BZ91" s="271"/>
      <c r="CA91" s="271"/>
      <c r="CB91" s="271"/>
      <c r="CC91" s="271"/>
      <c r="CD91" s="271">
        <f t="shared" si="264"/>
        <v>0.63616526315789468</v>
      </c>
      <c r="CE91" s="271">
        <f t="shared" si="264"/>
        <v>0.61678490009675824</v>
      </c>
      <c r="CF91" s="271">
        <f t="shared" si="264"/>
        <v>0.4610389584933115</v>
      </c>
      <c r="CG91" s="271">
        <f t="shared" si="264"/>
        <v>0.43183865329472421</v>
      </c>
      <c r="CH91" s="271">
        <f t="shared" si="264"/>
        <v>0.40550112181929043</v>
      </c>
      <c r="CI91" s="271">
        <f t="shared" si="264"/>
        <v>0.38175333989933852</v>
      </c>
      <c r="CJ91" s="271">
        <f t="shared" ref="CJ91:CL91" si="273">CJ84/$AK$84</f>
        <v>0.36034835902880569</v>
      </c>
      <c r="CK91" s="271">
        <f t="shared" si="273"/>
        <v>0.3410628161468508</v>
      </c>
      <c r="CL91" s="271">
        <f t="shared" si="273"/>
        <v>0.32369468123715611</v>
      </c>
      <c r="CM91" s="271">
        <f t="shared" ref="CM91" si="274">CM84/$AK$84</f>
        <v>0.30806122003149972</v>
      </c>
      <c r="CN91" s="195"/>
      <c r="CO91" s="195"/>
      <c r="CP91" s="195"/>
      <c r="CQ91" s="195"/>
      <c r="CR91" s="195"/>
      <c r="CS91" s="195"/>
      <c r="CT91" s="195"/>
      <c r="CU91" s="195"/>
      <c r="CV91" s="195"/>
      <c r="CW91" s="195">
        <f>CY82*CY$76</f>
        <v>0</v>
      </c>
      <c r="CX91" s="195">
        <f>CZ82*CZ$76</f>
        <v>0</v>
      </c>
      <c r="CY91" s="195">
        <f>DA82*DA$76</f>
        <v>0</v>
      </c>
    </row>
    <row r="92" spans="1:113" collapsed="1">
      <c r="A92" s="195"/>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72"/>
      <c r="AG92" s="272"/>
      <c r="AH92" s="272"/>
      <c r="AI92" s="272"/>
      <c r="AJ92" s="272"/>
      <c r="AK92" s="272"/>
      <c r="AL92" s="272"/>
      <c r="AM92" s="272"/>
      <c r="AN92" s="272"/>
      <c r="AO92" s="272"/>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269"/>
      <c r="CS92" s="270"/>
      <c r="CT92" s="270"/>
      <c r="CU92" s="270"/>
      <c r="CV92" s="270"/>
      <c r="CW92" s="270" t="e">
        <f>CW91/CV91-1</f>
        <v>#DIV/0!</v>
      </c>
      <c r="CX92" s="270" t="e">
        <f>CX91/CW91-1</f>
        <v>#DIV/0!</v>
      </c>
      <c r="CY92" s="270" t="e">
        <f>CY91/CX91-1</f>
        <v>#DIV/0!</v>
      </c>
    </row>
    <row r="93" spans="1:113">
      <c r="A93" s="195"/>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72"/>
      <c r="AG93" s="272"/>
      <c r="AH93" s="272"/>
      <c r="AI93" s="272"/>
      <c r="AJ93" s="272"/>
      <c r="AK93" s="272"/>
      <c r="AL93" s="272"/>
      <c r="AM93" s="272"/>
      <c r="AN93" s="272"/>
      <c r="AO93" s="272"/>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195"/>
      <c r="CF93" s="195"/>
      <c r="CG93" s="195"/>
      <c r="CH93" s="195"/>
      <c r="CI93" s="195"/>
      <c r="CJ93" s="195"/>
      <c r="CK93" s="195"/>
      <c r="CL93" s="195"/>
      <c r="CM93" s="195"/>
      <c r="CN93" s="195"/>
      <c r="CO93" s="195"/>
      <c r="CP93" s="195"/>
      <c r="CQ93" s="195"/>
      <c r="CR93" s="269"/>
      <c r="CS93" s="270"/>
      <c r="CT93" s="270"/>
      <c r="CU93" s="270"/>
      <c r="CV93" s="270"/>
      <c r="CW93" s="270"/>
      <c r="CX93" s="270"/>
      <c r="CY93" s="270"/>
    </row>
    <row r="94" spans="1:113">
      <c r="A94" s="237" t="s">
        <v>12</v>
      </c>
      <c r="B94" s="237">
        <f t="shared" ref="B94:AG94" si="275">B2</f>
        <v>2007</v>
      </c>
      <c r="C94" s="237" t="str">
        <f t="shared" si="275"/>
        <v>Q1</v>
      </c>
      <c r="D94" s="237" t="str">
        <f t="shared" si="275"/>
        <v>Q2</v>
      </c>
      <c r="E94" s="237" t="str">
        <f t="shared" si="275"/>
        <v>Q3</v>
      </c>
      <c r="F94" s="237" t="str">
        <f t="shared" si="275"/>
        <v>Q4</v>
      </c>
      <c r="G94" s="237">
        <f t="shared" si="275"/>
        <v>2008</v>
      </c>
      <c r="H94" s="237" t="str">
        <f t="shared" si="275"/>
        <v>Q1</v>
      </c>
      <c r="I94" s="237" t="str">
        <f t="shared" si="275"/>
        <v>Q2</v>
      </c>
      <c r="J94" s="237" t="str">
        <f t="shared" si="275"/>
        <v>Q3</v>
      </c>
      <c r="K94" s="237" t="str">
        <f t="shared" si="275"/>
        <v>Q4</v>
      </c>
      <c r="L94" s="237">
        <f t="shared" si="275"/>
        <v>2009</v>
      </c>
      <c r="M94" s="237" t="str">
        <f t="shared" si="275"/>
        <v>Q1</v>
      </c>
      <c r="N94" s="237" t="str">
        <f t="shared" si="275"/>
        <v>Q2</v>
      </c>
      <c r="O94" s="237" t="str">
        <f t="shared" si="275"/>
        <v>Q3</v>
      </c>
      <c r="P94" s="237" t="str">
        <f t="shared" si="275"/>
        <v>Q4</v>
      </c>
      <c r="Q94" s="237">
        <f t="shared" si="275"/>
        <v>2010</v>
      </c>
      <c r="R94" s="237" t="str">
        <f t="shared" si="275"/>
        <v>Q1</v>
      </c>
      <c r="S94" s="237" t="str">
        <f t="shared" si="275"/>
        <v>Q2</v>
      </c>
      <c r="T94" s="237" t="str">
        <f t="shared" si="275"/>
        <v>Q3</v>
      </c>
      <c r="U94" s="237" t="str">
        <f t="shared" si="275"/>
        <v>Q4</v>
      </c>
      <c r="V94" s="237">
        <f t="shared" si="275"/>
        <v>2011</v>
      </c>
      <c r="W94" s="237" t="str">
        <f t="shared" si="275"/>
        <v>Q1</v>
      </c>
      <c r="X94" s="237" t="str">
        <f t="shared" si="275"/>
        <v>Q2</v>
      </c>
      <c r="Y94" s="237" t="str">
        <f t="shared" si="275"/>
        <v>Q3</v>
      </c>
      <c r="Z94" s="237" t="str">
        <f t="shared" si="275"/>
        <v>Q4</v>
      </c>
      <c r="AA94" s="237">
        <f t="shared" si="275"/>
        <v>2012</v>
      </c>
      <c r="AB94" s="237" t="str">
        <f t="shared" si="275"/>
        <v>Q1</v>
      </c>
      <c r="AC94" s="237" t="str">
        <f t="shared" si="275"/>
        <v>Q2</v>
      </c>
      <c r="AD94" s="237" t="str">
        <f t="shared" si="275"/>
        <v>Q3</v>
      </c>
      <c r="AE94" s="237" t="str">
        <f t="shared" si="275"/>
        <v>Q4</v>
      </c>
      <c r="AF94" s="237">
        <f t="shared" si="275"/>
        <v>2013</v>
      </c>
      <c r="AG94" s="237" t="str">
        <f t="shared" si="275"/>
        <v>Q1</v>
      </c>
      <c r="AH94" s="237" t="str">
        <f t="shared" ref="AH94:BM94" si="276">AH2</f>
        <v>Q2</v>
      </c>
      <c r="AI94" s="237" t="str">
        <f t="shared" si="276"/>
        <v>Q3</v>
      </c>
      <c r="AJ94" s="237" t="str">
        <f t="shared" si="276"/>
        <v>Q4</v>
      </c>
      <c r="AK94" s="237">
        <f t="shared" si="276"/>
        <v>2014</v>
      </c>
      <c r="AL94" s="237" t="str">
        <f t="shared" si="276"/>
        <v>Q1</v>
      </c>
      <c r="AM94" s="237" t="str">
        <f t="shared" si="276"/>
        <v>Q2</v>
      </c>
      <c r="AN94" s="237" t="str">
        <f t="shared" si="276"/>
        <v>Q3</v>
      </c>
      <c r="AO94" s="237" t="str">
        <f t="shared" si="276"/>
        <v>Q4</v>
      </c>
      <c r="AP94" s="237">
        <f t="shared" si="276"/>
        <v>2015</v>
      </c>
      <c r="AQ94" s="237" t="str">
        <f t="shared" si="276"/>
        <v>Q1</v>
      </c>
      <c r="AR94" s="237" t="str">
        <f t="shared" si="276"/>
        <v>Q2</v>
      </c>
      <c r="AS94" s="237" t="str">
        <f t="shared" si="276"/>
        <v>Q3</v>
      </c>
      <c r="AT94" s="237" t="str">
        <f t="shared" si="276"/>
        <v>Q4</v>
      </c>
      <c r="AU94" s="237">
        <f t="shared" si="276"/>
        <v>2016</v>
      </c>
      <c r="AV94" s="237" t="str">
        <f t="shared" si="276"/>
        <v>Q1</v>
      </c>
      <c r="AW94" s="237" t="str">
        <f t="shared" si="276"/>
        <v>Q2</v>
      </c>
      <c r="AX94" s="237" t="str">
        <f t="shared" si="276"/>
        <v>Q3</v>
      </c>
      <c r="AY94" s="237" t="str">
        <f t="shared" si="276"/>
        <v>Q4</v>
      </c>
      <c r="AZ94" s="237">
        <f t="shared" si="276"/>
        <v>2017</v>
      </c>
      <c r="BA94" s="237" t="str">
        <f t="shared" si="276"/>
        <v>Q1</v>
      </c>
      <c r="BB94" s="237" t="str">
        <f t="shared" si="276"/>
        <v>Q2</v>
      </c>
      <c r="BC94" s="237" t="str">
        <f t="shared" si="276"/>
        <v>Q3</v>
      </c>
      <c r="BD94" s="237" t="str">
        <f t="shared" si="276"/>
        <v>Q4</v>
      </c>
      <c r="BE94" s="237">
        <f t="shared" si="276"/>
        <v>2018</v>
      </c>
      <c r="BF94" s="237" t="str">
        <f t="shared" si="276"/>
        <v>Q1</v>
      </c>
      <c r="BG94" s="237" t="str">
        <f t="shared" si="276"/>
        <v>Q2</v>
      </c>
      <c r="BH94" s="237" t="str">
        <f t="shared" si="276"/>
        <v>Q3</v>
      </c>
      <c r="BI94" s="237" t="str">
        <f t="shared" si="276"/>
        <v>Q4</v>
      </c>
      <c r="BJ94" s="237">
        <f t="shared" si="276"/>
        <v>2019</v>
      </c>
      <c r="BK94" s="237" t="str">
        <f t="shared" si="276"/>
        <v>Q1</v>
      </c>
      <c r="BL94" s="237" t="str">
        <f t="shared" si="276"/>
        <v>Q2</v>
      </c>
      <c r="BM94" s="237" t="str">
        <f t="shared" si="276"/>
        <v>Q3</v>
      </c>
      <c r="BN94" s="237" t="str">
        <f t="shared" ref="BN94:CM94" si="277">BN2</f>
        <v>Q4</v>
      </c>
      <c r="BO94" s="237">
        <f t="shared" si="277"/>
        <v>2020</v>
      </c>
      <c r="BP94" s="237" t="str">
        <f t="shared" si="277"/>
        <v>Q1</v>
      </c>
      <c r="BQ94" s="237" t="str">
        <f t="shared" si="277"/>
        <v>Q2</v>
      </c>
      <c r="BR94" s="237" t="str">
        <f t="shared" si="277"/>
        <v>Q3</v>
      </c>
      <c r="BS94" s="237" t="str">
        <f t="shared" si="277"/>
        <v>Q4</v>
      </c>
      <c r="BT94" s="237">
        <f t="shared" si="277"/>
        <v>2021</v>
      </c>
      <c r="BU94" s="237" t="str">
        <f t="shared" si="277"/>
        <v>Q1</v>
      </c>
      <c r="BV94" s="237" t="str">
        <f t="shared" si="277"/>
        <v>Q2</v>
      </c>
      <c r="BW94" s="237" t="str">
        <f t="shared" si="277"/>
        <v>Q3</v>
      </c>
      <c r="BX94" s="237" t="str">
        <f t="shared" si="277"/>
        <v>Q4</v>
      </c>
      <c r="BY94" s="237">
        <f t="shared" si="277"/>
        <v>2022</v>
      </c>
      <c r="BZ94" s="237" t="str">
        <f t="shared" si="277"/>
        <v>Q1</v>
      </c>
      <c r="CA94" s="237" t="str">
        <f t="shared" si="277"/>
        <v>Q2</v>
      </c>
      <c r="CB94" s="237" t="str">
        <f t="shared" si="277"/>
        <v>Q3</v>
      </c>
      <c r="CC94" s="237" t="str">
        <f t="shared" si="277"/>
        <v>Q4</v>
      </c>
      <c r="CD94" s="237">
        <f t="shared" si="277"/>
        <v>2023</v>
      </c>
      <c r="CE94" s="237">
        <f t="shared" si="277"/>
        <v>2024</v>
      </c>
      <c r="CF94" s="237">
        <f t="shared" si="277"/>
        <v>2025</v>
      </c>
      <c r="CG94" s="237">
        <f t="shared" si="277"/>
        <v>2026</v>
      </c>
      <c r="CH94" s="237">
        <f t="shared" si="277"/>
        <v>2027</v>
      </c>
      <c r="CI94" s="237">
        <f t="shared" si="277"/>
        <v>2028</v>
      </c>
      <c r="CJ94" s="237">
        <f t="shared" si="277"/>
        <v>2029</v>
      </c>
      <c r="CK94" s="237">
        <f t="shared" si="277"/>
        <v>2030</v>
      </c>
      <c r="CL94" s="237">
        <f t="shared" si="277"/>
        <v>2031</v>
      </c>
      <c r="CM94" s="237">
        <f t="shared" si="277"/>
        <v>2032</v>
      </c>
      <c r="CN94" s="195"/>
      <c r="CO94" s="195"/>
      <c r="CP94" s="195"/>
      <c r="CQ94" s="195"/>
      <c r="CR94" s="195"/>
      <c r="CS94" s="195"/>
      <c r="CT94" s="195"/>
      <c r="CU94" s="195"/>
      <c r="CV94" s="195"/>
      <c r="CW94" s="195">
        <f>CY84*CY$76</f>
        <v>0</v>
      </c>
      <c r="CX94" s="195">
        <f>CZ84*CZ$76</f>
        <v>0</v>
      </c>
      <c r="CY94" s="195">
        <f>DA84*DA$76</f>
        <v>0</v>
      </c>
    </row>
    <row r="95" spans="1:113" hidden="1" outlineLevel="1">
      <c r="A95" s="273" t="s">
        <v>13</v>
      </c>
      <c r="B95" s="274"/>
      <c r="C95" s="274"/>
      <c r="D95" s="274"/>
      <c r="E95" s="274"/>
      <c r="F95" s="274"/>
      <c r="G95" s="274"/>
      <c r="H95" s="274"/>
      <c r="I95" s="274"/>
      <c r="J95" s="274"/>
      <c r="K95" s="274"/>
      <c r="L95" s="274"/>
      <c r="M95" s="274"/>
      <c r="N95" s="274"/>
      <c r="O95" s="274"/>
      <c r="P95" s="274"/>
      <c r="Q95" s="274"/>
      <c r="R95" s="274"/>
      <c r="S95" s="274"/>
      <c r="T95" s="274"/>
      <c r="U95" s="274"/>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5"/>
      <c r="AS95" s="275"/>
      <c r="AT95" s="198"/>
      <c r="AU95" s="198">
        <f>AU97*AU74</f>
        <v>0</v>
      </c>
      <c r="AV95" s="198">
        <f>AV103</f>
        <v>2800</v>
      </c>
      <c r="AW95" s="198">
        <f>AW103</f>
        <v>2842</v>
      </c>
      <c r="AX95" s="198">
        <f t="shared" ref="AX95:BV95" si="278">AX103</f>
        <v>2849</v>
      </c>
      <c r="AY95" s="198">
        <f t="shared" si="278"/>
        <v>2894</v>
      </c>
      <c r="AZ95" s="198">
        <f t="shared" si="278"/>
        <v>2894</v>
      </c>
      <c r="BA95" s="198">
        <f t="shared" si="278"/>
        <v>2958</v>
      </c>
      <c r="BB95" s="198">
        <f t="shared" si="278"/>
        <v>3019</v>
      </c>
      <c r="BC95" s="198">
        <f t="shared" si="278"/>
        <v>3105</v>
      </c>
      <c r="BD95" s="198">
        <f t="shared" si="278"/>
        <v>3190</v>
      </c>
      <c r="BE95" s="198">
        <f t="shared" si="278"/>
        <v>3190</v>
      </c>
      <c r="BF95" s="198">
        <f t="shared" si="278"/>
        <v>3321</v>
      </c>
      <c r="BG95" s="198">
        <f t="shared" si="278"/>
        <v>3438</v>
      </c>
      <c r="BH95" s="198">
        <f t="shared" si="278"/>
        <v>3581</v>
      </c>
      <c r="BI95" s="198">
        <f t="shared" si="278"/>
        <v>3755</v>
      </c>
      <c r="BJ95" s="198">
        <f t="shared" si="278"/>
        <v>3755</v>
      </c>
      <c r="BK95" s="198">
        <f t="shared" si="278"/>
        <v>3833</v>
      </c>
      <c r="BL95" s="198">
        <f t="shared" si="278"/>
        <v>3801</v>
      </c>
      <c r="BM95" s="198">
        <f t="shared" si="278"/>
        <v>3855</v>
      </c>
      <c r="BN95" s="198">
        <f t="shared" si="278"/>
        <v>3939</v>
      </c>
      <c r="BO95" s="198">
        <f t="shared" si="278"/>
        <v>3939</v>
      </c>
      <c r="BP95" s="198">
        <f t="shared" si="278"/>
        <v>4006</v>
      </c>
      <c r="BQ95" s="198">
        <f t="shared" si="278"/>
        <v>4133</v>
      </c>
      <c r="BR95" s="198">
        <f t="shared" si="278"/>
        <v>4107</v>
      </c>
      <c r="BS95" s="198">
        <f t="shared" si="278"/>
        <v>4259</v>
      </c>
      <c r="BT95" s="198">
        <f t="shared" si="278"/>
        <v>4259</v>
      </c>
      <c r="BU95" s="198">
        <f t="shared" si="278"/>
        <v>4324</v>
      </c>
      <c r="BV95" s="198">
        <f t="shared" si="278"/>
        <v>4398</v>
      </c>
      <c r="BW95" s="198">
        <f t="shared" ref="BW95:BZ95" si="279">BW103</f>
        <v>4478</v>
      </c>
      <c r="BX95" s="198">
        <f t="shared" si="279"/>
        <v>4591</v>
      </c>
      <c r="BY95" s="198">
        <f t="shared" si="279"/>
        <v>4591</v>
      </c>
      <c r="BZ95" s="198">
        <f t="shared" si="279"/>
        <v>4663</v>
      </c>
      <c r="CA95" s="198">
        <f t="shared" ref="CA95:CB95" si="280">CA103</f>
        <v>4721</v>
      </c>
      <c r="CB95" s="198">
        <f t="shared" si="280"/>
        <v>4825</v>
      </c>
      <c r="CC95" s="198">
        <f t="shared" ref="CC95:CD95" si="281">CC103</f>
        <v>4922</v>
      </c>
      <c r="CD95" s="198">
        <f t="shared" si="281"/>
        <v>4922</v>
      </c>
      <c r="CE95" s="198">
        <f>CE97*CE72</f>
        <v>5078.9729577710677</v>
      </c>
      <c r="CF95" s="198">
        <f t="shared" ref="CF95:CI95" si="282">CF97*CF72</f>
        <v>5207.3653848327749</v>
      </c>
      <c r="CG95" s="198">
        <f t="shared" si="282"/>
        <v>5331.3689201470434</v>
      </c>
      <c r="CH95" s="198">
        <f t="shared" si="282"/>
        <v>5451.4221441667887</v>
      </c>
      <c r="CI95" s="198">
        <f t="shared" si="282"/>
        <v>5567.9259476108791</v>
      </c>
      <c r="CJ95" s="198">
        <f t="shared" ref="CJ95:CL95" si="283">CJ97*CJ72</f>
        <v>5681.2467714715513</v>
      </c>
      <c r="CK95" s="198">
        <f t="shared" si="283"/>
        <v>5791.7195721812532</v>
      </c>
      <c r="CL95" s="198">
        <f t="shared" si="283"/>
        <v>5899.6505348853425</v>
      </c>
      <c r="CM95" s="198">
        <f t="shared" ref="CM95" si="284">CM97*CM72</f>
        <v>6005.3195558909601</v>
      </c>
      <c r="CN95" s="195"/>
      <c r="CO95" s="195"/>
      <c r="CP95" s="195"/>
      <c r="CQ95" s="195"/>
      <c r="CR95" s="269"/>
      <c r="CS95" s="270"/>
      <c r="CT95" s="270"/>
      <c r="CU95" s="270"/>
      <c r="CV95" s="270"/>
      <c r="CW95" s="270" t="e">
        <f>CW94/CV94-1</f>
        <v>#DIV/0!</v>
      </c>
      <c r="CX95" s="270" t="e">
        <f>CX94/CW94-1</f>
        <v>#DIV/0!</v>
      </c>
      <c r="CY95" s="270" t="e">
        <f>CY94/CX94-1</f>
        <v>#DIV/0!</v>
      </c>
    </row>
    <row r="96" spans="1:113" hidden="1" outlineLevel="1">
      <c r="A96" s="273" t="s">
        <v>14</v>
      </c>
      <c r="B96" s="274"/>
      <c r="C96" s="274"/>
      <c r="D96" s="274"/>
      <c r="E96" s="274"/>
      <c r="F96" s="274"/>
      <c r="G96" s="274"/>
      <c r="H96" s="274"/>
      <c r="I96" s="274"/>
      <c r="J96" s="274"/>
      <c r="K96" s="274"/>
      <c r="L96" s="274"/>
      <c r="M96" s="274"/>
      <c r="N96" s="274"/>
      <c r="O96" s="274"/>
      <c r="P96" s="274"/>
      <c r="Q96" s="274"/>
      <c r="R96" s="274"/>
      <c r="S96" s="274"/>
      <c r="T96" s="274"/>
      <c r="U96" s="274"/>
      <c r="V96" s="275"/>
      <c r="W96" s="275"/>
      <c r="X96" s="275"/>
      <c r="Y96" s="275"/>
      <c r="Z96" s="275"/>
      <c r="AA96" s="275"/>
      <c r="AB96" s="275"/>
      <c r="AC96" s="275"/>
      <c r="AD96" s="275"/>
      <c r="AE96" s="275"/>
      <c r="AF96" s="275"/>
      <c r="AG96" s="275"/>
      <c r="AH96" s="275"/>
      <c r="AI96" s="275"/>
      <c r="AJ96" s="275"/>
      <c r="AK96" s="275"/>
      <c r="AL96" s="275"/>
      <c r="AM96" s="275"/>
      <c r="AN96" s="275"/>
      <c r="AO96" s="275"/>
      <c r="AP96" s="275"/>
      <c r="AQ96" s="275"/>
      <c r="AR96" s="275"/>
      <c r="AS96" s="275"/>
      <c r="AT96" s="198"/>
      <c r="AU96" s="198">
        <f>AU98*AU74</f>
        <v>12299</v>
      </c>
      <c r="AV96" s="198">
        <f>AV109</f>
        <v>8820</v>
      </c>
      <c r="AW96" s="198">
        <f>AW109</f>
        <v>8653</v>
      </c>
      <c r="AX96" s="198">
        <f t="shared" ref="AX96:BV96" si="285">AX109</f>
        <v>8255</v>
      </c>
      <c r="AY96" s="198">
        <f t="shared" si="285"/>
        <v>8034</v>
      </c>
      <c r="AZ96" s="198">
        <f t="shared" si="285"/>
        <v>8034</v>
      </c>
      <c r="BA96" s="198">
        <f t="shared" si="285"/>
        <v>7756</v>
      </c>
      <c r="BB96" s="198">
        <f t="shared" si="285"/>
        <v>7716</v>
      </c>
      <c r="BC96" s="198">
        <f t="shared" si="285"/>
        <v>7703</v>
      </c>
      <c r="BD96" s="198">
        <f t="shared" si="285"/>
        <v>7571</v>
      </c>
      <c r="BE96" s="198">
        <f t="shared" si="285"/>
        <v>7571</v>
      </c>
      <c r="BF96" s="198">
        <f t="shared" si="285"/>
        <v>7444</v>
      </c>
      <c r="BG96" s="198">
        <f t="shared" si="285"/>
        <v>7463</v>
      </c>
      <c r="BH96" s="198">
        <f t="shared" si="285"/>
        <v>7461</v>
      </c>
      <c r="BI96" s="198">
        <f t="shared" si="285"/>
        <v>7375</v>
      </c>
      <c r="BJ96" s="198">
        <f t="shared" si="285"/>
        <v>7375</v>
      </c>
      <c r="BK96" s="198">
        <f t="shared" si="285"/>
        <v>7388</v>
      </c>
      <c r="BL96" s="198">
        <f t="shared" si="285"/>
        <v>7830</v>
      </c>
      <c r="BM96" s="198">
        <f t="shared" si="285"/>
        <v>7147</v>
      </c>
      <c r="BN96" s="198">
        <f t="shared" si="285"/>
        <v>7193</v>
      </c>
      <c r="BO96" s="198">
        <f t="shared" si="285"/>
        <v>7193</v>
      </c>
      <c r="BP96" s="198">
        <f t="shared" si="285"/>
        <v>7365</v>
      </c>
      <c r="BQ96" s="198">
        <f t="shared" si="285"/>
        <v>7360</v>
      </c>
      <c r="BR96" s="198">
        <f t="shared" si="285"/>
        <v>7334</v>
      </c>
      <c r="BS96" s="198">
        <f t="shared" si="285"/>
        <v>7359</v>
      </c>
      <c r="BT96" s="198">
        <f t="shared" si="285"/>
        <v>7359</v>
      </c>
      <c r="BU96" s="198">
        <f t="shared" si="285"/>
        <v>7092</v>
      </c>
      <c r="BV96" s="198">
        <f t="shared" si="285"/>
        <v>7149</v>
      </c>
      <c r="BW96" s="198">
        <f t="shared" ref="BW96:BZ96" si="286">BW109</f>
        <v>7188</v>
      </c>
      <c r="BX96" s="198">
        <f t="shared" si="286"/>
        <v>7147</v>
      </c>
      <c r="BY96" s="198">
        <f t="shared" si="286"/>
        <v>7147</v>
      </c>
      <c r="BZ96" s="198">
        <f t="shared" si="286"/>
        <v>7126</v>
      </c>
      <c r="CA96" s="198">
        <f t="shared" ref="CA96:CB96" si="287">CA109</f>
        <v>7032</v>
      </c>
      <c r="CB96" s="198">
        <f t="shared" si="287"/>
        <v>7185</v>
      </c>
      <c r="CC96" s="198">
        <f t="shared" ref="CC96:CD96" si="288">CC109</f>
        <v>7589</v>
      </c>
      <c r="CD96" s="198">
        <f t="shared" si="288"/>
        <v>7589</v>
      </c>
      <c r="CE96" s="198">
        <f t="shared" ref="CE96:CI96" si="289">CE98*CE72</f>
        <v>7733.3282558056599</v>
      </c>
      <c r="CF96" s="198">
        <f t="shared" si="289"/>
        <v>7830.1546978803299</v>
      </c>
      <c r="CG96" s="198">
        <f t="shared" si="289"/>
        <v>7917.1055978750783</v>
      </c>
      <c r="CH96" s="198">
        <f t="shared" si="289"/>
        <v>7995.1408486083783</v>
      </c>
      <c r="CI96" s="198">
        <f t="shared" si="289"/>
        <v>8065.124659534541</v>
      </c>
      <c r="CJ96" s="198">
        <f t="shared" ref="CJ96:CL96" si="290">CJ98*CJ72</f>
        <v>8127.8350547726641</v>
      </c>
      <c r="CK96" s="198">
        <f t="shared" si="290"/>
        <v>8183.9724294982261</v>
      </c>
      <c r="CL96" s="198">
        <f t="shared" si="290"/>
        <v>8234.1672579245405</v>
      </c>
      <c r="CM96" s="198">
        <f t="shared" ref="CM96" si="291">CM98*CM72</f>
        <v>8278.9870368828288</v>
      </c>
      <c r="CN96" s="195"/>
      <c r="CO96" s="195"/>
      <c r="CP96" s="195"/>
      <c r="CQ96" s="195"/>
      <c r="CR96" s="235"/>
      <c r="CS96" s="202"/>
      <c r="CT96" s="202"/>
      <c r="CU96" s="202"/>
      <c r="CV96" s="202"/>
      <c r="CW96" s="202">
        <f>'Balance Sheet and Cflow'!AN295</f>
        <v>0</v>
      </c>
      <c r="CX96" s="202">
        <f>'Balance Sheet and Cflow'!AO306</f>
        <v>0</v>
      </c>
      <c r="CY96" s="202">
        <f>'Balance Sheet and Cflow'!AP306</f>
        <v>0</v>
      </c>
    </row>
    <row r="97" spans="1:135" s="207" customFormat="1" hidden="1" outlineLevel="1">
      <c r="A97" s="541" t="s">
        <v>15</v>
      </c>
      <c r="B97" s="243" t="e">
        <f>B95/(B96+B95)</f>
        <v>#DIV/0!</v>
      </c>
      <c r="C97" s="243"/>
      <c r="D97" s="243"/>
      <c r="E97" s="243"/>
      <c r="F97" s="243"/>
      <c r="G97" s="243" t="e">
        <f>G95/(G96+G95)</f>
        <v>#DIV/0!</v>
      </c>
      <c r="H97" s="243"/>
      <c r="I97" s="243"/>
      <c r="J97" s="243"/>
      <c r="K97" s="243"/>
      <c r="L97" s="243" t="e">
        <f>L95/(L96+L95)</f>
        <v>#DIV/0!</v>
      </c>
      <c r="M97" s="243"/>
      <c r="N97" s="243"/>
      <c r="O97" s="243"/>
      <c r="P97" s="243"/>
      <c r="Q97" s="243" t="e">
        <f>Q95/(Q96+Q95)</f>
        <v>#DIV/0!</v>
      </c>
      <c r="R97" s="243"/>
      <c r="S97" s="243"/>
      <c r="T97" s="243"/>
      <c r="U97" s="243"/>
      <c r="V97" s="243" t="e">
        <f>V95/(V96+V95)</f>
        <v>#DIV/0!</v>
      </c>
      <c r="W97" s="243"/>
      <c r="X97" s="243"/>
      <c r="Y97" s="243"/>
      <c r="Z97" s="243"/>
      <c r="AA97" s="243" t="e">
        <f>AA95/(AA96+AA95)</f>
        <v>#DIV/0!</v>
      </c>
      <c r="AB97" s="243"/>
      <c r="AC97" s="243"/>
      <c r="AD97" s="243"/>
      <c r="AE97" s="243"/>
      <c r="AF97" s="243" t="e">
        <f>AF95/(AF96+AF95)</f>
        <v>#DIV/0!</v>
      </c>
      <c r="AG97" s="243"/>
      <c r="AH97" s="243"/>
      <c r="AI97" s="243"/>
      <c r="AJ97" s="243"/>
      <c r="AK97" s="243" t="e">
        <f>AK95/(AK96+AK95)</f>
        <v>#DIV/0!</v>
      </c>
      <c r="AL97" s="243"/>
      <c r="AM97" s="243"/>
      <c r="AN97" s="243"/>
      <c r="AO97" s="243"/>
      <c r="AP97" s="243" t="e">
        <f>AP95/(AP96+AP95)</f>
        <v>#DIV/0!</v>
      </c>
      <c r="AQ97" s="243"/>
      <c r="AR97" s="243"/>
      <c r="AS97" s="243"/>
      <c r="AT97" s="243"/>
      <c r="AU97" s="312"/>
      <c r="AV97" s="243">
        <f>AV95/(AV95+AV96)</f>
        <v>0.24096385542168675</v>
      </c>
      <c r="AW97" s="243">
        <f>AW95/(AW95+AW96)</f>
        <v>0.24723792953458026</v>
      </c>
      <c r="AX97" s="243">
        <f t="shared" ref="AX97:BV97" si="292">AX95/(AX95+AX96)</f>
        <v>0.25657420749279541</v>
      </c>
      <c r="AY97" s="243">
        <f t="shared" si="292"/>
        <v>0.2648243045387994</v>
      </c>
      <c r="AZ97" s="243">
        <f t="shared" si="292"/>
        <v>0.2648243045387994</v>
      </c>
      <c r="BA97" s="243">
        <f t="shared" si="292"/>
        <v>0.27608736232966213</v>
      </c>
      <c r="BB97" s="243">
        <f t="shared" si="292"/>
        <v>0.28122962272938984</v>
      </c>
      <c r="BC97" s="243">
        <f t="shared" si="292"/>
        <v>0.28728719467061437</v>
      </c>
      <c r="BD97" s="243">
        <f t="shared" si="292"/>
        <v>0.29644085122200536</v>
      </c>
      <c r="BE97" s="243">
        <f t="shared" si="292"/>
        <v>0.29644085122200536</v>
      </c>
      <c r="BF97" s="243">
        <f t="shared" si="292"/>
        <v>0.30849976776590804</v>
      </c>
      <c r="BG97" s="243">
        <f t="shared" si="292"/>
        <v>0.31538390973305203</v>
      </c>
      <c r="BH97" s="243">
        <f t="shared" si="292"/>
        <v>0.3243071907263177</v>
      </c>
      <c r="BI97" s="243">
        <f t="shared" si="292"/>
        <v>0.33737646001796945</v>
      </c>
      <c r="BJ97" s="243">
        <f t="shared" si="292"/>
        <v>0.33737646001796945</v>
      </c>
      <c r="BK97" s="243">
        <f t="shared" si="292"/>
        <v>0.34159165849746009</v>
      </c>
      <c r="BL97" s="243">
        <f t="shared" si="292"/>
        <v>0.3267990714469951</v>
      </c>
      <c r="BM97" s="243">
        <f t="shared" si="292"/>
        <v>0.3503908380294492</v>
      </c>
      <c r="BN97" s="243">
        <f t="shared" si="292"/>
        <v>0.35384477182896157</v>
      </c>
      <c r="BO97" s="243">
        <f t="shared" si="292"/>
        <v>0.35384477182896157</v>
      </c>
      <c r="BP97" s="243">
        <f t="shared" si="292"/>
        <v>0.35229970978805736</v>
      </c>
      <c r="BQ97" s="243">
        <f t="shared" si="292"/>
        <v>0.35961019751152878</v>
      </c>
      <c r="BR97" s="243">
        <f t="shared" si="292"/>
        <v>0.35897211782186872</v>
      </c>
      <c r="BS97" s="243">
        <f t="shared" si="292"/>
        <v>0.36658633155448445</v>
      </c>
      <c r="BT97" s="243">
        <f t="shared" si="292"/>
        <v>0.36658633155448445</v>
      </c>
      <c r="BU97" s="243">
        <f t="shared" si="292"/>
        <v>0.37876664330763843</v>
      </c>
      <c r="BV97" s="243">
        <f t="shared" si="292"/>
        <v>0.38087815016887505</v>
      </c>
      <c r="BW97" s="222">
        <f t="shared" ref="BW97:BZ97" si="293">BW95/(BW95+BW96)</f>
        <v>0.3838505057431853</v>
      </c>
      <c r="BX97" s="222">
        <f t="shared" si="293"/>
        <v>0.39112284886692794</v>
      </c>
      <c r="BY97" s="243">
        <f t="shared" si="293"/>
        <v>0.39112284886692794</v>
      </c>
      <c r="BZ97" s="243">
        <f t="shared" si="293"/>
        <v>0.39553821358893881</v>
      </c>
      <c r="CA97" s="243">
        <f t="shared" ref="CA97:CB97" si="294">CA95/(CA95+CA96)</f>
        <v>0.40168467625287163</v>
      </c>
      <c r="CB97" s="243">
        <f t="shared" si="294"/>
        <v>0.40174854288093254</v>
      </c>
      <c r="CC97" s="243">
        <f t="shared" ref="CC97:CD97" si="295">CC95/(CC95+CC96)</f>
        <v>0.39341379585964353</v>
      </c>
      <c r="CD97" s="243">
        <f t="shared" si="295"/>
        <v>0.39341379585964353</v>
      </c>
      <c r="CE97" s="312">
        <f>CD97+0.3%</f>
        <v>0.39641379585964354</v>
      </c>
      <c r="CF97" s="312">
        <f t="shared" ref="CF97:CM97" si="296">CE97+0.3%</f>
        <v>0.39941379585964354</v>
      </c>
      <c r="CG97" s="312">
        <f t="shared" si="296"/>
        <v>0.40241379585964354</v>
      </c>
      <c r="CH97" s="312">
        <f t="shared" si="296"/>
        <v>0.40541379585964354</v>
      </c>
      <c r="CI97" s="312">
        <f t="shared" si="296"/>
        <v>0.40841379585964355</v>
      </c>
      <c r="CJ97" s="312">
        <f t="shared" si="296"/>
        <v>0.41141379585964355</v>
      </c>
      <c r="CK97" s="312">
        <f t="shared" si="296"/>
        <v>0.41441379585964355</v>
      </c>
      <c r="CL97" s="312">
        <f t="shared" si="296"/>
        <v>0.41741379585964355</v>
      </c>
      <c r="CM97" s="312">
        <f t="shared" si="296"/>
        <v>0.42041379585964356</v>
      </c>
      <c r="CR97" s="542"/>
      <c r="CS97" s="270"/>
      <c r="CT97" s="270"/>
      <c r="CU97" s="270"/>
      <c r="CV97" s="270"/>
      <c r="CW97" s="270" t="e">
        <f>CW96/CV96-1</f>
        <v>#DIV/0!</v>
      </c>
      <c r="CX97" s="270" t="e">
        <f>CX96/CW96-1</f>
        <v>#DIV/0!</v>
      </c>
      <c r="CY97" s="270" t="e">
        <f>CY96/CX96-1</f>
        <v>#DIV/0!</v>
      </c>
    </row>
    <row r="98" spans="1:135" s="207" customFormat="1" hidden="1" outlineLevel="1">
      <c r="A98" s="541" t="s">
        <v>16</v>
      </c>
      <c r="B98" s="243" t="e">
        <f>100%-B97</f>
        <v>#DIV/0!</v>
      </c>
      <c r="C98" s="243"/>
      <c r="D98" s="243"/>
      <c r="E98" s="243"/>
      <c r="F98" s="243"/>
      <c r="G98" s="243" t="e">
        <f>100%-G97</f>
        <v>#DIV/0!</v>
      </c>
      <c r="H98" s="243"/>
      <c r="I98" s="243"/>
      <c r="J98" s="243"/>
      <c r="K98" s="243"/>
      <c r="L98" s="243" t="e">
        <f>100%-L97</f>
        <v>#DIV/0!</v>
      </c>
      <c r="M98" s="243"/>
      <c r="N98" s="243"/>
      <c r="O98" s="243"/>
      <c r="P98" s="243"/>
      <c r="Q98" s="243" t="e">
        <f>100%-Q97</f>
        <v>#DIV/0!</v>
      </c>
      <c r="R98" s="243"/>
      <c r="S98" s="243"/>
      <c r="T98" s="243"/>
      <c r="U98" s="243"/>
      <c r="V98" s="243" t="e">
        <f>100%-V97</f>
        <v>#DIV/0!</v>
      </c>
      <c r="W98" s="243"/>
      <c r="X98" s="243"/>
      <c r="Y98" s="243"/>
      <c r="Z98" s="243"/>
      <c r="AA98" s="243" t="e">
        <f>100%-AA97</f>
        <v>#DIV/0!</v>
      </c>
      <c r="AB98" s="243"/>
      <c r="AC98" s="243"/>
      <c r="AD98" s="243"/>
      <c r="AE98" s="243"/>
      <c r="AF98" s="243" t="e">
        <f>100%-AF97</f>
        <v>#DIV/0!</v>
      </c>
      <c r="AG98" s="243"/>
      <c r="AH98" s="243"/>
      <c r="AI98" s="243"/>
      <c r="AJ98" s="243"/>
      <c r="AK98" s="243" t="e">
        <f>100%-AK97</f>
        <v>#DIV/0!</v>
      </c>
      <c r="AL98" s="243"/>
      <c r="AM98" s="243"/>
      <c r="AN98" s="243"/>
      <c r="AO98" s="243"/>
      <c r="AP98" s="243" t="e">
        <f>100%-AP97</f>
        <v>#DIV/0!</v>
      </c>
      <c r="AQ98" s="243"/>
      <c r="AR98" s="243"/>
      <c r="AS98" s="243"/>
      <c r="AT98" s="243"/>
      <c r="AU98" s="312">
        <f>100%-AU97</f>
        <v>1</v>
      </c>
      <c r="AV98" s="243">
        <f>1-AV97</f>
        <v>0.75903614457831325</v>
      </c>
      <c r="AW98" s="243">
        <f>1-AW97</f>
        <v>0.75276207046541976</v>
      </c>
      <c r="AX98" s="243">
        <f t="shared" ref="AX98:BV98" si="297">1-AX97</f>
        <v>0.74342579250720453</v>
      </c>
      <c r="AY98" s="243">
        <f t="shared" si="297"/>
        <v>0.73517569546120054</v>
      </c>
      <c r="AZ98" s="243">
        <f t="shared" si="297"/>
        <v>0.73517569546120054</v>
      </c>
      <c r="BA98" s="243">
        <f t="shared" si="297"/>
        <v>0.72391263767033787</v>
      </c>
      <c r="BB98" s="243">
        <f t="shared" si="297"/>
        <v>0.71877037727061022</v>
      </c>
      <c r="BC98" s="243">
        <f t="shared" si="297"/>
        <v>0.71271280532938563</v>
      </c>
      <c r="BD98" s="243">
        <f t="shared" si="297"/>
        <v>0.70355914877799464</v>
      </c>
      <c r="BE98" s="243">
        <f t="shared" si="297"/>
        <v>0.70355914877799464</v>
      </c>
      <c r="BF98" s="243">
        <f t="shared" si="297"/>
        <v>0.69150023223409196</v>
      </c>
      <c r="BG98" s="243">
        <f t="shared" si="297"/>
        <v>0.68461609026694803</v>
      </c>
      <c r="BH98" s="243">
        <f t="shared" si="297"/>
        <v>0.67569280927368225</v>
      </c>
      <c r="BI98" s="243">
        <f t="shared" si="297"/>
        <v>0.66262353998203061</v>
      </c>
      <c r="BJ98" s="243">
        <f t="shared" si="297"/>
        <v>0.66262353998203061</v>
      </c>
      <c r="BK98" s="243">
        <f t="shared" si="297"/>
        <v>0.65840834150253991</v>
      </c>
      <c r="BL98" s="243">
        <f t="shared" si="297"/>
        <v>0.67320092855300495</v>
      </c>
      <c r="BM98" s="243">
        <f t="shared" si="297"/>
        <v>0.64960916197055085</v>
      </c>
      <c r="BN98" s="243">
        <f t="shared" si="297"/>
        <v>0.64615522817103843</v>
      </c>
      <c r="BO98" s="243">
        <f t="shared" si="297"/>
        <v>0.64615522817103843</v>
      </c>
      <c r="BP98" s="243">
        <f t="shared" si="297"/>
        <v>0.64770029021194264</v>
      </c>
      <c r="BQ98" s="243">
        <f t="shared" si="297"/>
        <v>0.64038980248847122</v>
      </c>
      <c r="BR98" s="243">
        <f t="shared" si="297"/>
        <v>0.64102788217813123</v>
      </c>
      <c r="BS98" s="243">
        <f t="shared" si="297"/>
        <v>0.63341366844551561</v>
      </c>
      <c r="BT98" s="243">
        <f t="shared" si="297"/>
        <v>0.63341366844551561</v>
      </c>
      <c r="BU98" s="243">
        <f t="shared" si="297"/>
        <v>0.62123335669236157</v>
      </c>
      <c r="BV98" s="243">
        <f t="shared" si="297"/>
        <v>0.61912184983112495</v>
      </c>
      <c r="BW98" s="222">
        <f t="shared" ref="BW98:BZ98" si="298">1-BW97</f>
        <v>0.61614949425681464</v>
      </c>
      <c r="BX98" s="222">
        <f t="shared" si="298"/>
        <v>0.60887715113307206</v>
      </c>
      <c r="BY98" s="243">
        <f t="shared" si="298"/>
        <v>0.60887715113307206</v>
      </c>
      <c r="BZ98" s="243">
        <f t="shared" si="298"/>
        <v>0.60446178641106119</v>
      </c>
      <c r="CA98" s="243">
        <f t="shared" ref="CA98:CB98" si="299">1-CA97</f>
        <v>0.59831532374712837</v>
      </c>
      <c r="CB98" s="243">
        <f t="shared" si="299"/>
        <v>0.59825145711906746</v>
      </c>
      <c r="CC98" s="243">
        <f t="shared" ref="CC98:CD98" si="300">1-CC97</f>
        <v>0.60658620414035647</v>
      </c>
      <c r="CD98" s="243">
        <f t="shared" si="300"/>
        <v>0.60658620414035647</v>
      </c>
      <c r="CE98" s="312">
        <f t="shared" ref="CE98:CI98" si="301">100%-CE97</f>
        <v>0.60358620414035646</v>
      </c>
      <c r="CF98" s="312">
        <f t="shared" si="301"/>
        <v>0.60058620414035646</v>
      </c>
      <c r="CG98" s="312">
        <f t="shared" si="301"/>
        <v>0.59758620414035646</v>
      </c>
      <c r="CH98" s="312">
        <f t="shared" si="301"/>
        <v>0.59458620414035646</v>
      </c>
      <c r="CI98" s="312">
        <f t="shared" si="301"/>
        <v>0.59158620414035645</v>
      </c>
      <c r="CJ98" s="312">
        <f t="shared" ref="CJ98:CL98" si="302">100%-CJ97</f>
        <v>0.58858620414035645</v>
      </c>
      <c r="CK98" s="312">
        <f t="shared" si="302"/>
        <v>0.58558620414035645</v>
      </c>
      <c r="CL98" s="312">
        <f t="shared" si="302"/>
        <v>0.58258620414035645</v>
      </c>
      <c r="CM98" s="312">
        <f t="shared" ref="CM98" si="303">100%-CM97</f>
        <v>0.57958620414035644</v>
      </c>
    </row>
    <row r="99" spans="1:135" hidden="1" outlineLevel="1">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272"/>
      <c r="AG99" s="272"/>
      <c r="AH99" s="272"/>
      <c r="AI99" s="272"/>
      <c r="AJ99" s="272"/>
      <c r="AK99" s="272"/>
      <c r="AL99" s="272"/>
      <c r="AM99" s="272"/>
      <c r="AN99" s="272"/>
      <c r="AO99" s="272"/>
      <c r="AP99" s="195"/>
      <c r="AQ99" s="195"/>
      <c r="AR99" s="195"/>
      <c r="AS99" s="195"/>
      <c r="AT99" s="195"/>
      <c r="AU99" s="195"/>
      <c r="AV99" s="195"/>
      <c r="AW99" s="195"/>
      <c r="AX99" s="195"/>
      <c r="AY99" s="195"/>
      <c r="AZ99" s="195"/>
      <c r="BA99" s="195"/>
      <c r="BB99" s="195"/>
      <c r="BC99" s="195"/>
      <c r="BD99" s="195"/>
      <c r="BE99" s="195"/>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8"/>
      <c r="CT99" s="199"/>
    </row>
    <row r="100" spans="1:135" hidden="1" outlineLevel="1">
      <c r="A100" s="237" t="s">
        <v>17</v>
      </c>
      <c r="B100" s="237">
        <f>B94</f>
        <v>2007</v>
      </c>
      <c r="C100" s="237"/>
      <c r="D100" s="237"/>
      <c r="E100" s="237"/>
      <c r="F100" s="237"/>
      <c r="G100" s="237">
        <f>B100+1</f>
        <v>2008</v>
      </c>
      <c r="H100" s="237"/>
      <c r="I100" s="237"/>
      <c r="J100" s="237"/>
      <c r="K100" s="237"/>
      <c r="L100" s="237">
        <f>G100+1</f>
        <v>2009</v>
      </c>
      <c r="M100" s="237"/>
      <c r="N100" s="237"/>
      <c r="O100" s="237"/>
      <c r="P100" s="237"/>
      <c r="Q100" s="237">
        <f>L100+1</f>
        <v>2010</v>
      </c>
      <c r="R100" s="237"/>
      <c r="S100" s="237"/>
      <c r="T100" s="237"/>
      <c r="U100" s="237"/>
      <c r="V100" s="237">
        <f>Q100+1</f>
        <v>2011</v>
      </c>
      <c r="W100" s="237"/>
      <c r="X100" s="237"/>
      <c r="Y100" s="237"/>
      <c r="Z100" s="237"/>
      <c r="AA100" s="237">
        <f>V100+1</f>
        <v>2012</v>
      </c>
      <c r="AB100" s="237"/>
      <c r="AC100" s="237"/>
      <c r="AD100" s="237"/>
      <c r="AE100" s="237"/>
      <c r="AF100" s="237">
        <f>AA100+1</f>
        <v>2013</v>
      </c>
      <c r="AG100" s="237"/>
      <c r="AH100" s="237"/>
      <c r="AI100" s="237"/>
      <c r="AJ100" s="237"/>
      <c r="AK100" s="237">
        <f>AF100+1</f>
        <v>2014</v>
      </c>
      <c r="AL100" s="237"/>
      <c r="AM100" s="237"/>
      <c r="AN100" s="237"/>
      <c r="AO100" s="237"/>
      <c r="AP100" s="237">
        <f>AK100+1</f>
        <v>2015</v>
      </c>
      <c r="AQ100" s="237"/>
      <c r="AR100" s="237"/>
      <c r="AS100" s="237"/>
      <c r="AT100" s="237"/>
      <c r="AU100" s="237">
        <f>AP100+1</f>
        <v>2016</v>
      </c>
      <c r="AV100" s="237"/>
      <c r="AW100" s="237"/>
      <c r="AX100" s="237"/>
      <c r="AY100" s="237"/>
      <c r="AZ100" s="237">
        <f>AU100+1</f>
        <v>2017</v>
      </c>
      <c r="BA100" s="237"/>
      <c r="BB100" s="237"/>
      <c r="BC100" s="237"/>
      <c r="BD100" s="237"/>
      <c r="BE100" s="237">
        <f>AZ100+1</f>
        <v>2018</v>
      </c>
      <c r="BF100" s="237"/>
      <c r="BG100" s="237"/>
      <c r="BH100" s="237"/>
      <c r="BI100" s="237"/>
      <c r="BJ100" s="237">
        <f>BE100+1</f>
        <v>2019</v>
      </c>
      <c r="BK100" s="237"/>
      <c r="BL100" s="237"/>
      <c r="BM100" s="237"/>
      <c r="BN100" s="237"/>
      <c r="BO100" s="237">
        <f>BJ100+1</f>
        <v>2020</v>
      </c>
      <c r="BP100" s="237"/>
      <c r="BQ100" s="237"/>
      <c r="BR100" s="237"/>
      <c r="BS100" s="237"/>
      <c r="BT100" s="237">
        <f>BO100+1</f>
        <v>2021</v>
      </c>
      <c r="BU100" s="237"/>
      <c r="BV100" s="237"/>
      <c r="BW100" s="237"/>
      <c r="BX100" s="237"/>
      <c r="BY100" s="237">
        <f>BT100+1</f>
        <v>2022</v>
      </c>
      <c r="BZ100" s="237"/>
      <c r="CA100" s="237"/>
      <c r="CB100" s="237"/>
      <c r="CC100" s="237"/>
      <c r="CD100" s="237">
        <f>BY100+1</f>
        <v>2023</v>
      </c>
      <c r="CE100" s="237">
        <f t="shared" ref="CE100:CI100" si="304">CD100+1</f>
        <v>2024</v>
      </c>
      <c r="CF100" s="237">
        <f t="shared" si="304"/>
        <v>2025</v>
      </c>
      <c r="CG100" s="237">
        <f t="shared" si="304"/>
        <v>2026</v>
      </c>
      <c r="CH100" s="237">
        <f t="shared" si="304"/>
        <v>2027</v>
      </c>
      <c r="CI100" s="237">
        <f t="shared" si="304"/>
        <v>2028</v>
      </c>
      <c r="CJ100" s="237">
        <f t="shared" ref="CJ100" si="305">CI100+1</f>
        <v>2029</v>
      </c>
      <c r="CK100" s="237">
        <f t="shared" ref="CK100" si="306">CJ100+1</f>
        <v>2030</v>
      </c>
      <c r="CL100" s="237">
        <f t="shared" ref="CL100:CM100" si="307">CK100+1</f>
        <v>2031</v>
      </c>
      <c r="CM100" s="237">
        <f t="shared" si="307"/>
        <v>2032</v>
      </c>
      <c r="CN100" s="195"/>
      <c r="CO100" s="195"/>
      <c r="CP100" s="195"/>
      <c r="CQ100" s="195"/>
      <c r="CR100" s="195"/>
      <c r="CS100" s="195"/>
      <c r="CT100" s="195"/>
    </row>
    <row r="101" spans="1:135" hidden="1" outlineLevel="1">
      <c r="A101" s="276" t="s">
        <v>18</v>
      </c>
      <c r="B101" s="198"/>
      <c r="C101" s="198"/>
      <c r="D101" s="198"/>
      <c r="E101" s="198"/>
      <c r="F101" s="198"/>
      <c r="G101" s="198">
        <f>B95</f>
        <v>0</v>
      </c>
      <c r="H101" s="198"/>
      <c r="I101" s="198"/>
      <c r="J101" s="198"/>
      <c r="K101" s="198"/>
      <c r="L101" s="198">
        <f>G95</f>
        <v>0</v>
      </c>
      <c r="M101" s="198"/>
      <c r="N101" s="198"/>
      <c r="O101" s="198"/>
      <c r="P101" s="198"/>
      <c r="Q101" s="198">
        <f>L95</f>
        <v>0</v>
      </c>
      <c r="R101" s="198"/>
      <c r="S101" s="198"/>
      <c r="T101" s="198"/>
      <c r="U101" s="198"/>
      <c r="V101" s="198">
        <f>Q95</f>
        <v>0</v>
      </c>
      <c r="W101" s="198"/>
      <c r="X101" s="198"/>
      <c r="Y101" s="198"/>
      <c r="Z101" s="198"/>
      <c r="AA101" s="198">
        <f>V95</f>
        <v>0</v>
      </c>
      <c r="AB101" s="198"/>
      <c r="AC101" s="198"/>
      <c r="AD101" s="198"/>
      <c r="AE101" s="198"/>
      <c r="AF101" s="198">
        <f>AA95</f>
        <v>0</v>
      </c>
      <c r="AG101" s="198"/>
      <c r="AH101" s="198"/>
      <c r="AI101" s="198"/>
      <c r="AJ101" s="198"/>
      <c r="AK101" s="198">
        <f>AF95</f>
        <v>0</v>
      </c>
      <c r="AL101" s="198"/>
      <c r="AM101" s="198"/>
      <c r="AN101" s="198"/>
      <c r="AO101" s="198"/>
      <c r="AP101" s="198">
        <f>AK95</f>
        <v>0</v>
      </c>
      <c r="AQ101" s="198"/>
      <c r="AR101" s="198"/>
      <c r="AS101" s="198"/>
      <c r="AT101" s="198"/>
      <c r="AU101" s="198">
        <f>AP95</f>
        <v>0</v>
      </c>
      <c r="AV101" s="198"/>
      <c r="AW101" s="198">
        <f>AV103</f>
        <v>2800</v>
      </c>
      <c r="AX101" s="198">
        <f>AW103</f>
        <v>2842</v>
      </c>
      <c r="AY101" s="198">
        <f>AX103</f>
        <v>2849</v>
      </c>
      <c r="AZ101" s="198">
        <f>AU95</f>
        <v>0</v>
      </c>
      <c r="BA101" s="198">
        <f>AZ103</f>
        <v>2894</v>
      </c>
      <c r="BB101" s="198">
        <f t="shared" ref="BB101:BD101" si="308">BA103</f>
        <v>2958</v>
      </c>
      <c r="BC101" s="198">
        <f t="shared" si="308"/>
        <v>3019</v>
      </c>
      <c r="BD101" s="198">
        <f t="shared" si="308"/>
        <v>3105</v>
      </c>
      <c r="BE101" s="198">
        <f>AZ95</f>
        <v>2894</v>
      </c>
      <c r="BF101" s="198">
        <f>BE103</f>
        <v>3190</v>
      </c>
      <c r="BG101" s="198">
        <f t="shared" ref="BG101:BI101" si="309">BF103</f>
        <v>3321</v>
      </c>
      <c r="BH101" s="198">
        <f t="shared" si="309"/>
        <v>3438</v>
      </c>
      <c r="BI101" s="198">
        <f t="shared" si="309"/>
        <v>3581</v>
      </c>
      <c r="BJ101" s="198">
        <f>BE95</f>
        <v>3190</v>
      </c>
      <c r="BK101" s="198">
        <f>BJ103</f>
        <v>3755</v>
      </c>
      <c r="BL101" s="198">
        <f t="shared" ref="BL101:BN101" si="310">BK103</f>
        <v>3833</v>
      </c>
      <c r="BM101" s="198">
        <f t="shared" si="310"/>
        <v>3801</v>
      </c>
      <c r="BN101" s="198">
        <f t="shared" si="310"/>
        <v>3855</v>
      </c>
      <c r="BO101" s="198">
        <f>BJ95</f>
        <v>3755</v>
      </c>
      <c r="BP101" s="198">
        <f>BO103</f>
        <v>3939</v>
      </c>
      <c r="BQ101" s="198">
        <f t="shared" ref="BQ101:BS101" si="311">BP103</f>
        <v>4006</v>
      </c>
      <c r="BR101" s="198">
        <f t="shared" si="311"/>
        <v>4133</v>
      </c>
      <c r="BS101" s="198">
        <f t="shared" si="311"/>
        <v>4107</v>
      </c>
      <c r="BT101" s="198">
        <f>BO95</f>
        <v>3939</v>
      </c>
      <c r="BU101" s="198">
        <f>BT103</f>
        <v>4259</v>
      </c>
      <c r="BV101" s="198">
        <f t="shared" ref="BV101:BX101" si="312">BU103</f>
        <v>4324</v>
      </c>
      <c r="BW101" s="198">
        <f t="shared" si="312"/>
        <v>4398</v>
      </c>
      <c r="BX101" s="198">
        <f t="shared" si="312"/>
        <v>4478</v>
      </c>
      <c r="BY101" s="198">
        <f>BT95</f>
        <v>4259</v>
      </c>
      <c r="BZ101" s="198">
        <f>BY103</f>
        <v>4591</v>
      </c>
      <c r="CA101" s="198">
        <f>BZ103</f>
        <v>4663</v>
      </c>
      <c r="CB101" s="198">
        <f>CA103</f>
        <v>4721</v>
      </c>
      <c r="CC101" s="198">
        <f>CB103</f>
        <v>4825</v>
      </c>
      <c r="CD101" s="198">
        <f>BY95</f>
        <v>4591</v>
      </c>
      <c r="CE101" s="198">
        <f t="shared" ref="CE101:CI101" si="313">CD95</f>
        <v>4922</v>
      </c>
      <c r="CF101" s="198">
        <f t="shared" si="313"/>
        <v>5078.9729577710677</v>
      </c>
      <c r="CG101" s="198">
        <f t="shared" si="313"/>
        <v>5207.3653848327749</v>
      </c>
      <c r="CH101" s="198">
        <f t="shared" si="313"/>
        <v>5331.3689201470434</v>
      </c>
      <c r="CI101" s="198">
        <f t="shared" si="313"/>
        <v>5451.4221441667887</v>
      </c>
      <c r="CJ101" s="198">
        <f t="shared" ref="CJ101" si="314">CI95</f>
        <v>5567.9259476108791</v>
      </c>
      <c r="CK101" s="198">
        <f t="shared" ref="CK101" si="315">CJ95</f>
        <v>5681.2467714715513</v>
      </c>
      <c r="CL101" s="198">
        <f t="shared" ref="CL101:CM101" si="316">CK95</f>
        <v>5791.7195721812532</v>
      </c>
      <c r="CM101" s="198">
        <f t="shared" si="316"/>
        <v>5899.6505348853425</v>
      </c>
      <c r="CN101" s="195"/>
      <c r="CO101" s="195"/>
      <c r="CP101" s="195"/>
      <c r="CQ101" s="195"/>
      <c r="CR101" s="195"/>
      <c r="CS101" s="195"/>
      <c r="CT101" s="195"/>
    </row>
    <row r="102" spans="1:135" hidden="1" outlineLevel="1">
      <c r="A102" s="276" t="s">
        <v>19</v>
      </c>
      <c r="B102" s="198"/>
      <c r="C102" s="198"/>
      <c r="D102" s="198"/>
      <c r="E102" s="198"/>
      <c r="F102" s="198"/>
      <c r="G102" s="198">
        <f>G103-G101</f>
        <v>0</v>
      </c>
      <c r="H102" s="198"/>
      <c r="I102" s="198"/>
      <c r="J102" s="198"/>
      <c r="K102" s="198"/>
      <c r="L102" s="198">
        <f>L103-L101</f>
        <v>0</v>
      </c>
      <c r="M102" s="198"/>
      <c r="N102" s="198"/>
      <c r="O102" s="198"/>
      <c r="P102" s="198"/>
      <c r="Q102" s="198">
        <f>Q103-Q101</f>
        <v>0</v>
      </c>
      <c r="R102" s="198"/>
      <c r="S102" s="198"/>
      <c r="T102" s="198"/>
      <c r="U102" s="198"/>
      <c r="V102" s="198">
        <f>V103-V101</f>
        <v>0</v>
      </c>
      <c r="W102" s="198"/>
      <c r="X102" s="198"/>
      <c r="Y102" s="198"/>
      <c r="Z102" s="198"/>
      <c r="AA102" s="198">
        <f>AA103-AA101</f>
        <v>0</v>
      </c>
      <c r="AB102" s="198"/>
      <c r="AC102" s="198"/>
      <c r="AD102" s="198"/>
      <c r="AE102" s="198"/>
      <c r="AF102" s="198">
        <f>AF103-AF101</f>
        <v>0</v>
      </c>
      <c r="AG102" s="198"/>
      <c r="AH102" s="198"/>
      <c r="AI102" s="198"/>
      <c r="AJ102" s="198"/>
      <c r="AK102" s="198">
        <f>AK103-AK101</f>
        <v>0</v>
      </c>
      <c r="AL102" s="198"/>
      <c r="AM102" s="198"/>
      <c r="AN102" s="198"/>
      <c r="AO102" s="198"/>
      <c r="AP102" s="198">
        <f>AP103-AP101</f>
        <v>0</v>
      </c>
      <c r="AQ102" s="198"/>
      <c r="AR102" s="198"/>
      <c r="AS102" s="198"/>
      <c r="AT102" s="198"/>
      <c r="AU102" s="198">
        <f>AU103-AU101</f>
        <v>0</v>
      </c>
      <c r="AV102" s="198"/>
      <c r="AW102" s="198">
        <f>AW103-AW101</f>
        <v>42</v>
      </c>
      <c r="AX102" s="198">
        <f>AX103-AX101</f>
        <v>7</v>
      </c>
      <c r="AY102" s="198">
        <f>AY103-AY101</f>
        <v>45</v>
      </c>
      <c r="AZ102" s="198">
        <f>AZ103-AZ101</f>
        <v>2894</v>
      </c>
      <c r="BA102" s="198">
        <f>BA103-BA101</f>
        <v>64</v>
      </c>
      <c r="BB102" s="198">
        <f t="shared" ref="BB102" si="317">BB103-BB101</f>
        <v>61</v>
      </c>
      <c r="BC102" s="198">
        <f t="shared" ref="BC102" si="318">BC103-BC101</f>
        <v>86</v>
      </c>
      <c r="BD102" s="198">
        <f t="shared" ref="BD102" si="319">BD103-BD101</f>
        <v>85</v>
      </c>
      <c r="BE102" s="198">
        <f>BE103-BE101</f>
        <v>296</v>
      </c>
      <c r="BF102" s="198">
        <f>BF103-BF101</f>
        <v>131</v>
      </c>
      <c r="BG102" s="198">
        <f t="shared" ref="BG102" si="320">BG103-BG101</f>
        <v>117</v>
      </c>
      <c r="BH102" s="198">
        <f t="shared" ref="BH102" si="321">BH103-BH101</f>
        <v>143</v>
      </c>
      <c r="BI102" s="198">
        <f t="shared" ref="BI102" si="322">BI103-BI101</f>
        <v>174</v>
      </c>
      <c r="BJ102" s="198">
        <f>BJ103-BJ101</f>
        <v>565</v>
      </c>
      <c r="BK102" s="198">
        <f>BK103-BK101</f>
        <v>78</v>
      </c>
      <c r="BL102" s="198">
        <f t="shared" ref="BL102" si="323">BL103-BL101</f>
        <v>-32</v>
      </c>
      <c r="BM102" s="198">
        <f t="shared" ref="BM102" si="324">BM103-BM101</f>
        <v>54</v>
      </c>
      <c r="BN102" s="198">
        <f t="shared" ref="BN102" si="325">BN103-BN101</f>
        <v>84</v>
      </c>
      <c r="BO102" s="198">
        <f>BO103-BO101</f>
        <v>184</v>
      </c>
      <c r="BP102" s="198">
        <f>BP103-BP101</f>
        <v>67</v>
      </c>
      <c r="BQ102" s="198">
        <f t="shared" ref="BQ102" si="326">BQ103-BQ101</f>
        <v>127</v>
      </c>
      <c r="BR102" s="198">
        <f t="shared" ref="BR102" si="327">BR103-BR101</f>
        <v>-26</v>
      </c>
      <c r="BS102" s="198">
        <f t="shared" ref="BS102" si="328">BS103-BS101</f>
        <v>152</v>
      </c>
      <c r="BT102" s="198">
        <f>BT103-BT101</f>
        <v>320</v>
      </c>
      <c r="BU102" s="198">
        <f>BU103-BU101</f>
        <v>65</v>
      </c>
      <c r="BV102" s="198">
        <f t="shared" ref="BV102:BX102" si="329">BV103-BV101</f>
        <v>74</v>
      </c>
      <c r="BW102" s="198">
        <f t="shared" si="329"/>
        <v>80</v>
      </c>
      <c r="BX102" s="198">
        <f t="shared" si="329"/>
        <v>113</v>
      </c>
      <c r="BY102" s="198">
        <f t="shared" ref="BY102:CD102" si="330">BY103-BY101</f>
        <v>332</v>
      </c>
      <c r="BZ102" s="198">
        <f t="shared" si="330"/>
        <v>72</v>
      </c>
      <c r="CA102" s="198">
        <f t="shared" si="330"/>
        <v>58</v>
      </c>
      <c r="CB102" s="198">
        <f t="shared" si="330"/>
        <v>104</v>
      </c>
      <c r="CC102" s="198">
        <f t="shared" si="330"/>
        <v>97</v>
      </c>
      <c r="CD102" s="198">
        <f t="shared" si="330"/>
        <v>331</v>
      </c>
      <c r="CE102" s="198">
        <f t="shared" ref="CE102:CI102" si="331">CE103-CE101</f>
        <v>156.97295777106774</v>
      </c>
      <c r="CF102" s="198">
        <f t="shared" si="331"/>
        <v>128.39242706170717</v>
      </c>
      <c r="CG102" s="198">
        <f t="shared" si="331"/>
        <v>124.00353531426845</v>
      </c>
      <c r="CH102" s="198">
        <f t="shared" si="331"/>
        <v>120.05322401974536</v>
      </c>
      <c r="CI102" s="198">
        <f t="shared" si="331"/>
        <v>116.50380344409041</v>
      </c>
      <c r="CJ102" s="198">
        <f t="shared" ref="CJ102:CL102" si="332">CJ103-CJ101</f>
        <v>113.32082386067214</v>
      </c>
      <c r="CK102" s="198">
        <f t="shared" si="332"/>
        <v>110.47280070970191</v>
      </c>
      <c r="CL102" s="198">
        <f t="shared" si="332"/>
        <v>107.93096270408932</v>
      </c>
      <c r="CM102" s="198">
        <f t="shared" ref="CM102" si="333">CM103-CM101</f>
        <v>105.66902100561765</v>
      </c>
      <c r="CN102" s="195"/>
      <c r="CO102" s="195"/>
      <c r="CP102" s="195"/>
      <c r="CQ102" s="195"/>
      <c r="CR102" s="195"/>
      <c r="CS102" s="195"/>
      <c r="CT102" s="195"/>
    </row>
    <row r="103" spans="1:135" hidden="1" outlineLevel="1">
      <c r="A103" s="276" t="s">
        <v>20</v>
      </c>
      <c r="B103" s="198"/>
      <c r="C103" s="198"/>
      <c r="D103" s="198"/>
      <c r="E103" s="198"/>
      <c r="F103" s="198"/>
      <c r="G103" s="198">
        <f>G95</f>
        <v>0</v>
      </c>
      <c r="H103" s="198"/>
      <c r="I103" s="198"/>
      <c r="J103" s="198"/>
      <c r="K103" s="198"/>
      <c r="L103" s="198">
        <f>L95</f>
        <v>0</v>
      </c>
      <c r="M103" s="198"/>
      <c r="N103" s="198"/>
      <c r="O103" s="198"/>
      <c r="P103" s="198"/>
      <c r="Q103" s="198">
        <f>Q95</f>
        <v>0</v>
      </c>
      <c r="R103" s="198"/>
      <c r="S103" s="198"/>
      <c r="T103" s="198"/>
      <c r="U103" s="198"/>
      <c r="V103" s="198">
        <f>V95</f>
        <v>0</v>
      </c>
      <c r="W103" s="198"/>
      <c r="X103" s="198"/>
      <c r="Y103" s="198"/>
      <c r="Z103" s="198"/>
      <c r="AA103" s="198">
        <f>AA95</f>
        <v>0</v>
      </c>
      <c r="AB103" s="198"/>
      <c r="AC103" s="198"/>
      <c r="AD103" s="198"/>
      <c r="AE103" s="198"/>
      <c r="AF103" s="198">
        <f>AF95</f>
        <v>0</v>
      </c>
      <c r="AG103" s="198"/>
      <c r="AH103" s="198"/>
      <c r="AI103" s="198"/>
      <c r="AJ103" s="198"/>
      <c r="AK103" s="198">
        <f>AK95</f>
        <v>0</v>
      </c>
      <c r="AL103" s="198"/>
      <c r="AM103" s="198"/>
      <c r="AN103" s="198"/>
      <c r="AO103" s="198"/>
      <c r="AP103" s="198">
        <f>AP95</f>
        <v>0</v>
      </c>
      <c r="AQ103" s="198"/>
      <c r="AR103" s="198"/>
      <c r="AS103" s="198"/>
      <c r="AT103" s="198"/>
      <c r="AU103" s="198">
        <f>AU95</f>
        <v>0</v>
      </c>
      <c r="AV103" s="280">
        <f>'[2]Domestic Mobile Operations'!W$13</f>
        <v>2800</v>
      </c>
      <c r="AW103" s="280">
        <f>'[2]Domestic Mobile Operations'!X$13</f>
        <v>2842</v>
      </c>
      <c r="AX103" s="280">
        <f>'[2]Domestic Mobile Operations'!Y$13</f>
        <v>2849</v>
      </c>
      <c r="AY103" s="280">
        <f>'[2]Domestic Mobile Operations'!Z$13</f>
        <v>2894</v>
      </c>
      <c r="AZ103" s="281">
        <f>AY103</f>
        <v>2894</v>
      </c>
      <c r="BA103" s="280">
        <f>'[2]Domestic Mobile Operations'!AA$13</f>
        <v>2958</v>
      </c>
      <c r="BB103" s="280">
        <f>'[2]Domestic Mobile Operations'!AB$13</f>
        <v>3019</v>
      </c>
      <c r="BC103" s="280">
        <f>'[2]Domestic Mobile Operations'!AC$13</f>
        <v>3105</v>
      </c>
      <c r="BD103" s="280">
        <f>'[2]Domestic Mobile Operations'!AD$13</f>
        <v>3190</v>
      </c>
      <c r="BE103" s="281">
        <f>BD103</f>
        <v>3190</v>
      </c>
      <c r="BF103" s="280">
        <f>'[2]Domestic Mobile Operations'!AE$13</f>
        <v>3321</v>
      </c>
      <c r="BG103" s="280">
        <f>'[2]Domestic Mobile Operations'!AF$13</f>
        <v>3438</v>
      </c>
      <c r="BH103" s="280">
        <f>'[2]Domestic Mobile Operations'!AG$13</f>
        <v>3581</v>
      </c>
      <c r="BI103" s="280">
        <f>'[2]Domestic Mobile Operations'!AH$13</f>
        <v>3755</v>
      </c>
      <c r="BJ103" s="281">
        <f>BI103</f>
        <v>3755</v>
      </c>
      <c r="BK103" s="280">
        <f>'[2]Domestic Mobile Operations'!AI$13</f>
        <v>3833</v>
      </c>
      <c r="BL103" s="280">
        <f>'[2]Domestic Mobile Operations'!AJ$13</f>
        <v>3801</v>
      </c>
      <c r="BM103" s="280">
        <f>'[2]Domestic Mobile Operations'!AK$13</f>
        <v>3855</v>
      </c>
      <c r="BN103" s="280">
        <f>'[2]Domestic Mobile Operations'!AL$13</f>
        <v>3939</v>
      </c>
      <c r="BO103" s="281">
        <f>BN103</f>
        <v>3939</v>
      </c>
      <c r="BP103" s="280">
        <f>'[2]Domestic Mobile Operations'!AM$13</f>
        <v>4006</v>
      </c>
      <c r="BQ103" s="280">
        <f>'[2]Domestic Mobile Operations'!AN$13</f>
        <v>4133</v>
      </c>
      <c r="BR103" s="280">
        <f>'[2]Domestic Mobile Operations'!AO$13</f>
        <v>4107</v>
      </c>
      <c r="BS103" s="280">
        <f>'[2]Domestic Mobile Operations'!AP$13</f>
        <v>4259</v>
      </c>
      <c r="BT103" s="281">
        <f>BS103</f>
        <v>4259</v>
      </c>
      <c r="BU103" s="282">
        <f>'[2]Domestic Mobile Operations'!AQ$13</f>
        <v>4324</v>
      </c>
      <c r="BV103" s="282">
        <f>'[2]Domestic Mobile Operations'!AR$13</f>
        <v>4398</v>
      </c>
      <c r="BW103" s="282">
        <f>'[2]Domestic Mobile Operations'!AS$13</f>
        <v>4478</v>
      </c>
      <c r="BX103" s="282">
        <f>'[2]Domestic Mobile Operations'!AT$13</f>
        <v>4591</v>
      </c>
      <c r="BY103" s="281">
        <f>BX103</f>
        <v>4591</v>
      </c>
      <c r="BZ103" s="282">
        <f>'[2]Domestic Mobile Operations'!AU$13</f>
        <v>4663</v>
      </c>
      <c r="CA103" s="282">
        <f>'[2]Domestic Mobile Operations'!AV$13</f>
        <v>4721</v>
      </c>
      <c r="CB103" s="282">
        <f>'[2]Domestic Mobile Operations'!AW$13</f>
        <v>4825</v>
      </c>
      <c r="CC103" s="282">
        <f>'[2]Domestic Mobile Operations'!AX$13</f>
        <v>4922</v>
      </c>
      <c r="CD103" s="281">
        <f>CC103</f>
        <v>4922</v>
      </c>
      <c r="CE103" s="198">
        <f t="shared" ref="CE103:CI103" si="334">CE95</f>
        <v>5078.9729577710677</v>
      </c>
      <c r="CF103" s="198">
        <f t="shared" si="334"/>
        <v>5207.3653848327749</v>
      </c>
      <c r="CG103" s="198">
        <f t="shared" si="334"/>
        <v>5331.3689201470434</v>
      </c>
      <c r="CH103" s="198">
        <f t="shared" si="334"/>
        <v>5451.4221441667887</v>
      </c>
      <c r="CI103" s="198">
        <f t="shared" si="334"/>
        <v>5567.9259476108791</v>
      </c>
      <c r="CJ103" s="198">
        <f t="shared" ref="CJ103:CL103" si="335">CJ95</f>
        <v>5681.2467714715513</v>
      </c>
      <c r="CK103" s="198">
        <f t="shared" si="335"/>
        <v>5791.7195721812532</v>
      </c>
      <c r="CL103" s="198">
        <f t="shared" si="335"/>
        <v>5899.6505348853425</v>
      </c>
      <c r="CM103" s="198">
        <f t="shared" ref="CM103" si="336">CM95</f>
        <v>6005.3195558909601</v>
      </c>
      <c r="CN103" s="195"/>
      <c r="CO103" s="195"/>
      <c r="CP103" s="195"/>
      <c r="CQ103" s="195"/>
      <c r="CR103" s="195"/>
      <c r="CS103" s="195"/>
      <c r="CT103" s="195"/>
    </row>
    <row r="104" spans="1:135" hidden="1" outlineLevel="1">
      <c r="A104" s="276" t="s">
        <v>21</v>
      </c>
      <c r="B104" s="198"/>
      <c r="C104" s="198"/>
      <c r="D104" s="198"/>
      <c r="E104" s="198"/>
      <c r="F104" s="198"/>
      <c r="G104" s="198">
        <f>(G101+G103)/2</f>
        <v>0</v>
      </c>
      <c r="H104" s="198"/>
      <c r="I104" s="198"/>
      <c r="J104" s="198"/>
      <c r="K104" s="198"/>
      <c r="L104" s="198">
        <f>(L101+L103)/2</f>
        <v>0</v>
      </c>
      <c r="M104" s="198"/>
      <c r="N104" s="198"/>
      <c r="O104" s="198"/>
      <c r="P104" s="198"/>
      <c r="Q104" s="198">
        <f>(Q101+Q103)/2</f>
        <v>0</v>
      </c>
      <c r="R104" s="198"/>
      <c r="S104" s="198"/>
      <c r="T104" s="198"/>
      <c r="U104" s="198"/>
      <c r="V104" s="198">
        <f>(V101+V103)/2</f>
        <v>0</v>
      </c>
      <c r="W104" s="198"/>
      <c r="X104" s="198"/>
      <c r="Y104" s="198"/>
      <c r="Z104" s="198"/>
      <c r="AA104" s="198">
        <f>(AA101+AA103)/2</f>
        <v>0</v>
      </c>
      <c r="AB104" s="198"/>
      <c r="AC104" s="198"/>
      <c r="AD104" s="198"/>
      <c r="AE104" s="198"/>
      <c r="AF104" s="198">
        <f>(AF101+AF103)/2</f>
        <v>0</v>
      </c>
      <c r="AG104" s="198"/>
      <c r="AH104" s="198"/>
      <c r="AI104" s="198"/>
      <c r="AJ104" s="198"/>
      <c r="AK104" s="198">
        <f>(AK101+AK103)/2</f>
        <v>0</v>
      </c>
      <c r="AL104" s="198"/>
      <c r="AM104" s="198"/>
      <c r="AN104" s="198"/>
      <c r="AO104" s="198"/>
      <c r="AP104" s="198">
        <f>(AP101+AP103)/2</f>
        <v>0</v>
      </c>
      <c r="AQ104" s="198"/>
      <c r="AR104" s="198"/>
      <c r="AS104" s="198"/>
      <c r="AT104" s="198"/>
      <c r="AU104" s="198">
        <f>(AU101+AU103)/2</f>
        <v>0</v>
      </c>
      <c r="AV104" s="198"/>
      <c r="AW104" s="198">
        <f>(AW101+AW103)/2</f>
        <v>2821</v>
      </c>
      <c r="AX104" s="198">
        <f t="shared" ref="AX104:AY104" si="337">(AX101+AX103)/2</f>
        <v>2845.5</v>
      </c>
      <c r="AY104" s="198">
        <f t="shared" si="337"/>
        <v>2871.5</v>
      </c>
      <c r="AZ104" s="198">
        <f>(AZ101+AZ103)/2</f>
        <v>1447</v>
      </c>
      <c r="BA104" s="198">
        <f t="shared" ref="BA104:BJ104" si="338">(BA101+BA103)/2</f>
        <v>2926</v>
      </c>
      <c r="BB104" s="198">
        <f t="shared" si="338"/>
        <v>2988.5</v>
      </c>
      <c r="BC104" s="198">
        <f t="shared" si="338"/>
        <v>3062</v>
      </c>
      <c r="BD104" s="198">
        <f t="shared" si="338"/>
        <v>3147.5</v>
      </c>
      <c r="BE104" s="198">
        <f t="shared" si="338"/>
        <v>3042</v>
      </c>
      <c r="BF104" s="198">
        <f t="shared" si="338"/>
        <v>3255.5</v>
      </c>
      <c r="BG104" s="198">
        <f t="shared" si="338"/>
        <v>3379.5</v>
      </c>
      <c r="BH104" s="198">
        <f t="shared" si="338"/>
        <v>3509.5</v>
      </c>
      <c r="BI104" s="198">
        <f t="shared" si="338"/>
        <v>3668</v>
      </c>
      <c r="BJ104" s="198">
        <f t="shared" si="338"/>
        <v>3472.5</v>
      </c>
      <c r="BK104" s="198">
        <f>(BK101+BK103)/2</f>
        <v>3794</v>
      </c>
      <c r="BL104" s="198">
        <f t="shared" ref="BL104:BO104" si="339">(BL101+BL103)/2</f>
        <v>3817</v>
      </c>
      <c r="BM104" s="198">
        <f t="shared" si="339"/>
        <v>3828</v>
      </c>
      <c r="BN104" s="198">
        <f t="shared" si="339"/>
        <v>3897</v>
      </c>
      <c r="BO104" s="198">
        <f t="shared" si="339"/>
        <v>3847</v>
      </c>
      <c r="BP104" s="198">
        <f t="shared" ref="BP104:BT104" si="340">(BP101+BP103)/2</f>
        <v>3972.5</v>
      </c>
      <c r="BQ104" s="198">
        <f t="shared" si="340"/>
        <v>4069.5</v>
      </c>
      <c r="BR104" s="198">
        <f t="shared" si="340"/>
        <v>4120</v>
      </c>
      <c r="BS104" s="198">
        <f t="shared" si="340"/>
        <v>4183</v>
      </c>
      <c r="BT104" s="198">
        <f t="shared" si="340"/>
        <v>4099</v>
      </c>
      <c r="BU104" s="198">
        <f t="shared" ref="BU104:BX104" si="341">(BU101+BU103)/2</f>
        <v>4291.5</v>
      </c>
      <c r="BV104" s="198">
        <f t="shared" si="341"/>
        <v>4361</v>
      </c>
      <c r="BW104" s="198">
        <f t="shared" si="341"/>
        <v>4438</v>
      </c>
      <c r="BX104" s="198">
        <f t="shared" si="341"/>
        <v>4534.5</v>
      </c>
      <c r="BY104" s="198">
        <f t="shared" ref="BY104:CD104" si="342">(BY101+BY103)/2</f>
        <v>4425</v>
      </c>
      <c r="BZ104" s="198">
        <f t="shared" si="342"/>
        <v>4627</v>
      </c>
      <c r="CA104" s="198">
        <f t="shared" si="342"/>
        <v>4692</v>
      </c>
      <c r="CB104" s="198">
        <f t="shared" si="342"/>
        <v>4773</v>
      </c>
      <c r="CC104" s="198">
        <f t="shared" si="342"/>
        <v>4873.5</v>
      </c>
      <c r="CD104" s="198">
        <f t="shared" si="342"/>
        <v>4756.5</v>
      </c>
      <c r="CE104" s="198">
        <f t="shared" ref="CE104:CI104" si="343">(CE101+CE103)/2</f>
        <v>5000.4864788855339</v>
      </c>
      <c r="CF104" s="198">
        <f t="shared" si="343"/>
        <v>5143.1691713019209</v>
      </c>
      <c r="CG104" s="198">
        <f t="shared" si="343"/>
        <v>5269.3671524899091</v>
      </c>
      <c r="CH104" s="198">
        <f t="shared" si="343"/>
        <v>5391.3955321569156</v>
      </c>
      <c r="CI104" s="198">
        <f t="shared" si="343"/>
        <v>5509.6740458888344</v>
      </c>
      <c r="CJ104" s="198">
        <f t="shared" ref="CJ104:CL104" si="344">(CJ101+CJ103)/2</f>
        <v>5624.5863595412156</v>
      </c>
      <c r="CK104" s="198">
        <f t="shared" si="344"/>
        <v>5736.4831718264022</v>
      </c>
      <c r="CL104" s="198">
        <f t="shared" si="344"/>
        <v>5845.6850535332978</v>
      </c>
      <c r="CM104" s="198">
        <f t="shared" ref="CM104" si="345">(CM101+CM103)/2</f>
        <v>5952.4850453881518</v>
      </c>
      <c r="CN104" s="195"/>
      <c r="CO104" s="195"/>
      <c r="CP104" s="195"/>
      <c r="CQ104" s="195"/>
      <c r="CR104" s="195"/>
      <c r="CS104" s="195"/>
      <c r="CT104" s="195"/>
      <c r="DT104" s="200">
        <v>2004</v>
      </c>
      <c r="DU104" s="200">
        <v>2005</v>
      </c>
      <c r="DV104" s="200">
        <v>2006</v>
      </c>
      <c r="DW104" s="200">
        <v>2007</v>
      </c>
      <c r="DX104" s="200">
        <v>2008</v>
      </c>
      <c r="DY104" s="200">
        <v>2009</v>
      </c>
      <c r="DZ104" s="200" t="s">
        <v>22</v>
      </c>
      <c r="EA104" s="200" t="s">
        <v>23</v>
      </c>
      <c r="EB104" s="200" t="s">
        <v>24</v>
      </c>
      <c r="EC104" s="200" t="s">
        <v>25</v>
      </c>
      <c r="ED104" s="200" t="s">
        <v>26</v>
      </c>
      <c r="EE104" s="200" t="s">
        <v>27</v>
      </c>
    </row>
    <row r="105" spans="1:135" hidden="1" outlineLevel="1">
      <c r="A105" s="276"/>
      <c r="B105" s="283"/>
      <c r="C105" s="283"/>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c r="BF105" s="283"/>
      <c r="BG105" s="283"/>
      <c r="BH105" s="283"/>
      <c r="BI105" s="283"/>
      <c r="BJ105" s="283"/>
      <c r="BK105" s="283"/>
      <c r="BL105" s="283"/>
      <c r="BM105" s="283"/>
      <c r="BN105" s="283"/>
      <c r="BO105" s="283"/>
      <c r="BP105" s="283"/>
      <c r="BQ105" s="283"/>
      <c r="BR105" s="283"/>
      <c r="BS105" s="283"/>
      <c r="BT105" s="283"/>
      <c r="BU105" s="283"/>
      <c r="BV105" s="283"/>
      <c r="BW105" s="283"/>
      <c r="BX105" s="283"/>
      <c r="BY105" s="283"/>
      <c r="BZ105" s="283"/>
      <c r="CA105" s="283"/>
      <c r="CB105" s="283"/>
      <c r="CC105" s="283"/>
      <c r="CD105" s="283"/>
      <c r="CE105" s="196">
        <f>CE104/CD104-1</f>
        <v>5.1295380823196401E-2</v>
      </c>
      <c r="CF105" s="196">
        <f t="shared" ref="CF105:CM105" si="346">CF104/CE104-1</f>
        <v>2.8533762268703633E-2</v>
      </c>
      <c r="CG105" s="196">
        <f t="shared" si="346"/>
        <v>2.4537007627933649E-2</v>
      </c>
      <c r="CH105" s="196">
        <f t="shared" si="346"/>
        <v>2.3158071194440355E-2</v>
      </c>
      <c r="CI105" s="196">
        <f t="shared" si="346"/>
        <v>2.193838553050842E-2</v>
      </c>
      <c r="CJ105" s="196">
        <f t="shared" si="346"/>
        <v>2.0856463140160875E-2</v>
      </c>
      <c r="CK105" s="196">
        <f t="shared" si="346"/>
        <v>1.9894229572166022E-2</v>
      </c>
      <c r="CL105" s="196">
        <f t="shared" si="346"/>
        <v>1.9036381426728255E-2</v>
      </c>
      <c r="CM105" s="196">
        <f t="shared" si="346"/>
        <v>1.8269884688758786E-2</v>
      </c>
      <c r="CN105" s="195"/>
      <c r="CO105" s="195"/>
      <c r="CP105" s="195"/>
      <c r="CQ105" s="195"/>
      <c r="CR105" s="195"/>
      <c r="CS105" s="195"/>
      <c r="CT105" s="195"/>
      <c r="DT105" s="261">
        <v>0.87357630979498857</v>
      </c>
      <c r="DU105" s="261">
        <v>0.97242152466367715</v>
      </c>
      <c r="DV105" s="261">
        <v>1.0263274336283186</v>
      </c>
      <c r="DW105" s="261">
        <v>1.2275109170305676</v>
      </c>
      <c r="DX105" s="261">
        <v>1.3656526293554965</v>
      </c>
      <c r="DY105" s="261">
        <v>1.4436526293554965</v>
      </c>
      <c r="DZ105" s="261">
        <v>1.4736526293554966</v>
      </c>
      <c r="EA105" s="261">
        <v>1.4936526293554966</v>
      </c>
      <c r="EB105" s="261">
        <v>1.5036526293554966</v>
      </c>
      <c r="EC105" s="261">
        <v>1.5136526293554966</v>
      </c>
      <c r="ED105" s="261">
        <v>1.5136526293554966</v>
      </c>
      <c r="EE105" s="261">
        <v>1.5136526293554966</v>
      </c>
    </row>
    <row r="106" spans="1:135" hidden="1" outlineLevel="1">
      <c r="A106" s="237" t="s">
        <v>28</v>
      </c>
      <c r="B106" s="237">
        <f>B100</f>
        <v>2007</v>
      </c>
      <c r="C106" s="237"/>
      <c r="D106" s="237"/>
      <c r="E106" s="237"/>
      <c r="F106" s="237"/>
      <c r="G106" s="237">
        <f>B106+1</f>
        <v>2008</v>
      </c>
      <c r="H106" s="237"/>
      <c r="I106" s="237"/>
      <c r="J106" s="237"/>
      <c r="K106" s="237"/>
      <c r="L106" s="237">
        <f>G106+1</f>
        <v>2009</v>
      </c>
      <c r="M106" s="237"/>
      <c r="N106" s="237"/>
      <c r="O106" s="237"/>
      <c r="P106" s="237"/>
      <c r="Q106" s="237">
        <f>L106+1</f>
        <v>2010</v>
      </c>
      <c r="R106" s="237"/>
      <c r="S106" s="237"/>
      <c r="T106" s="237"/>
      <c r="U106" s="237"/>
      <c r="V106" s="237">
        <f>Q106+1</f>
        <v>2011</v>
      </c>
      <c r="W106" s="237"/>
      <c r="X106" s="237"/>
      <c r="Y106" s="237"/>
      <c r="Z106" s="237"/>
      <c r="AA106" s="237">
        <f>V106+1</f>
        <v>2012</v>
      </c>
      <c r="AB106" s="237"/>
      <c r="AC106" s="237"/>
      <c r="AD106" s="237"/>
      <c r="AE106" s="237"/>
      <c r="AF106" s="237">
        <f>AA106+1</f>
        <v>2013</v>
      </c>
      <c r="AG106" s="237"/>
      <c r="AH106" s="237"/>
      <c r="AI106" s="237"/>
      <c r="AJ106" s="237"/>
      <c r="AK106" s="237">
        <f>AF106+1</f>
        <v>2014</v>
      </c>
      <c r="AL106" s="237"/>
      <c r="AM106" s="237"/>
      <c r="AN106" s="237"/>
      <c r="AO106" s="237"/>
      <c r="AP106" s="237">
        <f>AK106+1</f>
        <v>2015</v>
      </c>
      <c r="AQ106" s="237"/>
      <c r="AR106" s="237"/>
      <c r="AS106" s="237"/>
      <c r="AT106" s="237"/>
      <c r="AU106" s="237">
        <f>AP106+1</f>
        <v>2016</v>
      </c>
      <c r="AV106" s="237"/>
      <c r="AW106" s="237"/>
      <c r="AX106" s="237"/>
      <c r="AY106" s="237"/>
      <c r="AZ106" s="237">
        <f>AU106+1</f>
        <v>2017</v>
      </c>
      <c r="BA106" s="237"/>
      <c r="BB106" s="237"/>
      <c r="BC106" s="237"/>
      <c r="BD106" s="237"/>
      <c r="BE106" s="237">
        <f>AZ106+1</f>
        <v>2018</v>
      </c>
      <c r="BF106" s="237"/>
      <c r="BG106" s="237"/>
      <c r="BH106" s="237"/>
      <c r="BI106" s="237"/>
      <c r="BJ106" s="237">
        <f>BE106+1</f>
        <v>2019</v>
      </c>
      <c r="BK106" s="237"/>
      <c r="BL106" s="237"/>
      <c r="BM106" s="237"/>
      <c r="BN106" s="237"/>
      <c r="BO106" s="237">
        <f>BJ106+1</f>
        <v>2020</v>
      </c>
      <c r="BP106" s="237"/>
      <c r="BQ106" s="237"/>
      <c r="BR106" s="237"/>
      <c r="BS106" s="237"/>
      <c r="BT106" s="237">
        <f>BO106+1</f>
        <v>2021</v>
      </c>
      <c r="BU106" s="237"/>
      <c r="BV106" s="237"/>
      <c r="BW106" s="237"/>
      <c r="BX106" s="237"/>
      <c r="BY106" s="237">
        <f>BT106+1</f>
        <v>2022</v>
      </c>
      <c r="BZ106" s="237"/>
      <c r="CA106" s="237"/>
      <c r="CB106" s="237"/>
      <c r="CC106" s="237"/>
      <c r="CD106" s="237">
        <f>BY106+1</f>
        <v>2023</v>
      </c>
      <c r="CE106" s="237">
        <f t="shared" ref="CE106:CI106" si="347">CD106+1</f>
        <v>2024</v>
      </c>
      <c r="CF106" s="237">
        <f t="shared" si="347"/>
        <v>2025</v>
      </c>
      <c r="CG106" s="237">
        <f t="shared" si="347"/>
        <v>2026</v>
      </c>
      <c r="CH106" s="237">
        <f t="shared" si="347"/>
        <v>2027</v>
      </c>
      <c r="CI106" s="237">
        <f t="shared" si="347"/>
        <v>2028</v>
      </c>
      <c r="CJ106" s="237">
        <f t="shared" ref="CJ106" si="348">CI106+1</f>
        <v>2029</v>
      </c>
      <c r="CK106" s="237">
        <f t="shared" ref="CK106" si="349">CJ106+1</f>
        <v>2030</v>
      </c>
      <c r="CL106" s="237">
        <f t="shared" ref="CL106:CM106" si="350">CK106+1</f>
        <v>2031</v>
      </c>
      <c r="CM106" s="237">
        <f t="shared" si="350"/>
        <v>2032</v>
      </c>
      <c r="CN106" s="195"/>
      <c r="CO106" s="195"/>
      <c r="CP106" s="195"/>
      <c r="CQ106" s="195"/>
      <c r="CR106" s="195"/>
      <c r="CS106" s="195"/>
      <c r="CT106" s="195"/>
    </row>
    <row r="107" spans="1:135" hidden="1" outlineLevel="1">
      <c r="A107" s="276" t="s">
        <v>18</v>
      </c>
      <c r="B107" s="203"/>
      <c r="C107" s="203"/>
      <c r="D107" s="203"/>
      <c r="E107" s="203"/>
      <c r="F107" s="203"/>
      <c r="G107" s="203">
        <f>B96</f>
        <v>0</v>
      </c>
      <c r="H107" s="203"/>
      <c r="I107" s="203"/>
      <c r="J107" s="203"/>
      <c r="K107" s="203"/>
      <c r="L107" s="203">
        <f>G96</f>
        <v>0</v>
      </c>
      <c r="M107" s="203"/>
      <c r="N107" s="203"/>
      <c r="O107" s="203"/>
      <c r="P107" s="203"/>
      <c r="Q107" s="203">
        <f>L96</f>
        <v>0</v>
      </c>
      <c r="R107" s="203"/>
      <c r="S107" s="203"/>
      <c r="T107" s="203"/>
      <c r="U107" s="203"/>
      <c r="V107" s="203">
        <f>Q96</f>
        <v>0</v>
      </c>
      <c r="W107" s="203"/>
      <c r="X107" s="203"/>
      <c r="Y107" s="203"/>
      <c r="Z107" s="203"/>
      <c r="AA107" s="203">
        <f>V96</f>
        <v>0</v>
      </c>
      <c r="AB107" s="203"/>
      <c r="AC107" s="203"/>
      <c r="AD107" s="203"/>
      <c r="AE107" s="203"/>
      <c r="AF107" s="203">
        <f>AA96</f>
        <v>0</v>
      </c>
      <c r="AG107" s="203"/>
      <c r="AH107" s="203"/>
      <c r="AI107" s="203"/>
      <c r="AJ107" s="203"/>
      <c r="AK107" s="203">
        <f>AF96</f>
        <v>0</v>
      </c>
      <c r="AL107" s="203"/>
      <c r="AM107" s="203"/>
      <c r="AN107" s="203"/>
      <c r="AO107" s="203"/>
      <c r="AP107" s="203">
        <f>AK96</f>
        <v>0</v>
      </c>
      <c r="AQ107" s="203"/>
      <c r="AR107" s="203"/>
      <c r="AS107" s="203"/>
      <c r="AT107" s="204"/>
      <c r="AU107" s="203">
        <f>AP96</f>
        <v>0</v>
      </c>
      <c r="AV107" s="198">
        <f>AU109</f>
        <v>12299</v>
      </c>
      <c r="AW107" s="198">
        <f t="shared" ref="AW107:AY107" si="351">AV109</f>
        <v>8820</v>
      </c>
      <c r="AX107" s="198">
        <f t="shared" si="351"/>
        <v>8653</v>
      </c>
      <c r="AY107" s="198">
        <f t="shared" si="351"/>
        <v>8255</v>
      </c>
      <c r="AZ107" s="203">
        <f>AU96</f>
        <v>12299</v>
      </c>
      <c r="BA107" s="198">
        <f>AZ109</f>
        <v>8034</v>
      </c>
      <c r="BB107" s="198">
        <f t="shared" ref="BB107:BD107" si="352">BA109</f>
        <v>7756</v>
      </c>
      <c r="BC107" s="198">
        <f t="shared" si="352"/>
        <v>7716</v>
      </c>
      <c r="BD107" s="198">
        <f t="shared" si="352"/>
        <v>7703</v>
      </c>
      <c r="BE107" s="203">
        <f>AZ96</f>
        <v>8034</v>
      </c>
      <c r="BF107" s="198">
        <f>BE109</f>
        <v>7571</v>
      </c>
      <c r="BG107" s="198">
        <f t="shared" ref="BG107:BI107" si="353">BF109</f>
        <v>7444</v>
      </c>
      <c r="BH107" s="198">
        <f t="shared" si="353"/>
        <v>7463</v>
      </c>
      <c r="BI107" s="198">
        <f t="shared" si="353"/>
        <v>7461</v>
      </c>
      <c r="BJ107" s="203">
        <f>BE96</f>
        <v>7571</v>
      </c>
      <c r="BK107" s="198">
        <f>BJ109</f>
        <v>7375</v>
      </c>
      <c r="BL107" s="198">
        <f t="shared" ref="BL107:BN107" si="354">BK109</f>
        <v>7388</v>
      </c>
      <c r="BM107" s="198">
        <f t="shared" si="354"/>
        <v>7830</v>
      </c>
      <c r="BN107" s="198">
        <f t="shared" si="354"/>
        <v>7147</v>
      </c>
      <c r="BO107" s="203">
        <f>BJ96</f>
        <v>7375</v>
      </c>
      <c r="BP107" s="198">
        <f>BO109</f>
        <v>7193</v>
      </c>
      <c r="BQ107" s="198">
        <f t="shared" ref="BQ107:BS107" si="355">BP109</f>
        <v>7365</v>
      </c>
      <c r="BR107" s="198">
        <f t="shared" si="355"/>
        <v>7360</v>
      </c>
      <c r="BS107" s="198">
        <f t="shared" si="355"/>
        <v>7334</v>
      </c>
      <c r="BT107" s="203">
        <f>BO96</f>
        <v>7193</v>
      </c>
      <c r="BU107" s="198">
        <f>BT109</f>
        <v>7359</v>
      </c>
      <c r="BV107" s="198">
        <f t="shared" ref="BV107:BX107" si="356">BU109</f>
        <v>7092</v>
      </c>
      <c r="BW107" s="198">
        <f t="shared" si="356"/>
        <v>7149</v>
      </c>
      <c r="BX107" s="198">
        <f t="shared" si="356"/>
        <v>7188</v>
      </c>
      <c r="BY107" s="203">
        <f>BT96</f>
        <v>7359</v>
      </c>
      <c r="BZ107" s="205">
        <f>BY109</f>
        <v>7147</v>
      </c>
      <c r="CA107" s="205">
        <f>BZ109</f>
        <v>7126</v>
      </c>
      <c r="CB107" s="205">
        <f>CA109</f>
        <v>7032</v>
      </c>
      <c r="CC107" s="205">
        <f>CB109</f>
        <v>7185</v>
      </c>
      <c r="CD107" s="203">
        <f>BY96</f>
        <v>7147</v>
      </c>
      <c r="CE107" s="203">
        <f t="shared" ref="CE107:CI107" si="357">CD96</f>
        <v>7589</v>
      </c>
      <c r="CF107" s="203">
        <f t="shared" si="357"/>
        <v>7733.3282558056599</v>
      </c>
      <c r="CG107" s="203">
        <f t="shared" si="357"/>
        <v>7830.1546978803299</v>
      </c>
      <c r="CH107" s="203">
        <f t="shared" si="357"/>
        <v>7917.1055978750783</v>
      </c>
      <c r="CI107" s="203">
        <f t="shared" si="357"/>
        <v>7995.1408486083783</v>
      </c>
      <c r="CJ107" s="203">
        <f t="shared" ref="CJ107" si="358">CI96</f>
        <v>8065.124659534541</v>
      </c>
      <c r="CK107" s="203">
        <f t="shared" ref="CK107" si="359">CJ96</f>
        <v>8127.8350547726641</v>
      </c>
      <c r="CL107" s="203">
        <f t="shared" ref="CL107:CM107" si="360">CK96</f>
        <v>8183.9724294982261</v>
      </c>
      <c r="CM107" s="203">
        <f t="shared" si="360"/>
        <v>8234.1672579245405</v>
      </c>
      <c r="CN107" s="195"/>
      <c r="CO107" s="195"/>
      <c r="CP107" s="195"/>
      <c r="CQ107" s="195"/>
      <c r="CR107" s="195"/>
      <c r="CS107" s="198"/>
      <c r="CT107" s="198"/>
    </row>
    <row r="108" spans="1:135" hidden="1" outlineLevel="1">
      <c r="A108" s="276" t="s">
        <v>19</v>
      </c>
      <c r="B108" s="203"/>
      <c r="C108" s="203"/>
      <c r="D108" s="203"/>
      <c r="E108" s="203"/>
      <c r="F108" s="203"/>
      <c r="G108" s="203">
        <f>G109-G107</f>
        <v>0</v>
      </c>
      <c r="H108" s="203"/>
      <c r="I108" s="203"/>
      <c r="J108" s="203"/>
      <c r="K108" s="203"/>
      <c r="L108" s="203">
        <f>L109-L107</f>
        <v>0</v>
      </c>
      <c r="M108" s="203"/>
      <c r="N108" s="203"/>
      <c r="O108" s="203"/>
      <c r="P108" s="203"/>
      <c r="Q108" s="203">
        <f>Q109-Q107</f>
        <v>0</v>
      </c>
      <c r="R108" s="203"/>
      <c r="S108" s="203"/>
      <c r="T108" s="203"/>
      <c r="U108" s="203"/>
      <c r="V108" s="203">
        <f>V109-V107</f>
        <v>0</v>
      </c>
      <c r="W108" s="203"/>
      <c r="X108" s="203"/>
      <c r="Y108" s="203"/>
      <c r="Z108" s="203"/>
      <c r="AA108" s="203">
        <f>AA109-AA107</f>
        <v>0</v>
      </c>
      <c r="AB108" s="203"/>
      <c r="AC108" s="203"/>
      <c r="AD108" s="203"/>
      <c r="AE108" s="203"/>
      <c r="AF108" s="203">
        <f>AF109-AF107</f>
        <v>0</v>
      </c>
      <c r="AG108" s="203"/>
      <c r="AH108" s="203"/>
      <c r="AI108" s="203"/>
      <c r="AJ108" s="203"/>
      <c r="AK108" s="203">
        <f>AK109-AK107</f>
        <v>0</v>
      </c>
      <c r="AL108" s="203"/>
      <c r="AM108" s="203"/>
      <c r="AN108" s="203"/>
      <c r="AO108" s="203"/>
      <c r="AP108" s="203">
        <f>AP109-AP107</f>
        <v>0</v>
      </c>
      <c r="AQ108" s="203"/>
      <c r="AR108" s="203"/>
      <c r="AS108" s="203"/>
      <c r="AT108" s="204"/>
      <c r="AU108" s="203">
        <f>AU109-AU107</f>
        <v>12299</v>
      </c>
      <c r="AV108" s="198">
        <f>AV109-AV107</f>
        <v>-3479</v>
      </c>
      <c r="AW108" s="198">
        <f t="shared" ref="AW108" si="361">AW109-AW107</f>
        <v>-167</v>
      </c>
      <c r="AX108" s="198">
        <f t="shared" ref="AX108" si="362">AX109-AX107</f>
        <v>-398</v>
      </c>
      <c r="AY108" s="198">
        <f t="shared" ref="AY108" si="363">AY109-AY107</f>
        <v>-221</v>
      </c>
      <c r="AZ108" s="203">
        <f>AZ109-AZ107</f>
        <v>-4265</v>
      </c>
      <c r="BA108" s="198">
        <f>BA109-BA107</f>
        <v>-278</v>
      </c>
      <c r="BB108" s="198">
        <f t="shared" ref="BB108" si="364">BB109-BB107</f>
        <v>-40</v>
      </c>
      <c r="BC108" s="198">
        <f t="shared" ref="BC108" si="365">BC109-BC107</f>
        <v>-13</v>
      </c>
      <c r="BD108" s="198">
        <f t="shared" ref="BD108" si="366">BD109-BD107</f>
        <v>-132</v>
      </c>
      <c r="BE108" s="203">
        <f>BE109-BE107</f>
        <v>-463</v>
      </c>
      <c r="BF108" s="198">
        <f>BF109-BF107</f>
        <v>-127</v>
      </c>
      <c r="BG108" s="198">
        <f t="shared" ref="BG108" si="367">BG109-BG107</f>
        <v>19</v>
      </c>
      <c r="BH108" s="198">
        <f t="shared" ref="BH108" si="368">BH109-BH107</f>
        <v>-2</v>
      </c>
      <c r="BI108" s="198">
        <f t="shared" ref="BI108" si="369">BI109-BI107</f>
        <v>-86</v>
      </c>
      <c r="BJ108" s="203">
        <f>BJ109-BJ107</f>
        <v>-196</v>
      </c>
      <c r="BK108" s="198">
        <f>BK109-BK107</f>
        <v>13</v>
      </c>
      <c r="BL108" s="198">
        <f t="shared" ref="BL108" si="370">BL109-BL107</f>
        <v>442</v>
      </c>
      <c r="BM108" s="198">
        <f t="shared" ref="BM108" si="371">BM109-BM107</f>
        <v>-683</v>
      </c>
      <c r="BN108" s="198">
        <f t="shared" ref="BN108" si="372">BN109-BN107</f>
        <v>46</v>
      </c>
      <c r="BO108" s="203">
        <f>BO109-BO107</f>
        <v>-182</v>
      </c>
      <c r="BP108" s="198">
        <f>BP109-BP107</f>
        <v>172</v>
      </c>
      <c r="BQ108" s="198">
        <f t="shared" ref="BQ108" si="373">BQ109-BQ107</f>
        <v>-5</v>
      </c>
      <c r="BR108" s="198">
        <f t="shared" ref="BR108" si="374">BR109-BR107</f>
        <v>-26</v>
      </c>
      <c r="BS108" s="198">
        <f t="shared" ref="BS108" si="375">BS109-BS107</f>
        <v>25</v>
      </c>
      <c r="BT108" s="203">
        <f>BT109-BT107</f>
        <v>166</v>
      </c>
      <c r="BU108" s="198">
        <f>BU109-BU107</f>
        <v>-267</v>
      </c>
      <c r="BV108" s="198">
        <f t="shared" ref="BV108" si="376">BV109-BV107</f>
        <v>57</v>
      </c>
      <c r="BW108" s="198">
        <f t="shared" ref="BW108" si="377">BW109-BW107</f>
        <v>39</v>
      </c>
      <c r="BX108" s="198">
        <f t="shared" ref="BX108" si="378">BX109-BX107</f>
        <v>-41</v>
      </c>
      <c r="BY108" s="203">
        <f t="shared" ref="BY108:CD108" si="379">BY109-BY107</f>
        <v>-212</v>
      </c>
      <c r="BZ108" s="205">
        <f t="shared" si="379"/>
        <v>-21</v>
      </c>
      <c r="CA108" s="205">
        <f t="shared" si="379"/>
        <v>-94</v>
      </c>
      <c r="CB108" s="205">
        <f t="shared" si="379"/>
        <v>153</v>
      </c>
      <c r="CC108" s="205">
        <f t="shared" si="379"/>
        <v>404</v>
      </c>
      <c r="CD108" s="203">
        <f t="shared" si="379"/>
        <v>442</v>
      </c>
      <c r="CE108" s="203">
        <f t="shared" ref="CE108:CI108" si="380">CE109-CE107</f>
        <v>144.32825580565986</v>
      </c>
      <c r="CF108" s="203">
        <f t="shared" si="380"/>
        <v>96.826442074670013</v>
      </c>
      <c r="CG108" s="203">
        <f t="shared" si="380"/>
        <v>86.950899994748397</v>
      </c>
      <c r="CH108" s="203">
        <f t="shared" si="380"/>
        <v>78.035250733300018</v>
      </c>
      <c r="CI108" s="203">
        <f t="shared" si="380"/>
        <v>69.983810926162732</v>
      </c>
      <c r="CJ108" s="203">
        <f t="shared" ref="CJ108:CL108" si="381">CJ109-CJ107</f>
        <v>62.710395238123056</v>
      </c>
      <c r="CK108" s="203">
        <f t="shared" si="381"/>
        <v>56.13737472556204</v>
      </c>
      <c r="CL108" s="203">
        <f t="shared" si="381"/>
        <v>50.194828426314416</v>
      </c>
      <c r="CM108" s="203">
        <f t="shared" ref="CM108" si="382">CM109-CM107</f>
        <v>44.819778958288225</v>
      </c>
      <c r="CN108" s="195"/>
      <c r="CO108" s="195"/>
      <c r="CP108" s="195"/>
      <c r="CQ108" s="195"/>
      <c r="CR108" s="195"/>
      <c r="CS108" s="207"/>
      <c r="CT108" s="207"/>
      <c r="CU108" s="207"/>
      <c r="CV108" s="207"/>
    </row>
    <row r="109" spans="1:135" hidden="1" outlineLevel="1">
      <c r="A109" s="276" t="s">
        <v>20</v>
      </c>
      <c r="B109" s="203"/>
      <c r="C109" s="203"/>
      <c r="D109" s="203"/>
      <c r="E109" s="203"/>
      <c r="F109" s="203"/>
      <c r="G109" s="203">
        <f>G96</f>
        <v>0</v>
      </c>
      <c r="H109" s="203"/>
      <c r="I109" s="203"/>
      <c r="J109" s="203"/>
      <c r="K109" s="203"/>
      <c r="L109" s="203">
        <f>L96</f>
        <v>0</v>
      </c>
      <c r="M109" s="203"/>
      <c r="N109" s="203"/>
      <c r="O109" s="203"/>
      <c r="P109" s="203"/>
      <c r="Q109" s="203">
        <f>Q96</f>
        <v>0</v>
      </c>
      <c r="R109" s="203"/>
      <c r="S109" s="203"/>
      <c r="T109" s="203"/>
      <c r="U109" s="203"/>
      <c r="V109" s="203">
        <f>V96</f>
        <v>0</v>
      </c>
      <c r="W109" s="203"/>
      <c r="X109" s="203"/>
      <c r="Y109" s="203"/>
      <c r="Z109" s="203"/>
      <c r="AA109" s="203">
        <f>AA96</f>
        <v>0</v>
      </c>
      <c r="AB109" s="203"/>
      <c r="AC109" s="203"/>
      <c r="AD109" s="203"/>
      <c r="AE109" s="203"/>
      <c r="AF109" s="203">
        <f>AF96</f>
        <v>0</v>
      </c>
      <c r="AG109" s="203"/>
      <c r="AH109" s="203"/>
      <c r="AI109" s="203"/>
      <c r="AJ109" s="203"/>
      <c r="AK109" s="203">
        <f>AK96</f>
        <v>0</v>
      </c>
      <c r="AL109" s="203"/>
      <c r="AM109" s="203"/>
      <c r="AN109" s="203"/>
      <c r="AO109" s="203"/>
      <c r="AP109" s="203">
        <f>AP96</f>
        <v>0</v>
      </c>
      <c r="AQ109" s="203"/>
      <c r="AR109" s="203"/>
      <c r="AS109" s="203"/>
      <c r="AT109" s="204"/>
      <c r="AU109" s="203">
        <f>AU96</f>
        <v>12299</v>
      </c>
      <c r="AV109" s="280">
        <f>'[2]Domestic Mobile Operations'!W$12</f>
        <v>8820</v>
      </c>
      <c r="AW109" s="280">
        <f>'[2]Domestic Mobile Operations'!X$12</f>
        <v>8653</v>
      </c>
      <c r="AX109" s="280">
        <f>'[2]Domestic Mobile Operations'!Y$12</f>
        <v>8255</v>
      </c>
      <c r="AY109" s="280">
        <f>'[2]Domestic Mobile Operations'!Z$12</f>
        <v>8034</v>
      </c>
      <c r="AZ109" s="284">
        <f>AY109</f>
        <v>8034</v>
      </c>
      <c r="BA109" s="280">
        <f>'[2]Domestic Mobile Operations'!AA$12</f>
        <v>7756</v>
      </c>
      <c r="BB109" s="280">
        <f>'[2]Domestic Mobile Operations'!AB$12</f>
        <v>7716</v>
      </c>
      <c r="BC109" s="280">
        <f>'[2]Domestic Mobile Operations'!AC$12</f>
        <v>7703</v>
      </c>
      <c r="BD109" s="280">
        <f>'[2]Domestic Mobile Operations'!AD$12</f>
        <v>7571</v>
      </c>
      <c r="BE109" s="284">
        <f>BD109</f>
        <v>7571</v>
      </c>
      <c r="BF109" s="280">
        <f>'[2]Domestic Mobile Operations'!AE$12</f>
        <v>7444</v>
      </c>
      <c r="BG109" s="280">
        <f>'[2]Domestic Mobile Operations'!AF$12</f>
        <v>7463</v>
      </c>
      <c r="BH109" s="280">
        <f>'[2]Domestic Mobile Operations'!AG$12</f>
        <v>7461</v>
      </c>
      <c r="BI109" s="280">
        <f>'[2]Domestic Mobile Operations'!AH$12</f>
        <v>7375</v>
      </c>
      <c r="BJ109" s="284">
        <f>BI109</f>
        <v>7375</v>
      </c>
      <c r="BK109" s="280">
        <f>'[2]Domestic Mobile Operations'!AI$12</f>
        <v>7388</v>
      </c>
      <c r="BL109" s="280">
        <f>'[2]Domestic Mobile Operations'!AJ$12</f>
        <v>7830</v>
      </c>
      <c r="BM109" s="280">
        <f>'[2]Domestic Mobile Operations'!AK$12</f>
        <v>7147</v>
      </c>
      <c r="BN109" s="280">
        <f>'[2]Domestic Mobile Operations'!AL$12</f>
        <v>7193</v>
      </c>
      <c r="BO109" s="284">
        <f>BN109</f>
        <v>7193</v>
      </c>
      <c r="BP109" s="280">
        <f>'[2]Domestic Mobile Operations'!AM$12</f>
        <v>7365</v>
      </c>
      <c r="BQ109" s="280">
        <f>'[2]Domestic Mobile Operations'!AN$12</f>
        <v>7360</v>
      </c>
      <c r="BR109" s="280">
        <f>'[2]Domestic Mobile Operations'!AO$12</f>
        <v>7334</v>
      </c>
      <c r="BS109" s="280">
        <f>'[2]Domestic Mobile Operations'!AP$12</f>
        <v>7359</v>
      </c>
      <c r="BT109" s="284">
        <f>BS109</f>
        <v>7359</v>
      </c>
      <c r="BU109" s="282">
        <f>'[2]Domestic Mobile Operations'!AQ$12</f>
        <v>7092</v>
      </c>
      <c r="BV109" s="282">
        <f>'[2]Domestic Mobile Operations'!AR$12</f>
        <v>7149</v>
      </c>
      <c r="BW109" s="282">
        <f>'[2]Domestic Mobile Operations'!AS$12</f>
        <v>7188</v>
      </c>
      <c r="BX109" s="282">
        <f>'[2]Domestic Mobile Operations'!AT$12</f>
        <v>7147</v>
      </c>
      <c r="BY109" s="284">
        <f>BX109</f>
        <v>7147</v>
      </c>
      <c r="BZ109" s="282">
        <f>'[2]Domestic Mobile Operations'!AU$12</f>
        <v>7126</v>
      </c>
      <c r="CA109" s="282">
        <f>'[2]Domestic Mobile Operations'!AV$12</f>
        <v>7032</v>
      </c>
      <c r="CB109" s="282">
        <f>'[2]Domestic Mobile Operations'!AW$12</f>
        <v>7185</v>
      </c>
      <c r="CC109" s="282">
        <f>'[2]Domestic Mobile Operations'!AX$12</f>
        <v>7589</v>
      </c>
      <c r="CD109" s="284">
        <f>CC109</f>
        <v>7589</v>
      </c>
      <c r="CE109" s="203">
        <f t="shared" ref="CE109:CI109" si="383">CE96</f>
        <v>7733.3282558056599</v>
      </c>
      <c r="CF109" s="203">
        <f t="shared" si="383"/>
        <v>7830.1546978803299</v>
      </c>
      <c r="CG109" s="203">
        <f t="shared" si="383"/>
        <v>7917.1055978750783</v>
      </c>
      <c r="CH109" s="203">
        <f t="shared" si="383"/>
        <v>7995.1408486083783</v>
      </c>
      <c r="CI109" s="203">
        <f t="shared" si="383"/>
        <v>8065.124659534541</v>
      </c>
      <c r="CJ109" s="203">
        <f t="shared" ref="CJ109:CL109" si="384">CJ96</f>
        <v>8127.8350547726641</v>
      </c>
      <c r="CK109" s="203">
        <f t="shared" si="384"/>
        <v>8183.9724294982261</v>
      </c>
      <c r="CL109" s="203">
        <f t="shared" si="384"/>
        <v>8234.1672579245405</v>
      </c>
      <c r="CM109" s="203">
        <f t="shared" ref="CM109" si="385">CM96</f>
        <v>8278.9870368828288</v>
      </c>
      <c r="CN109" s="195"/>
      <c r="CO109" s="195"/>
      <c r="CP109" s="195"/>
      <c r="CQ109" s="195"/>
      <c r="CR109" s="195"/>
      <c r="CS109" s="207"/>
      <c r="CT109" s="207"/>
      <c r="CU109" s="207"/>
      <c r="CV109" s="207"/>
    </row>
    <row r="110" spans="1:135" hidden="1" outlineLevel="1">
      <c r="A110" s="276" t="s">
        <v>21</v>
      </c>
      <c r="B110" s="203"/>
      <c r="C110" s="203"/>
      <c r="D110" s="203"/>
      <c r="E110" s="203"/>
      <c r="F110" s="203"/>
      <c r="G110" s="203">
        <f>(B109+G109)/2</f>
        <v>0</v>
      </c>
      <c r="H110" s="203"/>
      <c r="I110" s="203"/>
      <c r="J110" s="203"/>
      <c r="K110" s="203"/>
      <c r="L110" s="203">
        <f>(G109+L109)/2</f>
        <v>0</v>
      </c>
      <c r="M110" s="203"/>
      <c r="N110" s="203"/>
      <c r="O110" s="203"/>
      <c r="P110" s="203"/>
      <c r="Q110" s="203">
        <f>(L109+Q109)/2</f>
        <v>0</v>
      </c>
      <c r="R110" s="203"/>
      <c r="S110" s="203"/>
      <c r="T110" s="203"/>
      <c r="U110" s="203"/>
      <c r="V110" s="203">
        <f>(Q109+V109)/2</f>
        <v>0</v>
      </c>
      <c r="W110" s="203"/>
      <c r="X110" s="203"/>
      <c r="Y110" s="203"/>
      <c r="Z110" s="203"/>
      <c r="AA110" s="203">
        <f>(V109+AA109)/2</f>
        <v>0</v>
      </c>
      <c r="AB110" s="203"/>
      <c r="AC110" s="203"/>
      <c r="AD110" s="203"/>
      <c r="AE110" s="203"/>
      <c r="AF110" s="203">
        <f>(AA109+AF109)/2</f>
        <v>0</v>
      </c>
      <c r="AG110" s="203"/>
      <c r="AH110" s="203"/>
      <c r="AI110" s="203"/>
      <c r="AJ110" s="203"/>
      <c r="AK110" s="203">
        <f>(AF109+AK109)/2</f>
        <v>0</v>
      </c>
      <c r="AL110" s="203"/>
      <c r="AM110" s="203"/>
      <c r="AN110" s="203"/>
      <c r="AO110" s="203"/>
      <c r="AP110" s="203">
        <f>(AK109+AP109)/2</f>
        <v>0</v>
      </c>
      <c r="AQ110" s="203"/>
      <c r="AR110" s="203"/>
      <c r="AS110" s="203"/>
      <c r="AT110" s="204"/>
      <c r="AU110" s="203">
        <f>(AP109+AU109)/2</f>
        <v>6149.5</v>
      </c>
      <c r="AV110" s="203">
        <f t="shared" ref="AV110:CD110" si="386">(AQ109+AV109)/2</f>
        <v>4410</v>
      </c>
      <c r="AW110" s="203">
        <f t="shared" si="386"/>
        <v>4326.5</v>
      </c>
      <c r="AX110" s="203">
        <f t="shared" si="386"/>
        <v>4127.5</v>
      </c>
      <c r="AY110" s="203">
        <f t="shared" si="386"/>
        <v>4017</v>
      </c>
      <c r="AZ110" s="203">
        <f t="shared" si="386"/>
        <v>10166.5</v>
      </c>
      <c r="BA110" s="203">
        <f t="shared" si="386"/>
        <v>8288</v>
      </c>
      <c r="BB110" s="203">
        <f t="shared" si="386"/>
        <v>8184.5</v>
      </c>
      <c r="BC110" s="203">
        <f t="shared" si="386"/>
        <v>7979</v>
      </c>
      <c r="BD110" s="203">
        <f t="shared" si="386"/>
        <v>7802.5</v>
      </c>
      <c r="BE110" s="203">
        <f t="shared" si="386"/>
        <v>7802.5</v>
      </c>
      <c r="BF110" s="203">
        <f t="shared" si="386"/>
        <v>7600</v>
      </c>
      <c r="BG110" s="203">
        <f t="shared" si="386"/>
        <v>7589.5</v>
      </c>
      <c r="BH110" s="203">
        <f t="shared" si="386"/>
        <v>7582</v>
      </c>
      <c r="BI110" s="203">
        <f t="shared" si="386"/>
        <v>7473</v>
      </c>
      <c r="BJ110" s="203">
        <f t="shared" si="386"/>
        <v>7473</v>
      </c>
      <c r="BK110" s="203">
        <f t="shared" si="386"/>
        <v>7416</v>
      </c>
      <c r="BL110" s="203">
        <f t="shared" si="386"/>
        <v>7646.5</v>
      </c>
      <c r="BM110" s="203">
        <f t="shared" si="386"/>
        <v>7304</v>
      </c>
      <c r="BN110" s="203">
        <f t="shared" si="386"/>
        <v>7284</v>
      </c>
      <c r="BO110" s="203">
        <f t="shared" si="386"/>
        <v>7284</v>
      </c>
      <c r="BP110" s="203">
        <f t="shared" si="386"/>
        <v>7376.5</v>
      </c>
      <c r="BQ110" s="203">
        <f t="shared" si="386"/>
        <v>7595</v>
      </c>
      <c r="BR110" s="203">
        <f t="shared" si="386"/>
        <v>7240.5</v>
      </c>
      <c r="BS110" s="203">
        <f t="shared" si="386"/>
        <v>7276</v>
      </c>
      <c r="BT110" s="203">
        <f t="shared" si="386"/>
        <v>7276</v>
      </c>
      <c r="BU110" s="203">
        <f t="shared" si="386"/>
        <v>7228.5</v>
      </c>
      <c r="BV110" s="203">
        <f t="shared" si="386"/>
        <v>7254.5</v>
      </c>
      <c r="BW110" s="203">
        <f t="shared" si="386"/>
        <v>7261</v>
      </c>
      <c r="BX110" s="203">
        <f t="shared" si="386"/>
        <v>7253</v>
      </c>
      <c r="BY110" s="203">
        <f t="shared" si="386"/>
        <v>7253</v>
      </c>
      <c r="BZ110" s="203">
        <f t="shared" si="386"/>
        <v>7109</v>
      </c>
      <c r="CA110" s="203">
        <f t="shared" si="386"/>
        <v>7090.5</v>
      </c>
      <c r="CB110" s="203">
        <f t="shared" si="386"/>
        <v>7186.5</v>
      </c>
      <c r="CC110" s="203">
        <f t="shared" si="386"/>
        <v>7368</v>
      </c>
      <c r="CD110" s="203">
        <f t="shared" si="386"/>
        <v>7368</v>
      </c>
      <c r="CE110" s="203">
        <f t="shared" ref="CE110:CI110" si="387">(CD109+CE109)/2</f>
        <v>7661.1641279028299</v>
      </c>
      <c r="CF110" s="203">
        <f t="shared" si="387"/>
        <v>7781.7414768429953</v>
      </c>
      <c r="CG110" s="203">
        <f t="shared" si="387"/>
        <v>7873.6301478777041</v>
      </c>
      <c r="CH110" s="203">
        <f t="shared" si="387"/>
        <v>7956.1232232417278</v>
      </c>
      <c r="CI110" s="203">
        <f t="shared" si="387"/>
        <v>8030.1327540714592</v>
      </c>
      <c r="CJ110" s="203">
        <f t="shared" ref="CJ110" si="388">(CI109+CJ109)/2</f>
        <v>8096.479857153603</v>
      </c>
      <c r="CK110" s="203">
        <f t="shared" ref="CK110" si="389">(CJ109+CK109)/2</f>
        <v>8155.9037421354451</v>
      </c>
      <c r="CL110" s="203">
        <f t="shared" ref="CL110:CM110" si="390">(CK109+CL109)/2</f>
        <v>8209.0698437113824</v>
      </c>
      <c r="CM110" s="203">
        <f t="shared" si="390"/>
        <v>8256.5771474036846</v>
      </c>
      <c r="CN110" s="195"/>
      <c r="CO110" s="195"/>
      <c r="CP110" s="195"/>
      <c r="CQ110" s="195"/>
      <c r="CR110" s="195"/>
      <c r="CS110" s="207"/>
      <c r="CT110" s="207"/>
      <c r="CU110" s="207"/>
      <c r="CV110" s="207"/>
    </row>
    <row r="111" spans="1:135" collapsed="1">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272"/>
      <c r="AG111" s="272"/>
      <c r="AH111" s="272"/>
      <c r="AI111" s="272"/>
      <c r="AJ111" s="272"/>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c r="BZ111" s="285"/>
      <c r="CA111" s="285"/>
      <c r="CB111" s="285"/>
      <c r="CC111" s="285"/>
      <c r="CD111" s="285"/>
      <c r="CE111" s="196">
        <f>CE110/CD110-1</f>
        <v>3.9788833863033446E-2</v>
      </c>
      <c r="CF111" s="196">
        <f t="shared" ref="CF111" si="391">CF110/CE110-1</f>
        <v>1.5738776369639274E-2</v>
      </c>
      <c r="CG111" s="196">
        <f t="shared" ref="CG111" si="392">CG110/CF110-1</f>
        <v>1.1808240007478155E-2</v>
      </c>
      <c r="CH111" s="196">
        <f t="shared" ref="CH111" si="393">CH110/CG110-1</f>
        <v>1.0477133649243076E-2</v>
      </c>
      <c r="CI111" s="196">
        <f t="shared" ref="CI111" si="394">CI110/CH110-1</f>
        <v>9.3022102289130881E-3</v>
      </c>
      <c r="CJ111" s="196">
        <f t="shared" ref="CJ111" si="395">CJ110/CI110-1</f>
        <v>8.2622672767775907E-3</v>
      </c>
      <c r="CK111" s="196">
        <f t="shared" ref="CK111" si="396">CK110/CJ110-1</f>
        <v>7.3394717247814434E-3</v>
      </c>
      <c r="CL111" s="196">
        <f t="shared" ref="CL111" si="397">CL110/CK110-1</f>
        <v>6.5187259753038962E-3</v>
      </c>
      <c r="CM111" s="196">
        <f t="shared" ref="CM111" si="398">CM110/CL110-1</f>
        <v>5.7871725538667373E-3</v>
      </c>
      <c r="CN111" s="195"/>
      <c r="CO111" s="195"/>
      <c r="CP111" s="195"/>
      <c r="CQ111" s="195"/>
      <c r="CR111" s="195"/>
      <c r="CS111" s="207"/>
      <c r="CT111" s="207"/>
      <c r="CU111" s="207"/>
      <c r="CV111" s="207"/>
    </row>
    <row r="112" spans="1:135">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272"/>
      <c r="AG112" s="272"/>
      <c r="AH112" s="272"/>
      <c r="AI112" s="272"/>
      <c r="AJ112" s="272"/>
      <c r="AK112" s="285"/>
      <c r="AL112" s="285"/>
      <c r="AM112" s="285"/>
      <c r="AN112" s="285"/>
      <c r="AO112" s="285"/>
      <c r="AP112" s="285"/>
      <c r="AQ112" s="285"/>
      <c r="AR112" s="285"/>
      <c r="AS112" s="285"/>
      <c r="AT112" s="285"/>
      <c r="AU112" s="285"/>
      <c r="AV112" s="285" t="s">
        <v>688</v>
      </c>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c r="BZ112" s="285"/>
      <c r="CA112" s="285"/>
      <c r="CB112" s="285"/>
      <c r="CC112" s="285"/>
      <c r="CD112" s="285"/>
      <c r="CE112" s="285"/>
      <c r="CF112" s="285"/>
      <c r="CG112" s="285"/>
      <c r="CH112" s="285"/>
      <c r="CI112" s="285"/>
      <c r="CJ112" s="285"/>
      <c r="CK112" s="285"/>
      <c r="CL112" s="285"/>
      <c r="CM112" s="285"/>
      <c r="CN112" s="195"/>
      <c r="CO112" s="195"/>
      <c r="CP112" s="195"/>
      <c r="CQ112" s="195"/>
      <c r="CR112" s="195"/>
      <c r="CS112" s="207"/>
      <c r="CT112" s="207"/>
      <c r="CU112" s="207"/>
      <c r="CV112" s="207"/>
    </row>
    <row r="113" spans="1:100">
      <c r="A113" s="237" t="s">
        <v>672</v>
      </c>
      <c r="B113" s="237">
        <f t="shared" ref="B113:AG113" si="399">B2</f>
        <v>2007</v>
      </c>
      <c r="C113" s="237" t="str">
        <f t="shared" si="399"/>
        <v>Q1</v>
      </c>
      <c r="D113" s="237" t="str">
        <f t="shared" si="399"/>
        <v>Q2</v>
      </c>
      <c r="E113" s="237" t="str">
        <f t="shared" si="399"/>
        <v>Q3</v>
      </c>
      <c r="F113" s="237" t="str">
        <f t="shared" si="399"/>
        <v>Q4</v>
      </c>
      <c r="G113" s="237">
        <f t="shared" si="399"/>
        <v>2008</v>
      </c>
      <c r="H113" s="237" t="str">
        <f t="shared" si="399"/>
        <v>Q1</v>
      </c>
      <c r="I113" s="237" t="str">
        <f t="shared" si="399"/>
        <v>Q2</v>
      </c>
      <c r="J113" s="237" t="str">
        <f t="shared" si="399"/>
        <v>Q3</v>
      </c>
      <c r="K113" s="237" t="str">
        <f t="shared" si="399"/>
        <v>Q4</v>
      </c>
      <c r="L113" s="237">
        <f t="shared" si="399"/>
        <v>2009</v>
      </c>
      <c r="M113" s="237" t="str">
        <f t="shared" si="399"/>
        <v>Q1</v>
      </c>
      <c r="N113" s="237" t="str">
        <f t="shared" si="399"/>
        <v>Q2</v>
      </c>
      <c r="O113" s="237" t="str">
        <f t="shared" si="399"/>
        <v>Q3</v>
      </c>
      <c r="P113" s="237" t="str">
        <f t="shared" si="399"/>
        <v>Q4</v>
      </c>
      <c r="Q113" s="237">
        <f t="shared" si="399"/>
        <v>2010</v>
      </c>
      <c r="R113" s="237" t="str">
        <f t="shared" si="399"/>
        <v>Q1</v>
      </c>
      <c r="S113" s="237" t="str">
        <f t="shared" si="399"/>
        <v>Q2</v>
      </c>
      <c r="T113" s="237" t="str">
        <f t="shared" si="399"/>
        <v>Q3</v>
      </c>
      <c r="U113" s="237" t="str">
        <f t="shared" si="399"/>
        <v>Q4</v>
      </c>
      <c r="V113" s="237">
        <f t="shared" si="399"/>
        <v>2011</v>
      </c>
      <c r="W113" s="237" t="str">
        <f t="shared" si="399"/>
        <v>Q1</v>
      </c>
      <c r="X113" s="237" t="str">
        <f t="shared" si="399"/>
        <v>Q2</v>
      </c>
      <c r="Y113" s="237" t="str">
        <f t="shared" si="399"/>
        <v>Q3</v>
      </c>
      <c r="Z113" s="237" t="str">
        <f t="shared" si="399"/>
        <v>Q4</v>
      </c>
      <c r="AA113" s="237">
        <f t="shared" si="399"/>
        <v>2012</v>
      </c>
      <c r="AB113" s="237" t="str">
        <f t="shared" si="399"/>
        <v>Q1</v>
      </c>
      <c r="AC113" s="237" t="str">
        <f t="shared" si="399"/>
        <v>Q2</v>
      </c>
      <c r="AD113" s="237" t="str">
        <f t="shared" si="399"/>
        <v>Q3</v>
      </c>
      <c r="AE113" s="237" t="str">
        <f t="shared" si="399"/>
        <v>Q4</v>
      </c>
      <c r="AF113" s="237">
        <f t="shared" si="399"/>
        <v>2013</v>
      </c>
      <c r="AG113" s="237" t="str">
        <f t="shared" si="399"/>
        <v>Q1</v>
      </c>
      <c r="AH113" s="237" t="str">
        <f t="shared" ref="AH113:BM113" si="400">AH2</f>
        <v>Q2</v>
      </c>
      <c r="AI113" s="237" t="str">
        <f t="shared" si="400"/>
        <v>Q3</v>
      </c>
      <c r="AJ113" s="237" t="str">
        <f t="shared" si="400"/>
        <v>Q4</v>
      </c>
      <c r="AK113" s="237">
        <f t="shared" si="400"/>
        <v>2014</v>
      </c>
      <c r="AL113" s="237" t="str">
        <f t="shared" si="400"/>
        <v>Q1</v>
      </c>
      <c r="AM113" s="237" t="str">
        <f t="shared" si="400"/>
        <v>Q2</v>
      </c>
      <c r="AN113" s="237" t="str">
        <f t="shared" si="400"/>
        <v>Q3</v>
      </c>
      <c r="AO113" s="237" t="str">
        <f t="shared" si="400"/>
        <v>Q4</v>
      </c>
      <c r="AP113" s="237">
        <f t="shared" si="400"/>
        <v>2015</v>
      </c>
      <c r="AQ113" s="237" t="str">
        <f t="shared" si="400"/>
        <v>Q1</v>
      </c>
      <c r="AR113" s="237" t="str">
        <f t="shared" si="400"/>
        <v>Q2</v>
      </c>
      <c r="AS113" s="237" t="str">
        <f t="shared" si="400"/>
        <v>Q3</v>
      </c>
      <c r="AT113" s="237" t="str">
        <f t="shared" si="400"/>
        <v>Q4</v>
      </c>
      <c r="AU113" s="237">
        <f t="shared" si="400"/>
        <v>2016</v>
      </c>
      <c r="AV113" s="237" t="str">
        <f t="shared" si="400"/>
        <v>Q1</v>
      </c>
      <c r="AW113" s="237" t="str">
        <f t="shared" si="400"/>
        <v>Q2</v>
      </c>
      <c r="AX113" s="237" t="str">
        <f t="shared" si="400"/>
        <v>Q3</v>
      </c>
      <c r="AY113" s="237" t="str">
        <f t="shared" si="400"/>
        <v>Q4</v>
      </c>
      <c r="AZ113" s="237">
        <f t="shared" si="400"/>
        <v>2017</v>
      </c>
      <c r="BA113" s="237" t="str">
        <f t="shared" si="400"/>
        <v>Q1</v>
      </c>
      <c r="BB113" s="237" t="str">
        <f t="shared" si="400"/>
        <v>Q2</v>
      </c>
      <c r="BC113" s="237" t="str">
        <f t="shared" si="400"/>
        <v>Q3</v>
      </c>
      <c r="BD113" s="237" t="str">
        <f t="shared" si="400"/>
        <v>Q4</v>
      </c>
      <c r="BE113" s="237">
        <f t="shared" si="400"/>
        <v>2018</v>
      </c>
      <c r="BF113" s="237" t="str">
        <f t="shared" si="400"/>
        <v>Q1</v>
      </c>
      <c r="BG113" s="237" t="str">
        <f t="shared" si="400"/>
        <v>Q2</v>
      </c>
      <c r="BH113" s="237" t="str">
        <f t="shared" si="400"/>
        <v>Q3</v>
      </c>
      <c r="BI113" s="237" t="str">
        <f t="shared" si="400"/>
        <v>Q4</v>
      </c>
      <c r="BJ113" s="237">
        <f t="shared" si="400"/>
        <v>2019</v>
      </c>
      <c r="BK113" s="237" t="str">
        <f t="shared" si="400"/>
        <v>Q1</v>
      </c>
      <c r="BL113" s="237" t="str">
        <f t="shared" si="400"/>
        <v>Q2</v>
      </c>
      <c r="BM113" s="237" t="str">
        <f t="shared" si="400"/>
        <v>Q3</v>
      </c>
      <c r="BN113" s="237" t="str">
        <f t="shared" ref="BN113:CM113" si="401">BN2</f>
        <v>Q4</v>
      </c>
      <c r="BO113" s="237">
        <f t="shared" si="401"/>
        <v>2020</v>
      </c>
      <c r="BP113" s="237" t="str">
        <f t="shared" si="401"/>
        <v>Q1</v>
      </c>
      <c r="BQ113" s="237" t="str">
        <f t="shared" si="401"/>
        <v>Q2</v>
      </c>
      <c r="BR113" s="237" t="str">
        <f t="shared" si="401"/>
        <v>Q3</v>
      </c>
      <c r="BS113" s="237" t="str">
        <f t="shared" si="401"/>
        <v>Q4</v>
      </c>
      <c r="BT113" s="237">
        <f t="shared" si="401"/>
        <v>2021</v>
      </c>
      <c r="BU113" s="237" t="str">
        <f t="shared" si="401"/>
        <v>Q1</v>
      </c>
      <c r="BV113" s="237" t="str">
        <f t="shared" si="401"/>
        <v>Q2</v>
      </c>
      <c r="BW113" s="237" t="str">
        <f t="shared" si="401"/>
        <v>Q3</v>
      </c>
      <c r="BX113" s="237" t="str">
        <f t="shared" si="401"/>
        <v>Q4</v>
      </c>
      <c r="BY113" s="237">
        <f t="shared" si="401"/>
        <v>2022</v>
      </c>
      <c r="BZ113" s="237" t="str">
        <f t="shared" si="401"/>
        <v>Q1</v>
      </c>
      <c r="CA113" s="237" t="str">
        <f t="shared" si="401"/>
        <v>Q2</v>
      </c>
      <c r="CB113" s="237" t="str">
        <f t="shared" si="401"/>
        <v>Q3</v>
      </c>
      <c r="CC113" s="237" t="str">
        <f t="shared" si="401"/>
        <v>Q4</v>
      </c>
      <c r="CD113" s="237">
        <f t="shared" si="401"/>
        <v>2023</v>
      </c>
      <c r="CE113" s="237">
        <f t="shared" si="401"/>
        <v>2024</v>
      </c>
      <c r="CF113" s="237">
        <f t="shared" si="401"/>
        <v>2025</v>
      </c>
      <c r="CG113" s="237">
        <f t="shared" si="401"/>
        <v>2026</v>
      </c>
      <c r="CH113" s="237">
        <f t="shared" si="401"/>
        <v>2027</v>
      </c>
      <c r="CI113" s="237">
        <f t="shared" si="401"/>
        <v>2028</v>
      </c>
      <c r="CJ113" s="237">
        <f t="shared" si="401"/>
        <v>2029</v>
      </c>
      <c r="CK113" s="237">
        <f t="shared" si="401"/>
        <v>2030</v>
      </c>
      <c r="CL113" s="237">
        <f t="shared" si="401"/>
        <v>2031</v>
      </c>
      <c r="CM113" s="237">
        <f t="shared" si="401"/>
        <v>2032</v>
      </c>
      <c r="CN113" s="195"/>
      <c r="CO113" s="195"/>
      <c r="CP113" s="195"/>
      <c r="CQ113" s="195"/>
      <c r="CR113" s="195"/>
      <c r="CS113" s="195"/>
      <c r="CT113" s="195"/>
    </row>
    <row r="114" spans="1:100">
      <c r="A114" s="276" t="s">
        <v>18</v>
      </c>
      <c r="B114" s="203">
        <v>5312</v>
      </c>
      <c r="C114" s="203">
        <f>B116</f>
        <v>9765</v>
      </c>
      <c r="D114" s="203">
        <f>C116</f>
        <v>9921</v>
      </c>
      <c r="E114" s="203">
        <f>D116</f>
        <v>10250</v>
      </c>
      <c r="F114" s="203">
        <f>E116</f>
        <v>10750</v>
      </c>
      <c r="G114" s="203">
        <f>B116</f>
        <v>9765</v>
      </c>
      <c r="H114" s="203">
        <f>G116</f>
        <v>11234.1</v>
      </c>
      <c r="I114" s="203">
        <f>H116</f>
        <v>11266</v>
      </c>
      <c r="J114" s="203">
        <f>I116</f>
        <v>11422.8</v>
      </c>
      <c r="K114" s="203">
        <f>J116</f>
        <v>11735</v>
      </c>
      <c r="L114" s="203">
        <f>G116</f>
        <v>11234.1</v>
      </c>
      <c r="M114" s="203">
        <f>L116</f>
        <v>12291</v>
      </c>
      <c r="N114" s="203">
        <f>M116</f>
        <v>12691</v>
      </c>
      <c r="O114" s="203">
        <f>N116</f>
        <v>12971</v>
      </c>
      <c r="P114" s="203">
        <f>O116</f>
        <v>13525</v>
      </c>
      <c r="Q114" s="203">
        <f>L116</f>
        <v>12291</v>
      </c>
      <c r="R114" s="203">
        <f>Q116</f>
        <v>13954</v>
      </c>
      <c r="S114" s="203">
        <f>R116</f>
        <v>12743</v>
      </c>
      <c r="T114" s="203">
        <f>S116</f>
        <v>12756</v>
      </c>
      <c r="U114" s="203">
        <f>T116</f>
        <v>12692</v>
      </c>
      <c r="V114" s="203">
        <f>Q116</f>
        <v>13954</v>
      </c>
      <c r="W114" s="203">
        <f>V116</f>
        <v>12735</v>
      </c>
      <c r="X114" s="203">
        <f>W116</f>
        <v>13265</v>
      </c>
      <c r="Y114" s="203">
        <f>X116</f>
        <v>13610</v>
      </c>
      <c r="Z114" s="203">
        <f>Y116</f>
        <v>13930</v>
      </c>
      <c r="AA114" s="203">
        <f>V116</f>
        <v>12735</v>
      </c>
      <c r="AB114" s="203">
        <f>AA116</f>
        <v>14091</v>
      </c>
      <c r="AC114" s="203">
        <f>AB116</f>
        <v>14136</v>
      </c>
      <c r="AD114" s="203">
        <f>AC116</f>
        <v>13873</v>
      </c>
      <c r="AE114" s="203">
        <f>AD116</f>
        <v>13213</v>
      </c>
      <c r="AF114" s="203">
        <f>AA116</f>
        <v>14091</v>
      </c>
      <c r="AG114" s="203">
        <f>AF116</f>
        <v>12893</v>
      </c>
      <c r="AH114" s="203">
        <f>AG116</f>
        <v>12602</v>
      </c>
      <c r="AI114" s="203">
        <f>AH116</f>
        <v>12401</v>
      </c>
      <c r="AJ114" s="203">
        <f>AI116</f>
        <v>12415</v>
      </c>
      <c r="AK114" s="203">
        <f>AF116</f>
        <v>12893</v>
      </c>
      <c r="AL114" s="203">
        <f>AK116</f>
        <v>12913</v>
      </c>
      <c r="AM114" s="203">
        <f>AL116</f>
        <v>13260</v>
      </c>
      <c r="AN114" s="203">
        <f>AM116</f>
        <v>13269</v>
      </c>
      <c r="AO114" s="203">
        <f>AN116</f>
        <v>13110</v>
      </c>
      <c r="AP114" s="203">
        <f>AK116</f>
        <v>12913</v>
      </c>
      <c r="AQ114" s="203">
        <f>AP116</f>
        <v>12694</v>
      </c>
      <c r="AR114" s="203">
        <f>AQ116</f>
        <v>12310</v>
      </c>
      <c r="AS114" s="203">
        <f>AR116</f>
        <v>12249</v>
      </c>
      <c r="AT114" s="204">
        <f>AO116</f>
        <v>12694</v>
      </c>
      <c r="AU114" s="203">
        <f>AP116</f>
        <v>12694</v>
      </c>
      <c r="AV114" s="203">
        <f>AU116</f>
        <v>11926</v>
      </c>
      <c r="AW114" s="203">
        <f>AV116</f>
        <v>11620</v>
      </c>
      <c r="AX114" s="204">
        <f>AW116</f>
        <v>11495</v>
      </c>
      <c r="AY114" s="204">
        <f>AX116</f>
        <v>11104</v>
      </c>
      <c r="AZ114" s="203">
        <f>AU116</f>
        <v>11926</v>
      </c>
      <c r="BA114" s="203">
        <f>AZ116</f>
        <v>10928</v>
      </c>
      <c r="BB114" s="203">
        <f>BA116</f>
        <v>10714</v>
      </c>
      <c r="BC114" s="203">
        <f>BB116</f>
        <v>10735</v>
      </c>
      <c r="BD114" s="203">
        <f>BC116</f>
        <v>10808</v>
      </c>
      <c r="BE114" s="203">
        <f>AZ116</f>
        <v>10928</v>
      </c>
      <c r="BF114" s="203">
        <f>BE116</f>
        <v>10761</v>
      </c>
      <c r="BG114" s="203">
        <f>BF116</f>
        <v>10765</v>
      </c>
      <c r="BH114" s="203">
        <f>BG116</f>
        <v>10901</v>
      </c>
      <c r="BI114" s="203">
        <f>BH116</f>
        <v>11042</v>
      </c>
      <c r="BJ114" s="203">
        <f>BE116</f>
        <v>10761</v>
      </c>
      <c r="BK114" s="203">
        <f>BJ116</f>
        <v>11130</v>
      </c>
      <c r="BL114" s="203">
        <f>BK116</f>
        <v>11221</v>
      </c>
      <c r="BM114" s="203">
        <f>BL116</f>
        <v>11631</v>
      </c>
      <c r="BN114" s="203">
        <f>BM116</f>
        <v>11002</v>
      </c>
      <c r="BO114" s="203">
        <f>BJ116</f>
        <v>11130</v>
      </c>
      <c r="BP114" s="203">
        <f>BO116</f>
        <v>11132</v>
      </c>
      <c r="BQ114" s="203">
        <f>BP116</f>
        <v>11371</v>
      </c>
      <c r="BR114" s="203">
        <f>BQ116</f>
        <v>11493</v>
      </c>
      <c r="BS114" s="203">
        <f>BR116</f>
        <v>11441</v>
      </c>
      <c r="BT114" s="203">
        <f>BO116</f>
        <v>11132</v>
      </c>
      <c r="BU114" s="205">
        <f>BT116</f>
        <v>11618</v>
      </c>
      <c r="BV114" s="205">
        <f>BU116</f>
        <v>11416</v>
      </c>
      <c r="BW114" s="205">
        <f>BV116</f>
        <v>11547</v>
      </c>
      <c r="BX114" s="205">
        <f>BW116</f>
        <v>11666</v>
      </c>
      <c r="BY114" s="203">
        <f>BT116</f>
        <v>11618</v>
      </c>
      <c r="BZ114" s="205">
        <f>BY116</f>
        <v>11738</v>
      </c>
      <c r="CA114" s="205">
        <f>BZ116</f>
        <v>11789</v>
      </c>
      <c r="CB114" s="205">
        <f>CA116</f>
        <v>11753</v>
      </c>
      <c r="CC114" s="205">
        <f>CB116</f>
        <v>12010</v>
      </c>
      <c r="CD114" s="203">
        <f>BY116</f>
        <v>11738</v>
      </c>
      <c r="CE114" s="203">
        <f t="shared" ref="CE114:CI114" si="402">CD116</f>
        <v>12511</v>
      </c>
      <c r="CF114" s="203">
        <f t="shared" si="402"/>
        <v>12812.301213576728</v>
      </c>
      <c r="CG114" s="203">
        <f t="shared" si="402"/>
        <v>13037.520082713105</v>
      </c>
      <c r="CH114" s="203">
        <f t="shared" si="402"/>
        <v>13248.474518022122</v>
      </c>
      <c r="CI114" s="203">
        <f t="shared" si="402"/>
        <v>13446.562992775167</v>
      </c>
      <c r="CJ114" s="203">
        <f t="shared" ref="CJ114" si="403">CI116</f>
        <v>13633.05060714542</v>
      </c>
      <c r="CK114" s="203">
        <f t="shared" ref="CK114" si="404">CJ116</f>
        <v>13809.081826244215</v>
      </c>
      <c r="CL114" s="203">
        <f t="shared" ref="CL114:CM114" si="405">CK116</f>
        <v>13975.692001679479</v>
      </c>
      <c r="CM114" s="203">
        <f t="shared" si="405"/>
        <v>14133.817792809883</v>
      </c>
      <c r="CN114" s="195"/>
      <c r="CO114" s="195"/>
      <c r="CP114" s="195"/>
      <c r="CQ114" s="195"/>
      <c r="CR114" s="195"/>
      <c r="CS114" s="198"/>
      <c r="CT114" s="198"/>
    </row>
    <row r="115" spans="1:100">
      <c r="A115" s="276" t="s">
        <v>19</v>
      </c>
      <c r="B115" s="203">
        <f t="shared" ref="B115:AG115" si="406">B116-B114</f>
        <v>4453</v>
      </c>
      <c r="C115" s="203">
        <f t="shared" si="406"/>
        <v>156</v>
      </c>
      <c r="D115" s="203">
        <f t="shared" si="406"/>
        <v>329</v>
      </c>
      <c r="E115" s="203">
        <f t="shared" si="406"/>
        <v>500</v>
      </c>
      <c r="F115" s="203">
        <f t="shared" si="406"/>
        <v>484.10000000000036</v>
      </c>
      <c r="G115" s="203">
        <f t="shared" si="406"/>
        <v>1469.1000000000004</v>
      </c>
      <c r="H115" s="203">
        <f t="shared" si="406"/>
        <v>31.899999999999636</v>
      </c>
      <c r="I115" s="203">
        <f t="shared" si="406"/>
        <v>156.79999999999927</v>
      </c>
      <c r="J115" s="203">
        <f t="shared" si="406"/>
        <v>312.20000000000073</v>
      </c>
      <c r="K115" s="203">
        <f t="shared" si="406"/>
        <v>556</v>
      </c>
      <c r="L115" s="203">
        <f t="shared" si="406"/>
        <v>1056.8999999999996</v>
      </c>
      <c r="M115" s="203">
        <f t="shared" si="406"/>
        <v>400</v>
      </c>
      <c r="N115" s="203">
        <f t="shared" si="406"/>
        <v>280</v>
      </c>
      <c r="O115" s="203">
        <f t="shared" si="406"/>
        <v>554</v>
      </c>
      <c r="P115" s="203">
        <f t="shared" si="406"/>
        <v>429</v>
      </c>
      <c r="Q115" s="203">
        <f t="shared" si="406"/>
        <v>1663</v>
      </c>
      <c r="R115" s="203">
        <f t="shared" si="406"/>
        <v>-1211</v>
      </c>
      <c r="S115" s="203">
        <f t="shared" si="406"/>
        <v>13</v>
      </c>
      <c r="T115" s="203">
        <f t="shared" si="406"/>
        <v>-64</v>
      </c>
      <c r="U115" s="203">
        <f t="shared" si="406"/>
        <v>43</v>
      </c>
      <c r="V115" s="203">
        <f t="shared" si="406"/>
        <v>-1219</v>
      </c>
      <c r="W115" s="203">
        <f t="shared" si="406"/>
        <v>530</v>
      </c>
      <c r="X115" s="203">
        <f t="shared" si="406"/>
        <v>345</v>
      </c>
      <c r="Y115" s="203">
        <f t="shared" si="406"/>
        <v>320</v>
      </c>
      <c r="Z115" s="203">
        <f t="shared" si="406"/>
        <v>161</v>
      </c>
      <c r="AA115" s="203">
        <f t="shared" si="406"/>
        <v>1356</v>
      </c>
      <c r="AB115" s="203">
        <f t="shared" si="406"/>
        <v>45</v>
      </c>
      <c r="AC115" s="203">
        <f t="shared" si="406"/>
        <v>-263</v>
      </c>
      <c r="AD115" s="203">
        <f t="shared" si="406"/>
        <v>-660</v>
      </c>
      <c r="AE115" s="203">
        <f t="shared" si="406"/>
        <v>-320</v>
      </c>
      <c r="AF115" s="203">
        <f t="shared" si="406"/>
        <v>-1198</v>
      </c>
      <c r="AG115" s="203">
        <f t="shared" si="406"/>
        <v>-291</v>
      </c>
      <c r="AH115" s="203">
        <f t="shared" ref="AH115:BF115" si="407">AH116-AH114</f>
        <v>-201</v>
      </c>
      <c r="AI115" s="203">
        <f t="shared" si="407"/>
        <v>14</v>
      </c>
      <c r="AJ115" s="203">
        <f t="shared" si="407"/>
        <v>498</v>
      </c>
      <c r="AK115" s="203">
        <f t="shared" si="407"/>
        <v>20</v>
      </c>
      <c r="AL115" s="203">
        <f t="shared" si="407"/>
        <v>347</v>
      </c>
      <c r="AM115" s="203">
        <f t="shared" si="407"/>
        <v>9</v>
      </c>
      <c r="AN115" s="203">
        <f t="shared" si="407"/>
        <v>-159</v>
      </c>
      <c r="AO115" s="203">
        <f t="shared" si="407"/>
        <v>-416</v>
      </c>
      <c r="AP115" s="203">
        <f t="shared" si="407"/>
        <v>-219</v>
      </c>
      <c r="AQ115" s="203">
        <f t="shared" si="407"/>
        <v>-384</v>
      </c>
      <c r="AR115" s="203">
        <f t="shared" si="407"/>
        <v>-61</v>
      </c>
      <c r="AS115" s="203">
        <f t="shared" si="407"/>
        <v>-203</v>
      </c>
      <c r="AT115" s="203">
        <f t="shared" si="407"/>
        <v>-768</v>
      </c>
      <c r="AU115" s="203">
        <f t="shared" si="407"/>
        <v>-768</v>
      </c>
      <c r="AV115" s="203">
        <f t="shared" si="407"/>
        <v>-306</v>
      </c>
      <c r="AW115" s="203">
        <f t="shared" si="407"/>
        <v>-125</v>
      </c>
      <c r="AX115" s="204">
        <f t="shared" si="407"/>
        <v>-391</v>
      </c>
      <c r="AY115" s="204">
        <f t="shared" si="407"/>
        <v>-176</v>
      </c>
      <c r="AZ115" s="203">
        <f t="shared" si="407"/>
        <v>-998</v>
      </c>
      <c r="BA115" s="203">
        <f t="shared" si="407"/>
        <v>-214</v>
      </c>
      <c r="BB115" s="203">
        <f t="shared" si="407"/>
        <v>21</v>
      </c>
      <c r="BC115" s="203">
        <f t="shared" si="407"/>
        <v>73</v>
      </c>
      <c r="BD115" s="203">
        <f t="shared" si="407"/>
        <v>-47</v>
      </c>
      <c r="BE115" s="203">
        <f t="shared" ref="BE115" si="408">BE116-BE114</f>
        <v>-167</v>
      </c>
      <c r="BF115" s="203">
        <f t="shared" si="407"/>
        <v>4</v>
      </c>
      <c r="BG115" s="203">
        <f t="shared" ref="BG115:CI115" si="409">BG116-BG114</f>
        <v>136</v>
      </c>
      <c r="BH115" s="203">
        <f t="shared" si="409"/>
        <v>141</v>
      </c>
      <c r="BI115" s="203">
        <f t="shared" si="409"/>
        <v>88</v>
      </c>
      <c r="BJ115" s="203">
        <f t="shared" si="409"/>
        <v>369</v>
      </c>
      <c r="BK115" s="203">
        <f t="shared" si="409"/>
        <v>91</v>
      </c>
      <c r="BL115" s="203">
        <f t="shared" si="409"/>
        <v>410</v>
      </c>
      <c r="BM115" s="203">
        <f t="shared" si="409"/>
        <v>-629</v>
      </c>
      <c r="BN115" s="203">
        <f t="shared" si="409"/>
        <v>130</v>
      </c>
      <c r="BO115" s="203">
        <f t="shared" si="409"/>
        <v>2</v>
      </c>
      <c r="BP115" s="203">
        <f t="shared" si="409"/>
        <v>239</v>
      </c>
      <c r="BQ115" s="203">
        <f t="shared" si="409"/>
        <v>122</v>
      </c>
      <c r="BR115" s="203">
        <f t="shared" si="409"/>
        <v>-52</v>
      </c>
      <c r="BS115" s="203">
        <f t="shared" si="409"/>
        <v>177</v>
      </c>
      <c r="BT115" s="203">
        <f t="shared" si="409"/>
        <v>486</v>
      </c>
      <c r="BU115" s="205">
        <f t="shared" si="409"/>
        <v>-202</v>
      </c>
      <c r="BV115" s="205">
        <f t="shared" si="409"/>
        <v>131</v>
      </c>
      <c r="BW115" s="205">
        <f t="shared" ref="BW115:BZ115" si="410">BW116-BW114</f>
        <v>119</v>
      </c>
      <c r="BX115" s="205">
        <f t="shared" si="410"/>
        <v>72</v>
      </c>
      <c r="BY115" s="203">
        <f t="shared" si="410"/>
        <v>120</v>
      </c>
      <c r="BZ115" s="205">
        <f t="shared" si="410"/>
        <v>51</v>
      </c>
      <c r="CA115" s="205">
        <f t="shared" ref="CA115:CB115" si="411">CA116-CA114</f>
        <v>-36</v>
      </c>
      <c r="CB115" s="205">
        <f t="shared" si="411"/>
        <v>257</v>
      </c>
      <c r="CC115" s="205">
        <f t="shared" ref="CC115:CD115" si="412">CC116-CC114</f>
        <v>501</v>
      </c>
      <c r="CD115" s="203">
        <f t="shared" si="412"/>
        <v>773</v>
      </c>
      <c r="CE115" s="203">
        <f t="shared" si="409"/>
        <v>301.3012135767276</v>
      </c>
      <c r="CF115" s="203">
        <f t="shared" si="409"/>
        <v>225.21886913637718</v>
      </c>
      <c r="CG115" s="203">
        <f t="shared" si="409"/>
        <v>210.95443530901684</v>
      </c>
      <c r="CH115" s="203">
        <f t="shared" si="409"/>
        <v>198.08847475304538</v>
      </c>
      <c r="CI115" s="203">
        <f t="shared" si="409"/>
        <v>186.48761437025314</v>
      </c>
      <c r="CJ115" s="203">
        <f t="shared" ref="CJ115:CL115" si="413">CJ116-CJ114</f>
        <v>176.03121909879519</v>
      </c>
      <c r="CK115" s="203">
        <f t="shared" si="413"/>
        <v>166.61017543526395</v>
      </c>
      <c r="CL115" s="203">
        <f t="shared" si="413"/>
        <v>158.12579113040374</v>
      </c>
      <c r="CM115" s="203">
        <f t="shared" ref="CM115" si="414">CM116-CM114</f>
        <v>150.48879996390497</v>
      </c>
      <c r="CN115" s="195"/>
      <c r="CO115" s="195"/>
      <c r="CP115" s="195"/>
      <c r="CQ115" s="195"/>
      <c r="CR115" s="195"/>
      <c r="CS115" s="207"/>
      <c r="CT115" s="207"/>
      <c r="CU115" s="207"/>
      <c r="CV115" s="207"/>
    </row>
    <row r="116" spans="1:100">
      <c r="A116" s="286" t="s">
        <v>20</v>
      </c>
      <c r="B116" s="280">
        <v>9765</v>
      </c>
      <c r="C116" s="280">
        <v>9921</v>
      </c>
      <c r="D116" s="280">
        <v>10250</v>
      </c>
      <c r="E116" s="280">
        <v>10750</v>
      </c>
      <c r="F116" s="280">
        <f>G116</f>
        <v>11234.1</v>
      </c>
      <c r="G116" s="280">
        <v>11234.1</v>
      </c>
      <c r="H116" s="280">
        <v>11266</v>
      </c>
      <c r="I116" s="280">
        <v>11422.8</v>
      </c>
      <c r="J116" s="280">
        <v>11735</v>
      </c>
      <c r="K116" s="280">
        <v>12291</v>
      </c>
      <c r="L116" s="280">
        <v>12291</v>
      </c>
      <c r="M116" s="280">
        <v>12691</v>
      </c>
      <c r="N116" s="280">
        <v>12971</v>
      </c>
      <c r="O116" s="280">
        <v>13525</v>
      </c>
      <c r="P116" s="280">
        <v>13954</v>
      </c>
      <c r="Q116" s="280">
        <v>13954</v>
      </c>
      <c r="R116" s="280">
        <v>12743</v>
      </c>
      <c r="S116" s="280">
        <v>12756</v>
      </c>
      <c r="T116" s="280">
        <v>12692</v>
      </c>
      <c r="U116" s="280">
        <v>12735</v>
      </c>
      <c r="V116" s="280">
        <v>12735</v>
      </c>
      <c r="W116" s="280">
        <v>13265</v>
      </c>
      <c r="X116" s="280">
        <v>13610</v>
      </c>
      <c r="Y116" s="280">
        <v>13930</v>
      </c>
      <c r="Z116" s="280">
        <v>14091</v>
      </c>
      <c r="AA116" s="280">
        <v>14091</v>
      </c>
      <c r="AB116" s="280">
        <v>14136</v>
      </c>
      <c r="AC116" s="280">
        <v>13873</v>
      </c>
      <c r="AD116" s="280">
        <v>13213</v>
      </c>
      <c r="AE116" s="280">
        <v>12893</v>
      </c>
      <c r="AF116" s="280">
        <v>12893</v>
      </c>
      <c r="AG116" s="280">
        <v>12602</v>
      </c>
      <c r="AH116" s="280">
        <v>12401</v>
      </c>
      <c r="AI116" s="280">
        <v>12415</v>
      </c>
      <c r="AJ116" s="280">
        <v>12913</v>
      </c>
      <c r="AK116" s="280">
        <v>12913</v>
      </c>
      <c r="AL116" s="280">
        <v>13260</v>
      </c>
      <c r="AM116" s="280">
        <v>13269</v>
      </c>
      <c r="AN116" s="280">
        <v>13110</v>
      </c>
      <c r="AO116" s="280">
        <v>12694</v>
      </c>
      <c r="AP116" s="280">
        <v>12694</v>
      </c>
      <c r="AQ116" s="280">
        <v>12310</v>
      </c>
      <c r="AR116" s="280">
        <v>12249</v>
      </c>
      <c r="AS116" s="280">
        <v>12046</v>
      </c>
      <c r="AT116" s="280">
        <v>11926</v>
      </c>
      <c r="AU116" s="280">
        <f>AT116</f>
        <v>11926</v>
      </c>
      <c r="AV116" s="282">
        <f>AV103+AV109</f>
        <v>11620</v>
      </c>
      <c r="AW116" s="282">
        <f>AW103+AW109</f>
        <v>11495</v>
      </c>
      <c r="AX116" s="282">
        <f>AX103+AX109</f>
        <v>11104</v>
      </c>
      <c r="AY116" s="282">
        <f>AY103+AY109</f>
        <v>10928</v>
      </c>
      <c r="AZ116" s="280">
        <f>AY116</f>
        <v>10928</v>
      </c>
      <c r="BA116" s="282">
        <f>BA103+BA109</f>
        <v>10714</v>
      </c>
      <c r="BB116" s="282">
        <f>BB103+BB109</f>
        <v>10735</v>
      </c>
      <c r="BC116" s="282">
        <f>BC103+BC109</f>
        <v>10808</v>
      </c>
      <c r="BD116" s="282">
        <f>BD103+BD109</f>
        <v>10761</v>
      </c>
      <c r="BE116" s="284">
        <f>BD116</f>
        <v>10761</v>
      </c>
      <c r="BF116" s="282">
        <f>BF103+BF109</f>
        <v>10765</v>
      </c>
      <c r="BG116" s="282">
        <f>BG103+BG109</f>
        <v>10901</v>
      </c>
      <c r="BH116" s="282">
        <f>BH103+BH109</f>
        <v>11042</v>
      </c>
      <c r="BI116" s="282">
        <f>BI103+BI109</f>
        <v>11130</v>
      </c>
      <c r="BJ116" s="284">
        <f>BI116</f>
        <v>11130</v>
      </c>
      <c r="BK116" s="282">
        <f>BK103+BK109</f>
        <v>11221</v>
      </c>
      <c r="BL116" s="282">
        <f>BL103+BL109</f>
        <v>11631</v>
      </c>
      <c r="BM116" s="282">
        <f>BM103+BM109</f>
        <v>11002</v>
      </c>
      <c r="BN116" s="282">
        <f>BN103+BN109</f>
        <v>11132</v>
      </c>
      <c r="BO116" s="284">
        <f>BN116</f>
        <v>11132</v>
      </c>
      <c r="BP116" s="282">
        <f>BP103+BP109</f>
        <v>11371</v>
      </c>
      <c r="BQ116" s="282">
        <f>BQ103+BQ109</f>
        <v>11493</v>
      </c>
      <c r="BR116" s="282">
        <f>BR103+BR109</f>
        <v>11441</v>
      </c>
      <c r="BS116" s="282">
        <f>BS103+BS109</f>
        <v>11618</v>
      </c>
      <c r="BT116" s="284">
        <f>BS116</f>
        <v>11618</v>
      </c>
      <c r="BU116" s="282">
        <f>BU103+BU109</f>
        <v>11416</v>
      </c>
      <c r="BV116" s="282">
        <f>BV103+BV109</f>
        <v>11547</v>
      </c>
      <c r="BW116" s="282">
        <f>BW103+BW109</f>
        <v>11666</v>
      </c>
      <c r="BX116" s="282">
        <f>BX103+BX109</f>
        <v>11738</v>
      </c>
      <c r="BY116" s="284">
        <f>BX116</f>
        <v>11738</v>
      </c>
      <c r="BZ116" s="282">
        <f>BZ103+BZ109</f>
        <v>11789</v>
      </c>
      <c r="CA116" s="282">
        <f>CA103+CA109</f>
        <v>11753</v>
      </c>
      <c r="CB116" s="282">
        <f>CB103+CB109</f>
        <v>12010</v>
      </c>
      <c r="CC116" s="282">
        <f>CC103+CC109</f>
        <v>12511</v>
      </c>
      <c r="CD116" s="284">
        <f>CC116</f>
        <v>12511</v>
      </c>
      <c r="CE116" s="284">
        <f t="shared" ref="CE116:CI116" si="415">CE72</f>
        <v>12812.301213576728</v>
      </c>
      <c r="CF116" s="284">
        <f t="shared" si="415"/>
        <v>13037.520082713105</v>
      </c>
      <c r="CG116" s="284">
        <f t="shared" si="415"/>
        <v>13248.474518022122</v>
      </c>
      <c r="CH116" s="284">
        <f t="shared" si="415"/>
        <v>13446.562992775167</v>
      </c>
      <c r="CI116" s="284">
        <f t="shared" si="415"/>
        <v>13633.05060714542</v>
      </c>
      <c r="CJ116" s="284">
        <f t="shared" ref="CJ116:CL116" si="416">CJ72</f>
        <v>13809.081826244215</v>
      </c>
      <c r="CK116" s="284">
        <f t="shared" si="416"/>
        <v>13975.692001679479</v>
      </c>
      <c r="CL116" s="284">
        <f t="shared" si="416"/>
        <v>14133.817792809883</v>
      </c>
      <c r="CM116" s="284">
        <f t="shared" ref="CM116" si="417">CM72</f>
        <v>14284.306592773788</v>
      </c>
      <c r="CN116" s="195"/>
      <c r="CO116" s="195" t="s">
        <v>687</v>
      </c>
      <c r="CP116" s="195"/>
      <c r="CQ116" s="195"/>
      <c r="CR116" s="195"/>
      <c r="CS116" s="207"/>
      <c r="CT116" s="207"/>
      <c r="CU116" s="207"/>
      <c r="CV116" s="207"/>
    </row>
    <row r="117" spans="1:100">
      <c r="A117" s="276" t="s">
        <v>21</v>
      </c>
      <c r="B117" s="203">
        <f t="shared" ref="B117:AT117" si="418">(B114+B116)/2</f>
        <v>7538.5</v>
      </c>
      <c r="C117" s="203">
        <f t="shared" si="418"/>
        <v>9843</v>
      </c>
      <c r="D117" s="203">
        <f t="shared" si="418"/>
        <v>10085.5</v>
      </c>
      <c r="E117" s="203">
        <f t="shared" si="418"/>
        <v>10500</v>
      </c>
      <c r="F117" s="203">
        <f t="shared" si="418"/>
        <v>10992.05</v>
      </c>
      <c r="G117" s="203">
        <f t="shared" si="418"/>
        <v>10499.55</v>
      </c>
      <c r="H117" s="203">
        <f t="shared" si="418"/>
        <v>11250.05</v>
      </c>
      <c r="I117" s="203">
        <f t="shared" si="418"/>
        <v>11344.4</v>
      </c>
      <c r="J117" s="203">
        <f t="shared" si="418"/>
        <v>11578.9</v>
      </c>
      <c r="K117" s="203">
        <f t="shared" si="418"/>
        <v>12013</v>
      </c>
      <c r="L117" s="203">
        <f t="shared" si="418"/>
        <v>11762.55</v>
      </c>
      <c r="M117" s="203">
        <f t="shared" si="418"/>
        <v>12491</v>
      </c>
      <c r="N117" s="203">
        <f t="shared" si="418"/>
        <v>12831</v>
      </c>
      <c r="O117" s="203">
        <f t="shared" si="418"/>
        <v>13248</v>
      </c>
      <c r="P117" s="203">
        <f t="shared" si="418"/>
        <v>13739.5</v>
      </c>
      <c r="Q117" s="203">
        <f t="shared" si="418"/>
        <v>13122.5</v>
      </c>
      <c r="R117" s="203">
        <f t="shared" si="418"/>
        <v>13348.5</v>
      </c>
      <c r="S117" s="203">
        <f t="shared" si="418"/>
        <v>12749.5</v>
      </c>
      <c r="T117" s="203">
        <f t="shared" si="418"/>
        <v>12724</v>
      </c>
      <c r="U117" s="203">
        <f t="shared" si="418"/>
        <v>12713.5</v>
      </c>
      <c r="V117" s="203">
        <f t="shared" si="418"/>
        <v>13344.5</v>
      </c>
      <c r="W117" s="203">
        <f t="shared" si="418"/>
        <v>13000</v>
      </c>
      <c r="X117" s="203">
        <f t="shared" si="418"/>
        <v>13437.5</v>
      </c>
      <c r="Y117" s="203">
        <f t="shared" si="418"/>
        <v>13770</v>
      </c>
      <c r="Z117" s="203">
        <f t="shared" si="418"/>
        <v>14010.5</v>
      </c>
      <c r="AA117" s="203">
        <f t="shared" si="418"/>
        <v>13413</v>
      </c>
      <c r="AB117" s="203">
        <f t="shared" si="418"/>
        <v>14113.5</v>
      </c>
      <c r="AC117" s="203">
        <f t="shared" si="418"/>
        <v>14004.5</v>
      </c>
      <c r="AD117" s="203">
        <f t="shared" si="418"/>
        <v>13543</v>
      </c>
      <c r="AE117" s="203">
        <f t="shared" si="418"/>
        <v>13053</v>
      </c>
      <c r="AF117" s="203">
        <f t="shared" si="418"/>
        <v>13492</v>
      </c>
      <c r="AG117" s="203">
        <f t="shared" si="418"/>
        <v>12747.5</v>
      </c>
      <c r="AH117" s="203">
        <f t="shared" si="418"/>
        <v>12501.5</v>
      </c>
      <c r="AI117" s="203">
        <f t="shared" si="418"/>
        <v>12408</v>
      </c>
      <c r="AJ117" s="203">
        <f t="shared" si="418"/>
        <v>12664</v>
      </c>
      <c r="AK117" s="203">
        <f t="shared" si="418"/>
        <v>12903</v>
      </c>
      <c r="AL117" s="203">
        <f t="shared" si="418"/>
        <v>13086.5</v>
      </c>
      <c r="AM117" s="203">
        <f t="shared" si="418"/>
        <v>13264.5</v>
      </c>
      <c r="AN117" s="203">
        <f t="shared" si="418"/>
        <v>13189.5</v>
      </c>
      <c r="AO117" s="203">
        <f t="shared" si="418"/>
        <v>12902</v>
      </c>
      <c r="AP117" s="203">
        <f t="shared" si="418"/>
        <v>12803.5</v>
      </c>
      <c r="AQ117" s="203">
        <f t="shared" si="418"/>
        <v>12502</v>
      </c>
      <c r="AR117" s="203">
        <f t="shared" si="418"/>
        <v>12279.5</v>
      </c>
      <c r="AS117" s="203">
        <f t="shared" si="418"/>
        <v>12147.5</v>
      </c>
      <c r="AT117" s="203">
        <f t="shared" si="418"/>
        <v>12310</v>
      </c>
      <c r="AU117" s="203">
        <f>(AP116+AU116)/2</f>
        <v>12310</v>
      </c>
      <c r="AV117" s="203">
        <f>(AV114+AV116)/2</f>
        <v>11773</v>
      </c>
      <c r="AW117" s="203">
        <f>(AW114+AW116)/2</f>
        <v>11557.5</v>
      </c>
      <c r="AX117" s="204">
        <f>(AX114+AX116)/2</f>
        <v>11299.5</v>
      </c>
      <c r="AY117" s="204">
        <f>(AY114+AY116)/2</f>
        <v>11016</v>
      </c>
      <c r="AZ117" s="203">
        <f>(AU116+AZ116)/2</f>
        <v>11427</v>
      </c>
      <c r="BA117" s="203">
        <f>(BA114+BA116)/2</f>
        <v>10821</v>
      </c>
      <c r="BB117" s="203">
        <f>(BB114+BB116)/2</f>
        <v>10724.5</v>
      </c>
      <c r="BC117" s="203">
        <f>(BC114+BC116)/2</f>
        <v>10771.5</v>
      </c>
      <c r="BD117" s="203">
        <f>(BD114+BD116)/2</f>
        <v>10784.5</v>
      </c>
      <c r="BE117" s="203">
        <f>(AZ116+BE116)/2</f>
        <v>10844.5</v>
      </c>
      <c r="BF117" s="203">
        <f>(BF114+BF116)/2</f>
        <v>10763</v>
      </c>
      <c r="BG117" s="203">
        <f>(BG114+BG116)/2</f>
        <v>10833</v>
      </c>
      <c r="BH117" s="203">
        <f>(BH114+BH116)/2</f>
        <v>10971.5</v>
      </c>
      <c r="BI117" s="203">
        <f>(BI114+BI116)/2</f>
        <v>11086</v>
      </c>
      <c r="BJ117" s="203">
        <f>(BE116+BJ116)/2</f>
        <v>10945.5</v>
      </c>
      <c r="BK117" s="203">
        <f>(BK114+BK116)/2</f>
        <v>11175.5</v>
      </c>
      <c r="BL117" s="203">
        <f>(BL114+BL116)/2</f>
        <v>11426</v>
      </c>
      <c r="BM117" s="203">
        <f>(BM114+BM116)/2</f>
        <v>11316.5</v>
      </c>
      <c r="BN117" s="203">
        <f>(BN114+BN116)/2</f>
        <v>11067</v>
      </c>
      <c r="BO117" s="203">
        <f>(BJ116+BO116)/2</f>
        <v>11131</v>
      </c>
      <c r="BP117" s="203">
        <f>(BP114+BP116)/2</f>
        <v>11251.5</v>
      </c>
      <c r="BQ117" s="203">
        <f>(BQ114+BQ116)/2</f>
        <v>11432</v>
      </c>
      <c r="BR117" s="203">
        <f>(BR114+BR116)/2</f>
        <v>11467</v>
      </c>
      <c r="BS117" s="203">
        <f>(BS114+BS116)/2</f>
        <v>11529.5</v>
      </c>
      <c r="BT117" s="203">
        <f>(BO116+BT116)/2</f>
        <v>11375</v>
      </c>
      <c r="BU117" s="205">
        <f>(BU114+BU116)/2</f>
        <v>11517</v>
      </c>
      <c r="BV117" s="205">
        <f>(BV114+BV116)/2</f>
        <v>11481.5</v>
      </c>
      <c r="BW117" s="205">
        <f>(BW114+BW116)/2</f>
        <v>11606.5</v>
      </c>
      <c r="BX117" s="205">
        <f>(BX114+BX116)/2</f>
        <v>11702</v>
      </c>
      <c r="BY117" s="203">
        <f>(BT116+BY116)/2</f>
        <v>11678</v>
      </c>
      <c r="BZ117" s="205">
        <f>(BZ114+BZ116)/2</f>
        <v>11763.5</v>
      </c>
      <c r="CA117" s="205">
        <f>(CA114+CA116)/2</f>
        <v>11771</v>
      </c>
      <c r="CB117" s="205">
        <f>(CB114+CB116)/2</f>
        <v>11881.5</v>
      </c>
      <c r="CC117" s="205">
        <f>(CC114+CC116)/2</f>
        <v>12260.5</v>
      </c>
      <c r="CD117" s="203">
        <f>(BY116+CD116)/2</f>
        <v>12124.5</v>
      </c>
      <c r="CE117" s="203">
        <f t="shared" ref="CE117:CI117" si="419">(CD116+CE116)/2</f>
        <v>12661.650606788364</v>
      </c>
      <c r="CF117" s="203">
        <f t="shared" si="419"/>
        <v>12924.910648144916</v>
      </c>
      <c r="CG117" s="203">
        <f t="shared" si="419"/>
        <v>13142.997300367613</v>
      </c>
      <c r="CH117" s="203">
        <f t="shared" si="419"/>
        <v>13347.518755398643</v>
      </c>
      <c r="CI117" s="203">
        <f t="shared" si="419"/>
        <v>13539.806799960294</v>
      </c>
      <c r="CJ117" s="203">
        <f t="shared" ref="CJ117" si="420">(CI116+CJ116)/2</f>
        <v>13721.066216694817</v>
      </c>
      <c r="CK117" s="203">
        <f t="shared" ref="CK117" si="421">(CJ116+CK116)/2</f>
        <v>13892.386913961847</v>
      </c>
      <c r="CL117" s="203">
        <f t="shared" ref="CL117:CM117" si="422">(CK116+CL116)/2</f>
        <v>14054.754897244682</v>
      </c>
      <c r="CM117" s="203">
        <f t="shared" si="422"/>
        <v>14209.062192791836</v>
      </c>
      <c r="CN117" s="195"/>
      <c r="CO117" s="195"/>
      <c r="CP117" s="195"/>
      <c r="CQ117" s="195"/>
      <c r="CR117" s="195"/>
      <c r="CS117" s="207"/>
      <c r="CT117" s="207"/>
      <c r="CU117" s="207"/>
      <c r="CV117" s="207"/>
    </row>
    <row r="118" spans="1:100">
      <c r="A118" s="195" t="s">
        <v>605</v>
      </c>
      <c r="B118" s="195"/>
      <c r="C118" s="195"/>
      <c r="D118" s="195"/>
      <c r="E118" s="195"/>
      <c r="F118" s="195"/>
      <c r="G118" s="287">
        <f t="shared" ref="G118:AY118" si="423">G116/B116-1</f>
        <v>0.15044546850998475</v>
      </c>
      <c r="H118" s="287">
        <f t="shared" si="423"/>
        <v>0.13557101098679558</v>
      </c>
      <c r="I118" s="287">
        <f t="shared" si="423"/>
        <v>0.11441951219512192</v>
      </c>
      <c r="J118" s="287">
        <f t="shared" si="423"/>
        <v>9.1627906976744278E-2</v>
      </c>
      <c r="K118" s="287">
        <f t="shared" si="423"/>
        <v>9.4079632547333425E-2</v>
      </c>
      <c r="L118" s="287">
        <f t="shared" si="423"/>
        <v>9.4079632547333425E-2</v>
      </c>
      <c r="M118" s="287">
        <f t="shared" si="423"/>
        <v>0.12648677436534705</v>
      </c>
      <c r="N118" s="287">
        <f t="shared" si="423"/>
        <v>0.13553594565255467</v>
      </c>
      <c r="O118" s="287">
        <f t="shared" si="423"/>
        <v>0.15253515125692374</v>
      </c>
      <c r="P118" s="287">
        <f t="shared" si="423"/>
        <v>0.13530225368155557</v>
      </c>
      <c r="Q118" s="287">
        <f t="shared" si="423"/>
        <v>0.13530225368155557</v>
      </c>
      <c r="R118" s="287">
        <f t="shared" si="423"/>
        <v>4.0973918524938036E-3</v>
      </c>
      <c r="S118" s="287">
        <f t="shared" si="423"/>
        <v>-1.6575437514455338E-2</v>
      </c>
      <c r="T118" s="287">
        <f t="shared" si="423"/>
        <v>-6.1589648798521246E-2</v>
      </c>
      <c r="U118" s="287">
        <f t="shared" si="423"/>
        <v>-8.7358463523004137E-2</v>
      </c>
      <c r="V118" s="287">
        <f t="shared" si="423"/>
        <v>-8.7358463523004137E-2</v>
      </c>
      <c r="W118" s="287">
        <f t="shared" si="423"/>
        <v>4.0963666326610637E-2</v>
      </c>
      <c r="X118" s="287">
        <f t="shared" si="423"/>
        <v>6.6948886798369411E-2</v>
      </c>
      <c r="Y118" s="287">
        <f t="shared" si="423"/>
        <v>9.7541758588086891E-2</v>
      </c>
      <c r="Z118" s="287">
        <f t="shared" si="423"/>
        <v>0.10647820965842159</v>
      </c>
      <c r="AA118" s="287">
        <f t="shared" si="423"/>
        <v>0.10647820965842159</v>
      </c>
      <c r="AB118" s="287">
        <f t="shared" si="423"/>
        <v>6.5661515265736936E-2</v>
      </c>
      <c r="AC118" s="287">
        <f t="shared" si="423"/>
        <v>1.9324026451138954E-2</v>
      </c>
      <c r="AD118" s="287">
        <f t="shared" si="423"/>
        <v>-5.1471643933955535E-2</v>
      </c>
      <c r="AE118" s="287">
        <f t="shared" si="423"/>
        <v>-8.5018806330281693E-2</v>
      </c>
      <c r="AF118" s="287">
        <f t="shared" si="423"/>
        <v>-8.5018806330281693E-2</v>
      </c>
      <c r="AG118" s="287">
        <f t="shared" si="423"/>
        <v>-0.10851726089417091</v>
      </c>
      <c r="AH118" s="287">
        <f t="shared" si="423"/>
        <v>-0.10610538455993657</v>
      </c>
      <c r="AI118" s="287">
        <f t="shared" si="423"/>
        <v>-6.0395065465829068E-2</v>
      </c>
      <c r="AJ118" s="287">
        <f t="shared" si="423"/>
        <v>1.55122934925922E-3</v>
      </c>
      <c r="AK118" s="287">
        <f t="shared" si="423"/>
        <v>1.55122934925922E-3</v>
      </c>
      <c r="AL118" s="287">
        <f t="shared" si="423"/>
        <v>5.2213934296143405E-2</v>
      </c>
      <c r="AM118" s="287">
        <f t="shared" si="423"/>
        <v>6.9994355293927946E-2</v>
      </c>
      <c r="AN118" s="287">
        <f t="shared" si="423"/>
        <v>5.5980668546113499E-2</v>
      </c>
      <c r="AO118" s="287">
        <f t="shared" si="423"/>
        <v>-1.6959653062804891E-2</v>
      </c>
      <c r="AP118" s="287">
        <f t="shared" si="423"/>
        <v>-1.6959653062804891E-2</v>
      </c>
      <c r="AQ118" s="287">
        <f t="shared" si="423"/>
        <v>-7.1644042232277494E-2</v>
      </c>
      <c r="AR118" s="287">
        <f t="shared" si="423"/>
        <v>-7.6870902102645244E-2</v>
      </c>
      <c r="AS118" s="287">
        <f t="shared" si="423"/>
        <v>-8.1159420289855122E-2</v>
      </c>
      <c r="AT118" s="287">
        <f t="shared" si="423"/>
        <v>-6.0501024105876766E-2</v>
      </c>
      <c r="AU118" s="287">
        <f t="shared" si="423"/>
        <v>-6.0501024105876766E-2</v>
      </c>
      <c r="AV118" s="287">
        <f t="shared" si="423"/>
        <v>-5.6051990251827832E-2</v>
      </c>
      <c r="AW118" s="287">
        <f t="shared" si="423"/>
        <v>-6.1556045391460534E-2</v>
      </c>
      <c r="AX118" s="287">
        <f t="shared" si="423"/>
        <v>-7.8200232442304451E-2</v>
      </c>
      <c r="AY118" s="287">
        <f t="shared" si="423"/>
        <v>-8.3682710045279274E-2</v>
      </c>
      <c r="AZ118" s="287">
        <f>AZ116/AQ116-1</f>
        <v>-0.11226645004061742</v>
      </c>
      <c r="BA118" s="287"/>
      <c r="BB118" s="287"/>
      <c r="BC118" s="287"/>
      <c r="BD118" s="287"/>
      <c r="BE118" s="287">
        <f>BE116/AZ116-1</f>
        <v>-1.5281844802342626E-2</v>
      </c>
      <c r="BF118" s="287"/>
      <c r="BG118" s="287"/>
      <c r="BH118" s="287"/>
      <c r="BI118" s="287"/>
      <c r="BJ118" s="287">
        <f>BJ116/BE116-1</f>
        <v>3.4290493448564163E-2</v>
      </c>
      <c r="BK118" s="287"/>
      <c r="BL118" s="287"/>
      <c r="BM118" s="287"/>
      <c r="BN118" s="287"/>
      <c r="BO118" s="287">
        <f>BO116/BJ116-1</f>
        <v>1.7969451931709735E-4</v>
      </c>
      <c r="BP118" s="287"/>
      <c r="BQ118" s="287"/>
      <c r="BR118" s="287"/>
      <c r="BS118" s="287"/>
      <c r="BT118" s="287">
        <f>BT116/BO116-1</f>
        <v>4.3657923104563512E-2</v>
      </c>
      <c r="BU118" s="288"/>
      <c r="BV118" s="288"/>
      <c r="BW118" s="288"/>
      <c r="BX118" s="288"/>
      <c r="BY118" s="287">
        <f>BY116/BT116-1</f>
        <v>1.0328800137717309E-2</v>
      </c>
      <c r="BZ118" s="288"/>
      <c r="CA118" s="288"/>
      <c r="CB118" s="288"/>
      <c r="CC118" s="288"/>
      <c r="CD118" s="287">
        <f>CD116/BY116-1</f>
        <v>6.5854489691600016E-2</v>
      </c>
      <c r="CE118" s="287">
        <f>CE116/CD116-1</f>
        <v>2.4082904130503291E-2</v>
      </c>
      <c r="CF118" s="287">
        <f t="shared" ref="CF118:CI119" si="424">CF116/CE116-1</f>
        <v>1.7578330807405784E-2</v>
      </c>
      <c r="CG118" s="287">
        <f t="shared" si="424"/>
        <v>1.6180564552972676E-2</v>
      </c>
      <c r="CH118" s="287">
        <f t="shared" si="424"/>
        <v>1.4951794977118515E-2</v>
      </c>
      <c r="CI118" s="287">
        <f t="shared" si="424"/>
        <v>1.3868794164758169E-2</v>
      </c>
      <c r="CJ118" s="287">
        <f t="shared" ref="CJ118:CL118" si="425">CJ116/CI116-1</f>
        <v>1.2912093130977853E-2</v>
      </c>
      <c r="CK118" s="287">
        <f t="shared" si="425"/>
        <v>1.2065260929848387E-2</v>
      </c>
      <c r="CL118" s="287">
        <f t="shared" si="425"/>
        <v>1.1314344299473866E-2</v>
      </c>
      <c r="CM118" s="287">
        <f t="shared" ref="CM118" si="426">CM116/CL116-1</f>
        <v>1.0647427479959504E-2</v>
      </c>
      <c r="CN118" s="195"/>
      <c r="CO118" s="195"/>
      <c r="CP118" s="195"/>
      <c r="CQ118" s="195"/>
      <c r="CR118" s="195"/>
      <c r="CS118" s="207"/>
      <c r="CT118" s="207"/>
      <c r="CU118" s="207"/>
      <c r="CV118" s="207"/>
    </row>
    <row r="119" spans="1:100">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272"/>
      <c r="AG119" s="272"/>
      <c r="AH119" s="272"/>
      <c r="AI119" s="272"/>
      <c r="AJ119" s="272"/>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c r="BV119" s="285"/>
      <c r="BW119" s="285"/>
      <c r="BX119" s="285"/>
      <c r="BY119" s="285"/>
      <c r="BZ119" s="285"/>
      <c r="CA119" s="285"/>
      <c r="CB119" s="285"/>
      <c r="CC119" s="285"/>
      <c r="CD119" s="287">
        <f>CD117/BY117-1</f>
        <v>3.8234286692926833E-2</v>
      </c>
      <c r="CE119" s="287">
        <f>CE117/CD117-1</f>
        <v>4.4302907896273114E-2</v>
      </c>
      <c r="CF119" s="287">
        <f t="shared" si="424"/>
        <v>2.0791921174590611E-2</v>
      </c>
      <c r="CG119" s="287">
        <f t="shared" si="424"/>
        <v>1.6873358598730404E-2</v>
      </c>
      <c r="CH119" s="287">
        <f t="shared" si="424"/>
        <v>1.5561249109083297E-2</v>
      </c>
      <c r="CI119" s="287">
        <f t="shared" si="424"/>
        <v>1.4406276408780228E-2</v>
      </c>
      <c r="CJ119" s="287">
        <f t="shared" ref="CJ119:CL119" si="427">CJ117/CI117-1</f>
        <v>1.3387149418930822E-2</v>
      </c>
      <c r="CK119" s="287">
        <f t="shared" si="427"/>
        <v>1.2485960971355015E-2</v>
      </c>
      <c r="CL119" s="287">
        <f t="shared" si="427"/>
        <v>1.1687551195371348E-2</v>
      </c>
      <c r="CM119" s="287">
        <f t="shared" ref="CM119" si="428">CM117/CL117-1</f>
        <v>1.0979010069923412E-2</v>
      </c>
      <c r="CN119" s="195"/>
      <c r="CO119" s="195"/>
      <c r="CP119" s="195"/>
      <c r="CQ119" s="195"/>
      <c r="CR119" s="195"/>
      <c r="CS119" s="207"/>
      <c r="CT119" s="207"/>
      <c r="CU119" s="207"/>
      <c r="CV119" s="207"/>
    </row>
    <row r="120" spans="1:100">
      <c r="A120" s="195"/>
      <c r="B120" s="195"/>
      <c r="C120" s="195"/>
      <c r="D120" s="195"/>
      <c r="E120" s="195"/>
      <c r="F120" s="195"/>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272"/>
      <c r="AG120" s="272"/>
      <c r="AH120" s="272"/>
      <c r="AI120" s="272"/>
      <c r="AJ120" s="272"/>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c r="BV120" s="285"/>
      <c r="BW120" s="285"/>
      <c r="BX120" s="285"/>
      <c r="BY120" s="285"/>
      <c r="BZ120" s="285"/>
      <c r="CA120" s="285"/>
      <c r="CB120" s="285"/>
      <c r="CC120" s="285"/>
      <c r="CD120" s="285"/>
      <c r="CE120" s="285"/>
      <c r="CF120" s="285"/>
      <c r="CG120" s="285"/>
      <c r="CH120" s="285"/>
      <c r="CI120" s="285"/>
      <c r="CJ120" s="285"/>
      <c r="CK120" s="285"/>
      <c r="CL120" s="285"/>
      <c r="CM120" s="285"/>
      <c r="CN120" s="195"/>
      <c r="CO120" s="195"/>
      <c r="CP120" s="195"/>
      <c r="CQ120" s="195"/>
      <c r="CR120" s="195"/>
      <c r="CS120" s="207"/>
      <c r="CT120" s="207"/>
      <c r="CU120" s="207"/>
      <c r="CV120" s="207"/>
    </row>
    <row r="121" spans="1:100">
      <c r="A121" s="237" t="s">
        <v>29</v>
      </c>
      <c r="B121" s="237">
        <f>B86</f>
        <v>2007</v>
      </c>
      <c r="C121" s="237"/>
      <c r="D121" s="237"/>
      <c r="E121" s="237"/>
      <c r="F121" s="237"/>
      <c r="G121" s="237">
        <f>B121+1</f>
        <v>2008</v>
      </c>
      <c r="H121" s="237"/>
      <c r="I121" s="237"/>
      <c r="J121" s="237"/>
      <c r="K121" s="237"/>
      <c r="L121" s="237">
        <f>G121+1</f>
        <v>2009</v>
      </c>
      <c r="M121" s="237"/>
      <c r="N121" s="237"/>
      <c r="O121" s="237"/>
      <c r="P121" s="237"/>
      <c r="Q121" s="237">
        <f>L121+1</f>
        <v>2010</v>
      </c>
      <c r="R121" s="237"/>
      <c r="S121" s="237"/>
      <c r="T121" s="237"/>
      <c r="U121" s="237"/>
      <c r="V121" s="237">
        <f>Q121+1</f>
        <v>2011</v>
      </c>
      <c r="W121" s="237"/>
      <c r="X121" s="237"/>
      <c r="Y121" s="237"/>
      <c r="Z121" s="237"/>
      <c r="AA121" s="237">
        <f>V121+1</f>
        <v>2012</v>
      </c>
      <c r="AB121" s="237"/>
      <c r="AC121" s="237"/>
      <c r="AD121" s="237"/>
      <c r="AE121" s="237"/>
      <c r="AF121" s="237">
        <f>AA121+1</f>
        <v>2013</v>
      </c>
      <c r="AG121" s="237"/>
      <c r="AH121" s="237"/>
      <c r="AI121" s="237"/>
      <c r="AJ121" s="237"/>
      <c r="AK121" s="237">
        <f>AF121+1</f>
        <v>2014</v>
      </c>
      <c r="AL121" s="237"/>
      <c r="AM121" s="237"/>
      <c r="AN121" s="237"/>
      <c r="AO121" s="237"/>
      <c r="AP121" s="237">
        <f>AK121+1</f>
        <v>2015</v>
      </c>
      <c r="AQ121" s="237"/>
      <c r="AR121" s="237"/>
      <c r="AS121" s="237"/>
      <c r="AT121" s="237"/>
      <c r="AU121" s="237">
        <f>AP121+1</f>
        <v>2016</v>
      </c>
      <c r="AV121" s="237"/>
      <c r="AW121" s="237"/>
      <c r="AX121" s="237"/>
      <c r="AY121" s="237"/>
      <c r="AZ121" s="237">
        <f>AU121+1</f>
        <v>2017</v>
      </c>
      <c r="BA121" s="237"/>
      <c r="BB121" s="237"/>
      <c r="BC121" s="237"/>
      <c r="BD121" s="237"/>
      <c r="BE121" s="237">
        <f>AZ121+1</f>
        <v>2018</v>
      </c>
      <c r="BF121" s="237"/>
      <c r="BG121" s="237"/>
      <c r="BH121" s="237"/>
      <c r="BI121" s="237"/>
      <c r="BJ121" s="237">
        <f>BE121+1</f>
        <v>2019</v>
      </c>
      <c r="BK121" s="237"/>
      <c r="BL121" s="237"/>
      <c r="BM121" s="237"/>
      <c r="BN121" s="237"/>
      <c r="BO121" s="237">
        <f>BJ121+1</f>
        <v>2020</v>
      </c>
      <c r="BP121" s="237"/>
      <c r="BQ121" s="237"/>
      <c r="BR121" s="237"/>
      <c r="BS121" s="237"/>
      <c r="BT121" s="237">
        <f>BO121+1</f>
        <v>2021</v>
      </c>
      <c r="BU121" s="237"/>
      <c r="BV121" s="237"/>
      <c r="BW121" s="237"/>
      <c r="BX121" s="237"/>
      <c r="BY121" s="237">
        <f>BT121+1</f>
        <v>2022</v>
      </c>
      <c r="BZ121" s="237"/>
      <c r="CA121" s="237"/>
      <c r="CB121" s="237"/>
      <c r="CC121" s="237"/>
      <c r="CD121" s="237">
        <f>BY121+1</f>
        <v>2023</v>
      </c>
      <c r="CE121" s="237">
        <f t="shared" ref="CE121:CI121" si="429">CD121+1</f>
        <v>2024</v>
      </c>
      <c r="CF121" s="237">
        <f t="shared" si="429"/>
        <v>2025</v>
      </c>
      <c r="CG121" s="237">
        <f t="shared" si="429"/>
        <v>2026</v>
      </c>
      <c r="CH121" s="237">
        <f t="shared" si="429"/>
        <v>2027</v>
      </c>
      <c r="CI121" s="237">
        <f t="shared" si="429"/>
        <v>2028</v>
      </c>
      <c r="CJ121" s="237">
        <f t="shared" ref="CJ121" si="430">CI121+1</f>
        <v>2029</v>
      </c>
      <c r="CK121" s="237">
        <f t="shared" ref="CK121" si="431">CJ121+1</f>
        <v>2030</v>
      </c>
      <c r="CL121" s="237">
        <f t="shared" ref="CL121:CM121" si="432">CK121+1</f>
        <v>2031</v>
      </c>
      <c r="CM121" s="237">
        <f t="shared" si="432"/>
        <v>2032</v>
      </c>
      <c r="CN121" s="195"/>
      <c r="CO121" s="195"/>
      <c r="CP121" s="195"/>
      <c r="CQ121" s="195"/>
      <c r="CR121" s="195"/>
      <c r="CS121" s="207"/>
      <c r="CT121" s="207"/>
      <c r="CU121" s="207"/>
      <c r="CV121" s="207"/>
    </row>
    <row r="122" spans="1:100">
      <c r="A122" s="276" t="s">
        <v>256</v>
      </c>
      <c r="B122" s="289">
        <v>179</v>
      </c>
      <c r="C122" s="289">
        <v>177</v>
      </c>
      <c r="D122" s="289">
        <v>187</v>
      </c>
      <c r="E122" s="289">
        <v>186</v>
      </c>
      <c r="F122" s="289">
        <v>177</v>
      </c>
      <c r="G122" s="289">
        <v>184</v>
      </c>
      <c r="H122" s="289">
        <v>168</v>
      </c>
      <c r="I122" s="289">
        <v>175</v>
      </c>
      <c r="J122" s="289">
        <v>178</v>
      </c>
      <c r="K122" s="289">
        <v>181</v>
      </c>
      <c r="L122" s="289">
        <v>175.5</v>
      </c>
      <c r="M122" s="289">
        <v>173</v>
      </c>
      <c r="N122" s="289">
        <v>173</v>
      </c>
      <c r="O122" s="289">
        <v>172</v>
      </c>
      <c r="P122" s="289">
        <v>171</v>
      </c>
      <c r="Q122" s="289">
        <v>172.25</v>
      </c>
      <c r="R122" s="289">
        <v>180</v>
      </c>
      <c r="S122" s="289">
        <v>186</v>
      </c>
      <c r="T122" s="289">
        <v>185</v>
      </c>
      <c r="U122" s="289">
        <v>181</v>
      </c>
      <c r="V122" s="290">
        <v>183</v>
      </c>
      <c r="W122" s="290">
        <v>175</v>
      </c>
      <c r="X122" s="290">
        <v>175</v>
      </c>
      <c r="Y122" s="290">
        <v>160</v>
      </c>
      <c r="Z122" s="290">
        <v>165</v>
      </c>
      <c r="AA122" s="290">
        <v>171</v>
      </c>
      <c r="AB122" s="290">
        <v>160</v>
      </c>
      <c r="AC122" s="290">
        <v>156</v>
      </c>
      <c r="AD122" s="290">
        <v>153</v>
      </c>
      <c r="AE122" s="290">
        <v>155</v>
      </c>
      <c r="AF122" s="290">
        <v>156</v>
      </c>
      <c r="AG122" s="290">
        <v>154</v>
      </c>
      <c r="AH122" s="290">
        <v>161</v>
      </c>
      <c r="AI122" s="290">
        <v>165</v>
      </c>
      <c r="AJ122" s="290">
        <v>168</v>
      </c>
      <c r="AK122" s="290">
        <v>160.36799999999999</v>
      </c>
      <c r="AL122" s="290"/>
      <c r="AM122" s="290"/>
      <c r="AN122" s="290"/>
      <c r="AO122" s="290"/>
      <c r="AP122" s="290">
        <v>147.53855999999999</v>
      </c>
      <c r="AQ122" s="226"/>
      <c r="AR122" s="226"/>
      <c r="AS122" s="226"/>
      <c r="AT122" s="291"/>
      <c r="AU122" s="226">
        <f>AP122*(1+AU123)</f>
        <v>138.68624639999999</v>
      </c>
      <c r="AV122" s="226"/>
      <c r="AW122" s="226"/>
      <c r="AX122" s="226"/>
      <c r="AY122" s="226"/>
      <c r="AZ122" s="226">
        <f>AU122*(1+AZ123)</f>
        <v>134.52565900799999</v>
      </c>
      <c r="BA122" s="226"/>
      <c r="BB122" s="226"/>
      <c r="BC122" s="226"/>
      <c r="BD122" s="226"/>
      <c r="BE122" s="226">
        <f>AZ122*(1+BE123)</f>
        <v>127.79937605759999</v>
      </c>
      <c r="BF122" s="226"/>
      <c r="BG122" s="226"/>
      <c r="BH122" s="226"/>
      <c r="BI122" s="226"/>
      <c r="BJ122" s="226">
        <f>BE122*(1+BJ123)</f>
        <v>123.96539477587199</v>
      </c>
      <c r="BK122" s="226"/>
      <c r="BL122" s="226"/>
      <c r="BM122" s="226"/>
      <c r="BN122" s="226"/>
      <c r="BO122" s="226">
        <f>BJ122*(1+BO123)</f>
        <v>120.24643293259582</v>
      </c>
      <c r="BP122" s="226"/>
      <c r="BQ122" s="226"/>
      <c r="BR122" s="226"/>
      <c r="BS122" s="226"/>
      <c r="BT122" s="226">
        <f>BO122*(1+BT123)</f>
        <v>116.63903994461795</v>
      </c>
      <c r="BU122" s="292"/>
      <c r="BV122" s="292"/>
      <c r="BW122" s="292"/>
      <c r="BX122" s="292"/>
      <c r="BY122" s="226">
        <f>BT122*(1+BY123)</f>
        <v>113.1398687462794</v>
      </c>
      <c r="BZ122" s="292"/>
      <c r="CA122" s="292"/>
      <c r="CB122" s="292"/>
      <c r="CC122" s="292"/>
      <c r="CD122" s="226">
        <f>BY122*(1+CD123)</f>
        <v>109.74567268389102</v>
      </c>
      <c r="CE122" s="226">
        <f t="shared" ref="CE122:CI122" si="433">CD122*(1+CE123)</f>
        <v>106.45330250337429</v>
      </c>
      <c r="CF122" s="226">
        <f t="shared" si="433"/>
        <v>103.25970342827306</v>
      </c>
      <c r="CG122" s="226">
        <f t="shared" si="433"/>
        <v>101.1945093597076</v>
      </c>
      <c r="CH122" s="226">
        <f t="shared" si="433"/>
        <v>99.17061917251344</v>
      </c>
      <c r="CI122" s="226">
        <f t="shared" si="433"/>
        <v>97.187206789063168</v>
      </c>
      <c r="CJ122" s="226">
        <f t="shared" ref="CJ122" si="434">CI122*(1+CJ123)</f>
        <v>95.24346265328191</v>
      </c>
      <c r="CK122" s="226">
        <f t="shared" ref="CK122" si="435">CJ122*(1+CK123)</f>
        <v>93.338593400216268</v>
      </c>
      <c r="CL122" s="226">
        <f t="shared" ref="CL122:CM122" si="436">CK122*(1+CL123)</f>
        <v>91.471821532211948</v>
      </c>
      <c r="CM122" s="226">
        <f t="shared" si="436"/>
        <v>89.642385101567712</v>
      </c>
      <c r="CN122" s="195"/>
      <c r="CO122" s="195"/>
      <c r="CP122" s="195"/>
      <c r="CQ122" s="195"/>
      <c r="CR122" s="195"/>
      <c r="CS122" s="195"/>
      <c r="CT122" s="195"/>
    </row>
    <row r="123" spans="1:100">
      <c r="A123" s="276" t="s">
        <v>30</v>
      </c>
      <c r="B123" s="287"/>
      <c r="C123" s="287"/>
      <c r="D123" s="287"/>
      <c r="E123" s="287"/>
      <c r="F123" s="287"/>
      <c r="G123" s="287">
        <f>G122/B122-1</f>
        <v>2.7932960893854775E-2</v>
      </c>
      <c r="H123" s="287"/>
      <c r="I123" s="287"/>
      <c r="J123" s="287"/>
      <c r="K123" s="287"/>
      <c r="L123" s="287">
        <f t="shared" ref="L123:AK123" si="437">L122/G122-1</f>
        <v>-4.6195652173913082E-2</v>
      </c>
      <c r="M123" s="287">
        <f t="shared" si="437"/>
        <v>2.9761904761904656E-2</v>
      </c>
      <c r="N123" s="287">
        <f t="shared" si="437"/>
        <v>-1.1428571428571455E-2</v>
      </c>
      <c r="O123" s="287">
        <f t="shared" si="437"/>
        <v>-3.3707865168539297E-2</v>
      </c>
      <c r="P123" s="287">
        <f t="shared" si="437"/>
        <v>-5.5248618784530357E-2</v>
      </c>
      <c r="Q123" s="287">
        <f t="shared" si="437"/>
        <v>-1.851851851851849E-2</v>
      </c>
      <c r="R123" s="287">
        <f t="shared" si="437"/>
        <v>4.0462427745664664E-2</v>
      </c>
      <c r="S123" s="287">
        <f t="shared" si="437"/>
        <v>7.5144508670520249E-2</v>
      </c>
      <c r="T123" s="287">
        <f t="shared" si="437"/>
        <v>7.5581395348837122E-2</v>
      </c>
      <c r="U123" s="287">
        <f t="shared" si="437"/>
        <v>5.8479532163742798E-2</v>
      </c>
      <c r="V123" s="287">
        <f t="shared" si="437"/>
        <v>6.2409288824383236E-2</v>
      </c>
      <c r="W123" s="287">
        <f t="shared" si="437"/>
        <v>-2.777777777777779E-2</v>
      </c>
      <c r="X123" s="287">
        <f t="shared" si="437"/>
        <v>-5.9139784946236507E-2</v>
      </c>
      <c r="Y123" s="287">
        <f t="shared" si="437"/>
        <v>-0.13513513513513509</v>
      </c>
      <c r="Z123" s="287">
        <f t="shared" si="437"/>
        <v>-8.8397790055248615E-2</v>
      </c>
      <c r="AA123" s="287">
        <f t="shared" si="437"/>
        <v>-6.557377049180324E-2</v>
      </c>
      <c r="AB123" s="287">
        <f t="shared" si="437"/>
        <v>-8.5714285714285743E-2</v>
      </c>
      <c r="AC123" s="287">
        <f t="shared" si="437"/>
        <v>-0.10857142857142854</v>
      </c>
      <c r="AD123" s="287">
        <f t="shared" si="437"/>
        <v>-4.3749999999999956E-2</v>
      </c>
      <c r="AE123" s="287">
        <f t="shared" si="437"/>
        <v>-6.0606060606060552E-2</v>
      </c>
      <c r="AF123" s="287">
        <f t="shared" si="437"/>
        <v>-8.7719298245614086E-2</v>
      </c>
      <c r="AG123" s="287">
        <f t="shared" si="437"/>
        <v>-3.7499999999999978E-2</v>
      </c>
      <c r="AH123" s="287">
        <f t="shared" si="437"/>
        <v>3.2051282051282159E-2</v>
      </c>
      <c r="AI123" s="287">
        <f t="shared" si="437"/>
        <v>7.8431372549019551E-2</v>
      </c>
      <c r="AJ123" s="287">
        <f t="shared" si="437"/>
        <v>8.3870967741935587E-2</v>
      </c>
      <c r="AK123" s="287">
        <f t="shared" si="437"/>
        <v>2.8000000000000025E-2</v>
      </c>
      <c r="AL123" s="287"/>
      <c r="AM123" s="287"/>
      <c r="AN123" s="287"/>
      <c r="AO123" s="287"/>
      <c r="AP123" s="287">
        <f>AP122/AK122-1</f>
        <v>-8.0000000000000071E-2</v>
      </c>
      <c r="AQ123" s="287"/>
      <c r="AR123" s="287"/>
      <c r="AS123" s="287"/>
      <c r="AT123" s="287"/>
      <c r="AU123" s="278">
        <v>-0.06</v>
      </c>
      <c r="AV123" s="278"/>
      <c r="AW123" s="278"/>
      <c r="AX123" s="277"/>
      <c r="AY123" s="277"/>
      <c r="AZ123" s="278">
        <v>-0.03</v>
      </c>
      <c r="BA123" s="277"/>
      <c r="BB123" s="277"/>
      <c r="BC123" s="277"/>
      <c r="BD123" s="277"/>
      <c r="BE123" s="278">
        <v>-0.05</v>
      </c>
      <c r="BF123" s="277"/>
      <c r="BG123" s="277"/>
      <c r="BH123" s="277"/>
      <c r="BI123" s="277"/>
      <c r="BJ123" s="278">
        <v>-0.03</v>
      </c>
      <c r="BK123" s="277"/>
      <c r="BL123" s="277"/>
      <c r="BM123" s="277"/>
      <c r="BN123" s="277"/>
      <c r="BO123" s="278">
        <v>-0.03</v>
      </c>
      <c r="BP123" s="277"/>
      <c r="BQ123" s="277"/>
      <c r="BR123" s="277"/>
      <c r="BS123" s="277"/>
      <c r="BT123" s="278">
        <v>-0.03</v>
      </c>
      <c r="BU123" s="279"/>
      <c r="BV123" s="279"/>
      <c r="BW123" s="279"/>
      <c r="BX123" s="279"/>
      <c r="BY123" s="278">
        <v>-0.03</v>
      </c>
      <c r="BZ123" s="279"/>
      <c r="CA123" s="279"/>
      <c r="CB123" s="279"/>
      <c r="CC123" s="279"/>
      <c r="CD123" s="278">
        <f>BY123</f>
        <v>-0.03</v>
      </c>
      <c r="CE123" s="278">
        <f>CD123</f>
        <v>-0.03</v>
      </c>
      <c r="CF123" s="278">
        <f>CE123</f>
        <v>-0.03</v>
      </c>
      <c r="CG123" s="278">
        <v>-0.02</v>
      </c>
      <c r="CH123" s="278">
        <f>CG123</f>
        <v>-0.02</v>
      </c>
      <c r="CI123" s="278">
        <f>CH123</f>
        <v>-0.02</v>
      </c>
      <c r="CJ123" s="278">
        <f t="shared" ref="CJ123:CL123" si="438">CI123</f>
        <v>-0.02</v>
      </c>
      <c r="CK123" s="278">
        <f t="shared" si="438"/>
        <v>-0.02</v>
      </c>
      <c r="CL123" s="278">
        <f t="shared" si="438"/>
        <v>-0.02</v>
      </c>
      <c r="CM123" s="278">
        <f t="shared" ref="CM123" si="439">CL123</f>
        <v>-0.02</v>
      </c>
      <c r="CN123" s="195"/>
      <c r="CO123" s="195"/>
      <c r="CP123" s="195"/>
      <c r="CQ123" s="195"/>
      <c r="CR123" s="195"/>
      <c r="CS123" s="195"/>
      <c r="CT123" s="195"/>
    </row>
    <row r="124" spans="1:100">
      <c r="A124" s="276" t="s">
        <v>31</v>
      </c>
      <c r="B124" s="195"/>
      <c r="C124" s="195"/>
      <c r="D124" s="195"/>
      <c r="E124" s="195"/>
      <c r="F124" s="195"/>
      <c r="G124" s="195">
        <v>23183.227200000001</v>
      </c>
      <c r="H124" s="195">
        <v>5670.0251999999991</v>
      </c>
      <c r="I124" s="195">
        <v>5955.81</v>
      </c>
      <c r="J124" s="195">
        <v>6183.1325999999999</v>
      </c>
      <c r="K124" s="195">
        <v>6523.0590000000002</v>
      </c>
      <c r="L124" s="195">
        <v>24771.930299999996</v>
      </c>
      <c r="M124" s="195">
        <v>6482.8289999999997</v>
      </c>
      <c r="N124" s="195">
        <v>6659.2889999999998</v>
      </c>
      <c r="O124" s="195">
        <v>6835.9679999999998</v>
      </c>
      <c r="P124" s="195">
        <v>7048.3635000000004</v>
      </c>
      <c r="Q124" s="195">
        <v>27124.2075</v>
      </c>
      <c r="R124" s="195">
        <v>7208.19</v>
      </c>
      <c r="S124" s="195">
        <v>7114.2209999999995</v>
      </c>
      <c r="T124" s="195">
        <v>7061.82</v>
      </c>
      <c r="U124" s="195">
        <v>6903.4305000000004</v>
      </c>
      <c r="V124" s="195">
        <v>29304.522000000001</v>
      </c>
      <c r="W124" s="195">
        <v>6894.5625</v>
      </c>
      <c r="X124" s="195">
        <v>7054.6875</v>
      </c>
      <c r="Y124" s="195">
        <v>6609.6</v>
      </c>
      <c r="Z124" s="195">
        <v>6935.1975000000002</v>
      </c>
      <c r="AA124" s="195">
        <v>27523.475999999999</v>
      </c>
      <c r="AB124" s="195">
        <v>6774.48</v>
      </c>
      <c r="AC124" s="195">
        <v>6554.1059999999998</v>
      </c>
      <c r="AD124" s="195">
        <v>6216.2370000000001</v>
      </c>
      <c r="AE124" s="195">
        <v>6069.6450000000004</v>
      </c>
      <c r="AF124" s="195">
        <v>25257.024000000001</v>
      </c>
      <c r="AG124" s="195">
        <v>5889.3450000000003</v>
      </c>
      <c r="AH124" s="195">
        <v>6038.2245000000003</v>
      </c>
      <c r="AI124" s="195">
        <v>6141.96</v>
      </c>
      <c r="AJ124" s="195">
        <v>6382.6559999999999</v>
      </c>
      <c r="AK124" s="195">
        <v>24830.739648000002</v>
      </c>
      <c r="AL124" s="195"/>
      <c r="AM124" s="195"/>
      <c r="AN124" s="195"/>
      <c r="AO124" s="195"/>
      <c r="AP124" s="195">
        <v>22668.119435520002</v>
      </c>
      <c r="AQ124" s="195"/>
      <c r="AR124" s="195"/>
      <c r="AS124" s="195"/>
      <c r="AT124" s="195"/>
      <c r="AU124" s="195">
        <f>(AU122*12*AU117/1000)</f>
        <v>20486.732318207996</v>
      </c>
      <c r="AV124" s="195"/>
      <c r="AW124" s="195"/>
      <c r="AX124" s="195"/>
      <c r="AY124" s="195"/>
      <c r="AZ124" s="195">
        <f>(AZ122*12*AZ117/1000)</f>
        <v>18446.696465812991</v>
      </c>
      <c r="BA124" s="195"/>
      <c r="BB124" s="195"/>
      <c r="BC124" s="195"/>
      <c r="BD124" s="195"/>
      <c r="BE124" s="195">
        <f>(BE122*12*BE117/1000)</f>
        <v>16631.044003879717</v>
      </c>
      <c r="BF124" s="195"/>
      <c r="BG124" s="195"/>
      <c r="BH124" s="195"/>
      <c r="BI124" s="195"/>
      <c r="BJ124" s="195">
        <f>(BJ122*12*BJ117/1000)</f>
        <v>16282.358742231681</v>
      </c>
      <c r="BK124" s="195"/>
      <c r="BL124" s="195"/>
      <c r="BM124" s="195"/>
      <c r="BN124" s="195"/>
      <c r="BO124" s="195">
        <f>(BO122*12*BO117/1000)</f>
        <v>16061.556539672689</v>
      </c>
      <c r="BP124" s="195"/>
      <c r="BQ124" s="195"/>
      <c r="BR124" s="195"/>
      <c r="BS124" s="195"/>
      <c r="BT124" s="195">
        <f>(BT122*12*BT117/1000)</f>
        <v>15921.228952440351</v>
      </c>
      <c r="BU124" s="195"/>
      <c r="BV124" s="195"/>
      <c r="BW124" s="195"/>
      <c r="BX124" s="195"/>
      <c r="BY124" s="195">
        <f>(BY122*12*BY117/1000)</f>
        <v>15854.968646628613</v>
      </c>
      <c r="BZ124" s="195"/>
      <c r="CA124" s="195"/>
      <c r="CB124" s="195"/>
      <c r="CC124" s="195"/>
      <c r="CD124" s="195">
        <f t="shared" ref="CD124:CI124" si="440">(CD122*12*CD117/1000)</f>
        <v>15967.336901470038</v>
      </c>
      <c r="CE124" s="195">
        <f t="shared" si="440"/>
        <v>16174.494266837692</v>
      </c>
      <c r="CF124" s="195">
        <f t="shared" si="440"/>
        <v>16015.469284372472</v>
      </c>
      <c r="CG124" s="195">
        <f t="shared" si="440"/>
        <v>15959.989959919947</v>
      </c>
      <c r="CH124" s="195">
        <f t="shared" si="440"/>
        <v>15884.180392675433</v>
      </c>
      <c r="CI124" s="195">
        <f t="shared" si="440"/>
        <v>15790.752040220455</v>
      </c>
      <c r="CJ124" s="195">
        <f t="shared" ref="CJ124:CL124" si="441">(CJ122*12*CJ117/1000)</f>
        <v>15682.102293275771</v>
      </c>
      <c r="CK124" s="195">
        <f t="shared" si="441"/>
        <v>15560.350242249242</v>
      </c>
      <c r="CL124" s="195">
        <f t="shared" si="441"/>
        <v>15427.368379676969</v>
      </c>
      <c r="CM124" s="195">
        <f t="shared" ref="CM124" si="442">(CM122*12*CM117/1000)</f>
        <v>15284.810700220463</v>
      </c>
      <c r="CN124" s="195"/>
      <c r="CO124" s="195"/>
      <c r="CP124" s="195"/>
      <c r="CQ124" s="195"/>
      <c r="CR124" s="195"/>
      <c r="CS124" s="195"/>
      <c r="CT124" s="195"/>
    </row>
    <row r="125" spans="1:100">
      <c r="A125" s="276" t="s">
        <v>268</v>
      </c>
      <c r="B125" s="293"/>
      <c r="C125" s="293"/>
      <c r="D125" s="293"/>
      <c r="E125" s="293"/>
      <c r="F125" s="293"/>
      <c r="G125" s="293">
        <f t="shared" ref="G125:AK125" si="443">G169/G122</f>
        <v>0.31847826086956521</v>
      </c>
      <c r="H125" s="293">
        <f t="shared" si="443"/>
        <v>0.33333333333333331</v>
      </c>
      <c r="I125" s="293">
        <f t="shared" si="443"/>
        <v>0.32</v>
      </c>
      <c r="J125" s="293">
        <f t="shared" si="443"/>
        <v>0.3146067415730337</v>
      </c>
      <c r="K125" s="293">
        <f t="shared" si="443"/>
        <v>0.30386740331491713</v>
      </c>
      <c r="L125" s="293">
        <f t="shared" si="443"/>
        <v>0.31766381766381768</v>
      </c>
      <c r="M125" s="293">
        <f t="shared" si="443"/>
        <v>0.30057803468208094</v>
      </c>
      <c r="N125" s="293">
        <f t="shared" si="443"/>
        <v>0.2947976878612717</v>
      </c>
      <c r="O125" s="293">
        <f t="shared" si="443"/>
        <v>0.28488372093023256</v>
      </c>
      <c r="P125" s="293">
        <f t="shared" si="443"/>
        <v>0.28654970760233917</v>
      </c>
      <c r="Q125" s="293">
        <f t="shared" si="443"/>
        <v>0.2960812772133527</v>
      </c>
      <c r="R125" s="293">
        <f t="shared" si="443"/>
        <v>0.2722222222222222</v>
      </c>
      <c r="S125" s="293">
        <f t="shared" si="443"/>
        <v>0.27419354838709675</v>
      </c>
      <c r="T125" s="293">
        <f t="shared" si="443"/>
        <v>0.29189189189189191</v>
      </c>
      <c r="U125" s="293">
        <f t="shared" si="443"/>
        <v>0.2983425414364641</v>
      </c>
      <c r="V125" s="293">
        <f t="shared" si="443"/>
        <v>0.28415300546448086</v>
      </c>
      <c r="W125" s="293">
        <f t="shared" si="443"/>
        <v>0.29714285714285715</v>
      </c>
      <c r="X125" s="293">
        <f t="shared" si="443"/>
        <v>0.29714285714285715</v>
      </c>
      <c r="Y125" s="293">
        <f t="shared" si="443"/>
        <v>0.3</v>
      </c>
      <c r="Z125" s="293">
        <f t="shared" si="443"/>
        <v>0.29090909090909089</v>
      </c>
      <c r="AA125" s="293">
        <f t="shared" si="443"/>
        <v>0.29518953201986553</v>
      </c>
      <c r="AB125" s="293">
        <f t="shared" si="443"/>
        <v>0.28749999999999998</v>
      </c>
      <c r="AC125" s="293">
        <f t="shared" si="443"/>
        <v>0.29487179487179488</v>
      </c>
      <c r="AD125" s="293">
        <f t="shared" si="443"/>
        <v>0.31372549019607843</v>
      </c>
      <c r="AE125" s="293">
        <f t="shared" si="443"/>
        <v>0.31612903225806449</v>
      </c>
      <c r="AF125" s="293">
        <f t="shared" si="443"/>
        <v>0.30681631375097879</v>
      </c>
      <c r="AG125" s="293">
        <f t="shared" si="443"/>
        <v>0.31168831168831168</v>
      </c>
      <c r="AH125" s="293">
        <f t="shared" si="443"/>
        <v>0.3105590062111801</v>
      </c>
      <c r="AI125" s="293">
        <f t="shared" si="443"/>
        <v>0.30303030303030304</v>
      </c>
      <c r="AJ125" s="293">
        <f t="shared" si="443"/>
        <v>0.29761904761904762</v>
      </c>
      <c r="AK125" s="293">
        <f t="shared" si="443"/>
        <v>0.30090384361956801</v>
      </c>
      <c r="AL125" s="293"/>
      <c r="AM125" s="293"/>
      <c r="AN125" s="293"/>
      <c r="AO125" s="293"/>
      <c r="AP125" s="293">
        <f>AP169/AP122</f>
        <v>0.33654785619515581</v>
      </c>
      <c r="AQ125" s="293"/>
      <c r="AR125" s="293"/>
      <c r="AS125" s="293"/>
      <c r="AT125" s="293"/>
      <c r="AU125" s="293">
        <f>AU169/AU122</f>
        <v>0.36232864688736721</v>
      </c>
      <c r="AV125" s="293"/>
      <c r="AW125" s="293"/>
      <c r="AX125" s="293"/>
      <c r="AY125" s="293"/>
      <c r="AZ125" s="293">
        <f>AZ169/AZ122</f>
        <v>0.38096821363240641</v>
      </c>
      <c r="BA125" s="293"/>
      <c r="BB125" s="293"/>
      <c r="BC125" s="293"/>
      <c r="BD125" s="293"/>
      <c r="BE125" s="293">
        <f>BE169/BE122</f>
        <v>0.41080012766523927</v>
      </c>
      <c r="BF125" s="293"/>
      <c r="BG125" s="293"/>
      <c r="BH125" s="293"/>
      <c r="BI125" s="293"/>
      <c r="BJ125" s="293">
        <f>BJ169/BJ122</f>
        <v>0.41140513521702904</v>
      </c>
      <c r="BK125" s="293"/>
      <c r="BL125" s="293"/>
      <c r="BM125" s="293"/>
      <c r="BN125" s="293"/>
      <c r="BO125" s="293">
        <f>BO169/BO122</f>
        <v>0.40125930410797761</v>
      </c>
      <c r="BP125" s="293"/>
      <c r="BQ125" s="293"/>
      <c r="BR125" s="293"/>
      <c r="BS125" s="293"/>
      <c r="BT125" s="293">
        <f>BT169/BT122</f>
        <v>0.40059486105326114</v>
      </c>
      <c r="BU125" s="294"/>
      <c r="BV125" s="294"/>
      <c r="BW125" s="294"/>
      <c r="BX125" s="294"/>
      <c r="BY125" s="293">
        <f>BY169/BY122</f>
        <v>0.41762466691524963</v>
      </c>
      <c r="BZ125" s="294"/>
      <c r="CA125" s="294"/>
      <c r="CB125" s="294"/>
      <c r="CC125" s="294"/>
      <c r="CD125" s="293">
        <f t="shared" ref="CD125:CI125" si="444">CD169/CD122</f>
        <v>0.42461810894563112</v>
      </c>
      <c r="CE125" s="293">
        <f t="shared" si="444"/>
        <v>0.42447209395788604</v>
      </c>
      <c r="CF125" s="293">
        <f t="shared" si="444"/>
        <v>0.43522313704397403</v>
      </c>
      <c r="CG125" s="293">
        <f t="shared" si="444"/>
        <v>0.44303717750202809</v>
      </c>
      <c r="CH125" s="293">
        <f t="shared" si="444"/>
        <v>0.45325478242178469</v>
      </c>
      <c r="CI125" s="293">
        <f t="shared" si="444"/>
        <v>0.46602347797107263</v>
      </c>
      <c r="CJ125" s="293">
        <f t="shared" ref="CJ125:CL125" si="445">CJ169/CJ122</f>
        <v>0.47914871094319422</v>
      </c>
      <c r="CK125" s="293">
        <f t="shared" si="445"/>
        <v>0.49264035847024323</v>
      </c>
      <c r="CL125" s="293">
        <f t="shared" si="445"/>
        <v>0.50650857013005868</v>
      </c>
      <c r="CM125" s="293">
        <f t="shared" ref="CM125" si="446">CM169/CM122</f>
        <v>0.52076377533103446</v>
      </c>
      <c r="CN125" s="195"/>
      <c r="CO125" s="195"/>
      <c r="CP125" s="195"/>
      <c r="CQ125" s="195"/>
      <c r="CR125" s="195"/>
      <c r="CS125" s="195"/>
      <c r="CT125" s="195"/>
    </row>
    <row r="126" spans="1:100">
      <c r="A126" s="276" t="str">
        <f>A123</f>
        <v>YOY Change</v>
      </c>
      <c r="B126" s="287"/>
      <c r="C126" s="287"/>
      <c r="D126" s="287"/>
      <c r="E126" s="287"/>
      <c r="F126" s="287"/>
      <c r="G126" s="287" t="e">
        <f>G125/B125-1</f>
        <v>#DIV/0!</v>
      </c>
      <c r="H126" s="287"/>
      <c r="I126" s="287"/>
      <c r="J126" s="287" t="e">
        <f t="shared" ref="J126:AK126" si="447">J125/E125-1</f>
        <v>#DIV/0!</v>
      </c>
      <c r="K126" s="287" t="e">
        <f t="shared" si="447"/>
        <v>#DIV/0!</v>
      </c>
      <c r="L126" s="287">
        <f t="shared" si="447"/>
        <v>-2.5572960726543137E-3</v>
      </c>
      <c r="M126" s="287">
        <f t="shared" si="447"/>
        <v>-9.8265895953757121E-2</v>
      </c>
      <c r="N126" s="287">
        <f t="shared" si="447"/>
        <v>-7.8757225433525924E-2</v>
      </c>
      <c r="O126" s="287">
        <f t="shared" si="447"/>
        <v>-9.4476744186046457E-2</v>
      </c>
      <c r="P126" s="287">
        <f t="shared" si="447"/>
        <v>-5.6990962254120259E-2</v>
      </c>
      <c r="Q126" s="287">
        <f t="shared" si="447"/>
        <v>-6.7941450207293363E-2</v>
      </c>
      <c r="R126" s="287">
        <f t="shared" si="447"/>
        <v>-9.4337606837606947E-2</v>
      </c>
      <c r="S126" s="287">
        <f t="shared" si="447"/>
        <v>-6.989247311827973E-2</v>
      </c>
      <c r="T126" s="287">
        <f t="shared" si="447"/>
        <v>2.4600110314396018E-2</v>
      </c>
      <c r="U126" s="287">
        <f t="shared" si="447"/>
        <v>4.1154583380313525E-2</v>
      </c>
      <c r="V126" s="287">
        <f t="shared" si="447"/>
        <v>-4.0287153112611329E-2</v>
      </c>
      <c r="W126" s="287">
        <f t="shared" si="447"/>
        <v>9.1545189504373292E-2</v>
      </c>
      <c r="X126" s="287">
        <f t="shared" si="447"/>
        <v>8.3697478991596741E-2</v>
      </c>
      <c r="Y126" s="287">
        <f t="shared" si="447"/>
        <v>2.7777777777777679E-2</v>
      </c>
      <c r="Z126" s="287">
        <f t="shared" si="447"/>
        <v>-2.4915824915825002E-2</v>
      </c>
      <c r="AA126" s="287">
        <f t="shared" si="447"/>
        <v>3.8840083839142281E-2</v>
      </c>
      <c r="AB126" s="287">
        <f t="shared" si="447"/>
        <v>-3.2451923076923239E-2</v>
      </c>
      <c r="AC126" s="287">
        <f t="shared" si="447"/>
        <v>-7.642998027613368E-3</v>
      </c>
      <c r="AD126" s="287">
        <f t="shared" si="447"/>
        <v>4.5751633986928164E-2</v>
      </c>
      <c r="AE126" s="287">
        <f t="shared" si="447"/>
        <v>8.6693548387096753E-2</v>
      </c>
      <c r="AF126" s="287">
        <f t="shared" si="447"/>
        <v>3.9387513681653274E-2</v>
      </c>
      <c r="AG126" s="287">
        <f t="shared" si="447"/>
        <v>8.4133258046301673E-2</v>
      </c>
      <c r="AH126" s="287">
        <f t="shared" si="447"/>
        <v>5.3200108020523773E-2</v>
      </c>
      <c r="AI126" s="287">
        <f t="shared" si="447"/>
        <v>-3.4090909090909061E-2</v>
      </c>
      <c r="AJ126" s="287">
        <f t="shared" si="447"/>
        <v>-5.8551992225461591E-2</v>
      </c>
      <c r="AK126" s="287">
        <f t="shared" si="447"/>
        <v>-1.9270390348961386E-2</v>
      </c>
      <c r="AL126" s="287"/>
      <c r="AM126" s="287"/>
      <c r="AN126" s="287"/>
      <c r="AO126" s="287"/>
      <c r="AP126" s="287">
        <f>AP125/AK125-1</f>
        <v>0.11845648811536091</v>
      </c>
      <c r="AQ126" s="287"/>
      <c r="AR126" s="287"/>
      <c r="AS126" s="287"/>
      <c r="AT126" s="287"/>
      <c r="AU126" s="287">
        <f>AU125/AP125-1</f>
        <v>7.6603639624023501E-2</v>
      </c>
      <c r="AV126" s="287"/>
      <c r="AW126" s="287"/>
      <c r="AX126" s="287"/>
      <c r="AY126" s="287"/>
      <c r="AZ126" s="287">
        <f>AZ125/AU125-1</f>
        <v>5.1443811868492562E-2</v>
      </c>
      <c r="BA126" s="287"/>
      <c r="BB126" s="287"/>
      <c r="BC126" s="287"/>
      <c r="BD126" s="287"/>
      <c r="BE126" s="287">
        <f>BE125/AZ125-1</f>
        <v>7.8305519897304166E-2</v>
      </c>
      <c r="BF126" s="287"/>
      <c r="BG126" s="287"/>
      <c r="BH126" s="287"/>
      <c r="BI126" s="287"/>
      <c r="BJ126" s="287">
        <f>BJ125/BE125-1</f>
        <v>1.4727540500736325E-3</v>
      </c>
      <c r="BK126" s="287"/>
      <c r="BL126" s="287"/>
      <c r="BM126" s="287"/>
      <c r="BN126" s="287"/>
      <c r="BO126" s="287">
        <f>BO125/BJ125-1</f>
        <v>-2.4661410956134944E-2</v>
      </c>
      <c r="BP126" s="287"/>
      <c r="BQ126" s="287"/>
      <c r="BR126" s="287"/>
      <c r="BS126" s="287"/>
      <c r="BT126" s="287">
        <f>BT125/BO125-1</f>
        <v>-1.6558944500827399E-3</v>
      </c>
      <c r="BU126" s="288"/>
      <c r="BV126" s="288"/>
      <c r="BW126" s="288"/>
      <c r="BX126" s="288"/>
      <c r="BY126" s="287">
        <f>BY125/BT125-1</f>
        <v>4.2511293872350198E-2</v>
      </c>
      <c r="BZ126" s="288"/>
      <c r="CA126" s="288"/>
      <c r="CB126" s="288"/>
      <c r="CC126" s="288"/>
      <c r="CD126" s="287">
        <f>CD125/BY125-1</f>
        <v>1.6745759013800487E-2</v>
      </c>
      <c r="CE126" s="287">
        <f t="shared" ref="CE126:CI126" si="448">CE125/CD125-1</f>
        <v>-3.4387367064403485E-4</v>
      </c>
      <c r="CF126" s="287">
        <f t="shared" si="448"/>
        <v>2.5328032723759275E-2</v>
      </c>
      <c r="CG126" s="287">
        <f t="shared" si="448"/>
        <v>1.7954101684774404E-2</v>
      </c>
      <c r="CH126" s="287">
        <f t="shared" si="448"/>
        <v>2.3062635459548675E-2</v>
      </c>
      <c r="CI126" s="287">
        <f t="shared" si="448"/>
        <v>2.8171121507121422E-2</v>
      </c>
      <c r="CJ126" s="287">
        <f t="shared" ref="CJ126" si="449">CJ125/CI125-1</f>
        <v>2.8164317019530705E-2</v>
      </c>
      <c r="CK126" s="287">
        <f t="shared" ref="CK126" si="450">CK125/CJ125-1</f>
        <v>2.8157536937730709E-2</v>
      </c>
      <c r="CL126" s="287">
        <f t="shared" ref="CL126:CM126" si="451">CL125/CK125-1</f>
        <v>2.8150782657919704E-2</v>
      </c>
      <c r="CM126" s="287">
        <f t="shared" si="451"/>
        <v>2.8144055286794867E-2</v>
      </c>
      <c r="CN126" s="195"/>
      <c r="CO126" s="195"/>
      <c r="CP126" s="195"/>
      <c r="CQ126" s="195"/>
      <c r="CR126" s="195"/>
      <c r="CS126" s="195"/>
      <c r="CT126" s="195"/>
    </row>
    <row r="127" spans="1:100">
      <c r="A127" s="276"/>
      <c r="B127" s="287"/>
      <c r="C127" s="287"/>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8"/>
      <c r="BV127" s="288"/>
      <c r="BW127" s="288"/>
      <c r="BX127" s="288"/>
      <c r="BY127" s="287"/>
      <c r="BZ127" s="288"/>
      <c r="CA127" s="288"/>
      <c r="CB127" s="288"/>
      <c r="CC127" s="288"/>
      <c r="CD127" s="287"/>
      <c r="CE127" s="287"/>
      <c r="CF127" s="287"/>
      <c r="CG127" s="287"/>
      <c r="CH127" s="287"/>
      <c r="CI127" s="287"/>
      <c r="CJ127" s="287"/>
      <c r="CK127" s="287"/>
      <c r="CL127" s="287"/>
      <c r="CM127" s="287"/>
      <c r="CN127" s="195"/>
      <c r="CO127" s="195"/>
      <c r="CP127" s="195"/>
      <c r="CQ127" s="195"/>
      <c r="CR127" s="195"/>
      <c r="CS127" s="195"/>
      <c r="CT127" s="195"/>
    </row>
    <row r="128" spans="1:100">
      <c r="A128" s="276" t="s">
        <v>269</v>
      </c>
      <c r="B128" s="287"/>
      <c r="C128" s="287"/>
      <c r="D128" s="287"/>
      <c r="E128" s="287"/>
      <c r="F128" s="295"/>
      <c r="G128" s="295"/>
      <c r="H128" s="295"/>
      <c r="I128" s="295"/>
      <c r="J128" s="295"/>
      <c r="K128" s="295"/>
      <c r="L128" s="295"/>
      <c r="M128" s="295"/>
      <c r="N128" s="295"/>
      <c r="O128" s="295"/>
      <c r="P128" s="295"/>
      <c r="Q128" s="295"/>
      <c r="R128" s="295"/>
      <c r="S128" s="295"/>
      <c r="T128" s="295"/>
      <c r="U128" s="295"/>
      <c r="V128" s="295"/>
      <c r="W128" s="295">
        <f t="shared" ref="W128:AK128" si="452">W173/W122</f>
        <v>0.24124614089250632</v>
      </c>
      <c r="X128" s="295">
        <f t="shared" si="452"/>
        <v>0.23702890094048193</v>
      </c>
      <c r="Y128" s="295">
        <f t="shared" si="452"/>
        <v>0.23915779283639882</v>
      </c>
      <c r="Z128" s="295">
        <f t="shared" si="452"/>
        <v>0.22751819473752208</v>
      </c>
      <c r="AA128" s="295">
        <f t="shared" si="452"/>
        <v>0.2377262785611243</v>
      </c>
      <c r="AB128" s="295">
        <f t="shared" si="452"/>
        <v>0.1781219748305905</v>
      </c>
      <c r="AC128" s="295">
        <f t="shared" si="452"/>
        <v>0.18152553537914665</v>
      </c>
      <c r="AD128" s="295">
        <f t="shared" si="452"/>
        <v>0.19426200514335426</v>
      </c>
      <c r="AE128" s="295">
        <f t="shared" si="452"/>
        <v>0.1941444600280505</v>
      </c>
      <c r="AF128" s="295">
        <f t="shared" si="452"/>
        <v>0.18513086497597331</v>
      </c>
      <c r="AG128" s="295">
        <f t="shared" si="452"/>
        <v>0.19247112334669941</v>
      </c>
      <c r="AH128" s="295">
        <f t="shared" si="452"/>
        <v>0.18808279455449478</v>
      </c>
      <c r="AI128" s="295">
        <f t="shared" si="452"/>
        <v>0.18265906755115388</v>
      </c>
      <c r="AJ128" s="295">
        <f t="shared" si="452"/>
        <v>0.17650546133946537</v>
      </c>
      <c r="AK128" s="295">
        <f t="shared" si="452"/>
        <v>0.18688045559360092</v>
      </c>
      <c r="AL128" s="295"/>
      <c r="AM128" s="295"/>
      <c r="AN128" s="295"/>
      <c r="AO128" s="295"/>
      <c r="AP128" s="295">
        <f>AP173/AP122</f>
        <v>0.1870748242364092</v>
      </c>
      <c r="AQ128" s="295"/>
      <c r="AR128" s="295"/>
      <c r="AS128" s="295"/>
      <c r="AT128" s="295"/>
      <c r="AU128" s="296">
        <f>AP128*(1+AU129)</f>
        <v>0.18146257950931691</v>
      </c>
      <c r="AV128" s="296"/>
      <c r="AW128" s="296"/>
      <c r="AX128" s="296"/>
      <c r="AY128" s="296"/>
      <c r="AZ128" s="296">
        <f>AU128*(1+AZ129)</f>
        <v>0.17601870212403739</v>
      </c>
      <c r="BA128" s="296"/>
      <c r="BB128" s="296"/>
      <c r="BC128" s="296"/>
      <c r="BD128" s="296"/>
      <c r="BE128" s="296">
        <f>AZ128*(1+BE129)</f>
        <v>0.1672177670178355</v>
      </c>
      <c r="BF128" s="296"/>
      <c r="BG128" s="296"/>
      <c r="BH128" s="296"/>
      <c r="BI128" s="296"/>
      <c r="BJ128" s="296">
        <f>BE128*(1+BJ129)</f>
        <v>0.16387341167747879</v>
      </c>
      <c r="BK128" s="296"/>
      <c r="BL128" s="296"/>
      <c r="BM128" s="296"/>
      <c r="BN128" s="296"/>
      <c r="BO128" s="296">
        <f>BJ128*(1+BO129)</f>
        <v>0.16059594344392922</v>
      </c>
      <c r="BP128" s="296"/>
      <c r="BQ128" s="296"/>
      <c r="BR128" s="296"/>
      <c r="BS128" s="296"/>
      <c r="BT128" s="296">
        <f>BO128*(1+BT129)</f>
        <v>0.15738402457505063</v>
      </c>
      <c r="BU128" s="297"/>
      <c r="BV128" s="297"/>
      <c r="BW128" s="297"/>
      <c r="BX128" s="297"/>
      <c r="BY128" s="296">
        <f>BT128*(1+BY129)</f>
        <v>0.15423634408354961</v>
      </c>
      <c r="BZ128" s="297"/>
      <c r="CA128" s="297"/>
      <c r="CB128" s="297"/>
      <c r="CC128" s="297"/>
      <c r="CD128" s="296">
        <f>BY128*(1+CD129)</f>
        <v>0.15115161720187861</v>
      </c>
      <c r="CE128" s="296">
        <f t="shared" ref="CE128:CI128" si="453">CD128*(1+CE129)</f>
        <v>0.14812858485784103</v>
      </c>
      <c r="CF128" s="296">
        <f t="shared" si="453"/>
        <v>0.1451660131606842</v>
      </c>
      <c r="CG128" s="296">
        <f t="shared" si="453"/>
        <v>0.14226269289747051</v>
      </c>
      <c r="CH128" s="296">
        <f t="shared" si="453"/>
        <v>0.13941743903952108</v>
      </c>
      <c r="CI128" s="296">
        <f t="shared" si="453"/>
        <v>0.13662909025873066</v>
      </c>
      <c r="CJ128" s="296">
        <f t="shared" ref="CJ128" si="454">CI128*(1+CJ129)</f>
        <v>0.13389650845355605</v>
      </c>
      <c r="CK128" s="296">
        <f t="shared" ref="CK128" si="455">CJ128*(1+CK129)</f>
        <v>0.13121857828448494</v>
      </c>
      <c r="CL128" s="296">
        <f t="shared" ref="CL128:CM128" si="456">CK128*(1+CL129)</f>
        <v>0.12859420671879523</v>
      </c>
      <c r="CM128" s="296">
        <f t="shared" si="456"/>
        <v>0.12602232258441934</v>
      </c>
      <c r="CN128" s="195"/>
      <c r="CO128" s="195"/>
      <c r="CP128" s="195"/>
      <c r="CQ128" s="195"/>
      <c r="CR128" s="195"/>
      <c r="CS128" s="195"/>
      <c r="CT128" s="195"/>
    </row>
    <row r="129" spans="1:98">
      <c r="A129" s="276" t="str">
        <f>A126</f>
        <v>YOY Change</v>
      </c>
      <c r="B129" s="287"/>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287">
        <f t="shared" ref="AB129:AK129" si="457">AB128/W128-1</f>
        <v>-0.26165875992206022</v>
      </c>
      <c r="AC129" s="287">
        <f t="shared" si="457"/>
        <v>-0.23416286090476457</v>
      </c>
      <c r="AD129" s="287">
        <f t="shared" si="457"/>
        <v>-0.18772454437124075</v>
      </c>
      <c r="AE129" s="287">
        <f t="shared" si="457"/>
        <v>-0.14668600349951533</v>
      </c>
      <c r="AF129" s="287">
        <f t="shared" si="457"/>
        <v>-0.22124358276036205</v>
      </c>
      <c r="AG129" s="287">
        <f t="shared" si="457"/>
        <v>8.0557991397502748E-2</v>
      </c>
      <c r="AH129" s="287">
        <f t="shared" si="457"/>
        <v>3.6123067543374576E-2</v>
      </c>
      <c r="AI129" s="287">
        <f t="shared" si="457"/>
        <v>-5.9728291096542874E-2</v>
      </c>
      <c r="AJ129" s="287">
        <f t="shared" si="457"/>
        <v>-9.0855019432625528E-2</v>
      </c>
      <c r="AK129" s="287">
        <f t="shared" si="457"/>
        <v>9.4505614601578802E-3</v>
      </c>
      <c r="AL129" s="287"/>
      <c r="AM129" s="287"/>
      <c r="AN129" s="287"/>
      <c r="AO129" s="287"/>
      <c r="AP129" s="287">
        <f>AP128/AK128-1</f>
        <v>1.0400693972565378E-3</v>
      </c>
      <c r="AQ129" s="287"/>
      <c r="AR129" s="287"/>
      <c r="AS129" s="287"/>
      <c r="AT129" s="287"/>
      <c r="AU129" s="298">
        <v>-0.03</v>
      </c>
      <c r="AV129" s="298"/>
      <c r="AW129" s="298"/>
      <c r="AX129" s="287"/>
      <c r="AY129" s="287"/>
      <c r="AZ129" s="298">
        <f>AU129</f>
        <v>-0.03</v>
      </c>
      <c r="BA129" s="287"/>
      <c r="BB129" s="287"/>
      <c r="BC129" s="287"/>
      <c r="BD129" s="287"/>
      <c r="BE129" s="298">
        <v>-0.05</v>
      </c>
      <c r="BF129" s="287"/>
      <c r="BG129" s="287"/>
      <c r="BH129" s="287"/>
      <c r="BI129" s="287"/>
      <c r="BJ129" s="298">
        <v>-0.02</v>
      </c>
      <c r="BK129" s="287"/>
      <c r="BL129" s="287"/>
      <c r="BM129" s="287"/>
      <c r="BN129" s="287"/>
      <c r="BO129" s="298">
        <v>-0.02</v>
      </c>
      <c r="BP129" s="287"/>
      <c r="BQ129" s="287"/>
      <c r="BR129" s="287"/>
      <c r="BS129" s="287"/>
      <c r="BT129" s="298">
        <v>-0.02</v>
      </c>
      <c r="BU129" s="288"/>
      <c r="BV129" s="288"/>
      <c r="BW129" s="288"/>
      <c r="BX129" s="288"/>
      <c r="BY129" s="298">
        <v>-0.02</v>
      </c>
      <c r="BZ129" s="288"/>
      <c r="CA129" s="288"/>
      <c r="CB129" s="288"/>
      <c r="CC129" s="288"/>
      <c r="CD129" s="298">
        <v>-0.02</v>
      </c>
      <c r="CE129" s="298">
        <v>-0.02</v>
      </c>
      <c r="CF129" s="298">
        <v>-0.02</v>
      </c>
      <c r="CG129" s="298">
        <v>-0.02</v>
      </c>
      <c r="CH129" s="298">
        <v>-0.02</v>
      </c>
      <c r="CI129" s="298">
        <v>-0.02</v>
      </c>
      <c r="CJ129" s="298">
        <v>-0.02</v>
      </c>
      <c r="CK129" s="298">
        <v>-0.02</v>
      </c>
      <c r="CL129" s="298">
        <v>-0.02</v>
      </c>
      <c r="CM129" s="298">
        <v>-0.02</v>
      </c>
      <c r="CN129" s="195"/>
      <c r="CO129" s="195"/>
      <c r="CP129" s="195"/>
      <c r="CQ129" s="195"/>
      <c r="CR129" s="195"/>
      <c r="CS129" s="195"/>
      <c r="CT129" s="195"/>
    </row>
    <row r="130" spans="1:98">
      <c r="A130" s="286"/>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5"/>
      <c r="AQ130" s="195"/>
      <c r="AR130" s="195"/>
      <c r="AS130" s="195"/>
      <c r="AT130" s="195"/>
      <c r="AU130" s="195"/>
      <c r="AV130" s="195"/>
      <c r="AW130" s="195"/>
      <c r="AX130" s="195"/>
      <c r="AY130" s="195"/>
      <c r="AZ130" s="195"/>
      <c r="BA130" s="195"/>
      <c r="BB130" s="195"/>
      <c r="BC130" s="195"/>
      <c r="BD130" s="195"/>
      <c r="BE130" s="195"/>
      <c r="BF130" s="195"/>
      <c r="BG130" s="195"/>
      <c r="BH130" s="195"/>
      <c r="BI130" s="195"/>
      <c r="BJ130" s="195"/>
      <c r="BK130" s="195"/>
      <c r="BL130" s="195"/>
      <c r="BM130" s="195"/>
      <c r="BN130" s="195"/>
      <c r="BO130" s="195"/>
      <c r="BP130" s="195"/>
      <c r="BQ130" s="195"/>
      <c r="BR130" s="195"/>
      <c r="BS130" s="195"/>
      <c r="BT130" s="195"/>
      <c r="BU130" s="195"/>
      <c r="BV130" s="195"/>
      <c r="BW130" s="195"/>
      <c r="BX130" s="195"/>
      <c r="BY130" s="195"/>
      <c r="BZ130" s="195"/>
      <c r="CA130" s="195"/>
      <c r="CB130" s="195"/>
      <c r="CC130" s="195"/>
      <c r="CD130" s="195"/>
      <c r="CE130" s="195"/>
      <c r="CF130" s="195"/>
      <c r="CG130" s="195"/>
      <c r="CH130" s="195"/>
      <c r="CI130" s="195"/>
      <c r="CJ130" s="195"/>
      <c r="CK130" s="195"/>
      <c r="CL130" s="195"/>
      <c r="CM130" s="195"/>
      <c r="CN130" s="195"/>
      <c r="CO130" s="195"/>
      <c r="CP130" s="195"/>
      <c r="CQ130" s="195"/>
      <c r="CR130" s="195"/>
      <c r="CS130" s="195"/>
      <c r="CT130" s="195"/>
    </row>
    <row r="131" spans="1:98">
      <c r="A131" s="286"/>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5"/>
      <c r="AQ131" s="195"/>
      <c r="AR131" s="195"/>
      <c r="AS131" s="195"/>
      <c r="AT131" s="195"/>
      <c r="AU131" s="195"/>
      <c r="AV131" s="195"/>
      <c r="AW131" s="195"/>
      <c r="AX131" s="195"/>
      <c r="AY131" s="195"/>
      <c r="AZ131" s="195"/>
      <c r="BA131" s="195"/>
      <c r="BB131" s="195"/>
      <c r="BC131" s="195"/>
      <c r="BD131" s="195"/>
      <c r="BE131" s="195"/>
      <c r="BF131" s="195"/>
      <c r="BG131" s="195"/>
      <c r="BH131" s="195"/>
      <c r="BI131" s="195"/>
      <c r="BJ131" s="195"/>
      <c r="BK131" s="195"/>
      <c r="BL131" s="195"/>
      <c r="BM131" s="195"/>
      <c r="BN131" s="195"/>
      <c r="BO131" s="195"/>
      <c r="BP131" s="195"/>
      <c r="BQ131" s="195"/>
      <c r="BR131" s="195"/>
      <c r="BS131" s="195"/>
      <c r="BT131" s="195"/>
      <c r="BU131" s="195"/>
      <c r="BV131" s="195"/>
      <c r="BW131" s="195"/>
      <c r="BX131" s="195"/>
      <c r="BY131" s="195"/>
      <c r="BZ131" s="195"/>
      <c r="CA131" s="195"/>
      <c r="CB131" s="195"/>
      <c r="CC131" s="195"/>
      <c r="CD131" s="195"/>
      <c r="CE131" s="195"/>
      <c r="CF131" s="195"/>
      <c r="CG131" s="195"/>
      <c r="CH131" s="195"/>
      <c r="CI131" s="195"/>
      <c r="CJ131" s="195"/>
      <c r="CK131" s="195"/>
      <c r="CL131" s="195"/>
      <c r="CM131" s="195"/>
      <c r="CN131" s="195"/>
      <c r="CO131" s="195"/>
      <c r="CP131" s="195"/>
      <c r="CQ131" s="195"/>
      <c r="CR131" s="195"/>
      <c r="CS131" s="195"/>
      <c r="CT131" s="195"/>
    </row>
    <row r="132" spans="1:98">
      <c r="A132" s="237" t="s">
        <v>32</v>
      </c>
      <c r="B132" s="237">
        <f>B121</f>
        <v>2007</v>
      </c>
      <c r="C132" s="237"/>
      <c r="D132" s="237"/>
      <c r="E132" s="237"/>
      <c r="F132" s="237"/>
      <c r="G132" s="237">
        <f>B132+1</f>
        <v>2008</v>
      </c>
      <c r="H132" s="237"/>
      <c r="I132" s="237"/>
      <c r="J132" s="237"/>
      <c r="K132" s="237"/>
      <c r="L132" s="237">
        <f>G132+1</f>
        <v>2009</v>
      </c>
      <c r="M132" s="237"/>
      <c r="N132" s="237"/>
      <c r="O132" s="237"/>
      <c r="P132" s="237"/>
      <c r="Q132" s="237">
        <f>L132+1</f>
        <v>2010</v>
      </c>
      <c r="R132" s="237"/>
      <c r="S132" s="237"/>
      <c r="T132" s="237"/>
      <c r="U132" s="237"/>
      <c r="V132" s="237">
        <f>Q132+1</f>
        <v>2011</v>
      </c>
      <c r="W132" s="237"/>
      <c r="X132" s="237"/>
      <c r="Y132" s="237"/>
      <c r="Z132" s="237"/>
      <c r="AA132" s="237">
        <f>V132+1</f>
        <v>2012</v>
      </c>
      <c r="AB132" s="237"/>
      <c r="AC132" s="237"/>
      <c r="AD132" s="237"/>
      <c r="AE132" s="237"/>
      <c r="AF132" s="237">
        <f>AA132+1</f>
        <v>2013</v>
      </c>
      <c r="AG132" s="237"/>
      <c r="AH132" s="237"/>
      <c r="AI132" s="237"/>
      <c r="AJ132" s="237"/>
      <c r="AK132" s="237">
        <f>AF132+1</f>
        <v>2014</v>
      </c>
      <c r="AL132" s="237"/>
      <c r="AM132" s="237"/>
      <c r="AN132" s="237"/>
      <c r="AO132" s="237"/>
      <c r="AP132" s="237">
        <f>AK132+1</f>
        <v>2015</v>
      </c>
      <c r="AQ132" s="237"/>
      <c r="AR132" s="237"/>
      <c r="AS132" s="237"/>
      <c r="AT132" s="237"/>
      <c r="AU132" s="237">
        <f>AP132+1</f>
        <v>2016</v>
      </c>
      <c r="AV132" s="237"/>
      <c r="AW132" s="237"/>
      <c r="AX132" s="237"/>
      <c r="AY132" s="237"/>
      <c r="AZ132" s="237">
        <f>AU132+1</f>
        <v>2017</v>
      </c>
      <c r="BA132" s="237"/>
      <c r="BB132" s="237"/>
      <c r="BC132" s="237"/>
      <c r="BD132" s="237"/>
      <c r="BE132" s="237">
        <f>AZ132+1</f>
        <v>2018</v>
      </c>
      <c r="BF132" s="237"/>
      <c r="BG132" s="237"/>
      <c r="BH132" s="237"/>
      <c r="BI132" s="237"/>
      <c r="BJ132" s="237">
        <f>BE132+1</f>
        <v>2019</v>
      </c>
      <c r="BK132" s="237"/>
      <c r="BL132" s="237"/>
      <c r="BM132" s="237"/>
      <c r="BN132" s="237"/>
      <c r="BO132" s="237">
        <f>BJ132+1</f>
        <v>2020</v>
      </c>
      <c r="BP132" s="237"/>
      <c r="BQ132" s="237"/>
      <c r="BR132" s="237"/>
      <c r="BS132" s="237"/>
      <c r="BT132" s="237">
        <f>BO132+1</f>
        <v>2021</v>
      </c>
      <c r="BU132" s="237"/>
      <c r="BV132" s="237"/>
      <c r="BW132" s="237"/>
      <c r="BX132" s="237"/>
      <c r="BY132" s="237">
        <f>BT132+1</f>
        <v>2022</v>
      </c>
      <c r="BZ132" s="237"/>
      <c r="CA132" s="237"/>
      <c r="CB132" s="237"/>
      <c r="CC132" s="237"/>
      <c r="CD132" s="237">
        <f>BY132+1</f>
        <v>2023</v>
      </c>
      <c r="CE132" s="237">
        <f t="shared" ref="CE132:CI132" si="458">CD132+1</f>
        <v>2024</v>
      </c>
      <c r="CF132" s="237">
        <f t="shared" si="458"/>
        <v>2025</v>
      </c>
      <c r="CG132" s="237">
        <f t="shared" si="458"/>
        <v>2026</v>
      </c>
      <c r="CH132" s="237">
        <f t="shared" si="458"/>
        <v>2027</v>
      </c>
      <c r="CI132" s="237">
        <f t="shared" si="458"/>
        <v>2028</v>
      </c>
      <c r="CJ132" s="237">
        <f t="shared" ref="CJ132" si="459">CI132+1</f>
        <v>2029</v>
      </c>
      <c r="CK132" s="237">
        <f t="shared" ref="CK132" si="460">CJ132+1</f>
        <v>2030</v>
      </c>
      <c r="CL132" s="237">
        <f t="shared" ref="CL132:CM132" si="461">CK132+1</f>
        <v>2031</v>
      </c>
      <c r="CM132" s="237">
        <f t="shared" si="461"/>
        <v>2032</v>
      </c>
      <c r="CN132" s="195"/>
      <c r="CO132" s="195"/>
      <c r="CP132" s="195"/>
      <c r="CQ132" s="195"/>
      <c r="CR132" s="195"/>
      <c r="CS132" s="195"/>
      <c r="CT132" s="195"/>
    </row>
    <row r="133" spans="1:98">
      <c r="A133" s="286" t="s">
        <v>33</v>
      </c>
      <c r="B133" s="299">
        <v>0.14400000000000002</v>
      </c>
      <c r="C133" s="299"/>
      <c r="D133" s="299"/>
      <c r="E133" s="299">
        <v>0.14399999999999999</v>
      </c>
      <c r="F133" s="299"/>
      <c r="G133" s="299">
        <v>0.14399999999999999</v>
      </c>
      <c r="H133" s="299"/>
      <c r="I133" s="299"/>
      <c r="J133" s="299"/>
      <c r="K133" s="299"/>
      <c r="L133" s="299">
        <v>0.14687999999999998</v>
      </c>
      <c r="M133" s="299"/>
      <c r="N133" s="299"/>
      <c r="O133" s="299"/>
      <c r="P133" s="299"/>
      <c r="Q133" s="299">
        <v>0.1498176</v>
      </c>
      <c r="R133" s="299"/>
      <c r="S133" s="299"/>
      <c r="T133" s="299"/>
      <c r="U133" s="299"/>
      <c r="V133" s="299">
        <v>0.152813952</v>
      </c>
      <c r="W133" s="299"/>
      <c r="X133" s="299"/>
      <c r="Y133" s="299"/>
      <c r="Z133" s="299"/>
      <c r="AA133" s="299">
        <v>0.15587023104</v>
      </c>
      <c r="AB133" s="299"/>
      <c r="AC133" s="299"/>
      <c r="AD133" s="299"/>
      <c r="AE133" s="299"/>
      <c r="AF133" s="299">
        <v>0.15898763566080001</v>
      </c>
      <c r="AG133" s="299"/>
      <c r="AH133" s="299"/>
      <c r="AI133" s="299"/>
      <c r="AJ133" s="299"/>
      <c r="AK133" s="299">
        <v>0.16216738837401601</v>
      </c>
      <c r="AL133" s="299"/>
      <c r="AM133" s="299"/>
      <c r="AN133" s="299"/>
      <c r="AO133" s="299"/>
      <c r="AP133" s="299">
        <v>0.16541073614149635</v>
      </c>
      <c r="AQ133" s="299"/>
      <c r="AR133" s="299"/>
      <c r="AS133" s="299"/>
      <c r="AT133" s="228"/>
      <c r="AU133" s="299">
        <f>AP133+0.5%</f>
        <v>0.17041073614149635</v>
      </c>
      <c r="AV133" s="299"/>
      <c r="AW133" s="299"/>
      <c r="AX133" s="228"/>
      <c r="AY133" s="228"/>
      <c r="AZ133" s="299">
        <f>AU133+0.4%</f>
        <v>0.17441073614149635</v>
      </c>
      <c r="BA133" s="228"/>
      <c r="BB133" s="228"/>
      <c r="BC133" s="228"/>
      <c r="BD133" s="228"/>
      <c r="BE133" s="299">
        <f>AZ133+0.4%</f>
        <v>0.17841073614149636</v>
      </c>
      <c r="BF133" s="228"/>
      <c r="BG133" s="228"/>
      <c r="BH133" s="228"/>
      <c r="BI133" s="228"/>
      <c r="BJ133" s="299">
        <v>0.17</v>
      </c>
      <c r="BK133" s="228"/>
      <c r="BL133" s="228"/>
      <c r="BM133" s="228"/>
      <c r="BN133" s="228"/>
      <c r="BO133" s="299">
        <v>0.17</v>
      </c>
      <c r="BP133" s="228"/>
      <c r="BQ133" s="228"/>
      <c r="BR133" s="228"/>
      <c r="BS133" s="228"/>
      <c r="BT133" s="299">
        <v>0.17</v>
      </c>
      <c r="BU133" s="228"/>
      <c r="BV133" s="228"/>
      <c r="BW133" s="228"/>
      <c r="BX133" s="228"/>
      <c r="BY133" s="299">
        <v>0.17</v>
      </c>
      <c r="BZ133" s="228"/>
      <c r="CA133" s="228"/>
      <c r="CB133" s="228"/>
      <c r="CC133" s="228"/>
      <c r="CD133" s="299">
        <f>BY133+0.4%</f>
        <v>0.17400000000000002</v>
      </c>
      <c r="CE133" s="299">
        <f>CD133+0.4%</f>
        <v>0.17800000000000002</v>
      </c>
      <c r="CF133" s="299">
        <f>CE133</f>
        <v>0.17800000000000002</v>
      </c>
      <c r="CG133" s="299">
        <f>CF133</f>
        <v>0.17800000000000002</v>
      </c>
      <c r="CH133" s="299">
        <f>CG133</f>
        <v>0.17800000000000002</v>
      </c>
      <c r="CI133" s="299">
        <f>CH133</f>
        <v>0.17800000000000002</v>
      </c>
      <c r="CJ133" s="299">
        <f t="shared" ref="CJ133:CL133" si="462">CI133</f>
        <v>0.17800000000000002</v>
      </c>
      <c r="CK133" s="299">
        <f t="shared" si="462"/>
        <v>0.17800000000000002</v>
      </c>
      <c r="CL133" s="299">
        <f t="shared" si="462"/>
        <v>0.17800000000000002</v>
      </c>
      <c r="CM133" s="299">
        <f t="shared" ref="CM133" si="463">CL133</f>
        <v>0.17800000000000002</v>
      </c>
      <c r="CN133" s="195"/>
      <c r="CO133" s="195"/>
      <c r="CP133" s="195"/>
      <c r="CQ133" s="195"/>
      <c r="CR133" s="195"/>
      <c r="CS133" s="195"/>
      <c r="CT133" s="195"/>
    </row>
    <row r="134" spans="1:98">
      <c r="A134" s="273" t="s">
        <v>34</v>
      </c>
      <c r="B134" s="198"/>
      <c r="C134" s="198"/>
      <c r="D134" s="198"/>
      <c r="E134" s="198"/>
      <c r="F134" s="198"/>
      <c r="G134" s="198">
        <f t="shared" ref="G134:L134" si="464">G133*(G114)</f>
        <v>1406.1599999999999</v>
      </c>
      <c r="H134" s="198">
        <f t="shared" si="464"/>
        <v>0</v>
      </c>
      <c r="I134" s="198">
        <f t="shared" si="464"/>
        <v>0</v>
      </c>
      <c r="J134" s="198">
        <f t="shared" si="464"/>
        <v>0</v>
      </c>
      <c r="K134" s="198">
        <f t="shared" si="464"/>
        <v>0</v>
      </c>
      <c r="L134" s="198">
        <f t="shared" si="464"/>
        <v>1650.0646079999999</v>
      </c>
      <c r="M134" s="198"/>
      <c r="N134" s="198"/>
      <c r="O134" s="198"/>
      <c r="P134" s="198"/>
      <c r="Q134" s="198">
        <f>Q133*(Q114)</f>
        <v>1841.4081216</v>
      </c>
      <c r="R134" s="198"/>
      <c r="S134" s="198"/>
      <c r="T134" s="198"/>
      <c r="U134" s="198"/>
      <c r="V134" s="198">
        <f>V133*(V114)</f>
        <v>2132.3658862080001</v>
      </c>
      <c r="W134" s="198"/>
      <c r="X134" s="198"/>
      <c r="Y134" s="198"/>
      <c r="Z134" s="198"/>
      <c r="AA134" s="198">
        <f>AA133*(AA114)</f>
        <v>1985.0073922944</v>
      </c>
      <c r="AB134" s="198"/>
      <c r="AC134" s="198"/>
      <c r="AD134" s="198"/>
      <c r="AE134" s="198"/>
      <c r="AF134" s="198">
        <f>AF133*(AF114)</f>
        <v>2240.2947740963332</v>
      </c>
      <c r="AG134" s="198"/>
      <c r="AH134" s="198"/>
      <c r="AI134" s="198"/>
      <c r="AJ134" s="198"/>
      <c r="AK134" s="198">
        <f>AK133*(AK114)</f>
        <v>2090.8241383061886</v>
      </c>
      <c r="AL134" s="198"/>
      <c r="AM134" s="198"/>
      <c r="AN134" s="198"/>
      <c r="AO134" s="198"/>
      <c r="AP134" s="198">
        <f>AP133*(AP114)</f>
        <v>2135.9488357951423</v>
      </c>
      <c r="AQ134" s="198"/>
      <c r="AR134" s="198"/>
      <c r="AS134" s="198"/>
      <c r="AT134" s="198"/>
      <c r="AU134" s="198">
        <f>AU133*(AU114)</f>
        <v>2163.1938845801546</v>
      </c>
      <c r="AV134" s="198"/>
      <c r="AW134" s="198"/>
      <c r="AX134" s="198"/>
      <c r="AY134" s="198"/>
      <c r="AZ134" s="198">
        <f>AZ133*(AZ114)</f>
        <v>2080.0224392234854</v>
      </c>
      <c r="BA134" s="198"/>
      <c r="BB134" s="198"/>
      <c r="BC134" s="198"/>
      <c r="BD134" s="198"/>
      <c r="BE134" s="198">
        <f>BE133*(BE114)</f>
        <v>1949.6725245542723</v>
      </c>
      <c r="BF134" s="198"/>
      <c r="BG134" s="198"/>
      <c r="BH134" s="198"/>
      <c r="BI134" s="198"/>
      <c r="BJ134" s="198">
        <f>BJ133*(BJ114)</f>
        <v>1829.3700000000001</v>
      </c>
      <c r="BK134" s="198"/>
      <c r="BL134" s="198"/>
      <c r="BM134" s="198"/>
      <c r="BN134" s="198"/>
      <c r="BO134" s="198">
        <f>BO133*(BO114)</f>
        <v>1892.1000000000001</v>
      </c>
      <c r="BP134" s="198"/>
      <c r="BQ134" s="198"/>
      <c r="BR134" s="198"/>
      <c r="BS134" s="198"/>
      <c r="BT134" s="198">
        <f>BT133*(BT114)</f>
        <v>1892.44</v>
      </c>
      <c r="BU134" s="198"/>
      <c r="BV134" s="198"/>
      <c r="BW134" s="198"/>
      <c r="BX134" s="198"/>
      <c r="BY134" s="198">
        <f>BY133*(BY114)</f>
        <v>1975.0600000000002</v>
      </c>
      <c r="BZ134" s="198"/>
      <c r="CA134" s="198"/>
      <c r="CB134" s="198"/>
      <c r="CC134" s="198"/>
      <c r="CD134" s="198">
        <f t="shared" ref="CD134:CI134" si="465">CD133*(CD114)</f>
        <v>2042.4120000000003</v>
      </c>
      <c r="CE134" s="198">
        <f t="shared" si="465"/>
        <v>2226.9580000000001</v>
      </c>
      <c r="CF134" s="198">
        <f t="shared" si="465"/>
        <v>2280.5896160166576</v>
      </c>
      <c r="CG134" s="198">
        <f t="shared" si="465"/>
        <v>2320.6785747229328</v>
      </c>
      <c r="CH134" s="198">
        <f t="shared" si="465"/>
        <v>2358.228464207938</v>
      </c>
      <c r="CI134" s="198">
        <f t="shared" si="465"/>
        <v>2393.4882127139799</v>
      </c>
      <c r="CJ134" s="198">
        <f t="shared" ref="CJ134:CL134" si="466">CJ133*(CJ114)</f>
        <v>2426.6830080718851</v>
      </c>
      <c r="CK134" s="198">
        <f t="shared" si="466"/>
        <v>2458.0165650714707</v>
      </c>
      <c r="CL134" s="198">
        <f t="shared" si="466"/>
        <v>2487.6731762989475</v>
      </c>
      <c r="CM134" s="198">
        <f t="shared" ref="CM134" si="467">CM133*(CM114)</f>
        <v>2515.8195671201593</v>
      </c>
      <c r="CN134" s="195"/>
      <c r="CO134" s="195"/>
      <c r="CP134" s="195"/>
      <c r="CQ134" s="195"/>
      <c r="CR134" s="195"/>
      <c r="CS134" s="195"/>
      <c r="CT134" s="195"/>
    </row>
    <row r="135" spans="1:98">
      <c r="A135" s="273" t="s">
        <v>35</v>
      </c>
      <c r="B135" s="198"/>
      <c r="C135" s="198"/>
      <c r="D135" s="198"/>
      <c r="E135" s="198"/>
      <c r="F135" s="198"/>
      <c r="G135" s="198">
        <f>G115</f>
        <v>1469.1000000000004</v>
      </c>
      <c r="H135" s="198"/>
      <c r="I135" s="198"/>
      <c r="J135" s="198"/>
      <c r="K135" s="198"/>
      <c r="L135" s="198">
        <f>L115</f>
        <v>1056.8999999999996</v>
      </c>
      <c r="M135" s="198"/>
      <c r="N135" s="198"/>
      <c r="O135" s="198"/>
      <c r="P135" s="198"/>
      <c r="Q135" s="198">
        <f>Q115</f>
        <v>1663</v>
      </c>
      <c r="R135" s="198"/>
      <c r="S135" s="198"/>
      <c r="T135" s="198"/>
      <c r="U135" s="198"/>
      <c r="V135" s="198">
        <f>V115</f>
        <v>-1219</v>
      </c>
      <c r="W135" s="198"/>
      <c r="X135" s="198"/>
      <c r="Y135" s="198"/>
      <c r="Z135" s="198"/>
      <c r="AA135" s="198">
        <f>AA115</f>
        <v>1356</v>
      </c>
      <c r="AB135" s="198"/>
      <c r="AC135" s="198"/>
      <c r="AD135" s="198"/>
      <c r="AE135" s="198"/>
      <c r="AF135" s="198">
        <f>AF115</f>
        <v>-1198</v>
      </c>
      <c r="AG135" s="198"/>
      <c r="AH135" s="198"/>
      <c r="AI135" s="198"/>
      <c r="AJ135" s="198"/>
      <c r="AK135" s="198">
        <f>AK115</f>
        <v>20</v>
      </c>
      <c r="AL135" s="198"/>
      <c r="AM135" s="198"/>
      <c r="AN135" s="198"/>
      <c r="AO135" s="198"/>
      <c r="AP135" s="198">
        <f>AP115</f>
        <v>-219</v>
      </c>
      <c r="AQ135" s="198"/>
      <c r="AR135" s="198"/>
      <c r="AS135" s="198"/>
      <c r="AT135" s="198"/>
      <c r="AU135" s="198">
        <f>AU115</f>
        <v>-768</v>
      </c>
      <c r="AV135" s="198"/>
      <c r="AW135" s="198"/>
      <c r="AX135" s="198"/>
      <c r="AY135" s="198"/>
      <c r="AZ135" s="198">
        <f>AZ115</f>
        <v>-998</v>
      </c>
      <c r="BA135" s="198"/>
      <c r="BB135" s="198"/>
      <c r="BC135" s="198"/>
      <c r="BD135" s="198"/>
      <c r="BE135" s="198">
        <f>BE115</f>
        <v>-167</v>
      </c>
      <c r="BF135" s="198"/>
      <c r="BG135" s="198"/>
      <c r="BH135" s="198"/>
      <c r="BI135" s="198"/>
      <c r="BJ135" s="198">
        <f>BJ115</f>
        <v>369</v>
      </c>
      <c r="BK135" s="198"/>
      <c r="BL135" s="198"/>
      <c r="BM135" s="198"/>
      <c r="BN135" s="198"/>
      <c r="BO135" s="198">
        <f>BO115</f>
        <v>2</v>
      </c>
      <c r="BP135" s="198"/>
      <c r="BQ135" s="198"/>
      <c r="BR135" s="198"/>
      <c r="BS135" s="198"/>
      <c r="BT135" s="198">
        <f>BT115</f>
        <v>486</v>
      </c>
      <c r="BU135" s="198"/>
      <c r="BV135" s="198"/>
      <c r="BW135" s="198"/>
      <c r="BX135" s="198"/>
      <c r="BY135" s="198">
        <f>BY115</f>
        <v>120</v>
      </c>
      <c r="BZ135" s="198"/>
      <c r="CA135" s="198"/>
      <c r="CB135" s="198"/>
      <c r="CC135" s="198"/>
      <c r="CD135" s="198">
        <f t="shared" ref="CD135:CI135" si="468">CD115</f>
        <v>773</v>
      </c>
      <c r="CE135" s="198">
        <f t="shared" si="468"/>
        <v>301.3012135767276</v>
      </c>
      <c r="CF135" s="198">
        <f t="shared" si="468"/>
        <v>225.21886913637718</v>
      </c>
      <c r="CG135" s="198">
        <f t="shared" si="468"/>
        <v>210.95443530901684</v>
      </c>
      <c r="CH135" s="198">
        <f t="shared" si="468"/>
        <v>198.08847475304538</v>
      </c>
      <c r="CI135" s="198">
        <f t="shared" si="468"/>
        <v>186.48761437025314</v>
      </c>
      <c r="CJ135" s="198">
        <f t="shared" ref="CJ135:CL135" si="469">CJ115</f>
        <v>176.03121909879519</v>
      </c>
      <c r="CK135" s="198">
        <f t="shared" si="469"/>
        <v>166.61017543526395</v>
      </c>
      <c r="CL135" s="198">
        <f t="shared" si="469"/>
        <v>158.12579113040374</v>
      </c>
      <c r="CM135" s="198">
        <f t="shared" ref="CM135" si="470">CM115</f>
        <v>150.48879996390497</v>
      </c>
      <c r="CN135" s="195"/>
      <c r="CO135" s="195"/>
      <c r="CP135" s="195"/>
      <c r="CQ135" s="195"/>
      <c r="CR135" s="195"/>
      <c r="CS135" s="195"/>
      <c r="CT135" s="195"/>
    </row>
    <row r="136" spans="1:98">
      <c r="A136" s="273" t="s">
        <v>36</v>
      </c>
      <c r="B136" s="198"/>
      <c r="C136" s="198"/>
      <c r="D136" s="198"/>
      <c r="E136" s="198"/>
      <c r="F136" s="198"/>
      <c r="G136" s="198">
        <f>SUM(G134:G135)</f>
        <v>2875.26</v>
      </c>
      <c r="H136" s="198"/>
      <c r="I136" s="198"/>
      <c r="J136" s="198"/>
      <c r="K136" s="198"/>
      <c r="L136" s="198">
        <f>SUM(L134:L135)</f>
        <v>2706.9646079999993</v>
      </c>
      <c r="M136" s="198"/>
      <c r="N136" s="198"/>
      <c r="O136" s="198"/>
      <c r="P136" s="198"/>
      <c r="Q136" s="198">
        <f>SUM(Q134:Q135)</f>
        <v>3504.4081216</v>
      </c>
      <c r="R136" s="198"/>
      <c r="S136" s="198"/>
      <c r="T136" s="198"/>
      <c r="U136" s="198"/>
      <c r="V136" s="198">
        <f>SUM(V134:V135)</f>
        <v>913.36588620800012</v>
      </c>
      <c r="W136" s="198"/>
      <c r="X136" s="198"/>
      <c r="Y136" s="198"/>
      <c r="Z136" s="198"/>
      <c r="AA136" s="198">
        <f>SUM(AA134:AA135)</f>
        <v>3341.0073922944002</v>
      </c>
      <c r="AB136" s="198"/>
      <c r="AC136" s="198"/>
      <c r="AD136" s="198"/>
      <c r="AE136" s="198"/>
      <c r="AF136" s="198">
        <f>SUM(AF134:AF135)</f>
        <v>1042.2947740963332</v>
      </c>
      <c r="AG136" s="198"/>
      <c r="AH136" s="198"/>
      <c r="AI136" s="198"/>
      <c r="AJ136" s="198"/>
      <c r="AK136" s="198">
        <f>SUM(AK134:AK135)</f>
        <v>2110.8241383061886</v>
      </c>
      <c r="AL136" s="198"/>
      <c r="AM136" s="198"/>
      <c r="AN136" s="198"/>
      <c r="AO136" s="198"/>
      <c r="AP136" s="198">
        <f>SUM(AP134:AP135)</f>
        <v>1916.9488357951423</v>
      </c>
      <c r="AQ136" s="198"/>
      <c r="AR136" s="198"/>
      <c r="AS136" s="198"/>
      <c r="AT136" s="198"/>
      <c r="AU136" s="198">
        <f>SUM(AU134:AU135)</f>
        <v>1395.1938845801546</v>
      </c>
      <c r="AV136" s="198"/>
      <c r="AW136" s="198"/>
      <c r="AX136" s="198"/>
      <c r="AY136" s="198"/>
      <c r="AZ136" s="198">
        <f>SUM(AZ134:AZ135)</f>
        <v>1082.0224392234854</v>
      </c>
      <c r="BA136" s="198"/>
      <c r="BB136" s="198"/>
      <c r="BC136" s="198"/>
      <c r="BD136" s="198"/>
      <c r="BE136" s="198">
        <f>SUM(BE134:BE135)</f>
        <v>1782.6725245542723</v>
      </c>
      <c r="BF136" s="198"/>
      <c r="BG136" s="198"/>
      <c r="BH136" s="198"/>
      <c r="BI136" s="198"/>
      <c r="BJ136" s="198">
        <f>SUM(BJ134:BJ135)</f>
        <v>2198.37</v>
      </c>
      <c r="BK136" s="198"/>
      <c r="BL136" s="198"/>
      <c r="BM136" s="198"/>
      <c r="BN136" s="198"/>
      <c r="BO136" s="198">
        <f>SUM(BO134:BO135)</f>
        <v>1894.1000000000001</v>
      </c>
      <c r="BP136" s="198"/>
      <c r="BQ136" s="198"/>
      <c r="BR136" s="198"/>
      <c r="BS136" s="198"/>
      <c r="BT136" s="198">
        <f>SUM(BT134:BT135)</f>
        <v>2378.44</v>
      </c>
      <c r="BU136" s="198"/>
      <c r="BV136" s="198"/>
      <c r="BW136" s="198"/>
      <c r="BX136" s="198"/>
      <c r="BY136" s="198">
        <f>SUM(BY134:BY135)</f>
        <v>2095.0600000000004</v>
      </c>
      <c r="BZ136" s="198"/>
      <c r="CA136" s="198"/>
      <c r="CB136" s="198"/>
      <c r="CC136" s="198"/>
      <c r="CD136" s="198">
        <f t="shared" ref="CD136:CI136" si="471">SUM(CD134:CD135)</f>
        <v>2815.4120000000003</v>
      </c>
      <c r="CE136" s="198">
        <f t="shared" si="471"/>
        <v>2528.2592135767277</v>
      </c>
      <c r="CF136" s="198">
        <f t="shared" si="471"/>
        <v>2505.8084851530348</v>
      </c>
      <c r="CG136" s="198">
        <f t="shared" si="471"/>
        <v>2531.6330100319497</v>
      </c>
      <c r="CH136" s="198">
        <f t="shared" si="471"/>
        <v>2556.3169389609834</v>
      </c>
      <c r="CI136" s="198">
        <f t="shared" si="471"/>
        <v>2579.9758270842331</v>
      </c>
      <c r="CJ136" s="198">
        <f t="shared" ref="CJ136:CL136" si="472">SUM(CJ134:CJ135)</f>
        <v>2602.7142271706803</v>
      </c>
      <c r="CK136" s="198">
        <f t="shared" si="472"/>
        <v>2624.6267405067347</v>
      </c>
      <c r="CL136" s="198">
        <f t="shared" si="472"/>
        <v>2645.7989674293513</v>
      </c>
      <c r="CM136" s="198">
        <f t="shared" ref="CM136" si="473">SUM(CM134:CM135)</f>
        <v>2666.3083670840642</v>
      </c>
      <c r="CN136" s="195"/>
      <c r="CO136" s="195"/>
      <c r="CP136" s="195"/>
      <c r="CQ136" s="195"/>
      <c r="CR136" s="195"/>
      <c r="CS136" s="195"/>
      <c r="CT136" s="195"/>
    </row>
    <row r="137" spans="1:98">
      <c r="A137" s="273"/>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5"/>
      <c r="CO137" s="195"/>
      <c r="CP137" s="195"/>
      <c r="CQ137" s="195"/>
      <c r="CR137" s="195"/>
      <c r="CS137" s="195"/>
      <c r="CT137" s="195"/>
    </row>
    <row r="138" spans="1:98" hidden="1" outlineLevel="1">
      <c r="A138" s="237" t="s">
        <v>37</v>
      </c>
      <c r="B138" s="237">
        <f>B132</f>
        <v>2007</v>
      </c>
      <c r="C138" s="237"/>
      <c r="D138" s="237"/>
      <c r="E138" s="237"/>
      <c r="F138" s="237"/>
      <c r="G138" s="237">
        <f>B138+1</f>
        <v>2008</v>
      </c>
      <c r="H138" s="237"/>
      <c r="I138" s="237"/>
      <c r="J138" s="237"/>
      <c r="K138" s="237"/>
      <c r="L138" s="237">
        <f>G138+1</f>
        <v>2009</v>
      </c>
      <c r="M138" s="237"/>
      <c r="N138" s="237"/>
      <c r="O138" s="237"/>
      <c r="P138" s="237"/>
      <c r="Q138" s="237">
        <f>L138+1</f>
        <v>2010</v>
      </c>
      <c r="R138" s="237"/>
      <c r="S138" s="237"/>
      <c r="T138" s="237"/>
      <c r="U138" s="237"/>
      <c r="V138" s="237">
        <f>Q138+1</f>
        <v>2011</v>
      </c>
      <c r="W138" s="237"/>
      <c r="X138" s="237"/>
      <c r="Y138" s="237"/>
      <c r="Z138" s="237"/>
      <c r="AA138" s="237">
        <f>V138+1</f>
        <v>2012</v>
      </c>
      <c r="AB138" s="237"/>
      <c r="AC138" s="237"/>
      <c r="AD138" s="237"/>
      <c r="AE138" s="237"/>
      <c r="AF138" s="237">
        <f>AA138+1</f>
        <v>2013</v>
      </c>
      <c r="AG138" s="237"/>
      <c r="AH138" s="237"/>
      <c r="AI138" s="237"/>
      <c r="AJ138" s="237"/>
      <c r="AK138" s="237">
        <f>AF138+1</f>
        <v>2014</v>
      </c>
      <c r="AL138" s="237"/>
      <c r="AM138" s="237"/>
      <c r="AN138" s="237"/>
      <c r="AO138" s="237"/>
      <c r="AP138" s="237">
        <f>AK138+1</f>
        <v>2015</v>
      </c>
      <c r="AQ138" s="237"/>
      <c r="AR138" s="237"/>
      <c r="AS138" s="237"/>
      <c r="AT138" s="237"/>
      <c r="AU138" s="237">
        <f>AP138+1</f>
        <v>2016</v>
      </c>
      <c r="AV138" s="237"/>
      <c r="AW138" s="237"/>
      <c r="AX138" s="237"/>
      <c r="AY138" s="237"/>
      <c r="AZ138" s="237">
        <f>AU138+1</f>
        <v>2017</v>
      </c>
      <c r="BA138" s="237"/>
      <c r="BB138" s="237"/>
      <c r="BC138" s="237"/>
      <c r="BD138" s="237"/>
      <c r="BE138" s="237">
        <f>AZ138+1</f>
        <v>2018</v>
      </c>
      <c r="BF138" s="237"/>
      <c r="BG138" s="237"/>
      <c r="BH138" s="237"/>
      <c r="BI138" s="237"/>
      <c r="BJ138" s="237">
        <f>BE138+1</f>
        <v>2019</v>
      </c>
      <c r="BK138" s="237"/>
      <c r="BL138" s="237"/>
      <c r="BM138" s="237"/>
      <c r="BN138" s="237"/>
      <c r="BO138" s="237">
        <f>BJ138+1</f>
        <v>2020</v>
      </c>
      <c r="BP138" s="237"/>
      <c r="BQ138" s="237"/>
      <c r="BR138" s="237"/>
      <c r="BS138" s="237"/>
      <c r="BT138" s="237">
        <f>BO138+1</f>
        <v>2021</v>
      </c>
      <c r="BU138" s="237"/>
      <c r="BV138" s="237"/>
      <c r="BW138" s="237"/>
      <c r="BX138" s="237"/>
      <c r="BY138" s="237">
        <f>BT138+1</f>
        <v>2022</v>
      </c>
      <c r="BZ138" s="237"/>
      <c r="CA138" s="237"/>
      <c r="CB138" s="237"/>
      <c r="CC138" s="237"/>
      <c r="CD138" s="237">
        <f>BY138+1</f>
        <v>2023</v>
      </c>
      <c r="CE138" s="237">
        <f t="shared" ref="CE138:CI138" si="474">CD138+1</f>
        <v>2024</v>
      </c>
      <c r="CF138" s="237">
        <f t="shared" si="474"/>
        <v>2025</v>
      </c>
      <c r="CG138" s="237">
        <f t="shared" si="474"/>
        <v>2026</v>
      </c>
      <c r="CH138" s="237">
        <f t="shared" si="474"/>
        <v>2027</v>
      </c>
      <c r="CI138" s="237">
        <f t="shared" si="474"/>
        <v>2028</v>
      </c>
      <c r="CJ138" s="237">
        <f t="shared" ref="CJ138" si="475">CI138+1</f>
        <v>2029</v>
      </c>
      <c r="CK138" s="237">
        <f t="shared" ref="CK138" si="476">CJ138+1</f>
        <v>2030</v>
      </c>
      <c r="CL138" s="237">
        <f t="shared" ref="CL138:CM138" si="477">CK138+1</f>
        <v>2031</v>
      </c>
      <c r="CM138" s="237">
        <f t="shared" si="477"/>
        <v>2032</v>
      </c>
      <c r="CN138" s="195"/>
      <c r="CO138" s="195"/>
      <c r="CP138" s="195"/>
      <c r="CQ138" s="195"/>
      <c r="CR138" s="195"/>
      <c r="CS138" s="195"/>
      <c r="CT138" s="195"/>
    </row>
    <row r="139" spans="1:98" hidden="1" outlineLevel="1">
      <c r="A139" s="273"/>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5"/>
      <c r="CO139" s="195"/>
      <c r="CP139" s="195"/>
      <c r="CQ139" s="195"/>
      <c r="CR139" s="195"/>
      <c r="CS139" s="195"/>
      <c r="CT139" s="195"/>
    </row>
    <row r="140" spans="1:98" hidden="1" outlineLevel="1">
      <c r="A140" s="300" t="s">
        <v>38</v>
      </c>
      <c r="B140" s="301"/>
      <c r="C140" s="301"/>
      <c r="D140" s="301"/>
      <c r="E140" s="301"/>
      <c r="F140" s="301"/>
      <c r="G140" s="301"/>
      <c r="H140" s="301"/>
      <c r="I140" s="301"/>
      <c r="J140" s="301"/>
      <c r="K140" s="301"/>
      <c r="L140" s="301"/>
      <c r="M140" s="301"/>
      <c r="N140" s="301"/>
      <c r="O140" s="301"/>
      <c r="P140" s="301"/>
      <c r="Q140" s="301"/>
      <c r="R140" s="301"/>
      <c r="S140" s="301"/>
      <c r="T140" s="301"/>
      <c r="U140" s="301"/>
      <c r="V140" s="302"/>
      <c r="W140" s="302"/>
      <c r="X140" s="302"/>
      <c r="Y140" s="302"/>
      <c r="Z140" s="302"/>
      <c r="AA140" s="302"/>
      <c r="AB140" s="302"/>
      <c r="AC140" s="302"/>
      <c r="AD140" s="302"/>
      <c r="AE140" s="302"/>
      <c r="AF140" s="302"/>
      <c r="AG140" s="302"/>
      <c r="AH140" s="302"/>
      <c r="AI140" s="302"/>
      <c r="AJ140" s="302"/>
      <c r="AK140" s="302"/>
      <c r="AL140" s="302">
        <f>'[2]Domestic Mobile Operations'!O$20</f>
        <v>1052</v>
      </c>
      <c r="AM140" s="302">
        <f>'[2]Domestic Mobile Operations'!P$20</f>
        <v>1008</v>
      </c>
      <c r="AN140" s="302">
        <f>'[2]Domestic Mobile Operations'!Q$20</f>
        <v>1070</v>
      </c>
      <c r="AO140" s="302">
        <f>'[2]Domestic Mobile Operations'!R$20</f>
        <v>1035</v>
      </c>
      <c r="AP140" s="302"/>
      <c r="AQ140" s="302">
        <v>1008</v>
      </c>
      <c r="AR140" s="302">
        <v>956</v>
      </c>
      <c r="AS140" s="302">
        <v>1016</v>
      </c>
      <c r="AT140" s="302">
        <v>1018</v>
      </c>
      <c r="AU140" s="302">
        <f>SUM(AQ140:AT140)</f>
        <v>3998</v>
      </c>
      <c r="AV140" s="302">
        <f>'[2]Domestic Mobile Operations'!W$20</f>
        <v>1006</v>
      </c>
      <c r="AW140" s="302">
        <f>'[2]Domestic Mobile Operations'!X$20</f>
        <v>982</v>
      </c>
      <c r="AX140" s="302">
        <f>'[2]Domestic Mobile Operations'!Y$20</f>
        <v>947</v>
      </c>
      <c r="AY140" s="302">
        <f>'[2]Domestic Mobile Operations'!Z$20</f>
        <v>994</v>
      </c>
      <c r="AZ140" s="302">
        <f>SUM(AV140:AY140)</f>
        <v>3929</v>
      </c>
      <c r="BA140" s="302">
        <f>'[2]Domestic Mobile Operations'!AA$20</f>
        <v>849</v>
      </c>
      <c r="BB140" s="302">
        <f>'[2]Domestic Mobile Operations'!AB$20</f>
        <v>854</v>
      </c>
      <c r="BC140" s="302">
        <f>'[2]Domestic Mobile Operations'!AC$20</f>
        <v>851</v>
      </c>
      <c r="BD140" s="302">
        <f>'[2]Domestic Mobile Operations'!AD$20</f>
        <v>845</v>
      </c>
      <c r="BE140" s="303">
        <f>SUM(BA140:BD140)</f>
        <v>3399</v>
      </c>
      <c r="BF140" s="302">
        <f>'[2]Domestic Mobile Operations'!AE$20</f>
        <v>797</v>
      </c>
      <c r="BG140" s="302">
        <f>'[2]Domestic Mobile Operations'!AF$20</f>
        <v>791</v>
      </c>
      <c r="BH140" s="303"/>
      <c r="BI140" s="303"/>
      <c r="BJ140" s="303"/>
      <c r="BK140" s="302">
        <f>'[2]Domestic Mobile Operations'!AI$20</f>
        <v>714</v>
      </c>
      <c r="BL140" s="302">
        <f>'[2]Domestic Mobile Operations'!AJ$20</f>
        <v>686</v>
      </c>
      <c r="BM140" s="302">
        <f>'[2]Domestic Mobile Operations'!AK$20</f>
        <v>717</v>
      </c>
      <c r="BN140" s="302">
        <f>'[2]Domestic Mobile Operations'!AL$20</f>
        <v>696</v>
      </c>
      <c r="BO140" s="303"/>
      <c r="BP140" s="302">
        <f>'[2]Domestic Mobile Operations'!AM$20</f>
        <v>690</v>
      </c>
      <c r="BQ140" s="302">
        <f>'[2]Domestic Mobile Operations'!AN$20</f>
        <v>685</v>
      </c>
      <c r="BR140" s="302">
        <f>'[2]Domestic Mobile Operations'!AO$20</f>
        <v>685</v>
      </c>
      <c r="BS140" s="302">
        <f>'[2]Domestic Mobile Operations'!AP$20</f>
        <v>655</v>
      </c>
      <c r="BT140" s="303"/>
      <c r="BU140" s="302">
        <f>'[2]Domestic Mobile Operations'!AQ$20</f>
        <v>657</v>
      </c>
      <c r="BV140" s="302">
        <f>'[2]Domestic Mobile Operations'!AR$20</f>
        <v>679</v>
      </c>
      <c r="BW140" s="302">
        <f>'[2]Domestic Mobile Operations'!AS$20</f>
        <v>676</v>
      </c>
      <c r="BX140" s="302">
        <f>'[2]Domestic Mobile Operations'!AT$20</f>
        <v>681</v>
      </c>
      <c r="BY140" s="303"/>
      <c r="BZ140" s="302">
        <f>'[2]Domestic Mobile Operations'!AU$20</f>
        <v>661</v>
      </c>
      <c r="CA140" s="302">
        <f>'[2]Domestic Mobile Operations'!AV$20</f>
        <v>651</v>
      </c>
      <c r="CB140" s="302">
        <f>'[2]Domestic Mobile Operations'!AW$20</f>
        <v>652</v>
      </c>
      <c r="CC140" s="302">
        <f>'[2]Domestic Mobile Operations'!AX$20</f>
        <v>655</v>
      </c>
      <c r="CD140" s="303"/>
      <c r="CE140" s="303"/>
      <c r="CF140" s="303"/>
      <c r="CG140" s="303"/>
      <c r="CH140" s="303"/>
      <c r="CI140" s="303"/>
      <c r="CJ140" s="303"/>
      <c r="CK140" s="303"/>
      <c r="CL140" s="303"/>
      <c r="CM140" s="303"/>
      <c r="CN140" s="303"/>
      <c r="CO140" s="303"/>
      <c r="CP140" s="303"/>
      <c r="CQ140" s="303"/>
      <c r="CR140" s="303"/>
      <c r="CS140" s="303"/>
      <c r="CT140" s="303"/>
    </row>
    <row r="141" spans="1:98" hidden="1" outlineLevel="1">
      <c r="A141" s="276" t="s">
        <v>39</v>
      </c>
      <c r="B141" s="287"/>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77">
        <f>AQ140/AL140-1</f>
        <v>-4.1825095057034245E-2</v>
      </c>
      <c r="AR141" s="277">
        <f>AR140/AM140-1</f>
        <v>-5.1587301587301626E-2</v>
      </c>
      <c r="AS141" s="277">
        <f>AS140/AN140-1</f>
        <v>-5.0467289719626218E-2</v>
      </c>
      <c r="AT141" s="277">
        <f>AT140/AO140-1</f>
        <v>-1.6425120772946888E-2</v>
      </c>
      <c r="AU141" s="277"/>
      <c r="AV141" s="277">
        <f>AV140/AQ140-1</f>
        <v>-1.9841269841269771E-3</v>
      </c>
      <c r="AW141" s="277">
        <f>AW140/AR140-1</f>
        <v>2.7196652719665204E-2</v>
      </c>
      <c r="AX141" s="277">
        <f>AX140/AS140-1</f>
        <v>-6.7913385826771644E-2</v>
      </c>
      <c r="AY141" s="277">
        <f>AY140/AT140-1</f>
        <v>-2.3575638506876273E-2</v>
      </c>
      <c r="AZ141" s="287"/>
      <c r="BA141" s="277">
        <f>BA140/AV140-1</f>
        <v>-0.1560636182902585</v>
      </c>
      <c r="BB141" s="277">
        <f>BB140/AW140-1</f>
        <v>-0.13034623217922603</v>
      </c>
      <c r="BC141" s="277">
        <f>BC140/AX140-1</f>
        <v>-0.10137275607180574</v>
      </c>
      <c r="BD141" s="277">
        <f>BD140/AY140-1</f>
        <v>-0.14989939637826966</v>
      </c>
      <c r="BE141" s="287"/>
      <c r="BF141" s="277">
        <f>BF140/BA140-1</f>
        <v>-6.1248527679623077E-2</v>
      </c>
      <c r="BG141" s="277">
        <f>BG140/BB140-1</f>
        <v>-7.3770491803278659E-2</v>
      </c>
      <c r="BH141" s="287"/>
      <c r="BI141" s="287"/>
      <c r="BJ141" s="287"/>
      <c r="BK141" s="277">
        <f>BK140/BF140-1</f>
        <v>-0.10414052697616061</v>
      </c>
      <c r="BL141" s="277">
        <f>BL140/BG140-1</f>
        <v>-0.13274336283185839</v>
      </c>
      <c r="BM141" s="277" t="e">
        <f>BM140/BH140-1</f>
        <v>#DIV/0!</v>
      </c>
      <c r="BN141" s="277" t="e">
        <f>BN140/BI140-1</f>
        <v>#DIV/0!</v>
      </c>
      <c r="BO141" s="287"/>
      <c r="BP141" s="277">
        <f>BP140/BK140-1</f>
        <v>-3.3613445378151252E-2</v>
      </c>
      <c r="BQ141" s="277">
        <f>BQ140/BL140-1</f>
        <v>-1.4577259475219151E-3</v>
      </c>
      <c r="BR141" s="277">
        <f>BR140/BM140-1</f>
        <v>-4.4630404463040452E-2</v>
      </c>
      <c r="BS141" s="277">
        <f>BS140/BN140-1</f>
        <v>-5.8908045977011492E-2</v>
      </c>
      <c r="BT141" s="287"/>
      <c r="BU141" s="279">
        <f>BU140/BP140-1</f>
        <v>-4.7826086956521685E-2</v>
      </c>
      <c r="BV141" s="279">
        <f>BV140/BQ140-1</f>
        <v>-8.7591240875912746E-3</v>
      </c>
      <c r="BW141" s="279">
        <f>BW140/BR140-1</f>
        <v>-1.3138686131386912E-2</v>
      </c>
      <c r="BX141" s="279">
        <f>BX140/BS140-1</f>
        <v>3.969465648854964E-2</v>
      </c>
      <c r="BY141" s="287"/>
      <c r="BZ141" s="279">
        <f>BZ140/BU140-1</f>
        <v>6.0882800608828003E-3</v>
      </c>
      <c r="CA141" s="279">
        <f>CA140/BV140-1</f>
        <v>-4.123711340206182E-2</v>
      </c>
      <c r="CB141" s="279">
        <f>CB140/BW140-1</f>
        <v>-3.5502958579881616E-2</v>
      </c>
      <c r="CC141" s="279">
        <f>CC140/BX140-1</f>
        <v>-3.8179148311306865E-2</v>
      </c>
      <c r="CD141" s="287"/>
      <c r="CE141" s="287"/>
      <c r="CF141" s="287"/>
      <c r="CG141" s="287"/>
      <c r="CH141" s="287"/>
      <c r="CI141" s="287"/>
      <c r="CJ141" s="287"/>
      <c r="CK141" s="287"/>
      <c r="CL141" s="287"/>
      <c r="CM141" s="287"/>
      <c r="CN141" s="195"/>
      <c r="CO141" s="195"/>
      <c r="CP141" s="195"/>
      <c r="CQ141" s="195"/>
      <c r="CR141" s="195"/>
      <c r="CS141" s="195"/>
      <c r="CT141" s="195"/>
    </row>
    <row r="142" spans="1:98" hidden="1" outlineLevel="1">
      <c r="A142" s="273" t="s">
        <v>40</v>
      </c>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64"/>
      <c r="AB142" s="264"/>
      <c r="AC142" s="264"/>
      <c r="AD142" s="264"/>
      <c r="AE142" s="264"/>
      <c r="AF142" s="264"/>
      <c r="AG142" s="264"/>
      <c r="AH142" s="264"/>
      <c r="AI142" s="264"/>
      <c r="AJ142" s="264"/>
      <c r="AK142" s="264"/>
      <c r="AL142" s="304">
        <f>'[2]Domestic Mobile Operations'!O$23</f>
        <v>35</v>
      </c>
      <c r="AM142" s="304">
        <f>'[2]Domestic Mobile Operations'!P$23</f>
        <v>33</v>
      </c>
      <c r="AN142" s="304">
        <f>'[2]Domestic Mobile Operations'!Q$23</f>
        <v>35</v>
      </c>
      <c r="AO142" s="304">
        <f>'[2]Domestic Mobile Operations'!R$23</f>
        <v>35</v>
      </c>
      <c r="AP142" s="305"/>
      <c r="AQ142" s="304">
        <f>'[2]Domestic Mobile Operations'!S$23</f>
        <v>35</v>
      </c>
      <c r="AR142" s="304">
        <f>'[2]Domestic Mobile Operations'!T$23</f>
        <v>34</v>
      </c>
      <c r="AS142" s="304">
        <f>'[2]Domestic Mobile Operations'!U$23</f>
        <v>36</v>
      </c>
      <c r="AT142" s="304">
        <f>'[2]Domestic Mobile Operations'!V$23</f>
        <v>37</v>
      </c>
      <c r="AU142" s="304"/>
      <c r="AV142" s="304">
        <f>'[2]Domestic Mobile Operations'!W$23</f>
        <v>36</v>
      </c>
      <c r="AW142" s="304">
        <f>'[2]Domestic Mobile Operations'!X$23</f>
        <v>36</v>
      </c>
      <c r="AX142" s="304">
        <f>'[2]Domestic Mobile Operations'!Y$23</f>
        <v>36</v>
      </c>
      <c r="AY142" s="304">
        <f>'[2]Domestic Mobile Operations'!Z$23</f>
        <v>36</v>
      </c>
      <c r="AZ142" s="283">
        <f>AVERAGE(AV142:AY142)</f>
        <v>36</v>
      </c>
      <c r="BA142" s="304">
        <f>'[2]Domestic Mobile Operations'!AA$23</f>
        <v>35</v>
      </c>
      <c r="BB142" s="304">
        <f>'[2]Domestic Mobile Operations'!AB$23</f>
        <v>37</v>
      </c>
      <c r="BC142" s="304">
        <f>'[2]Domestic Mobile Operations'!AC$23</f>
        <v>36</v>
      </c>
      <c r="BD142" s="304">
        <f>'[2]Domestic Mobile Operations'!AD$23</f>
        <v>37</v>
      </c>
      <c r="BE142" s="283">
        <f>AVERAGE(BA142:BD142)</f>
        <v>36.25</v>
      </c>
      <c r="BF142" s="304">
        <f>'[2]Domestic Mobile Operations'!AE$23</f>
        <v>35</v>
      </c>
      <c r="BG142" s="304">
        <f>'[2]Domestic Mobile Operations'!AF$23</f>
        <v>35</v>
      </c>
      <c r="BH142" s="283"/>
      <c r="BI142" s="283"/>
      <c r="BJ142" s="283"/>
      <c r="BK142" s="304">
        <f>'[2]Domestic Mobile Operations'!AI$23</f>
        <v>32</v>
      </c>
      <c r="BL142" s="304">
        <f>'[2]Domestic Mobile Operations'!AJ$23</f>
        <v>30.6</v>
      </c>
      <c r="BM142" s="304">
        <f>'[2]Domestic Mobile Operations'!AK$23</f>
        <v>33.1</v>
      </c>
      <c r="BN142" s="304">
        <f>'[2]Domestic Mobile Operations'!AL$23</f>
        <v>32.4</v>
      </c>
      <c r="BO142" s="283"/>
      <c r="BP142" s="304">
        <f>'[2]Domestic Mobile Operations'!AM$23</f>
        <v>31.6</v>
      </c>
      <c r="BQ142" s="304">
        <f>'[2]Domestic Mobile Operations'!AN$23</f>
        <v>31</v>
      </c>
      <c r="BR142" s="304">
        <f>'[2]Domestic Mobile Operations'!AO$23</f>
        <v>30.5</v>
      </c>
      <c r="BS142" s="304">
        <f>'[2]Domestic Mobile Operations'!AP$23</f>
        <v>29.7</v>
      </c>
      <c r="BT142" s="283"/>
      <c r="BU142" s="304">
        <f>'[2]Domestic Mobile Operations'!AQ$23</f>
        <v>30.2</v>
      </c>
      <c r="BV142" s="304">
        <f>'[2]Domestic Mobile Operations'!AR$23</f>
        <v>31.8</v>
      </c>
      <c r="BW142" s="304">
        <f>'[2]Domestic Mobile Operations'!AS$23</f>
        <v>31.3</v>
      </c>
      <c r="BX142" s="304">
        <f>'[2]Domestic Mobile Operations'!AT$23</f>
        <v>31.8</v>
      </c>
      <c r="BY142" s="283"/>
      <c r="BZ142" s="304">
        <f>'[2]Domestic Mobile Operations'!AU$23</f>
        <v>30.7</v>
      </c>
      <c r="CA142" s="304">
        <f>'[2]Domestic Mobile Operations'!AV$23</f>
        <v>30.8</v>
      </c>
      <c r="CB142" s="304">
        <f>'[2]Domestic Mobile Operations'!AW$23</f>
        <v>30.7</v>
      </c>
      <c r="CC142" s="304">
        <f>'[2]Domestic Mobile Operations'!AX$23</f>
        <v>29.6</v>
      </c>
      <c r="CD142" s="283"/>
      <c r="CE142" s="283"/>
      <c r="CF142" s="283"/>
      <c r="CG142" s="283"/>
      <c r="CH142" s="283"/>
      <c r="CI142" s="283"/>
      <c r="CJ142" s="283"/>
      <c r="CK142" s="283"/>
      <c r="CL142" s="283"/>
      <c r="CM142" s="283"/>
      <c r="CN142" s="195"/>
      <c r="CO142" s="195"/>
      <c r="CP142" s="195"/>
      <c r="CQ142" s="195"/>
      <c r="CR142" s="195"/>
      <c r="CS142" s="195"/>
      <c r="CT142" s="195"/>
    </row>
    <row r="143" spans="1:98" hidden="1" outlineLevel="1">
      <c r="A143" s="276" t="s">
        <v>39</v>
      </c>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77">
        <f>AQ142/AL142-1</f>
        <v>0</v>
      </c>
      <c r="AR143" s="277">
        <f>AR142/AM142-1</f>
        <v>3.0303030303030276E-2</v>
      </c>
      <c r="AS143" s="277">
        <f>AS142/AN142-1</f>
        <v>2.857142857142847E-2</v>
      </c>
      <c r="AT143" s="277">
        <f>AT142/AO142-1</f>
        <v>5.7142857142857162E-2</v>
      </c>
      <c r="AU143" s="277"/>
      <c r="AV143" s="277">
        <f>AV142/AQ142-1</f>
        <v>2.857142857142847E-2</v>
      </c>
      <c r="AW143" s="277">
        <f>AW142/AR142-1</f>
        <v>5.8823529411764719E-2</v>
      </c>
      <c r="AX143" s="277">
        <f>AX142/AS142-1</f>
        <v>0</v>
      </c>
      <c r="AY143" s="277">
        <f>AY142/AT142-1</f>
        <v>-2.7027027027026973E-2</v>
      </c>
      <c r="AZ143" s="278"/>
      <c r="BA143" s="277">
        <f t="shared" ref="BA143:BG143" si="478">BA142/AV142-1</f>
        <v>-2.777777777777779E-2</v>
      </c>
      <c r="BB143" s="277">
        <f t="shared" si="478"/>
        <v>2.7777777777777679E-2</v>
      </c>
      <c r="BC143" s="277">
        <f t="shared" si="478"/>
        <v>0</v>
      </c>
      <c r="BD143" s="277">
        <f t="shared" si="478"/>
        <v>2.7777777777777679E-2</v>
      </c>
      <c r="BE143" s="277">
        <f t="shared" si="478"/>
        <v>6.9444444444444198E-3</v>
      </c>
      <c r="BF143" s="277">
        <f t="shared" si="478"/>
        <v>0</v>
      </c>
      <c r="BG143" s="277">
        <f t="shared" si="478"/>
        <v>-5.4054054054054057E-2</v>
      </c>
      <c r="BH143" s="277"/>
      <c r="BI143" s="277"/>
      <c r="BJ143" s="278"/>
      <c r="BK143" s="277">
        <f t="shared" ref="BK143:CC143" si="479">BK142/BF142-1</f>
        <v>-8.5714285714285743E-2</v>
      </c>
      <c r="BL143" s="277">
        <f t="shared" si="479"/>
        <v>-0.12571428571428567</v>
      </c>
      <c r="BM143" s="277" t="e">
        <f t="shared" si="479"/>
        <v>#DIV/0!</v>
      </c>
      <c r="BN143" s="277" t="e">
        <f t="shared" si="479"/>
        <v>#DIV/0!</v>
      </c>
      <c r="BO143" s="278"/>
      <c r="BP143" s="277">
        <f t="shared" si="479"/>
        <v>-1.2499999999999956E-2</v>
      </c>
      <c r="BQ143" s="277">
        <f t="shared" si="479"/>
        <v>1.3071895424836555E-2</v>
      </c>
      <c r="BR143" s="277">
        <f t="shared" si="479"/>
        <v>-7.8549848942598199E-2</v>
      </c>
      <c r="BS143" s="277">
        <f t="shared" si="479"/>
        <v>-8.333333333333337E-2</v>
      </c>
      <c r="BT143" s="278"/>
      <c r="BU143" s="279">
        <f t="shared" si="479"/>
        <v>-4.4303797468354444E-2</v>
      </c>
      <c r="BV143" s="279">
        <f t="shared" si="479"/>
        <v>2.5806451612903292E-2</v>
      </c>
      <c r="BW143" s="279">
        <f t="shared" si="479"/>
        <v>2.6229508196721429E-2</v>
      </c>
      <c r="BX143" s="279">
        <f t="shared" si="479"/>
        <v>7.0707070707070718E-2</v>
      </c>
      <c r="BY143" s="278"/>
      <c r="BZ143" s="279">
        <f t="shared" si="479"/>
        <v>1.655629139072845E-2</v>
      </c>
      <c r="CA143" s="279">
        <f t="shared" si="479"/>
        <v>-3.1446540880503138E-2</v>
      </c>
      <c r="CB143" s="279">
        <f t="shared" si="479"/>
        <v>-1.9169329073482455E-2</v>
      </c>
      <c r="CC143" s="279">
        <f t="shared" si="479"/>
        <v>-6.9182389937106903E-2</v>
      </c>
      <c r="CD143" s="278"/>
      <c r="CE143" s="278"/>
      <c r="CF143" s="278"/>
      <c r="CG143" s="278"/>
      <c r="CH143" s="278"/>
      <c r="CI143" s="278"/>
      <c r="CJ143" s="278"/>
      <c r="CK143" s="278"/>
      <c r="CL143" s="278"/>
      <c r="CM143" s="278"/>
      <c r="CN143" s="195"/>
      <c r="CO143" s="195"/>
      <c r="CP143" s="195"/>
      <c r="CQ143" s="195"/>
      <c r="CR143" s="195"/>
      <c r="CS143" s="195"/>
      <c r="CT143" s="195"/>
    </row>
    <row r="144" spans="1:98" hidden="1" outlineLevel="1">
      <c r="A144" s="276"/>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77"/>
      <c r="AR144" s="277"/>
      <c r="AS144" s="277"/>
      <c r="AT144" s="277"/>
      <c r="AU144" s="277"/>
      <c r="AV144" s="277"/>
      <c r="AW144" s="306">
        <f>AW140*1000/AVERAGE(AW147,AV147)/3</f>
        <v>37.467330548083709</v>
      </c>
      <c r="AX144" s="306">
        <f>AX140*1000/AVERAGE(AX147,AW147)/3</f>
        <v>37.339326551533794</v>
      </c>
      <c r="AY144" s="306">
        <f>AY140*1000/AVERAGE(AY147,AX147)/3</f>
        <v>40.681850737716658</v>
      </c>
      <c r="AZ144" s="306">
        <f>AZ140*1000/AVERAGE(AZ147,AU147)/3</f>
        <v>163.01551738444942</v>
      </c>
      <c r="BA144" s="306">
        <f>BA140*1000/AVERAGE(BA147,AZ147)/3</f>
        <v>35.845471817606075</v>
      </c>
      <c r="BB144" s="306">
        <f>BB140*1000/AVERAGE(BB147,BA147)/3</f>
        <v>36.797655980696312</v>
      </c>
      <c r="BC144" s="306">
        <f>BC140*1000/AVERAGE(BC147,BB147)/3</f>
        <v>36.794431113128823</v>
      </c>
      <c r="BD144" s="306">
        <f>BD140*1000/AVERAGE(BD147,BC147)/3</f>
        <v>36.881847147658327</v>
      </c>
      <c r="BE144" s="277"/>
      <c r="BF144" s="306">
        <f>BF140*1000/AVERAGE(BF147,BE147)/3</f>
        <v>35.386835386835386</v>
      </c>
      <c r="BG144" s="306">
        <f>BG140*1000/AVERAGE(BG147,BF147)/3</f>
        <v>35.374879810379909</v>
      </c>
      <c r="BH144" s="277"/>
      <c r="BI144" s="277"/>
      <c r="BJ144" s="277"/>
      <c r="BK144" s="306">
        <f>BK140*1000/AVERAGE(BK147,BJ147)/3</f>
        <v>32.214401732539251</v>
      </c>
      <c r="BL144" s="306">
        <f>BL140*1000/AVERAGE(BL147,BK147)/3</f>
        <v>30.052131248083409</v>
      </c>
      <c r="BM144" s="306">
        <f>BM140*1000/AVERAGE(BM147,BL147)/3</f>
        <v>31.915603926019898</v>
      </c>
      <c r="BN144" s="306">
        <f>BN140*1000/AVERAGE(BN147,BM147)/3</f>
        <v>32.357043235704325</v>
      </c>
      <c r="BO144" s="277"/>
      <c r="BP144" s="306">
        <f>BP140*1000/AVERAGE(BP147,BO147)/3</f>
        <v>31.228784792939578</v>
      </c>
      <c r="BQ144" s="306">
        <f>BQ140*1000/AVERAGE(BQ147,BP147)/3</f>
        <v>31.013016411997736</v>
      </c>
      <c r="BR144" s="306">
        <f>BR140*1000/AVERAGE(BR147,BQ147)/3</f>
        <v>31.078444716664396</v>
      </c>
      <c r="BS144" s="306">
        <f>BS140*1000/AVERAGE(BS147,BR147)/3</f>
        <v>29.719367499262688</v>
      </c>
      <c r="BT144" s="277"/>
      <c r="BU144" s="307">
        <f>BU140*1000/AVERAGE(BU147,BT147)/3</f>
        <v>30.879864636209813</v>
      </c>
      <c r="BV144" s="307">
        <f>BV140*1000/AVERAGE(BV147,BU147)/3</f>
        <v>31.786157339138171</v>
      </c>
      <c r="BW144" s="307">
        <f>BW140*1000/AVERAGE(BW147,BV147)/3</f>
        <v>31.43381925553928</v>
      </c>
      <c r="BX144" s="307">
        <f>BX140*1000/AVERAGE(BX147,BW147)/3</f>
        <v>31.670735960934774</v>
      </c>
      <c r="BY144" s="277"/>
      <c r="BZ144" s="307">
        <f>BZ140*1000/AVERAGE(BZ147,BY147)/3</f>
        <v>30.919637010010291</v>
      </c>
      <c r="CA144" s="307">
        <f>CA140*1000/AVERAGE(CA147,BZ147)/3</f>
        <v>30.654047181805339</v>
      </c>
      <c r="CB144" s="307">
        <f>CB140*1000/AVERAGE(CB147,CA147)/3</f>
        <v>30.573726290122153</v>
      </c>
      <c r="CC144" s="307">
        <f>CC140*1000/AVERAGE(CC147,CB147)/3</f>
        <v>29.556427959027118</v>
      </c>
      <c r="CD144" s="277"/>
      <c r="CE144" s="277"/>
      <c r="CF144" s="277"/>
      <c r="CG144" s="277"/>
      <c r="CH144" s="277"/>
      <c r="CI144" s="277"/>
      <c r="CJ144" s="277"/>
      <c r="CK144" s="277"/>
      <c r="CL144" s="277"/>
      <c r="CM144" s="277"/>
      <c r="CN144" s="195"/>
      <c r="CO144" s="195"/>
      <c r="CP144" s="195"/>
      <c r="CQ144" s="195"/>
      <c r="CR144" s="195"/>
      <c r="CS144" s="195"/>
      <c r="CT144" s="195"/>
    </row>
    <row r="145" spans="1:102" hidden="1" outlineLevel="1">
      <c r="A145" s="276"/>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77"/>
      <c r="AR145" s="277"/>
      <c r="AS145" s="277"/>
      <c r="AT145" s="277"/>
      <c r="AU145" s="277"/>
      <c r="AV145" s="277"/>
      <c r="AW145" s="277"/>
      <c r="AX145" s="277"/>
      <c r="AY145" s="277"/>
      <c r="AZ145" s="277"/>
      <c r="BA145" s="277"/>
      <c r="BB145" s="277"/>
      <c r="BC145" s="277"/>
      <c r="BD145" s="277"/>
      <c r="BE145" s="277"/>
      <c r="BF145" s="277"/>
      <c r="BG145" s="277"/>
      <c r="BH145" s="277"/>
      <c r="BI145" s="277"/>
      <c r="BJ145" s="277"/>
      <c r="BK145" s="277"/>
      <c r="BL145" s="277"/>
      <c r="BM145" s="277"/>
      <c r="BN145" s="277"/>
      <c r="BO145" s="277"/>
      <c r="BP145" s="277"/>
      <c r="BQ145" s="277"/>
      <c r="BR145" s="277"/>
      <c r="BS145" s="277"/>
      <c r="BT145" s="277"/>
      <c r="BU145" s="279"/>
      <c r="BV145" s="279"/>
      <c r="BW145" s="279"/>
      <c r="BX145" s="279"/>
      <c r="BY145" s="277"/>
      <c r="BZ145" s="279"/>
      <c r="CA145" s="279"/>
      <c r="CB145" s="279"/>
      <c r="CC145" s="279"/>
      <c r="CD145" s="277"/>
      <c r="CE145" s="277"/>
      <c r="CF145" s="277"/>
      <c r="CG145" s="277"/>
      <c r="CH145" s="277"/>
      <c r="CI145" s="277"/>
      <c r="CJ145" s="277"/>
      <c r="CK145" s="277"/>
      <c r="CL145" s="277"/>
      <c r="CM145" s="277"/>
      <c r="CN145" s="195"/>
      <c r="CO145" s="195"/>
      <c r="CP145" s="195"/>
      <c r="CQ145" s="195"/>
      <c r="CR145" s="195"/>
      <c r="CS145" s="195"/>
      <c r="CT145" s="195"/>
    </row>
    <row r="146" spans="1:102" hidden="1" outlineLevel="1">
      <c r="A146" s="276"/>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77"/>
      <c r="AR146" s="277"/>
      <c r="AS146" s="277"/>
      <c r="AT146" s="277"/>
      <c r="AU146" s="277"/>
      <c r="AV146" s="277"/>
      <c r="AW146" s="277"/>
      <c r="AX146" s="277"/>
      <c r="AY146" s="277"/>
      <c r="AZ146" s="277"/>
      <c r="BA146" s="277"/>
      <c r="BB146" s="277"/>
      <c r="BC146" s="277"/>
      <c r="BD146" s="277"/>
      <c r="BE146" s="277"/>
      <c r="BF146" s="277"/>
      <c r="BG146" s="277"/>
      <c r="BH146" s="277"/>
      <c r="BI146" s="277"/>
      <c r="BJ146" s="277"/>
      <c r="BK146" s="277"/>
      <c r="BL146" s="277"/>
      <c r="BM146" s="277"/>
      <c r="BN146" s="277"/>
      <c r="BO146" s="277"/>
      <c r="BP146" s="277"/>
      <c r="BQ146" s="277"/>
      <c r="BR146" s="277"/>
      <c r="BS146" s="277"/>
      <c r="BT146" s="277"/>
      <c r="BU146" s="279"/>
      <c r="BV146" s="279"/>
      <c r="BW146" s="279"/>
      <c r="BX146" s="279"/>
      <c r="BY146" s="277"/>
      <c r="BZ146" s="279"/>
      <c r="CA146" s="279"/>
      <c r="CB146" s="279"/>
      <c r="CC146" s="279"/>
      <c r="CD146" s="277"/>
      <c r="CE146" s="277"/>
      <c r="CF146" s="277"/>
      <c r="CG146" s="277"/>
      <c r="CH146" s="277"/>
      <c r="CI146" s="277"/>
      <c r="CJ146" s="277"/>
      <c r="CK146" s="277"/>
      <c r="CL146" s="277"/>
      <c r="CM146" s="277"/>
      <c r="CN146" s="195"/>
      <c r="CO146" s="195"/>
      <c r="CP146" s="195"/>
      <c r="CQ146" s="195"/>
      <c r="CR146" s="195"/>
      <c r="CS146" s="195"/>
      <c r="CT146" s="195"/>
    </row>
    <row r="147" spans="1:102" hidden="1" outlineLevel="1">
      <c r="A147" s="276" t="s">
        <v>457</v>
      </c>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77"/>
      <c r="AR147" s="277"/>
      <c r="AS147" s="277"/>
      <c r="AT147" s="277"/>
      <c r="AU147" s="277"/>
      <c r="AV147" s="308">
        <f>'[2]Domestic Mobile Operations'!$W$12</f>
        <v>8820</v>
      </c>
      <c r="AW147" s="308">
        <f>'[2]Domestic Mobile Operations'!X$12</f>
        <v>8653</v>
      </c>
      <c r="AX147" s="308">
        <f>'[2]Domestic Mobile Operations'!Y$12</f>
        <v>8255</v>
      </c>
      <c r="AY147" s="308">
        <f>'[2]Domestic Mobile Operations'!Z$12</f>
        <v>8034</v>
      </c>
      <c r="AZ147" s="309">
        <f>AY147</f>
        <v>8034</v>
      </c>
      <c r="BA147" s="308">
        <f>'[2]Domestic Mobile Operations'!AA$12</f>
        <v>7756</v>
      </c>
      <c r="BB147" s="308">
        <f>'[2]Domestic Mobile Operations'!AB$12</f>
        <v>7716</v>
      </c>
      <c r="BC147" s="308">
        <f>'[2]Domestic Mobile Operations'!AC$12</f>
        <v>7703</v>
      </c>
      <c r="BD147" s="308">
        <f>'[2]Domestic Mobile Operations'!AD$12</f>
        <v>7571</v>
      </c>
      <c r="BE147" s="309">
        <f>BD147</f>
        <v>7571</v>
      </c>
      <c r="BF147" s="308">
        <f>'[2]Domestic Mobile Operations'!AE$12</f>
        <v>7444</v>
      </c>
      <c r="BG147" s="308">
        <f>'[2]Domestic Mobile Operations'!AF$12</f>
        <v>7463</v>
      </c>
      <c r="BH147" s="277"/>
      <c r="BI147" s="277"/>
      <c r="BJ147" s="277"/>
      <c r="BK147" s="308">
        <f>'[2]Domestic Mobile Operations'!AI$12</f>
        <v>7388</v>
      </c>
      <c r="BL147" s="308">
        <f>'[2]Domestic Mobile Operations'!AJ$12</f>
        <v>7830</v>
      </c>
      <c r="BM147" s="308">
        <f>'[2]Domestic Mobile Operations'!AK$12</f>
        <v>7147</v>
      </c>
      <c r="BN147" s="308">
        <f>'[2]Domestic Mobile Operations'!AL$12</f>
        <v>7193</v>
      </c>
      <c r="BO147" s="277"/>
      <c r="BP147" s="308">
        <f>'[2]Domestic Mobile Operations'!AM$12</f>
        <v>7365</v>
      </c>
      <c r="BQ147" s="308">
        <f>'[2]Domestic Mobile Operations'!AN$12</f>
        <v>7360</v>
      </c>
      <c r="BR147" s="308">
        <f>'[2]Domestic Mobile Operations'!AO$12</f>
        <v>7334</v>
      </c>
      <c r="BS147" s="308">
        <f>'[2]Domestic Mobile Operations'!AP$12</f>
        <v>7359</v>
      </c>
      <c r="BT147" s="277"/>
      <c r="BU147" s="310">
        <f>'[2]Domestic Mobile Operations'!AQ$12</f>
        <v>7092</v>
      </c>
      <c r="BV147" s="310">
        <f>'[2]Domestic Mobile Operations'!AR$12</f>
        <v>7149</v>
      </c>
      <c r="BW147" s="310">
        <f>'[2]Domestic Mobile Operations'!AS$12</f>
        <v>7188</v>
      </c>
      <c r="BX147" s="310">
        <f>'[2]Domestic Mobile Operations'!AT$12</f>
        <v>7147</v>
      </c>
      <c r="BY147" s="277"/>
      <c r="BZ147" s="310">
        <f>'[2]Domestic Mobile Operations'!AU$12</f>
        <v>7126</v>
      </c>
      <c r="CA147" s="310">
        <f>'[2]Domestic Mobile Operations'!AV$12</f>
        <v>7032</v>
      </c>
      <c r="CB147" s="310">
        <f>'[2]Domestic Mobile Operations'!AW$12</f>
        <v>7185</v>
      </c>
      <c r="CC147" s="310">
        <f>'[2]Domestic Mobile Operations'!AX$12</f>
        <v>7589</v>
      </c>
      <c r="CD147" s="277"/>
      <c r="CE147" s="277"/>
      <c r="CF147" s="277"/>
      <c r="CG147" s="277"/>
      <c r="CH147" s="277"/>
      <c r="CI147" s="277"/>
      <c r="CJ147" s="277"/>
      <c r="CK147" s="277"/>
      <c r="CL147" s="277"/>
      <c r="CM147" s="277"/>
      <c r="CN147" s="195"/>
      <c r="CO147" s="195"/>
      <c r="CP147" s="195"/>
      <c r="CQ147" s="195"/>
      <c r="CR147" s="195"/>
      <c r="CS147" s="195"/>
      <c r="CT147" s="195"/>
    </row>
    <row r="148" spans="1:102" hidden="1" outlineLevel="1">
      <c r="A148" s="276"/>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c r="AA148" s="277"/>
      <c r="AB148" s="277"/>
      <c r="AC148" s="277"/>
      <c r="AD148" s="277"/>
      <c r="AE148" s="277"/>
      <c r="AF148" s="277"/>
      <c r="AG148" s="277"/>
      <c r="AH148" s="277"/>
      <c r="AI148" s="277"/>
      <c r="AJ148" s="277"/>
      <c r="AK148" s="277"/>
      <c r="AL148" s="277"/>
      <c r="AM148" s="277"/>
      <c r="AN148" s="277"/>
      <c r="AO148" s="277"/>
      <c r="AP148" s="277"/>
      <c r="AQ148" s="277"/>
      <c r="AR148" s="277"/>
      <c r="AS148" s="277"/>
      <c r="AT148" s="277"/>
      <c r="AU148" s="277"/>
      <c r="AV148" s="277"/>
      <c r="AW148" s="277"/>
      <c r="AX148" s="277"/>
      <c r="AY148" s="277"/>
      <c r="AZ148" s="204"/>
      <c r="BA148" s="277"/>
      <c r="BB148" s="277"/>
      <c r="BC148" s="277"/>
      <c r="BD148" s="277"/>
      <c r="BE148" s="195"/>
      <c r="BF148" s="277"/>
      <c r="BG148" s="277"/>
      <c r="BH148" s="195"/>
      <c r="BI148" s="195"/>
      <c r="BJ148" s="195"/>
      <c r="BK148" s="277"/>
      <c r="BL148" s="277"/>
      <c r="BM148" s="277"/>
      <c r="BN148" s="277"/>
      <c r="BO148" s="195"/>
      <c r="BP148" s="277"/>
      <c r="BQ148" s="277"/>
      <c r="BR148" s="277"/>
      <c r="BS148" s="277"/>
      <c r="BT148" s="195"/>
      <c r="BU148" s="279"/>
      <c r="BV148" s="279"/>
      <c r="BW148" s="279"/>
      <c r="BX148" s="279"/>
      <c r="BY148" s="195"/>
      <c r="BZ148" s="279"/>
      <c r="CA148" s="279"/>
      <c r="CB148" s="279"/>
      <c r="CC148" s="279"/>
      <c r="CD148" s="195"/>
      <c r="CE148" s="195"/>
      <c r="CF148" s="195"/>
      <c r="CG148" s="195"/>
      <c r="CH148" s="195"/>
      <c r="CI148" s="195"/>
      <c r="CJ148" s="195"/>
      <c r="CK148" s="195"/>
      <c r="CL148" s="195"/>
      <c r="CM148" s="195"/>
      <c r="CN148" s="195"/>
      <c r="CO148" s="195"/>
      <c r="CP148" s="195"/>
      <c r="CQ148" s="195"/>
      <c r="CR148" s="195"/>
      <c r="CS148" s="195"/>
      <c r="CT148" s="195"/>
    </row>
    <row r="149" spans="1:102" hidden="1" outlineLevel="1">
      <c r="A149" s="237" t="s">
        <v>41</v>
      </c>
      <c r="B149" s="237">
        <f>B138</f>
        <v>2007</v>
      </c>
      <c r="C149" s="237"/>
      <c r="D149" s="237"/>
      <c r="E149" s="237"/>
      <c r="F149" s="237"/>
      <c r="G149" s="237">
        <f>B149+1</f>
        <v>2008</v>
      </c>
      <c r="H149" s="237"/>
      <c r="I149" s="237"/>
      <c r="J149" s="237"/>
      <c r="K149" s="237"/>
      <c r="L149" s="237">
        <f>G149+1</f>
        <v>2009</v>
      </c>
      <c r="M149" s="237"/>
      <c r="N149" s="237"/>
      <c r="O149" s="237"/>
      <c r="P149" s="237"/>
      <c r="Q149" s="237">
        <f>L149+1</f>
        <v>2010</v>
      </c>
      <c r="R149" s="237"/>
      <c r="S149" s="237"/>
      <c r="T149" s="237"/>
      <c r="U149" s="237"/>
      <c r="V149" s="237">
        <f>Q149+1</f>
        <v>2011</v>
      </c>
      <c r="W149" s="237"/>
      <c r="X149" s="237"/>
      <c r="Y149" s="237"/>
      <c r="Z149" s="237"/>
      <c r="AA149" s="237">
        <f>V149+1</f>
        <v>2012</v>
      </c>
      <c r="AB149" s="237"/>
      <c r="AC149" s="237"/>
      <c r="AD149" s="237"/>
      <c r="AE149" s="237"/>
      <c r="AF149" s="237">
        <f>AA149+1</f>
        <v>2013</v>
      </c>
      <c r="AG149" s="237"/>
      <c r="AH149" s="237"/>
      <c r="AI149" s="237"/>
      <c r="AJ149" s="237"/>
      <c r="AK149" s="237">
        <f>AF149+1</f>
        <v>2014</v>
      </c>
      <c r="AL149" s="237"/>
      <c r="AM149" s="237"/>
      <c r="AN149" s="237"/>
      <c r="AO149" s="237"/>
      <c r="AP149" s="237">
        <f>AK149+1</f>
        <v>2015</v>
      </c>
      <c r="AQ149" s="237"/>
      <c r="AR149" s="237"/>
      <c r="AS149" s="237"/>
      <c r="AT149" s="237"/>
      <c r="AU149" s="237">
        <f>AP149+1</f>
        <v>2016</v>
      </c>
      <c r="AV149" s="237"/>
      <c r="AW149" s="237"/>
      <c r="AX149" s="237"/>
      <c r="AY149" s="237"/>
      <c r="AZ149" s="237">
        <f>AU149+1</f>
        <v>2017</v>
      </c>
      <c r="BA149" s="237"/>
      <c r="BB149" s="237"/>
      <c r="BC149" s="237"/>
      <c r="BD149" s="237"/>
      <c r="BE149" s="237">
        <f>AZ149+1</f>
        <v>2018</v>
      </c>
      <c r="BF149" s="237"/>
      <c r="BG149" s="237"/>
      <c r="BH149" s="237"/>
      <c r="BI149" s="237"/>
      <c r="BJ149" s="237">
        <f>BE149+1</f>
        <v>2019</v>
      </c>
      <c r="BK149" s="237"/>
      <c r="BL149" s="237"/>
      <c r="BM149" s="237"/>
      <c r="BN149" s="237"/>
      <c r="BO149" s="237">
        <f>BJ149+1</f>
        <v>2020</v>
      </c>
      <c r="BP149" s="237"/>
      <c r="BQ149" s="237"/>
      <c r="BR149" s="237"/>
      <c r="BS149" s="237"/>
      <c r="BT149" s="237">
        <f>BO149+1</f>
        <v>2021</v>
      </c>
      <c r="BU149" s="237"/>
      <c r="BV149" s="237"/>
      <c r="BW149" s="237"/>
      <c r="BX149" s="237"/>
      <c r="BY149" s="237">
        <f>BT149+1</f>
        <v>2022</v>
      </c>
      <c r="BZ149" s="237"/>
      <c r="CA149" s="237"/>
      <c r="CB149" s="237"/>
      <c r="CC149" s="237"/>
      <c r="CD149" s="237">
        <f>BY149+1</f>
        <v>2023</v>
      </c>
      <c r="CE149" s="237">
        <f t="shared" ref="CE149:CI149" si="480">CD149+1</f>
        <v>2024</v>
      </c>
      <c r="CF149" s="237">
        <f t="shared" si="480"/>
        <v>2025</v>
      </c>
      <c r="CG149" s="237">
        <f t="shared" si="480"/>
        <v>2026</v>
      </c>
      <c r="CH149" s="237">
        <f t="shared" si="480"/>
        <v>2027</v>
      </c>
      <c r="CI149" s="237">
        <f t="shared" si="480"/>
        <v>2028</v>
      </c>
      <c r="CJ149" s="237">
        <f t="shared" ref="CJ149" si="481">CI149+1</f>
        <v>2029</v>
      </c>
      <c r="CK149" s="237">
        <f t="shared" ref="CK149" si="482">CJ149+1</f>
        <v>2030</v>
      </c>
      <c r="CL149" s="237">
        <f t="shared" ref="CL149:CM149" si="483">CK149+1</f>
        <v>2031</v>
      </c>
      <c r="CM149" s="237">
        <f t="shared" si="483"/>
        <v>2032</v>
      </c>
      <c r="CN149" s="195"/>
      <c r="CO149" s="195"/>
      <c r="CP149" s="195"/>
      <c r="CQ149" s="195"/>
      <c r="CR149" s="195"/>
      <c r="CS149" s="195"/>
      <c r="CT149" s="195"/>
    </row>
    <row r="150" spans="1:102" hidden="1" outlineLevel="1">
      <c r="A150" s="273"/>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5"/>
      <c r="AQ150" s="195"/>
      <c r="AR150" s="195"/>
      <c r="AS150" s="195"/>
      <c r="AT150" s="195"/>
      <c r="AU150" s="195"/>
      <c r="AV150" s="195"/>
      <c r="AW150" s="195"/>
      <c r="AX150" s="195"/>
      <c r="AY150" s="195"/>
      <c r="AZ150" s="195"/>
      <c r="BA150" s="195"/>
      <c r="BB150" s="195"/>
      <c r="BC150" s="195"/>
      <c r="BD150" s="195"/>
      <c r="BE150" s="195"/>
      <c r="BF150" s="195"/>
      <c r="BG150" s="195"/>
      <c r="BH150" s="195"/>
      <c r="BI150" s="195"/>
      <c r="BJ150" s="195"/>
      <c r="BK150" s="195"/>
      <c r="BL150" s="195"/>
      <c r="BM150" s="195"/>
      <c r="BN150" s="195"/>
      <c r="BO150" s="195"/>
      <c r="BP150" s="195"/>
      <c r="BQ150" s="195"/>
      <c r="BR150" s="195"/>
      <c r="BS150" s="195"/>
      <c r="BT150" s="195"/>
      <c r="BU150" s="195"/>
      <c r="BV150" s="195"/>
      <c r="BW150" s="195"/>
      <c r="BX150" s="195"/>
      <c r="BY150" s="195"/>
      <c r="BZ150" s="195"/>
      <c r="CA150" s="195"/>
      <c r="CB150" s="195"/>
      <c r="CC150" s="195"/>
      <c r="CD150" s="195"/>
      <c r="CE150" s="195"/>
      <c r="CF150" s="195"/>
      <c r="CG150" s="195"/>
      <c r="CH150" s="195"/>
      <c r="CI150" s="195"/>
      <c r="CJ150" s="195"/>
      <c r="CK150" s="195"/>
      <c r="CL150" s="195"/>
      <c r="CM150" s="195"/>
      <c r="CN150" s="195"/>
      <c r="CO150" s="195"/>
      <c r="CP150" s="195"/>
      <c r="CQ150" s="195"/>
      <c r="CR150" s="195"/>
      <c r="CS150" s="195"/>
      <c r="CT150" s="195"/>
    </row>
    <row r="151" spans="1:102" hidden="1" outlineLevel="1">
      <c r="A151" s="300" t="s">
        <v>38</v>
      </c>
      <c r="B151" s="301"/>
      <c r="C151" s="301"/>
      <c r="D151" s="301"/>
      <c r="E151" s="301"/>
      <c r="F151" s="301"/>
      <c r="G151" s="301"/>
      <c r="H151" s="301"/>
      <c r="I151" s="301"/>
      <c r="J151" s="301"/>
      <c r="K151" s="301"/>
      <c r="L151" s="301"/>
      <c r="M151" s="301"/>
      <c r="N151" s="301"/>
      <c r="O151" s="301"/>
      <c r="P151" s="301"/>
      <c r="Q151" s="301"/>
      <c r="R151" s="301"/>
      <c r="S151" s="301"/>
      <c r="T151" s="301"/>
      <c r="U151" s="301"/>
      <c r="V151" s="302"/>
      <c r="W151" s="302"/>
      <c r="X151" s="302"/>
      <c r="Y151" s="302"/>
      <c r="Z151" s="302"/>
      <c r="AA151" s="302"/>
      <c r="AB151" s="302"/>
      <c r="AC151" s="302"/>
      <c r="AD151" s="302"/>
      <c r="AE151" s="302"/>
      <c r="AF151" s="302"/>
      <c r="AG151" s="302"/>
      <c r="AH151" s="302"/>
      <c r="AI151" s="302"/>
      <c r="AJ151" s="302"/>
      <c r="AK151" s="302"/>
      <c r="AL151" s="302">
        <f>'[2]Domestic Mobile Operations'!O$19</f>
        <v>972</v>
      </c>
      <c r="AM151" s="302">
        <f>'[2]Domestic Mobile Operations'!P$19</f>
        <v>976</v>
      </c>
      <c r="AN151" s="302">
        <f>'[2]Domestic Mobile Operations'!Q$19</f>
        <v>976</v>
      </c>
      <c r="AO151" s="302">
        <f>'[2]Domestic Mobile Operations'!R$19</f>
        <v>1012</v>
      </c>
      <c r="AP151" s="302"/>
      <c r="AQ151" s="302">
        <v>997</v>
      </c>
      <c r="AR151" s="302">
        <v>978</v>
      </c>
      <c r="AS151" s="302">
        <v>965</v>
      </c>
      <c r="AT151" s="302">
        <v>1010</v>
      </c>
      <c r="AU151" s="302">
        <f>SUM(AQ151:AT151)</f>
        <v>3950</v>
      </c>
      <c r="AV151" s="302">
        <f>'[2]Domestic Mobile Operations'!W$19</f>
        <v>936</v>
      </c>
      <c r="AW151" s="302">
        <f>'[2]Domestic Mobile Operations'!X$19</f>
        <v>946</v>
      </c>
      <c r="AX151" s="302">
        <f>'[2]Domestic Mobile Operations'!Y$19</f>
        <v>997</v>
      </c>
      <c r="AY151" s="302">
        <f>'[2]Domestic Mobile Operations'!Z$19</f>
        <v>903</v>
      </c>
      <c r="AZ151" s="302">
        <f>SUM(AV151:AY151)</f>
        <v>3782</v>
      </c>
      <c r="BA151" s="302">
        <f>'[2]Domestic Mobile Operations'!AA$19</f>
        <v>985</v>
      </c>
      <c r="BB151" s="302">
        <f>'[2]Domestic Mobile Operations'!AB$19</f>
        <v>1009</v>
      </c>
      <c r="BC151" s="302">
        <f>'[2]Domestic Mobile Operations'!AC$19</f>
        <v>1025</v>
      </c>
      <c r="BD151" s="302">
        <f>'[2]Domestic Mobile Operations'!AD$19</f>
        <v>1053</v>
      </c>
      <c r="BE151" s="303">
        <f>SUM(BA151:BD151)</f>
        <v>4072</v>
      </c>
      <c r="BF151" s="302">
        <f>'[2]Domestic Mobile Operations'!AE$19</f>
        <v>1000</v>
      </c>
      <c r="BG151" s="302">
        <f>'[2]Domestic Mobile Operations'!AF$19</f>
        <v>972</v>
      </c>
      <c r="BH151" s="303"/>
      <c r="BI151" s="303"/>
      <c r="BJ151" s="303"/>
      <c r="BK151" s="302">
        <f>'[2]Domestic Mobile Operations'!AI$19</f>
        <v>984</v>
      </c>
      <c r="BL151" s="302">
        <f>'[2]Domestic Mobile Operations'!AJ$19</f>
        <v>974</v>
      </c>
      <c r="BM151" s="302">
        <f>'[2]Domestic Mobile Operations'!AK$19</f>
        <v>956</v>
      </c>
      <c r="BN151" s="302">
        <f>'[2]Domestic Mobile Operations'!AL$19</f>
        <v>967</v>
      </c>
      <c r="BO151" s="303"/>
      <c r="BP151" s="302">
        <f>'[2]Domestic Mobile Operations'!AM$19</f>
        <v>974</v>
      </c>
      <c r="BQ151" s="302">
        <f>'[2]Domestic Mobile Operations'!AN$19</f>
        <v>1002</v>
      </c>
      <c r="BR151" s="302">
        <f>'[2]Domestic Mobile Operations'!AO$19</f>
        <v>1030</v>
      </c>
      <c r="BS151" s="302">
        <f>'[2]Domestic Mobile Operations'!AP$19</f>
        <v>1019</v>
      </c>
      <c r="BT151" s="303"/>
      <c r="BU151" s="302">
        <f>'[2]Domestic Mobile Operations'!AQ$19</f>
        <v>1041</v>
      </c>
      <c r="BV151" s="302">
        <f>'[2]Domestic Mobile Operations'!AR$19</f>
        <v>1069</v>
      </c>
      <c r="BW151" s="302">
        <f>'[2]Domestic Mobile Operations'!AS$19</f>
        <v>1092</v>
      </c>
      <c r="BX151" s="302">
        <f>'[2]Domestic Mobile Operations'!AT$19</f>
        <v>1112</v>
      </c>
      <c r="BY151" s="303"/>
      <c r="BZ151" s="302">
        <f>'[2]Domestic Mobile Operations'!AU$19</f>
        <v>1123</v>
      </c>
      <c r="CA151" s="302">
        <f>'[2]Domestic Mobile Operations'!AV$19</f>
        <v>1128</v>
      </c>
      <c r="CB151" s="302">
        <f>'[2]Domestic Mobile Operations'!AW$19</f>
        <v>1154</v>
      </c>
      <c r="CC151" s="302">
        <f>'[2]Domestic Mobile Operations'!AX$19</f>
        <v>1186</v>
      </c>
      <c r="CD151" s="303"/>
      <c r="CE151" s="303"/>
      <c r="CF151" s="303"/>
      <c r="CG151" s="303"/>
      <c r="CH151" s="303"/>
      <c r="CI151" s="303"/>
      <c r="CJ151" s="303"/>
      <c r="CK151" s="303"/>
      <c r="CL151" s="303"/>
      <c r="CM151" s="303"/>
      <c r="CN151" s="303"/>
      <c r="CO151" s="303"/>
      <c r="CP151" s="303"/>
      <c r="CQ151" s="303"/>
      <c r="CR151" s="303"/>
      <c r="CS151" s="303"/>
      <c r="CT151" s="303"/>
    </row>
    <row r="152" spans="1:102" hidden="1" outlineLevel="1">
      <c r="A152" s="276" t="str">
        <f>A143</f>
        <v>Change</v>
      </c>
      <c r="B152" s="287"/>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c r="AL152" s="287"/>
      <c r="AM152" s="287"/>
      <c r="AN152" s="287"/>
      <c r="AO152" s="287"/>
      <c r="AP152" s="287"/>
      <c r="AQ152" s="277">
        <f>AQ151/AL151-1</f>
        <v>2.5720164609053464E-2</v>
      </c>
      <c r="AR152" s="277">
        <f>AR151/AM151-1</f>
        <v>2.049180327868827E-3</v>
      </c>
      <c r="AS152" s="277">
        <f>AS151/AN151-1</f>
        <v>-1.1270491803278659E-2</v>
      </c>
      <c r="AT152" s="277">
        <f>AT151/AO151-1</f>
        <v>-1.9762845849802257E-3</v>
      </c>
      <c r="AU152" s="277"/>
      <c r="AV152" s="277">
        <f>AV151/AQ151-1</f>
        <v>-6.1183550651955909E-2</v>
      </c>
      <c r="AW152" s="277">
        <f>AW151/AR151-1</f>
        <v>-3.2719836400817992E-2</v>
      </c>
      <c r="AX152" s="277">
        <f>AX151/AS151-1</f>
        <v>3.3160621761658016E-2</v>
      </c>
      <c r="AY152" s="277">
        <f>AY151/AT151-1</f>
        <v>-0.10594059405940592</v>
      </c>
      <c r="AZ152" s="287"/>
      <c r="BA152" s="277">
        <f>BA151/AV151-1</f>
        <v>5.2350427350427386E-2</v>
      </c>
      <c r="BB152" s="277">
        <f>BB151/AW151-1</f>
        <v>6.6596194503171224E-2</v>
      </c>
      <c r="BC152" s="277">
        <f>BC151/AX151-1</f>
        <v>2.8084252758274753E-2</v>
      </c>
      <c r="BD152" s="277">
        <f>BD151/AY151-1</f>
        <v>0.16611295681063121</v>
      </c>
      <c r="BE152" s="287"/>
      <c r="BF152" s="277">
        <f>BF151/BA151-1</f>
        <v>1.5228426395939021E-2</v>
      </c>
      <c r="BG152" s="277">
        <f>BG151/BB151-1</f>
        <v>-3.6669970267591667E-2</v>
      </c>
      <c r="BH152" s="287"/>
      <c r="BI152" s="287"/>
      <c r="BJ152" s="287"/>
      <c r="BK152" s="277">
        <f>BK151/BF151-1</f>
        <v>-1.6000000000000014E-2</v>
      </c>
      <c r="BL152" s="277">
        <f>BL151/BG151-1</f>
        <v>2.057613168724215E-3</v>
      </c>
      <c r="BM152" s="277" t="e">
        <f>BM151/BH151-1</f>
        <v>#DIV/0!</v>
      </c>
      <c r="BN152" s="277" t="e">
        <f>BN151/BI151-1</f>
        <v>#DIV/0!</v>
      </c>
      <c r="BO152" s="287"/>
      <c r="BP152" s="277">
        <f>BP151/BK151-1</f>
        <v>-1.0162601626016232E-2</v>
      </c>
      <c r="BQ152" s="277">
        <f>BQ151/BL151-1</f>
        <v>2.8747433264887157E-2</v>
      </c>
      <c r="BR152" s="277">
        <f>BR151/BM151-1</f>
        <v>7.7405857740585837E-2</v>
      </c>
      <c r="BS152" s="277">
        <f>BS151/BN151-1</f>
        <v>5.377456049638063E-2</v>
      </c>
      <c r="BT152" s="287"/>
      <c r="BU152" s="279">
        <f>BU151/BP151-1</f>
        <v>6.8788501026693982E-2</v>
      </c>
      <c r="BV152" s="279">
        <f>BV151/BQ151-1</f>
        <v>6.6866267465069962E-2</v>
      </c>
      <c r="BW152" s="279">
        <f>BW151/BR151-1</f>
        <v>6.0194174757281615E-2</v>
      </c>
      <c r="BX152" s="279">
        <f>BX151/BS151-1</f>
        <v>9.1265947006869519E-2</v>
      </c>
      <c r="BY152" s="287"/>
      <c r="BZ152" s="279">
        <f>BZ151/BU151-1</f>
        <v>7.8770413064361167E-2</v>
      </c>
      <c r="CA152" s="279">
        <f>CA151/BV151-1</f>
        <v>5.5191768007483599E-2</v>
      </c>
      <c r="CB152" s="279">
        <f>CB151/BW151-1</f>
        <v>5.6776556776556797E-2</v>
      </c>
      <c r="CC152" s="279">
        <f>CC151/BX151-1</f>
        <v>6.6546762589928088E-2</v>
      </c>
      <c r="CD152" s="287"/>
      <c r="CE152" s="287"/>
      <c r="CF152" s="287"/>
      <c r="CG152" s="287"/>
      <c r="CH152" s="287"/>
      <c r="CI152" s="287"/>
      <c r="CJ152" s="287"/>
      <c r="CK152" s="287"/>
      <c r="CL152" s="287"/>
      <c r="CM152" s="287"/>
      <c r="CN152" s="195"/>
      <c r="CO152" s="195"/>
      <c r="CP152" s="195"/>
      <c r="CQ152" s="195"/>
      <c r="CS152" s="200" t="s">
        <v>42</v>
      </c>
      <c r="CT152" s="200" t="s">
        <v>43</v>
      </c>
      <c r="CU152" s="200" t="s">
        <v>44</v>
      </c>
      <c r="CV152" s="200" t="s">
        <v>45</v>
      </c>
      <c r="CW152" s="200" t="s">
        <v>22</v>
      </c>
      <c r="CX152" s="200" t="s">
        <v>23</v>
      </c>
    </row>
    <row r="153" spans="1:102" hidden="1" outlineLevel="1">
      <c r="A153" s="273" t="s">
        <v>40</v>
      </c>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304">
        <f>'[2]Domestic Mobile Operations'!O$24</f>
        <v>95</v>
      </c>
      <c r="AM153" s="304">
        <f>'[2]Domestic Mobile Operations'!P$24</f>
        <v>96</v>
      </c>
      <c r="AN153" s="304">
        <f>'[2]Domestic Mobile Operations'!Q$24</f>
        <v>97</v>
      </c>
      <c r="AO153" s="304">
        <f>'[2]Domestic Mobile Operations'!R$24</f>
        <v>102</v>
      </c>
      <c r="AP153" s="305"/>
      <c r="AQ153" s="304">
        <f>'[2]Domestic Mobile Operations'!S$24</f>
        <v>101</v>
      </c>
      <c r="AR153" s="304">
        <f>'[2]Domestic Mobile Operations'!T$24</f>
        <v>101</v>
      </c>
      <c r="AS153" s="304">
        <f>'[2]Domestic Mobile Operations'!U$24</f>
        <v>100</v>
      </c>
      <c r="AT153" s="304">
        <f>'[2]Domestic Mobile Operations'!V$24</f>
        <v>104</v>
      </c>
      <c r="AU153" s="304"/>
      <c r="AV153" s="304">
        <f>'[2]Domestic Mobile Operations'!W$24</f>
        <v>96</v>
      </c>
      <c r="AW153" s="304">
        <f>'[2]Domestic Mobile Operations'!X$24</f>
        <v>96</v>
      </c>
      <c r="AX153" s="304">
        <f>'[2]Domestic Mobile Operations'!Y$24</f>
        <v>96</v>
      </c>
      <c r="AY153" s="304">
        <f>'[2]Domestic Mobile Operations'!Z$24</f>
        <v>96</v>
      </c>
      <c r="AZ153" s="283">
        <f>AVERAGE(AV153:AY153)</f>
        <v>96</v>
      </c>
      <c r="BA153" s="304">
        <f>'[2]Domestic Mobile Operations'!AA$24</f>
        <v>92</v>
      </c>
      <c r="BB153" s="304">
        <f>'[2]Domestic Mobile Operations'!AB$24</f>
        <v>94</v>
      </c>
      <c r="BC153" s="304">
        <f>'[2]Domestic Mobile Operations'!AC$24</f>
        <v>93</v>
      </c>
      <c r="BD153" s="304">
        <f>'[2]Domestic Mobile Operations'!AD$24</f>
        <v>94</v>
      </c>
      <c r="BE153" s="283">
        <f>AVERAGE(BA153:BD153)</f>
        <v>93.25</v>
      </c>
      <c r="BF153" s="304">
        <f>'[2]Domestic Mobile Operations'!AE$24</f>
        <v>88</v>
      </c>
      <c r="BG153" s="304">
        <f>'[2]Domestic Mobile Operations'!AF$24</f>
        <v>86</v>
      </c>
      <c r="BH153" s="283"/>
      <c r="BI153" s="283"/>
      <c r="BJ153" s="283"/>
      <c r="BK153" s="304">
        <f>'[2]Domestic Mobile Operations'!AI$24</f>
        <v>81</v>
      </c>
      <c r="BL153" s="304">
        <f>'[2]Domestic Mobile Operations'!AJ$24</f>
        <v>79.5</v>
      </c>
      <c r="BM153" s="304">
        <f>'[2]Domestic Mobile Operations'!AK$24</f>
        <v>78.400000000000006</v>
      </c>
      <c r="BN153" s="304">
        <f>'[2]Domestic Mobile Operations'!AL$24</f>
        <v>77.3</v>
      </c>
      <c r="BO153" s="283"/>
      <c r="BP153" s="304">
        <f>'[2]Domestic Mobile Operations'!AM$24</f>
        <v>76</v>
      </c>
      <c r="BQ153" s="304">
        <f>'[2]Domestic Mobile Operations'!AN$24</f>
        <v>75.400000000000006</v>
      </c>
      <c r="BR153" s="304">
        <f>'[2]Domestic Mobile Operations'!AO$24</f>
        <v>75</v>
      </c>
      <c r="BS153" s="304">
        <f>'[2]Domestic Mobile Operations'!AP$24</f>
        <v>73.400000000000006</v>
      </c>
      <c r="BT153" s="283"/>
      <c r="BU153" s="304">
        <f>'[2]Domestic Mobile Operations'!AQ$24</f>
        <v>72.5</v>
      </c>
      <c r="BV153" s="304">
        <f>'[2]Domestic Mobile Operations'!AR$24</f>
        <v>72.7</v>
      </c>
      <c r="BW153" s="304">
        <f>'[2]Domestic Mobile Operations'!AS$24</f>
        <v>72.8</v>
      </c>
      <c r="BX153" s="304">
        <f>'[2]Domestic Mobile Operations'!AT$24</f>
        <v>72.7</v>
      </c>
      <c r="BY153" s="283"/>
      <c r="BZ153" s="304">
        <f>'[2]Domestic Mobile Operations'!AU$24</f>
        <v>71.3</v>
      </c>
      <c r="CA153" s="304">
        <f>'[2]Domestic Mobile Operations'!AV$24</f>
        <v>71</v>
      </c>
      <c r="CB153" s="304">
        <f>'[2]Domestic Mobile Operations'!AW$24</f>
        <v>70.2</v>
      </c>
      <c r="CC153" s="304">
        <f>'[2]Domestic Mobile Operations'!AX$24</f>
        <v>69.8</v>
      </c>
      <c r="CD153" s="283"/>
      <c r="CE153" s="283"/>
      <c r="CF153" s="283"/>
      <c r="CG153" s="283"/>
      <c r="CH153" s="283"/>
      <c r="CI153" s="283"/>
      <c r="CJ153" s="283"/>
      <c r="CK153" s="283"/>
      <c r="CL153" s="283"/>
      <c r="CM153" s="283"/>
      <c r="CN153" s="195"/>
      <c r="CO153" s="195"/>
      <c r="CP153" s="195"/>
      <c r="CQ153" s="195"/>
      <c r="CS153" s="207">
        <v>5.2999999999999999E-2</v>
      </c>
      <c r="CT153" s="311">
        <v>0.18945795988049485</v>
      </c>
      <c r="CU153" s="311">
        <v>7.732606121497021E-2</v>
      </c>
      <c r="CV153" s="311">
        <v>2.010770176998955E-2</v>
      </c>
      <c r="CW153" s="311">
        <v>2.1012533565202496E-2</v>
      </c>
      <c r="CX153" s="311">
        <v>2.2915565072836097E-2</v>
      </c>
    </row>
    <row r="154" spans="1:102" hidden="1" outlineLevel="1">
      <c r="A154" s="276" t="s">
        <v>39</v>
      </c>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77">
        <f>AQ153/AL153-1</f>
        <v>6.315789473684208E-2</v>
      </c>
      <c r="AR154" s="277">
        <f>AR153/AM153-1</f>
        <v>5.2083333333333259E-2</v>
      </c>
      <c r="AS154" s="277">
        <f>AS153/AN153-1</f>
        <v>3.0927835051546282E-2</v>
      </c>
      <c r="AT154" s="277">
        <f>AT153/AO153-1</f>
        <v>1.9607843137254832E-2</v>
      </c>
      <c r="AU154" s="277"/>
      <c r="AV154" s="277">
        <f>AV153/AQ153-1</f>
        <v>-4.9504950495049549E-2</v>
      </c>
      <c r="AW154" s="277">
        <f>AW153/AR153-1</f>
        <v>-4.9504950495049549E-2</v>
      </c>
      <c r="AX154" s="277">
        <f>AX153/AS153-1</f>
        <v>-4.0000000000000036E-2</v>
      </c>
      <c r="AY154" s="277">
        <f>AY153/AT153-1</f>
        <v>-7.6923076923076872E-2</v>
      </c>
      <c r="AZ154" s="312"/>
      <c r="BA154" s="277">
        <f t="shared" ref="BA154:BG154" si="484">BA153/AV153-1</f>
        <v>-4.166666666666663E-2</v>
      </c>
      <c r="BB154" s="277">
        <f t="shared" si="484"/>
        <v>-2.083333333333337E-2</v>
      </c>
      <c r="BC154" s="277">
        <f t="shared" si="484"/>
        <v>-3.125E-2</v>
      </c>
      <c r="BD154" s="277">
        <f t="shared" si="484"/>
        <v>-2.083333333333337E-2</v>
      </c>
      <c r="BE154" s="277">
        <f t="shared" si="484"/>
        <v>-2.864583333333337E-2</v>
      </c>
      <c r="BF154" s="277">
        <f t="shared" si="484"/>
        <v>-4.3478260869565188E-2</v>
      </c>
      <c r="BG154" s="277">
        <f t="shared" si="484"/>
        <v>-8.5106382978723416E-2</v>
      </c>
      <c r="BH154" s="243"/>
      <c r="BI154" s="243"/>
      <c r="BJ154" s="312"/>
      <c r="BK154" s="277">
        <f t="shared" ref="BK154:CC154" si="485">BK153/BF153-1</f>
        <v>-7.9545454545454586E-2</v>
      </c>
      <c r="BL154" s="277">
        <f t="shared" si="485"/>
        <v>-7.5581395348837233E-2</v>
      </c>
      <c r="BM154" s="277" t="e">
        <f t="shared" si="485"/>
        <v>#DIV/0!</v>
      </c>
      <c r="BN154" s="277" t="e">
        <f t="shared" si="485"/>
        <v>#DIV/0!</v>
      </c>
      <c r="BO154" s="312"/>
      <c r="BP154" s="277">
        <f t="shared" si="485"/>
        <v>-6.1728395061728447E-2</v>
      </c>
      <c r="BQ154" s="277">
        <f t="shared" si="485"/>
        <v>-5.1572327044025035E-2</v>
      </c>
      <c r="BR154" s="277">
        <f t="shared" si="485"/>
        <v>-4.3367346938775531E-2</v>
      </c>
      <c r="BS154" s="277">
        <f t="shared" si="485"/>
        <v>-5.0452781371280619E-2</v>
      </c>
      <c r="BT154" s="312"/>
      <c r="BU154" s="279">
        <f t="shared" si="485"/>
        <v>-4.6052631578947345E-2</v>
      </c>
      <c r="BV154" s="279">
        <f t="shared" si="485"/>
        <v>-3.5809018567639295E-2</v>
      </c>
      <c r="BW154" s="279">
        <f t="shared" si="485"/>
        <v>-2.9333333333333322E-2</v>
      </c>
      <c r="BX154" s="279">
        <f t="shared" si="485"/>
        <v>-9.5367847411444995E-3</v>
      </c>
      <c r="BY154" s="312"/>
      <c r="BZ154" s="279">
        <f t="shared" si="485"/>
        <v>-1.6551724137931045E-2</v>
      </c>
      <c r="CA154" s="279">
        <f t="shared" si="485"/>
        <v>-2.3383768913342595E-2</v>
      </c>
      <c r="CB154" s="279">
        <f t="shared" si="485"/>
        <v>-3.5714285714285587E-2</v>
      </c>
      <c r="CC154" s="279">
        <f t="shared" si="485"/>
        <v>-3.9889958734525499E-2</v>
      </c>
      <c r="CD154" s="312"/>
      <c r="CE154" s="312"/>
      <c r="CF154" s="312"/>
      <c r="CG154" s="312"/>
      <c r="CH154" s="312"/>
      <c r="CI154" s="312"/>
      <c r="CJ154" s="312"/>
      <c r="CK154" s="312"/>
      <c r="CL154" s="312"/>
      <c r="CM154" s="312"/>
      <c r="CN154" s="195"/>
      <c r="CO154" s="195"/>
      <c r="CP154" s="195"/>
      <c r="CQ154" s="195"/>
      <c r="CR154" s="195"/>
      <c r="CS154" s="195"/>
      <c r="CT154" s="195"/>
    </row>
    <row r="155" spans="1:102" hidden="1" outlineLevel="1">
      <c r="A155" s="276"/>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77"/>
      <c r="AR155" s="277"/>
      <c r="AS155" s="277"/>
      <c r="AT155" s="277"/>
      <c r="AU155" s="277"/>
      <c r="AV155" s="277"/>
      <c r="AW155" s="306">
        <f>AW151*1000/AVERAGE(AW158,AV158)/3</f>
        <v>111.78069242585372</v>
      </c>
      <c r="AX155" s="306">
        <f>AX151*1000/AVERAGE(AX158,AW158)/3</f>
        <v>116.79259649739355</v>
      </c>
      <c r="AY155" s="306">
        <f>AY151*1000/AVERAGE(AY158,AX158)/3</f>
        <v>104.82326310290789</v>
      </c>
      <c r="AZ155" s="306">
        <f>AZ151*1000/AVERAGE(AZ158,AU158)/3</f>
        <v>442.80529212036066</v>
      </c>
      <c r="BA155" s="306">
        <f>BA151*1000/AVERAGE(BA158,AZ158)/3</f>
        <v>112.21234905445432</v>
      </c>
      <c r="BB155" s="306">
        <f>BB151*1000/AVERAGE(BB158,BA158)/3</f>
        <v>112.5425241202387</v>
      </c>
      <c r="BC155" s="306">
        <f>BC151*1000/AVERAGE(BC158,BB158)/3</f>
        <v>111.58284345743523</v>
      </c>
      <c r="BD155" s="306">
        <f>BD151*1000/AVERAGE(BD158,BC158)/3</f>
        <v>111.51707704527404</v>
      </c>
      <c r="BE155" s="306"/>
      <c r="BF155" s="306">
        <f>BF151*1000/AVERAGE(BF158,BE158)/3</f>
        <v>102.39082578200993</v>
      </c>
      <c r="BG155" s="306">
        <f>BG151*1000/AVERAGE(BG158,BF158)/3</f>
        <v>95.872170439414106</v>
      </c>
      <c r="BH155" s="306"/>
      <c r="BI155" s="306"/>
      <c r="BJ155" s="243"/>
      <c r="BK155" s="306">
        <f>BK151*1000/AVERAGE(BK158,BJ158)/3</f>
        <v>85.572658492042777</v>
      </c>
      <c r="BL155" s="306">
        <f>BL151*1000/AVERAGE(BL158,BK158)/3</f>
        <v>85.058073530696007</v>
      </c>
      <c r="BM155" s="306">
        <f>BM151*1000/AVERAGE(BM158,BL158)/3</f>
        <v>83.24625566004876</v>
      </c>
      <c r="BN155" s="306">
        <f>BN151*1000/AVERAGE(BN158,BM158)/3</f>
        <v>82.713198186639303</v>
      </c>
      <c r="BO155" s="243"/>
      <c r="BP155" s="306">
        <f>BP151*1000/AVERAGE(BP158,BO158)/3</f>
        <v>81.045099018139453</v>
      </c>
      <c r="BQ155" s="306">
        <f>BQ151*1000/AVERAGE(BQ158,BP158)/3</f>
        <v>82.073964860547974</v>
      </c>
      <c r="BR155" s="306">
        <f>BR151*1000/AVERAGE(BR158,BQ158)/3</f>
        <v>83.333333333333329</v>
      </c>
      <c r="BS155" s="306">
        <f>BS151*1000/AVERAGE(BS158,BR158)/3</f>
        <v>81.201689377639653</v>
      </c>
      <c r="BT155" s="243"/>
      <c r="BU155" s="307">
        <f>BU151*1000/AVERAGE(BU158,BT158)/3</f>
        <v>80.249768732654942</v>
      </c>
      <c r="BV155" s="307">
        <f>BV151*1000/AVERAGE(BV158,BU158)/3</f>
        <v>81.709088129633884</v>
      </c>
      <c r="BW155" s="307">
        <f>BW151*1000/AVERAGE(BW158,BV158)/3</f>
        <v>82.018927444794954</v>
      </c>
      <c r="BX155" s="307">
        <f>BX151*1000/AVERAGE(BX158,BW158)/3</f>
        <v>81.743668908736723</v>
      </c>
      <c r="BY155" s="243"/>
      <c r="BZ155" s="307">
        <f>BZ151*1000/AVERAGE(BZ158,BY158)/3</f>
        <v>80.27736078347273</v>
      </c>
      <c r="CA155" s="307">
        <f>CA151*1000/AVERAGE(CA158,BZ158)/3</f>
        <v>80.13640238704177</v>
      </c>
      <c r="CB155" s="307">
        <f>CB151*1000/AVERAGE(CB158,CA158)/3</f>
        <v>80.592220127103857</v>
      </c>
      <c r="CC155" s="307">
        <f>CC151*1000/AVERAGE(CC158,CB158)/3</f>
        <v>81.118976779179917</v>
      </c>
      <c r="CD155" s="243"/>
      <c r="CE155" s="243"/>
      <c r="CF155" s="243"/>
      <c r="CG155" s="243"/>
      <c r="CH155" s="243"/>
      <c r="CI155" s="243"/>
      <c r="CJ155" s="243"/>
      <c r="CK155" s="243"/>
      <c r="CL155" s="243"/>
      <c r="CM155" s="243"/>
      <c r="CN155" s="195"/>
      <c r="CO155" s="195"/>
      <c r="CP155" s="195"/>
      <c r="CQ155" s="195"/>
      <c r="CR155" s="195"/>
      <c r="CS155" s="195"/>
      <c r="CT155" s="195"/>
    </row>
    <row r="156" spans="1:102" hidden="1" outlineLevel="1">
      <c r="A156" s="276"/>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77"/>
      <c r="AR156" s="277"/>
      <c r="AS156" s="277"/>
      <c r="AT156" s="277"/>
      <c r="AU156" s="277"/>
      <c r="AV156" s="277"/>
      <c r="AW156" s="277"/>
      <c r="AX156" s="277"/>
      <c r="AY156" s="277"/>
      <c r="AZ156" s="243"/>
      <c r="BA156" s="277"/>
      <c r="BB156" s="277"/>
      <c r="BC156" s="277"/>
      <c r="BD156" s="277"/>
      <c r="BE156" s="243"/>
      <c r="BF156" s="277"/>
      <c r="BG156" s="277"/>
      <c r="BH156" s="243"/>
      <c r="BI156" s="243"/>
      <c r="BJ156" s="243"/>
      <c r="BK156" s="277"/>
      <c r="BL156" s="277"/>
      <c r="BM156" s="277"/>
      <c r="BN156" s="277"/>
      <c r="BO156" s="243"/>
      <c r="BP156" s="277"/>
      <c r="BQ156" s="277"/>
      <c r="BR156" s="277"/>
      <c r="BS156" s="277"/>
      <c r="BT156" s="243"/>
      <c r="BU156" s="279"/>
      <c r="BV156" s="279"/>
      <c r="BW156" s="279"/>
      <c r="BX156" s="279"/>
      <c r="BY156" s="243"/>
      <c r="BZ156" s="279"/>
      <c r="CA156" s="279"/>
      <c r="CB156" s="279"/>
      <c r="CC156" s="279"/>
      <c r="CD156" s="243"/>
      <c r="CE156" s="243"/>
      <c r="CF156" s="243"/>
      <c r="CG156" s="243"/>
      <c r="CH156" s="243"/>
      <c r="CI156" s="243"/>
      <c r="CJ156" s="243"/>
      <c r="CK156" s="243"/>
      <c r="CL156" s="243"/>
      <c r="CM156" s="243"/>
      <c r="CN156" s="195"/>
      <c r="CO156" s="195"/>
      <c r="CP156" s="195"/>
      <c r="CQ156" s="195"/>
      <c r="CR156" s="195"/>
      <c r="CS156" s="195"/>
      <c r="CT156" s="195"/>
    </row>
    <row r="157" spans="1:102" hidden="1" outlineLevel="1">
      <c r="A157" s="276"/>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22"/>
      <c r="BV157" s="222"/>
      <c r="BW157" s="222"/>
      <c r="BX157" s="222"/>
      <c r="BY157" s="243"/>
      <c r="BZ157" s="222"/>
      <c r="CA157" s="222"/>
      <c r="CB157" s="222"/>
      <c r="CC157" s="222"/>
      <c r="CD157" s="243"/>
      <c r="CE157" s="243"/>
      <c r="CF157" s="243"/>
      <c r="CG157" s="243"/>
      <c r="CH157" s="243"/>
      <c r="CI157" s="243"/>
      <c r="CJ157" s="243"/>
      <c r="CK157" s="243"/>
      <c r="CL157" s="243"/>
      <c r="CM157" s="243"/>
      <c r="CN157" s="195"/>
      <c r="CO157" s="195"/>
      <c r="CP157" s="195"/>
      <c r="CQ157" s="195"/>
      <c r="CR157" s="195"/>
      <c r="CS157" s="195"/>
      <c r="CT157" s="195"/>
    </row>
    <row r="158" spans="1:102" hidden="1" outlineLevel="1">
      <c r="A158" s="276" t="s">
        <v>457</v>
      </c>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308">
        <f>'[2]Domestic Mobile Operations'!$W$13</f>
        <v>2800</v>
      </c>
      <c r="AV158" s="308">
        <f>'[2]Domestic Mobile Operations'!$W$13</f>
        <v>2800</v>
      </c>
      <c r="AW158" s="308">
        <f>'[2]Domestic Mobile Operations'!X$13</f>
        <v>2842</v>
      </c>
      <c r="AX158" s="308">
        <f>'[2]Domestic Mobile Operations'!Y$13</f>
        <v>2849</v>
      </c>
      <c r="AY158" s="308">
        <f>'[2]Domestic Mobile Operations'!Z$13</f>
        <v>2894</v>
      </c>
      <c r="AZ158" s="308">
        <f>AY158</f>
        <v>2894</v>
      </c>
      <c r="BA158" s="308">
        <f>'[2]Domestic Mobile Operations'!AA$13</f>
        <v>2958</v>
      </c>
      <c r="BB158" s="308">
        <f>'[2]Domestic Mobile Operations'!AB$13</f>
        <v>3019</v>
      </c>
      <c r="BC158" s="308">
        <f>'[2]Domestic Mobile Operations'!AC$13</f>
        <v>3105</v>
      </c>
      <c r="BD158" s="308">
        <f>'[2]Domestic Mobile Operations'!AD$13</f>
        <v>3190</v>
      </c>
      <c r="BE158" s="204">
        <f>BD158</f>
        <v>3190</v>
      </c>
      <c r="BF158" s="308">
        <f>'[2]Domestic Mobile Operations'!AE$13</f>
        <v>3321</v>
      </c>
      <c r="BG158" s="308">
        <f>'[2]Domestic Mobile Operations'!AF$13</f>
        <v>3438</v>
      </c>
      <c r="BH158" s="204"/>
      <c r="BI158" s="204"/>
      <c r="BJ158" s="204"/>
      <c r="BK158" s="308">
        <f>'[2]Domestic Mobile Operations'!AI$13</f>
        <v>3833</v>
      </c>
      <c r="BL158" s="308">
        <f>'[2]Domestic Mobile Operations'!AJ$13</f>
        <v>3801</v>
      </c>
      <c r="BM158" s="308">
        <f>'[2]Domestic Mobile Operations'!AK$13</f>
        <v>3855</v>
      </c>
      <c r="BN158" s="308">
        <f>'[2]Domestic Mobile Operations'!AL$13</f>
        <v>3939</v>
      </c>
      <c r="BO158" s="204"/>
      <c r="BP158" s="308">
        <f>'[2]Domestic Mobile Operations'!AM$13</f>
        <v>4006</v>
      </c>
      <c r="BQ158" s="308">
        <f>'[2]Domestic Mobile Operations'!AN$13</f>
        <v>4133</v>
      </c>
      <c r="BR158" s="308">
        <f>'[2]Domestic Mobile Operations'!AO$13</f>
        <v>4107</v>
      </c>
      <c r="BS158" s="308">
        <f>'[2]Domestic Mobile Operations'!AP$13</f>
        <v>4259</v>
      </c>
      <c r="BT158" s="204"/>
      <c r="BU158" s="310">
        <f>'[2]Domestic Mobile Operations'!AQ$13</f>
        <v>4324</v>
      </c>
      <c r="BV158" s="310">
        <f>'[2]Domestic Mobile Operations'!AR$13</f>
        <v>4398</v>
      </c>
      <c r="BW158" s="310">
        <f>'[2]Domestic Mobile Operations'!AS$13</f>
        <v>4478</v>
      </c>
      <c r="BX158" s="310">
        <f>'[2]Domestic Mobile Operations'!AT$13</f>
        <v>4591</v>
      </c>
      <c r="BY158" s="204"/>
      <c r="BZ158" s="310">
        <f>'[2]Domestic Mobile Operations'!AU$13</f>
        <v>4663</v>
      </c>
      <c r="CA158" s="310">
        <f>'[2]Domestic Mobile Operations'!AV$13</f>
        <v>4721</v>
      </c>
      <c r="CB158" s="310">
        <f>'[2]Domestic Mobile Operations'!AW$13</f>
        <v>4825</v>
      </c>
      <c r="CC158" s="310">
        <f>'[2]Domestic Mobile Operations'!AX$13</f>
        <v>4922</v>
      </c>
      <c r="CD158" s="204"/>
      <c r="CE158" s="204"/>
      <c r="CF158" s="204"/>
      <c r="CG158" s="204"/>
      <c r="CH158" s="204"/>
      <c r="CI158" s="243"/>
      <c r="CJ158" s="243"/>
      <c r="CK158" s="243"/>
      <c r="CL158" s="243"/>
      <c r="CM158" s="243"/>
      <c r="CN158" s="195"/>
      <c r="CO158" s="195"/>
      <c r="CP158" s="195"/>
      <c r="CQ158" s="195"/>
      <c r="CR158" s="195"/>
      <c r="CS158" s="195"/>
      <c r="CT158" s="195"/>
    </row>
    <row r="159" spans="1:102" hidden="1" outlineLevel="1">
      <c r="A159" s="276"/>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f t="shared" ref="AV159:BD159" si="486">AV158/AV116</f>
        <v>0.24096385542168675</v>
      </c>
      <c r="AW159" s="243">
        <f t="shared" si="486"/>
        <v>0.24723792953458026</v>
      </c>
      <c r="AX159" s="243">
        <f t="shared" si="486"/>
        <v>0.25657420749279541</v>
      </c>
      <c r="AY159" s="243">
        <f t="shared" si="486"/>
        <v>0.2648243045387994</v>
      </c>
      <c r="AZ159" s="243">
        <f t="shared" si="486"/>
        <v>0.2648243045387994</v>
      </c>
      <c r="BA159" s="243">
        <f t="shared" si="486"/>
        <v>0.27608736232966213</v>
      </c>
      <c r="BB159" s="243">
        <f t="shared" si="486"/>
        <v>0.28122962272938984</v>
      </c>
      <c r="BC159" s="243">
        <f t="shared" si="486"/>
        <v>0.28728719467061437</v>
      </c>
      <c r="BD159" s="243">
        <f t="shared" si="486"/>
        <v>0.29644085122200536</v>
      </c>
      <c r="BE159" s="243"/>
      <c r="BF159" s="243">
        <f>BF158/BF116</f>
        <v>0.30849976776590804</v>
      </c>
      <c r="BG159" s="243">
        <f>BG158/BG116</f>
        <v>0.31538390973305203</v>
      </c>
      <c r="BH159" s="243"/>
      <c r="BI159" s="243"/>
      <c r="BJ159" s="243"/>
      <c r="BK159" s="243">
        <f>BK158/BK116</f>
        <v>0.34159165849746009</v>
      </c>
      <c r="BL159" s="243">
        <f>BL158/BL116</f>
        <v>0.3267990714469951</v>
      </c>
      <c r="BM159" s="243">
        <f>BM158/BM116</f>
        <v>0.3503908380294492</v>
      </c>
      <c r="BN159" s="243">
        <f>BN158/BN116</f>
        <v>0.35384477182896157</v>
      </c>
      <c r="BO159" s="243"/>
      <c r="BP159" s="243">
        <f>BP158/BP116</f>
        <v>0.35229970978805736</v>
      </c>
      <c r="BQ159" s="243">
        <f>BQ158/BQ116</f>
        <v>0.35961019751152878</v>
      </c>
      <c r="BR159" s="243">
        <f>BR158/BR116</f>
        <v>0.35897211782186872</v>
      </c>
      <c r="BS159" s="243">
        <f>BS158/BS116</f>
        <v>0.36658633155448445</v>
      </c>
      <c r="BT159" s="243"/>
      <c r="BU159" s="222">
        <f>BU158/BU116</f>
        <v>0.37876664330763843</v>
      </c>
      <c r="BV159" s="222">
        <f>BV158/BV116</f>
        <v>0.38087815016887505</v>
      </c>
      <c r="BW159" s="222">
        <f>BW158/BW116</f>
        <v>0.3838505057431853</v>
      </c>
      <c r="BX159" s="222">
        <f>BX158/BX116</f>
        <v>0.39112284886692794</v>
      </c>
      <c r="BY159" s="243"/>
      <c r="BZ159" s="222">
        <f>BZ158/BZ116</f>
        <v>0.39553821358893881</v>
      </c>
      <c r="CA159" s="222">
        <f>CA158/CA116</f>
        <v>0.40168467625287163</v>
      </c>
      <c r="CB159" s="222">
        <f>CB158/CB116</f>
        <v>0.40174854288093254</v>
      </c>
      <c r="CC159" s="222">
        <f>CC158/CC116</f>
        <v>0.39341379585964353</v>
      </c>
      <c r="CD159" s="243"/>
      <c r="CE159" s="243"/>
      <c r="CF159" s="243"/>
      <c r="CG159" s="243"/>
      <c r="CH159" s="243"/>
      <c r="CI159" s="243"/>
      <c r="CJ159" s="243"/>
      <c r="CK159" s="243"/>
      <c r="CL159" s="243"/>
      <c r="CM159" s="243"/>
      <c r="CN159" s="195"/>
      <c r="CO159" s="195"/>
      <c r="CP159" s="195"/>
      <c r="CQ159" s="195"/>
      <c r="CR159" s="195"/>
      <c r="CS159" s="195"/>
      <c r="CT159" s="195"/>
    </row>
    <row r="160" spans="1:102" hidden="1" outlineLevel="1">
      <c r="A160" s="276" t="s">
        <v>46</v>
      </c>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22"/>
      <c r="BV160" s="222"/>
      <c r="BW160" s="222"/>
      <c r="BX160" s="222"/>
      <c r="BY160" s="243"/>
      <c r="BZ160" s="222"/>
      <c r="CA160" s="222"/>
      <c r="CB160" s="222"/>
      <c r="CC160" s="222"/>
      <c r="CD160" s="243"/>
      <c r="CE160" s="243"/>
      <c r="CF160" s="243"/>
      <c r="CG160" s="243"/>
      <c r="CH160" s="243"/>
      <c r="CI160" s="243"/>
      <c r="CJ160" s="243"/>
      <c r="CK160" s="243"/>
      <c r="CL160" s="243"/>
      <c r="CM160" s="243"/>
      <c r="CN160" s="195"/>
      <c r="CO160" s="195"/>
      <c r="CP160" s="195"/>
      <c r="CQ160" s="195"/>
      <c r="CR160" s="195"/>
      <c r="CS160" s="195"/>
      <c r="CT160" s="195"/>
    </row>
    <row r="161" spans="1:102" hidden="1" outlineLevel="1">
      <c r="A161" s="276" t="s">
        <v>47</v>
      </c>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22"/>
      <c r="BV161" s="222"/>
      <c r="BW161" s="222"/>
      <c r="BX161" s="222"/>
      <c r="BY161" s="243"/>
      <c r="BZ161" s="222"/>
      <c r="CA161" s="222"/>
      <c r="CB161" s="222"/>
      <c r="CC161" s="222"/>
      <c r="CD161" s="243"/>
      <c r="CE161" s="243"/>
      <c r="CF161" s="243"/>
      <c r="CG161" s="243"/>
      <c r="CH161" s="243"/>
      <c r="CI161" s="243"/>
      <c r="CJ161" s="243"/>
      <c r="CK161" s="243"/>
      <c r="CL161" s="243"/>
      <c r="CM161" s="243"/>
      <c r="CN161" s="195"/>
      <c r="CO161" s="195"/>
      <c r="CP161" s="195"/>
      <c r="CQ161" s="195"/>
      <c r="CR161" s="195"/>
      <c r="CS161" s="195"/>
      <c r="CT161" s="195"/>
    </row>
    <row r="162" spans="1:102" hidden="1" outlineLevel="1">
      <c r="A162" s="276"/>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313"/>
      <c r="AB162" s="222"/>
      <c r="AC162" s="222"/>
      <c r="AD162" s="222"/>
      <c r="AE162" s="222"/>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22"/>
      <c r="BV162" s="222"/>
      <c r="BW162" s="222"/>
      <c r="BX162" s="222"/>
      <c r="BY162" s="243"/>
      <c r="BZ162" s="222"/>
      <c r="CA162" s="222"/>
      <c r="CB162" s="222"/>
      <c r="CC162" s="222"/>
      <c r="CD162" s="243"/>
      <c r="CE162" s="243"/>
      <c r="CF162" s="243"/>
      <c r="CG162" s="243"/>
      <c r="CH162" s="243"/>
      <c r="CI162" s="243"/>
      <c r="CJ162" s="243"/>
      <c r="CK162" s="243"/>
      <c r="CL162" s="243"/>
      <c r="CM162" s="243"/>
      <c r="CN162" s="195"/>
      <c r="CO162" s="195"/>
      <c r="CP162" s="195"/>
      <c r="CQ162" s="195"/>
      <c r="CR162" s="195"/>
      <c r="CS162" s="195"/>
      <c r="CT162" s="195"/>
    </row>
    <row r="163" spans="1:102" collapsed="1">
      <c r="A163" s="276"/>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313"/>
      <c r="AB163" s="222"/>
      <c r="AC163" s="222"/>
      <c r="AD163" s="222"/>
      <c r="AE163" s="222"/>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22"/>
      <c r="BV163" s="222"/>
      <c r="BW163" s="222"/>
      <c r="BX163" s="222"/>
      <c r="BY163" s="243"/>
      <c r="BZ163" s="222"/>
      <c r="CA163" s="222"/>
      <c r="CB163" s="222"/>
      <c r="CC163" s="222"/>
      <c r="CD163" s="243"/>
      <c r="CE163" s="243"/>
      <c r="CF163" s="243"/>
      <c r="CG163" s="243"/>
      <c r="CH163" s="243"/>
      <c r="CI163" s="243"/>
      <c r="CJ163" s="243"/>
      <c r="CK163" s="243"/>
      <c r="CL163" s="243"/>
      <c r="CM163" s="243"/>
      <c r="CN163" s="195"/>
      <c r="CO163" s="195"/>
      <c r="CP163" s="195"/>
      <c r="CQ163" s="195"/>
      <c r="CR163" s="195"/>
      <c r="CS163" s="195"/>
      <c r="CT163" s="195"/>
    </row>
    <row r="164" spans="1:102">
      <c r="A164" s="237" t="s">
        <v>48</v>
      </c>
      <c r="B164" s="237">
        <f t="shared" ref="B164:AU164" si="487">B2</f>
        <v>2007</v>
      </c>
      <c r="C164" s="237" t="str">
        <f t="shared" si="487"/>
        <v>Q1</v>
      </c>
      <c r="D164" s="237" t="str">
        <f t="shared" si="487"/>
        <v>Q2</v>
      </c>
      <c r="E164" s="237" t="str">
        <f t="shared" si="487"/>
        <v>Q3</v>
      </c>
      <c r="F164" s="237" t="str">
        <f t="shared" si="487"/>
        <v>Q4</v>
      </c>
      <c r="G164" s="237">
        <f t="shared" si="487"/>
        <v>2008</v>
      </c>
      <c r="H164" s="237" t="str">
        <f t="shared" si="487"/>
        <v>Q1</v>
      </c>
      <c r="I164" s="237" t="str">
        <f t="shared" si="487"/>
        <v>Q2</v>
      </c>
      <c r="J164" s="237" t="str">
        <f t="shared" si="487"/>
        <v>Q3</v>
      </c>
      <c r="K164" s="237" t="str">
        <f t="shared" si="487"/>
        <v>Q4</v>
      </c>
      <c r="L164" s="237">
        <f t="shared" si="487"/>
        <v>2009</v>
      </c>
      <c r="M164" s="237" t="str">
        <f t="shared" si="487"/>
        <v>Q1</v>
      </c>
      <c r="N164" s="237" t="str">
        <f t="shared" si="487"/>
        <v>Q2</v>
      </c>
      <c r="O164" s="237" t="str">
        <f t="shared" si="487"/>
        <v>Q3</v>
      </c>
      <c r="P164" s="237" t="str">
        <f t="shared" si="487"/>
        <v>Q4</v>
      </c>
      <c r="Q164" s="237">
        <f t="shared" si="487"/>
        <v>2010</v>
      </c>
      <c r="R164" s="237" t="str">
        <f t="shared" si="487"/>
        <v>Q1</v>
      </c>
      <c r="S164" s="237" t="str">
        <f t="shared" si="487"/>
        <v>Q2</v>
      </c>
      <c r="T164" s="237" t="str">
        <f t="shared" si="487"/>
        <v>Q3</v>
      </c>
      <c r="U164" s="237" t="str">
        <f t="shared" si="487"/>
        <v>Q4</v>
      </c>
      <c r="V164" s="237">
        <f t="shared" si="487"/>
        <v>2011</v>
      </c>
      <c r="W164" s="237" t="str">
        <f t="shared" si="487"/>
        <v>Q1</v>
      </c>
      <c r="X164" s="237" t="str">
        <f t="shared" si="487"/>
        <v>Q2</v>
      </c>
      <c r="Y164" s="237" t="str">
        <f t="shared" si="487"/>
        <v>Q3</v>
      </c>
      <c r="Z164" s="237" t="str">
        <f t="shared" si="487"/>
        <v>Q4</v>
      </c>
      <c r="AA164" s="237">
        <f t="shared" si="487"/>
        <v>2012</v>
      </c>
      <c r="AB164" s="237" t="str">
        <f t="shared" si="487"/>
        <v>Q1</v>
      </c>
      <c r="AC164" s="237" t="str">
        <f t="shared" si="487"/>
        <v>Q2</v>
      </c>
      <c r="AD164" s="237" t="str">
        <f t="shared" si="487"/>
        <v>Q3</v>
      </c>
      <c r="AE164" s="237" t="str">
        <f t="shared" si="487"/>
        <v>Q4</v>
      </c>
      <c r="AF164" s="237">
        <f t="shared" si="487"/>
        <v>2013</v>
      </c>
      <c r="AG164" s="237" t="str">
        <f t="shared" si="487"/>
        <v>Q1</v>
      </c>
      <c r="AH164" s="237" t="str">
        <f t="shared" si="487"/>
        <v>Q2</v>
      </c>
      <c r="AI164" s="237" t="str">
        <f t="shared" si="487"/>
        <v>Q3</v>
      </c>
      <c r="AJ164" s="237" t="str">
        <f t="shared" si="487"/>
        <v>Q4</v>
      </c>
      <c r="AK164" s="237">
        <f t="shared" si="487"/>
        <v>2014</v>
      </c>
      <c r="AL164" s="237" t="str">
        <f t="shared" si="487"/>
        <v>Q1</v>
      </c>
      <c r="AM164" s="237" t="str">
        <f t="shared" si="487"/>
        <v>Q2</v>
      </c>
      <c r="AN164" s="237" t="str">
        <f t="shared" si="487"/>
        <v>Q3</v>
      </c>
      <c r="AO164" s="237" t="str">
        <f t="shared" si="487"/>
        <v>Q4</v>
      </c>
      <c r="AP164" s="237">
        <f t="shared" si="487"/>
        <v>2015</v>
      </c>
      <c r="AQ164" s="237" t="str">
        <f t="shared" si="487"/>
        <v>Q1</v>
      </c>
      <c r="AR164" s="237" t="str">
        <f t="shared" si="487"/>
        <v>Q2</v>
      </c>
      <c r="AS164" s="237" t="str">
        <f t="shared" si="487"/>
        <v>Q3</v>
      </c>
      <c r="AT164" s="237" t="str">
        <f t="shared" si="487"/>
        <v>Q4</v>
      </c>
      <c r="AU164" s="237">
        <f t="shared" si="487"/>
        <v>2016</v>
      </c>
      <c r="AV164" s="237"/>
      <c r="AW164" s="237"/>
      <c r="AX164" s="237"/>
      <c r="AY164" s="237"/>
      <c r="AZ164" s="237">
        <f>AZ2</f>
        <v>2017</v>
      </c>
      <c r="BA164" s="237"/>
      <c r="BB164" s="237"/>
      <c r="BC164" s="237"/>
      <c r="BD164" s="237"/>
      <c r="BE164" s="237">
        <f>BE2</f>
        <v>2018</v>
      </c>
      <c r="BF164" s="237"/>
      <c r="BG164" s="237"/>
      <c r="BH164" s="237"/>
      <c r="BI164" s="237"/>
      <c r="BJ164" s="237">
        <f>BJ2</f>
        <v>2019</v>
      </c>
      <c r="BK164" s="237"/>
      <c r="BL164" s="237"/>
      <c r="BM164" s="237"/>
      <c r="BN164" s="237"/>
      <c r="BO164" s="237">
        <f>BO2</f>
        <v>2020</v>
      </c>
      <c r="BP164" s="237"/>
      <c r="BQ164" s="237"/>
      <c r="BR164" s="237"/>
      <c r="BS164" s="237"/>
      <c r="BT164" s="237">
        <f>BT2</f>
        <v>2021</v>
      </c>
      <c r="BU164" s="237"/>
      <c r="BV164" s="237"/>
      <c r="BW164" s="237"/>
      <c r="BX164" s="237"/>
      <c r="BY164" s="237">
        <f t="shared" ref="BY164:CM164" si="488">BY2</f>
        <v>2022</v>
      </c>
      <c r="BZ164" s="237" t="str">
        <f t="shared" si="488"/>
        <v>Q1</v>
      </c>
      <c r="CA164" s="237" t="str">
        <f t="shared" si="488"/>
        <v>Q2</v>
      </c>
      <c r="CB164" s="237" t="str">
        <f t="shared" si="488"/>
        <v>Q3</v>
      </c>
      <c r="CC164" s="237" t="str">
        <f t="shared" si="488"/>
        <v>Q4</v>
      </c>
      <c r="CD164" s="237">
        <f t="shared" si="488"/>
        <v>2023</v>
      </c>
      <c r="CE164" s="237">
        <f t="shared" si="488"/>
        <v>2024</v>
      </c>
      <c r="CF164" s="237">
        <f t="shared" si="488"/>
        <v>2025</v>
      </c>
      <c r="CG164" s="237">
        <f t="shared" si="488"/>
        <v>2026</v>
      </c>
      <c r="CH164" s="237">
        <f t="shared" si="488"/>
        <v>2027</v>
      </c>
      <c r="CI164" s="237">
        <f t="shared" si="488"/>
        <v>2028</v>
      </c>
      <c r="CJ164" s="237">
        <f t="shared" si="488"/>
        <v>2029</v>
      </c>
      <c r="CK164" s="237">
        <f t="shared" si="488"/>
        <v>2030</v>
      </c>
      <c r="CL164" s="237">
        <f t="shared" si="488"/>
        <v>2031</v>
      </c>
      <c r="CM164" s="237">
        <f t="shared" si="488"/>
        <v>2032</v>
      </c>
      <c r="CN164" s="195"/>
      <c r="CO164" s="195"/>
      <c r="CP164" s="195"/>
      <c r="CQ164" s="195"/>
      <c r="CR164" s="195"/>
      <c r="CS164" s="195"/>
      <c r="CT164" s="195"/>
    </row>
    <row r="165" spans="1:102">
      <c r="A165" s="314" t="s">
        <v>684</v>
      </c>
      <c r="B165" s="241"/>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315">
        <f>'[2]Domestic Mobile Operations'!W$23</f>
        <v>36</v>
      </c>
      <c r="AW165" s="315">
        <f>'[2]Domestic Mobile Operations'!X$23</f>
        <v>36</v>
      </c>
      <c r="AX165" s="315">
        <f>'[2]Domestic Mobile Operations'!Y$23</f>
        <v>36</v>
      </c>
      <c r="AY165" s="315">
        <f>'[2]Domestic Mobile Operations'!Z$23</f>
        <v>36</v>
      </c>
      <c r="AZ165" s="316">
        <f>AVERAGE(AV165:AY165)</f>
        <v>36</v>
      </c>
      <c r="BA165" s="315">
        <f>'[2]Domestic Mobile Operations'!AA$23</f>
        <v>35</v>
      </c>
      <c r="BB165" s="315">
        <f>'[2]Domestic Mobile Operations'!AB$23</f>
        <v>37</v>
      </c>
      <c r="BC165" s="315">
        <f>'[2]Domestic Mobile Operations'!AC$23</f>
        <v>36</v>
      </c>
      <c r="BD165" s="315">
        <f>'[2]Domestic Mobile Operations'!AD$23</f>
        <v>37</v>
      </c>
      <c r="BE165" s="316">
        <f>AVERAGE(BA165:BD165)</f>
        <v>36.25</v>
      </c>
      <c r="BF165" s="315">
        <f>'[2]Domestic Mobile Operations'!AE$23</f>
        <v>35</v>
      </c>
      <c r="BG165" s="315">
        <f>'[2]Domestic Mobile Operations'!AF$23</f>
        <v>35</v>
      </c>
      <c r="BH165" s="315">
        <f>'[2]Domestic Mobile Operations'!AG$23</f>
        <v>35</v>
      </c>
      <c r="BI165" s="315">
        <f>'[2]Domestic Mobile Operations'!AH$23</f>
        <v>35</v>
      </c>
      <c r="BJ165" s="316">
        <f>AVERAGE(BF165:BI165)</f>
        <v>35</v>
      </c>
      <c r="BK165" s="315">
        <f>'[2]Domestic Mobile Operations'!AI$23</f>
        <v>32</v>
      </c>
      <c r="BL165" s="315">
        <f>'[2]Domestic Mobile Operations'!AJ$23</f>
        <v>30.6</v>
      </c>
      <c r="BM165" s="315">
        <f>'[2]Domestic Mobile Operations'!AK$23</f>
        <v>33.1</v>
      </c>
      <c r="BN165" s="315">
        <f>'[2]Domestic Mobile Operations'!AL$23</f>
        <v>32.4</v>
      </c>
      <c r="BO165" s="316">
        <f>AVERAGE(BK165:BN165)</f>
        <v>32.024999999999999</v>
      </c>
      <c r="BP165" s="315">
        <f>'[2]Domestic Mobile Operations'!AM$23</f>
        <v>31.6</v>
      </c>
      <c r="BQ165" s="315">
        <f>'[2]Domestic Mobile Operations'!AN$23</f>
        <v>31</v>
      </c>
      <c r="BR165" s="315">
        <f>'[2]Domestic Mobile Operations'!AO$23</f>
        <v>30.5</v>
      </c>
      <c r="BS165" s="315">
        <f>'[2]Domestic Mobile Operations'!AP$23</f>
        <v>29.7</v>
      </c>
      <c r="BT165" s="316">
        <f>AVERAGE(BP165:BS165)</f>
        <v>30.7</v>
      </c>
      <c r="BU165" s="315">
        <f>'[2]Domestic Mobile Operations'!AQ$23</f>
        <v>30.2</v>
      </c>
      <c r="BV165" s="315">
        <f>'[2]Domestic Mobile Operations'!AR$23</f>
        <v>31.8</v>
      </c>
      <c r="BW165" s="315">
        <f>'[2]Domestic Mobile Operations'!AS$23</f>
        <v>31.3</v>
      </c>
      <c r="BX165" s="315">
        <f>'[2]Domestic Mobile Operations'!AT$23</f>
        <v>31.8</v>
      </c>
      <c r="BY165" s="316">
        <f>AVERAGE(BU165:BX165)</f>
        <v>31.274999999999999</v>
      </c>
      <c r="BZ165" s="315">
        <f>'[2]Domestic Mobile Operations'!AU$23</f>
        <v>30.7</v>
      </c>
      <c r="CA165" s="315">
        <f>'[2]Domestic Mobile Operations'!AV$23</f>
        <v>30.8</v>
      </c>
      <c r="CB165" s="315">
        <f>'[2]Domestic Mobile Operations'!AW$23</f>
        <v>30.7</v>
      </c>
      <c r="CC165" s="315">
        <f>'[2]Domestic Mobile Operations'!AX$23</f>
        <v>29.6</v>
      </c>
      <c r="CD165" s="316">
        <f>AVERAGE(BZ165:CC165)</f>
        <v>30.450000000000003</v>
      </c>
      <c r="CE165" s="317">
        <f>CD165*(1+CE166)</f>
        <v>29.5365</v>
      </c>
      <c r="CF165" s="317">
        <f t="shared" ref="CF165:CI165" si="489">CE165*(1+CF166)</f>
        <v>29.388817500000002</v>
      </c>
      <c r="CG165" s="317">
        <f t="shared" si="489"/>
        <v>29.241873412500002</v>
      </c>
      <c r="CH165" s="317">
        <f t="shared" si="489"/>
        <v>29.241873412500002</v>
      </c>
      <c r="CI165" s="317">
        <f t="shared" si="489"/>
        <v>29.388082779562499</v>
      </c>
      <c r="CJ165" s="317">
        <f t="shared" ref="CJ165" si="490">CI165*(1+CJ166)</f>
        <v>29.535023193460308</v>
      </c>
      <c r="CK165" s="317">
        <f t="shared" ref="CK165" si="491">CJ165*(1+CK166)</f>
        <v>29.682698309427607</v>
      </c>
      <c r="CL165" s="317">
        <f t="shared" ref="CL165:CM165" si="492">CK165*(1+CL166)</f>
        <v>29.831111800974742</v>
      </c>
      <c r="CM165" s="317">
        <f t="shared" si="492"/>
        <v>29.980267359979614</v>
      </c>
      <c r="CN165" s="195"/>
      <c r="CO165" s="195"/>
      <c r="CP165" s="195"/>
      <c r="CQ165" s="195"/>
      <c r="CR165" s="195"/>
      <c r="CS165" s="195"/>
      <c r="CT165" s="195"/>
    </row>
    <row r="166" spans="1:102">
      <c r="A166" s="276" t="s">
        <v>39</v>
      </c>
      <c r="B166" s="507"/>
      <c r="C166" s="507"/>
      <c r="D166" s="507"/>
      <c r="E166" s="507"/>
      <c r="F166" s="507"/>
      <c r="G166" s="507"/>
      <c r="H166" s="507"/>
      <c r="I166" s="507"/>
      <c r="J166" s="507"/>
      <c r="K166" s="507"/>
      <c r="L166" s="507"/>
      <c r="M166" s="507"/>
      <c r="N166" s="507"/>
      <c r="O166" s="507"/>
      <c r="P166" s="507"/>
      <c r="Q166" s="507"/>
      <c r="R166" s="507"/>
      <c r="S166" s="507"/>
      <c r="T166" s="507"/>
      <c r="U166" s="507"/>
      <c r="V166" s="507"/>
      <c r="W166" s="507"/>
      <c r="X166" s="507"/>
      <c r="Y166" s="507"/>
      <c r="Z166" s="507"/>
      <c r="AA166" s="507"/>
      <c r="AB166" s="507"/>
      <c r="AC166" s="507"/>
      <c r="AD166" s="507"/>
      <c r="AE166" s="507"/>
      <c r="AF166" s="507"/>
      <c r="AG166" s="507"/>
      <c r="AH166" s="507"/>
      <c r="AI166" s="507"/>
      <c r="AJ166" s="507"/>
      <c r="AK166" s="507"/>
      <c r="AL166" s="507"/>
      <c r="AM166" s="507"/>
      <c r="AN166" s="507"/>
      <c r="AO166" s="507"/>
      <c r="AP166" s="507"/>
      <c r="AQ166" s="507"/>
      <c r="AR166" s="507"/>
      <c r="AS166" s="507"/>
      <c r="AT166" s="507"/>
      <c r="AU166" s="222" t="e">
        <f t="shared" ref="AU166" si="493">AU165/AP165-1</f>
        <v>#DIV/0!</v>
      </c>
      <c r="AV166" s="222" t="e">
        <f t="shared" ref="AV166" si="494">AV165/AQ165-1</f>
        <v>#DIV/0!</v>
      </c>
      <c r="AW166" s="222" t="e">
        <f t="shared" ref="AW166" si="495">AW165/AR165-1</f>
        <v>#DIV/0!</v>
      </c>
      <c r="AX166" s="222" t="e">
        <f t="shared" ref="AX166" si="496">AX165/AS165-1</f>
        <v>#DIV/0!</v>
      </c>
      <c r="AY166" s="222" t="e">
        <f t="shared" ref="AY166" si="497">AY165/AT165-1</f>
        <v>#DIV/0!</v>
      </c>
      <c r="AZ166" s="222" t="e">
        <f t="shared" ref="AZ166" si="498">AZ165/AU165-1</f>
        <v>#DIV/0!</v>
      </c>
      <c r="BA166" s="222">
        <f t="shared" ref="BA166" si="499">BA165/AV165-1</f>
        <v>-2.777777777777779E-2</v>
      </c>
      <c r="BB166" s="222">
        <f t="shared" ref="BB166" si="500">BB165/AW165-1</f>
        <v>2.7777777777777679E-2</v>
      </c>
      <c r="BC166" s="222">
        <f t="shared" ref="BC166" si="501">BC165/AX165-1</f>
        <v>0</v>
      </c>
      <c r="BD166" s="222">
        <f t="shared" ref="BD166" si="502">BD165/AY165-1</f>
        <v>2.7777777777777679E-2</v>
      </c>
      <c r="BE166" s="222">
        <f t="shared" ref="BE166" si="503">BE165/AZ165-1</f>
        <v>6.9444444444444198E-3</v>
      </c>
      <c r="BF166" s="222">
        <f t="shared" ref="BF166" si="504">BF165/BA165-1</f>
        <v>0</v>
      </c>
      <c r="BG166" s="222">
        <f t="shared" ref="BG166" si="505">BG165/BB165-1</f>
        <v>-5.4054054054054057E-2</v>
      </c>
      <c r="BH166" s="222">
        <f t="shared" ref="BH166" si="506">BH165/BC165-1</f>
        <v>-2.777777777777779E-2</v>
      </c>
      <c r="BI166" s="222">
        <f t="shared" ref="BI166" si="507">BI165/BD165-1</f>
        <v>-5.4054054054054057E-2</v>
      </c>
      <c r="BJ166" s="222">
        <f>BJ165/BE165-1</f>
        <v>-3.4482758620689613E-2</v>
      </c>
      <c r="BK166" s="222">
        <f t="shared" ref="BK166" si="508">BK165/BF165-1</f>
        <v>-8.5714285714285743E-2</v>
      </c>
      <c r="BL166" s="222">
        <f t="shared" ref="BL166" si="509">BL165/BG165-1</f>
        <v>-0.12571428571428567</v>
      </c>
      <c r="BM166" s="222">
        <f t="shared" ref="BM166" si="510">BM165/BH165-1</f>
        <v>-5.428571428571427E-2</v>
      </c>
      <c r="BN166" s="222">
        <f t="shared" ref="BN166" si="511">BN165/BI165-1</f>
        <v>-7.4285714285714288E-2</v>
      </c>
      <c r="BO166" s="222">
        <f>BO165/BJ165-1</f>
        <v>-8.5000000000000075E-2</v>
      </c>
      <c r="BP166" s="222">
        <f t="shared" ref="BP166" si="512">BP165/BK165-1</f>
        <v>-1.2499999999999956E-2</v>
      </c>
      <c r="BQ166" s="222">
        <f t="shared" ref="BQ166" si="513">BQ165/BL165-1</f>
        <v>1.3071895424836555E-2</v>
      </c>
      <c r="BR166" s="222">
        <f t="shared" ref="BR166" si="514">BR165/BM165-1</f>
        <v>-7.8549848942598199E-2</v>
      </c>
      <c r="BS166" s="222">
        <f t="shared" ref="BS166" si="515">BS165/BN165-1</f>
        <v>-8.333333333333337E-2</v>
      </c>
      <c r="BT166" s="222">
        <f>BT165/BO165-1</f>
        <v>-4.1373926619828194E-2</v>
      </c>
      <c r="BU166" s="222">
        <f t="shared" ref="BU166" si="516">BU165/BP165-1</f>
        <v>-4.4303797468354444E-2</v>
      </c>
      <c r="BV166" s="222">
        <f t="shared" ref="BV166" si="517">BV165/BQ165-1</f>
        <v>2.5806451612903292E-2</v>
      </c>
      <c r="BW166" s="222">
        <f t="shared" ref="BW166" si="518">BW165/BR165-1</f>
        <v>2.6229508196721429E-2</v>
      </c>
      <c r="BX166" s="222">
        <f t="shared" ref="BX166" si="519">BX165/BS165-1</f>
        <v>7.0707070707070718E-2</v>
      </c>
      <c r="BY166" s="222">
        <f t="shared" ref="BY166:CD166" si="520">BY165/BT165-1</f>
        <v>1.8729641693810972E-2</v>
      </c>
      <c r="BZ166" s="196">
        <f t="shared" si="520"/>
        <v>1.655629139072845E-2</v>
      </c>
      <c r="CA166" s="196">
        <f t="shared" si="520"/>
        <v>-3.1446540880503138E-2</v>
      </c>
      <c r="CB166" s="196">
        <f t="shared" si="520"/>
        <v>-1.9169329073482455E-2</v>
      </c>
      <c r="CC166" s="196">
        <f t="shared" si="520"/>
        <v>-6.9182389937106903E-2</v>
      </c>
      <c r="CD166" s="222">
        <f t="shared" si="520"/>
        <v>-2.6378896882493841E-2</v>
      </c>
      <c r="CE166" s="298">
        <v>-0.03</v>
      </c>
      <c r="CF166" s="298">
        <v>-5.0000000000000001E-3</v>
      </c>
      <c r="CG166" s="298">
        <v>-5.0000000000000001E-3</v>
      </c>
      <c r="CH166" s="298">
        <v>0</v>
      </c>
      <c r="CI166" s="298">
        <v>5.0000000000000001E-3</v>
      </c>
      <c r="CJ166" s="298">
        <v>5.0000000000000001E-3</v>
      </c>
      <c r="CK166" s="298">
        <v>5.0000000000000001E-3</v>
      </c>
      <c r="CL166" s="298">
        <v>5.0000000000000001E-3</v>
      </c>
      <c r="CM166" s="298">
        <v>5.0000000000000001E-3</v>
      </c>
      <c r="CN166" s="195"/>
      <c r="CO166" s="195"/>
      <c r="CP166" s="195"/>
      <c r="CQ166" s="195"/>
      <c r="CR166" s="195"/>
      <c r="CS166" s="195"/>
      <c r="CT166" s="195"/>
    </row>
    <row r="167" spans="1:102">
      <c r="A167" s="314" t="s">
        <v>685</v>
      </c>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315">
        <f>'[2]Domestic Mobile Operations'!W$24</f>
        <v>96</v>
      </c>
      <c r="AW167" s="315">
        <f>'[2]Domestic Mobile Operations'!X$24</f>
        <v>96</v>
      </c>
      <c r="AX167" s="315">
        <f>'[2]Domestic Mobile Operations'!Y$24</f>
        <v>96</v>
      </c>
      <c r="AY167" s="315">
        <f>'[2]Domestic Mobile Operations'!Z$24</f>
        <v>96</v>
      </c>
      <c r="AZ167" s="316">
        <f>AVERAGE(AV167:AY167)</f>
        <v>96</v>
      </c>
      <c r="BA167" s="315">
        <f>'[2]Domestic Mobile Operations'!AA$24</f>
        <v>92</v>
      </c>
      <c r="BB167" s="315">
        <f>'[2]Domestic Mobile Operations'!AB$24</f>
        <v>94</v>
      </c>
      <c r="BC167" s="315">
        <f>'[2]Domestic Mobile Operations'!AC$24</f>
        <v>93</v>
      </c>
      <c r="BD167" s="315">
        <f>'[2]Domestic Mobile Operations'!AD$24</f>
        <v>94</v>
      </c>
      <c r="BE167" s="316">
        <f>AVERAGE(BA167:BD167)</f>
        <v>93.25</v>
      </c>
      <c r="BF167" s="315">
        <f>'[2]Domestic Mobile Operations'!AE$24</f>
        <v>88</v>
      </c>
      <c r="BG167" s="315">
        <f>'[2]Domestic Mobile Operations'!AF$24</f>
        <v>86</v>
      </c>
      <c r="BH167" s="315">
        <f>'[2]Domestic Mobile Operations'!AG$24</f>
        <v>85</v>
      </c>
      <c r="BI167" s="315">
        <f>'[2]Domestic Mobile Operations'!AH$24</f>
        <v>84</v>
      </c>
      <c r="BJ167" s="316">
        <f>AVERAGE(BF167:BI167)</f>
        <v>85.75</v>
      </c>
      <c r="BK167" s="315">
        <f>'[2]Domestic Mobile Operations'!AI$24</f>
        <v>81</v>
      </c>
      <c r="BL167" s="315">
        <f>'[2]Domestic Mobile Operations'!AJ$24</f>
        <v>79.5</v>
      </c>
      <c r="BM167" s="315">
        <f>'[2]Domestic Mobile Operations'!AK$24</f>
        <v>78.400000000000006</v>
      </c>
      <c r="BN167" s="315">
        <f>'[2]Domestic Mobile Operations'!AL$24</f>
        <v>77.3</v>
      </c>
      <c r="BO167" s="316">
        <f>AVERAGE(BK167:BN167)</f>
        <v>79.05</v>
      </c>
      <c r="BP167" s="315">
        <f>'[2]Domestic Mobile Operations'!AM$24</f>
        <v>76</v>
      </c>
      <c r="BQ167" s="315">
        <f>'[2]Domestic Mobile Operations'!AN$24</f>
        <v>75.400000000000006</v>
      </c>
      <c r="BR167" s="315">
        <f>'[2]Domestic Mobile Operations'!AO$24</f>
        <v>75</v>
      </c>
      <c r="BS167" s="315">
        <f>'[2]Domestic Mobile Operations'!AP$24</f>
        <v>73.400000000000006</v>
      </c>
      <c r="BT167" s="316">
        <f>AVERAGE(BP167:BS167)</f>
        <v>74.95</v>
      </c>
      <c r="BU167" s="315">
        <f>'[2]Domestic Mobile Operations'!AQ$24</f>
        <v>72.5</v>
      </c>
      <c r="BV167" s="315">
        <f>'[2]Domestic Mobile Operations'!AR$24</f>
        <v>72.7</v>
      </c>
      <c r="BW167" s="315">
        <f>'[2]Domestic Mobile Operations'!AS$24</f>
        <v>72.8</v>
      </c>
      <c r="BX167" s="315">
        <f>'[2]Domestic Mobile Operations'!AT$24</f>
        <v>72.7</v>
      </c>
      <c r="BY167" s="316">
        <f>AVERAGE(BU167:BX167)</f>
        <v>72.674999999999997</v>
      </c>
      <c r="BZ167" s="315">
        <f>'[2]Domestic Mobile Operations'!AU$24</f>
        <v>71.3</v>
      </c>
      <c r="CA167" s="315">
        <f>'[2]Domestic Mobile Operations'!AV$24</f>
        <v>71</v>
      </c>
      <c r="CB167" s="315">
        <f>'[2]Domestic Mobile Operations'!AW$24</f>
        <v>70.2</v>
      </c>
      <c r="CC167" s="315">
        <f>'[2]Domestic Mobile Operations'!AX$24</f>
        <v>69.8</v>
      </c>
      <c r="CD167" s="316">
        <f>AVERAGE(BZ167:CC167)</f>
        <v>70.575000000000003</v>
      </c>
      <c r="CE167" s="317">
        <f>CD167*(1+CE168)</f>
        <v>69.163499999999999</v>
      </c>
      <c r="CF167" s="317">
        <f t="shared" ref="CF167" si="521">CE167*(1+CF168)</f>
        <v>68.471864999999994</v>
      </c>
      <c r="CG167" s="317">
        <f t="shared" ref="CG167" si="522">CF167*(1+CG168)</f>
        <v>68.12950567499999</v>
      </c>
      <c r="CH167" s="317">
        <f t="shared" ref="CH167" si="523">CG167*(1+CH168)</f>
        <v>68.12950567499999</v>
      </c>
      <c r="CI167" s="317">
        <f t="shared" ref="CI167" si="524">CH167*(1+CI168)</f>
        <v>68.470153203374977</v>
      </c>
      <c r="CJ167" s="317">
        <f t="shared" ref="CJ167" si="525">CI167*(1+CJ168)</f>
        <v>68.812503969391841</v>
      </c>
      <c r="CK167" s="317">
        <f t="shared" ref="CK167" si="526">CJ167*(1+CK168)</f>
        <v>69.156566489238799</v>
      </c>
      <c r="CL167" s="317">
        <f t="shared" ref="CL167:CM167" si="527">CK167*(1+CL168)</f>
        <v>69.502349321684989</v>
      </c>
      <c r="CM167" s="317">
        <f t="shared" si="527"/>
        <v>69.849861068293407</v>
      </c>
      <c r="CN167" s="195"/>
      <c r="CO167" s="195"/>
      <c r="CP167" s="195"/>
      <c r="CQ167" s="195"/>
      <c r="CR167" s="195"/>
      <c r="CS167" s="195"/>
      <c r="CT167" s="195"/>
    </row>
    <row r="168" spans="1:102">
      <c r="A168" s="276" t="s">
        <v>39</v>
      </c>
      <c r="B168" s="507"/>
      <c r="C168" s="507"/>
      <c r="D168" s="507"/>
      <c r="E168" s="507"/>
      <c r="F168" s="507"/>
      <c r="G168" s="507"/>
      <c r="H168" s="507"/>
      <c r="I168" s="507"/>
      <c r="J168" s="507"/>
      <c r="K168" s="507"/>
      <c r="L168" s="507"/>
      <c r="M168" s="507"/>
      <c r="N168" s="507"/>
      <c r="O168" s="507"/>
      <c r="P168" s="507"/>
      <c r="Q168" s="507"/>
      <c r="R168" s="507"/>
      <c r="S168" s="507"/>
      <c r="T168" s="507"/>
      <c r="U168" s="507"/>
      <c r="V168" s="507"/>
      <c r="W168" s="507"/>
      <c r="X168" s="507"/>
      <c r="Y168" s="507"/>
      <c r="Z168" s="507"/>
      <c r="AA168" s="507"/>
      <c r="AB168" s="507"/>
      <c r="AC168" s="507"/>
      <c r="AD168" s="507"/>
      <c r="AE168" s="507"/>
      <c r="AF168" s="507"/>
      <c r="AG168" s="507"/>
      <c r="AH168" s="507"/>
      <c r="AI168" s="507"/>
      <c r="AJ168" s="507"/>
      <c r="AK168" s="507"/>
      <c r="AL168" s="507"/>
      <c r="AM168" s="507"/>
      <c r="AN168" s="507"/>
      <c r="AO168" s="507"/>
      <c r="AP168" s="507"/>
      <c r="AQ168" s="507"/>
      <c r="AR168" s="507"/>
      <c r="AS168" s="507"/>
      <c r="AT168" s="507"/>
      <c r="AU168" s="222" t="e">
        <f t="shared" ref="AU168" si="528">AU167/AP167-1</f>
        <v>#DIV/0!</v>
      </c>
      <c r="AV168" s="222" t="e">
        <f t="shared" ref="AV168" si="529">AV167/AQ167-1</f>
        <v>#DIV/0!</v>
      </c>
      <c r="AW168" s="222" t="e">
        <f t="shared" ref="AW168" si="530">AW167/AR167-1</f>
        <v>#DIV/0!</v>
      </c>
      <c r="AX168" s="222" t="e">
        <f t="shared" ref="AX168" si="531">AX167/AS167-1</f>
        <v>#DIV/0!</v>
      </c>
      <c r="AY168" s="222" t="e">
        <f t="shared" ref="AY168" si="532">AY167/AT167-1</f>
        <v>#DIV/0!</v>
      </c>
      <c r="AZ168" s="222" t="e">
        <f t="shared" ref="AZ168" si="533">AZ167/AU167-1</f>
        <v>#DIV/0!</v>
      </c>
      <c r="BA168" s="222">
        <f t="shared" ref="BA168" si="534">BA167/AV167-1</f>
        <v>-4.166666666666663E-2</v>
      </c>
      <c r="BB168" s="222">
        <f t="shared" ref="BB168" si="535">BB167/AW167-1</f>
        <v>-2.083333333333337E-2</v>
      </c>
      <c r="BC168" s="222">
        <f t="shared" ref="BC168" si="536">BC167/AX167-1</f>
        <v>-3.125E-2</v>
      </c>
      <c r="BD168" s="222">
        <f t="shared" ref="BD168" si="537">BD167/AY167-1</f>
        <v>-2.083333333333337E-2</v>
      </c>
      <c r="BE168" s="222">
        <f t="shared" ref="BE168" si="538">BE167/AZ167-1</f>
        <v>-2.864583333333337E-2</v>
      </c>
      <c r="BF168" s="222">
        <f t="shared" ref="BF168" si="539">BF167/BA167-1</f>
        <v>-4.3478260869565188E-2</v>
      </c>
      <c r="BG168" s="222">
        <f t="shared" ref="BG168" si="540">BG167/BB167-1</f>
        <v>-8.5106382978723416E-2</v>
      </c>
      <c r="BH168" s="222">
        <f t="shared" ref="BH168" si="541">BH167/BC167-1</f>
        <v>-8.6021505376344121E-2</v>
      </c>
      <c r="BI168" s="222">
        <f t="shared" ref="BI168" si="542">BI167/BD167-1</f>
        <v>-0.1063829787234043</v>
      </c>
      <c r="BJ168" s="222">
        <f>BJ167/BE167-1</f>
        <v>-8.0428954423592547E-2</v>
      </c>
      <c r="BK168" s="222">
        <f t="shared" ref="BK168" si="543">BK167/BF167-1</f>
        <v>-7.9545454545454586E-2</v>
      </c>
      <c r="BL168" s="222">
        <f t="shared" ref="BL168" si="544">BL167/BG167-1</f>
        <v>-7.5581395348837233E-2</v>
      </c>
      <c r="BM168" s="222">
        <f t="shared" ref="BM168" si="545">BM167/BH167-1</f>
        <v>-7.7647058823529291E-2</v>
      </c>
      <c r="BN168" s="222">
        <f t="shared" ref="BN168" si="546">BN167/BI167-1</f>
        <v>-7.9761904761904812E-2</v>
      </c>
      <c r="BO168" s="222">
        <f>BO167/BJ167-1</f>
        <v>-7.8134110787172029E-2</v>
      </c>
      <c r="BP168" s="222">
        <f t="shared" ref="BP168" si="547">BP167/BK167-1</f>
        <v>-6.1728395061728447E-2</v>
      </c>
      <c r="BQ168" s="222">
        <f t="shared" ref="BQ168" si="548">BQ167/BL167-1</f>
        <v>-5.1572327044025035E-2</v>
      </c>
      <c r="BR168" s="222">
        <f t="shared" ref="BR168" si="549">BR167/BM167-1</f>
        <v>-4.3367346938775531E-2</v>
      </c>
      <c r="BS168" s="222">
        <f t="shared" ref="BS168" si="550">BS167/BN167-1</f>
        <v>-5.0452781371280619E-2</v>
      </c>
      <c r="BT168" s="222">
        <f>BT167/BO167-1</f>
        <v>-5.1865907653383836E-2</v>
      </c>
      <c r="BU168" s="222">
        <f t="shared" ref="BU168" si="551">BU167/BP167-1</f>
        <v>-4.6052631578947345E-2</v>
      </c>
      <c r="BV168" s="222">
        <f t="shared" ref="BV168" si="552">BV167/BQ167-1</f>
        <v>-3.5809018567639295E-2</v>
      </c>
      <c r="BW168" s="222">
        <f t="shared" ref="BW168" si="553">BW167/BR167-1</f>
        <v>-2.9333333333333322E-2</v>
      </c>
      <c r="BX168" s="222">
        <f t="shared" ref="BX168" si="554">BX167/BS167-1</f>
        <v>-9.5367847411444995E-3</v>
      </c>
      <c r="BY168" s="222">
        <f t="shared" ref="BY168:CD168" si="555">BY167/BT167-1</f>
        <v>-3.0353569046030815E-2</v>
      </c>
      <c r="BZ168" s="196">
        <f t="shared" si="555"/>
        <v>-1.6551724137931045E-2</v>
      </c>
      <c r="CA168" s="196">
        <f t="shared" si="555"/>
        <v>-2.3383768913342595E-2</v>
      </c>
      <c r="CB168" s="196">
        <f t="shared" si="555"/>
        <v>-3.5714285714285587E-2</v>
      </c>
      <c r="CC168" s="196">
        <f t="shared" si="555"/>
        <v>-3.9889958734525499E-2</v>
      </c>
      <c r="CD168" s="222">
        <f t="shared" si="555"/>
        <v>-2.8895768833849256E-2</v>
      </c>
      <c r="CE168" s="298">
        <v>-0.02</v>
      </c>
      <c r="CF168" s="298">
        <v>-0.01</v>
      </c>
      <c r="CG168" s="298">
        <v>-5.0000000000000001E-3</v>
      </c>
      <c r="CH168" s="298">
        <v>0</v>
      </c>
      <c r="CI168" s="298">
        <v>5.0000000000000001E-3</v>
      </c>
      <c r="CJ168" s="298">
        <v>5.0000000000000001E-3</v>
      </c>
      <c r="CK168" s="298">
        <v>5.0000000000000001E-3</v>
      </c>
      <c r="CL168" s="298">
        <v>5.0000000000000001E-3</v>
      </c>
      <c r="CM168" s="298">
        <v>5.0000000000000001E-3</v>
      </c>
      <c r="CN168" s="195"/>
      <c r="CO168" s="195"/>
      <c r="CP168" s="195"/>
      <c r="CQ168" s="195"/>
      <c r="CR168" s="195"/>
      <c r="CS168" s="195"/>
      <c r="CT168" s="195"/>
    </row>
    <row r="169" spans="1:102">
      <c r="A169" s="314" t="s">
        <v>267</v>
      </c>
      <c r="B169" s="315">
        <v>64</v>
      </c>
      <c r="C169" s="315"/>
      <c r="D169" s="315"/>
      <c r="E169" s="315">
        <v>58</v>
      </c>
      <c r="F169" s="315">
        <v>60</v>
      </c>
      <c r="G169" s="315">
        <v>58.6</v>
      </c>
      <c r="H169" s="315">
        <v>56</v>
      </c>
      <c r="I169" s="315">
        <v>56</v>
      </c>
      <c r="J169" s="315">
        <v>56</v>
      </c>
      <c r="K169" s="315">
        <v>55</v>
      </c>
      <c r="L169" s="315">
        <f>AVERAGE(H169:K169)</f>
        <v>55.75</v>
      </c>
      <c r="M169" s="315">
        <v>52</v>
      </c>
      <c r="N169" s="315">
        <v>51</v>
      </c>
      <c r="O169" s="315">
        <v>49</v>
      </c>
      <c r="P169" s="315">
        <v>49</v>
      </c>
      <c r="Q169" s="315">
        <v>51</v>
      </c>
      <c r="R169" s="315">
        <v>49</v>
      </c>
      <c r="S169" s="315">
        <v>51</v>
      </c>
      <c r="T169" s="315">
        <v>54</v>
      </c>
      <c r="U169" s="315">
        <v>54</v>
      </c>
      <c r="V169" s="315">
        <v>52</v>
      </c>
      <c r="W169" s="315">
        <v>52</v>
      </c>
      <c r="X169" s="315">
        <v>52</v>
      </c>
      <c r="Y169" s="315">
        <v>48</v>
      </c>
      <c r="Z169" s="315">
        <v>48</v>
      </c>
      <c r="AA169" s="315">
        <f>(AA221/AA117/12)*1000</f>
        <v>50.477409975397009</v>
      </c>
      <c r="AB169" s="315">
        <v>46</v>
      </c>
      <c r="AC169" s="315">
        <v>46</v>
      </c>
      <c r="AD169" s="315">
        <v>48</v>
      </c>
      <c r="AE169" s="315">
        <v>49</v>
      </c>
      <c r="AF169" s="315">
        <f>(AF221/AF117/12)*1000</f>
        <v>47.86334494515269</v>
      </c>
      <c r="AG169" s="315">
        <v>48</v>
      </c>
      <c r="AH169" s="315">
        <v>50</v>
      </c>
      <c r="AI169" s="315">
        <v>50</v>
      </c>
      <c r="AJ169" s="315">
        <v>50</v>
      </c>
      <c r="AK169" s="315">
        <f>(AK221/AK117/12)*1000</f>
        <v>48.255347593582883</v>
      </c>
      <c r="AL169" s="315">
        <v>48</v>
      </c>
      <c r="AM169" s="315">
        <v>47</v>
      </c>
      <c r="AN169" s="315">
        <v>49</v>
      </c>
      <c r="AO169" s="315">
        <v>50</v>
      </c>
      <c r="AP169" s="315">
        <f>(AP221/AP117/12)*1000</f>
        <v>49.653786074120362</v>
      </c>
      <c r="AQ169" s="315">
        <v>50</v>
      </c>
      <c r="AR169" s="315">
        <v>49</v>
      </c>
      <c r="AS169" s="315">
        <v>50</v>
      </c>
      <c r="AT169" s="315">
        <v>52</v>
      </c>
      <c r="AU169" s="315">
        <f>AVERAGE(AQ169:AT169)</f>
        <v>50.25</v>
      </c>
      <c r="AV169" s="315">
        <v>52</v>
      </c>
      <c r="AW169" s="315">
        <f>'[2]Domestic Mobile Operations'!X$25</f>
        <v>51</v>
      </c>
      <c r="AX169" s="315">
        <f>'[2]Domestic Mobile Operations'!Y$25</f>
        <v>51</v>
      </c>
      <c r="AY169" s="315">
        <f>'[2]Domestic Mobile Operations'!Z$25</f>
        <v>51</v>
      </c>
      <c r="AZ169" s="316">
        <f>AVERAGE(AV169:AY169)</f>
        <v>51.25</v>
      </c>
      <c r="BA169" s="315">
        <f>'[2]Domestic Mobile Operations'!AA$25</f>
        <v>51</v>
      </c>
      <c r="BB169" s="315">
        <f>'[2]Domestic Mobile Operations'!AB$25</f>
        <v>53</v>
      </c>
      <c r="BC169" s="315">
        <f>'[2]Domestic Mobile Operations'!AC$25</f>
        <v>53</v>
      </c>
      <c r="BD169" s="315">
        <f>'[2]Domestic Mobile Operations'!AD$25</f>
        <v>53</v>
      </c>
      <c r="BE169" s="316">
        <f>AVERAGE(BA169:BD169)</f>
        <v>52.5</v>
      </c>
      <c r="BF169" s="315">
        <f>'[2]Domestic Mobile Operations'!AE$25</f>
        <v>51</v>
      </c>
      <c r="BG169" s="315">
        <f>'[2]Domestic Mobile Operations'!AF$25</f>
        <v>51</v>
      </c>
      <c r="BH169" s="315">
        <f>'[2]Domestic Mobile Operations'!AG$25</f>
        <v>51</v>
      </c>
      <c r="BI169" s="315">
        <f>'[2]Domestic Mobile Operations'!AH$25</f>
        <v>51</v>
      </c>
      <c r="BJ169" s="316">
        <f>AVERAGE(BF169:BI169)</f>
        <v>51</v>
      </c>
      <c r="BK169" s="315">
        <f>'[2]Domestic Mobile Operations'!AI$25</f>
        <v>49</v>
      </c>
      <c r="BL169" s="315">
        <f>'[2]Domestic Mobile Operations'!AJ$25</f>
        <v>47</v>
      </c>
      <c r="BM169" s="315">
        <f>'[2]Domestic Mobile Operations'!AK$25</f>
        <v>48.7</v>
      </c>
      <c r="BN169" s="315">
        <f>'[2]Domestic Mobile Operations'!AL$25</f>
        <v>48.3</v>
      </c>
      <c r="BO169" s="316">
        <f>AVERAGE(BK169:BN169)</f>
        <v>48.25</v>
      </c>
      <c r="BP169" s="315">
        <f>'[2]Domestic Mobile Operations'!AM$25</f>
        <v>47.4</v>
      </c>
      <c r="BQ169" s="315">
        <f>'[2]Domestic Mobile Operations'!AN$25</f>
        <v>47</v>
      </c>
      <c r="BR169" s="315">
        <f>'[2]Domestic Mobile Operations'!AO$25</f>
        <v>46.6</v>
      </c>
      <c r="BS169" s="315">
        <f>'[2]Domestic Mobile Operations'!AP$25</f>
        <v>45.9</v>
      </c>
      <c r="BT169" s="316">
        <f>AVERAGE(BP169:BS169)</f>
        <v>46.725000000000001</v>
      </c>
      <c r="BU169" s="315">
        <f>'[2]Domestic Mobile Operations'!AQ$25</f>
        <v>46.2</v>
      </c>
      <c r="BV169" s="315">
        <f>'[2]Domestic Mobile Operations'!AR$25</f>
        <v>47.7</v>
      </c>
      <c r="BW169" s="315">
        <f>'[2]Domestic Mobile Operations'!AS$25</f>
        <v>47.3</v>
      </c>
      <c r="BX169" s="315">
        <f>'[2]Domestic Mobile Operations'!AT$25</f>
        <v>47.8</v>
      </c>
      <c r="BY169" s="316">
        <f>AVERAGE(BU169:BX169)</f>
        <v>47.25</v>
      </c>
      <c r="BZ169" s="315">
        <f>'[2]Domestic Mobile Operations'!AU$25</f>
        <v>46.9</v>
      </c>
      <c r="CA169" s="315">
        <f>'[2]Domestic Mobile Operations'!AV$25</f>
        <v>47</v>
      </c>
      <c r="CB169" s="315">
        <f>'[2]Domestic Mobile Operations'!AW$25</f>
        <v>46.7</v>
      </c>
      <c r="CC169" s="315">
        <f>'[2]Domestic Mobile Operations'!AX$25</f>
        <v>45.8</v>
      </c>
      <c r="CD169" s="316">
        <f>AVERAGE(BZ169:CC169)</f>
        <v>46.600000000000009</v>
      </c>
      <c r="CE169" s="316">
        <f t="shared" ref="CE169:CM169" si="556">CE250*1000/CE117/12</f>
        <v>45.186456222339558</v>
      </c>
      <c r="CF169" s="316">
        <f t="shared" si="556"/>
        <v>44.941012056283398</v>
      </c>
      <c r="CG169" s="316">
        <f t="shared" si="556"/>
        <v>44.832929805427419</v>
      </c>
      <c r="CH169" s="316">
        <f t="shared" si="556"/>
        <v>44.949557415671251</v>
      </c>
      <c r="CI169" s="316">
        <f t="shared" si="556"/>
        <v>45.291520122133058</v>
      </c>
      <c r="CJ169" s="316">
        <f t="shared" si="556"/>
        <v>45.635782356086288</v>
      </c>
      <c r="CK169" s="316">
        <f t="shared" si="556"/>
        <v>45.982358111790823</v>
      </c>
      <c r="CL169" s="316">
        <f t="shared" si="556"/>
        <v>46.331261531472592</v>
      </c>
      <c r="CM169" s="316">
        <f t="shared" si="556"/>
        <v>46.682506895170881</v>
      </c>
      <c r="CN169" s="195"/>
      <c r="CO169" s="195"/>
      <c r="CP169" s="195"/>
      <c r="CQ169" s="195"/>
      <c r="CR169" s="195"/>
      <c r="CS169" s="195"/>
      <c r="CT169" s="195"/>
    </row>
    <row r="170" spans="1:102">
      <c r="A170" s="276" t="s">
        <v>39</v>
      </c>
      <c r="B170" s="287"/>
      <c r="C170" s="287"/>
      <c r="D170" s="287"/>
      <c r="E170" s="287"/>
      <c r="F170" s="287"/>
      <c r="G170" s="287">
        <f>G169/B169-1</f>
        <v>-8.4374999999999978E-2</v>
      </c>
      <c r="H170" s="287"/>
      <c r="I170" s="287"/>
      <c r="J170" s="287"/>
      <c r="K170" s="287"/>
      <c r="L170" s="287">
        <f t="shared" ref="L170:CD170" si="557">L169/G169-1</f>
        <v>-4.8634812286689422E-2</v>
      </c>
      <c r="M170" s="287">
        <f t="shared" si="557"/>
        <v>-7.1428571428571397E-2</v>
      </c>
      <c r="N170" s="287">
        <f t="shared" si="557"/>
        <v>-8.9285714285714302E-2</v>
      </c>
      <c r="O170" s="287">
        <f t="shared" si="557"/>
        <v>-0.125</v>
      </c>
      <c r="P170" s="287">
        <f t="shared" si="557"/>
        <v>-0.10909090909090913</v>
      </c>
      <c r="Q170" s="287">
        <f t="shared" si="557"/>
        <v>-8.5201793721973118E-2</v>
      </c>
      <c r="R170" s="287">
        <f t="shared" si="557"/>
        <v>-5.7692307692307709E-2</v>
      </c>
      <c r="S170" s="287">
        <f t="shared" si="557"/>
        <v>0</v>
      </c>
      <c r="T170" s="287">
        <f t="shared" si="557"/>
        <v>0.1020408163265305</v>
      </c>
      <c r="U170" s="287">
        <f t="shared" si="557"/>
        <v>0.1020408163265305</v>
      </c>
      <c r="V170" s="287">
        <f t="shared" si="557"/>
        <v>1.9607843137254832E-2</v>
      </c>
      <c r="W170" s="287">
        <f t="shared" si="557"/>
        <v>6.1224489795918435E-2</v>
      </c>
      <c r="X170" s="287">
        <f t="shared" si="557"/>
        <v>1.9607843137254832E-2</v>
      </c>
      <c r="Y170" s="287">
        <f t="shared" si="557"/>
        <v>-0.11111111111111116</v>
      </c>
      <c r="Z170" s="287">
        <f t="shared" si="557"/>
        <v>-0.11111111111111116</v>
      </c>
      <c r="AA170" s="287">
        <f t="shared" si="557"/>
        <v>-2.9280577396211371E-2</v>
      </c>
      <c r="AB170" s="287">
        <f t="shared" si="557"/>
        <v>-0.11538461538461542</v>
      </c>
      <c r="AC170" s="287">
        <f t="shared" si="557"/>
        <v>-0.11538461538461542</v>
      </c>
      <c r="AD170" s="287">
        <f t="shared" si="557"/>
        <v>0</v>
      </c>
      <c r="AE170" s="287">
        <f t="shared" si="557"/>
        <v>2.0833333333333259E-2</v>
      </c>
      <c r="AF170" s="287">
        <f t="shared" si="557"/>
        <v>-5.1786829623755026E-2</v>
      </c>
      <c r="AG170" s="287">
        <f t="shared" si="557"/>
        <v>4.3478260869565188E-2</v>
      </c>
      <c r="AH170" s="287">
        <f t="shared" si="557"/>
        <v>8.6956521739130377E-2</v>
      </c>
      <c r="AI170" s="287">
        <f t="shared" si="557"/>
        <v>4.1666666666666741E-2</v>
      </c>
      <c r="AJ170" s="287">
        <f t="shared" si="557"/>
        <v>2.0408163265306145E-2</v>
      </c>
      <c r="AK170" s="287">
        <f t="shared" si="557"/>
        <v>8.1900387212676673E-3</v>
      </c>
      <c r="AL170" s="287">
        <f t="shared" si="557"/>
        <v>0</v>
      </c>
      <c r="AM170" s="287">
        <f t="shared" si="557"/>
        <v>-6.0000000000000053E-2</v>
      </c>
      <c r="AN170" s="287">
        <f t="shared" si="557"/>
        <v>-2.0000000000000018E-2</v>
      </c>
      <c r="AO170" s="287">
        <f t="shared" si="557"/>
        <v>0</v>
      </c>
      <c r="AP170" s="287">
        <f t="shared" si="557"/>
        <v>2.8979969066132094E-2</v>
      </c>
      <c r="AQ170" s="287">
        <f t="shared" si="557"/>
        <v>4.1666666666666741E-2</v>
      </c>
      <c r="AR170" s="287">
        <f t="shared" si="557"/>
        <v>4.2553191489361764E-2</v>
      </c>
      <c r="AS170" s="287">
        <f t="shared" si="557"/>
        <v>2.0408163265306145E-2</v>
      </c>
      <c r="AT170" s="287">
        <f t="shared" si="557"/>
        <v>4.0000000000000036E-2</v>
      </c>
      <c r="AU170" s="287">
        <f t="shared" si="557"/>
        <v>1.2007421246582162E-2</v>
      </c>
      <c r="AV170" s="287">
        <f t="shared" si="557"/>
        <v>4.0000000000000036E-2</v>
      </c>
      <c r="AW170" s="287">
        <f t="shared" si="557"/>
        <v>4.081632653061229E-2</v>
      </c>
      <c r="AX170" s="287">
        <f t="shared" si="557"/>
        <v>2.0000000000000018E-2</v>
      </c>
      <c r="AY170" s="287">
        <f t="shared" si="557"/>
        <v>-1.9230769230769273E-2</v>
      </c>
      <c r="AZ170" s="287">
        <f t="shared" si="557"/>
        <v>1.990049751243772E-2</v>
      </c>
      <c r="BA170" s="287">
        <f t="shared" si="557"/>
        <v>-1.9230769230769273E-2</v>
      </c>
      <c r="BB170" s="287">
        <f t="shared" si="557"/>
        <v>3.9215686274509887E-2</v>
      </c>
      <c r="BC170" s="287">
        <f t="shared" si="557"/>
        <v>3.9215686274509887E-2</v>
      </c>
      <c r="BD170" s="287">
        <f t="shared" si="557"/>
        <v>3.9215686274509887E-2</v>
      </c>
      <c r="BE170" s="287">
        <f t="shared" si="557"/>
        <v>2.4390243902439046E-2</v>
      </c>
      <c r="BF170" s="287">
        <f t="shared" si="557"/>
        <v>0</v>
      </c>
      <c r="BG170" s="287">
        <f t="shared" si="557"/>
        <v>-3.7735849056603765E-2</v>
      </c>
      <c r="BH170" s="287">
        <f t="shared" si="557"/>
        <v>-3.7735849056603765E-2</v>
      </c>
      <c r="BI170" s="287">
        <f t="shared" si="557"/>
        <v>-3.7735849056603765E-2</v>
      </c>
      <c r="BJ170" s="287">
        <f t="shared" si="557"/>
        <v>-2.8571428571428581E-2</v>
      </c>
      <c r="BK170" s="287">
        <f t="shared" si="557"/>
        <v>-3.9215686274509776E-2</v>
      </c>
      <c r="BL170" s="287">
        <f t="shared" si="557"/>
        <v>-7.8431372549019662E-2</v>
      </c>
      <c r="BM170" s="287">
        <f t="shared" si="557"/>
        <v>-4.5098039215686225E-2</v>
      </c>
      <c r="BN170" s="287">
        <f t="shared" si="557"/>
        <v>-5.2941176470588269E-2</v>
      </c>
      <c r="BO170" s="287">
        <f t="shared" si="557"/>
        <v>-5.3921568627451011E-2</v>
      </c>
      <c r="BP170" s="287">
        <f t="shared" si="557"/>
        <v>-3.2653061224489854E-2</v>
      </c>
      <c r="BQ170" s="287">
        <f t="shared" si="557"/>
        <v>0</v>
      </c>
      <c r="BR170" s="287">
        <f t="shared" si="557"/>
        <v>-4.3121149897330624E-2</v>
      </c>
      <c r="BS170" s="287">
        <f t="shared" si="557"/>
        <v>-4.9689440993788803E-2</v>
      </c>
      <c r="BT170" s="287">
        <f t="shared" si="557"/>
        <v>-3.1606217616580334E-2</v>
      </c>
      <c r="BU170" s="288">
        <f t="shared" si="557"/>
        <v>-2.5316455696202445E-2</v>
      </c>
      <c r="BV170" s="288">
        <f t="shared" si="557"/>
        <v>1.4893617021276562E-2</v>
      </c>
      <c r="BW170" s="288">
        <f t="shared" si="557"/>
        <v>1.5021459227467782E-2</v>
      </c>
      <c r="BX170" s="288">
        <f t="shared" si="557"/>
        <v>4.1394335511982572E-2</v>
      </c>
      <c r="BY170" s="287">
        <f t="shared" si="557"/>
        <v>1.1235955056179803E-2</v>
      </c>
      <c r="BZ170" s="288">
        <f t="shared" si="557"/>
        <v>1.5151515151515138E-2</v>
      </c>
      <c r="CA170" s="288">
        <f t="shared" si="557"/>
        <v>-1.4675052410901501E-2</v>
      </c>
      <c r="CB170" s="288">
        <f t="shared" si="557"/>
        <v>-1.2684989429175397E-2</v>
      </c>
      <c r="CC170" s="288">
        <f t="shared" si="557"/>
        <v>-4.1841004184100417E-2</v>
      </c>
      <c r="CD170" s="287">
        <f t="shared" si="557"/>
        <v>-1.3756613756613523E-2</v>
      </c>
      <c r="CE170" s="287">
        <f>CE169/CD169-1</f>
        <v>-3.0333557460524685E-2</v>
      </c>
      <c r="CF170" s="287">
        <f t="shared" ref="CF170:CI170" si="558">CF169/CE169-1</f>
        <v>-5.4318082579535298E-3</v>
      </c>
      <c r="CG170" s="287">
        <f t="shared" si="558"/>
        <v>-2.4049803489208932E-3</v>
      </c>
      <c r="CH170" s="287">
        <f t="shared" si="558"/>
        <v>2.6013827503574838E-3</v>
      </c>
      <c r="CI170" s="287">
        <f t="shared" si="558"/>
        <v>7.607699076978891E-3</v>
      </c>
      <c r="CJ170" s="287">
        <f t="shared" ref="CJ170" si="559">CJ169/CI169-1</f>
        <v>7.6010306791403082E-3</v>
      </c>
      <c r="CK170" s="287">
        <f t="shared" ref="CK170" si="560">CK169/CJ169-1</f>
        <v>7.5943861989760109E-3</v>
      </c>
      <c r="CL170" s="287">
        <f t="shared" ref="CL170:CM170" si="561">CL169/CK169-1</f>
        <v>7.587767004761492E-3</v>
      </c>
      <c r="CM170" s="287">
        <f t="shared" si="561"/>
        <v>7.5811741810589695E-3</v>
      </c>
      <c r="CN170" s="195"/>
      <c r="CO170" s="195"/>
      <c r="CP170" s="195"/>
      <c r="CQ170" s="195"/>
      <c r="CS170" s="200" t="s">
        <v>42</v>
      </c>
      <c r="CT170" s="200" t="s">
        <v>43</v>
      </c>
      <c r="CU170" s="200" t="s">
        <v>44</v>
      </c>
      <c r="CV170" s="200" t="s">
        <v>45</v>
      </c>
      <c r="CW170" s="200" t="s">
        <v>22</v>
      </c>
      <c r="CX170" s="200" t="s">
        <v>23</v>
      </c>
    </row>
    <row r="171" spans="1:102">
      <c r="A171" s="276"/>
      <c r="B171" s="287"/>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c r="BG171" s="287"/>
      <c r="BH171" s="287"/>
      <c r="BI171" s="287"/>
      <c r="BJ171" s="287"/>
      <c r="BK171" s="287"/>
      <c r="BL171" s="287"/>
      <c r="BM171" s="287"/>
      <c r="BN171" s="287"/>
      <c r="BO171" s="287"/>
      <c r="BP171" s="287"/>
      <c r="BQ171" s="287"/>
      <c r="BR171" s="287"/>
      <c r="BS171" s="287"/>
      <c r="BT171" s="287"/>
      <c r="BU171" s="288"/>
      <c r="BV171" s="288"/>
      <c r="BW171" s="288"/>
      <c r="BX171" s="288"/>
      <c r="BY171" s="287"/>
      <c r="BZ171" s="288"/>
      <c r="CA171" s="288"/>
      <c r="CB171" s="288"/>
      <c r="CC171" s="288"/>
      <c r="CD171" s="287"/>
      <c r="CE171" s="287"/>
      <c r="CF171" s="287"/>
      <c r="CG171" s="287"/>
      <c r="CH171" s="287"/>
      <c r="CI171" s="287"/>
      <c r="CJ171" s="287"/>
      <c r="CK171" s="287"/>
      <c r="CL171" s="287"/>
      <c r="CM171" s="287"/>
      <c r="CN171" s="195"/>
      <c r="CO171" s="195"/>
      <c r="CP171" s="195"/>
      <c r="CQ171" s="195"/>
    </row>
    <row r="172" spans="1:102">
      <c r="A172" s="276" t="s">
        <v>270</v>
      </c>
      <c r="B172" s="287"/>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8"/>
      <c r="BV172" s="288"/>
      <c r="BW172" s="288"/>
      <c r="BX172" s="288"/>
      <c r="BY172" s="287"/>
      <c r="BZ172" s="288"/>
      <c r="CA172" s="288"/>
      <c r="CB172" s="288"/>
      <c r="CC172" s="288"/>
      <c r="CD172" s="287"/>
      <c r="CE172" s="287"/>
      <c r="CF172" s="287"/>
      <c r="CG172" s="287"/>
      <c r="CH172" s="287"/>
      <c r="CI172" s="287"/>
      <c r="CJ172" s="287"/>
      <c r="CK172" s="287"/>
      <c r="CL172" s="287"/>
      <c r="CM172" s="287"/>
      <c r="CN172" s="195"/>
      <c r="CO172" s="195"/>
      <c r="CP172" s="195"/>
      <c r="CQ172" s="195"/>
    </row>
    <row r="173" spans="1:102">
      <c r="A173" s="276" t="s">
        <v>271</v>
      </c>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v>42.218074656188605</v>
      </c>
      <c r="X173" s="320">
        <v>41.480057664584336</v>
      </c>
      <c r="Y173" s="320">
        <v>38.265246853823811</v>
      </c>
      <c r="Z173" s="320">
        <v>37.540502131691142</v>
      </c>
      <c r="AA173" s="320">
        <v>40.651193633952253</v>
      </c>
      <c r="AB173" s="320">
        <v>28.499515972894482</v>
      </c>
      <c r="AC173" s="320">
        <v>28.317983519146878</v>
      </c>
      <c r="AD173" s="320">
        <v>29.7220867869332</v>
      </c>
      <c r="AE173" s="320">
        <v>30.092391304347828</v>
      </c>
      <c r="AF173" s="320">
        <v>28.880414936251835</v>
      </c>
      <c r="AG173" s="320">
        <v>29.640552995391708</v>
      </c>
      <c r="AH173" s="320">
        <v>30.28132992327366</v>
      </c>
      <c r="AI173" s="320">
        <v>30.138746145940392</v>
      </c>
      <c r="AJ173" s="320">
        <v>29.652917505030185</v>
      </c>
      <c r="AK173" s="320">
        <v>29.969644902634592</v>
      </c>
      <c r="AL173" s="320"/>
      <c r="AM173" s="320"/>
      <c r="AN173" s="320"/>
      <c r="AO173" s="320"/>
      <c r="AP173" s="321">
        <v>27.600750180092909</v>
      </c>
      <c r="AQ173" s="320"/>
      <c r="AR173" s="320"/>
      <c r="AS173" s="320"/>
      <c r="AT173" s="320"/>
      <c r="AU173" s="321">
        <f>AU214*1000/AU117/AU178</f>
        <v>25.16636401420871</v>
      </c>
      <c r="AV173" s="321"/>
      <c r="AW173" s="321"/>
      <c r="AX173" s="320"/>
      <c r="AY173" s="320"/>
      <c r="AZ173" s="321">
        <f>AZ214*1000/AZ117/AZ178</f>
        <v>23.67903190096898</v>
      </c>
      <c r="BA173" s="320"/>
      <c r="BB173" s="320"/>
      <c r="BC173" s="320"/>
      <c r="BD173" s="320"/>
      <c r="BE173" s="321">
        <f>BE214*1000/BE117/BE178</f>
        <v>21.370326290624501</v>
      </c>
      <c r="BF173" s="320"/>
      <c r="BG173" s="320"/>
      <c r="BH173" s="320"/>
      <c r="BI173" s="320"/>
      <c r="BJ173" s="321">
        <f>BJ214*1000/BJ117/BJ178</f>
        <v>20.314632171867647</v>
      </c>
      <c r="BK173" s="320"/>
      <c r="BL173" s="320"/>
      <c r="BM173" s="320"/>
      <c r="BN173" s="320"/>
      <c r="BO173" s="321">
        <f>BO214*1000/BO117/BO178</f>
        <v>19.311089342577386</v>
      </c>
      <c r="BP173" s="320"/>
      <c r="BQ173" s="320"/>
      <c r="BR173" s="320"/>
      <c r="BS173" s="320"/>
      <c r="BT173" s="321">
        <f>BT214*1000/BT117/BT178</f>
        <v>18.357121529054066</v>
      </c>
      <c r="BU173" s="322"/>
      <c r="BV173" s="322"/>
      <c r="BW173" s="322"/>
      <c r="BX173" s="322"/>
      <c r="BY173" s="321">
        <f>BY214*1000/BY117/BY178</f>
        <v>17.450279725518794</v>
      </c>
      <c r="BZ173" s="322"/>
      <c r="CA173" s="322"/>
      <c r="CB173" s="322"/>
      <c r="CC173" s="322"/>
      <c r="CD173" s="321">
        <f t="shared" ref="CD173:CI173" si="562">CD214*1000/CD117/CD178</f>
        <v>16.588235907078161</v>
      </c>
      <c r="CE173" s="321">
        <f t="shared" si="562"/>
        <v>15.768777053268501</v>
      </c>
      <c r="CF173" s="321">
        <f t="shared" si="562"/>
        <v>14.989799466837034</v>
      </c>
      <c r="CG173" s="321">
        <f t="shared" si="562"/>
        <v>14.396203407950289</v>
      </c>
      <c r="CH173" s="321">
        <f t="shared" si="562"/>
        <v>13.826113752995452</v>
      </c>
      <c r="CI173" s="321">
        <f t="shared" si="562"/>
        <v>13.278599648376831</v>
      </c>
      <c r="CJ173" s="321">
        <f t="shared" ref="CJ173:CL173" si="563">CJ214*1000/CJ117/CJ178</f>
        <v>12.752767102301112</v>
      </c>
      <c r="CK173" s="321">
        <f t="shared" si="563"/>
        <v>12.247757525049989</v>
      </c>
      <c r="CL173" s="321">
        <f t="shared" si="563"/>
        <v>11.762746327058009</v>
      </c>
      <c r="CM173" s="321">
        <f t="shared" ref="CM173" si="564">CM214*1000/CM117/CM178</f>
        <v>11.296941572506512</v>
      </c>
      <c r="CN173" s="195"/>
      <c r="CO173" s="195"/>
      <c r="CP173" s="195"/>
      <c r="CQ173" s="195"/>
    </row>
    <row r="174" spans="1:102">
      <c r="A174" s="276" t="s">
        <v>272</v>
      </c>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v>9.7819253438113947</v>
      </c>
      <c r="X174" s="320">
        <v>10.519942335415665</v>
      </c>
      <c r="Y174" s="320">
        <v>9.7347531461761854</v>
      </c>
      <c r="Z174" s="320">
        <v>10.459497868308858</v>
      </c>
      <c r="AA174" s="320">
        <v>10.348806366047747</v>
      </c>
      <c r="AB174" s="320">
        <v>10.375605033881897</v>
      </c>
      <c r="AC174" s="320">
        <v>11.037324285021812</v>
      </c>
      <c r="AD174" s="320">
        <v>11.842028278888346</v>
      </c>
      <c r="AE174" s="320">
        <v>12.685770750988143</v>
      </c>
      <c r="AF174" s="320">
        <v>11.485544050277806</v>
      </c>
      <c r="AG174" s="320">
        <v>12.878648233486944</v>
      </c>
      <c r="AH174" s="320">
        <v>14.475703324808183</v>
      </c>
      <c r="AI174" s="320">
        <v>15.13360739979445</v>
      </c>
      <c r="AJ174" s="320">
        <v>16.046277665995976</v>
      </c>
      <c r="AK174" s="320">
        <v>14.597365406643757</v>
      </c>
      <c r="AL174" s="320"/>
      <c r="AM174" s="320"/>
      <c r="AN174" s="320"/>
      <c r="AO174" s="320"/>
      <c r="AP174" s="321">
        <v>17.697469135802468</v>
      </c>
      <c r="AQ174" s="320"/>
      <c r="AR174" s="320"/>
      <c r="AS174" s="320"/>
      <c r="AT174" s="320"/>
      <c r="AU174" s="321">
        <f>AU216*1000/AU117/AU178</f>
        <v>22.351949045785805</v>
      </c>
      <c r="AV174" s="321"/>
      <c r="AW174" s="321"/>
      <c r="AX174" s="320"/>
      <c r="AY174" s="320"/>
      <c r="AZ174" s="321">
        <f>AZ216*1000/AZ117/AZ178</f>
        <v>30.804887965573524</v>
      </c>
      <c r="BA174" s="320"/>
      <c r="BB174" s="320"/>
      <c r="BC174" s="320"/>
      <c r="BD174" s="320"/>
      <c r="BE174" s="321">
        <f>BE216*1000/BE117/BE178</f>
        <v>48.220091646536922</v>
      </c>
      <c r="BF174" s="320"/>
      <c r="BG174" s="320"/>
      <c r="BH174" s="320"/>
      <c r="BI174" s="320"/>
      <c r="BJ174" s="321">
        <f>BJ216*1000/BJ117/BJ178</f>
        <v>59.788410211148125</v>
      </c>
      <c r="BK174" s="320"/>
      <c r="BL174" s="320"/>
      <c r="BM174" s="320"/>
      <c r="BN174" s="320"/>
      <c r="BO174" s="321">
        <f>BO216*1000/BO117/BO178</f>
        <v>71.670194468565143</v>
      </c>
      <c r="BP174" s="320"/>
      <c r="BQ174" s="320"/>
      <c r="BR174" s="320"/>
      <c r="BS174" s="320"/>
      <c r="BT174" s="321">
        <f>BT216*1000/BT117/BT178</f>
        <v>72.288790515493474</v>
      </c>
      <c r="BU174" s="322"/>
      <c r="BV174" s="322"/>
      <c r="BW174" s="322"/>
      <c r="BX174" s="322"/>
      <c r="BY174" s="321">
        <f>BY216*1000/BY117/BY178</f>
        <v>31.884424290069976</v>
      </c>
      <c r="BZ174" s="322"/>
      <c r="CA174" s="322"/>
      <c r="CB174" s="322"/>
      <c r="CC174" s="322"/>
      <c r="CD174" s="321">
        <f t="shared" ref="CD174:CI174" si="565">CD216*1000/CD117/CD178</f>
        <v>0</v>
      </c>
      <c r="CE174" s="321">
        <f t="shared" si="565"/>
        <v>0</v>
      </c>
      <c r="CF174" s="321">
        <f t="shared" si="565"/>
        <v>0</v>
      </c>
      <c r="CG174" s="321">
        <f t="shared" si="565"/>
        <v>0</v>
      </c>
      <c r="CH174" s="321">
        <f t="shared" si="565"/>
        <v>0</v>
      </c>
      <c r="CI174" s="321">
        <f t="shared" si="565"/>
        <v>0</v>
      </c>
      <c r="CJ174" s="321">
        <f t="shared" ref="CJ174:CL174" si="566">CJ216*1000/CJ117/CJ178</f>
        <v>0</v>
      </c>
      <c r="CK174" s="321">
        <f t="shared" si="566"/>
        <v>0</v>
      </c>
      <c r="CL174" s="321">
        <f t="shared" si="566"/>
        <v>0</v>
      </c>
      <c r="CM174" s="321">
        <f t="shared" ref="CM174" si="567">CM216*1000/CM117/CM178</f>
        <v>0</v>
      </c>
      <c r="CN174" s="195"/>
      <c r="CO174" s="195"/>
      <c r="CP174" s="195"/>
      <c r="CQ174" s="195"/>
    </row>
    <row r="175" spans="1:102">
      <c r="A175" s="276" t="s">
        <v>259</v>
      </c>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f>AA169-AA173-AA174</f>
        <v>-0.52259002460299087</v>
      </c>
      <c r="AB175" s="320">
        <v>7.1248789932236205</v>
      </c>
      <c r="AC175" s="320">
        <v>6.644692195831313</v>
      </c>
      <c r="AD175" s="320">
        <v>6.435884934178449</v>
      </c>
      <c r="AE175" s="320">
        <v>6.2218379446640313</v>
      </c>
      <c r="AF175" s="320">
        <v>6.6340410134703562</v>
      </c>
      <c r="AG175" s="320">
        <v>5.4807987711213517</v>
      </c>
      <c r="AH175" s="320">
        <v>5.2429667519181589</v>
      </c>
      <c r="AI175" s="320">
        <v>4.7276464542651597</v>
      </c>
      <c r="AJ175" s="320">
        <v>4.3008048289738428</v>
      </c>
      <c r="AK175" s="320">
        <v>4.9329896907216497</v>
      </c>
      <c r="AL175" s="320"/>
      <c r="AM175" s="320"/>
      <c r="AN175" s="320"/>
      <c r="AO175" s="320"/>
      <c r="AP175" s="321">
        <v>3.2017806841046275</v>
      </c>
      <c r="AQ175" s="320"/>
      <c r="AR175" s="320"/>
      <c r="AS175" s="320"/>
      <c r="AT175" s="320"/>
      <c r="AU175" s="321">
        <f>AP175*(1+AU183)</f>
        <v>2.4013355130784708</v>
      </c>
      <c r="AV175" s="321"/>
      <c r="AW175" s="321"/>
      <c r="AX175" s="320"/>
      <c r="AY175" s="320"/>
      <c r="AZ175" s="321">
        <f>AU175*(1+AZ183)</f>
        <v>1.8010016348088531</v>
      </c>
      <c r="BA175" s="320"/>
      <c r="BB175" s="320"/>
      <c r="BC175" s="320"/>
      <c r="BD175" s="320"/>
      <c r="BE175" s="321">
        <f>AZ175*(1+BE183)</f>
        <v>1.3957762669768612</v>
      </c>
      <c r="BF175" s="320"/>
      <c r="BG175" s="320"/>
      <c r="BH175" s="320"/>
      <c r="BI175" s="320"/>
      <c r="BJ175" s="321">
        <f>BE175*(1+BJ183)</f>
        <v>1.1131315729140467</v>
      </c>
      <c r="BK175" s="320"/>
      <c r="BL175" s="320"/>
      <c r="BM175" s="320"/>
      <c r="BN175" s="320"/>
      <c r="BO175" s="321">
        <f>BJ175*(1+BO183)</f>
        <v>0.9102633437504617</v>
      </c>
      <c r="BP175" s="320"/>
      <c r="BQ175" s="320"/>
      <c r="BR175" s="320"/>
      <c r="BS175" s="320"/>
      <c r="BT175" s="321">
        <f>BO175*(1+BT183)</f>
        <v>0.76095739879179214</v>
      </c>
      <c r="BU175" s="322"/>
      <c r="BV175" s="322"/>
      <c r="BW175" s="322"/>
      <c r="BX175" s="322"/>
      <c r="BY175" s="321">
        <f>BT175*(1+BY183)</f>
        <v>0.64862296518865081</v>
      </c>
      <c r="BZ175" s="322"/>
      <c r="CA175" s="322"/>
      <c r="CB175" s="322"/>
      <c r="CC175" s="322"/>
      <c r="CD175" s="321">
        <f>BY175*(1+CD183)</f>
        <v>0.55287162151008917</v>
      </c>
      <c r="CE175" s="321">
        <f t="shared" ref="CE175:CI175" si="568">CD175*(1+CE183)</f>
        <v>0.47125533056371605</v>
      </c>
      <c r="CF175" s="321">
        <f t="shared" si="568"/>
        <v>0.40168744052757388</v>
      </c>
      <c r="CG175" s="321">
        <f t="shared" si="568"/>
        <v>0.34238933633829211</v>
      </c>
      <c r="CH175" s="321">
        <f t="shared" si="568"/>
        <v>0.29184496653469261</v>
      </c>
      <c r="CI175" s="321">
        <f t="shared" si="568"/>
        <v>0.24876208296242494</v>
      </c>
      <c r="CJ175" s="321">
        <f t="shared" ref="CJ175" si="569">CI175*(1+CJ183)</f>
        <v>0.21203920237030438</v>
      </c>
      <c r="CK175" s="321">
        <f t="shared" ref="CK175" si="570">CJ175*(1+CK183)</f>
        <v>0.18073744521839413</v>
      </c>
      <c r="CL175" s="321">
        <f t="shared" ref="CL175:CM175" si="571">CK175*(1+CL183)</f>
        <v>0.15405653171164174</v>
      </c>
      <c r="CM175" s="321">
        <f t="shared" si="571"/>
        <v>0.13131432135903992</v>
      </c>
      <c r="CN175" s="195"/>
      <c r="CO175" s="195"/>
      <c r="CP175" s="195"/>
      <c r="CQ175" s="195"/>
    </row>
    <row r="176" spans="1:102">
      <c r="A176" s="276" t="s">
        <v>260</v>
      </c>
      <c r="B176" s="287"/>
      <c r="C176" s="287"/>
      <c r="D176" s="287"/>
      <c r="E176" s="287"/>
      <c r="F176" s="287"/>
      <c r="G176" s="287"/>
      <c r="H176" s="287"/>
      <c r="I176" s="287"/>
      <c r="J176" s="287"/>
      <c r="K176" s="287"/>
      <c r="L176" s="287"/>
      <c r="M176" s="287"/>
      <c r="N176" s="287"/>
      <c r="O176" s="287"/>
      <c r="P176" s="287"/>
      <c r="Q176" s="320"/>
      <c r="R176" s="320"/>
      <c r="S176" s="320"/>
      <c r="T176" s="320"/>
      <c r="U176" s="320"/>
      <c r="V176" s="320"/>
      <c r="W176" s="320"/>
      <c r="X176" s="320"/>
      <c r="Y176" s="320"/>
      <c r="Z176" s="320"/>
      <c r="AA176" s="320"/>
      <c r="AB176" s="320"/>
      <c r="AC176" s="320"/>
      <c r="AD176" s="320"/>
      <c r="AE176" s="320"/>
      <c r="AF176" s="320">
        <f t="shared" ref="AF176:AK176" si="572">AF169-AF173-AF174-AF175</f>
        <v>0.86334494515269267</v>
      </c>
      <c r="AG176" s="320">
        <f t="shared" si="572"/>
        <v>0</v>
      </c>
      <c r="AH176" s="320">
        <f t="shared" si="572"/>
        <v>0</v>
      </c>
      <c r="AI176" s="320">
        <f t="shared" si="572"/>
        <v>0</v>
      </c>
      <c r="AJ176" s="320">
        <f t="shared" si="572"/>
        <v>0</v>
      </c>
      <c r="AK176" s="320">
        <f t="shared" si="572"/>
        <v>-1.2446524064171154</v>
      </c>
      <c r="AL176" s="320"/>
      <c r="AM176" s="320"/>
      <c r="AN176" s="320"/>
      <c r="AO176" s="320"/>
      <c r="AP176" s="320">
        <f>AP169-AP173-AP174-AP175</f>
        <v>1.1537860741203572</v>
      </c>
      <c r="AQ176" s="320"/>
      <c r="AR176" s="320"/>
      <c r="AS176" s="320"/>
      <c r="AT176" s="320"/>
      <c r="AU176" s="323">
        <f>AU169-AU173-AU174-AU175</f>
        <v>0.33035142692701402</v>
      </c>
      <c r="AV176" s="323"/>
      <c r="AW176" s="323"/>
      <c r="AX176" s="320"/>
      <c r="AY176" s="320"/>
      <c r="AZ176" s="323">
        <f>AZ169-AZ173-AZ174-AZ175</f>
        <v>-5.0349215013513566</v>
      </c>
      <c r="BA176" s="320"/>
      <c r="BB176" s="320"/>
      <c r="BC176" s="320"/>
      <c r="BD176" s="320"/>
      <c r="BE176" s="323">
        <f>BE169-BE173-BE174-BE175</f>
        <v>-18.486194204138283</v>
      </c>
      <c r="BF176" s="320"/>
      <c r="BG176" s="320"/>
      <c r="BH176" s="320"/>
      <c r="BI176" s="320"/>
      <c r="BJ176" s="323">
        <f>BJ169-BJ173-BJ174-BJ175</f>
        <v>-30.216173955929818</v>
      </c>
      <c r="BK176" s="320"/>
      <c r="BL176" s="320"/>
      <c r="BM176" s="320"/>
      <c r="BN176" s="320"/>
      <c r="BO176" s="323">
        <f>BO169-BO173-BO174-BO175</f>
        <v>-43.641547154892997</v>
      </c>
      <c r="BP176" s="320"/>
      <c r="BQ176" s="320"/>
      <c r="BR176" s="320"/>
      <c r="BS176" s="320"/>
      <c r="BT176" s="323">
        <f>BT169-BT173-BT174-BT175</f>
        <v>-44.68186944333933</v>
      </c>
      <c r="BU176" s="322"/>
      <c r="BV176" s="322"/>
      <c r="BW176" s="322"/>
      <c r="BX176" s="322"/>
      <c r="BY176" s="323">
        <f>BY169-BY173-BY174-BY175</f>
        <v>-2.7333269807774205</v>
      </c>
      <c r="BZ176" s="322"/>
      <c r="CA176" s="322"/>
      <c r="CB176" s="322"/>
      <c r="CC176" s="322"/>
      <c r="CD176" s="323">
        <f t="shared" ref="CD176:CI176" si="573">CD169-CD173-CD174-CD175</f>
        <v>29.458892471411758</v>
      </c>
      <c r="CE176" s="323">
        <f t="shared" si="573"/>
        <v>28.946423838507343</v>
      </c>
      <c r="CF176" s="323">
        <f t="shared" si="573"/>
        <v>29.549525148918789</v>
      </c>
      <c r="CG176" s="323">
        <f t="shared" si="573"/>
        <v>30.094337061138837</v>
      </c>
      <c r="CH176" s="323">
        <f t="shared" si="573"/>
        <v>30.831598696141103</v>
      </c>
      <c r="CI176" s="323">
        <f t="shared" si="573"/>
        <v>31.764158390793799</v>
      </c>
      <c r="CJ176" s="323">
        <f t="shared" ref="CJ176:CL176" si="574">CJ169-CJ173-CJ174-CJ175</f>
        <v>32.670976051414868</v>
      </c>
      <c r="CK176" s="323">
        <f t="shared" si="574"/>
        <v>33.553863141522442</v>
      </c>
      <c r="CL176" s="323">
        <f t="shared" si="574"/>
        <v>34.414458672702942</v>
      </c>
      <c r="CM176" s="323">
        <f t="shared" ref="CM176" si="575">CM169-CM173-CM174-CM175</f>
        <v>35.254251001305327</v>
      </c>
      <c r="CN176" s="195"/>
      <c r="CO176" s="195"/>
      <c r="CP176" s="195"/>
      <c r="CQ176" s="195"/>
    </row>
    <row r="177" spans="1:102">
      <c r="A177" s="276"/>
      <c r="B177" s="287"/>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c r="BG177" s="287"/>
      <c r="BH177" s="287"/>
      <c r="BI177" s="287"/>
      <c r="BJ177" s="287"/>
      <c r="BK177" s="287"/>
      <c r="BL177" s="287"/>
      <c r="BM177" s="287"/>
      <c r="BN177" s="287"/>
      <c r="BO177" s="287"/>
      <c r="BP177" s="287"/>
      <c r="BQ177" s="287"/>
      <c r="BR177" s="287"/>
      <c r="BS177" s="287"/>
      <c r="BT177" s="287"/>
      <c r="BU177" s="288"/>
      <c r="BV177" s="288"/>
      <c r="BW177" s="288"/>
      <c r="BX177" s="288"/>
      <c r="BY177" s="287"/>
      <c r="BZ177" s="288"/>
      <c r="CA177" s="288"/>
      <c r="CB177" s="288"/>
      <c r="CC177" s="288"/>
      <c r="CD177" s="287"/>
      <c r="CE177" s="287"/>
      <c r="CF177" s="287"/>
      <c r="CG177" s="287"/>
      <c r="CH177" s="287"/>
      <c r="CI177" s="287"/>
      <c r="CJ177" s="287"/>
      <c r="CK177" s="287"/>
      <c r="CL177" s="287"/>
      <c r="CM177" s="287"/>
      <c r="CN177" s="195"/>
      <c r="CO177" s="195"/>
      <c r="CP177" s="195"/>
      <c r="CQ177" s="195"/>
    </row>
    <row r="178" spans="1:102">
      <c r="A178" s="276" t="s">
        <v>273</v>
      </c>
      <c r="B178" s="287"/>
      <c r="C178" s="287"/>
      <c r="D178" s="287"/>
      <c r="E178" s="287"/>
      <c r="F178" s="287"/>
      <c r="G178" s="287"/>
      <c r="H178" s="287"/>
      <c r="I178" s="287"/>
      <c r="J178" s="287"/>
      <c r="K178" s="287"/>
      <c r="L178" s="287"/>
      <c r="M178" s="287"/>
      <c r="N178" s="287"/>
      <c r="O178" s="287"/>
      <c r="P178" s="287"/>
      <c r="Q178" s="324"/>
      <c r="R178" s="324"/>
      <c r="S178" s="324"/>
      <c r="T178" s="324"/>
      <c r="U178" s="324"/>
      <c r="V178" s="324"/>
      <c r="W178" s="324">
        <v>3</v>
      </c>
      <c r="X178" s="324">
        <v>3</v>
      </c>
      <c r="Y178" s="324">
        <v>3</v>
      </c>
      <c r="Z178" s="324">
        <v>3</v>
      </c>
      <c r="AA178" s="324">
        <v>12</v>
      </c>
      <c r="AB178" s="324">
        <v>3</v>
      </c>
      <c r="AC178" s="324">
        <v>3</v>
      </c>
      <c r="AD178" s="324">
        <v>3</v>
      </c>
      <c r="AE178" s="324">
        <v>3</v>
      </c>
      <c r="AF178" s="324">
        <v>12</v>
      </c>
      <c r="AG178" s="324">
        <v>3</v>
      </c>
      <c r="AH178" s="324">
        <v>3</v>
      </c>
      <c r="AI178" s="324">
        <v>3</v>
      </c>
      <c r="AJ178" s="324">
        <v>3</v>
      </c>
      <c r="AK178" s="324">
        <v>12</v>
      </c>
      <c r="AL178" s="324">
        <v>3</v>
      </c>
      <c r="AM178" s="324">
        <v>3</v>
      </c>
      <c r="AN178" s="324">
        <v>3</v>
      </c>
      <c r="AO178" s="324">
        <v>3</v>
      </c>
      <c r="AP178" s="324">
        <v>12</v>
      </c>
      <c r="AQ178" s="324">
        <v>3</v>
      </c>
      <c r="AR178" s="324">
        <v>3</v>
      </c>
      <c r="AS178" s="324">
        <v>3</v>
      </c>
      <c r="AT178" s="324">
        <v>3</v>
      </c>
      <c r="AU178" s="324">
        <v>12</v>
      </c>
      <c r="AV178" s="324">
        <v>3</v>
      </c>
      <c r="AW178" s="324">
        <v>3</v>
      </c>
      <c r="AX178" s="324">
        <v>3</v>
      </c>
      <c r="AY178" s="324">
        <v>3</v>
      </c>
      <c r="AZ178" s="324">
        <v>12</v>
      </c>
      <c r="BA178" s="324">
        <v>3</v>
      </c>
      <c r="BB178" s="324">
        <v>3</v>
      </c>
      <c r="BC178" s="324">
        <v>3</v>
      </c>
      <c r="BD178" s="324">
        <v>3</v>
      </c>
      <c r="BE178" s="324">
        <v>12</v>
      </c>
      <c r="BF178" s="324">
        <v>3</v>
      </c>
      <c r="BG178" s="324">
        <v>3</v>
      </c>
      <c r="BH178" s="324">
        <v>3</v>
      </c>
      <c r="BI178" s="324">
        <v>3</v>
      </c>
      <c r="BJ178" s="324">
        <v>12</v>
      </c>
      <c r="BK178" s="324">
        <v>3</v>
      </c>
      <c r="BL178" s="324">
        <v>3</v>
      </c>
      <c r="BM178" s="324">
        <v>3</v>
      </c>
      <c r="BN178" s="324">
        <v>3</v>
      </c>
      <c r="BO178" s="324">
        <v>12</v>
      </c>
      <c r="BP178" s="324">
        <v>3</v>
      </c>
      <c r="BQ178" s="324">
        <v>3</v>
      </c>
      <c r="BR178" s="324">
        <v>3</v>
      </c>
      <c r="BS178" s="324">
        <v>3</v>
      </c>
      <c r="BT178" s="324">
        <v>12</v>
      </c>
      <c r="BU178" s="325">
        <v>3</v>
      </c>
      <c r="BV178" s="325">
        <v>3</v>
      </c>
      <c r="BW178" s="325">
        <v>3</v>
      </c>
      <c r="BX178" s="325">
        <v>3</v>
      </c>
      <c r="BY178" s="324">
        <v>12</v>
      </c>
      <c r="BZ178" s="325">
        <v>3</v>
      </c>
      <c r="CA178" s="325">
        <v>3</v>
      </c>
      <c r="CB178" s="325">
        <v>3</v>
      </c>
      <c r="CC178" s="325">
        <v>3</v>
      </c>
      <c r="CD178" s="324">
        <v>12</v>
      </c>
      <c r="CE178" s="324">
        <v>12</v>
      </c>
      <c r="CF178" s="324">
        <v>12</v>
      </c>
      <c r="CG178" s="324">
        <v>12</v>
      </c>
      <c r="CH178" s="324">
        <v>12</v>
      </c>
      <c r="CI178" s="324">
        <v>12</v>
      </c>
      <c r="CJ178" s="324">
        <v>12</v>
      </c>
      <c r="CK178" s="324">
        <v>12</v>
      </c>
      <c r="CL178" s="324">
        <v>12</v>
      </c>
      <c r="CM178" s="324">
        <v>12</v>
      </c>
      <c r="CN178" s="195"/>
      <c r="CO178" s="195"/>
      <c r="CP178" s="195"/>
      <c r="CQ178" s="195"/>
    </row>
    <row r="179" spans="1:102">
      <c r="A179" s="276"/>
      <c r="B179" s="287"/>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c r="BG179" s="287"/>
      <c r="BH179" s="287"/>
      <c r="BI179" s="287"/>
      <c r="BJ179" s="287"/>
      <c r="BK179" s="287"/>
      <c r="BL179" s="287"/>
      <c r="BM179" s="287"/>
      <c r="BN179" s="287"/>
      <c r="BO179" s="287"/>
      <c r="BP179" s="287"/>
      <c r="BQ179" s="287"/>
      <c r="BR179" s="287"/>
      <c r="BS179" s="287"/>
      <c r="BT179" s="287"/>
      <c r="BU179" s="288"/>
      <c r="BV179" s="288"/>
      <c r="BW179" s="288"/>
      <c r="BX179" s="288"/>
      <c r="BY179" s="287"/>
      <c r="BZ179" s="288"/>
      <c r="CA179" s="288"/>
      <c r="CB179" s="288"/>
      <c r="CC179" s="288"/>
      <c r="CD179" s="287"/>
      <c r="CE179" s="287"/>
      <c r="CF179" s="287"/>
      <c r="CG179" s="287"/>
      <c r="CH179" s="287"/>
      <c r="CI179" s="287"/>
      <c r="CJ179" s="287"/>
      <c r="CK179" s="287"/>
      <c r="CL179" s="287"/>
      <c r="CM179" s="287"/>
      <c r="CN179" s="195"/>
      <c r="CO179" s="195"/>
      <c r="CP179" s="195"/>
      <c r="CQ179" s="195"/>
    </row>
    <row r="180" spans="1:102">
      <c r="A180" s="276" t="s">
        <v>275</v>
      </c>
      <c r="B180" s="287"/>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8"/>
      <c r="BV180" s="288"/>
      <c r="BW180" s="288"/>
      <c r="BX180" s="288"/>
      <c r="BY180" s="287"/>
      <c r="BZ180" s="288"/>
      <c r="CA180" s="288"/>
      <c r="CB180" s="288"/>
      <c r="CC180" s="288"/>
      <c r="CD180" s="287"/>
      <c r="CE180" s="287"/>
      <c r="CF180" s="287"/>
      <c r="CG180" s="287"/>
      <c r="CH180" s="287"/>
      <c r="CI180" s="287"/>
      <c r="CJ180" s="287"/>
      <c r="CK180" s="287"/>
      <c r="CL180" s="287"/>
      <c r="CM180" s="287"/>
      <c r="CN180" s="195"/>
      <c r="CO180" s="195"/>
      <c r="CP180" s="195"/>
      <c r="CQ180" s="195"/>
    </row>
    <row r="181" spans="1:102">
      <c r="A181" s="276" t="s">
        <v>271</v>
      </c>
      <c r="B181" s="287"/>
      <c r="C181" s="287"/>
      <c r="D181" s="287"/>
      <c r="E181" s="287"/>
      <c r="F181" s="287"/>
      <c r="G181" s="287"/>
      <c r="H181" s="287"/>
      <c r="I181" s="287"/>
      <c r="J181" s="287"/>
      <c r="K181" s="287"/>
      <c r="L181" s="287"/>
      <c r="M181" s="287"/>
      <c r="N181" s="287"/>
      <c r="O181" s="287"/>
      <c r="P181" s="287"/>
      <c r="Q181" s="287"/>
      <c r="R181" s="287"/>
      <c r="S181" s="287"/>
      <c r="T181" s="287"/>
      <c r="U181" s="287"/>
      <c r="V181" s="287"/>
      <c r="W181" s="287" t="e">
        <f>W173/R173-1</f>
        <v>#DIV/0!</v>
      </c>
      <c r="X181" s="287" t="e">
        <f>X173/S173-1</f>
        <v>#DIV/0!</v>
      </c>
      <c r="Y181" s="287" t="e">
        <f>Y173/T173-1</f>
        <v>#DIV/0!</v>
      </c>
      <c r="Z181" s="287" t="e">
        <f>Z173/U173-1</f>
        <v>#DIV/0!</v>
      </c>
      <c r="AA181" s="287"/>
      <c r="AB181" s="287">
        <f t="shared" ref="AB181:AK182" si="576">AB173/W173-1</f>
        <v>-0.32494515192874074</v>
      </c>
      <c r="AC181" s="287">
        <f t="shared" si="576"/>
        <v>-0.31731089314939009</v>
      </c>
      <c r="AD181" s="287">
        <f t="shared" si="576"/>
        <v>-0.22326159555499903</v>
      </c>
      <c r="AE181" s="287">
        <f t="shared" si="576"/>
        <v>-0.19840200328742352</v>
      </c>
      <c r="AF181" s="287">
        <f t="shared" si="576"/>
        <v>-0.28955554918489168</v>
      </c>
      <c r="AG181" s="287">
        <f t="shared" si="576"/>
        <v>4.0037066720096215E-2</v>
      </c>
      <c r="AH181" s="287">
        <f t="shared" si="576"/>
        <v>6.9332140221046723E-2</v>
      </c>
      <c r="AI181" s="287">
        <f t="shared" si="576"/>
        <v>1.4018509601767537E-2</v>
      </c>
      <c r="AJ181" s="287">
        <f t="shared" si="576"/>
        <v>-1.4604150094716717E-2</v>
      </c>
      <c r="AK181" s="287">
        <f t="shared" si="576"/>
        <v>3.7715177181042225E-2</v>
      </c>
      <c r="AL181" s="287"/>
      <c r="AM181" s="287"/>
      <c r="AN181" s="287"/>
      <c r="AO181" s="287"/>
      <c r="AP181" s="287">
        <f>AP173/AK173-1</f>
        <v>-7.9043136154523963E-2</v>
      </c>
      <c r="AQ181" s="287"/>
      <c r="AR181" s="287"/>
      <c r="AS181" s="287"/>
      <c r="AT181" s="287"/>
      <c r="AU181" s="287">
        <f>AU173/AP173-1</f>
        <v>-8.8200000000000167E-2</v>
      </c>
      <c r="AV181" s="287"/>
      <c r="AW181" s="287"/>
      <c r="AX181" s="287"/>
      <c r="AY181" s="287"/>
      <c r="AZ181" s="287">
        <f>AZ173/AU173-1</f>
        <v>-5.9099999999999819E-2</v>
      </c>
      <c r="BA181" s="287"/>
      <c r="BB181" s="287"/>
      <c r="BC181" s="287"/>
      <c r="BD181" s="287"/>
      <c r="BE181" s="287">
        <f>BE173/AZ173-1</f>
        <v>-9.7500000000000142E-2</v>
      </c>
      <c r="BF181" s="287"/>
      <c r="BG181" s="287"/>
      <c r="BH181" s="287"/>
      <c r="BI181" s="287"/>
      <c r="BJ181" s="287">
        <f>BJ173/BE173-1</f>
        <v>-4.9400000000000222E-2</v>
      </c>
      <c r="BK181" s="287"/>
      <c r="BL181" s="287"/>
      <c r="BM181" s="287"/>
      <c r="BN181" s="287"/>
      <c r="BO181" s="287">
        <f>BO173/BJ173-1</f>
        <v>-4.9399999999999999E-2</v>
      </c>
      <c r="BP181" s="287"/>
      <c r="BQ181" s="287"/>
      <c r="BR181" s="287"/>
      <c r="BS181" s="287"/>
      <c r="BT181" s="287">
        <f>BT173/BO173-1</f>
        <v>-4.9399999999999888E-2</v>
      </c>
      <c r="BU181" s="288"/>
      <c r="BV181" s="288"/>
      <c r="BW181" s="288"/>
      <c r="BX181" s="288"/>
      <c r="BY181" s="287">
        <f>BY173/BT173-1</f>
        <v>-4.940000000000011E-2</v>
      </c>
      <c r="BZ181" s="288"/>
      <c r="CA181" s="288"/>
      <c r="CB181" s="288"/>
      <c r="CC181" s="288"/>
      <c r="CD181" s="287">
        <f>CD173/BY173-1</f>
        <v>-4.9400000000000222E-2</v>
      </c>
      <c r="CE181" s="287">
        <f t="shared" ref="CE181:CI181" si="577">CE173/CD173-1</f>
        <v>-4.9399999999999999E-2</v>
      </c>
      <c r="CF181" s="287">
        <f t="shared" si="577"/>
        <v>-4.940000000000011E-2</v>
      </c>
      <c r="CG181" s="287">
        <f t="shared" si="577"/>
        <v>-3.9599999999999969E-2</v>
      </c>
      <c r="CH181" s="287">
        <f t="shared" si="577"/>
        <v>-3.9600000000000302E-2</v>
      </c>
      <c r="CI181" s="287">
        <f t="shared" si="577"/>
        <v>-3.960000000000008E-2</v>
      </c>
      <c r="CJ181" s="287">
        <f t="shared" ref="CJ181:CJ182" si="578">CJ173/CI173-1</f>
        <v>-3.9599999999999747E-2</v>
      </c>
      <c r="CK181" s="287">
        <f t="shared" ref="CK181:CK182" si="579">CK173/CJ173-1</f>
        <v>-3.9599999999999858E-2</v>
      </c>
      <c r="CL181" s="287">
        <f t="shared" ref="CL181:CM182" si="580">CL173/CK173-1</f>
        <v>-3.960000000000008E-2</v>
      </c>
      <c r="CM181" s="287">
        <f t="shared" si="580"/>
        <v>-3.9599999999999969E-2</v>
      </c>
      <c r="CN181" s="195"/>
      <c r="CO181" s="195"/>
      <c r="CP181" s="195"/>
      <c r="CQ181" s="195"/>
    </row>
    <row r="182" spans="1:102">
      <c r="A182" s="276" t="s">
        <v>272</v>
      </c>
      <c r="B182" s="287"/>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f t="shared" si="576"/>
        <v>6.0691496735466144E-2</v>
      </c>
      <c r="AC182" s="287">
        <f t="shared" si="576"/>
        <v>4.9181063271075853E-2</v>
      </c>
      <c r="AD182" s="287">
        <f t="shared" si="576"/>
        <v>0.21646929316742858</v>
      </c>
      <c r="AE182" s="287">
        <f t="shared" si="576"/>
        <v>0.2128470133757232</v>
      </c>
      <c r="AF182" s="287">
        <f t="shared" si="576"/>
        <v>0.10984239573362364</v>
      </c>
      <c r="AG182" s="287">
        <f t="shared" si="576"/>
        <v>0.24124310740735333</v>
      </c>
      <c r="AH182" s="287">
        <f t="shared" si="576"/>
        <v>0.31152287918661759</v>
      </c>
      <c r="AI182" s="287">
        <f t="shared" si="576"/>
        <v>0.2779573771812589</v>
      </c>
      <c r="AJ182" s="287">
        <f t="shared" si="576"/>
        <v>0.26490364527090882</v>
      </c>
      <c r="AK182" s="287">
        <f t="shared" si="576"/>
        <v>0.27093373572414126</v>
      </c>
      <c r="AL182" s="287"/>
      <c r="AM182" s="287"/>
      <c r="AN182" s="287"/>
      <c r="AO182" s="287"/>
      <c r="AP182" s="287">
        <f>AP174/AK174-1</f>
        <v>0.21237419512343969</v>
      </c>
      <c r="AQ182" s="287"/>
      <c r="AR182" s="287"/>
      <c r="AS182" s="287"/>
      <c r="AT182" s="287"/>
      <c r="AU182" s="287">
        <f>AU174/AP174-1</f>
        <v>0.26300257252983106</v>
      </c>
      <c r="AV182" s="287"/>
      <c r="AW182" s="287"/>
      <c r="AX182" s="287"/>
      <c r="AY182" s="287"/>
      <c r="AZ182" s="287">
        <f>AZ174/AU174-1</f>
        <v>0.37817457898068274</v>
      </c>
      <c r="BA182" s="287"/>
      <c r="BB182" s="287"/>
      <c r="BC182" s="287"/>
      <c r="BD182" s="287"/>
      <c r="BE182" s="287">
        <f>BE174/AZ174-1</f>
        <v>0.56533897154328328</v>
      </c>
      <c r="BF182" s="287"/>
      <c r="BG182" s="287"/>
      <c r="BH182" s="287"/>
      <c r="BI182" s="287"/>
      <c r="BJ182" s="287">
        <f>BJ174/BE174-1</f>
        <v>0.23990660676071163</v>
      </c>
      <c r="BK182" s="287"/>
      <c r="BL182" s="287"/>
      <c r="BM182" s="287"/>
      <c r="BN182" s="287"/>
      <c r="BO182" s="287">
        <f>BO174/BJ174-1</f>
        <v>0.19873056024496116</v>
      </c>
      <c r="BP182" s="287"/>
      <c r="BQ182" s="287"/>
      <c r="BR182" s="287"/>
      <c r="BS182" s="287"/>
      <c r="BT182" s="287">
        <f>BT174/BO174-1</f>
        <v>8.6311478783505091E-3</v>
      </c>
      <c r="BU182" s="288"/>
      <c r="BV182" s="288"/>
      <c r="BW182" s="288"/>
      <c r="BX182" s="288"/>
      <c r="BY182" s="287">
        <f>BY174/BT174-1</f>
        <v>-0.55892989683875993</v>
      </c>
      <c r="BZ182" s="288"/>
      <c r="CA182" s="288"/>
      <c r="CB182" s="288"/>
      <c r="CC182" s="288"/>
      <c r="CD182" s="287">
        <f>CD174/BY174-1</f>
        <v>-1</v>
      </c>
      <c r="CE182" s="287" t="e">
        <f t="shared" ref="CE182:CI182" si="581">CE174/CD174-1</f>
        <v>#DIV/0!</v>
      </c>
      <c r="CF182" s="287" t="e">
        <f t="shared" si="581"/>
        <v>#DIV/0!</v>
      </c>
      <c r="CG182" s="287" t="e">
        <f t="shared" si="581"/>
        <v>#DIV/0!</v>
      </c>
      <c r="CH182" s="287" t="e">
        <f t="shared" si="581"/>
        <v>#DIV/0!</v>
      </c>
      <c r="CI182" s="287" t="e">
        <f t="shared" si="581"/>
        <v>#DIV/0!</v>
      </c>
      <c r="CJ182" s="287" t="e">
        <f t="shared" si="578"/>
        <v>#DIV/0!</v>
      </c>
      <c r="CK182" s="287" t="e">
        <f t="shared" si="579"/>
        <v>#DIV/0!</v>
      </c>
      <c r="CL182" s="287" t="e">
        <f t="shared" si="580"/>
        <v>#DIV/0!</v>
      </c>
      <c r="CM182" s="287" t="e">
        <f t="shared" si="580"/>
        <v>#DIV/0!</v>
      </c>
      <c r="CN182" s="195"/>
      <c r="CO182" s="195"/>
      <c r="CP182" s="195"/>
      <c r="CQ182" s="195"/>
    </row>
    <row r="183" spans="1:102">
      <c r="A183" s="276" t="s">
        <v>259</v>
      </c>
      <c r="B183" s="287"/>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t="e">
        <f t="shared" ref="AB183:AE184" si="582">AB175/W175-1</f>
        <v>#DIV/0!</v>
      </c>
      <c r="AC183" s="287" t="e">
        <f t="shared" si="582"/>
        <v>#DIV/0!</v>
      </c>
      <c r="AD183" s="287" t="e">
        <f t="shared" si="582"/>
        <v>#DIV/0!</v>
      </c>
      <c r="AE183" s="287" t="e">
        <f t="shared" si="582"/>
        <v>#DIV/0!</v>
      </c>
      <c r="AF183" s="287"/>
      <c r="AG183" s="287">
        <f>AG175/AB175-1</f>
        <v>-0.2307520203032124</v>
      </c>
      <c r="AH183" s="287">
        <f>AH175/AC175-1</f>
        <v>-0.21095415748415791</v>
      </c>
      <c r="AI183" s="287">
        <f>AI175/AD175-1</f>
        <v>-0.26542402441683</v>
      </c>
      <c r="AJ183" s="287">
        <f>AJ175/AE175-1</f>
        <v>-0.30875653348343857</v>
      </c>
      <c r="AK183" s="287">
        <f>AK175/AF175-1</f>
        <v>-0.25641254241490796</v>
      </c>
      <c r="AL183" s="287"/>
      <c r="AM183" s="287"/>
      <c r="AN183" s="287"/>
      <c r="AO183" s="287"/>
      <c r="AP183" s="287">
        <f>AP175/AK175-1</f>
        <v>-0.35094519047408812</v>
      </c>
      <c r="AQ183" s="287"/>
      <c r="AR183" s="287"/>
      <c r="AS183" s="287"/>
      <c r="AT183" s="287"/>
      <c r="AU183" s="298">
        <v>-0.25</v>
      </c>
      <c r="AV183" s="298"/>
      <c r="AW183" s="298"/>
      <c r="AX183" s="287"/>
      <c r="AY183" s="287"/>
      <c r="AZ183" s="298">
        <v>-0.25</v>
      </c>
      <c r="BA183" s="287"/>
      <c r="BB183" s="287"/>
      <c r="BC183" s="287"/>
      <c r="BD183" s="287"/>
      <c r="BE183" s="298">
        <f>AZ183*0.9</f>
        <v>-0.22500000000000001</v>
      </c>
      <c r="BF183" s="287"/>
      <c r="BG183" s="287"/>
      <c r="BH183" s="287"/>
      <c r="BI183" s="287"/>
      <c r="BJ183" s="298">
        <f>BE183*0.9</f>
        <v>-0.20250000000000001</v>
      </c>
      <c r="BK183" s="287"/>
      <c r="BL183" s="287"/>
      <c r="BM183" s="287"/>
      <c r="BN183" s="287"/>
      <c r="BO183" s="298">
        <f>BJ183*0.9</f>
        <v>-0.18225000000000002</v>
      </c>
      <c r="BP183" s="298"/>
      <c r="BQ183" s="298"/>
      <c r="BR183" s="298"/>
      <c r="BS183" s="298"/>
      <c r="BT183" s="298">
        <f>BO183*0.9</f>
        <v>-0.16402500000000003</v>
      </c>
      <c r="BU183" s="326"/>
      <c r="BV183" s="326"/>
      <c r="BW183" s="326"/>
      <c r="BX183" s="326"/>
      <c r="BY183" s="298">
        <f>BT183*0.9</f>
        <v>-0.14762250000000005</v>
      </c>
      <c r="BZ183" s="326"/>
      <c r="CA183" s="326"/>
      <c r="CB183" s="326"/>
      <c r="CC183" s="326"/>
      <c r="CD183" s="298">
        <f>BY183</f>
        <v>-0.14762250000000005</v>
      </c>
      <c r="CE183" s="298">
        <f t="shared" ref="CE183:CI183" si="583">CD183</f>
        <v>-0.14762250000000005</v>
      </c>
      <c r="CF183" s="298">
        <f t="shared" si="583"/>
        <v>-0.14762250000000005</v>
      </c>
      <c r="CG183" s="298">
        <f t="shared" si="583"/>
        <v>-0.14762250000000005</v>
      </c>
      <c r="CH183" s="298">
        <f t="shared" si="583"/>
        <v>-0.14762250000000005</v>
      </c>
      <c r="CI183" s="298">
        <f t="shared" si="583"/>
        <v>-0.14762250000000005</v>
      </c>
      <c r="CJ183" s="298">
        <f t="shared" ref="CJ183" si="584">CI183</f>
        <v>-0.14762250000000005</v>
      </c>
      <c r="CK183" s="298">
        <f t="shared" ref="CK183" si="585">CJ183</f>
        <v>-0.14762250000000005</v>
      </c>
      <c r="CL183" s="298">
        <f t="shared" ref="CL183:CM183" si="586">CK183</f>
        <v>-0.14762250000000005</v>
      </c>
      <c r="CM183" s="298">
        <f t="shared" si="586"/>
        <v>-0.14762250000000005</v>
      </c>
      <c r="CN183" s="195"/>
      <c r="CO183" s="195"/>
      <c r="CP183" s="195"/>
      <c r="CQ183" s="195"/>
    </row>
    <row r="184" spans="1:102">
      <c r="A184" s="276" t="s">
        <v>260</v>
      </c>
      <c r="B184" s="287"/>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t="e">
        <f t="shared" si="582"/>
        <v>#DIV/0!</v>
      </c>
      <c r="AC184" s="287" t="e">
        <f t="shared" si="582"/>
        <v>#DIV/0!</v>
      </c>
      <c r="AD184" s="287" t="e">
        <f t="shared" si="582"/>
        <v>#DIV/0!</v>
      </c>
      <c r="AE184" s="287" t="e">
        <f t="shared" si="582"/>
        <v>#DIV/0!</v>
      </c>
      <c r="AF184" s="287"/>
      <c r="AG184" s="287" t="e">
        <f>AG176/AB176-1</f>
        <v>#DIV/0!</v>
      </c>
      <c r="AH184" s="287" t="e">
        <f>AH176/AC176-1</f>
        <v>#DIV/0!</v>
      </c>
      <c r="AI184" s="287" t="e">
        <f>AI176/AD176-1</f>
        <v>#DIV/0!</v>
      </c>
      <c r="AJ184" s="287" t="e">
        <f>AJ176/AE176-1</f>
        <v>#DIV/0!</v>
      </c>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c r="BG184" s="287"/>
      <c r="BH184" s="287"/>
      <c r="BI184" s="287"/>
      <c r="BJ184" s="287"/>
      <c r="BK184" s="287"/>
      <c r="BL184" s="287"/>
      <c r="BM184" s="287"/>
      <c r="BN184" s="287"/>
      <c r="BO184" s="287"/>
      <c r="BP184" s="287"/>
      <c r="BQ184" s="287"/>
      <c r="BR184" s="287"/>
      <c r="BS184" s="287"/>
      <c r="BT184" s="287"/>
      <c r="BU184" s="288"/>
      <c r="BV184" s="288"/>
      <c r="BW184" s="288"/>
      <c r="BX184" s="288"/>
      <c r="BY184" s="287"/>
      <c r="BZ184" s="288"/>
      <c r="CA184" s="288"/>
      <c r="CB184" s="288"/>
      <c r="CC184" s="288"/>
      <c r="CD184" s="287"/>
      <c r="CE184" s="287"/>
      <c r="CF184" s="287"/>
      <c r="CG184" s="287"/>
      <c r="CH184" s="287"/>
      <c r="CI184" s="287"/>
      <c r="CJ184" s="287"/>
      <c r="CK184" s="287"/>
      <c r="CL184" s="287"/>
      <c r="CM184" s="287"/>
      <c r="CN184" s="195"/>
      <c r="CO184" s="195"/>
      <c r="CP184" s="195"/>
      <c r="CQ184" s="195"/>
    </row>
    <row r="185" spans="1:102">
      <c r="A185" s="276"/>
      <c r="B185" s="222"/>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222"/>
      <c r="BF185" s="222"/>
      <c r="BG185" s="222"/>
      <c r="BH185" s="222"/>
      <c r="BI185" s="222"/>
      <c r="BJ185" s="222"/>
      <c r="BK185" s="222"/>
      <c r="BL185" s="222"/>
      <c r="BM185" s="222"/>
      <c r="BN185" s="222"/>
      <c r="BO185" s="222"/>
      <c r="BP185" s="222"/>
      <c r="BQ185" s="222"/>
      <c r="BR185" s="222"/>
      <c r="BS185" s="222"/>
      <c r="BT185" s="222"/>
      <c r="BU185" s="222"/>
      <c r="BV185" s="222"/>
      <c r="BW185" s="222"/>
      <c r="BX185" s="222"/>
      <c r="BY185" s="222"/>
      <c r="BZ185" s="222"/>
      <c r="CA185" s="222"/>
      <c r="CB185" s="222"/>
      <c r="CC185" s="222"/>
      <c r="CD185" s="222"/>
      <c r="CE185" s="222"/>
      <c r="CF185" s="222"/>
      <c r="CG185" s="222"/>
      <c r="CH185" s="222"/>
      <c r="CI185" s="222"/>
      <c r="CJ185" s="222"/>
      <c r="CK185" s="222"/>
      <c r="CL185" s="222"/>
      <c r="CM185" s="222"/>
      <c r="CN185" s="195"/>
      <c r="CO185" s="195"/>
      <c r="CP185" s="195"/>
      <c r="CQ185" s="195"/>
      <c r="CR185" s="195"/>
      <c r="CS185" s="206"/>
      <c r="CT185" s="206"/>
      <c r="CU185" s="206"/>
      <c r="CV185" s="206"/>
      <c r="CW185" s="206"/>
      <c r="CX185" s="206"/>
    </row>
    <row r="186" spans="1:102">
      <c r="A186" s="237" t="s">
        <v>276</v>
      </c>
      <c r="B186" s="237">
        <f>B164</f>
        <v>2007</v>
      </c>
      <c r="C186" s="237"/>
      <c r="D186" s="237"/>
      <c r="E186" s="237"/>
      <c r="F186" s="237"/>
      <c r="G186" s="237">
        <f>B186+1</f>
        <v>2008</v>
      </c>
      <c r="H186" s="237"/>
      <c r="I186" s="237"/>
      <c r="J186" s="237"/>
      <c r="K186" s="237"/>
      <c r="L186" s="237">
        <f>G186+1</f>
        <v>2009</v>
      </c>
      <c r="M186" s="237"/>
      <c r="N186" s="237"/>
      <c r="O186" s="237"/>
      <c r="P186" s="237"/>
      <c r="Q186" s="237">
        <f>L186+1</f>
        <v>2010</v>
      </c>
      <c r="R186" s="237"/>
      <c r="S186" s="237"/>
      <c r="T186" s="237"/>
      <c r="U186" s="237"/>
      <c r="V186" s="237">
        <f>Q186+1</f>
        <v>2011</v>
      </c>
      <c r="W186" s="237"/>
      <c r="X186" s="237"/>
      <c r="Y186" s="237"/>
      <c r="Z186" s="237"/>
      <c r="AA186" s="237">
        <f>V186+1</f>
        <v>2012</v>
      </c>
      <c r="AB186" s="237"/>
      <c r="AC186" s="237"/>
      <c r="AD186" s="237"/>
      <c r="AE186" s="237"/>
      <c r="AF186" s="237">
        <f>AA186+1</f>
        <v>2013</v>
      </c>
      <c r="AG186" s="237"/>
      <c r="AH186" s="237"/>
      <c r="AI186" s="237"/>
      <c r="AJ186" s="237"/>
      <c r="AK186" s="237">
        <f>AF186+1</f>
        <v>2014</v>
      </c>
      <c r="AL186" s="237"/>
      <c r="AM186" s="237"/>
      <c r="AN186" s="237"/>
      <c r="AO186" s="237"/>
      <c r="AP186" s="237">
        <f>AK186+1</f>
        <v>2015</v>
      </c>
      <c r="AQ186" s="237"/>
      <c r="AR186" s="237"/>
      <c r="AS186" s="237"/>
      <c r="AT186" s="237"/>
      <c r="AU186" s="237">
        <f>AP186+1</f>
        <v>2016</v>
      </c>
      <c r="AV186" s="237"/>
      <c r="AW186" s="237"/>
      <c r="AX186" s="237"/>
      <c r="AY186" s="237"/>
      <c r="AZ186" s="237">
        <f>AU186+1</f>
        <v>2017</v>
      </c>
      <c r="BA186" s="237"/>
      <c r="BB186" s="237"/>
      <c r="BC186" s="237"/>
      <c r="BD186" s="237"/>
      <c r="BE186" s="237">
        <f>AZ186+1</f>
        <v>2018</v>
      </c>
      <c r="BF186" s="237"/>
      <c r="BG186" s="237"/>
      <c r="BH186" s="237"/>
      <c r="BI186" s="237"/>
      <c r="BJ186" s="237">
        <f>BE186+1</f>
        <v>2019</v>
      </c>
      <c r="BK186" s="237"/>
      <c r="BL186" s="237"/>
      <c r="BM186" s="237"/>
      <c r="BN186" s="237"/>
      <c r="BO186" s="237">
        <f>BJ186+1</f>
        <v>2020</v>
      </c>
      <c r="BP186" s="237"/>
      <c r="BQ186" s="237"/>
      <c r="BR186" s="237"/>
      <c r="BS186" s="237"/>
      <c r="BT186" s="237">
        <f>BO186+1</f>
        <v>2021</v>
      </c>
      <c r="BU186" s="237"/>
      <c r="BV186" s="237"/>
      <c r="BW186" s="237"/>
      <c r="BX186" s="237"/>
      <c r="BY186" s="237">
        <f>BT186+1</f>
        <v>2022</v>
      </c>
      <c r="BZ186" s="237"/>
      <c r="CA186" s="237"/>
      <c r="CB186" s="237"/>
      <c r="CC186" s="237"/>
      <c r="CD186" s="237">
        <f>BY186+1</f>
        <v>2023</v>
      </c>
      <c r="CE186" s="237">
        <f t="shared" ref="CE186:CI186" si="587">CD186+1</f>
        <v>2024</v>
      </c>
      <c r="CF186" s="237">
        <f t="shared" si="587"/>
        <v>2025</v>
      </c>
      <c r="CG186" s="237">
        <f t="shared" si="587"/>
        <v>2026</v>
      </c>
      <c r="CH186" s="237">
        <f t="shared" si="587"/>
        <v>2027</v>
      </c>
      <c r="CI186" s="237">
        <f t="shared" si="587"/>
        <v>2028</v>
      </c>
      <c r="CJ186" s="237">
        <f t="shared" ref="CJ186" si="588">CI186+1</f>
        <v>2029</v>
      </c>
      <c r="CK186" s="237">
        <f t="shared" ref="CK186" si="589">CJ186+1</f>
        <v>2030</v>
      </c>
      <c r="CL186" s="237">
        <f t="shared" ref="CL186:CM186" si="590">CK186+1</f>
        <v>2031</v>
      </c>
      <c r="CM186" s="237">
        <f t="shared" si="590"/>
        <v>2032</v>
      </c>
      <c r="CN186" s="195"/>
      <c r="CO186" s="195"/>
      <c r="CP186" s="195"/>
      <c r="CQ186" s="195"/>
      <c r="CR186" s="195"/>
      <c r="CS186" s="195"/>
      <c r="CT186" s="195"/>
    </row>
    <row r="187" spans="1:102">
      <c r="A187" s="276" t="s">
        <v>277</v>
      </c>
      <c r="B187" s="222"/>
      <c r="C187" s="222"/>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327"/>
      <c r="AD187" s="327"/>
      <c r="AE187" s="327"/>
      <c r="AF187" s="307"/>
      <c r="AG187" s="307"/>
      <c r="AH187" s="307"/>
      <c r="AI187" s="307">
        <v>27</v>
      </c>
      <c r="AJ187" s="307">
        <v>32</v>
      </c>
      <c r="AK187" s="307"/>
      <c r="AL187" s="307">
        <v>36</v>
      </c>
      <c r="AM187" s="307">
        <v>42</v>
      </c>
      <c r="AN187" s="307">
        <v>45</v>
      </c>
      <c r="AO187" s="307">
        <v>50</v>
      </c>
      <c r="AP187" s="327">
        <f>SUM(AL187:AO187)</f>
        <v>173</v>
      </c>
      <c r="AQ187" s="307">
        <v>52</v>
      </c>
      <c r="AR187" s="307">
        <v>64</v>
      </c>
      <c r="AS187" s="307">
        <v>83</v>
      </c>
      <c r="AT187" s="307">
        <f>AT203*AVERAGE(AT196,AS196)*AT178/1000</f>
        <v>84.366</v>
      </c>
      <c r="AU187" s="328">
        <f>SUM(AQ187:AT187)</f>
        <v>283.36599999999999</v>
      </c>
      <c r="AV187" s="307">
        <f>AV203*AVERAGE(AV196,AT196)*AV178/1000</f>
        <v>96.015000000000001</v>
      </c>
      <c r="AW187" s="307">
        <f>AW203*AVERAGE(AW196,AU196)*AW178/1000</f>
        <v>129.51599999999996</v>
      </c>
      <c r="AX187" s="307">
        <f>AX203*AVERAGE(AX196,AV196)*AX178/1000</f>
        <v>141.70650000000001</v>
      </c>
      <c r="AY187" s="307">
        <f>AY203*AVERAGE(AY196,AW196)*AY178/1000</f>
        <v>168.33600000000001</v>
      </c>
      <c r="AZ187" s="328">
        <f>AZ203*AVERAGE(AZ196,AU196)*AZ178/1000</f>
        <v>533.11049999999989</v>
      </c>
      <c r="BA187" s="307">
        <f>BA203*AVERAGE(BA196,AY196)*BA178/1000</f>
        <v>185.89500000000001</v>
      </c>
      <c r="BB187" s="307">
        <f>BB203*AVERAGE(BB196,AZ196)*BB178/1000</f>
        <v>223.36799999999999</v>
      </c>
      <c r="BC187" s="307">
        <f>BC203*AVERAGE(BC196,BA196)*BC178/1000</f>
        <v>260.88150000000002</v>
      </c>
      <c r="BD187" s="307">
        <f>BD203*AVERAGE(BD196,BB196)*BD178/1000</f>
        <v>271.90800000000002</v>
      </c>
      <c r="BE187" s="328">
        <f>BE203*AVERAGE(BE196,AZ196)*BE178/1000</f>
        <v>954.16800000000001</v>
      </c>
      <c r="BF187" s="307">
        <f>BF203*AVERAGE(BF196,BD196)*BF178/1000</f>
        <v>294.83999999999997</v>
      </c>
      <c r="BG187" s="307">
        <f>BG203*AVERAGE(BG196,BE196)*BG178/1000</f>
        <v>344.48399999999998</v>
      </c>
      <c r="BH187" s="307">
        <f>BH203*AVERAGE(BH196,BF196)*BH178/1000</f>
        <v>384.30599999999998</v>
      </c>
      <c r="BI187" s="307">
        <f>BI203*AVERAGE(BI196,BG196)*BI178/1000</f>
        <v>384.49349999999998</v>
      </c>
      <c r="BJ187" s="328">
        <f>BJ203*AVERAGE(BJ196,BE196)*BJ178/1000</f>
        <v>1424.088</v>
      </c>
      <c r="BK187" s="307">
        <f>BK203*AVERAGE(BK196,BI196)*BK178/1000</f>
        <v>428.65499999999997</v>
      </c>
      <c r="BL187" s="307">
        <f>BL203*AVERAGE(BL196,BJ196)*BL178/1000</f>
        <v>540.44550000000004</v>
      </c>
      <c r="BM187" s="307">
        <f>BM203*AVERAGE(BM196,BK196)*BM178/1000</f>
        <v>494.07150000000001</v>
      </c>
      <c r="BN187" s="307">
        <f>BN203*AVERAGE(BN196,BL196)*BN178/1000</f>
        <v>535.35</v>
      </c>
      <c r="BO187" s="328">
        <f>BO203*AVERAGE(BO196,BJ196)*BO178/1000</f>
        <v>2050.6499999999996</v>
      </c>
      <c r="BP187" s="307">
        <f>BP203*AVERAGE(BP196,BN196)*BP178/1000</f>
        <v>572.94899999999984</v>
      </c>
      <c r="BQ187" s="307">
        <f>BQ203*AVERAGE(BQ196,BO196)*BQ178/1000</f>
        <v>633.17999999999995</v>
      </c>
      <c r="BR187" s="307">
        <f>BR203*AVERAGE(BR196,BP196)*BR178/1000</f>
        <v>662.95349999999996</v>
      </c>
      <c r="BS187" s="307">
        <f>BS203*AVERAGE(BS196,BQ196)*BS178/1000</f>
        <v>622.20000000000005</v>
      </c>
      <c r="BT187" s="328">
        <f>BT203*AVERAGE(BT196,BO196)*BT178/1000</f>
        <v>2474.3325</v>
      </c>
      <c r="BU187" s="307">
        <f>BU203*AVERAGE(BU196,BS196)*BU178/1000</f>
        <v>617.1</v>
      </c>
      <c r="BV187" s="307">
        <f>BV203*AVERAGE(BV196,BT196)*BV178/1000</f>
        <v>317.47500000000002</v>
      </c>
      <c r="BW187" s="307">
        <f>BW203*AVERAGE(BW196,BU196)*BW178/1000</f>
        <v>335.32499999999999</v>
      </c>
      <c r="BX187" s="307">
        <f>BX203*AVERAGE(BX196,BV196)*BX178/1000</f>
        <v>0</v>
      </c>
      <c r="BY187" s="328">
        <f>BY203*AVERAGE(BY196,BT196)*BY178/1000</f>
        <v>1300.5</v>
      </c>
      <c r="BZ187" s="307">
        <f>BZ203*AVERAGE(BZ196,BX196)*BZ178/1000</f>
        <v>0</v>
      </c>
      <c r="CA187" s="307">
        <f>CA203*AVERAGE(CA196,BY196)*CA178/1000</f>
        <v>0</v>
      </c>
      <c r="CB187" s="307">
        <f>CB203*AVERAGE(CB196,BZ196)*CB178/1000</f>
        <v>0</v>
      </c>
      <c r="CC187" s="307">
        <f>CC203*AVERAGE(CC196,CA196)*CC178/1000</f>
        <v>0</v>
      </c>
      <c r="CD187" s="328">
        <f>CD203*AVERAGE(CD196,BY196)*CD178/1000</f>
        <v>0</v>
      </c>
      <c r="CE187" s="328">
        <f t="shared" ref="CE187:CI187" si="591">CE203*AVERAGE(CE196,CD196)*CE178/1000</f>
        <v>0</v>
      </c>
      <c r="CF187" s="328">
        <f t="shared" si="591"/>
        <v>0</v>
      </c>
      <c r="CG187" s="328">
        <f t="shared" si="591"/>
        <v>0</v>
      </c>
      <c r="CH187" s="328">
        <f t="shared" si="591"/>
        <v>0</v>
      </c>
      <c r="CI187" s="328">
        <f t="shared" si="591"/>
        <v>0</v>
      </c>
      <c r="CJ187" s="328">
        <f t="shared" ref="CJ187" si="592">CJ203*AVERAGE(CJ196,CI196)*CJ178/1000</f>
        <v>0</v>
      </c>
      <c r="CK187" s="328">
        <f t="shared" ref="CK187" si="593">CK203*AVERAGE(CK196,CJ196)*CK178/1000</f>
        <v>0</v>
      </c>
      <c r="CL187" s="328">
        <f t="shared" ref="CL187:CM187" si="594">CL203*AVERAGE(CL196,CK196)*CL178/1000</f>
        <v>0</v>
      </c>
      <c r="CM187" s="328">
        <f t="shared" si="594"/>
        <v>0</v>
      </c>
      <c r="CN187" s="195"/>
      <c r="CO187" s="195"/>
      <c r="CP187" s="195"/>
      <c r="CQ187" s="195"/>
      <c r="CR187" s="195"/>
      <c r="CS187" s="206"/>
      <c r="CT187" s="206"/>
      <c r="CU187" s="206"/>
      <c r="CV187" s="206"/>
      <c r="CW187" s="206"/>
      <c r="CX187" s="206"/>
    </row>
    <row r="188" spans="1:102">
      <c r="A188" s="276" t="s">
        <v>61</v>
      </c>
      <c r="B188" s="222"/>
      <c r="C188" s="222"/>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f t="shared" ref="AQ188:CC188" si="595">AQ187/AL187-1</f>
        <v>0.44444444444444442</v>
      </c>
      <c r="AR188" s="222">
        <f t="shared" si="595"/>
        <v>0.52380952380952372</v>
      </c>
      <c r="AS188" s="222">
        <f t="shared" si="595"/>
        <v>0.84444444444444455</v>
      </c>
      <c r="AT188" s="222">
        <f t="shared" si="595"/>
        <v>0.68731999999999993</v>
      </c>
      <c r="AU188" s="222">
        <f t="shared" si="595"/>
        <v>0.63795375722543346</v>
      </c>
      <c r="AV188" s="222">
        <f t="shared" si="595"/>
        <v>0.84644230769230777</v>
      </c>
      <c r="AW188" s="222">
        <f t="shared" si="595"/>
        <v>1.0236874999999994</v>
      </c>
      <c r="AX188" s="222">
        <f t="shared" si="595"/>
        <v>0.70730722891566278</v>
      </c>
      <c r="AY188" s="222">
        <f t="shared" si="595"/>
        <v>0.99530616599103916</v>
      </c>
      <c r="AZ188" s="222">
        <f t="shared" si="595"/>
        <v>0.88134956205049275</v>
      </c>
      <c r="BA188" s="222">
        <f t="shared" si="595"/>
        <v>0.93610373379159517</v>
      </c>
      <c r="BB188" s="222">
        <f t="shared" si="595"/>
        <v>0.72463633836746077</v>
      </c>
      <c r="BC188" s="222">
        <f t="shared" si="595"/>
        <v>0.84099882503625456</v>
      </c>
      <c r="BD188" s="222">
        <f t="shared" si="595"/>
        <v>0.61526946107784419</v>
      </c>
      <c r="BE188" s="222">
        <f t="shared" si="595"/>
        <v>0.78981280616307536</v>
      </c>
      <c r="BF188" s="222">
        <f t="shared" si="595"/>
        <v>0.58605664488017406</v>
      </c>
      <c r="BG188" s="222">
        <f t="shared" si="595"/>
        <v>0.5422262812936498</v>
      </c>
      <c r="BH188" s="222">
        <f t="shared" si="595"/>
        <v>0.47310560541855184</v>
      </c>
      <c r="BI188" s="222">
        <f t="shared" si="595"/>
        <v>0.41405732821395458</v>
      </c>
      <c r="BJ188" s="222">
        <f>BJ187/BE187-1</f>
        <v>0.49249188822094214</v>
      </c>
      <c r="BK188" s="222">
        <f t="shared" si="595"/>
        <v>0.45385632885632887</v>
      </c>
      <c r="BL188" s="222">
        <f t="shared" si="595"/>
        <v>0.56885515727871261</v>
      </c>
      <c r="BM188" s="222">
        <f t="shared" si="595"/>
        <v>0.28562005277044866</v>
      </c>
      <c r="BN188" s="222">
        <f t="shared" si="595"/>
        <v>0.39235123610672229</v>
      </c>
      <c r="BO188" s="222">
        <f>BO187/BJ187-1</f>
        <v>0.43997421507659618</v>
      </c>
      <c r="BP188" s="222">
        <f t="shared" si="595"/>
        <v>0.33662035902998877</v>
      </c>
      <c r="BQ188" s="222">
        <f t="shared" si="595"/>
        <v>0.17158899463498156</v>
      </c>
      <c r="BR188" s="222">
        <f t="shared" si="595"/>
        <v>0.34181692325908286</v>
      </c>
      <c r="BS188" s="222">
        <f t="shared" si="595"/>
        <v>0.16223031661529852</v>
      </c>
      <c r="BT188" s="222">
        <f>BT187/BO187-1</f>
        <v>0.2066088801111845</v>
      </c>
      <c r="BU188" s="222">
        <f t="shared" si="595"/>
        <v>7.7059214694501943E-2</v>
      </c>
      <c r="BV188" s="222">
        <f t="shared" si="595"/>
        <v>-0.49860229318677141</v>
      </c>
      <c r="BW188" s="222">
        <f t="shared" si="595"/>
        <v>-0.49419529424009379</v>
      </c>
      <c r="BX188" s="222">
        <f t="shared" si="595"/>
        <v>-1</v>
      </c>
      <c r="BY188" s="222">
        <f>BY187/BT187-1</f>
        <v>-0.47440370281682032</v>
      </c>
      <c r="BZ188" s="222">
        <f t="shared" si="595"/>
        <v>-1</v>
      </c>
      <c r="CA188" s="222">
        <f t="shared" si="595"/>
        <v>-1</v>
      </c>
      <c r="CB188" s="222">
        <f t="shared" si="595"/>
        <v>-1</v>
      </c>
      <c r="CC188" s="222" t="e">
        <f t="shared" si="595"/>
        <v>#DIV/0!</v>
      </c>
      <c r="CD188" s="222">
        <f>CD187/BY187-1</f>
        <v>-1</v>
      </c>
      <c r="CE188" s="222" t="e">
        <f t="shared" ref="CE188:CI188" si="596">CE187/CD187-1</f>
        <v>#DIV/0!</v>
      </c>
      <c r="CF188" s="222" t="e">
        <f t="shared" si="596"/>
        <v>#DIV/0!</v>
      </c>
      <c r="CG188" s="222" t="e">
        <f t="shared" si="596"/>
        <v>#DIV/0!</v>
      </c>
      <c r="CH188" s="222" t="e">
        <f t="shared" si="596"/>
        <v>#DIV/0!</v>
      </c>
      <c r="CI188" s="222" t="e">
        <f t="shared" si="596"/>
        <v>#DIV/0!</v>
      </c>
      <c r="CJ188" s="222" t="e">
        <f t="shared" ref="CJ188" si="597">CJ187/CI187-1</f>
        <v>#DIV/0!</v>
      </c>
      <c r="CK188" s="222" t="e">
        <f t="shared" ref="CK188" si="598">CK187/CJ187-1</f>
        <v>#DIV/0!</v>
      </c>
      <c r="CL188" s="222" t="e">
        <f t="shared" ref="CL188:CM188" si="599">CL187/CK187-1</f>
        <v>#DIV/0!</v>
      </c>
      <c r="CM188" s="222" t="e">
        <f t="shared" si="599"/>
        <v>#DIV/0!</v>
      </c>
      <c r="CN188" s="195"/>
      <c r="CO188" s="195"/>
      <c r="CP188" s="195"/>
      <c r="CQ188" s="195"/>
      <c r="CR188" s="195"/>
      <c r="CS188" s="206"/>
      <c r="CT188" s="206"/>
      <c r="CU188" s="206"/>
      <c r="CV188" s="206"/>
      <c r="CW188" s="206"/>
      <c r="CX188" s="206"/>
    </row>
    <row r="189" spans="1:102">
      <c r="A189" s="276" t="s">
        <v>278</v>
      </c>
      <c r="B189" s="222"/>
      <c r="C189" s="222"/>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c r="AC189" s="307"/>
      <c r="AD189" s="307"/>
      <c r="AE189" s="307"/>
      <c r="AF189" s="307"/>
      <c r="AG189" s="307"/>
      <c r="AH189" s="307"/>
      <c r="AI189" s="307"/>
      <c r="AJ189" s="307"/>
      <c r="AK189" s="307"/>
      <c r="AL189" s="307"/>
      <c r="AM189" s="307"/>
      <c r="AN189" s="307"/>
      <c r="AO189" s="307"/>
      <c r="AP189" s="307"/>
      <c r="AQ189" s="307"/>
      <c r="AR189" s="307"/>
      <c r="AS189" s="307"/>
      <c r="AT189" s="307"/>
      <c r="AU189" s="328">
        <f>13.4/1.15</f>
        <v>11.65217391304348</v>
      </c>
      <c r="AV189" s="328"/>
      <c r="AW189" s="328"/>
      <c r="AX189" s="328"/>
      <c r="AY189" s="328"/>
      <c r="AZ189" s="328">
        <f>AU189*(1+AZ190)</f>
        <v>7.9234782608695662</v>
      </c>
      <c r="BA189" s="328"/>
      <c r="BB189" s="328"/>
      <c r="BC189" s="328"/>
      <c r="BD189" s="328"/>
      <c r="BE189" s="328">
        <f>AZ189*(1+BE190)</f>
        <v>6.5764869565217392</v>
      </c>
      <c r="BF189" s="328"/>
      <c r="BG189" s="328"/>
      <c r="BH189" s="328"/>
      <c r="BI189" s="328"/>
      <c r="BJ189" s="328">
        <f>BE189*(1+BJ190)</f>
        <v>5.5143843130434789</v>
      </c>
      <c r="BK189" s="328"/>
      <c r="BL189" s="328"/>
      <c r="BM189" s="328"/>
      <c r="BN189" s="328"/>
      <c r="BO189" s="328">
        <f>BJ189*(1+BO190)</f>
        <v>4.6683398998147831</v>
      </c>
      <c r="BP189" s="328"/>
      <c r="BQ189" s="328"/>
      <c r="BR189" s="328"/>
      <c r="BS189" s="328"/>
      <c r="BT189" s="328">
        <f>BO189*(1+BT190)</f>
        <v>3.9879118531421542</v>
      </c>
      <c r="BU189" s="329"/>
      <c r="BV189" s="329"/>
      <c r="BW189" s="329"/>
      <c r="BX189" s="329"/>
      <c r="BY189" s="328">
        <f>BT189*(1+BY190)</f>
        <v>3.4357214012404818</v>
      </c>
      <c r="BZ189" s="329"/>
      <c r="CA189" s="329"/>
      <c r="CB189" s="329"/>
      <c r="CC189" s="329"/>
      <c r="CD189" s="328">
        <f>BY189*(1+CD190)</f>
        <v>3.0789232905329174</v>
      </c>
      <c r="CE189" s="328">
        <f t="shared" ref="CE189:CI189" si="600">CD189*(1+CE190)</f>
        <v>2.8231274596651352</v>
      </c>
      <c r="CF189" s="328">
        <f t="shared" si="600"/>
        <v>2.6354919348929151</v>
      </c>
      <c r="CG189" s="328">
        <f t="shared" si="600"/>
        <v>2.4953602775584658</v>
      </c>
      <c r="CH189" s="328">
        <f t="shared" si="600"/>
        <v>2.3892157003852397</v>
      </c>
      <c r="CI189" s="328">
        <f t="shared" si="600"/>
        <v>2.2875861711450147</v>
      </c>
      <c r="CJ189" s="328">
        <f t="shared" ref="CJ189" si="601">CI189*(1+CJ190)</f>
        <v>2.1902796342624593</v>
      </c>
      <c r="CK189" s="328">
        <f t="shared" ref="CK189" si="602">CJ189*(1+CK190)</f>
        <v>2.0971122035869225</v>
      </c>
      <c r="CL189" s="328">
        <f t="shared" ref="CL189:CM189" si="603">CK189*(1+CL190)</f>
        <v>2.0079078148914586</v>
      </c>
      <c r="CM189" s="328">
        <f t="shared" si="603"/>
        <v>1.9224978931534236</v>
      </c>
      <c r="CN189" s="195"/>
      <c r="CO189" s="195"/>
      <c r="CP189" s="195"/>
      <c r="CQ189" s="195"/>
      <c r="CR189" s="195"/>
      <c r="CS189" s="206"/>
      <c r="CT189" s="206"/>
      <c r="CU189" s="206"/>
      <c r="CV189" s="206"/>
      <c r="CW189" s="206"/>
      <c r="CX189" s="206"/>
    </row>
    <row r="190" spans="1:102">
      <c r="A190" s="276" t="s">
        <v>279</v>
      </c>
      <c r="B190" s="222"/>
      <c r="C190" s="222"/>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330">
        <v>-0.32</v>
      </c>
      <c r="BA190" s="222"/>
      <c r="BB190" s="222"/>
      <c r="BC190" s="222"/>
      <c r="BD190" s="222"/>
      <c r="BE190" s="330">
        <v>-0.17</v>
      </c>
      <c r="BF190" s="222"/>
      <c r="BG190" s="222"/>
      <c r="BH190" s="222"/>
      <c r="BI190" s="222"/>
      <c r="BJ190" s="330">
        <f>BE190*0.95</f>
        <v>-0.1615</v>
      </c>
      <c r="BK190" s="222"/>
      <c r="BL190" s="222"/>
      <c r="BM190" s="222"/>
      <c r="BN190" s="222"/>
      <c r="BO190" s="330">
        <f>BJ190*0.95</f>
        <v>-0.15342500000000001</v>
      </c>
      <c r="BP190" s="222"/>
      <c r="BQ190" s="222"/>
      <c r="BR190" s="222"/>
      <c r="BS190" s="222"/>
      <c r="BT190" s="330">
        <f>BO190*0.95</f>
        <v>-0.14575374999999999</v>
      </c>
      <c r="BU190" s="222"/>
      <c r="BV190" s="222"/>
      <c r="BW190" s="222"/>
      <c r="BX190" s="222"/>
      <c r="BY190" s="330">
        <f>BT190*0.95</f>
        <v>-0.13846606249999999</v>
      </c>
      <c r="BZ190" s="222"/>
      <c r="CA190" s="222"/>
      <c r="CB190" s="222"/>
      <c r="CC190" s="222"/>
      <c r="CD190" s="331">
        <f>BY190*0.75</f>
        <v>-0.10384954687499999</v>
      </c>
      <c r="CE190" s="331">
        <f>CD190*0.8</f>
        <v>-8.3079637499999998E-2</v>
      </c>
      <c r="CF190" s="331">
        <f>CE190*0.8</f>
        <v>-6.6463709999999995E-2</v>
      </c>
      <c r="CG190" s="331">
        <f>CF190*0.8</f>
        <v>-5.3170967999999999E-2</v>
      </c>
      <c r="CH190" s="331">
        <f>CG190*0.8</f>
        <v>-4.2536774400000005E-2</v>
      </c>
      <c r="CI190" s="331">
        <f>CH190</f>
        <v>-4.2536774400000005E-2</v>
      </c>
      <c r="CJ190" s="331">
        <f t="shared" ref="CJ190:CL190" si="604">CI190</f>
        <v>-4.2536774400000005E-2</v>
      </c>
      <c r="CK190" s="331">
        <f t="shared" si="604"/>
        <v>-4.2536774400000005E-2</v>
      </c>
      <c r="CL190" s="331">
        <f t="shared" si="604"/>
        <v>-4.2536774400000005E-2</v>
      </c>
      <c r="CM190" s="331">
        <f t="shared" ref="CM190" si="605">CL190</f>
        <v>-4.2536774400000005E-2</v>
      </c>
      <c r="CN190" s="195"/>
      <c r="CO190" s="195"/>
      <c r="CP190" s="195"/>
      <c r="CQ190" s="195"/>
      <c r="CR190" s="195"/>
      <c r="CS190" s="206"/>
      <c r="CT190" s="206"/>
      <c r="CU190" s="206"/>
      <c r="CV190" s="206"/>
      <c r="CW190" s="206"/>
      <c r="CX190" s="206"/>
    </row>
    <row r="191" spans="1:102">
      <c r="A191" s="276" t="s">
        <v>280</v>
      </c>
      <c r="B191" s="222"/>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22">
        <v>0.29460323033707858</v>
      </c>
      <c r="BA191" s="222"/>
      <c r="BB191" s="222"/>
      <c r="BC191" s="222"/>
      <c r="BD191" s="222"/>
      <c r="BE191" s="222">
        <v>0.17676193820224714</v>
      </c>
      <c r="BF191" s="222"/>
      <c r="BG191" s="222"/>
      <c r="BH191" s="222"/>
      <c r="BI191" s="222"/>
      <c r="BJ191" s="222">
        <v>0.16792384129213478</v>
      </c>
      <c r="BK191" s="222"/>
      <c r="BL191" s="222"/>
      <c r="BM191" s="222"/>
      <c r="BN191" s="222"/>
      <c r="BO191" s="222">
        <v>0.16792384129213478</v>
      </c>
      <c r="BP191" s="222"/>
      <c r="BQ191" s="222"/>
      <c r="BR191" s="222"/>
      <c r="BS191" s="222"/>
      <c r="BT191" s="222"/>
      <c r="BU191" s="222"/>
      <c r="BV191" s="222"/>
      <c r="BW191" s="222"/>
      <c r="BX191" s="222"/>
      <c r="BY191" s="222"/>
      <c r="BZ191" s="222"/>
      <c r="CA191" s="222"/>
      <c r="CB191" s="222"/>
      <c r="CC191" s="222"/>
      <c r="CD191" s="222">
        <v>0.13613026067415701</v>
      </c>
      <c r="CE191" s="222">
        <v>0.12835328777431501</v>
      </c>
      <c r="CF191" s="222">
        <v>0.120576314874473</v>
      </c>
      <c r="CG191" s="222">
        <v>0.112799341974631</v>
      </c>
      <c r="CH191" s="222">
        <v>0.105022369074789</v>
      </c>
      <c r="CI191" s="222">
        <v>9.7245396174947193E-2</v>
      </c>
      <c r="CJ191" s="222">
        <v>9.7245396174947193E-2</v>
      </c>
      <c r="CK191" s="222">
        <v>9.7245396174947193E-2</v>
      </c>
      <c r="CL191" s="222">
        <v>9.7245396174947193E-2</v>
      </c>
      <c r="CM191" s="222">
        <v>9.7245396174947193E-2</v>
      </c>
      <c r="CN191" s="195"/>
      <c r="CO191" s="195"/>
      <c r="CP191" s="195"/>
      <c r="CQ191" s="195"/>
      <c r="CR191" s="195"/>
      <c r="CS191" s="206"/>
      <c r="CT191" s="206"/>
      <c r="CU191" s="206"/>
      <c r="CV191" s="206"/>
      <c r="CW191" s="206"/>
      <c r="CX191" s="206"/>
    </row>
    <row r="192" spans="1:102">
      <c r="A192" s="276"/>
      <c r="B192" s="222"/>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222"/>
      <c r="BF192" s="222"/>
      <c r="BG192" s="222"/>
      <c r="BH192" s="222"/>
      <c r="BI192" s="222"/>
      <c r="BJ192" s="222"/>
      <c r="BK192" s="222"/>
      <c r="BL192" s="222"/>
      <c r="BM192" s="222"/>
      <c r="BN192" s="222"/>
      <c r="BO192" s="222"/>
      <c r="BP192" s="222"/>
      <c r="BQ192" s="222"/>
      <c r="BR192" s="222"/>
      <c r="BS192" s="222"/>
      <c r="BT192" s="222"/>
      <c r="BU192" s="222"/>
      <c r="BV192" s="222"/>
      <c r="BW192" s="222"/>
      <c r="BX192" s="222"/>
      <c r="BY192" s="222"/>
      <c r="BZ192" s="222"/>
      <c r="CA192" s="222"/>
      <c r="CB192" s="222"/>
      <c r="CC192" s="222"/>
      <c r="CD192" s="222"/>
      <c r="CE192" s="222"/>
      <c r="CF192" s="222"/>
      <c r="CG192" s="222"/>
      <c r="CH192" s="222"/>
      <c r="CI192" s="222"/>
      <c r="CJ192" s="222"/>
      <c r="CK192" s="222"/>
      <c r="CL192" s="222"/>
      <c r="CM192" s="222"/>
      <c r="CN192" s="195"/>
      <c r="CO192" s="195"/>
      <c r="CP192" s="195"/>
      <c r="CQ192" s="195"/>
      <c r="CR192" s="195"/>
      <c r="CS192" s="206"/>
      <c r="CT192" s="206"/>
      <c r="CU192" s="206"/>
      <c r="CV192" s="206"/>
      <c r="CW192" s="206"/>
      <c r="CX192" s="206"/>
    </row>
    <row r="193" spans="1:102">
      <c r="A193" s="276" t="s">
        <v>675</v>
      </c>
      <c r="B193" s="222"/>
      <c r="C193" s="222"/>
      <c r="D193" s="222"/>
      <c r="E193" s="222"/>
      <c r="F193" s="222"/>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332">
        <f>AV199*3*AVERAGE(AU116:AV116)/1000</f>
        <v>151.51851000000002</v>
      </c>
      <c r="AW193" s="332">
        <f>AW199*3*AVERAGE(AV116:AW116)/1000</f>
        <v>174.05595</v>
      </c>
      <c r="AX193" s="332">
        <f>AX199*3*AVERAGE(AW116:AX116)/1000</f>
        <v>189.492615</v>
      </c>
      <c r="AY193" s="332">
        <f>AY199*3*AVERAGE(AX116:AY116)/1000</f>
        <v>222.08256</v>
      </c>
      <c r="AZ193" s="222"/>
      <c r="BA193" s="332">
        <f>BA199*3*AVERAGE(AZ116:BA116)/1000</f>
        <v>248.34195000000005</v>
      </c>
      <c r="BB193" s="332">
        <f>BB199*3*AVERAGE(BA116:BB116)/1000</f>
        <v>292.13538</v>
      </c>
      <c r="BC193" s="332">
        <f>BC199*3*AVERAGE(BB116:BC116)/1000</f>
        <v>344.79571499999997</v>
      </c>
      <c r="BD193" s="332">
        <f>BD199*3*AVERAGE(BC116:BD116)/1000</f>
        <v>353.30021999999997</v>
      </c>
      <c r="BE193" s="222"/>
      <c r="BF193" s="332">
        <f>BF199*3*AVERAGE(BE116:BF116)/1000</f>
        <v>377.78129999999993</v>
      </c>
      <c r="BG193" s="332">
        <f>BG199*3*AVERAGE(BF116:BG116)/1000</f>
        <v>444.26132999999993</v>
      </c>
      <c r="BH193" s="332">
        <f>BH199*3*AVERAGE(BG116:BH116)/1000</f>
        <v>498.98382000000004</v>
      </c>
      <c r="BI193" s="332">
        <f>BI199*3*AVERAGE(BH116:BI116)/1000</f>
        <v>498.53742</v>
      </c>
      <c r="BJ193" s="222"/>
      <c r="BK193" s="332">
        <f>BK199*3*AVERAGE(BJ116:BK116)/1000</f>
        <v>563.580465</v>
      </c>
      <c r="BL193" s="332">
        <f>BL199*3*AVERAGE(BK116:BL116)/1000</f>
        <v>722.23745999999994</v>
      </c>
      <c r="BM193" s="332">
        <f>BM199*3*AVERAGE(BL116:BM116)/1000</f>
        <v>661.67575499999998</v>
      </c>
      <c r="BN193" s="332">
        <f>BN199*3*AVERAGE(BM116:BN116)/1000</f>
        <v>688.92075</v>
      </c>
      <c r="BO193" s="222"/>
      <c r="BP193" s="332">
        <f>BP199*3*AVERAGE(BO116:BP116)/1000</f>
        <v>728.42210999999998</v>
      </c>
      <c r="BQ193" s="332">
        <f t="shared" ref="BQ193:CC193" si="606">BQ199*3*AVERAGE(BP116:BQ116)/1000</f>
        <v>836.8223999999999</v>
      </c>
      <c r="BR193" s="332">
        <f t="shared" si="606"/>
        <v>858.99297000000001</v>
      </c>
      <c r="BS193" s="332">
        <f t="shared" si="606"/>
        <v>843.95939999999996</v>
      </c>
      <c r="BT193" s="222"/>
      <c r="BU193" s="332">
        <f t="shared" si="606"/>
        <v>836.13419999999996</v>
      </c>
      <c r="BV193" s="332">
        <f t="shared" si="606"/>
        <v>857.66804999999977</v>
      </c>
      <c r="BW193" s="332">
        <f t="shared" si="606"/>
        <v>915.75285000000008</v>
      </c>
      <c r="BX193" s="332">
        <f t="shared" si="606"/>
        <v>933.81960000000004</v>
      </c>
      <c r="BY193" s="222"/>
      <c r="BZ193" s="332">
        <f t="shared" si="606"/>
        <v>889.32060000000001</v>
      </c>
      <c r="CA193" s="332">
        <f t="shared" si="606"/>
        <v>921.66930000000013</v>
      </c>
      <c r="CB193" s="332">
        <f t="shared" si="606"/>
        <v>958.83704999999986</v>
      </c>
      <c r="CC193" s="332">
        <f t="shared" si="606"/>
        <v>1022.5257</v>
      </c>
      <c r="CD193" s="222"/>
      <c r="CE193" s="222"/>
      <c r="CF193" s="222"/>
      <c r="CG193" s="222"/>
      <c r="CH193" s="222"/>
      <c r="CI193" s="222"/>
      <c r="CJ193" s="222"/>
      <c r="CK193" s="222"/>
      <c r="CL193" s="222"/>
      <c r="CM193" s="222"/>
      <c r="CN193" s="195"/>
      <c r="CO193" s="195"/>
      <c r="CP193" s="195"/>
      <c r="CQ193" s="195"/>
      <c r="CR193" s="195"/>
      <c r="CS193" s="206"/>
      <c r="CT193" s="206"/>
      <c r="CU193" s="206"/>
      <c r="CV193" s="206"/>
      <c r="CW193" s="206"/>
      <c r="CX193" s="206"/>
    </row>
    <row r="194" spans="1:102">
      <c r="A194" s="276"/>
      <c r="B194" s="222"/>
      <c r="C194" s="222"/>
      <c r="D194" s="222"/>
      <c r="E194" s="222"/>
      <c r="F194" s="222"/>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222"/>
      <c r="BF194" s="222"/>
      <c r="BG194" s="222"/>
      <c r="BH194" s="222"/>
      <c r="BI194" s="222"/>
      <c r="BJ194" s="222"/>
      <c r="BK194" s="222"/>
      <c r="BL194" s="222"/>
      <c r="BM194" s="222"/>
      <c r="BN194" s="222"/>
      <c r="BO194" s="222"/>
      <c r="BP194" s="222"/>
      <c r="BQ194" s="222"/>
      <c r="BR194" s="222"/>
      <c r="BS194" s="222"/>
      <c r="BT194" s="222"/>
      <c r="BU194" s="222"/>
      <c r="BV194" s="222"/>
      <c r="BW194" s="222"/>
      <c r="BX194" s="222"/>
      <c r="BY194" s="222"/>
      <c r="BZ194" s="222"/>
      <c r="CA194" s="222"/>
      <c r="CB194" s="222"/>
      <c r="CC194" s="222"/>
      <c r="CD194" s="222"/>
      <c r="CE194" s="222"/>
      <c r="CF194" s="222"/>
      <c r="CG194" s="222"/>
      <c r="CH194" s="222"/>
      <c r="CI194" s="222"/>
      <c r="CJ194" s="222"/>
      <c r="CK194" s="222"/>
      <c r="CL194" s="222"/>
      <c r="CM194" s="222"/>
      <c r="CN194" s="195"/>
      <c r="CO194" s="195"/>
      <c r="CP194" s="195"/>
      <c r="CQ194" s="195"/>
      <c r="CR194" s="195"/>
      <c r="CS194" s="206"/>
      <c r="CT194" s="206"/>
      <c r="CU194" s="206"/>
      <c r="CV194" s="206"/>
      <c r="CW194" s="206"/>
      <c r="CX194" s="206"/>
    </row>
    <row r="195" spans="1:102">
      <c r="A195" s="276"/>
      <c r="B195" s="222"/>
      <c r="C195" s="222"/>
      <c r="D195" s="222"/>
      <c r="E195" s="222"/>
      <c r="F195" s="222"/>
      <c r="G195" s="222"/>
      <c r="H195" s="222"/>
      <c r="I195" s="222"/>
      <c r="J195" s="222"/>
      <c r="K195" s="222"/>
      <c r="L195" s="222"/>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2"/>
      <c r="AL195" s="222"/>
      <c r="AM195" s="222"/>
      <c r="AN195" s="222"/>
      <c r="AO195" s="222"/>
      <c r="AP195" s="222"/>
      <c r="AQ195" s="222"/>
      <c r="AR195" s="222"/>
      <c r="AS195" s="222"/>
      <c r="AT195" s="222"/>
      <c r="AU195" s="222"/>
      <c r="AV195" s="222"/>
      <c r="AW195" s="222"/>
      <c r="AX195" s="222"/>
      <c r="AY195" s="222"/>
      <c r="AZ195" s="222"/>
      <c r="BA195" s="222"/>
      <c r="BB195" s="222"/>
      <c r="BC195" s="222"/>
      <c r="BD195" s="222"/>
      <c r="BE195" s="222"/>
      <c r="BF195" s="222"/>
      <c r="BG195" s="222"/>
      <c r="BH195" s="222"/>
      <c r="BI195" s="222"/>
      <c r="BJ195" s="222"/>
      <c r="BK195" s="222"/>
      <c r="BL195" s="222"/>
      <c r="BM195" s="222"/>
      <c r="BN195" s="222"/>
      <c r="BO195" s="222"/>
      <c r="BP195" s="222"/>
      <c r="BQ195" s="222"/>
      <c r="BR195" s="222"/>
      <c r="BS195" s="222"/>
      <c r="BT195" s="222"/>
      <c r="BU195" s="222"/>
      <c r="BV195" s="222"/>
      <c r="BW195" s="222"/>
      <c r="BX195" s="222"/>
      <c r="BY195" s="222"/>
      <c r="BZ195" s="222"/>
      <c r="CA195" s="222"/>
      <c r="CB195" s="222"/>
      <c r="CC195" s="222"/>
      <c r="CD195" s="222"/>
      <c r="CE195" s="222"/>
      <c r="CF195" s="222"/>
      <c r="CG195" s="222"/>
      <c r="CH195" s="222"/>
      <c r="CI195" s="222"/>
      <c r="CJ195" s="222"/>
      <c r="CK195" s="222"/>
      <c r="CL195" s="222"/>
      <c r="CM195" s="222"/>
      <c r="CN195" s="195"/>
      <c r="CO195" s="195"/>
      <c r="CP195" s="195"/>
      <c r="CQ195" s="195"/>
      <c r="CR195" s="195"/>
      <c r="CS195" s="206"/>
      <c r="CT195" s="206"/>
      <c r="CU195" s="206"/>
      <c r="CV195" s="206"/>
      <c r="CW195" s="206"/>
      <c r="CX195" s="206"/>
    </row>
    <row r="196" spans="1:102">
      <c r="A196" s="276" t="s">
        <v>281</v>
      </c>
      <c r="B196" s="222"/>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54"/>
      <c r="AC196" s="254"/>
      <c r="AD196" s="254"/>
      <c r="AE196" s="254"/>
      <c r="AF196" s="254"/>
      <c r="AG196" s="254"/>
      <c r="AH196" s="254"/>
      <c r="AI196" s="254"/>
      <c r="AJ196" s="310">
        <v>8800</v>
      </c>
      <c r="AK196" s="310">
        <f>AJ196</f>
        <v>8800</v>
      </c>
      <c r="AL196" s="310">
        <v>9000</v>
      </c>
      <c r="AM196" s="310">
        <v>9100</v>
      </c>
      <c r="AN196" s="310">
        <v>9000</v>
      </c>
      <c r="AO196" s="310">
        <v>8800</v>
      </c>
      <c r="AP196" s="310">
        <f>AO196</f>
        <v>8800</v>
      </c>
      <c r="AQ196" s="310">
        <v>8500</v>
      </c>
      <c r="AR196" s="310">
        <v>8400</v>
      </c>
      <c r="AS196" s="310">
        <v>8500</v>
      </c>
      <c r="AT196" s="310">
        <v>8700</v>
      </c>
      <c r="AU196" s="290">
        <f>AT196</f>
        <v>8700</v>
      </c>
      <c r="AV196" s="290">
        <v>8600</v>
      </c>
      <c r="AW196" s="290">
        <f>'[2]Domestic Mobile Operations'!X$7</f>
        <v>8500</v>
      </c>
      <c r="AX196" s="290">
        <f>'[2]Domestic Mobile Operations'!Y$7</f>
        <v>8300</v>
      </c>
      <c r="AY196" s="290">
        <f>'[2]Domestic Mobile Operations'!Z$7</f>
        <v>8200</v>
      </c>
      <c r="AZ196" s="290">
        <f>AY196</f>
        <v>8200</v>
      </c>
      <c r="BA196" s="290">
        <f>'[2]Domestic Mobile Operations'!AA$7</f>
        <v>8000</v>
      </c>
      <c r="BB196" s="290">
        <f>'[2]Domestic Mobile Operations'!AB$7</f>
        <v>8200</v>
      </c>
      <c r="BC196" s="290">
        <f>'[2]Domestic Mobile Operations'!AC$7</f>
        <v>8300</v>
      </c>
      <c r="BD196" s="290">
        <f>'[2]Domestic Mobile Operations'!AD$7</f>
        <v>8400</v>
      </c>
      <c r="BE196" s="226">
        <f>BD196</f>
        <v>8400</v>
      </c>
      <c r="BF196" s="290">
        <f>'[2]Domestic Mobile Operations'!AE$7</f>
        <v>8400</v>
      </c>
      <c r="BG196" s="290">
        <f>'[2]Domestic Mobile Operations'!AF$7</f>
        <v>8400</v>
      </c>
      <c r="BH196" s="290">
        <f>'[2]Domestic Mobile Operations'!AG$7</f>
        <v>8500</v>
      </c>
      <c r="BI196" s="290">
        <f>'[2]Domestic Mobile Operations'!AH$7</f>
        <v>8700</v>
      </c>
      <c r="BJ196" s="226">
        <f>BI196</f>
        <v>8700</v>
      </c>
      <c r="BK196" s="290">
        <f>'[2]Domestic Mobile Operations'!AI$7</f>
        <v>8300</v>
      </c>
      <c r="BL196" s="290">
        <f>'[2]Domestic Mobile Operations'!AJ$7</f>
        <v>8400</v>
      </c>
      <c r="BM196" s="290">
        <f>'[2]Domestic Mobile Operations'!AK$7</f>
        <v>8600</v>
      </c>
      <c r="BN196" s="290">
        <f>'[2]Domestic Mobile Operations'!AL$7</f>
        <v>8800</v>
      </c>
      <c r="BO196" s="226">
        <f>BN196</f>
        <v>8800</v>
      </c>
      <c r="BP196" s="290">
        <f>'[2]Domestic Mobile Operations'!AM$7</f>
        <v>8900</v>
      </c>
      <c r="BQ196" s="290">
        <f>'[2]Domestic Mobile Operations'!AN$7</f>
        <v>8500</v>
      </c>
      <c r="BR196" s="290">
        <f>'[2]Domestic Mobile Operations'!AO$7</f>
        <v>8800</v>
      </c>
      <c r="BS196" s="290">
        <f>'[2]Domestic Mobile Operations'!AP$7</f>
        <v>8500</v>
      </c>
      <c r="BT196" s="226">
        <f>BS196</f>
        <v>8500</v>
      </c>
      <c r="BU196" s="333">
        <f>'[2]Domestic Mobile Operations'!AQ$7</f>
        <v>8500</v>
      </c>
      <c r="BV196" s="333">
        <f>'[2]Domestic Mobile Operations'!AR$7</f>
        <v>0</v>
      </c>
      <c r="BW196" s="333">
        <f>'[2]Domestic Mobile Operations'!AS$7</f>
        <v>0</v>
      </c>
      <c r="BX196" s="333">
        <f>'[2]Domestic Mobile Operations'!AT$7</f>
        <v>0</v>
      </c>
      <c r="BY196" s="226">
        <f>BX196</f>
        <v>0</v>
      </c>
      <c r="BZ196" s="333">
        <f>'[2]Domestic Mobile Operations'!AU$7</f>
        <v>0</v>
      </c>
      <c r="CA196" s="333">
        <f>'[2]Domestic Mobile Operations'!AV$7</f>
        <v>0</v>
      </c>
      <c r="CB196" s="333">
        <f>'[2]Domestic Mobile Operations'!AW$7</f>
        <v>0</v>
      </c>
      <c r="CC196" s="333">
        <f>'[2]Domestic Mobile Operations'!AX$7</f>
        <v>0</v>
      </c>
      <c r="CD196" s="226">
        <f>BY196*(1+CD197)</f>
        <v>0</v>
      </c>
      <c r="CE196" s="226">
        <f t="shared" ref="CE196:CI196" si="607">CD196*(1+CE197)</f>
        <v>0</v>
      </c>
      <c r="CF196" s="226">
        <f t="shared" si="607"/>
        <v>0</v>
      </c>
      <c r="CG196" s="226">
        <f t="shared" si="607"/>
        <v>0</v>
      </c>
      <c r="CH196" s="226">
        <f t="shared" si="607"/>
        <v>0</v>
      </c>
      <c r="CI196" s="226">
        <f t="shared" si="607"/>
        <v>0</v>
      </c>
      <c r="CJ196" s="226">
        <f t="shared" ref="CJ196" si="608">CI196*(1+CJ197)</f>
        <v>0</v>
      </c>
      <c r="CK196" s="226">
        <f t="shared" ref="CK196" si="609">CJ196*(1+CK197)</f>
        <v>0</v>
      </c>
      <c r="CL196" s="226">
        <f t="shared" ref="CL196:CM196" si="610">CK196*(1+CL197)</f>
        <v>0</v>
      </c>
      <c r="CM196" s="226">
        <f t="shared" si="610"/>
        <v>0</v>
      </c>
      <c r="CN196" s="195"/>
      <c r="CO196" s="195"/>
      <c r="CP196" s="195"/>
      <c r="CQ196" s="195"/>
      <c r="CR196" s="195"/>
      <c r="CS196" s="206"/>
      <c r="CT196" s="206"/>
      <c r="CU196" s="206"/>
      <c r="CV196" s="206"/>
      <c r="CW196" s="206"/>
      <c r="CX196" s="206"/>
    </row>
    <row r="197" spans="1:102">
      <c r="A197" s="276" t="s">
        <v>279</v>
      </c>
      <c r="B197" s="222"/>
      <c r="C197" s="222"/>
      <c r="D197" s="222"/>
      <c r="E197" s="222"/>
      <c r="F197" s="222"/>
      <c r="G197" s="222"/>
      <c r="H197" s="222"/>
      <c r="I197" s="222"/>
      <c r="J197" s="222"/>
      <c r="K197" s="222"/>
      <c r="L197" s="222"/>
      <c r="M197" s="222"/>
      <c r="N197" s="222"/>
      <c r="O197" s="222"/>
      <c r="P197" s="222"/>
      <c r="Q197" s="222"/>
      <c r="R197" s="222"/>
      <c r="S197" s="222"/>
      <c r="T197" s="222"/>
      <c r="U197" s="222"/>
      <c r="V197" s="222"/>
      <c r="W197" s="222"/>
      <c r="X197" s="222"/>
      <c r="Y197" s="222"/>
      <c r="Z197" s="222"/>
      <c r="AA197" s="222"/>
      <c r="AB197" s="222"/>
      <c r="AC197" s="222"/>
      <c r="AD197" s="222"/>
      <c r="AE197" s="222"/>
      <c r="AF197" s="222"/>
      <c r="AG197" s="222"/>
      <c r="AH197" s="222"/>
      <c r="AI197" s="222"/>
      <c r="AJ197" s="222"/>
      <c r="AK197" s="222"/>
      <c r="AL197" s="222"/>
      <c r="AM197" s="222"/>
      <c r="AN197" s="222"/>
      <c r="AO197" s="222">
        <f t="shared" ref="AO197:AZ197" si="611">AO196/AJ196-1</f>
        <v>0</v>
      </c>
      <c r="AP197" s="222">
        <f t="shared" si="611"/>
        <v>0</v>
      </c>
      <c r="AQ197" s="222">
        <f t="shared" si="611"/>
        <v>-5.555555555555558E-2</v>
      </c>
      <c r="AR197" s="222">
        <f t="shared" si="611"/>
        <v>-7.6923076923076872E-2</v>
      </c>
      <c r="AS197" s="222">
        <f t="shared" si="611"/>
        <v>-5.555555555555558E-2</v>
      </c>
      <c r="AT197" s="222">
        <f t="shared" si="611"/>
        <v>-1.1363636363636354E-2</v>
      </c>
      <c r="AU197" s="222">
        <f t="shared" si="611"/>
        <v>-1.1363636363636354E-2</v>
      </c>
      <c r="AV197" s="222">
        <f t="shared" si="611"/>
        <v>1.1764705882352899E-2</v>
      </c>
      <c r="AW197" s="222">
        <f t="shared" si="611"/>
        <v>1.1904761904761862E-2</v>
      </c>
      <c r="AX197" s="222">
        <f t="shared" si="611"/>
        <v>-2.352941176470591E-2</v>
      </c>
      <c r="AY197" s="222">
        <f t="shared" si="611"/>
        <v>-5.7471264367816133E-2</v>
      </c>
      <c r="AZ197" s="222">
        <f t="shared" si="611"/>
        <v>-5.7471264367816133E-2</v>
      </c>
      <c r="BA197" s="222">
        <f t="shared" ref="BA197:CC197" si="612">BA196/AV196-1</f>
        <v>-6.9767441860465129E-2</v>
      </c>
      <c r="BB197" s="222">
        <f t="shared" si="612"/>
        <v>-3.5294117647058809E-2</v>
      </c>
      <c r="BC197" s="222">
        <f t="shared" si="612"/>
        <v>0</v>
      </c>
      <c r="BD197" s="222">
        <f t="shared" si="612"/>
        <v>2.4390243902439046E-2</v>
      </c>
      <c r="BE197" s="222">
        <f t="shared" si="612"/>
        <v>2.4390243902439046E-2</v>
      </c>
      <c r="BF197" s="222">
        <f t="shared" si="612"/>
        <v>5.0000000000000044E-2</v>
      </c>
      <c r="BG197" s="222">
        <f t="shared" si="612"/>
        <v>2.4390243902439046E-2</v>
      </c>
      <c r="BH197" s="222">
        <f t="shared" si="612"/>
        <v>2.4096385542168752E-2</v>
      </c>
      <c r="BI197" s="222">
        <f t="shared" si="612"/>
        <v>3.5714285714285809E-2</v>
      </c>
      <c r="BJ197" s="222">
        <f t="shared" si="612"/>
        <v>3.5714285714285809E-2</v>
      </c>
      <c r="BK197" s="222">
        <f t="shared" si="612"/>
        <v>-1.1904761904761862E-2</v>
      </c>
      <c r="BL197" s="222">
        <f t="shared" si="612"/>
        <v>0</v>
      </c>
      <c r="BM197" s="222">
        <f t="shared" si="612"/>
        <v>1.1764705882352899E-2</v>
      </c>
      <c r="BN197" s="222">
        <f t="shared" si="612"/>
        <v>1.1494252873563315E-2</v>
      </c>
      <c r="BO197" s="222">
        <f t="shared" si="612"/>
        <v>1.1494252873563315E-2</v>
      </c>
      <c r="BP197" s="222">
        <f t="shared" si="612"/>
        <v>7.2289156626506035E-2</v>
      </c>
      <c r="BQ197" s="222">
        <f t="shared" si="612"/>
        <v>1.1904761904761862E-2</v>
      </c>
      <c r="BR197" s="222">
        <f t="shared" si="612"/>
        <v>2.3255813953488413E-2</v>
      </c>
      <c r="BS197" s="222">
        <f t="shared" si="612"/>
        <v>-3.4090909090909061E-2</v>
      </c>
      <c r="BT197" s="222">
        <f t="shared" si="612"/>
        <v>-3.4090909090909061E-2</v>
      </c>
      <c r="BU197" s="222">
        <f t="shared" si="612"/>
        <v>-4.49438202247191E-2</v>
      </c>
      <c r="BV197" s="222">
        <f t="shared" si="612"/>
        <v>-1</v>
      </c>
      <c r="BW197" s="222">
        <f t="shared" si="612"/>
        <v>-1</v>
      </c>
      <c r="BX197" s="222">
        <f t="shared" si="612"/>
        <v>-1</v>
      </c>
      <c r="BY197" s="222">
        <f t="shared" si="612"/>
        <v>-1</v>
      </c>
      <c r="BZ197" s="222">
        <f t="shared" si="612"/>
        <v>-1</v>
      </c>
      <c r="CA197" s="222" t="e">
        <f t="shared" si="612"/>
        <v>#DIV/0!</v>
      </c>
      <c r="CB197" s="222" t="e">
        <f t="shared" si="612"/>
        <v>#DIV/0!</v>
      </c>
      <c r="CC197" s="222" t="e">
        <f t="shared" si="612"/>
        <v>#DIV/0!</v>
      </c>
      <c r="CD197" s="330">
        <v>0.01</v>
      </c>
      <c r="CE197" s="330">
        <v>0.01</v>
      </c>
      <c r="CF197" s="330">
        <v>0.01</v>
      </c>
      <c r="CG197" s="330">
        <v>0.01</v>
      </c>
      <c r="CH197" s="330">
        <v>0.01</v>
      </c>
      <c r="CI197" s="330">
        <v>0.01</v>
      </c>
      <c r="CJ197" s="330">
        <v>0.01</v>
      </c>
      <c r="CK197" s="330">
        <v>0.01</v>
      </c>
      <c r="CL197" s="330">
        <v>0.01</v>
      </c>
      <c r="CM197" s="330">
        <v>0.01</v>
      </c>
      <c r="CN197" s="195"/>
      <c r="CO197" s="195"/>
      <c r="CP197" s="195"/>
      <c r="CQ197" s="195"/>
      <c r="CR197" s="195"/>
      <c r="CS197" s="206"/>
      <c r="CT197" s="206"/>
      <c r="CU197" s="206"/>
      <c r="CV197" s="206"/>
      <c r="CW197" s="206"/>
      <c r="CX197" s="206"/>
    </row>
    <row r="198" spans="1:102">
      <c r="A198" s="276"/>
      <c r="B198" s="222"/>
      <c r="C198" s="222"/>
      <c r="D198" s="222"/>
      <c r="E198" s="222"/>
      <c r="F198" s="222"/>
      <c r="G198" s="222"/>
      <c r="H198" s="222"/>
      <c r="I198" s="222"/>
      <c r="J198" s="222"/>
      <c r="K198" s="222"/>
      <c r="L198" s="222"/>
      <c r="M198" s="222"/>
      <c r="N198" s="222"/>
      <c r="O198" s="222"/>
      <c r="P198" s="222"/>
      <c r="Q198" s="222"/>
      <c r="R198" s="222"/>
      <c r="S198" s="222"/>
      <c r="T198" s="222"/>
      <c r="U198" s="222"/>
      <c r="V198" s="222"/>
      <c r="W198" s="222"/>
      <c r="X198" s="222"/>
      <c r="Y198" s="222"/>
      <c r="Z198" s="222"/>
      <c r="AA198" s="222"/>
      <c r="AB198" s="222"/>
      <c r="AC198" s="222"/>
      <c r="AD198" s="222"/>
      <c r="AE198" s="222"/>
      <c r="AF198" s="222"/>
      <c r="AG198" s="222"/>
      <c r="AH198" s="222"/>
      <c r="AI198" s="222"/>
      <c r="AJ198" s="222"/>
      <c r="AK198" s="222"/>
      <c r="AL198" s="222"/>
      <c r="AM198" s="222"/>
      <c r="AN198" s="222"/>
      <c r="AO198" s="222"/>
      <c r="AP198" s="222"/>
      <c r="AQ198" s="222"/>
      <c r="AR198" s="222"/>
      <c r="AS198" s="222"/>
      <c r="AT198" s="222"/>
      <c r="AU198" s="222"/>
      <c r="AV198" s="222"/>
      <c r="AW198" s="222"/>
      <c r="AX198" s="222"/>
      <c r="AY198" s="222"/>
      <c r="AZ198" s="222"/>
      <c r="BA198" s="222"/>
      <c r="BB198" s="222"/>
      <c r="BC198" s="222"/>
      <c r="BD198" s="222"/>
      <c r="BE198" s="222"/>
      <c r="BF198" s="222"/>
      <c r="BG198" s="222"/>
      <c r="BH198" s="222"/>
      <c r="BI198" s="222"/>
      <c r="BJ198" s="222"/>
      <c r="BK198" s="222"/>
      <c r="BL198" s="222"/>
      <c r="BM198" s="222"/>
      <c r="BN198" s="222"/>
      <c r="BO198" s="222"/>
      <c r="BP198" s="222"/>
      <c r="BQ198" s="222"/>
      <c r="BR198" s="222"/>
      <c r="BS198" s="222"/>
      <c r="BT198" s="222"/>
      <c r="BU198" s="222"/>
      <c r="BV198" s="222"/>
      <c r="BW198" s="222"/>
      <c r="BX198" s="222"/>
      <c r="BY198" s="222"/>
      <c r="BZ198" s="222"/>
      <c r="CA198" s="222"/>
      <c r="CB198" s="222"/>
      <c r="CC198" s="222"/>
      <c r="CD198" s="222"/>
      <c r="CE198" s="222"/>
      <c r="CF198" s="222"/>
      <c r="CG198" s="222"/>
      <c r="CH198" s="222"/>
      <c r="CI198" s="222"/>
      <c r="CJ198" s="222"/>
      <c r="CK198" s="222"/>
      <c r="CL198" s="222"/>
      <c r="CM198" s="222"/>
      <c r="CN198" s="195"/>
      <c r="CO198" s="195"/>
      <c r="CP198" s="195"/>
      <c r="CQ198" s="195"/>
      <c r="CR198" s="195"/>
      <c r="CS198" s="206"/>
      <c r="CT198" s="206"/>
      <c r="CU198" s="206"/>
      <c r="CV198" s="206"/>
      <c r="CW198" s="206"/>
      <c r="CX198" s="206"/>
    </row>
    <row r="199" spans="1:102">
      <c r="A199" s="276" t="s">
        <v>674</v>
      </c>
      <c r="B199" s="222"/>
      <c r="C199" s="222"/>
      <c r="D199" s="222"/>
      <c r="E199" s="222"/>
      <c r="F199" s="222"/>
      <c r="G199" s="222"/>
      <c r="H199" s="222"/>
      <c r="I199" s="222"/>
      <c r="J199" s="222"/>
      <c r="K199" s="222"/>
      <c r="L199" s="222"/>
      <c r="M199" s="222"/>
      <c r="N199" s="222"/>
      <c r="O199" s="222"/>
      <c r="P199" s="222"/>
      <c r="Q199" s="222"/>
      <c r="R199" s="222"/>
      <c r="S199" s="222"/>
      <c r="T199" s="222"/>
      <c r="U199" s="222"/>
      <c r="V199" s="222"/>
      <c r="W199" s="222"/>
      <c r="X199" s="222"/>
      <c r="Y199" s="222"/>
      <c r="Z199" s="222"/>
      <c r="AA199" s="222"/>
      <c r="AB199" s="222"/>
      <c r="AC199" s="222"/>
      <c r="AD199" s="222"/>
      <c r="AE199" s="222"/>
      <c r="AF199" s="222"/>
      <c r="AG199" s="222"/>
      <c r="AH199" s="222"/>
      <c r="AI199" s="222"/>
      <c r="AJ199" s="222"/>
      <c r="AK199" s="222"/>
      <c r="AL199" s="222"/>
      <c r="AM199" s="222"/>
      <c r="AN199" s="222"/>
      <c r="AO199" s="334">
        <f>'[2]Domestic Mobile Operations'!R$37</f>
        <v>0</v>
      </c>
      <c r="AP199" s="330"/>
      <c r="AQ199" s="334">
        <f>'[2]Domestic Mobile Operations'!S$38</f>
        <v>1.63</v>
      </c>
      <c r="AR199" s="334">
        <f>'[2]Domestic Mobile Operations'!T$38</f>
        <v>2.21</v>
      </c>
      <c r="AS199" s="334">
        <f>'[2]Domestic Mobile Operations'!U$38</f>
        <v>2.84</v>
      </c>
      <c r="AT199" s="334">
        <f>'[2]Domestic Mobile Operations'!V$38</f>
        <v>3.66</v>
      </c>
      <c r="AU199" s="334">
        <f>AU187*1000/AVERAGE(AU196,AT196)/AU178</f>
        <v>2.7142337164750958</v>
      </c>
      <c r="AV199" s="334">
        <f>'[2]Domestic Mobile Operations'!W$38</f>
        <v>4.29</v>
      </c>
      <c r="AW199" s="334">
        <f>'[2]Domestic Mobile Operations'!X$38</f>
        <v>5.0199999999999996</v>
      </c>
      <c r="AX199" s="334">
        <f>'[2]Domestic Mobile Operations'!Y$38</f>
        <v>5.59</v>
      </c>
      <c r="AY199" s="334">
        <f>'[2]Domestic Mobile Operations'!Z$38</f>
        <v>6.72</v>
      </c>
      <c r="AZ199" s="222"/>
      <c r="BA199" s="334">
        <f>'[2]Domestic Mobile Operations'!AA$38</f>
        <v>7.65</v>
      </c>
      <c r="BB199" s="334">
        <f>'[2]Domestic Mobile Operations'!AB$38</f>
        <v>9.08</v>
      </c>
      <c r="BC199" s="334">
        <f>'[2]Domestic Mobile Operations'!AC$38</f>
        <v>10.67</v>
      </c>
      <c r="BD199" s="334">
        <f>'[2]Domestic Mobile Operations'!AD$38</f>
        <v>10.92</v>
      </c>
      <c r="BE199" s="222"/>
      <c r="BF199" s="334">
        <f>'[2]Domestic Mobile Operations'!AE$38</f>
        <v>11.7</v>
      </c>
      <c r="BG199" s="334">
        <f>'[2]Domestic Mobile Operations'!AF$38</f>
        <v>13.67</v>
      </c>
      <c r="BH199" s="334">
        <f>'[2]Domestic Mobile Operations'!AG$38</f>
        <v>15.16</v>
      </c>
      <c r="BI199" s="334">
        <f>'[2]Domestic Mobile Operations'!AH$38</f>
        <v>14.99</v>
      </c>
      <c r="BJ199" s="222"/>
      <c r="BK199" s="334">
        <f>'[2]Domestic Mobile Operations'!AI$38</f>
        <v>16.809999999999999</v>
      </c>
      <c r="BL199" s="334">
        <f>'[2]Domestic Mobile Operations'!AJ$38</f>
        <v>21.07</v>
      </c>
      <c r="BM199" s="334">
        <f>'[2]Domestic Mobile Operations'!AK$38</f>
        <v>19.489999999999998</v>
      </c>
      <c r="BN199" s="334">
        <f>'[2]Domestic Mobile Operations'!AL$38</f>
        <v>20.75</v>
      </c>
      <c r="BO199" s="222"/>
      <c r="BP199" s="334">
        <f>'[2]Domestic Mobile Operations'!AM$38</f>
        <v>21.58</v>
      </c>
      <c r="BQ199" s="334">
        <f>'[2]Domestic Mobile Operations'!AN$38</f>
        <v>24.4</v>
      </c>
      <c r="BR199" s="334">
        <f>'[2]Domestic Mobile Operations'!AO$38</f>
        <v>24.97</v>
      </c>
      <c r="BS199" s="334">
        <f>'[2]Domestic Mobile Operations'!AP$38</f>
        <v>24.4</v>
      </c>
      <c r="BT199" s="222"/>
      <c r="BU199" s="334">
        <f>'[2]Domestic Mobile Operations'!AQ$38</f>
        <v>24.2</v>
      </c>
      <c r="BV199" s="334">
        <f>'[2]Domestic Mobile Operations'!AR$38</f>
        <v>24.9</v>
      </c>
      <c r="BW199" s="334">
        <f>'[2]Domestic Mobile Operations'!AS$38</f>
        <v>26.3</v>
      </c>
      <c r="BX199" s="334">
        <f>'[2]Domestic Mobile Operations'!AT$38</f>
        <v>26.6</v>
      </c>
      <c r="BY199" s="222"/>
      <c r="BZ199" s="334">
        <f>'[2]Domestic Mobile Operations'!AU$38</f>
        <v>25.2</v>
      </c>
      <c r="CA199" s="334">
        <f>'[2]Domestic Mobile Operations'!AV$38</f>
        <v>26.1</v>
      </c>
      <c r="CB199" s="334">
        <f>'[2]Domestic Mobile Operations'!AW$38</f>
        <v>26.9</v>
      </c>
      <c r="CC199" s="334">
        <f>'[2]Domestic Mobile Operations'!AX$38</f>
        <v>27.8</v>
      </c>
      <c r="CD199" s="222"/>
      <c r="CE199" s="222"/>
      <c r="CF199" s="222"/>
      <c r="CG199" s="222"/>
      <c r="CH199" s="222"/>
      <c r="CI199" s="222"/>
      <c r="CJ199" s="222"/>
      <c r="CK199" s="222"/>
      <c r="CL199" s="222"/>
      <c r="CM199" s="222"/>
      <c r="CN199" s="195"/>
      <c r="CO199" s="195"/>
      <c r="CP199" s="195"/>
      <c r="CQ199" s="195"/>
      <c r="CR199" s="195"/>
      <c r="CS199" s="206"/>
      <c r="CT199" s="206"/>
      <c r="CU199" s="206"/>
      <c r="CV199" s="206"/>
      <c r="CW199" s="206"/>
      <c r="CX199" s="206"/>
    </row>
    <row r="200" spans="1:102">
      <c r="A200" s="276" t="s">
        <v>568</v>
      </c>
      <c r="B200" s="222"/>
      <c r="C200" s="222"/>
      <c r="D200" s="222"/>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335"/>
      <c r="AV200" s="222">
        <f>AV199/AQ199-1</f>
        <v>1.6319018404907979</v>
      </c>
      <c r="AW200" s="222">
        <f>AW199/AR199-1</f>
        <v>1.2714932126696832</v>
      </c>
      <c r="AX200" s="222">
        <f>AX199/AS199-1</f>
        <v>0.96830985915492973</v>
      </c>
      <c r="AY200" s="222">
        <f>AY199/AT199-1</f>
        <v>0.83606557377049162</v>
      </c>
      <c r="AZ200" s="222"/>
      <c r="BA200" s="222">
        <f>BA199/AV199-1</f>
        <v>0.78321678321678334</v>
      </c>
      <c r="BB200" s="222">
        <f>BB199/AW199-1</f>
        <v>0.80876494023904399</v>
      </c>
      <c r="BC200" s="222">
        <f>BC199/AX199-1</f>
        <v>0.90876565295169942</v>
      </c>
      <c r="BD200" s="222">
        <f>BD199/AY199-1</f>
        <v>0.625</v>
      </c>
      <c r="BE200" s="222"/>
      <c r="BF200" s="222">
        <f>BF199/BA199-1</f>
        <v>0.52941176470588225</v>
      </c>
      <c r="BG200" s="222">
        <f>BG199/BB199-1</f>
        <v>0.50550660792951541</v>
      </c>
      <c r="BH200" s="222">
        <f>BH199/BC199-1</f>
        <v>0.42080599812558583</v>
      </c>
      <c r="BI200" s="222">
        <f>BI199/BD199-1</f>
        <v>0.37271062271062272</v>
      </c>
      <c r="BJ200" s="222"/>
      <c r="BK200" s="222">
        <f>BK199/BF199-1</f>
        <v>0.43675213675213675</v>
      </c>
      <c r="BL200" s="222">
        <f>BL199/BG199-1</f>
        <v>0.54133138258961222</v>
      </c>
      <c r="BM200" s="222">
        <f>BM199/BH199-1</f>
        <v>0.28562005277044844</v>
      </c>
      <c r="BN200" s="222">
        <f>BN199/BI199-1</f>
        <v>0.38425617078052032</v>
      </c>
      <c r="BO200" s="222"/>
      <c r="BP200" s="222">
        <f>BP199/BK199-1</f>
        <v>0.28375966686496135</v>
      </c>
      <c r="BQ200" s="222">
        <f>BQ199/BL199-1</f>
        <v>0.15804461319411467</v>
      </c>
      <c r="BR200" s="222">
        <f>BR199/BM199-1</f>
        <v>0.28116983068240131</v>
      </c>
      <c r="BS200" s="222">
        <f>BS199/BN199-1</f>
        <v>0.1759036144578312</v>
      </c>
      <c r="BT200" s="222"/>
      <c r="BU200" s="222">
        <f>BU199/BP199-1</f>
        <v>0.12140871177015766</v>
      </c>
      <c r="BV200" s="222">
        <f>BV199/BQ199-1</f>
        <v>2.0491803278688492E-2</v>
      </c>
      <c r="BW200" s="222">
        <f>BW199/BR199-1</f>
        <v>5.3263916700040159E-2</v>
      </c>
      <c r="BX200" s="222">
        <f>BX199/BS199-1</f>
        <v>9.0163934426229719E-2</v>
      </c>
      <c r="BY200" s="222"/>
      <c r="BZ200" s="222">
        <f>BZ199/BU199-1</f>
        <v>4.1322314049586861E-2</v>
      </c>
      <c r="CA200" s="222">
        <f>CA199/BV199-1</f>
        <v>4.8192771084337505E-2</v>
      </c>
      <c r="CB200" s="222">
        <f>CB199/BW199-1</f>
        <v>2.281368821292773E-2</v>
      </c>
      <c r="CC200" s="222">
        <f>CC199/BX199-1</f>
        <v>4.5112781954887105E-2</v>
      </c>
      <c r="CD200" s="222"/>
      <c r="CE200" s="222"/>
      <c r="CF200" s="222"/>
      <c r="CG200" s="222"/>
      <c r="CH200" s="222"/>
      <c r="CI200" s="222"/>
      <c r="CJ200" s="222"/>
      <c r="CK200" s="222"/>
      <c r="CL200" s="222"/>
      <c r="CM200" s="222"/>
      <c r="CN200" s="195"/>
      <c r="CO200" s="195"/>
      <c r="CP200" s="195"/>
      <c r="CQ200" s="195"/>
      <c r="CR200" s="195"/>
      <c r="CS200" s="206"/>
      <c r="CT200" s="206"/>
      <c r="CU200" s="206"/>
      <c r="CV200" s="206"/>
      <c r="CW200" s="206"/>
      <c r="CX200" s="206"/>
    </row>
    <row r="201" spans="1:102">
      <c r="A201" s="276" t="s">
        <v>567</v>
      </c>
      <c r="B201" s="222"/>
      <c r="C201" s="222"/>
      <c r="D201" s="222"/>
      <c r="E201" s="222"/>
      <c r="F201" s="222"/>
      <c r="G201" s="222"/>
      <c r="H201" s="222"/>
      <c r="I201" s="222"/>
      <c r="J201" s="222"/>
      <c r="K201" s="222"/>
      <c r="L201" s="222"/>
      <c r="M201" s="222"/>
      <c r="N201" s="222"/>
      <c r="O201" s="222"/>
      <c r="P201" s="222"/>
      <c r="Q201" s="222"/>
      <c r="R201" s="222"/>
      <c r="S201" s="222"/>
      <c r="T201" s="222"/>
      <c r="U201" s="222"/>
      <c r="V201" s="222"/>
      <c r="W201" s="222"/>
      <c r="X201" s="222"/>
      <c r="Y201" s="222"/>
      <c r="Z201" s="222"/>
      <c r="AA201" s="222"/>
      <c r="AB201" s="222"/>
      <c r="AC201" s="222"/>
      <c r="AD201" s="222"/>
      <c r="AE201" s="222"/>
      <c r="AF201" s="222"/>
      <c r="AG201" s="222"/>
      <c r="AH201" s="222"/>
      <c r="AI201" s="222"/>
      <c r="AJ201" s="222"/>
      <c r="AK201" s="222"/>
      <c r="AL201" s="222"/>
      <c r="AM201" s="222"/>
      <c r="AN201" s="222"/>
      <c r="AO201" s="334">
        <v>1.88</v>
      </c>
      <c r="AP201" s="334"/>
      <c r="AQ201" s="334">
        <v>1.93</v>
      </c>
      <c r="AR201" s="334">
        <v>2.95</v>
      </c>
      <c r="AS201" s="334">
        <v>3.67</v>
      </c>
      <c r="AT201" s="334">
        <v>4.93</v>
      </c>
      <c r="AU201" s="336">
        <f>AVERAGE(AQ201:AT201)</f>
        <v>3.37</v>
      </c>
      <c r="AV201" s="336">
        <v>6.2</v>
      </c>
      <c r="AW201" s="336">
        <f>'[2]Domestic Mobile Operations'!X$39</f>
        <v>4.29</v>
      </c>
      <c r="AX201" s="336">
        <f>'[2]Domestic Mobile Operations'!Y$39</f>
        <v>4.78</v>
      </c>
      <c r="AY201" s="336">
        <f>'[2]Domestic Mobile Operations'!Z$39</f>
        <v>5.87</v>
      </c>
      <c r="AZ201" s="222"/>
      <c r="BA201" s="336">
        <f>'[2]Domestic Mobile Operations'!AA$39</f>
        <v>6.73</v>
      </c>
      <c r="BB201" s="336">
        <f>'[2]Domestic Mobile Operations'!AB$39</f>
        <v>8.1999999999999993</v>
      </c>
      <c r="BC201" s="336">
        <f>'[2]Domestic Mobile Operations'!AC$39</f>
        <v>10.24</v>
      </c>
      <c r="BD201" s="336">
        <f>'[2]Domestic Mobile Operations'!AD$39</f>
        <v>10.36</v>
      </c>
      <c r="BE201" s="222"/>
      <c r="BF201" s="336">
        <f>'[2]Domestic Mobile Operations'!AE$39</f>
        <v>11.47</v>
      </c>
      <c r="BG201" s="336">
        <f>'[2]Domestic Mobile Operations'!AF$39</f>
        <v>13.72</v>
      </c>
      <c r="BH201" s="336">
        <f>'[2]Domestic Mobile Operations'!AG$39</f>
        <v>15.21</v>
      </c>
      <c r="BI201" s="336">
        <f>'[2]Domestic Mobile Operations'!AH$39</f>
        <v>14.75</v>
      </c>
      <c r="BJ201" s="222"/>
      <c r="BK201" s="336">
        <f>'[2]Domestic Mobile Operations'!AI$39</f>
        <v>16.89</v>
      </c>
      <c r="BL201" s="336">
        <f>'[2]Domestic Mobile Operations'!AJ$39</f>
        <v>22.53</v>
      </c>
      <c r="BM201" s="336">
        <f>'[2]Domestic Mobile Operations'!AK$39</f>
        <v>19.07</v>
      </c>
      <c r="BN201" s="336">
        <f>'[2]Domestic Mobile Operations'!AL$39</f>
        <v>19.29</v>
      </c>
      <c r="BO201" s="222"/>
      <c r="BP201" s="336">
        <f>'[2]Domestic Mobile Operations'!AM$39</f>
        <v>20.89</v>
      </c>
      <c r="BQ201" s="336">
        <f>'[2]Domestic Mobile Operations'!AN$39</f>
        <v>23.72</v>
      </c>
      <c r="BR201" s="336">
        <f>'[2]Domestic Mobile Operations'!AO$39</f>
        <v>23.21</v>
      </c>
      <c r="BS201" s="336">
        <f>'[2]Domestic Mobile Operations'!AP$39</f>
        <v>22.6</v>
      </c>
      <c r="BT201" s="222"/>
      <c r="BU201" s="337">
        <f>'[2]Domestic Mobile Operations'!AQ$39</f>
        <v>22.3</v>
      </c>
      <c r="BV201" s="337">
        <f>'[2]Domestic Mobile Operations'!AR$39</f>
        <v>23.2</v>
      </c>
      <c r="BW201" s="337">
        <f>'[2]Domestic Mobile Operations'!AS$39</f>
        <v>24.6</v>
      </c>
      <c r="BX201" s="337">
        <f>'[2]Domestic Mobile Operations'!AT$39</f>
        <v>24.9</v>
      </c>
      <c r="BY201" s="222"/>
      <c r="BZ201" s="337">
        <f>'[2]Domestic Mobile Operations'!AU$39</f>
        <v>23.7</v>
      </c>
      <c r="CA201" s="337">
        <f>'[2]Domestic Mobile Operations'!AV$39</f>
        <v>24.7</v>
      </c>
      <c r="CB201" s="337">
        <f>'[2]Domestic Mobile Operations'!AW$39</f>
        <v>25.2</v>
      </c>
      <c r="CC201" s="337">
        <f>'[2]Domestic Mobile Operations'!AX$39</f>
        <v>26.2</v>
      </c>
      <c r="CD201" s="222"/>
      <c r="CE201" s="222"/>
      <c r="CF201" s="222"/>
      <c r="CG201" s="222"/>
      <c r="CH201" s="222"/>
      <c r="CI201" s="222"/>
      <c r="CJ201" s="222"/>
      <c r="CK201" s="222"/>
      <c r="CL201" s="222"/>
      <c r="CM201" s="222"/>
      <c r="CN201" s="195"/>
      <c r="CO201" s="195"/>
      <c r="CP201" s="195"/>
      <c r="CQ201" s="195"/>
      <c r="CR201" s="195"/>
      <c r="CS201" s="206"/>
      <c r="CT201" s="206"/>
      <c r="CU201" s="206"/>
      <c r="CV201" s="206"/>
      <c r="CW201" s="206"/>
      <c r="CX201" s="206"/>
    </row>
    <row r="202" spans="1:102">
      <c r="A202" s="276"/>
      <c r="B202" s="222"/>
      <c r="C202" s="222"/>
      <c r="D202" s="222"/>
      <c r="E202" s="222"/>
      <c r="F202" s="222"/>
      <c r="G202" s="222"/>
      <c r="H202" s="222"/>
      <c r="I202" s="222"/>
      <c r="J202" s="222"/>
      <c r="K202" s="222"/>
      <c r="L202" s="222"/>
      <c r="M202" s="222"/>
      <c r="N202" s="222"/>
      <c r="O202" s="222"/>
      <c r="P202" s="222"/>
      <c r="Q202" s="222"/>
      <c r="R202" s="222"/>
      <c r="S202" s="222"/>
      <c r="T202" s="222"/>
      <c r="U202" s="222"/>
      <c r="V202" s="222"/>
      <c r="W202" s="222"/>
      <c r="X202" s="222"/>
      <c r="Y202" s="222"/>
      <c r="Z202" s="222"/>
      <c r="AA202" s="222"/>
      <c r="AB202" s="222"/>
      <c r="AC202" s="222"/>
      <c r="AD202" s="222"/>
      <c r="AE202" s="222"/>
      <c r="AF202" s="222"/>
      <c r="AG202" s="222"/>
      <c r="AH202" s="222"/>
      <c r="AI202" s="222"/>
      <c r="AJ202" s="222"/>
      <c r="AK202" s="222"/>
      <c r="AL202" s="222"/>
      <c r="AM202" s="222"/>
      <c r="AN202" s="222"/>
      <c r="AO202" s="222"/>
      <c r="AP202" s="222"/>
      <c r="AQ202" s="222"/>
      <c r="AR202" s="222"/>
      <c r="AS202" s="222"/>
      <c r="AT202" s="222">
        <f t="shared" ref="AT202:AY202" si="613">AT201/AO201-1</f>
        <v>1.6223404255319149</v>
      </c>
      <c r="AU202" s="222" t="e">
        <f t="shared" si="613"/>
        <v>#DIV/0!</v>
      </c>
      <c r="AV202" s="222">
        <f t="shared" si="613"/>
        <v>2.2124352331606221</v>
      </c>
      <c r="AW202" s="222">
        <f t="shared" si="613"/>
        <v>0.45423728813559316</v>
      </c>
      <c r="AX202" s="222">
        <f t="shared" si="613"/>
        <v>0.30245231607629441</v>
      </c>
      <c r="AY202" s="222">
        <f t="shared" si="613"/>
        <v>0.19066937119675464</v>
      </c>
      <c r="AZ202" s="222"/>
      <c r="BA202" s="222">
        <f>BA201/AV201-1</f>
        <v>8.5483870967741904E-2</v>
      </c>
      <c r="BB202" s="222">
        <f>BB201/AW201-1</f>
        <v>0.91142191142191131</v>
      </c>
      <c r="BC202" s="222">
        <f>BC201/AX201-1</f>
        <v>1.1422594142259412</v>
      </c>
      <c r="BD202" s="222">
        <f>BD201/AY201-1</f>
        <v>0.76490630323679709</v>
      </c>
      <c r="BE202" s="222"/>
      <c r="BF202" s="222">
        <f>BF201/BA201-1</f>
        <v>0.70430906389301629</v>
      </c>
      <c r="BG202" s="222">
        <f>BG201/BB201-1</f>
        <v>0.67317073170731723</v>
      </c>
      <c r="BH202" s="222">
        <f>BH201/BC201-1</f>
        <v>0.4853515625</v>
      </c>
      <c r="BI202" s="222">
        <f>BI201/BD201-1</f>
        <v>0.42374517374517384</v>
      </c>
      <c r="BJ202" s="222"/>
      <c r="BK202" s="222">
        <f>BK201/BF201-1</f>
        <v>0.47253705318221439</v>
      </c>
      <c r="BL202" s="222">
        <f>BL201/BG201-1</f>
        <v>0.64212827988338184</v>
      </c>
      <c r="BM202" s="222">
        <f>BM201/BH201-1</f>
        <v>0.25378040762656151</v>
      </c>
      <c r="BN202" s="222">
        <f>BN201/BI201-1</f>
        <v>0.30779661016949156</v>
      </c>
      <c r="BO202" s="222"/>
      <c r="BP202" s="222">
        <f>BP201/BK201-1</f>
        <v>0.23682652457075193</v>
      </c>
      <c r="BQ202" s="222">
        <f>BQ201/BL201-1</f>
        <v>5.2818464269862364E-2</v>
      </c>
      <c r="BR202" s="222">
        <f>BR201/BM201-1</f>
        <v>0.21709491347666487</v>
      </c>
      <c r="BS202" s="222">
        <f>BS201/BN201-1</f>
        <v>0.17159149818558861</v>
      </c>
      <c r="BT202" s="222"/>
      <c r="BU202" s="222">
        <f>BU201/BP201-1</f>
        <v>6.7496409765438026E-2</v>
      </c>
      <c r="BV202" s="222">
        <f>BV201/BQ201-1</f>
        <v>-2.1922428330522714E-2</v>
      </c>
      <c r="BW202" s="222">
        <f>BW201/BR201-1</f>
        <v>5.9887979319259044E-2</v>
      </c>
      <c r="BX202" s="222">
        <f>BX201/BS201-1</f>
        <v>0.1017699115044246</v>
      </c>
      <c r="BY202" s="222"/>
      <c r="BZ202" s="222">
        <f>BZ201/BU201-1</f>
        <v>6.2780269058295923E-2</v>
      </c>
      <c r="CA202" s="222">
        <f>CA201/BV201-1</f>
        <v>6.4655172413793149E-2</v>
      </c>
      <c r="CB202" s="222">
        <f>CB201/BW201-1</f>
        <v>2.4390243902439046E-2</v>
      </c>
      <c r="CC202" s="222">
        <f>CC201/BX201-1</f>
        <v>5.2208835341365445E-2</v>
      </c>
      <c r="CD202" s="222"/>
      <c r="CE202" s="222"/>
      <c r="CF202" s="222"/>
      <c r="CG202" s="222"/>
      <c r="CH202" s="222"/>
      <c r="CI202" s="222"/>
      <c r="CJ202" s="222"/>
      <c r="CK202" s="222"/>
      <c r="CL202" s="222"/>
      <c r="CM202" s="222"/>
      <c r="CN202" s="195"/>
      <c r="CO202" s="195"/>
      <c r="CP202" s="195"/>
      <c r="CQ202" s="195"/>
      <c r="CR202" s="195"/>
      <c r="CS202" s="206"/>
      <c r="CT202" s="206"/>
      <c r="CU202" s="206"/>
      <c r="CV202" s="206"/>
      <c r="CW202" s="206"/>
      <c r="CX202" s="206"/>
    </row>
    <row r="203" spans="1:102">
      <c r="A203" s="276" t="s">
        <v>566</v>
      </c>
      <c r="B203" s="222"/>
      <c r="C203" s="222"/>
      <c r="D203" s="222"/>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335"/>
      <c r="AD203" s="335"/>
      <c r="AE203" s="335"/>
      <c r="AF203" s="335"/>
      <c r="AG203" s="335"/>
      <c r="AH203" s="335"/>
      <c r="AI203" s="335"/>
      <c r="AJ203" s="335"/>
      <c r="AK203" s="335"/>
      <c r="AL203" s="335"/>
      <c r="AM203" s="335"/>
      <c r="AN203" s="335"/>
      <c r="AO203" s="334">
        <v>1.44</v>
      </c>
      <c r="AP203" s="334">
        <f>AO203</f>
        <v>1.44</v>
      </c>
      <c r="AQ203" s="334">
        <v>1.55</v>
      </c>
      <c r="AR203" s="334">
        <v>2</v>
      </c>
      <c r="AS203" s="334">
        <v>2.6</v>
      </c>
      <c r="AT203" s="334">
        <v>3.27</v>
      </c>
      <c r="AU203" s="336">
        <f>AVERAGE(AQ203:AT203)</f>
        <v>2.355</v>
      </c>
      <c r="AV203" s="336">
        <v>3.7</v>
      </c>
      <c r="AW203" s="336">
        <f>'[2]Domestic Mobile Operations'!X$38</f>
        <v>5.0199999999999996</v>
      </c>
      <c r="AX203" s="336">
        <f>'[2]Domestic Mobile Operations'!Y$38</f>
        <v>5.59</v>
      </c>
      <c r="AY203" s="336">
        <f>'[2]Domestic Mobile Operations'!Z$38</f>
        <v>6.72</v>
      </c>
      <c r="AZ203" s="336">
        <f>AVERAGE(AV203:AY203)</f>
        <v>5.2574999999999994</v>
      </c>
      <c r="BA203" s="336">
        <f>'[2]Domestic Mobile Operations'!AA$38</f>
        <v>7.65</v>
      </c>
      <c r="BB203" s="336">
        <f>'[2]Domestic Mobile Operations'!AB$38</f>
        <v>9.08</v>
      </c>
      <c r="BC203" s="336">
        <f>'[2]Domestic Mobile Operations'!AC$38</f>
        <v>10.67</v>
      </c>
      <c r="BD203" s="336">
        <f>'[2]Domestic Mobile Operations'!AD$38</f>
        <v>10.92</v>
      </c>
      <c r="BE203" s="291">
        <f>AVERAGE(BA203:BD203)</f>
        <v>9.58</v>
      </c>
      <c r="BF203" s="336">
        <f>'[2]Domestic Mobile Operations'!AE$38</f>
        <v>11.7</v>
      </c>
      <c r="BG203" s="336">
        <f>'[2]Domestic Mobile Operations'!AF$38</f>
        <v>13.67</v>
      </c>
      <c r="BH203" s="336">
        <f>'[2]Domestic Mobile Operations'!AG$38</f>
        <v>15.16</v>
      </c>
      <c r="BI203" s="336">
        <f>'[2]Domestic Mobile Operations'!AH$38</f>
        <v>14.99</v>
      </c>
      <c r="BJ203" s="291">
        <f>AVERAGE(BF203:BI203)</f>
        <v>13.88</v>
      </c>
      <c r="BK203" s="336">
        <f>'[2]Domestic Mobile Operations'!AI$38</f>
        <v>16.809999999999999</v>
      </c>
      <c r="BL203" s="336">
        <f>'[2]Domestic Mobile Operations'!AJ$38</f>
        <v>21.07</v>
      </c>
      <c r="BM203" s="336">
        <f>'[2]Domestic Mobile Operations'!AK$38</f>
        <v>19.489999999999998</v>
      </c>
      <c r="BN203" s="336">
        <f>'[2]Domestic Mobile Operations'!AL$38</f>
        <v>20.75</v>
      </c>
      <c r="BO203" s="291">
        <f>AVERAGE(BK203:BN203)</f>
        <v>19.529999999999998</v>
      </c>
      <c r="BP203" s="336">
        <f>'[2]Domestic Mobile Operations'!AM$38</f>
        <v>21.58</v>
      </c>
      <c r="BQ203" s="336">
        <f>'[2]Domestic Mobile Operations'!AN$38</f>
        <v>24.4</v>
      </c>
      <c r="BR203" s="336">
        <f>'[2]Domestic Mobile Operations'!AO$38</f>
        <v>24.97</v>
      </c>
      <c r="BS203" s="336">
        <f>'[2]Domestic Mobile Operations'!AP$38</f>
        <v>24.4</v>
      </c>
      <c r="BT203" s="291">
        <f>AVERAGE(BP203:BS203)</f>
        <v>23.837499999999999</v>
      </c>
      <c r="BU203" s="337">
        <f>'[2]Domestic Mobile Operations'!AQ$38</f>
        <v>24.2</v>
      </c>
      <c r="BV203" s="337">
        <f>'[2]Domestic Mobile Operations'!AR$38</f>
        <v>24.9</v>
      </c>
      <c r="BW203" s="337">
        <f>'[2]Domestic Mobile Operations'!AS$38</f>
        <v>26.3</v>
      </c>
      <c r="BX203" s="337">
        <f>'[2]Domestic Mobile Operations'!AT$38</f>
        <v>26.6</v>
      </c>
      <c r="BY203" s="291">
        <f>AVERAGE(BU203:BX203)</f>
        <v>25.5</v>
      </c>
      <c r="BZ203" s="337">
        <f>'[2]Domestic Mobile Operations'!AU$38</f>
        <v>25.2</v>
      </c>
      <c r="CA203" s="337">
        <f>'[2]Domestic Mobile Operations'!AV$38</f>
        <v>26.1</v>
      </c>
      <c r="CB203" s="337">
        <f>'[2]Domestic Mobile Operations'!AW$38</f>
        <v>26.9</v>
      </c>
      <c r="CC203" s="337">
        <f>'[2]Domestic Mobile Operations'!AX$38</f>
        <v>27.8</v>
      </c>
      <c r="CD203" s="291">
        <f>BY203*(1+CD204)</f>
        <v>27.285</v>
      </c>
      <c r="CE203" s="291">
        <f t="shared" ref="CE203:CI203" si="614">CD203*(1+CE204)</f>
        <v>28.9221</v>
      </c>
      <c r="CF203" s="291">
        <f t="shared" si="614"/>
        <v>30.078984000000002</v>
      </c>
      <c r="CG203" s="291">
        <f t="shared" si="614"/>
        <v>31.282143360000003</v>
      </c>
      <c r="CH203" s="291">
        <f t="shared" si="614"/>
        <v>32.533429094400006</v>
      </c>
      <c r="CI203" s="291">
        <f t="shared" si="614"/>
        <v>33.83476625817601</v>
      </c>
      <c r="CJ203" s="291">
        <f t="shared" ref="CJ203" si="615">CI203*(1+CJ204)</f>
        <v>35.188156908503053</v>
      </c>
      <c r="CK203" s="291">
        <f t="shared" ref="CK203" si="616">CJ203*(1+CK204)</f>
        <v>36.595683184843175</v>
      </c>
      <c r="CL203" s="291">
        <f t="shared" ref="CL203:CM203" si="617">CK203*(1+CL204)</f>
        <v>38.059510512236905</v>
      </c>
      <c r="CM203" s="291">
        <f t="shared" si="617"/>
        <v>39.581890932726381</v>
      </c>
      <c r="CN203" s="195"/>
      <c r="CO203" s="195"/>
      <c r="CP203" s="195"/>
      <c r="CQ203" s="195"/>
      <c r="CR203" s="195"/>
      <c r="CS203" s="206"/>
      <c r="CT203" s="206"/>
      <c r="CU203" s="206"/>
      <c r="CV203" s="206"/>
      <c r="CW203" s="206"/>
      <c r="CX203" s="206"/>
    </row>
    <row r="204" spans="1:102">
      <c r="A204" s="276"/>
      <c r="B204" s="222"/>
      <c r="C204" s="222"/>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222"/>
      <c r="AB204" s="222"/>
      <c r="AC204" s="222"/>
      <c r="AD204" s="222"/>
      <c r="AE204" s="222"/>
      <c r="AF204" s="222"/>
      <c r="AG204" s="222"/>
      <c r="AH204" s="222"/>
      <c r="AI204" s="222"/>
      <c r="AJ204" s="222"/>
      <c r="AK204" s="222"/>
      <c r="AL204" s="222"/>
      <c r="AM204" s="222"/>
      <c r="AN204" s="222"/>
      <c r="AO204" s="222"/>
      <c r="AP204" s="222"/>
      <c r="AQ204" s="222"/>
      <c r="AR204" s="222"/>
      <c r="AS204" s="222"/>
      <c r="AT204" s="222">
        <f t="shared" ref="AT204:BE204" si="618">AT203/AO203-1</f>
        <v>1.2708333333333335</v>
      </c>
      <c r="AU204" s="222">
        <f t="shared" si="618"/>
        <v>0.63541666666666674</v>
      </c>
      <c r="AV204" s="222">
        <f t="shared" si="618"/>
        <v>1.3870967741935485</v>
      </c>
      <c r="AW204" s="222">
        <f t="shared" si="618"/>
        <v>1.5099999999999998</v>
      </c>
      <c r="AX204" s="222">
        <f t="shared" si="618"/>
        <v>1.1499999999999999</v>
      </c>
      <c r="AY204" s="222">
        <f t="shared" si="618"/>
        <v>1.0550458715596331</v>
      </c>
      <c r="AZ204" s="222">
        <f t="shared" si="618"/>
        <v>1.2324840764331206</v>
      </c>
      <c r="BA204" s="222">
        <f t="shared" si="618"/>
        <v>1.0675675675675675</v>
      </c>
      <c r="BB204" s="222">
        <f t="shared" si="618"/>
        <v>0.80876494023904399</v>
      </c>
      <c r="BC204" s="222">
        <f t="shared" si="618"/>
        <v>0.90876565295169942</v>
      </c>
      <c r="BD204" s="222">
        <f t="shared" si="618"/>
        <v>0.625</v>
      </c>
      <c r="BE204" s="222">
        <f t="shared" si="618"/>
        <v>0.82215882073228741</v>
      </c>
      <c r="BF204" s="222">
        <f t="shared" ref="BF204:CC204" si="619">BF203/BA203-1</f>
        <v>0.52941176470588225</v>
      </c>
      <c r="BG204" s="222">
        <f t="shared" si="619"/>
        <v>0.50550660792951541</v>
      </c>
      <c r="BH204" s="222">
        <f t="shared" si="619"/>
        <v>0.42080599812558583</v>
      </c>
      <c r="BI204" s="222">
        <f t="shared" si="619"/>
        <v>0.37271062271062272</v>
      </c>
      <c r="BJ204" s="222">
        <f t="shared" si="619"/>
        <v>0.44885177453027136</v>
      </c>
      <c r="BK204" s="222">
        <f t="shared" si="619"/>
        <v>0.43675213675213675</v>
      </c>
      <c r="BL204" s="222">
        <f t="shared" si="619"/>
        <v>0.54133138258961222</v>
      </c>
      <c r="BM204" s="222">
        <f t="shared" si="619"/>
        <v>0.28562005277044844</v>
      </c>
      <c r="BN204" s="222">
        <f t="shared" si="619"/>
        <v>0.38425617078052032</v>
      </c>
      <c r="BO204" s="222">
        <f t="shared" si="619"/>
        <v>0.40706051873198823</v>
      </c>
      <c r="BP204" s="222">
        <f t="shared" si="619"/>
        <v>0.28375966686496135</v>
      </c>
      <c r="BQ204" s="222">
        <f t="shared" si="619"/>
        <v>0.15804461319411467</v>
      </c>
      <c r="BR204" s="222">
        <f t="shared" si="619"/>
        <v>0.28116983068240131</v>
      </c>
      <c r="BS204" s="222">
        <f t="shared" si="619"/>
        <v>0.1759036144578312</v>
      </c>
      <c r="BT204" s="222">
        <f t="shared" si="619"/>
        <v>0.22055811571940609</v>
      </c>
      <c r="BU204" s="222">
        <f t="shared" si="619"/>
        <v>0.12140871177015766</v>
      </c>
      <c r="BV204" s="222">
        <f t="shared" si="619"/>
        <v>2.0491803278688492E-2</v>
      </c>
      <c r="BW204" s="222">
        <f t="shared" si="619"/>
        <v>5.3263916700040159E-2</v>
      </c>
      <c r="BX204" s="222">
        <f t="shared" si="619"/>
        <v>9.0163934426229719E-2</v>
      </c>
      <c r="BY204" s="222">
        <f t="shared" si="619"/>
        <v>6.9743051914001208E-2</v>
      </c>
      <c r="BZ204" s="222">
        <f t="shared" si="619"/>
        <v>4.1322314049586861E-2</v>
      </c>
      <c r="CA204" s="222">
        <f t="shared" si="619"/>
        <v>4.8192771084337505E-2</v>
      </c>
      <c r="CB204" s="222">
        <f t="shared" si="619"/>
        <v>2.281368821292773E-2</v>
      </c>
      <c r="CC204" s="222">
        <f t="shared" si="619"/>
        <v>4.5112781954887105E-2</v>
      </c>
      <c r="CD204" s="330">
        <v>7.0000000000000007E-2</v>
      </c>
      <c r="CE204" s="330">
        <v>0.06</v>
      </c>
      <c r="CF204" s="330">
        <v>0.04</v>
      </c>
      <c r="CG204" s="330">
        <f>CF204</f>
        <v>0.04</v>
      </c>
      <c r="CH204" s="330">
        <f>CG204</f>
        <v>0.04</v>
      </c>
      <c r="CI204" s="330">
        <f>CH204</f>
        <v>0.04</v>
      </c>
      <c r="CJ204" s="330">
        <f t="shared" ref="CJ204:CL204" si="620">CI204</f>
        <v>0.04</v>
      </c>
      <c r="CK204" s="330">
        <f t="shared" si="620"/>
        <v>0.04</v>
      </c>
      <c r="CL204" s="330">
        <f t="shared" si="620"/>
        <v>0.04</v>
      </c>
      <c r="CM204" s="330">
        <f t="shared" ref="CM204" si="621">CL204</f>
        <v>0.04</v>
      </c>
      <c r="CN204" s="195"/>
      <c r="CO204" s="195"/>
      <c r="CP204" s="195"/>
      <c r="CQ204" s="195"/>
      <c r="CR204" s="195"/>
      <c r="CS204" s="206"/>
      <c r="CT204" s="206"/>
      <c r="CU204" s="206"/>
      <c r="CV204" s="206"/>
      <c r="CW204" s="206"/>
      <c r="CX204" s="206"/>
    </row>
    <row r="205" spans="1:102">
      <c r="A205" s="276"/>
      <c r="B205" s="222"/>
      <c r="C205" s="222"/>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222"/>
      <c r="AB205" s="222"/>
      <c r="AC205" s="222"/>
      <c r="AD205" s="222"/>
      <c r="AE205" s="222"/>
      <c r="AF205" s="222"/>
      <c r="AG205" s="222"/>
      <c r="AH205" s="222"/>
      <c r="AI205" s="222"/>
      <c r="AJ205" s="222"/>
      <c r="AK205" s="222"/>
      <c r="AL205" s="222"/>
      <c r="AM205" s="222"/>
      <c r="AN205" s="222"/>
      <c r="AO205" s="222"/>
      <c r="AP205" s="222"/>
      <c r="AQ205" s="222"/>
      <c r="AR205" s="222">
        <f>AR203/AQ203-1</f>
        <v>0.29032258064516125</v>
      </c>
      <c r="AS205" s="222">
        <f>AS203/AR203-1</f>
        <v>0.30000000000000004</v>
      </c>
      <c r="AT205" s="222">
        <f>AT203/AS203-1</f>
        <v>0.25769230769230766</v>
      </c>
      <c r="AU205" s="222"/>
      <c r="AV205" s="222">
        <f>AV203/AU203-1</f>
        <v>0.57112526539278141</v>
      </c>
      <c r="AW205" s="222">
        <f>AW203/AV203-1</f>
        <v>0.35675675675675667</v>
      </c>
      <c r="AX205" s="222">
        <f>AX203/AW203-1</f>
        <v>0.11354581673306785</v>
      </c>
      <c r="AY205" s="222">
        <f>AY203/AX203-1</f>
        <v>0.20214669051878342</v>
      </c>
      <c r="AZ205" s="222"/>
      <c r="BA205" s="222">
        <f>BA203/AZ203-1</f>
        <v>0.45506419400855935</v>
      </c>
      <c r="BB205" s="222">
        <f>BB203/BA203-1</f>
        <v>0.1869281045751634</v>
      </c>
      <c r="BC205" s="222">
        <f>BC203/BB203-1</f>
        <v>0.17511013215859039</v>
      </c>
      <c r="BD205" s="222">
        <f>BD203/BC203-1</f>
        <v>2.3430178069353325E-2</v>
      </c>
      <c r="BE205" s="222"/>
      <c r="BF205" s="222">
        <f>BF203/BE203-1</f>
        <v>0.22129436325678498</v>
      </c>
      <c r="BG205" s="222">
        <f>BG203/BF203-1</f>
        <v>0.16837606837606844</v>
      </c>
      <c r="BH205" s="222">
        <f>BH203/BG203-1</f>
        <v>0.10899780541331383</v>
      </c>
      <c r="BI205" s="222">
        <f>BI203/BH203-1</f>
        <v>-1.1213720316622711E-2</v>
      </c>
      <c r="BJ205" s="222"/>
      <c r="BK205" s="222">
        <f>BK203/BJ203-1</f>
        <v>0.21109510086455319</v>
      </c>
      <c r="BL205" s="222">
        <f>BL203/BK203-1</f>
        <v>0.25342058298631787</v>
      </c>
      <c r="BM205" s="222">
        <f>BM203/BL203-1</f>
        <v>-7.4988134788799288E-2</v>
      </c>
      <c r="BN205" s="222">
        <f>BN203/BM203-1</f>
        <v>6.4648537711647025E-2</v>
      </c>
      <c r="BO205" s="222"/>
      <c r="BP205" s="222">
        <f>BP203/BO203-1</f>
        <v>0.10496671786994383</v>
      </c>
      <c r="BQ205" s="222">
        <f>BQ203/BP203-1</f>
        <v>0.13067655236329934</v>
      </c>
      <c r="BR205" s="222">
        <f>BR203/BQ203-1</f>
        <v>2.336065573770485E-2</v>
      </c>
      <c r="BS205" s="222">
        <f>BS203/BR203-1</f>
        <v>-2.2827392871445751E-2</v>
      </c>
      <c r="BT205" s="222"/>
      <c r="BU205" s="222">
        <f>BU203/BT203-1</f>
        <v>1.5207131620346148E-2</v>
      </c>
      <c r="BV205" s="222">
        <f>BV203/BU203-1</f>
        <v>2.8925619834710758E-2</v>
      </c>
      <c r="BW205" s="222">
        <f>BW203/BV203-1</f>
        <v>5.6224899598393607E-2</v>
      </c>
      <c r="BX205" s="222">
        <f>BX203/BW203-1</f>
        <v>1.1406844106463865E-2</v>
      </c>
      <c r="BY205" s="222"/>
      <c r="BZ205" s="222">
        <f>BZ203/BY203-1</f>
        <v>-1.176470588235301E-2</v>
      </c>
      <c r="CA205" s="222">
        <f>CA203/BZ203-1</f>
        <v>3.5714285714285809E-2</v>
      </c>
      <c r="CB205" s="222">
        <f>CB203/CA203-1</f>
        <v>3.0651340996168397E-2</v>
      </c>
      <c r="CC205" s="222">
        <f>CC203/CB203-1</f>
        <v>3.3457249070631967E-2</v>
      </c>
      <c r="CD205" s="222"/>
      <c r="CE205" s="222"/>
      <c r="CF205" s="222"/>
      <c r="CG205" s="222"/>
      <c r="CH205" s="222"/>
      <c r="CI205" s="222"/>
      <c r="CJ205" s="222"/>
      <c r="CK205" s="222"/>
      <c r="CL205" s="222"/>
      <c r="CM205" s="222"/>
      <c r="CN205" s="195"/>
      <c r="CO205" s="195"/>
      <c r="CP205" s="195"/>
      <c r="CQ205" s="195"/>
      <c r="CR205" s="195"/>
      <c r="CS205" s="206"/>
      <c r="CT205" s="206"/>
      <c r="CU205" s="206"/>
      <c r="CV205" s="206"/>
      <c r="CW205" s="206"/>
      <c r="CX205" s="206"/>
    </row>
    <row r="206" spans="1:102" s="205" customFormat="1">
      <c r="A206" s="338" t="s">
        <v>282</v>
      </c>
      <c r="B206" s="254"/>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310"/>
      <c r="AC206" s="310"/>
      <c r="AD206" s="310"/>
      <c r="AE206" s="310"/>
      <c r="AF206" s="254"/>
      <c r="AG206" s="254"/>
      <c r="AH206" s="254"/>
      <c r="AI206" s="254"/>
      <c r="AJ206" s="254"/>
      <c r="AK206" s="254"/>
      <c r="AL206" s="254"/>
      <c r="AM206" s="254"/>
      <c r="AN206" s="254"/>
      <c r="AO206" s="254">
        <f>AO116*AO207</f>
        <v>8504.9800000000014</v>
      </c>
      <c r="AP206" s="254">
        <f>AO206</f>
        <v>8504.9800000000014</v>
      </c>
      <c r="AQ206" s="254">
        <f>AQ116*AQ207</f>
        <v>8247.7000000000007</v>
      </c>
      <c r="AR206" s="254">
        <f>AR116*AR207</f>
        <v>8329.32</v>
      </c>
      <c r="AS206" s="254">
        <f>AS116*AS207</f>
        <v>8673.119999999999</v>
      </c>
      <c r="AT206" s="254">
        <f>AT116*AT207</f>
        <v>8825.24</v>
      </c>
      <c r="AU206" s="254">
        <f>AT206</f>
        <v>8825.24</v>
      </c>
      <c r="AV206" s="254">
        <f>AV116*AV207</f>
        <v>9063.6</v>
      </c>
      <c r="AW206" s="254">
        <f>AW116*AW207</f>
        <v>9006.5557756624657</v>
      </c>
      <c r="AX206" s="254">
        <f>AX116*AX207</f>
        <v>8730.8143757210055</v>
      </c>
      <c r="AY206" s="254">
        <f>AY116*AY207</f>
        <v>8785.0045189793527</v>
      </c>
      <c r="AZ206" s="254">
        <f>AY206</f>
        <v>8785.0045189793527</v>
      </c>
      <c r="BA206" s="254">
        <f>BA116*BA207</f>
        <v>8785.48</v>
      </c>
      <c r="BB206" s="254">
        <f>BB116*BB207</f>
        <v>8910.0499999999993</v>
      </c>
      <c r="BC206" s="254">
        <f>BC116*BC207</f>
        <v>9078.7199999999993</v>
      </c>
      <c r="BD206" s="254">
        <f>BD116*BD207</f>
        <v>9146.85</v>
      </c>
      <c r="BE206" s="254">
        <f>BD206</f>
        <v>9146.85</v>
      </c>
      <c r="BF206" s="254">
        <f>BF116*BF207</f>
        <v>9150.25</v>
      </c>
      <c r="BG206" s="254">
        <f>BG116*BG207</f>
        <v>9265.85</v>
      </c>
      <c r="BH206" s="254">
        <f>BH116*BH207</f>
        <v>9385.6999999999989</v>
      </c>
      <c r="BI206" s="254">
        <f>BI116*BI207</f>
        <v>9460.5</v>
      </c>
      <c r="BJ206" s="254">
        <f>BI206</f>
        <v>9460.5</v>
      </c>
      <c r="BK206" s="254">
        <f>BK116*BK207</f>
        <v>9537.85</v>
      </c>
      <c r="BL206" s="254">
        <f>BL116*BL207</f>
        <v>9886.35</v>
      </c>
      <c r="BM206" s="254">
        <f>BM116*BM207</f>
        <v>9351.6999999999989</v>
      </c>
      <c r="BN206" s="254">
        <f>BN116*BN207</f>
        <v>9462.1999999999989</v>
      </c>
      <c r="BO206" s="254">
        <f>BN206</f>
        <v>9462.1999999999989</v>
      </c>
      <c r="BP206" s="254">
        <f>BP116*BP207</f>
        <v>9665.35</v>
      </c>
      <c r="BQ206" s="254">
        <f>BQ116*BQ207</f>
        <v>9769.0499999999993</v>
      </c>
      <c r="BR206" s="254">
        <f>BR116*BR207</f>
        <v>9724.85</v>
      </c>
      <c r="BS206" s="254">
        <f>BS116*BS207</f>
        <v>9875.2999999999993</v>
      </c>
      <c r="BT206" s="254">
        <f>BS206</f>
        <v>9875.2999999999993</v>
      </c>
      <c r="BU206" s="254">
        <f>BU116*BU207</f>
        <v>9703.6</v>
      </c>
      <c r="BV206" s="254">
        <f>BV116*BV207</f>
        <v>0</v>
      </c>
      <c r="BW206" s="254">
        <f>BW116*BW207</f>
        <v>0</v>
      </c>
      <c r="BX206" s="254">
        <f>BX116*BX207</f>
        <v>0</v>
      </c>
      <c r="BY206" s="254">
        <f>BX206</f>
        <v>0</v>
      </c>
      <c r="BZ206" s="254">
        <f>BZ116*BZ207</f>
        <v>0</v>
      </c>
      <c r="CA206" s="254">
        <f>CA116*CA207</f>
        <v>0</v>
      </c>
      <c r="CB206" s="254">
        <f>CB116*CB207</f>
        <v>0</v>
      </c>
      <c r="CC206" s="254">
        <f>CC116*CC207</f>
        <v>0</v>
      </c>
      <c r="CD206" s="254">
        <f>CD196*1.05</f>
        <v>0</v>
      </c>
      <c r="CE206" s="254">
        <f>CE196*1.05</f>
        <v>0</v>
      </c>
      <c r="CF206" s="254">
        <f>CF196*1.05</f>
        <v>0</v>
      </c>
      <c r="CG206" s="254">
        <f>CG196*1.03</f>
        <v>0</v>
      </c>
      <c r="CH206" s="254">
        <f>CH196*1.03</f>
        <v>0</v>
      </c>
      <c r="CI206" s="254">
        <f>CI196*1.03</f>
        <v>0</v>
      </c>
      <c r="CJ206" s="254">
        <f t="shared" ref="CJ206:CL206" si="622">CJ196*1.03</f>
        <v>0</v>
      </c>
      <c r="CK206" s="254">
        <f t="shared" si="622"/>
        <v>0</v>
      </c>
      <c r="CL206" s="254">
        <f t="shared" si="622"/>
        <v>0</v>
      </c>
      <c r="CM206" s="254">
        <f t="shared" ref="CM206" si="623">CM196*1.03</f>
        <v>0</v>
      </c>
    </row>
    <row r="207" spans="1:102">
      <c r="A207" s="276" t="s">
        <v>283</v>
      </c>
      <c r="B207" s="222"/>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330">
        <v>0.67</v>
      </c>
      <c r="AP207" s="330">
        <f>AP206/AP116</f>
        <v>0.67000000000000015</v>
      </c>
      <c r="AQ207" s="330">
        <v>0.67</v>
      </c>
      <c r="AR207" s="330">
        <v>0.68</v>
      </c>
      <c r="AS207" s="330">
        <v>0.72</v>
      </c>
      <c r="AT207" s="330">
        <v>0.74</v>
      </c>
      <c r="AU207" s="330">
        <v>0.74</v>
      </c>
      <c r="AV207" s="330">
        <v>0.78</v>
      </c>
      <c r="AW207" s="330">
        <f>'[2]Domestic Mobile Operations'!X$9</f>
        <v>0.78351942372009264</v>
      </c>
      <c r="AX207" s="330">
        <f>'[2]Domestic Mobile Operations'!Y$9</f>
        <v>0.78627651078179084</v>
      </c>
      <c r="AY207" s="330">
        <f>'[2]Domestic Mobile Operations'!Z$9</f>
        <v>0.80389865656838877</v>
      </c>
      <c r="AZ207" s="330">
        <f>AY207</f>
        <v>0.80389865656838877</v>
      </c>
      <c r="BA207" s="330">
        <f>'[2]Domestic Mobile Operations'!AA$9</f>
        <v>0.82</v>
      </c>
      <c r="BB207" s="330">
        <f>'[2]Domestic Mobile Operations'!AB$9</f>
        <v>0.83</v>
      </c>
      <c r="BC207" s="330">
        <f>'[2]Domestic Mobile Operations'!AC$9</f>
        <v>0.84</v>
      </c>
      <c r="BD207" s="330">
        <f>'[2]Domestic Mobile Operations'!AD$9</f>
        <v>0.85</v>
      </c>
      <c r="BE207" s="222">
        <f>BE206/BE116</f>
        <v>0.85000000000000009</v>
      </c>
      <c r="BF207" s="330">
        <f>'[2]Domestic Mobile Operations'!AE$9</f>
        <v>0.85</v>
      </c>
      <c r="BG207" s="330">
        <f>'[2]Domestic Mobile Operations'!AF$9</f>
        <v>0.85</v>
      </c>
      <c r="BH207" s="330">
        <f>'[2]Domestic Mobile Operations'!AG$9</f>
        <v>0.85</v>
      </c>
      <c r="BI207" s="330">
        <f>'[2]Domestic Mobile Operations'!AH$9</f>
        <v>0.85</v>
      </c>
      <c r="BJ207" s="222">
        <f>BJ206/BJ116</f>
        <v>0.85</v>
      </c>
      <c r="BK207" s="330">
        <f>'[2]Domestic Mobile Operations'!AI$9</f>
        <v>0.85</v>
      </c>
      <c r="BL207" s="330">
        <f>'[2]Domestic Mobile Operations'!AJ$9</f>
        <v>0.85</v>
      </c>
      <c r="BM207" s="330">
        <f>'[2]Domestic Mobile Operations'!AK$9</f>
        <v>0.85</v>
      </c>
      <c r="BN207" s="330">
        <f>'[2]Domestic Mobile Operations'!AL$9</f>
        <v>0.85</v>
      </c>
      <c r="BO207" s="222">
        <f>BO206/BO116</f>
        <v>0.84999999999999987</v>
      </c>
      <c r="BP207" s="330">
        <f>'[2]Domestic Mobile Operations'!AM$9</f>
        <v>0.85</v>
      </c>
      <c r="BQ207" s="330">
        <f>'[2]Domestic Mobile Operations'!AN$9</f>
        <v>0.85</v>
      </c>
      <c r="BR207" s="330">
        <f>'[2]Domestic Mobile Operations'!AO$9</f>
        <v>0.85</v>
      </c>
      <c r="BS207" s="330">
        <f>'[2]Domestic Mobile Operations'!AP$9</f>
        <v>0.85</v>
      </c>
      <c r="BT207" s="222">
        <f>BT206/BT116</f>
        <v>0.85</v>
      </c>
      <c r="BU207" s="330">
        <f>'[2]Domestic Mobile Operations'!AQ$9</f>
        <v>0.85</v>
      </c>
      <c r="BV207" s="330">
        <f>'[2]Domestic Mobile Operations'!AR$9</f>
        <v>0</v>
      </c>
      <c r="BW207" s="330">
        <f>'[2]Domestic Mobile Operations'!AS$9</f>
        <v>0</v>
      </c>
      <c r="BX207" s="330">
        <f>'[2]Domestic Mobile Operations'!AT$9</f>
        <v>0</v>
      </c>
      <c r="BY207" s="222">
        <f>BY206/BY116</f>
        <v>0</v>
      </c>
      <c r="BZ207" s="330">
        <f>'[2]Domestic Mobile Operations'!AU$9</f>
        <v>0</v>
      </c>
      <c r="CA207" s="330">
        <f>'[2]Domestic Mobile Operations'!AV$9</f>
        <v>0</v>
      </c>
      <c r="CB207" s="330">
        <f>'[2]Domestic Mobile Operations'!AW$9</f>
        <v>0</v>
      </c>
      <c r="CC207" s="330">
        <f>'[2]Domestic Mobile Operations'!AX$9</f>
        <v>0</v>
      </c>
      <c r="CD207" s="222">
        <f t="shared" ref="CD207:CI207" si="624">CD206/CD116</f>
        <v>0</v>
      </c>
      <c r="CE207" s="222">
        <f t="shared" si="624"/>
        <v>0</v>
      </c>
      <c r="CF207" s="222">
        <f t="shared" si="624"/>
        <v>0</v>
      </c>
      <c r="CG207" s="222">
        <f t="shared" si="624"/>
        <v>0</v>
      </c>
      <c r="CH207" s="222">
        <f t="shared" si="624"/>
        <v>0</v>
      </c>
      <c r="CI207" s="222">
        <f t="shared" si="624"/>
        <v>0</v>
      </c>
      <c r="CJ207" s="222">
        <f t="shared" ref="CJ207:CL207" si="625">CJ206/CJ116</f>
        <v>0</v>
      </c>
      <c r="CK207" s="222">
        <f t="shared" si="625"/>
        <v>0</v>
      </c>
      <c r="CL207" s="222">
        <f t="shared" si="625"/>
        <v>0</v>
      </c>
      <c r="CM207" s="222">
        <f t="shared" ref="CM207" si="626">CM206/CM116</f>
        <v>0</v>
      </c>
      <c r="CN207" s="195"/>
      <c r="CO207" s="195"/>
      <c r="CP207" s="195"/>
      <c r="CQ207" s="195"/>
      <c r="CR207" s="195"/>
      <c r="CS207" s="206"/>
      <c r="CT207" s="206"/>
      <c r="CU207" s="206"/>
      <c r="CV207" s="206"/>
      <c r="CW207" s="206"/>
      <c r="CX207" s="206"/>
    </row>
    <row r="208" spans="1:102">
      <c r="A208" s="276"/>
      <c r="B208" s="222"/>
      <c r="C208" s="222"/>
      <c r="D208" s="222"/>
      <c r="E208" s="222"/>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222"/>
      <c r="AB208" s="222"/>
      <c r="AC208" s="222"/>
      <c r="AD208" s="222"/>
      <c r="AE208" s="222"/>
      <c r="AF208" s="339"/>
      <c r="AG208" s="222"/>
      <c r="AH208" s="222"/>
      <c r="AI208" s="222"/>
      <c r="AJ208" s="222"/>
      <c r="AK208" s="222"/>
      <c r="AL208" s="222"/>
      <c r="AM208" s="222"/>
      <c r="AN208" s="222"/>
      <c r="AO208" s="222"/>
      <c r="AP208" s="222"/>
      <c r="AQ208" s="222"/>
      <c r="AR208" s="222"/>
      <c r="AS208" s="222">
        <f t="shared" ref="AS208:BD208" si="627">AS207/AO207-1</f>
        <v>7.4626865671641784E-2</v>
      </c>
      <c r="AT208" s="222">
        <f t="shared" si="627"/>
        <v>0.10447761194029814</v>
      </c>
      <c r="AU208" s="222">
        <f t="shared" si="627"/>
        <v>0.10447761194029836</v>
      </c>
      <c r="AV208" s="222">
        <f t="shared" si="627"/>
        <v>0.14705882352941169</v>
      </c>
      <c r="AW208" s="222">
        <f t="shared" si="627"/>
        <v>8.8221421833462044E-2</v>
      </c>
      <c r="AX208" s="222">
        <f t="shared" si="627"/>
        <v>6.2535825380798382E-2</v>
      </c>
      <c r="AY208" s="222">
        <f t="shared" si="627"/>
        <v>8.6349535903228025E-2</v>
      </c>
      <c r="AZ208" s="222">
        <f t="shared" si="627"/>
        <v>3.0639303292806064E-2</v>
      </c>
      <c r="BA208" s="222">
        <f t="shared" si="627"/>
        <v>4.655988757330376E-2</v>
      </c>
      <c r="BB208" s="222">
        <f t="shared" si="627"/>
        <v>5.560828616733704E-2</v>
      </c>
      <c r="BC208" s="222">
        <f t="shared" si="627"/>
        <v>4.4907829036208824E-2</v>
      </c>
      <c r="BD208" s="222">
        <f t="shared" si="627"/>
        <v>5.7347207953306611E-2</v>
      </c>
      <c r="BE208" s="222"/>
      <c r="BF208" s="222">
        <f>BF207/BB207-1</f>
        <v>2.4096385542168752E-2</v>
      </c>
      <c r="BG208" s="222">
        <f>BG207/BC207-1</f>
        <v>1.1904761904761862E-2</v>
      </c>
      <c r="BH208" s="222">
        <f>BH207/BD207-1</f>
        <v>0</v>
      </c>
      <c r="BI208" s="222">
        <f>BI207/BE207-1</f>
        <v>0</v>
      </c>
      <c r="BJ208" s="222"/>
      <c r="BK208" s="222">
        <f>BK207/BG207-1</f>
        <v>0</v>
      </c>
      <c r="BL208" s="222">
        <f>BL207/BH207-1</f>
        <v>0</v>
      </c>
      <c r="BM208" s="222">
        <f>BM207/BI207-1</f>
        <v>0</v>
      </c>
      <c r="BN208" s="222">
        <f>BN207/BJ207-1</f>
        <v>0</v>
      </c>
      <c r="BO208" s="222"/>
      <c r="BP208" s="222">
        <f>BP207/BL207-1</f>
        <v>0</v>
      </c>
      <c r="BQ208" s="222">
        <f>BQ207/BM207-1</f>
        <v>0</v>
      </c>
      <c r="BR208" s="222">
        <f>BR207/BN207-1</f>
        <v>0</v>
      </c>
      <c r="BS208" s="222">
        <f>BS207/BO207-1</f>
        <v>0</v>
      </c>
      <c r="BT208" s="222"/>
      <c r="BU208" s="222">
        <f>BU207/BQ207-1</f>
        <v>0</v>
      </c>
      <c r="BV208" s="222">
        <f>BV207/BR207-1</f>
        <v>-1</v>
      </c>
      <c r="BW208" s="222">
        <f>BW207/BS207-1</f>
        <v>-1</v>
      </c>
      <c r="BX208" s="222">
        <f>BX207/BT207-1</f>
        <v>-1</v>
      </c>
      <c r="BY208" s="222"/>
      <c r="BZ208" s="222" t="e">
        <f>BZ207/BV207-1</f>
        <v>#DIV/0!</v>
      </c>
      <c r="CA208" s="222" t="e">
        <f>CA207/BW207-1</f>
        <v>#DIV/0!</v>
      </c>
      <c r="CB208" s="222" t="e">
        <f>CB207/BX207-1</f>
        <v>#DIV/0!</v>
      </c>
      <c r="CC208" s="222" t="e">
        <f>CC207/BY207-1</f>
        <v>#DIV/0!</v>
      </c>
      <c r="CD208" s="222"/>
      <c r="CE208" s="222"/>
      <c r="CF208" s="222"/>
      <c r="CG208" s="222"/>
      <c r="CH208" s="222"/>
      <c r="CI208" s="222"/>
      <c r="CJ208" s="222"/>
      <c r="CK208" s="222"/>
      <c r="CL208" s="222"/>
      <c r="CM208" s="222"/>
      <c r="CN208" s="195"/>
      <c r="CO208" s="195"/>
      <c r="CP208" s="195"/>
      <c r="CQ208" s="195"/>
      <c r="CR208" s="195"/>
      <c r="CS208" s="206"/>
      <c r="CT208" s="206"/>
      <c r="CU208" s="206"/>
      <c r="CV208" s="206"/>
      <c r="CW208" s="206"/>
      <c r="CX208" s="206"/>
    </row>
    <row r="209" spans="1:142">
      <c r="A209" s="276"/>
      <c r="B209" s="222"/>
      <c r="C209" s="222"/>
      <c r="D209" s="222"/>
      <c r="E209" s="222"/>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222"/>
      <c r="AB209" s="222"/>
      <c r="AC209" s="222"/>
      <c r="AD209" s="222"/>
      <c r="AE209" s="222"/>
      <c r="AF209" s="222"/>
      <c r="AG209" s="222"/>
      <c r="AH209" s="222"/>
      <c r="AI209" s="222"/>
      <c r="AJ209" s="222"/>
      <c r="AK209" s="222"/>
      <c r="AL209" s="222"/>
      <c r="AM209" s="222"/>
      <c r="AN209" s="222"/>
      <c r="AO209" s="222"/>
      <c r="AP209" s="222"/>
      <c r="AQ209" s="222"/>
      <c r="AR209" s="222"/>
      <c r="AS209" s="222"/>
      <c r="AT209" s="222"/>
      <c r="AU209" s="222"/>
      <c r="AV209" s="222"/>
      <c r="AW209" s="222"/>
      <c r="AX209" s="222"/>
      <c r="AY209" s="222"/>
      <c r="AZ209" s="222"/>
      <c r="BA209" s="222"/>
      <c r="BB209" s="222"/>
      <c r="BC209" s="222"/>
      <c r="BD209" s="222"/>
      <c r="BE209" s="222"/>
      <c r="BF209" s="222"/>
      <c r="BG209" s="222"/>
      <c r="BH209" s="222"/>
      <c r="BI209" s="222"/>
      <c r="BJ209" s="222"/>
      <c r="BK209" s="222"/>
      <c r="BL209" s="222"/>
      <c r="BM209" s="222"/>
      <c r="BN209" s="222"/>
      <c r="BO209" s="222"/>
      <c r="BP209" s="222"/>
      <c r="BQ209" s="222"/>
      <c r="BR209" s="222"/>
      <c r="BS209" s="222"/>
      <c r="BT209" s="222"/>
      <c r="BU209" s="222"/>
      <c r="BV209" s="222"/>
      <c r="BW209" s="222"/>
      <c r="BX209" s="222"/>
      <c r="BY209" s="222"/>
      <c r="BZ209" s="222"/>
      <c r="CA209" s="222"/>
      <c r="CB209" s="222"/>
      <c r="CC209" s="222"/>
      <c r="CD209" s="222"/>
      <c r="CE209" s="222"/>
      <c r="CF209" s="222"/>
      <c r="CG209" s="222"/>
      <c r="CH209" s="222"/>
      <c r="CI209" s="222"/>
      <c r="CJ209" s="222"/>
      <c r="CK209" s="222"/>
      <c r="CL209" s="222"/>
      <c r="CM209" s="222"/>
      <c r="CN209" s="195"/>
      <c r="CO209" s="195"/>
      <c r="CP209" s="195"/>
      <c r="CQ209" s="195"/>
      <c r="CR209" s="195"/>
      <c r="CS209" s="206"/>
      <c r="CT209" s="206"/>
      <c r="CU209" s="206"/>
      <c r="CV209" s="206"/>
      <c r="CW209" s="206"/>
      <c r="CX209" s="206"/>
    </row>
    <row r="210" spans="1:142">
      <c r="A210" s="276"/>
      <c r="B210" s="222"/>
      <c r="C210" s="222"/>
      <c r="D210" s="222"/>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222"/>
      <c r="AB210" s="222"/>
      <c r="AC210" s="222"/>
      <c r="AD210" s="222"/>
      <c r="AE210" s="222"/>
      <c r="AF210" s="222"/>
      <c r="AG210" s="222"/>
      <c r="AH210" s="222"/>
      <c r="AI210" s="222"/>
      <c r="AJ210" s="222"/>
      <c r="AK210" s="222"/>
      <c r="AL210" s="222"/>
      <c r="AM210" s="222"/>
      <c r="AN210" s="222"/>
      <c r="AO210" s="222"/>
      <c r="AP210" s="222"/>
      <c r="AQ210" s="222"/>
      <c r="AR210" s="222"/>
      <c r="AS210" s="222"/>
      <c r="AT210" s="222"/>
      <c r="AU210" s="222"/>
      <c r="AV210" s="222"/>
      <c r="AW210" s="222"/>
      <c r="AX210" s="222"/>
      <c r="AY210" s="222"/>
      <c r="AZ210" s="222"/>
      <c r="BA210" s="222"/>
      <c r="BB210" s="222"/>
      <c r="BC210" s="222"/>
      <c r="BD210" s="222"/>
      <c r="BE210" s="222"/>
      <c r="BF210" s="222"/>
      <c r="BG210" s="222"/>
      <c r="BH210" s="222"/>
      <c r="BI210" s="222"/>
      <c r="BJ210" s="222"/>
      <c r="BK210" s="222"/>
      <c r="BL210" s="222"/>
      <c r="BM210" s="222"/>
      <c r="BN210" s="222"/>
      <c r="BO210" s="222"/>
      <c r="BP210" s="222"/>
      <c r="BQ210" s="222"/>
      <c r="BR210" s="222"/>
      <c r="BS210" s="222"/>
      <c r="BT210" s="222"/>
      <c r="BU210" s="222"/>
      <c r="BV210" s="222"/>
      <c r="BW210" s="222"/>
      <c r="BX210" s="222"/>
      <c r="BY210" s="222"/>
      <c r="BZ210" s="222"/>
      <c r="CA210" s="222"/>
      <c r="CB210" s="222"/>
      <c r="CC210" s="222"/>
      <c r="CD210" s="222"/>
      <c r="CE210" s="222"/>
      <c r="CF210" s="222"/>
      <c r="CG210" s="222"/>
      <c r="CH210" s="222"/>
      <c r="CI210" s="222"/>
      <c r="CJ210" s="222"/>
      <c r="CK210" s="222"/>
      <c r="CL210" s="222"/>
      <c r="CM210" s="222"/>
      <c r="CN210" s="195"/>
      <c r="CO210" s="195"/>
      <c r="CP210" s="195"/>
      <c r="CQ210" s="195"/>
      <c r="CR210" s="195"/>
      <c r="CS210" s="206"/>
      <c r="CT210" s="206"/>
      <c r="CU210" s="206"/>
      <c r="CV210" s="206"/>
      <c r="CW210" s="206"/>
      <c r="CX210" s="206"/>
    </row>
    <row r="211" spans="1:142">
      <c r="A211" s="276"/>
      <c r="B211" s="222"/>
      <c r="C211" s="222"/>
      <c r="D211" s="222"/>
      <c r="E211" s="222"/>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222"/>
      <c r="AB211" s="222"/>
      <c r="AC211" s="222"/>
      <c r="AD211" s="222"/>
      <c r="AE211" s="222"/>
      <c r="AF211" s="222"/>
      <c r="AG211" s="222"/>
      <c r="AH211" s="222"/>
      <c r="AI211" s="222"/>
      <c r="AJ211" s="222"/>
      <c r="AK211" s="222"/>
      <c r="AL211" s="222"/>
      <c r="AM211" s="222"/>
      <c r="AN211" s="222"/>
      <c r="AO211" s="222"/>
      <c r="AP211" s="222"/>
      <c r="AQ211" s="222"/>
      <c r="AR211" s="222"/>
      <c r="AS211" s="222"/>
      <c r="AT211" s="222"/>
      <c r="AU211" s="222"/>
      <c r="AV211" s="222"/>
      <c r="AW211" s="222"/>
      <c r="AX211" s="222"/>
      <c r="AY211" s="222"/>
      <c r="AZ211" s="222"/>
      <c r="BA211" s="222"/>
      <c r="BB211" s="222"/>
      <c r="BC211" s="222"/>
      <c r="BD211" s="222"/>
      <c r="BE211" s="222"/>
      <c r="BF211" s="222"/>
      <c r="BG211" s="222"/>
      <c r="BH211" s="222"/>
      <c r="BI211" s="222"/>
      <c r="BJ211" s="222"/>
      <c r="BK211" s="222"/>
      <c r="BL211" s="222"/>
      <c r="BM211" s="222"/>
      <c r="BN211" s="222"/>
      <c r="BO211" s="222"/>
      <c r="BP211" s="222"/>
      <c r="BQ211" s="222"/>
      <c r="BR211" s="222"/>
      <c r="BS211" s="222"/>
      <c r="BT211" s="222"/>
      <c r="BU211" s="222"/>
      <c r="BV211" s="222"/>
      <c r="BW211" s="222"/>
      <c r="BX211" s="222"/>
      <c r="BY211" s="222"/>
      <c r="BZ211" s="222"/>
      <c r="CA211" s="222"/>
      <c r="CB211" s="222"/>
      <c r="CC211" s="222"/>
      <c r="CD211" s="222"/>
      <c r="CE211" s="222"/>
      <c r="CF211" s="222"/>
      <c r="CG211" s="222"/>
      <c r="CH211" s="222"/>
      <c r="CI211" s="222"/>
      <c r="CJ211" s="222"/>
      <c r="CK211" s="222"/>
      <c r="CL211" s="222"/>
      <c r="CM211" s="222"/>
      <c r="CN211" s="195"/>
      <c r="CO211" s="195"/>
      <c r="CP211" s="195"/>
      <c r="CQ211" s="195"/>
      <c r="CR211" s="195"/>
      <c r="CS211" s="206"/>
      <c r="CT211" s="206"/>
      <c r="CU211" s="206"/>
      <c r="CV211" s="206"/>
      <c r="CW211" s="206"/>
      <c r="CX211" s="206"/>
    </row>
    <row r="212" spans="1:142">
      <c r="A212" s="340"/>
      <c r="B212" s="313"/>
      <c r="C212" s="313"/>
      <c r="D212" s="313"/>
      <c r="E212" s="313"/>
      <c r="F212" s="313"/>
      <c r="G212" s="313"/>
      <c r="H212" s="313"/>
      <c r="I212" s="313"/>
      <c r="J212" s="313"/>
      <c r="K212" s="313"/>
      <c r="L212" s="313"/>
      <c r="M212" s="313"/>
      <c r="N212" s="313"/>
      <c r="O212" s="313"/>
      <c r="P212" s="313"/>
      <c r="Q212" s="313"/>
      <c r="R212" s="313"/>
      <c r="S212" s="313"/>
      <c r="T212" s="313"/>
      <c r="U212" s="313"/>
      <c r="V212" s="313"/>
      <c r="W212" s="313"/>
      <c r="X212" s="313"/>
      <c r="Y212" s="313"/>
      <c r="Z212" s="313"/>
      <c r="AA212" s="313"/>
      <c r="AB212" s="313"/>
      <c r="AC212" s="313"/>
      <c r="AD212" s="313"/>
      <c r="AE212" s="313"/>
      <c r="AF212" s="313"/>
      <c r="AG212" s="313"/>
      <c r="AH212" s="313"/>
      <c r="AI212" s="313"/>
      <c r="AJ212" s="313"/>
      <c r="AK212" s="313"/>
      <c r="AL212" s="313"/>
      <c r="AM212" s="313"/>
      <c r="AN212" s="313"/>
      <c r="AO212" s="313"/>
      <c r="AP212" s="313"/>
      <c r="AQ212" s="313"/>
      <c r="AR212" s="313"/>
      <c r="AS212" s="313"/>
      <c r="AT212" s="313"/>
      <c r="AU212" s="313"/>
      <c r="AV212" s="313"/>
      <c r="AW212" s="313"/>
      <c r="AX212" s="313"/>
      <c r="AY212" s="313"/>
      <c r="AZ212" s="313"/>
      <c r="BA212" s="313"/>
      <c r="BB212" s="313"/>
      <c r="BC212" s="313"/>
      <c r="BD212" s="313"/>
      <c r="BE212" s="313"/>
      <c r="BF212" s="313"/>
      <c r="BG212" s="313"/>
      <c r="BH212" s="313"/>
      <c r="BI212" s="313"/>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c r="CF212" s="313"/>
      <c r="CG212" s="313"/>
      <c r="CH212" s="313"/>
      <c r="CI212" s="313"/>
      <c r="CJ212" s="313"/>
      <c r="CK212" s="313"/>
      <c r="CL212" s="313"/>
      <c r="CM212" s="313"/>
      <c r="CN212" s="195"/>
      <c r="CO212" s="195"/>
      <c r="CP212" s="195"/>
      <c r="CQ212" s="195"/>
      <c r="CR212" s="195"/>
      <c r="CS212" s="206"/>
      <c r="CT212" s="206"/>
      <c r="CU212" s="206"/>
      <c r="CV212" s="206"/>
      <c r="CW212" s="206"/>
      <c r="CX212" s="206"/>
    </row>
    <row r="213" spans="1:142">
      <c r="A213" s="201" t="s">
        <v>257</v>
      </c>
      <c r="B213" s="201">
        <f>B132</f>
        <v>2007</v>
      </c>
      <c r="C213" s="201"/>
      <c r="D213" s="201"/>
      <c r="E213" s="201"/>
      <c r="F213" s="201"/>
      <c r="G213" s="201">
        <f>B213+1</f>
        <v>2008</v>
      </c>
      <c r="H213" s="201"/>
      <c r="I213" s="201"/>
      <c r="J213" s="201"/>
      <c r="K213" s="201"/>
      <c r="L213" s="201">
        <f>G213+1</f>
        <v>2009</v>
      </c>
      <c r="M213" s="201"/>
      <c r="N213" s="201"/>
      <c r="O213" s="201"/>
      <c r="P213" s="201"/>
      <c r="Q213" s="201">
        <f>L213+1</f>
        <v>2010</v>
      </c>
      <c r="R213" s="201"/>
      <c r="S213" s="201"/>
      <c r="T213" s="201"/>
      <c r="U213" s="201"/>
      <c r="V213" s="201">
        <f>Q213+1</f>
        <v>2011</v>
      </c>
      <c r="W213" s="201"/>
      <c r="X213" s="201"/>
      <c r="Y213" s="201"/>
      <c r="Z213" s="201"/>
      <c r="AA213" s="201">
        <f>V213+1</f>
        <v>2012</v>
      </c>
      <c r="AB213" s="201"/>
      <c r="AC213" s="201"/>
      <c r="AD213" s="201"/>
      <c r="AE213" s="201"/>
      <c r="AF213" s="201">
        <f>AA213+1</f>
        <v>2013</v>
      </c>
      <c r="AG213" s="201"/>
      <c r="AH213" s="201"/>
      <c r="AI213" s="201"/>
      <c r="AJ213" s="201"/>
      <c r="AK213" s="201">
        <f>AF213+1</f>
        <v>2014</v>
      </c>
      <c r="AL213" s="201"/>
      <c r="AM213" s="201"/>
      <c r="AN213" s="201"/>
      <c r="AO213" s="201"/>
      <c r="AP213" s="201">
        <f>AK213+1</f>
        <v>2015</v>
      </c>
      <c r="AQ213" s="201"/>
      <c r="AR213" s="201"/>
      <c r="AS213" s="201"/>
      <c r="AT213" s="201"/>
      <c r="AU213" s="201">
        <f>AP213+1</f>
        <v>2016</v>
      </c>
      <c r="AV213" s="201"/>
      <c r="AW213" s="201"/>
      <c r="AX213" s="201"/>
      <c r="AY213" s="201"/>
      <c r="AZ213" s="201">
        <f>AU213+1</f>
        <v>2017</v>
      </c>
      <c r="BA213" s="201"/>
      <c r="BB213" s="201"/>
      <c r="BC213" s="201"/>
      <c r="BD213" s="201"/>
      <c r="BE213" s="201">
        <f>AZ213+1</f>
        <v>2018</v>
      </c>
      <c r="BF213" s="201"/>
      <c r="BG213" s="201"/>
      <c r="BH213" s="201"/>
      <c r="BI213" s="201"/>
      <c r="BJ213" s="201">
        <f>BE213+1</f>
        <v>2019</v>
      </c>
      <c r="BK213" s="201"/>
      <c r="BL213" s="201"/>
      <c r="BM213" s="201"/>
      <c r="BN213" s="201"/>
      <c r="BO213" s="201">
        <f>BJ213+1</f>
        <v>2020</v>
      </c>
      <c r="BP213" s="201"/>
      <c r="BQ213" s="201"/>
      <c r="BR213" s="201"/>
      <c r="BS213" s="201"/>
      <c r="BT213" s="201">
        <f>BO213+1</f>
        <v>2021</v>
      </c>
      <c r="BU213" s="201"/>
      <c r="BV213" s="201"/>
      <c r="BW213" s="201"/>
      <c r="BX213" s="201"/>
      <c r="BY213" s="201">
        <f>BT213+1</f>
        <v>2022</v>
      </c>
      <c r="BZ213" s="201"/>
      <c r="CA213" s="201"/>
      <c r="CB213" s="201"/>
      <c r="CC213" s="201"/>
      <c r="CD213" s="201">
        <f>BY213+1</f>
        <v>2023</v>
      </c>
      <c r="CE213" s="201">
        <f t="shared" ref="CE213:CI213" si="628">CD213+1</f>
        <v>2024</v>
      </c>
      <c r="CF213" s="201">
        <f t="shared" si="628"/>
        <v>2025</v>
      </c>
      <c r="CG213" s="201">
        <f t="shared" si="628"/>
        <v>2026</v>
      </c>
      <c r="CH213" s="201">
        <f t="shared" si="628"/>
        <v>2027</v>
      </c>
      <c r="CI213" s="201">
        <f t="shared" si="628"/>
        <v>2028</v>
      </c>
      <c r="CJ213" s="201">
        <f t="shared" ref="CJ213" si="629">CI213+1</f>
        <v>2029</v>
      </c>
      <c r="CK213" s="201">
        <f t="shared" ref="CK213" si="630">CJ213+1</f>
        <v>2030</v>
      </c>
      <c r="CL213" s="201">
        <f t="shared" ref="CL213:CM213" si="631">CK213+1</f>
        <v>2031</v>
      </c>
      <c r="CM213" s="201">
        <f t="shared" si="631"/>
        <v>2032</v>
      </c>
      <c r="CN213" s="195"/>
      <c r="CO213" s="195"/>
      <c r="CP213" s="195"/>
      <c r="CQ213" s="195"/>
      <c r="CR213" s="195"/>
      <c r="CS213" s="206"/>
      <c r="CT213" s="206"/>
      <c r="CU213" s="206"/>
      <c r="CV213" s="206"/>
      <c r="CW213" s="206"/>
      <c r="CX213" s="206"/>
    </row>
    <row r="214" spans="1:142">
      <c r="A214" s="341" t="s">
        <v>258</v>
      </c>
      <c r="B214" s="243"/>
      <c r="C214" s="243"/>
      <c r="D214" s="243"/>
      <c r="E214" s="243"/>
      <c r="F214" s="243"/>
      <c r="G214" s="243"/>
      <c r="H214" s="243"/>
      <c r="I214" s="243"/>
      <c r="J214" s="243"/>
      <c r="K214" s="243"/>
      <c r="L214" s="204"/>
      <c r="M214" s="204"/>
      <c r="N214" s="204"/>
      <c r="O214" s="204"/>
      <c r="P214" s="204"/>
      <c r="Q214" s="204"/>
      <c r="R214" s="204"/>
      <c r="S214" s="204"/>
      <c r="T214" s="204"/>
      <c r="U214" s="204"/>
      <c r="V214" s="204"/>
      <c r="W214" s="308">
        <v>1160</v>
      </c>
      <c r="X214" s="308">
        <v>1162</v>
      </c>
      <c r="Y214" s="308">
        <v>1167</v>
      </c>
      <c r="Z214" s="308">
        <v>1182</v>
      </c>
      <c r="AA214" s="308">
        <f>SUM(W214:Z214)</f>
        <v>4671</v>
      </c>
      <c r="AB214" s="308">
        <v>1147</v>
      </c>
      <c r="AC214" s="308">
        <v>1134</v>
      </c>
      <c r="AD214" s="308">
        <v>1148</v>
      </c>
      <c r="AE214" s="308">
        <v>1126</v>
      </c>
      <c r="AF214" s="308">
        <v>4555</v>
      </c>
      <c r="AG214" s="308">
        <v>1096</v>
      </c>
      <c r="AH214" s="308">
        <v>1088</v>
      </c>
      <c r="AI214" s="308">
        <v>1090</v>
      </c>
      <c r="AJ214" s="308">
        <v>1096</v>
      </c>
      <c r="AK214" s="308">
        <v>4370</v>
      </c>
      <c r="AL214" s="204"/>
      <c r="AM214" s="204"/>
      <c r="AN214" s="204"/>
      <c r="AO214" s="204"/>
      <c r="AP214" s="204"/>
      <c r="AQ214" s="204"/>
      <c r="AR214" s="204"/>
      <c r="AS214" s="204"/>
      <c r="AT214" s="204"/>
      <c r="AU214" s="204">
        <f>AU124*AU128</f>
        <v>3717.5752921789108</v>
      </c>
      <c r="AV214" s="204"/>
      <c r="AW214" s="204"/>
      <c r="AX214" s="204"/>
      <c r="AY214" s="204"/>
      <c r="AZ214" s="204">
        <f>AZ124*AZ128</f>
        <v>3246.9635703884701</v>
      </c>
      <c r="BA214" s="204"/>
      <c r="BB214" s="204"/>
      <c r="BC214" s="204"/>
      <c r="BD214" s="204"/>
      <c r="BE214" s="204">
        <f>BE124*BE128</f>
        <v>2781.0060415041285</v>
      </c>
      <c r="BF214" s="204"/>
      <c r="BG214" s="204"/>
      <c r="BH214" s="204"/>
      <c r="BI214" s="204"/>
      <c r="BJ214" s="204">
        <f>BJ124*BJ128</f>
        <v>2668.2456772461283</v>
      </c>
      <c r="BK214" s="204"/>
      <c r="BL214" s="204"/>
      <c r="BM214" s="204"/>
      <c r="BN214" s="204"/>
      <c r="BO214" s="204">
        <f>BO124*BO128</f>
        <v>2579.4208256667466</v>
      </c>
      <c r="BP214" s="204"/>
      <c r="BQ214" s="204"/>
      <c r="BR214" s="204"/>
      <c r="BS214" s="204"/>
      <c r="BT214" s="204">
        <f>BT124*BT128</f>
        <v>2505.7470887158797</v>
      </c>
      <c r="BU214" s="254"/>
      <c r="BV214" s="254"/>
      <c r="BW214" s="254"/>
      <c r="BX214" s="254"/>
      <c r="BY214" s="204">
        <f>BY124*BY128</f>
        <v>2445.4123996153016</v>
      </c>
      <c r="BZ214" s="254"/>
      <c r="CA214" s="254"/>
      <c r="CB214" s="254"/>
      <c r="CC214" s="254"/>
      <c r="CD214" s="204">
        <f t="shared" ref="CD214:CI214" si="632">CD124*CD128</f>
        <v>2413.4887950644297</v>
      </c>
      <c r="CE214" s="204">
        <f t="shared" si="632"/>
        <v>2395.9049465379303</v>
      </c>
      <c r="CF214" s="204">
        <f t="shared" si="632"/>
        <v>2324.9018249097476</v>
      </c>
      <c r="CG214" s="204">
        <f t="shared" si="632"/>
        <v>2270.5111503148041</v>
      </c>
      <c r="CH214" s="204">
        <f t="shared" si="632"/>
        <v>2214.5317515885831</v>
      </c>
      <c r="CI214" s="204">
        <f t="shared" si="632"/>
        <v>2157.4760857565157</v>
      </c>
      <c r="CJ214" s="204">
        <f t="shared" ref="CJ214:CL214" si="633">CJ124*CJ128</f>
        <v>2099.7787422811302</v>
      </c>
      <c r="CK214" s="204">
        <f t="shared" si="633"/>
        <v>2041.8070363965862</v>
      </c>
      <c r="CL214" s="204">
        <f t="shared" si="633"/>
        <v>1983.8701985431853</v>
      </c>
      <c r="CM214" s="204">
        <f t="shared" ref="CM214" si="634">CM124*CM128</f>
        <v>1926.2273447049677</v>
      </c>
      <c r="CN214" s="195"/>
      <c r="CO214" s="195"/>
      <c r="CP214" s="195"/>
      <c r="CQ214" s="195"/>
      <c r="CR214" s="195"/>
      <c r="CS214" s="206"/>
      <c r="CT214" s="206"/>
      <c r="CU214" s="206"/>
      <c r="CV214" s="206"/>
      <c r="CW214" s="206"/>
      <c r="CX214" s="206"/>
    </row>
    <row r="215" spans="1:142">
      <c r="A215" s="341" t="s">
        <v>605</v>
      </c>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t="e">
        <f t="shared" ref="W215:AK215" si="635">W214/R214-1</f>
        <v>#DIV/0!</v>
      </c>
      <c r="X215" s="243" t="e">
        <f t="shared" si="635"/>
        <v>#DIV/0!</v>
      </c>
      <c r="Y215" s="243" t="e">
        <f t="shared" si="635"/>
        <v>#DIV/0!</v>
      </c>
      <c r="Z215" s="243" t="e">
        <f t="shared" si="635"/>
        <v>#DIV/0!</v>
      </c>
      <c r="AA215" s="243" t="e">
        <f t="shared" si="635"/>
        <v>#DIV/0!</v>
      </c>
      <c r="AB215" s="243">
        <f t="shared" si="635"/>
        <v>-1.1206896551724133E-2</v>
      </c>
      <c r="AC215" s="243">
        <f t="shared" si="635"/>
        <v>-2.4096385542168641E-2</v>
      </c>
      <c r="AD215" s="243">
        <f t="shared" si="635"/>
        <v>-1.6281062553556103E-2</v>
      </c>
      <c r="AE215" s="243">
        <f t="shared" si="635"/>
        <v>-4.7377326565143818E-2</v>
      </c>
      <c r="AF215" s="243">
        <f t="shared" si="635"/>
        <v>-2.4834082637550825E-2</v>
      </c>
      <c r="AG215" s="243">
        <f t="shared" si="635"/>
        <v>-4.4463818657367038E-2</v>
      </c>
      <c r="AH215" s="243">
        <f t="shared" si="635"/>
        <v>-4.0564373897707284E-2</v>
      </c>
      <c r="AI215" s="243">
        <f t="shared" si="635"/>
        <v>-5.0522648083623722E-2</v>
      </c>
      <c r="AJ215" s="243">
        <f t="shared" si="635"/>
        <v>-2.6642984014209614E-2</v>
      </c>
      <c r="AK215" s="243">
        <f t="shared" si="635"/>
        <v>-4.0614709110867175E-2</v>
      </c>
      <c r="AL215" s="243"/>
      <c r="AM215" s="243"/>
      <c r="AN215" s="243"/>
      <c r="AO215" s="243"/>
      <c r="AP215" s="243"/>
      <c r="AQ215" s="243"/>
      <c r="AR215" s="243"/>
      <c r="AS215" s="243"/>
      <c r="AT215" s="243"/>
      <c r="AU215" s="243" t="e">
        <f>AU214/AP214-1</f>
        <v>#DIV/0!</v>
      </c>
      <c r="AV215" s="243"/>
      <c r="AW215" s="243"/>
      <c r="AX215" s="243"/>
      <c r="AY215" s="243"/>
      <c r="AZ215" s="243">
        <f>AZ214/AU214-1</f>
        <v>-0.1265910398050365</v>
      </c>
      <c r="BA215" s="243"/>
      <c r="BB215" s="243"/>
      <c r="BC215" s="243"/>
      <c r="BD215" s="243"/>
      <c r="BE215" s="243">
        <f>BE214/AZ214-1</f>
        <v>-0.14350562264811428</v>
      </c>
      <c r="BF215" s="243"/>
      <c r="BG215" s="243"/>
      <c r="BH215" s="243"/>
      <c r="BI215" s="243"/>
      <c r="BJ215" s="243">
        <f>BJ214/BE214-1</f>
        <v>-4.0546608880077439E-2</v>
      </c>
      <c r="BK215" s="243"/>
      <c r="BL215" s="243"/>
      <c r="BM215" s="243"/>
      <c r="BN215" s="243"/>
      <c r="BO215" s="243">
        <f>BO214/BJ214-1</f>
        <v>-3.32896076012974E-2</v>
      </c>
      <c r="BP215" s="243"/>
      <c r="BQ215" s="243"/>
      <c r="BR215" s="243"/>
      <c r="BS215" s="243"/>
      <c r="BT215" s="243">
        <f>BT214/BO214-1</f>
        <v>-2.856212379840084E-2</v>
      </c>
      <c r="BU215" s="222"/>
      <c r="BV215" s="222"/>
      <c r="BW215" s="222"/>
      <c r="BX215" s="222"/>
      <c r="BY215" s="243">
        <f>BY214/BT214-1</f>
        <v>-2.4078523076923042E-2</v>
      </c>
      <c r="BZ215" s="222"/>
      <c r="CA215" s="222"/>
      <c r="CB215" s="222"/>
      <c r="CC215" s="222"/>
      <c r="CD215" s="243">
        <f>CD214/BY214-1</f>
        <v>-1.3054487069704024E-2</v>
      </c>
      <c r="CE215" s="243">
        <f t="shared" ref="CE215:CI215" si="636">CE214/CD214-1</f>
        <v>-7.2856557538026889E-3</v>
      </c>
      <c r="CF215" s="243">
        <f t="shared" si="636"/>
        <v>-2.9635199731434247E-2</v>
      </c>
      <c r="CG215" s="243">
        <f t="shared" si="636"/>
        <v>-2.3394826401779256E-2</v>
      </c>
      <c r="CH215" s="243">
        <f t="shared" si="636"/>
        <v>-2.4654976355636737E-2</v>
      </c>
      <c r="CI215" s="243">
        <f t="shared" si="636"/>
        <v>-2.5764212137007636E-2</v>
      </c>
      <c r="CJ215" s="243">
        <f t="shared" ref="CJ215" si="637">CJ214/CI214-1</f>
        <v>-2.6742981698058554E-2</v>
      </c>
      <c r="CK215" s="243">
        <f t="shared" ref="CK215" si="638">CK214/CJ214-1</f>
        <v>-2.7608483083110702E-2</v>
      </c>
      <c r="CL215" s="243">
        <f t="shared" ref="CL215:CM215" si="639">CL214/CK214-1</f>
        <v>-2.8375275831965419E-2</v>
      </c>
      <c r="CM215" s="243">
        <f t="shared" si="639"/>
        <v>-2.9055758728845471E-2</v>
      </c>
      <c r="CN215" s="195"/>
      <c r="CO215" s="195"/>
      <c r="CP215" s="195"/>
      <c r="CQ215" s="195"/>
      <c r="CR215" s="195"/>
      <c r="CS215" s="206"/>
      <c r="CT215" s="206"/>
      <c r="CU215" s="206"/>
      <c r="CV215" s="206"/>
      <c r="CW215" s="206"/>
      <c r="CX215" s="206"/>
    </row>
    <row r="216" spans="1:142">
      <c r="A216" s="341" t="s">
        <v>606</v>
      </c>
      <c r="B216" s="243"/>
      <c r="C216" s="243"/>
      <c r="D216" s="243"/>
      <c r="E216" s="243"/>
      <c r="F216" s="243"/>
      <c r="G216" s="243"/>
      <c r="H216" s="243"/>
      <c r="I216" s="243"/>
      <c r="J216" s="243"/>
      <c r="K216" s="243"/>
      <c r="L216" s="204"/>
      <c r="M216" s="204"/>
      <c r="N216" s="204"/>
      <c r="O216" s="204"/>
      <c r="P216" s="204"/>
      <c r="Q216" s="204"/>
      <c r="R216" s="204"/>
      <c r="S216" s="204"/>
      <c r="T216" s="204"/>
      <c r="U216" s="204"/>
      <c r="V216" s="204"/>
      <c r="W216" s="308">
        <v>383</v>
      </c>
      <c r="X216" s="308">
        <v>421</v>
      </c>
      <c r="Y216" s="308">
        <v>419</v>
      </c>
      <c r="Z216" s="308">
        <v>460</v>
      </c>
      <c r="AA216" s="308">
        <v>1683</v>
      </c>
      <c r="AB216" s="308">
        <v>466</v>
      </c>
      <c r="AC216" s="308">
        <v>495</v>
      </c>
      <c r="AD216" s="308">
        <v>506</v>
      </c>
      <c r="AE216" s="308">
        <v>524</v>
      </c>
      <c r="AF216" s="308">
        <v>1991</v>
      </c>
      <c r="AG216" s="308">
        <v>524</v>
      </c>
      <c r="AH216" s="308">
        <v>566</v>
      </c>
      <c r="AI216" s="308">
        <v>589</v>
      </c>
      <c r="AJ216" s="308">
        <v>638</v>
      </c>
      <c r="AK216" s="308">
        <v>2317</v>
      </c>
      <c r="AL216" s="204"/>
      <c r="AM216" s="204"/>
      <c r="AN216" s="204"/>
      <c r="AO216" s="204"/>
      <c r="AP216" s="204"/>
      <c r="AQ216" s="204"/>
      <c r="AR216" s="204"/>
      <c r="AS216" s="204"/>
      <c r="AT216" s="204"/>
      <c r="AU216" s="204">
        <f>AU187*AU189</f>
        <v>3301.8299130434789</v>
      </c>
      <c r="AV216" s="204"/>
      <c r="AW216" s="204"/>
      <c r="AX216" s="204"/>
      <c r="AY216" s="204"/>
      <c r="AZ216" s="204">
        <f>AZ187*AZ189</f>
        <v>4224.0894573913038</v>
      </c>
      <c r="BA216" s="204"/>
      <c r="BB216" s="204"/>
      <c r="BC216" s="204"/>
      <c r="BD216" s="204"/>
      <c r="BE216" s="204">
        <f>BE187*BE189</f>
        <v>6275.0734063304353</v>
      </c>
      <c r="BF216" s="204"/>
      <c r="BG216" s="204"/>
      <c r="BH216" s="204"/>
      <c r="BI216" s="204"/>
      <c r="BJ216" s="204">
        <f>BJ187*BJ189</f>
        <v>7852.9685275934617</v>
      </c>
      <c r="BK216" s="204"/>
      <c r="BL216" s="204"/>
      <c r="BM216" s="204"/>
      <c r="BN216" s="204"/>
      <c r="BO216" s="204">
        <f>BO187*BO189</f>
        <v>9573.1312155551841</v>
      </c>
      <c r="BP216" s="204"/>
      <c r="BQ216" s="204"/>
      <c r="BR216" s="204"/>
      <c r="BS216" s="204"/>
      <c r="BT216" s="204">
        <f>BT187*BT189</f>
        <v>9867.419905364859</v>
      </c>
      <c r="BU216" s="254"/>
      <c r="BV216" s="254"/>
      <c r="BW216" s="254"/>
      <c r="BX216" s="254"/>
      <c r="BY216" s="204">
        <f>BY187*BY189</f>
        <v>4468.1556823132469</v>
      </c>
      <c r="BZ216" s="254"/>
      <c r="CA216" s="254"/>
      <c r="CB216" s="254"/>
      <c r="CC216" s="254"/>
      <c r="CD216" s="204">
        <f t="shared" ref="CD216:CI216" si="640">CD187*CD189</f>
        <v>0</v>
      </c>
      <c r="CE216" s="204">
        <f t="shared" si="640"/>
        <v>0</v>
      </c>
      <c r="CF216" s="204">
        <f t="shared" si="640"/>
        <v>0</v>
      </c>
      <c r="CG216" s="204">
        <f t="shared" si="640"/>
        <v>0</v>
      </c>
      <c r="CH216" s="204">
        <f t="shared" si="640"/>
        <v>0</v>
      </c>
      <c r="CI216" s="204">
        <f t="shared" si="640"/>
        <v>0</v>
      </c>
      <c r="CJ216" s="204">
        <f t="shared" ref="CJ216:CL216" si="641">CJ187*CJ189</f>
        <v>0</v>
      </c>
      <c r="CK216" s="204">
        <f t="shared" si="641"/>
        <v>0</v>
      </c>
      <c r="CL216" s="204">
        <f t="shared" si="641"/>
        <v>0</v>
      </c>
      <c r="CM216" s="204">
        <f t="shared" ref="CM216" si="642">CM187*CM189</f>
        <v>0</v>
      </c>
      <c r="CN216" s="195"/>
      <c r="CO216" s="195"/>
      <c r="CP216" s="195"/>
      <c r="CQ216" s="195"/>
      <c r="CR216" s="195"/>
      <c r="CS216" s="206"/>
      <c r="CT216" s="206"/>
      <c r="CU216" s="206"/>
      <c r="CV216" s="206"/>
      <c r="CW216" s="206"/>
      <c r="CX216" s="206"/>
    </row>
    <row r="217" spans="1:142">
      <c r="A217" s="341" t="s">
        <v>605</v>
      </c>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t="e">
        <f t="shared" ref="W217:AK217" si="643">W216/R216-1</f>
        <v>#DIV/0!</v>
      </c>
      <c r="X217" s="243" t="e">
        <f t="shared" si="643"/>
        <v>#DIV/0!</v>
      </c>
      <c r="Y217" s="243" t="e">
        <f t="shared" si="643"/>
        <v>#DIV/0!</v>
      </c>
      <c r="Z217" s="243" t="e">
        <f t="shared" si="643"/>
        <v>#DIV/0!</v>
      </c>
      <c r="AA217" s="243" t="e">
        <f t="shared" si="643"/>
        <v>#DIV/0!</v>
      </c>
      <c r="AB217" s="243">
        <f t="shared" si="643"/>
        <v>0.2167101827676241</v>
      </c>
      <c r="AC217" s="243">
        <f t="shared" si="643"/>
        <v>0.17577197149643697</v>
      </c>
      <c r="AD217" s="243">
        <f t="shared" si="643"/>
        <v>0.20763723150357993</v>
      </c>
      <c r="AE217" s="243">
        <f t="shared" si="643"/>
        <v>0.13913043478260878</v>
      </c>
      <c r="AF217" s="243">
        <f t="shared" si="643"/>
        <v>0.18300653594771243</v>
      </c>
      <c r="AG217" s="243">
        <f t="shared" si="643"/>
        <v>0.12446351931330479</v>
      </c>
      <c r="AH217" s="243">
        <f t="shared" si="643"/>
        <v>0.14343434343434347</v>
      </c>
      <c r="AI217" s="243">
        <f t="shared" si="643"/>
        <v>0.16403162055335962</v>
      </c>
      <c r="AJ217" s="243">
        <f t="shared" si="643"/>
        <v>0.21755725190839703</v>
      </c>
      <c r="AK217" s="243">
        <f t="shared" si="643"/>
        <v>0.16373681567051723</v>
      </c>
      <c r="AL217" s="243"/>
      <c r="AM217" s="243"/>
      <c r="AN217" s="243"/>
      <c r="AO217" s="243"/>
      <c r="AP217" s="243"/>
      <c r="AQ217" s="243"/>
      <c r="AR217" s="243"/>
      <c r="AS217" s="243"/>
      <c r="AT217" s="243"/>
      <c r="AU217" s="243"/>
      <c r="AV217" s="243"/>
      <c r="AW217" s="243"/>
      <c r="AX217" s="243"/>
      <c r="AY217" s="243"/>
      <c r="AZ217" s="243">
        <f>AZ216/AU216-1</f>
        <v>0.27931770219433472</v>
      </c>
      <c r="BA217" s="243"/>
      <c r="BB217" s="243"/>
      <c r="BC217" s="243"/>
      <c r="BD217" s="243"/>
      <c r="BE217" s="243">
        <f>BE216/AZ216-1</f>
        <v>0.48554462911535268</v>
      </c>
      <c r="BF217" s="243"/>
      <c r="BG217" s="243"/>
      <c r="BH217" s="243"/>
      <c r="BI217" s="243"/>
      <c r="BJ217" s="243">
        <f>BJ216/BE216-1</f>
        <v>0.25145444827326013</v>
      </c>
      <c r="BK217" s="243"/>
      <c r="BL217" s="243"/>
      <c r="BM217" s="243"/>
      <c r="BN217" s="243"/>
      <c r="BO217" s="243">
        <f>BO216/BJ216-1</f>
        <v>0.21904617112846947</v>
      </c>
      <c r="BP217" s="243"/>
      <c r="BQ217" s="243"/>
      <c r="BR217" s="243"/>
      <c r="BS217" s="243"/>
      <c r="BT217" s="243">
        <f>BT216/BO216-1</f>
        <v>3.0741111051678871E-2</v>
      </c>
      <c r="BU217" s="222"/>
      <c r="BV217" s="222"/>
      <c r="BW217" s="222"/>
      <c r="BX217" s="222"/>
      <c r="BY217" s="243">
        <f>BY216/BT216-1</f>
        <v>-0.54718095255235499</v>
      </c>
      <c r="BZ217" s="222"/>
      <c r="CA217" s="222"/>
      <c r="CB217" s="222"/>
      <c r="CC217" s="222"/>
      <c r="CD217" s="243">
        <f>CD216/BY216-1</f>
        <v>-1</v>
      </c>
      <c r="CE217" s="243" t="e">
        <f t="shared" ref="CE217:CI217" si="644">CE216/CD216-1</f>
        <v>#DIV/0!</v>
      </c>
      <c r="CF217" s="243" t="e">
        <f t="shared" si="644"/>
        <v>#DIV/0!</v>
      </c>
      <c r="CG217" s="243" t="e">
        <f t="shared" si="644"/>
        <v>#DIV/0!</v>
      </c>
      <c r="CH217" s="243" t="e">
        <f t="shared" si="644"/>
        <v>#DIV/0!</v>
      </c>
      <c r="CI217" s="243" t="e">
        <f t="shared" si="644"/>
        <v>#DIV/0!</v>
      </c>
      <c r="CJ217" s="243" t="e">
        <f t="shared" ref="CJ217" si="645">CJ216/CI216-1</f>
        <v>#DIV/0!</v>
      </c>
      <c r="CK217" s="243" t="e">
        <f t="shared" ref="CK217" si="646">CK216/CJ216-1</f>
        <v>#DIV/0!</v>
      </c>
      <c r="CL217" s="243" t="e">
        <f t="shared" ref="CL217:CM217" si="647">CL216/CK216-1</f>
        <v>#DIV/0!</v>
      </c>
      <c r="CM217" s="243" t="e">
        <f t="shared" si="647"/>
        <v>#DIV/0!</v>
      </c>
      <c r="CN217" s="195"/>
      <c r="CO217" s="195"/>
      <c r="CP217" s="195"/>
      <c r="CQ217" s="195"/>
      <c r="CR217" s="195"/>
      <c r="CS217" s="206"/>
      <c r="CT217" s="206"/>
      <c r="CU217" s="206"/>
      <c r="CV217" s="206"/>
      <c r="CW217" s="206"/>
      <c r="CX217" s="206"/>
    </row>
    <row r="218" spans="1:142">
      <c r="A218" s="341" t="s">
        <v>259</v>
      </c>
      <c r="B218" s="243"/>
      <c r="C218" s="243"/>
      <c r="D218" s="243"/>
      <c r="E218" s="243"/>
      <c r="F218" s="243"/>
      <c r="G218" s="243"/>
      <c r="H218" s="243"/>
      <c r="I218" s="243"/>
      <c r="J218" s="243"/>
      <c r="K218" s="243"/>
      <c r="L218" s="204"/>
      <c r="M218" s="204">
        <v>173</v>
      </c>
      <c r="N218" s="204">
        <v>168</v>
      </c>
      <c r="O218" s="204">
        <v>177</v>
      </c>
      <c r="P218" s="204">
        <v>186</v>
      </c>
      <c r="Q218" s="204"/>
      <c r="R218" s="204"/>
      <c r="S218" s="204"/>
      <c r="T218" s="204"/>
      <c r="U218" s="204"/>
      <c r="V218" s="204"/>
      <c r="W218" s="308">
        <v>365</v>
      </c>
      <c r="X218" s="308">
        <v>355</v>
      </c>
      <c r="Y218" s="308">
        <v>355</v>
      </c>
      <c r="Z218" s="308">
        <v>342</v>
      </c>
      <c r="AA218" s="308">
        <f>SUM(W218:Z218)</f>
        <v>1417</v>
      </c>
      <c r="AB218" s="308">
        <v>320</v>
      </c>
      <c r="AC218" s="308">
        <v>298</v>
      </c>
      <c r="AD218" s="308">
        <v>275</v>
      </c>
      <c r="AE218" s="308">
        <v>257</v>
      </c>
      <c r="AF218" s="308">
        <v>1150</v>
      </c>
      <c r="AG218" s="308">
        <v>223</v>
      </c>
      <c r="AH218" s="308">
        <v>205</v>
      </c>
      <c r="AI218" s="308">
        <v>184</v>
      </c>
      <c r="AJ218" s="308">
        <v>171</v>
      </c>
      <c r="AK218" s="308">
        <v>783</v>
      </c>
      <c r="AL218" s="204"/>
      <c r="AM218" s="204"/>
      <c r="AN218" s="204"/>
      <c r="AO218" s="204"/>
      <c r="AP218" s="204"/>
      <c r="AQ218" s="204"/>
      <c r="AR218" s="204"/>
      <c r="AS218" s="204"/>
      <c r="AT218" s="204"/>
      <c r="AU218" s="204">
        <f>AU117*AU175*AU178/1000</f>
        <v>354.72528199195176</v>
      </c>
      <c r="AV218" s="204"/>
      <c r="AW218" s="204"/>
      <c r="AX218" s="204"/>
      <c r="AY218" s="204"/>
      <c r="AZ218" s="204">
        <f>AZ117*AZ175*AZ178/1000</f>
        <v>246.96054817152915</v>
      </c>
      <c r="BA218" s="204"/>
      <c r="BB218" s="204"/>
      <c r="BC218" s="204"/>
      <c r="BD218" s="204"/>
      <c r="BE218" s="204">
        <f>BE117*BE175*BE178/1000</f>
        <v>181.63794872676687</v>
      </c>
      <c r="BF218" s="204"/>
      <c r="BG218" s="204"/>
      <c r="BH218" s="204"/>
      <c r="BI218" s="204"/>
      <c r="BJ218" s="204">
        <f>BJ117*BJ175*BJ178/1000</f>
        <v>146.20537957596841</v>
      </c>
      <c r="BK218" s="204"/>
      <c r="BL218" s="204"/>
      <c r="BM218" s="204"/>
      <c r="BN218" s="204"/>
      <c r="BO218" s="204">
        <f>BO117*BO175*BO178/1000</f>
        <v>121.58569535143666</v>
      </c>
      <c r="BP218" s="204"/>
      <c r="BQ218" s="204"/>
      <c r="BR218" s="204"/>
      <c r="BS218" s="204"/>
      <c r="BT218" s="204">
        <f>BT117*BT175*BT178/1000</f>
        <v>103.87068493507962</v>
      </c>
      <c r="BU218" s="254"/>
      <c r="BV218" s="254"/>
      <c r="BW218" s="254"/>
      <c r="BX218" s="254"/>
      <c r="BY218" s="204">
        <f>BY117*BY175*BY178/1000</f>
        <v>90.895427849676778</v>
      </c>
      <c r="BZ218" s="254"/>
      <c r="CA218" s="254"/>
      <c r="CB218" s="254"/>
      <c r="CC218" s="254"/>
      <c r="CD218" s="204">
        <f t="shared" ref="CD218:CI218" si="648">CD117*CD175*CD178/1000</f>
        <v>80.439503699988919</v>
      </c>
      <c r="CE218" s="204">
        <f t="shared" si="648"/>
        <v>71.602444106211919</v>
      </c>
      <c r="CF218" s="204">
        <f t="shared" si="648"/>
        <v>62.301291327611011</v>
      </c>
      <c r="CG218" s="204">
        <f t="shared" si="648"/>
        <v>54.00026547802598</v>
      </c>
      <c r="CH218" s="204">
        <f t="shared" si="648"/>
        <v>46.744873973885987</v>
      </c>
      <c r="CI218" s="204">
        <f t="shared" si="648"/>
        <v>40.418286509603135</v>
      </c>
      <c r="CJ218" s="204">
        <f t="shared" ref="CJ218:CL218" si="649">CJ117*CJ175*CJ178/1000</f>
        <v>34.912847235097189</v>
      </c>
      <c r="CK218" s="204">
        <f t="shared" si="649"/>
        <v>30.130494225778982</v>
      </c>
      <c r="CL218" s="204">
        <f t="shared" si="649"/>
        <v>25.982721522320727</v>
      </c>
      <c r="CM218" s="204">
        <f t="shared" ref="CM218" si="650">CM117*CM175*CM178/1000</f>
        <v>22.390240307938221</v>
      </c>
      <c r="CN218" s="195"/>
      <c r="CO218" s="195"/>
      <c r="CP218" s="195"/>
      <c r="CQ218" s="195"/>
      <c r="CR218" s="195"/>
      <c r="CS218" s="206"/>
      <c r="CT218" s="206"/>
      <c r="CU218" s="206"/>
      <c r="CV218" s="206"/>
      <c r="CW218" s="206"/>
      <c r="CX218" s="206"/>
    </row>
    <row r="219" spans="1:142">
      <c r="A219" s="341" t="s">
        <v>206</v>
      </c>
      <c r="B219" s="243"/>
      <c r="C219" s="243"/>
      <c r="D219" s="243"/>
      <c r="E219" s="243"/>
      <c r="F219" s="243"/>
      <c r="G219" s="243"/>
      <c r="H219" s="243"/>
      <c r="I219" s="243"/>
      <c r="J219" s="243"/>
      <c r="K219" s="243"/>
      <c r="L219" s="204"/>
      <c r="M219" s="204">
        <v>38</v>
      </c>
      <c r="N219" s="204">
        <v>35</v>
      </c>
      <c r="O219" s="204">
        <v>35</v>
      </c>
      <c r="P219" s="204">
        <v>36</v>
      </c>
      <c r="Q219" s="204"/>
      <c r="R219" s="204"/>
      <c r="S219" s="204"/>
      <c r="T219" s="204"/>
      <c r="U219" s="204"/>
      <c r="V219" s="204"/>
      <c r="W219" s="204"/>
      <c r="X219" s="204"/>
      <c r="Y219" s="204"/>
      <c r="Z219" s="204"/>
      <c r="AA219" s="204"/>
      <c r="AB219" s="204"/>
      <c r="AC219" s="204"/>
      <c r="AD219" s="204"/>
      <c r="AE219" s="204"/>
      <c r="AF219" s="204"/>
      <c r="AG219" s="204"/>
      <c r="AH219" s="204"/>
      <c r="AI219" s="204"/>
      <c r="AJ219" s="204"/>
      <c r="AK219" s="204"/>
      <c r="AL219" s="204"/>
      <c r="AM219" s="204"/>
      <c r="AN219" s="204"/>
      <c r="AO219" s="204"/>
      <c r="AP219" s="204"/>
      <c r="AQ219" s="204"/>
      <c r="AR219" s="204"/>
      <c r="AS219" s="204"/>
      <c r="AT219" s="204"/>
      <c r="AU219" s="204">
        <f>AU117*AU176*AU178/1000</f>
        <v>48.799512785658507</v>
      </c>
      <c r="AV219" s="204"/>
      <c r="AW219" s="204"/>
      <c r="AX219" s="204"/>
      <c r="AY219" s="204"/>
      <c r="AZ219" s="204">
        <f>AZ117*AZ176*AZ178/1000</f>
        <v>-690.40857595130342</v>
      </c>
      <c r="BA219" s="204"/>
      <c r="BB219" s="204"/>
      <c r="BC219" s="204"/>
      <c r="BD219" s="204"/>
      <c r="BE219" s="204">
        <f>BE117*BE176*BE178/1000</f>
        <v>-2405.6823965613312</v>
      </c>
      <c r="BF219" s="204"/>
      <c r="BG219" s="204"/>
      <c r="BH219" s="204"/>
      <c r="BI219" s="204"/>
      <c r="BJ219" s="204">
        <f>BJ117*BJ176*BJ178/1000+BJ225</f>
        <v>-3542.7590844155575</v>
      </c>
      <c r="BK219" s="204"/>
      <c r="BL219" s="204"/>
      <c r="BM219" s="204"/>
      <c r="BN219" s="204"/>
      <c r="BO219" s="204">
        <f>BO117*BO176*BO178/1000+BO225</f>
        <v>-5646.1021865733674</v>
      </c>
      <c r="BP219" s="204"/>
      <c r="BQ219" s="204"/>
      <c r="BR219" s="204"/>
      <c r="BS219" s="204"/>
      <c r="BT219" s="204">
        <f>BT117*BT176*BT178/1000+BT225</f>
        <v>-5761.6492290158194</v>
      </c>
      <c r="BU219" s="254"/>
      <c r="BV219" s="254"/>
      <c r="BW219" s="254"/>
      <c r="BX219" s="254"/>
      <c r="BY219" s="204">
        <f>BY117*BY176*BY178/1000+BY225</f>
        <v>59.674490221775386</v>
      </c>
      <c r="BZ219" s="254"/>
      <c r="CA219" s="254"/>
      <c r="CB219" s="254"/>
      <c r="CC219" s="254"/>
      <c r="CD219" s="204">
        <f t="shared" ref="CD219:CM219" si="651">CD117*CD176*CD178/1000+CD225</f>
        <v>4728.8041012355807</v>
      </c>
      <c r="CE219" s="204">
        <f t="shared" si="651"/>
        <v>4840.8260595102765</v>
      </c>
      <c r="CF219" s="204">
        <f t="shared" si="651"/>
        <v>5025.8116669386382</v>
      </c>
      <c r="CG219" s="204">
        <f t="shared" si="651"/>
        <v>5189.0694890108098</v>
      </c>
      <c r="CH219" s="204">
        <f t="shared" si="651"/>
        <v>5381.0161022680131</v>
      </c>
      <c r="CI219" s="204">
        <f t="shared" si="651"/>
        <v>5603.6788132962283</v>
      </c>
      <c r="CJ219" s="204">
        <f t="shared" si="651"/>
        <v>5822.0795091861673</v>
      </c>
      <c r="CK219" s="204">
        <f t="shared" si="651"/>
        <v>6036.4309906418384</v>
      </c>
      <c r="CL219" s="204">
        <f t="shared" si="651"/>
        <v>6246.9533787943565</v>
      </c>
      <c r="CM219" s="204">
        <f t="shared" si="651"/>
        <v>6453.8701404540952</v>
      </c>
      <c r="CN219" s="195"/>
      <c r="CO219" s="195"/>
      <c r="CP219" s="195"/>
      <c r="CQ219" s="195"/>
      <c r="CR219" s="195"/>
      <c r="CS219" s="206"/>
      <c r="CT219" s="206"/>
      <c r="CU219" s="206"/>
      <c r="CV219" s="206"/>
      <c r="CW219" s="206"/>
      <c r="CX219" s="206"/>
    </row>
    <row r="220" spans="1:142">
      <c r="A220" s="341" t="s">
        <v>206</v>
      </c>
      <c r="B220" s="243"/>
      <c r="C220" s="243"/>
      <c r="D220" s="243"/>
      <c r="E220" s="243"/>
      <c r="F220" s="243"/>
      <c r="G220" s="243"/>
      <c r="H220" s="243"/>
      <c r="I220" s="243"/>
      <c r="J220" s="243"/>
      <c r="K220" s="243"/>
      <c r="L220" s="204"/>
      <c r="M220" s="204"/>
      <c r="N220" s="204"/>
      <c r="O220" s="204"/>
      <c r="P220" s="204"/>
      <c r="Q220" s="204"/>
      <c r="R220" s="204"/>
      <c r="S220" s="204"/>
      <c r="T220" s="204"/>
      <c r="U220" s="204"/>
      <c r="V220" s="204"/>
      <c r="W220" s="204">
        <f t="shared" ref="W220:AK220" si="652">W221-W218-W216-W214</f>
        <v>120</v>
      </c>
      <c r="X220" s="204">
        <f t="shared" si="652"/>
        <v>158.25</v>
      </c>
      <c r="Y220" s="204">
        <f t="shared" si="652"/>
        <v>41.880000000000109</v>
      </c>
      <c r="Z220" s="204">
        <f t="shared" si="652"/>
        <v>33.511999999999944</v>
      </c>
      <c r="AA220" s="204">
        <f t="shared" si="652"/>
        <v>353.64199999999983</v>
      </c>
      <c r="AB220" s="204">
        <f t="shared" si="652"/>
        <v>14.663000000000011</v>
      </c>
      <c r="AC220" s="204">
        <f t="shared" si="652"/>
        <v>5.6210000000000946</v>
      </c>
      <c r="AD220" s="204">
        <f t="shared" si="652"/>
        <v>21.192000000000007</v>
      </c>
      <c r="AE220" s="204">
        <f t="shared" si="652"/>
        <v>11.79099999999994</v>
      </c>
      <c r="AF220" s="204">
        <f t="shared" si="652"/>
        <v>53.267000000000735</v>
      </c>
      <c r="AG220" s="204">
        <f t="shared" si="652"/>
        <v>-7.3599999999999</v>
      </c>
      <c r="AH220" s="204">
        <f t="shared" si="652"/>
        <v>16.224999999999909</v>
      </c>
      <c r="AI220" s="204">
        <f t="shared" si="652"/>
        <v>-1.7999999999999545</v>
      </c>
      <c r="AJ220" s="204">
        <f t="shared" si="652"/>
        <v>-5.4000000000000909</v>
      </c>
      <c r="AK220" s="204">
        <f t="shared" si="652"/>
        <v>1.6649999999990541</v>
      </c>
      <c r="AL220" s="204"/>
      <c r="AM220" s="204"/>
      <c r="AN220" s="204"/>
      <c r="AO220" s="204"/>
      <c r="AP220" s="204"/>
      <c r="AQ220" s="204"/>
      <c r="AR220" s="204"/>
      <c r="AS220" s="204"/>
      <c r="AT220" s="243"/>
      <c r="AU220" s="243"/>
      <c r="AV220" s="243"/>
      <c r="AW220" s="243"/>
      <c r="AX220" s="204"/>
      <c r="AY220" s="204"/>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22"/>
      <c r="BV220" s="222"/>
      <c r="BW220" s="222"/>
      <c r="BX220" s="222"/>
      <c r="BY220" s="243"/>
      <c r="BZ220" s="222"/>
      <c r="CA220" s="222"/>
      <c r="CB220" s="222"/>
      <c r="CC220" s="222"/>
      <c r="CD220" s="243"/>
      <c r="CE220" s="243"/>
      <c r="CF220" s="243"/>
      <c r="CG220" s="243"/>
      <c r="CH220" s="243"/>
      <c r="CI220" s="243"/>
      <c r="CJ220" s="243"/>
      <c r="CK220" s="243"/>
      <c r="CL220" s="243"/>
      <c r="CM220" s="243"/>
      <c r="CN220" s="195"/>
      <c r="CO220" s="195"/>
      <c r="CP220" s="195"/>
      <c r="CQ220" s="195"/>
      <c r="CR220" s="195"/>
      <c r="CS220" s="206"/>
      <c r="CT220" s="206"/>
      <c r="CU220" s="206"/>
      <c r="CV220" s="206"/>
      <c r="CW220" s="206"/>
      <c r="CX220" s="206"/>
    </row>
    <row r="221" spans="1:142">
      <c r="A221" s="342" t="s">
        <v>610</v>
      </c>
      <c r="B221" s="281">
        <f>B117*B169*12/1000</f>
        <v>5789.5680000000002</v>
      </c>
      <c r="C221" s="281"/>
      <c r="D221" s="281"/>
      <c r="E221" s="281"/>
      <c r="F221" s="281">
        <f>F117*F169*3/1000</f>
        <v>1978.569</v>
      </c>
      <c r="G221" s="281">
        <f>G117*G169*12/1000</f>
        <v>7383.2835600000008</v>
      </c>
      <c r="H221" s="281">
        <f>H117*H169*3/1000</f>
        <v>1890.0083999999999</v>
      </c>
      <c r="I221" s="281">
        <f>I117*I169*3/1000</f>
        <v>1905.8592000000001</v>
      </c>
      <c r="J221" s="281">
        <f>J117*J169*3/1000</f>
        <v>1945.2552000000003</v>
      </c>
      <c r="K221" s="281">
        <f>K117*K169*3/1000</f>
        <v>1982.145</v>
      </c>
      <c r="L221" s="281">
        <f>L117*L169*12/1000</f>
        <v>7869.1459499999992</v>
      </c>
      <c r="M221" s="281">
        <f>M117*M169*3/1000</f>
        <v>1948.596</v>
      </c>
      <c r="N221" s="281">
        <f>N117*N169*3/1000</f>
        <v>1963.143</v>
      </c>
      <c r="O221" s="281">
        <f>O117*O169*3/1000</f>
        <v>1947.4559999999999</v>
      </c>
      <c r="P221" s="281">
        <f>P117*P169*3/1000</f>
        <v>2019.7065</v>
      </c>
      <c r="Q221" s="281">
        <f>Q117*Q169*12/1000</f>
        <v>8030.97</v>
      </c>
      <c r="R221" s="281">
        <f>R117*R169*3/1000</f>
        <v>1962.2294999999999</v>
      </c>
      <c r="S221" s="281">
        <f>S117*S169*3/1000</f>
        <v>1950.6735000000001</v>
      </c>
      <c r="T221" s="281">
        <f>T117*T169*3/1000</f>
        <v>2061.288</v>
      </c>
      <c r="U221" s="281">
        <f>U117*U169*3/1000</f>
        <v>2059.587</v>
      </c>
      <c r="V221" s="281">
        <f>V117*V169*12/1000</f>
        <v>8326.9680000000008</v>
      </c>
      <c r="W221" s="281">
        <f>W117*W169*3/1000</f>
        <v>2028</v>
      </c>
      <c r="X221" s="281">
        <f>X117*X169*3/1000</f>
        <v>2096.25</v>
      </c>
      <c r="Y221" s="281">
        <f>Y117*Y169*3/1000</f>
        <v>1982.88</v>
      </c>
      <c r="Z221" s="281">
        <f>Z117*Z169*3/1000</f>
        <v>2017.5119999999999</v>
      </c>
      <c r="AA221" s="281">
        <f>SUM(W221:Z221)</f>
        <v>8124.6419999999998</v>
      </c>
      <c r="AB221" s="281">
        <f>AB117*AB169*3/1000</f>
        <v>1947.663</v>
      </c>
      <c r="AC221" s="281">
        <f>AC117*AC169*3/1000</f>
        <v>1932.6210000000001</v>
      </c>
      <c r="AD221" s="281">
        <f>AD117*AD169*3/1000</f>
        <v>1950.192</v>
      </c>
      <c r="AE221" s="281">
        <f>AE117*AE169*3/1000</f>
        <v>1918.7909999999999</v>
      </c>
      <c r="AF221" s="281">
        <f>SUM(AB221:AE221)</f>
        <v>7749.2670000000007</v>
      </c>
      <c r="AG221" s="281">
        <f>AG117*AG169*3/1000</f>
        <v>1835.64</v>
      </c>
      <c r="AH221" s="281">
        <f>AH117*AH169*3/1000</f>
        <v>1875.2249999999999</v>
      </c>
      <c r="AI221" s="281">
        <f>AI117*AI169*3/1000</f>
        <v>1861.2</v>
      </c>
      <c r="AJ221" s="281">
        <f>AJ117*AJ169*3/1000</f>
        <v>1899.6</v>
      </c>
      <c r="AK221" s="281">
        <f>SUM(AG221:AJ221)</f>
        <v>7471.6649999999991</v>
      </c>
      <c r="AL221" s="280">
        <f>AL117*AL169*3/1000</f>
        <v>1884.4559999999999</v>
      </c>
      <c r="AM221" s="280">
        <f>AM117*AM169*3/1000</f>
        <v>1870.2945</v>
      </c>
      <c r="AN221" s="280">
        <f>AN117*AN169*3/1000</f>
        <v>1938.8565000000001</v>
      </c>
      <c r="AO221" s="280">
        <f>AO117*AO169*3/1000</f>
        <v>1935.3</v>
      </c>
      <c r="AP221" s="281">
        <f>SUM(AL221:AO221)</f>
        <v>7628.9070000000002</v>
      </c>
      <c r="AQ221" s="280">
        <f>AQ117*AQ169*3/1000</f>
        <v>1875.3</v>
      </c>
      <c r="AR221" s="280">
        <f>AR117*AR169*3/1000</f>
        <v>1805.0864999999999</v>
      </c>
      <c r="AS221" s="280">
        <f>AS117*AS169*3/1000</f>
        <v>1822.125</v>
      </c>
      <c r="AT221" s="280">
        <f>AT117*AT169*3/1000</f>
        <v>1920.36</v>
      </c>
      <c r="AU221" s="281">
        <f>SUM(AQ221:AT221)</f>
        <v>7422.8714999999993</v>
      </c>
      <c r="AV221" s="281">
        <f t="shared" ref="AV221:BD221" si="653">AV380+AV381</f>
        <v>1942</v>
      </c>
      <c r="AW221" s="281">
        <f t="shared" si="653"/>
        <v>1928</v>
      </c>
      <c r="AX221" s="281">
        <f t="shared" si="653"/>
        <v>1944</v>
      </c>
      <c r="AY221" s="281">
        <f t="shared" si="653"/>
        <v>1897</v>
      </c>
      <c r="AZ221" s="281">
        <f t="shared" si="653"/>
        <v>7711</v>
      </c>
      <c r="BA221" s="281">
        <f t="shared" si="653"/>
        <v>1834</v>
      </c>
      <c r="BB221" s="281">
        <f t="shared" si="653"/>
        <v>1863</v>
      </c>
      <c r="BC221" s="281">
        <f t="shared" si="653"/>
        <v>1876</v>
      </c>
      <c r="BD221" s="281">
        <f t="shared" si="653"/>
        <v>1898</v>
      </c>
      <c r="BE221" s="281">
        <f>SUM(BA221:BD221)</f>
        <v>7471</v>
      </c>
      <c r="BF221" s="281">
        <f>BF380+BF381</f>
        <v>1797</v>
      </c>
      <c r="BG221" s="281">
        <f>BG380+BG381</f>
        <v>1763</v>
      </c>
      <c r="BH221" s="281">
        <f>BH380+BH381</f>
        <v>1773</v>
      </c>
      <c r="BI221" s="281">
        <f>BI380+BI381</f>
        <v>1772</v>
      </c>
      <c r="BJ221" s="281">
        <f>BJ226</f>
        <v>7124.6605</v>
      </c>
      <c r="BK221" s="281">
        <f>BK380+BK381</f>
        <v>1698</v>
      </c>
      <c r="BL221" s="281">
        <f>BL380+BL381</f>
        <v>1660</v>
      </c>
      <c r="BM221" s="281">
        <f>BM380+BM381</f>
        <v>1673</v>
      </c>
      <c r="BN221" s="281">
        <f>BN380+BN381</f>
        <v>1663</v>
      </c>
      <c r="BO221" s="281">
        <f>BO226</f>
        <v>6628.0355500000005</v>
      </c>
      <c r="BP221" s="281">
        <f>BP380+BP381</f>
        <v>1664</v>
      </c>
      <c r="BQ221" s="281">
        <f>BQ380+BQ381</f>
        <v>1687</v>
      </c>
      <c r="BR221" s="281">
        <f>BR380+BR381</f>
        <v>1715</v>
      </c>
      <c r="BS221" s="281">
        <f>BS380+BS381</f>
        <v>1674</v>
      </c>
      <c r="BT221" s="281">
        <f>BT226</f>
        <v>6715.3884499999995</v>
      </c>
      <c r="BU221" s="250">
        <f>BU380+BU381</f>
        <v>1698</v>
      </c>
      <c r="BV221" s="250">
        <f>BV380+BV381</f>
        <v>1748</v>
      </c>
      <c r="BW221" s="250">
        <f>BW380+BW381</f>
        <v>1768</v>
      </c>
      <c r="BX221" s="250">
        <f>BX380+BX381</f>
        <v>1793</v>
      </c>
      <c r="BY221" s="281">
        <f>BY226</f>
        <v>7064.1380000000008</v>
      </c>
      <c r="BZ221" s="250">
        <f>BZ380+BZ381</f>
        <v>1784</v>
      </c>
      <c r="CA221" s="250">
        <f>CA380+CA381</f>
        <v>1779</v>
      </c>
      <c r="CB221" s="250">
        <f>CB380+CB381</f>
        <v>1806</v>
      </c>
      <c r="CC221" s="250">
        <f>CC380+CC381</f>
        <v>1841</v>
      </c>
      <c r="CD221" s="281">
        <f t="shared" ref="CD221:CM221" si="654">CD226</f>
        <v>7222.7324000000008</v>
      </c>
      <c r="CE221" s="281">
        <f t="shared" si="654"/>
        <v>7308.3334501544177</v>
      </c>
      <c r="CF221" s="281">
        <f t="shared" si="654"/>
        <v>7413.014783175995</v>
      </c>
      <c r="CG221" s="281">
        <f t="shared" si="654"/>
        <v>7513.580904803639</v>
      </c>
      <c r="CH221" s="281">
        <f t="shared" si="654"/>
        <v>7642.2927278304833</v>
      </c>
      <c r="CI221" s="281">
        <f t="shared" si="654"/>
        <v>7801.5731855623471</v>
      </c>
      <c r="CJ221" s="281">
        <f t="shared" si="654"/>
        <v>7956.7710987023947</v>
      </c>
      <c r="CK221" s="281">
        <f t="shared" si="654"/>
        <v>8108.3685212642031</v>
      </c>
      <c r="CL221" s="281">
        <f t="shared" si="654"/>
        <v>8256.8062988598631</v>
      </c>
      <c r="CM221" s="281">
        <f t="shared" si="654"/>
        <v>8402.4877254670009</v>
      </c>
      <c r="CN221" s="195"/>
      <c r="CO221" s="195"/>
      <c r="CP221" s="195"/>
      <c r="CQ221" s="195"/>
      <c r="CR221" s="195"/>
      <c r="CS221" s="206"/>
      <c r="CT221" s="206"/>
      <c r="CU221" s="206"/>
      <c r="CV221" s="206"/>
      <c r="CW221" s="206"/>
      <c r="CX221" s="206"/>
    </row>
    <row r="222" spans="1:142">
      <c r="A222" s="342" t="s">
        <v>605</v>
      </c>
      <c r="B222" s="260"/>
      <c r="C222" s="260"/>
      <c r="D222" s="260"/>
      <c r="E222" s="260"/>
      <c r="F222" s="260"/>
      <c r="G222" s="260"/>
      <c r="H222" s="260"/>
      <c r="I222" s="260"/>
      <c r="J222" s="260"/>
      <c r="K222" s="260"/>
      <c r="L222" s="260"/>
      <c r="M222" s="260"/>
      <c r="N222" s="260"/>
      <c r="O222" s="260"/>
      <c r="P222" s="260"/>
      <c r="Q222" s="260">
        <f t="shared" ref="Q222:CC222" si="655">Q221/L221-1</f>
        <v>2.056437268138378E-2</v>
      </c>
      <c r="R222" s="260">
        <f t="shared" si="655"/>
        <v>6.996575996255805E-3</v>
      </c>
      <c r="S222" s="260">
        <f t="shared" si="655"/>
        <v>-6.3518042241446082E-3</v>
      </c>
      <c r="T222" s="260">
        <f t="shared" si="655"/>
        <v>5.8451641526175768E-2</v>
      </c>
      <c r="U222" s="260">
        <f t="shared" si="655"/>
        <v>1.9745690772396962E-2</v>
      </c>
      <c r="V222" s="260">
        <f t="shared" si="655"/>
        <v>3.6857067079070216E-2</v>
      </c>
      <c r="W222" s="260">
        <f t="shared" si="655"/>
        <v>3.3518250541030081E-2</v>
      </c>
      <c r="X222" s="260">
        <f t="shared" si="655"/>
        <v>7.4628839731508023E-2</v>
      </c>
      <c r="Y222" s="260">
        <f t="shared" si="655"/>
        <v>-3.8038352719270585E-2</v>
      </c>
      <c r="Z222" s="260">
        <f t="shared" si="655"/>
        <v>-2.0428852969066158E-2</v>
      </c>
      <c r="AA222" s="260">
        <f t="shared" si="655"/>
        <v>-2.4297679539539541E-2</v>
      </c>
      <c r="AB222" s="260">
        <f t="shared" si="655"/>
        <v>-3.9613905325443732E-2</v>
      </c>
      <c r="AC222" s="260">
        <f t="shared" si="655"/>
        <v>-7.8057960644007163E-2</v>
      </c>
      <c r="AD222" s="260">
        <f t="shared" si="655"/>
        <v>-1.6485112563544013E-2</v>
      </c>
      <c r="AE222" s="260">
        <f t="shared" si="655"/>
        <v>-4.8932050961778661E-2</v>
      </c>
      <c r="AF222" s="260">
        <f t="shared" si="655"/>
        <v>-4.6202035732774371E-2</v>
      </c>
      <c r="AG222" s="260">
        <f t="shared" si="655"/>
        <v>-5.7516623769101716E-2</v>
      </c>
      <c r="AH222" s="260">
        <f t="shared" si="655"/>
        <v>-2.9698528578547045E-2</v>
      </c>
      <c r="AI222" s="260">
        <f t="shared" si="655"/>
        <v>-4.5632430037657823E-2</v>
      </c>
      <c r="AJ222" s="260">
        <f t="shared" si="655"/>
        <v>-1.0001610389041904E-2</v>
      </c>
      <c r="AK222" s="260">
        <f t="shared" si="655"/>
        <v>-3.5823001065778404E-2</v>
      </c>
      <c r="AL222" s="260">
        <f t="shared" si="655"/>
        <v>2.6593449696018734E-2</v>
      </c>
      <c r="AM222" s="260">
        <f t="shared" si="655"/>
        <v>-2.6292844858616382E-3</v>
      </c>
      <c r="AN222" s="260">
        <f t="shared" si="655"/>
        <v>4.1723887814313354E-2</v>
      </c>
      <c r="AO222" s="260">
        <f t="shared" si="655"/>
        <v>1.8793430195830796E-2</v>
      </c>
      <c r="AP222" s="260">
        <f t="shared" si="655"/>
        <v>2.1045108419609493E-2</v>
      </c>
      <c r="AQ222" s="260">
        <f t="shared" si="655"/>
        <v>-4.858696621199976E-3</v>
      </c>
      <c r="AR222" s="260">
        <f t="shared" si="655"/>
        <v>-3.4865097448556925E-2</v>
      </c>
      <c r="AS222" s="260">
        <f t="shared" si="655"/>
        <v>-6.0206363905735194E-2</v>
      </c>
      <c r="AT222" s="260">
        <f t="shared" si="655"/>
        <v>-7.7197333746705787E-3</v>
      </c>
      <c r="AU222" s="260">
        <f t="shared" si="655"/>
        <v>-2.7007210862578512E-2</v>
      </c>
      <c r="AV222" s="260">
        <f t="shared" si="655"/>
        <v>3.5567642510531572E-2</v>
      </c>
      <c r="AW222" s="260">
        <f t="shared" si="655"/>
        <v>6.8092858707879067E-2</v>
      </c>
      <c r="AX222" s="260">
        <f t="shared" si="655"/>
        <v>6.6886190574192206E-2</v>
      </c>
      <c r="AY222" s="260">
        <f t="shared" si="655"/>
        <v>-1.216438584432078E-2</v>
      </c>
      <c r="AZ222" s="260">
        <f t="shared" si="655"/>
        <v>3.881631252811002E-2</v>
      </c>
      <c r="BA222" s="260">
        <f t="shared" si="655"/>
        <v>-5.5612770339855788E-2</v>
      </c>
      <c r="BB222" s="260">
        <f t="shared" si="655"/>
        <v>-3.3713692946058083E-2</v>
      </c>
      <c r="BC222" s="260">
        <f t="shared" si="655"/>
        <v>-3.4979423868312765E-2</v>
      </c>
      <c r="BD222" s="260">
        <f t="shared" si="655"/>
        <v>5.2714812862419969E-4</v>
      </c>
      <c r="BE222" s="260">
        <f t="shared" si="655"/>
        <v>-3.1124367786279361E-2</v>
      </c>
      <c r="BF222" s="260">
        <f t="shared" si="655"/>
        <v>-2.0174482006543037E-2</v>
      </c>
      <c r="BG222" s="260">
        <f t="shared" si="655"/>
        <v>-5.3676865271068186E-2</v>
      </c>
      <c r="BH222" s="260">
        <f t="shared" si="655"/>
        <v>-5.4904051172707913E-2</v>
      </c>
      <c r="BI222" s="260">
        <f t="shared" si="655"/>
        <v>-6.6385669125395119E-2</v>
      </c>
      <c r="BJ222" s="260">
        <f>BJ221/BE221-1</f>
        <v>-4.6357850354704855E-2</v>
      </c>
      <c r="BK222" s="260">
        <f t="shared" si="655"/>
        <v>-5.5091819699499167E-2</v>
      </c>
      <c r="BL222" s="260">
        <f t="shared" si="655"/>
        <v>-5.8423142370958581E-2</v>
      </c>
      <c r="BM222" s="260">
        <f t="shared" si="655"/>
        <v>-5.6401579244218847E-2</v>
      </c>
      <c r="BN222" s="260">
        <f t="shared" si="655"/>
        <v>-6.1512415349887162E-2</v>
      </c>
      <c r="BO222" s="260">
        <f>BO221/BJ221-1</f>
        <v>-6.9705068753802335E-2</v>
      </c>
      <c r="BP222" s="260">
        <f t="shared" si="655"/>
        <v>-2.0023557126030656E-2</v>
      </c>
      <c r="BQ222" s="260">
        <f t="shared" si="655"/>
        <v>1.6265060240963747E-2</v>
      </c>
      <c r="BR222" s="260">
        <f t="shared" si="655"/>
        <v>2.5104602510460206E-2</v>
      </c>
      <c r="BS222" s="260">
        <f t="shared" si="655"/>
        <v>6.6145520144318404E-3</v>
      </c>
      <c r="BT222" s="260">
        <f>BT221/BO221-1</f>
        <v>1.3179304688551108E-2</v>
      </c>
      <c r="BU222" s="253">
        <f t="shared" si="655"/>
        <v>2.0432692307692291E-2</v>
      </c>
      <c r="BV222" s="253">
        <f t="shared" si="655"/>
        <v>3.6158861885003057E-2</v>
      </c>
      <c r="BW222" s="253">
        <f t="shared" si="655"/>
        <v>3.0903790087463578E-2</v>
      </c>
      <c r="BX222" s="253">
        <f t="shared" si="655"/>
        <v>7.1087216248506557E-2</v>
      </c>
      <c r="BY222" s="260">
        <f>BY221/BT221-1</f>
        <v>5.1932893025719462E-2</v>
      </c>
      <c r="BZ222" s="253">
        <f t="shared" si="655"/>
        <v>5.0647820965842083E-2</v>
      </c>
      <c r="CA222" s="253">
        <f t="shared" si="655"/>
        <v>1.7734553775743622E-2</v>
      </c>
      <c r="CB222" s="253">
        <f t="shared" si="655"/>
        <v>2.1493212669683182E-2</v>
      </c>
      <c r="CC222" s="253">
        <f t="shared" si="655"/>
        <v>2.6770775237032973E-2</v>
      </c>
      <c r="CD222" s="260">
        <f>CD221/BY221-1</f>
        <v>2.245063728936203E-2</v>
      </c>
      <c r="CE222" s="260">
        <f t="shared" ref="CE222:CI222" si="656">CE221/CD221-1</f>
        <v>1.1851615900156709E-2</v>
      </c>
      <c r="CF222" s="260">
        <f t="shared" si="656"/>
        <v>1.4323557311053614E-2</v>
      </c>
      <c r="CG222" s="260">
        <f t="shared" si="656"/>
        <v>1.3566156896905213E-2</v>
      </c>
      <c r="CH222" s="260">
        <f t="shared" si="656"/>
        <v>1.7130556609107117E-2</v>
      </c>
      <c r="CI222" s="260">
        <f t="shared" si="656"/>
        <v>2.0841972874425796E-2</v>
      </c>
      <c r="CJ222" s="260">
        <f t="shared" ref="CJ222" si="657">CJ221/CI221-1</f>
        <v>1.9893156091550512E-2</v>
      </c>
      <c r="CK222" s="260">
        <f t="shared" ref="CK222" si="658">CK221/CJ221-1</f>
        <v>1.9052630857576247E-2</v>
      </c>
      <c r="CL222" s="260">
        <f t="shared" ref="CL222:CM222" si="659">CL221/CK221-1</f>
        <v>1.8306737934564943E-2</v>
      </c>
      <c r="CM222" s="260">
        <f t="shared" si="659"/>
        <v>1.7643798502001262E-2</v>
      </c>
      <c r="CN222" s="195"/>
      <c r="CO222" s="195"/>
      <c r="CP222" s="195"/>
      <c r="CQ222" s="195"/>
      <c r="CR222" s="195"/>
      <c r="CS222" s="206"/>
      <c r="CT222" s="206"/>
      <c r="CU222" s="206"/>
      <c r="CV222" s="206"/>
      <c r="CW222" s="206"/>
      <c r="CX222" s="206"/>
    </row>
    <row r="223" spans="1:142">
      <c r="A223" s="286"/>
      <c r="B223" s="260"/>
      <c r="C223" s="260"/>
      <c r="D223" s="260"/>
      <c r="E223" s="260"/>
      <c r="F223" s="260"/>
      <c r="G223" s="260"/>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0"/>
      <c r="AL223" s="260"/>
      <c r="AM223" s="260"/>
      <c r="AN223" s="260"/>
      <c r="AO223" s="260"/>
      <c r="AP223" s="260"/>
      <c r="AQ223" s="260"/>
      <c r="AR223" s="260"/>
      <c r="AS223" s="260"/>
      <c r="AT223" s="260"/>
      <c r="AU223" s="260"/>
      <c r="AV223" s="260"/>
      <c r="AW223" s="260"/>
      <c r="AX223" s="260"/>
      <c r="AY223" s="260"/>
      <c r="AZ223" s="260"/>
      <c r="BA223" s="260"/>
      <c r="BB223" s="260"/>
      <c r="BC223" s="260"/>
      <c r="BD223" s="260"/>
      <c r="BE223" s="260"/>
      <c r="BF223" s="260"/>
      <c r="BG223" s="260"/>
      <c r="BH223" s="260"/>
      <c r="BI223" s="260"/>
      <c r="BJ223" s="260"/>
      <c r="BK223" s="260"/>
      <c r="BL223" s="260"/>
      <c r="BM223" s="260"/>
      <c r="BN223" s="260"/>
      <c r="BO223" s="260"/>
      <c r="BP223" s="260"/>
      <c r="BQ223" s="260"/>
      <c r="BR223" s="260"/>
      <c r="BS223" s="260"/>
      <c r="BT223" s="260"/>
      <c r="BU223" s="253"/>
      <c r="BV223" s="253"/>
      <c r="BW223" s="253"/>
      <c r="BX223" s="253"/>
      <c r="BY223" s="260"/>
      <c r="BZ223" s="253"/>
      <c r="CA223" s="253"/>
      <c r="CB223" s="253"/>
      <c r="CC223" s="253"/>
      <c r="CD223" s="260"/>
      <c r="CE223" s="260"/>
      <c r="CF223" s="260"/>
      <c r="CG223" s="260"/>
      <c r="CH223" s="260"/>
      <c r="CI223" s="260"/>
      <c r="CJ223" s="260"/>
      <c r="CK223" s="260"/>
      <c r="CL223" s="260"/>
      <c r="CM223" s="260"/>
      <c r="CN223" s="195"/>
      <c r="CO223" s="195"/>
      <c r="CP223" s="195"/>
      <c r="CQ223" s="195"/>
      <c r="CR223" s="195"/>
      <c r="CS223" s="206"/>
      <c r="CT223" s="206"/>
      <c r="CU223" s="206"/>
      <c r="CV223" s="206"/>
      <c r="CW223" s="206"/>
      <c r="CX223" s="206"/>
    </row>
    <row r="224" spans="1:142">
      <c r="A224" s="341" t="s">
        <v>608</v>
      </c>
      <c r="B224" s="351"/>
      <c r="C224" s="351"/>
      <c r="D224" s="351"/>
      <c r="E224" s="351"/>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239"/>
      <c r="AB224" s="239"/>
      <c r="AC224" s="239"/>
      <c r="AD224" s="239"/>
      <c r="AE224" s="239"/>
      <c r="AF224" s="239"/>
      <c r="AG224" s="239"/>
      <c r="AH224" s="239"/>
      <c r="AI224" s="239"/>
      <c r="AJ224" s="239"/>
      <c r="AK224" s="239"/>
      <c r="AL224" s="239"/>
      <c r="AM224" s="239"/>
      <c r="AN224" s="239"/>
      <c r="AO224" s="239"/>
      <c r="AP224" s="239"/>
      <c r="AQ224" s="239"/>
      <c r="AR224" s="239"/>
      <c r="AS224" s="239"/>
      <c r="AT224" s="239"/>
      <c r="AU224" s="239"/>
      <c r="AV224" s="239"/>
      <c r="AW224" s="239"/>
      <c r="AX224" s="239"/>
      <c r="AY224" s="239"/>
      <c r="AZ224" s="239"/>
      <c r="BA224" s="195">
        <f>BA169*BA117*3/1000</f>
        <v>1655.6130000000001</v>
      </c>
      <c r="BB224" s="195">
        <f>BB169*BB117*3/1000</f>
        <v>1705.1955</v>
      </c>
      <c r="BC224" s="195">
        <f>BC169*BC117*3/1000</f>
        <v>1712.6685</v>
      </c>
      <c r="BD224" s="195">
        <f>BD169*BD117*3/1000</f>
        <v>1714.7355</v>
      </c>
      <c r="BE224" s="195">
        <f>SUM(BA224:BD224)</f>
        <v>6788.2124999999996</v>
      </c>
      <c r="BF224" s="195">
        <f>BF169*BF117*3/1000</f>
        <v>1646.739</v>
      </c>
      <c r="BG224" s="195">
        <f>BG169*BG117*3/1000</f>
        <v>1657.4490000000001</v>
      </c>
      <c r="BH224" s="195">
        <f>BH169*BH117*3/1000</f>
        <v>1678.6395</v>
      </c>
      <c r="BI224" s="195">
        <f>BI169*BI117*3/1000</f>
        <v>1696.1579999999999</v>
      </c>
      <c r="BJ224" s="195">
        <f>BJ169*BJ117*12/1000</f>
        <v>6698.6459999999997</v>
      </c>
      <c r="BK224" s="195">
        <f>BK169*BK117*3/1000</f>
        <v>1642.7985000000001</v>
      </c>
      <c r="BL224" s="195">
        <f>BL169*BL117*3/1000</f>
        <v>1611.066</v>
      </c>
      <c r="BM224" s="195">
        <f>BM169*BM117*3/1000</f>
        <v>1653.3406500000001</v>
      </c>
      <c r="BN224" s="195">
        <f>BN169*BN117*3/1000</f>
        <v>1603.6082999999999</v>
      </c>
      <c r="BO224" s="195">
        <f>BO169*BO117*12/1000</f>
        <v>6444.8490000000002</v>
      </c>
      <c r="BP224" s="195">
        <f>BP169*BP117*3/1000</f>
        <v>1599.9632999999999</v>
      </c>
      <c r="BQ224" s="195">
        <f>BQ169*BQ117*3/1000</f>
        <v>1611.912</v>
      </c>
      <c r="BR224" s="195">
        <f>BR169*BR117*3/1000</f>
        <v>1603.0866000000001</v>
      </c>
      <c r="BS224" s="195">
        <f>BS169*BS117*3/1000</f>
        <v>1587.6121499999999</v>
      </c>
      <c r="BT224" s="195">
        <f>BT169*BT117*12/1000</f>
        <v>6377.9624999999996</v>
      </c>
      <c r="BU224" s="195">
        <f>BU169*BU117*3/1000</f>
        <v>1596.2562000000003</v>
      </c>
      <c r="BV224" s="195">
        <f>BV169*BV117*3/1000</f>
        <v>1643.0026500000001</v>
      </c>
      <c r="BW224" s="195">
        <f>BW169*BW117*3/1000</f>
        <v>1646.9623499999998</v>
      </c>
      <c r="BX224" s="195">
        <f>BX169*BX117*3/1000</f>
        <v>1678.0667999999998</v>
      </c>
      <c r="BY224" s="195">
        <f>BY169*BY117*12/1000</f>
        <v>6621.4260000000004</v>
      </c>
      <c r="BZ224" s="195">
        <f>BZ169*BZ117*3/1000</f>
        <v>1655.1244500000003</v>
      </c>
      <c r="CA224" s="195">
        <f>CA169*CA117*3/1000</f>
        <v>1659.711</v>
      </c>
      <c r="CB224" s="195">
        <f>CB169*CB117*3/1000</f>
        <v>1664.59815</v>
      </c>
      <c r="CC224" s="195">
        <f>CC169*CC117*3/1000</f>
        <v>1684.5927000000001</v>
      </c>
      <c r="CD224" s="195">
        <f t="shared" ref="CD224:CM224" si="660">CD169*CD117*12/1000</f>
        <v>6780.0204000000003</v>
      </c>
      <c r="CE224" s="195">
        <f t="shared" si="660"/>
        <v>6865.6214501544182</v>
      </c>
      <c r="CF224" s="195">
        <f t="shared" si="660"/>
        <v>6970.3027831759955</v>
      </c>
      <c r="CG224" s="195">
        <f t="shared" si="660"/>
        <v>7070.8689048036395</v>
      </c>
      <c r="CH224" s="195">
        <f t="shared" si="660"/>
        <v>7199.5807278304828</v>
      </c>
      <c r="CI224" s="195">
        <f t="shared" si="660"/>
        <v>7358.8611855623476</v>
      </c>
      <c r="CJ224" s="195">
        <f t="shared" si="660"/>
        <v>7514.0590987023952</v>
      </c>
      <c r="CK224" s="195">
        <f t="shared" si="660"/>
        <v>7665.6565212642026</v>
      </c>
      <c r="CL224" s="195">
        <f t="shared" si="660"/>
        <v>7814.0942988598626</v>
      </c>
      <c r="CM224" s="195">
        <f t="shared" si="660"/>
        <v>7959.7757254670014</v>
      </c>
      <c r="CN224" s="195"/>
      <c r="CO224" s="195"/>
      <c r="CP224" s="195"/>
      <c r="CQ224" s="195"/>
      <c r="CR224" s="195"/>
      <c r="CS224" s="202"/>
      <c r="CT224" s="202"/>
      <c r="DT224" s="265"/>
      <c r="DU224" s="265"/>
      <c r="EG224" s="265"/>
      <c r="EH224" s="265"/>
      <c r="EI224" s="265"/>
      <c r="EK224" s="353"/>
      <c r="EL224" s="354"/>
    </row>
    <row r="225" spans="1:142">
      <c r="A225" s="341" t="s">
        <v>609</v>
      </c>
      <c r="B225" s="351"/>
      <c r="C225" s="351"/>
      <c r="D225" s="351"/>
      <c r="E225" s="351"/>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239"/>
      <c r="AB225" s="239"/>
      <c r="AC225" s="239"/>
      <c r="AD225" s="239"/>
      <c r="AE225" s="239"/>
      <c r="AF225" s="239"/>
      <c r="AG225" s="239"/>
      <c r="AH225" s="239"/>
      <c r="AI225" s="239"/>
      <c r="AJ225" s="239"/>
      <c r="AK225" s="239"/>
      <c r="AL225" s="239"/>
      <c r="AM225" s="239"/>
      <c r="AN225" s="239"/>
      <c r="AO225" s="239"/>
      <c r="AP225" s="239"/>
      <c r="AQ225" s="239"/>
      <c r="AR225" s="239"/>
      <c r="AS225" s="239"/>
      <c r="AT225" s="239"/>
      <c r="AU225" s="239"/>
      <c r="AV225" s="239"/>
      <c r="AW225" s="239"/>
      <c r="AX225" s="239"/>
      <c r="AY225" s="239"/>
      <c r="AZ225" s="239"/>
      <c r="BA225" s="195">
        <f>BA376-BA224</f>
        <v>178.38699999999994</v>
      </c>
      <c r="BB225" s="195">
        <f>BB376-BB224</f>
        <v>157.80449999999996</v>
      </c>
      <c r="BC225" s="195">
        <f>BC376-BC224</f>
        <v>163.33150000000001</v>
      </c>
      <c r="BD225" s="195">
        <f>BD376-BD224</f>
        <v>183.2645</v>
      </c>
      <c r="BE225" s="195">
        <f>SUM(BA225:BD225)</f>
        <v>682.78749999999991</v>
      </c>
      <c r="BF225" s="195">
        <f>BF376-BF224</f>
        <v>150.26099999999997</v>
      </c>
      <c r="BG225" s="195">
        <f>BG376-BG224</f>
        <v>105.55099999999993</v>
      </c>
      <c r="BH225" s="195">
        <f>BH376-BH224</f>
        <v>94.360500000000002</v>
      </c>
      <c r="BI225" s="195">
        <f>BI376-BI224</f>
        <v>75.842000000000098</v>
      </c>
      <c r="BJ225" s="195">
        <f>SUM(BF225:BI225)</f>
        <v>426.0145</v>
      </c>
      <c r="BK225" s="195">
        <f>BK376-BK224</f>
        <v>55.201499999999896</v>
      </c>
      <c r="BL225" s="195">
        <f>BL376-BL224</f>
        <v>48.933999999999969</v>
      </c>
      <c r="BM225" s="195">
        <f>BM376-BM224</f>
        <v>19.659349999999904</v>
      </c>
      <c r="BN225" s="195">
        <f>BN376-BN224</f>
        <v>59.391700000000128</v>
      </c>
      <c r="BO225" s="195">
        <f>SUM(BK225:BN225)</f>
        <v>183.1865499999999</v>
      </c>
      <c r="BP225" s="195">
        <f>BP376-BP224</f>
        <v>64.03670000000011</v>
      </c>
      <c r="BQ225" s="195">
        <f>BQ376-BQ224</f>
        <v>75.087999999999965</v>
      </c>
      <c r="BR225" s="195">
        <f>BR376-BR224</f>
        <v>111.91339999999991</v>
      </c>
      <c r="BS225" s="195">
        <f>BS376-BS224</f>
        <v>86.387850000000071</v>
      </c>
      <c r="BT225" s="195">
        <f>SUM(BP225:BS225)</f>
        <v>337.42595000000006</v>
      </c>
      <c r="BU225" s="195">
        <f>BU376-BU224</f>
        <v>101.74379999999974</v>
      </c>
      <c r="BV225" s="195">
        <f>BV376-BV224</f>
        <v>104.99734999999987</v>
      </c>
      <c r="BW225" s="195">
        <f>BW376-BW224</f>
        <v>121.03765000000021</v>
      </c>
      <c r="BX225" s="195">
        <f>BX376-BX224</f>
        <v>114.93320000000017</v>
      </c>
      <c r="BY225" s="195">
        <f>SUM(BU225:BX225)</f>
        <v>442.71199999999999</v>
      </c>
      <c r="BZ225" s="195">
        <f>BZ376-BZ224</f>
        <v>128.87554999999975</v>
      </c>
      <c r="CA225" s="195">
        <f>CA376-CA224</f>
        <v>119.28899999999999</v>
      </c>
      <c r="CB225" s="195">
        <f>CB376-CB224</f>
        <v>141.40184999999997</v>
      </c>
      <c r="CC225" s="195">
        <f>CC376-CC224</f>
        <v>156.40729999999985</v>
      </c>
      <c r="CD225" s="355">
        <f>BY225</f>
        <v>442.71199999999999</v>
      </c>
      <c r="CE225" s="355">
        <f t="shared" ref="CE225:CI225" si="661">CD225</f>
        <v>442.71199999999999</v>
      </c>
      <c r="CF225" s="355">
        <f t="shared" si="661"/>
        <v>442.71199999999999</v>
      </c>
      <c r="CG225" s="355">
        <f t="shared" si="661"/>
        <v>442.71199999999999</v>
      </c>
      <c r="CH225" s="355">
        <f t="shared" si="661"/>
        <v>442.71199999999999</v>
      </c>
      <c r="CI225" s="355">
        <f t="shared" si="661"/>
        <v>442.71199999999999</v>
      </c>
      <c r="CJ225" s="355">
        <f t="shared" ref="CJ225" si="662">CI225</f>
        <v>442.71199999999999</v>
      </c>
      <c r="CK225" s="355">
        <f t="shared" ref="CK225" si="663">CJ225</f>
        <v>442.71199999999999</v>
      </c>
      <c r="CL225" s="355">
        <f t="shared" ref="CL225:CM225" si="664">CK225</f>
        <v>442.71199999999999</v>
      </c>
      <c r="CM225" s="355">
        <f t="shared" si="664"/>
        <v>442.71199999999999</v>
      </c>
      <c r="CN225" s="195"/>
      <c r="CO225" s="195"/>
      <c r="CP225" s="195"/>
      <c r="CQ225" s="195"/>
      <c r="CR225" s="195"/>
      <c r="CS225" s="202"/>
      <c r="CT225" s="202"/>
      <c r="DT225" s="265"/>
      <c r="DU225" s="265"/>
      <c r="EG225" s="265"/>
      <c r="EH225" s="265"/>
      <c r="EI225" s="265"/>
      <c r="EK225" s="353"/>
      <c r="EL225" s="354"/>
    </row>
    <row r="226" spans="1:142">
      <c r="A226" s="356" t="s">
        <v>610</v>
      </c>
      <c r="B226" s="357"/>
      <c r="C226" s="357"/>
      <c r="D226" s="357"/>
      <c r="E226" s="357"/>
      <c r="F226" s="357"/>
      <c r="G226" s="357"/>
      <c r="H226" s="357"/>
      <c r="I226" s="357"/>
      <c r="J226" s="357"/>
      <c r="K226" s="357"/>
      <c r="L226" s="357"/>
      <c r="M226" s="357"/>
      <c r="N226" s="357"/>
      <c r="O226" s="357"/>
      <c r="P226" s="357"/>
      <c r="Q226" s="357"/>
      <c r="R226" s="357"/>
      <c r="S226" s="357"/>
      <c r="T226" s="357"/>
      <c r="U226" s="357"/>
      <c r="V226" s="357"/>
      <c r="W226" s="357"/>
      <c r="X226" s="357"/>
      <c r="Y226" s="357"/>
      <c r="Z226" s="357"/>
      <c r="AA226" s="357"/>
      <c r="AB226" s="357"/>
      <c r="AC226" s="357"/>
      <c r="AD226" s="357"/>
      <c r="AE226" s="357"/>
      <c r="AF226" s="357"/>
      <c r="AG226" s="357"/>
      <c r="AH226" s="357"/>
      <c r="AI226" s="357"/>
      <c r="AJ226" s="357"/>
      <c r="AK226" s="357"/>
      <c r="AL226" s="357"/>
      <c r="AM226" s="357"/>
      <c r="AN226" s="357"/>
      <c r="AO226" s="357"/>
      <c r="AP226" s="357"/>
      <c r="AQ226" s="357"/>
      <c r="AR226" s="357"/>
      <c r="AS226" s="357"/>
      <c r="AT226" s="357"/>
      <c r="AU226" s="357"/>
      <c r="AV226" s="357"/>
      <c r="AW226" s="357"/>
      <c r="AX226" s="357"/>
      <c r="AY226" s="357"/>
      <c r="AZ226" s="357"/>
      <c r="BA226" s="255">
        <f t="shared" ref="BA226:CI226" si="665">BA224+BA225</f>
        <v>1834</v>
      </c>
      <c r="BB226" s="255">
        <f t="shared" si="665"/>
        <v>1863</v>
      </c>
      <c r="BC226" s="255">
        <f t="shared" si="665"/>
        <v>1876</v>
      </c>
      <c r="BD226" s="255">
        <f t="shared" si="665"/>
        <v>1898</v>
      </c>
      <c r="BE226" s="255">
        <f>BE224+BE225</f>
        <v>7471</v>
      </c>
      <c r="BF226" s="255">
        <f t="shared" si="665"/>
        <v>1797</v>
      </c>
      <c r="BG226" s="255">
        <f t="shared" si="665"/>
        <v>1763</v>
      </c>
      <c r="BH226" s="255">
        <f t="shared" si="665"/>
        <v>1773</v>
      </c>
      <c r="BI226" s="255">
        <f t="shared" si="665"/>
        <v>1772</v>
      </c>
      <c r="BJ226" s="255">
        <f t="shared" si="665"/>
        <v>7124.6605</v>
      </c>
      <c r="BK226" s="255">
        <f t="shared" si="665"/>
        <v>1698</v>
      </c>
      <c r="BL226" s="255">
        <f t="shared" si="665"/>
        <v>1660</v>
      </c>
      <c r="BM226" s="255">
        <f t="shared" si="665"/>
        <v>1673</v>
      </c>
      <c r="BN226" s="255">
        <f t="shared" si="665"/>
        <v>1663</v>
      </c>
      <c r="BO226" s="255">
        <f t="shared" si="665"/>
        <v>6628.0355500000005</v>
      </c>
      <c r="BP226" s="255">
        <f t="shared" si="665"/>
        <v>1664</v>
      </c>
      <c r="BQ226" s="255">
        <f t="shared" si="665"/>
        <v>1687</v>
      </c>
      <c r="BR226" s="255">
        <f t="shared" si="665"/>
        <v>1715</v>
      </c>
      <c r="BS226" s="255">
        <f t="shared" si="665"/>
        <v>1674</v>
      </c>
      <c r="BT226" s="255">
        <f t="shared" si="665"/>
        <v>6715.3884499999995</v>
      </c>
      <c r="BU226" s="255">
        <f t="shared" si="665"/>
        <v>1698</v>
      </c>
      <c r="BV226" s="255">
        <f t="shared" si="665"/>
        <v>1748</v>
      </c>
      <c r="BW226" s="255">
        <f t="shared" ref="BW226:BZ226" si="666">BW224+BW225</f>
        <v>1768</v>
      </c>
      <c r="BX226" s="255">
        <f t="shared" si="666"/>
        <v>1793</v>
      </c>
      <c r="BY226" s="255">
        <f t="shared" si="666"/>
        <v>7064.1380000000008</v>
      </c>
      <c r="BZ226" s="255">
        <f t="shared" si="666"/>
        <v>1784</v>
      </c>
      <c r="CA226" s="255">
        <f t="shared" ref="CA226:CB226" si="667">CA224+CA225</f>
        <v>1779</v>
      </c>
      <c r="CB226" s="255">
        <f t="shared" si="667"/>
        <v>1806</v>
      </c>
      <c r="CC226" s="255">
        <f t="shared" ref="CC226" si="668">CC224+CC225</f>
        <v>1841</v>
      </c>
      <c r="CD226" s="255">
        <f t="shared" si="665"/>
        <v>7222.7324000000008</v>
      </c>
      <c r="CE226" s="255">
        <f t="shared" si="665"/>
        <v>7308.3334501544177</v>
      </c>
      <c r="CF226" s="255">
        <f t="shared" si="665"/>
        <v>7413.014783175995</v>
      </c>
      <c r="CG226" s="255">
        <f t="shared" si="665"/>
        <v>7513.580904803639</v>
      </c>
      <c r="CH226" s="255">
        <f t="shared" si="665"/>
        <v>7642.2927278304833</v>
      </c>
      <c r="CI226" s="255">
        <f t="shared" si="665"/>
        <v>7801.5731855623471</v>
      </c>
      <c r="CJ226" s="255">
        <f t="shared" ref="CJ226:CL226" si="669">CJ224+CJ225</f>
        <v>7956.7710987023947</v>
      </c>
      <c r="CK226" s="255">
        <f t="shared" si="669"/>
        <v>8108.3685212642031</v>
      </c>
      <c r="CL226" s="255">
        <f t="shared" si="669"/>
        <v>8256.8062988598631</v>
      </c>
      <c r="CM226" s="255">
        <f t="shared" ref="CM226" si="670">CM224+CM225</f>
        <v>8402.4877254670009</v>
      </c>
      <c r="CN226" s="195"/>
      <c r="CO226" s="195"/>
      <c r="CP226" s="195"/>
      <c r="CQ226" s="195"/>
      <c r="CR226" s="195"/>
      <c r="CS226" s="206"/>
      <c r="CT226" s="206"/>
      <c r="CU226" s="206"/>
      <c r="CV226" s="206"/>
      <c r="CW226" s="206"/>
      <c r="CX226" s="206"/>
    </row>
    <row r="227" spans="1:142">
      <c r="A227" s="342" t="s">
        <v>605</v>
      </c>
      <c r="B227" s="260"/>
      <c r="C227" s="260"/>
      <c r="D227" s="260"/>
      <c r="E227" s="260"/>
      <c r="F227" s="260"/>
      <c r="G227" s="260"/>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AN227" s="260"/>
      <c r="AO227" s="260"/>
      <c r="AP227" s="260"/>
      <c r="AQ227" s="260"/>
      <c r="AR227" s="260"/>
      <c r="AS227" s="260"/>
      <c r="AT227" s="260"/>
      <c r="AU227" s="260"/>
      <c r="AV227" s="260"/>
      <c r="AW227" s="260"/>
      <c r="AX227" s="260"/>
      <c r="AY227" s="260"/>
      <c r="AZ227" s="260"/>
      <c r="BA227" s="260"/>
      <c r="BB227" s="260"/>
      <c r="BC227" s="260"/>
      <c r="BD227" s="260"/>
      <c r="BE227" s="260"/>
      <c r="BF227" s="260"/>
      <c r="BG227" s="260"/>
      <c r="BH227" s="260"/>
      <c r="BI227" s="260"/>
      <c r="BJ227" s="260">
        <f>BJ226/BE226-1</f>
        <v>-4.6357850354704855E-2</v>
      </c>
      <c r="BK227" s="260"/>
      <c r="BL227" s="260"/>
      <c r="BM227" s="260"/>
      <c r="BN227" s="260"/>
      <c r="BO227" s="260">
        <f>BO226/BJ226-1</f>
        <v>-6.9705068753802335E-2</v>
      </c>
      <c r="BP227" s="260">
        <f t="shared" ref="BP227:CC227" si="671">BP226/BK226-1</f>
        <v>-2.0023557126030656E-2</v>
      </c>
      <c r="BQ227" s="260">
        <f t="shared" si="671"/>
        <v>1.6265060240963747E-2</v>
      </c>
      <c r="BR227" s="260">
        <f t="shared" si="671"/>
        <v>2.5104602510460206E-2</v>
      </c>
      <c r="BS227" s="260">
        <f t="shared" si="671"/>
        <v>6.6145520144318404E-3</v>
      </c>
      <c r="BT227" s="260">
        <f>BT226/BO226-1</f>
        <v>1.3179304688551108E-2</v>
      </c>
      <c r="BU227" s="253">
        <f t="shared" si="671"/>
        <v>2.0432692307692291E-2</v>
      </c>
      <c r="BV227" s="253">
        <f t="shared" si="671"/>
        <v>3.6158861885003057E-2</v>
      </c>
      <c r="BW227" s="253">
        <f t="shared" si="671"/>
        <v>3.0903790087463578E-2</v>
      </c>
      <c r="BX227" s="253">
        <f t="shared" si="671"/>
        <v>7.1087216248506557E-2</v>
      </c>
      <c r="BY227" s="260">
        <f>BY226/BT226-1</f>
        <v>5.1932893025719462E-2</v>
      </c>
      <c r="BZ227" s="253">
        <f t="shared" si="671"/>
        <v>5.0647820965842083E-2</v>
      </c>
      <c r="CA227" s="253">
        <f t="shared" si="671"/>
        <v>1.7734553775743622E-2</v>
      </c>
      <c r="CB227" s="253">
        <f t="shared" si="671"/>
        <v>2.1493212669683182E-2</v>
      </c>
      <c r="CC227" s="253">
        <f t="shared" si="671"/>
        <v>2.6770775237032973E-2</v>
      </c>
      <c r="CD227" s="260">
        <f>CD226/BY226-1</f>
        <v>2.245063728936203E-2</v>
      </c>
      <c r="CE227" s="260">
        <f t="shared" ref="CE227:CI227" si="672">CE226/CD226-1</f>
        <v>1.1851615900156709E-2</v>
      </c>
      <c r="CF227" s="260">
        <f t="shared" si="672"/>
        <v>1.4323557311053614E-2</v>
      </c>
      <c r="CG227" s="260">
        <f t="shared" si="672"/>
        <v>1.3566156896905213E-2</v>
      </c>
      <c r="CH227" s="260">
        <f t="shared" si="672"/>
        <v>1.7130556609107117E-2</v>
      </c>
      <c r="CI227" s="260">
        <f t="shared" si="672"/>
        <v>2.0841972874425796E-2</v>
      </c>
      <c r="CJ227" s="260">
        <f t="shared" ref="CJ227" si="673">CJ226/CI226-1</f>
        <v>1.9893156091550512E-2</v>
      </c>
      <c r="CK227" s="260">
        <f t="shared" ref="CK227" si="674">CK226/CJ226-1</f>
        <v>1.9052630857576247E-2</v>
      </c>
      <c r="CL227" s="260">
        <f t="shared" ref="CL227:CM227" si="675">CL226/CK226-1</f>
        <v>1.8306737934564943E-2</v>
      </c>
      <c r="CM227" s="260">
        <f t="shared" si="675"/>
        <v>1.7643798502001262E-2</v>
      </c>
      <c r="CN227" s="195"/>
      <c r="CO227" s="195"/>
      <c r="CP227" s="195"/>
      <c r="CQ227" s="195"/>
      <c r="CR227" s="195"/>
      <c r="CS227" s="206"/>
      <c r="CT227" s="206"/>
      <c r="CU227" s="206"/>
      <c r="CV227" s="206"/>
      <c r="CW227" s="206"/>
      <c r="CX227" s="206"/>
    </row>
    <row r="228" spans="1:142">
      <c r="A228" s="286"/>
      <c r="B228" s="24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22"/>
      <c r="BV228" s="222"/>
      <c r="BW228" s="222"/>
      <c r="BX228" s="222"/>
      <c r="BY228" s="243"/>
      <c r="BZ228" s="222"/>
      <c r="CA228" s="222"/>
      <c r="CB228" s="222"/>
      <c r="CC228" s="222"/>
      <c r="CD228" s="243"/>
      <c r="CE228" s="243"/>
      <c r="CF228" s="243"/>
      <c r="CG228" s="243"/>
      <c r="CH228" s="243"/>
      <c r="CI228" s="243"/>
      <c r="CJ228" s="243"/>
      <c r="CK228" s="243"/>
      <c r="CL228" s="243"/>
      <c r="CM228" s="243"/>
      <c r="CN228" s="195"/>
      <c r="CO228" s="195"/>
      <c r="CP228" s="195"/>
      <c r="CQ228" s="195"/>
      <c r="CR228" s="195"/>
      <c r="CS228" s="206"/>
      <c r="CT228" s="206"/>
      <c r="CU228" s="206"/>
      <c r="CV228" s="206"/>
      <c r="CW228" s="206"/>
      <c r="CX228" s="206"/>
    </row>
    <row r="229" spans="1:142">
      <c r="A229" s="343" t="s">
        <v>753</v>
      </c>
      <c r="B229" s="24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22"/>
      <c r="BV229" s="222"/>
      <c r="BW229" s="222"/>
      <c r="BX229" s="222"/>
      <c r="BY229" s="243"/>
      <c r="BZ229" s="222"/>
      <c r="CA229" s="222"/>
      <c r="CB229" s="222"/>
      <c r="CC229" s="222"/>
      <c r="CD229" s="243"/>
      <c r="CE229" s="243"/>
      <c r="CF229" s="243"/>
      <c r="CG229" s="243"/>
      <c r="CH229" s="243"/>
      <c r="CI229" s="243"/>
      <c r="CJ229" s="243"/>
      <c r="CK229" s="243"/>
      <c r="CL229" s="243"/>
      <c r="CM229" s="243"/>
      <c r="CN229" s="195"/>
      <c r="CO229" s="195"/>
      <c r="CP229" s="195"/>
      <c r="CQ229" s="195"/>
      <c r="CR229" s="195"/>
      <c r="CS229" s="206"/>
      <c r="CT229" s="206"/>
      <c r="CU229" s="206"/>
      <c r="CV229" s="206"/>
      <c r="CW229" s="206"/>
      <c r="CX229" s="206"/>
    </row>
    <row r="230" spans="1:142" s="206" customFormat="1">
      <c r="A230" s="346" t="s">
        <v>679</v>
      </c>
      <c r="B230" s="309"/>
      <c r="C230" s="309"/>
      <c r="D230" s="309"/>
      <c r="E230" s="309"/>
      <c r="F230" s="309"/>
      <c r="G230" s="309"/>
      <c r="H230" s="309"/>
      <c r="I230" s="309"/>
      <c r="J230" s="309"/>
      <c r="K230" s="309"/>
      <c r="L230" s="309"/>
      <c r="M230" s="309"/>
      <c r="N230" s="309"/>
      <c r="O230" s="309"/>
      <c r="P230" s="309"/>
      <c r="Q230" s="309"/>
      <c r="R230" s="309"/>
      <c r="S230" s="309"/>
      <c r="T230" s="309"/>
      <c r="U230" s="309"/>
      <c r="V230" s="309"/>
      <c r="W230" s="309"/>
      <c r="X230" s="309"/>
      <c r="Y230" s="309"/>
      <c r="Z230" s="309"/>
      <c r="AA230" s="309"/>
      <c r="AB230" s="309"/>
      <c r="AC230" s="309"/>
      <c r="AD230" s="309"/>
      <c r="AE230" s="309"/>
      <c r="AF230" s="309"/>
      <c r="AG230" s="309"/>
      <c r="AH230" s="309"/>
      <c r="AI230" s="309"/>
      <c r="AJ230" s="309"/>
      <c r="AK230" s="309"/>
      <c r="AL230" s="309"/>
      <c r="AM230" s="309"/>
      <c r="AN230" s="309"/>
      <c r="AO230" s="309"/>
      <c r="AP230" s="309"/>
      <c r="AQ230" s="309"/>
      <c r="AR230" s="309"/>
      <c r="AS230" s="309"/>
      <c r="AT230" s="309"/>
      <c r="AU230" s="309"/>
      <c r="AV230" s="309"/>
      <c r="AW230" s="309"/>
      <c r="AX230" s="309"/>
      <c r="AY230" s="309"/>
      <c r="AZ230" s="309"/>
      <c r="BA230" s="204">
        <f>BA165</f>
        <v>35</v>
      </c>
      <c r="BB230" s="204">
        <f t="shared" ref="BB230:BD230" si="676">BB165</f>
        <v>37</v>
      </c>
      <c r="BC230" s="204">
        <f t="shared" si="676"/>
        <v>36</v>
      </c>
      <c r="BD230" s="204">
        <f t="shared" si="676"/>
        <v>37</v>
      </c>
      <c r="BE230" s="204">
        <f>BE165</f>
        <v>36.25</v>
      </c>
      <c r="BF230" s="204">
        <f>BF165</f>
        <v>35</v>
      </c>
      <c r="BG230" s="204">
        <f t="shared" ref="BG230:BI230" si="677">BG165</f>
        <v>35</v>
      </c>
      <c r="BH230" s="204">
        <f t="shared" si="677"/>
        <v>35</v>
      </c>
      <c r="BI230" s="204">
        <f t="shared" si="677"/>
        <v>35</v>
      </c>
      <c r="BJ230" s="204">
        <f>BJ165</f>
        <v>35</v>
      </c>
      <c r="BK230" s="204">
        <f>BK165</f>
        <v>32</v>
      </c>
      <c r="BL230" s="204">
        <f t="shared" ref="BL230:BN230" si="678">BL165</f>
        <v>30.6</v>
      </c>
      <c r="BM230" s="204">
        <f t="shared" si="678"/>
        <v>33.1</v>
      </c>
      <c r="BN230" s="204">
        <f t="shared" si="678"/>
        <v>32.4</v>
      </c>
      <c r="BO230" s="204">
        <f>BO165</f>
        <v>32.024999999999999</v>
      </c>
      <c r="BP230" s="204">
        <f>BP165</f>
        <v>31.6</v>
      </c>
      <c r="BQ230" s="204">
        <f t="shared" ref="BQ230:BS230" si="679">BQ165</f>
        <v>31</v>
      </c>
      <c r="BR230" s="204">
        <f t="shared" si="679"/>
        <v>30.5</v>
      </c>
      <c r="BS230" s="204">
        <f t="shared" si="679"/>
        <v>29.7</v>
      </c>
      <c r="BT230" s="204">
        <f>BT165</f>
        <v>30.7</v>
      </c>
      <c r="BU230" s="204">
        <f>BU165</f>
        <v>30.2</v>
      </c>
      <c r="BV230" s="204">
        <f t="shared" ref="BV230:BX230" si="680">BV165</f>
        <v>31.8</v>
      </c>
      <c r="BW230" s="204">
        <f t="shared" si="680"/>
        <v>31.3</v>
      </c>
      <c r="BX230" s="204">
        <f t="shared" si="680"/>
        <v>31.8</v>
      </c>
      <c r="BY230" s="204">
        <f t="shared" ref="BY230:CM230" si="681">BY165</f>
        <v>31.274999999999999</v>
      </c>
      <c r="BZ230" s="204">
        <f t="shared" si="681"/>
        <v>30.7</v>
      </c>
      <c r="CA230" s="204">
        <f t="shared" ref="CA230:CB230" si="682">CA165</f>
        <v>30.8</v>
      </c>
      <c r="CB230" s="204">
        <f t="shared" si="682"/>
        <v>30.7</v>
      </c>
      <c r="CC230" s="204">
        <f t="shared" ref="CC230:CD230" si="683">CC165</f>
        <v>29.6</v>
      </c>
      <c r="CD230" s="204">
        <f t="shared" si="683"/>
        <v>30.450000000000003</v>
      </c>
      <c r="CE230" s="204">
        <f t="shared" si="681"/>
        <v>29.5365</v>
      </c>
      <c r="CF230" s="204">
        <f t="shared" si="681"/>
        <v>29.388817500000002</v>
      </c>
      <c r="CG230" s="204">
        <f t="shared" si="681"/>
        <v>29.241873412500002</v>
      </c>
      <c r="CH230" s="204">
        <f t="shared" si="681"/>
        <v>29.241873412500002</v>
      </c>
      <c r="CI230" s="204">
        <f t="shared" si="681"/>
        <v>29.388082779562499</v>
      </c>
      <c r="CJ230" s="204">
        <f t="shared" si="681"/>
        <v>29.535023193460308</v>
      </c>
      <c r="CK230" s="204">
        <f t="shared" si="681"/>
        <v>29.682698309427607</v>
      </c>
      <c r="CL230" s="204">
        <f t="shared" si="681"/>
        <v>29.831111800974742</v>
      </c>
      <c r="CM230" s="204">
        <f t="shared" si="681"/>
        <v>29.980267359979614</v>
      </c>
    </row>
    <row r="231" spans="1:142" s="206" customFormat="1">
      <c r="A231" s="346" t="s">
        <v>749</v>
      </c>
      <c r="B231" s="309"/>
      <c r="C231" s="309"/>
      <c r="D231" s="309"/>
      <c r="E231" s="309"/>
      <c r="F231" s="309"/>
      <c r="G231" s="309"/>
      <c r="H231" s="309"/>
      <c r="I231" s="309"/>
      <c r="J231" s="309"/>
      <c r="K231" s="309"/>
      <c r="L231" s="309"/>
      <c r="M231" s="309"/>
      <c r="N231" s="309"/>
      <c r="O231" s="309"/>
      <c r="P231" s="309"/>
      <c r="Q231" s="309"/>
      <c r="R231" s="309"/>
      <c r="S231" s="309"/>
      <c r="T231" s="309"/>
      <c r="U231" s="309"/>
      <c r="V231" s="309"/>
      <c r="W231" s="309"/>
      <c r="X231" s="309"/>
      <c r="Y231" s="309"/>
      <c r="Z231" s="309"/>
      <c r="AA231" s="309"/>
      <c r="AB231" s="309"/>
      <c r="AC231" s="309"/>
      <c r="AD231" s="309"/>
      <c r="AE231" s="309"/>
      <c r="AF231" s="309"/>
      <c r="AG231" s="309"/>
      <c r="AH231" s="309"/>
      <c r="AI231" s="309"/>
      <c r="AJ231" s="309"/>
      <c r="AK231" s="309"/>
      <c r="AL231" s="309"/>
      <c r="AM231" s="309"/>
      <c r="AN231" s="309"/>
      <c r="AO231" s="309"/>
      <c r="AP231" s="309"/>
      <c r="AQ231" s="309"/>
      <c r="AR231" s="309"/>
      <c r="AS231" s="309"/>
      <c r="AT231" s="309"/>
      <c r="AU231" s="309"/>
      <c r="AV231" s="309"/>
      <c r="AW231" s="309"/>
      <c r="AX231" s="309"/>
      <c r="AY231" s="309"/>
      <c r="AZ231" s="309"/>
      <c r="BA231" s="204">
        <f>BA110</f>
        <v>8288</v>
      </c>
      <c r="BB231" s="204">
        <f t="shared" ref="BB231:BD231" si="684">BB110</f>
        <v>8184.5</v>
      </c>
      <c r="BC231" s="204">
        <f t="shared" si="684"/>
        <v>7979</v>
      </c>
      <c r="BD231" s="204">
        <f t="shared" si="684"/>
        <v>7802.5</v>
      </c>
      <c r="BE231" s="204">
        <f>BE110</f>
        <v>7802.5</v>
      </c>
      <c r="BF231" s="204">
        <f>BF110</f>
        <v>7600</v>
      </c>
      <c r="BG231" s="204">
        <f t="shared" ref="BG231:BI231" si="685">BG110</f>
        <v>7589.5</v>
      </c>
      <c r="BH231" s="204">
        <f t="shared" si="685"/>
        <v>7582</v>
      </c>
      <c r="BI231" s="204">
        <f t="shared" si="685"/>
        <v>7473</v>
      </c>
      <c r="BJ231" s="204">
        <f>BJ110</f>
        <v>7473</v>
      </c>
      <c r="BK231" s="204">
        <f>BK110</f>
        <v>7416</v>
      </c>
      <c r="BL231" s="204">
        <f t="shared" ref="BL231:BN231" si="686">BL110</f>
        <v>7646.5</v>
      </c>
      <c r="BM231" s="204">
        <f t="shared" si="686"/>
        <v>7304</v>
      </c>
      <c r="BN231" s="204">
        <f t="shared" si="686"/>
        <v>7284</v>
      </c>
      <c r="BO231" s="204">
        <f>BO110</f>
        <v>7284</v>
      </c>
      <c r="BP231" s="204">
        <f>BP110</f>
        <v>7376.5</v>
      </c>
      <c r="BQ231" s="204">
        <f t="shared" ref="BQ231:BS231" si="687">BQ110</f>
        <v>7595</v>
      </c>
      <c r="BR231" s="204">
        <f t="shared" si="687"/>
        <v>7240.5</v>
      </c>
      <c r="BS231" s="204">
        <f t="shared" si="687"/>
        <v>7276</v>
      </c>
      <c r="BT231" s="204">
        <f>BT110</f>
        <v>7276</v>
      </c>
      <c r="BU231" s="204">
        <f>BU110</f>
        <v>7228.5</v>
      </c>
      <c r="BV231" s="204">
        <f t="shared" ref="BV231:BX231" si="688">BV110</f>
        <v>7254.5</v>
      </c>
      <c r="BW231" s="204">
        <f t="shared" si="688"/>
        <v>7261</v>
      </c>
      <c r="BX231" s="204">
        <f t="shared" si="688"/>
        <v>7253</v>
      </c>
      <c r="BY231" s="204">
        <f t="shared" ref="BY231:CM231" si="689">BY110</f>
        <v>7253</v>
      </c>
      <c r="BZ231" s="204">
        <f t="shared" si="689"/>
        <v>7109</v>
      </c>
      <c r="CA231" s="204">
        <f t="shared" ref="CA231:CB231" si="690">CA110</f>
        <v>7090.5</v>
      </c>
      <c r="CB231" s="204">
        <f t="shared" si="690"/>
        <v>7186.5</v>
      </c>
      <c r="CC231" s="204">
        <f t="shared" ref="CC231:CD231" si="691">CC110</f>
        <v>7368</v>
      </c>
      <c r="CD231" s="204">
        <f t="shared" si="691"/>
        <v>7368</v>
      </c>
      <c r="CE231" s="204">
        <f t="shared" si="689"/>
        <v>7661.1641279028299</v>
      </c>
      <c r="CF231" s="204">
        <f t="shared" si="689"/>
        <v>7781.7414768429953</v>
      </c>
      <c r="CG231" s="204">
        <f t="shared" si="689"/>
        <v>7873.6301478777041</v>
      </c>
      <c r="CH231" s="204">
        <f t="shared" si="689"/>
        <v>7956.1232232417278</v>
      </c>
      <c r="CI231" s="204">
        <f t="shared" si="689"/>
        <v>8030.1327540714592</v>
      </c>
      <c r="CJ231" s="204">
        <f t="shared" si="689"/>
        <v>8096.479857153603</v>
      </c>
      <c r="CK231" s="204">
        <f t="shared" si="689"/>
        <v>8155.9037421354451</v>
      </c>
      <c r="CL231" s="204">
        <f t="shared" si="689"/>
        <v>8209.0698437113824</v>
      </c>
      <c r="CM231" s="204">
        <f t="shared" si="689"/>
        <v>8256.5771474036846</v>
      </c>
    </row>
    <row r="232" spans="1:142" s="206" customFormat="1">
      <c r="A232" s="346" t="s">
        <v>748</v>
      </c>
      <c r="B232" s="309"/>
      <c r="C232" s="309"/>
      <c r="D232" s="309"/>
      <c r="E232" s="309"/>
      <c r="F232" s="309"/>
      <c r="G232" s="309"/>
      <c r="H232" s="309"/>
      <c r="I232" s="309"/>
      <c r="J232" s="309"/>
      <c r="K232" s="309"/>
      <c r="L232" s="309"/>
      <c r="M232" s="309"/>
      <c r="N232" s="309"/>
      <c r="O232" s="309"/>
      <c r="P232" s="309"/>
      <c r="Q232" s="309"/>
      <c r="R232" s="309"/>
      <c r="S232" s="309"/>
      <c r="T232" s="309"/>
      <c r="U232" s="309"/>
      <c r="V232" s="309"/>
      <c r="W232" s="309"/>
      <c r="X232" s="309"/>
      <c r="Y232" s="309"/>
      <c r="Z232" s="309"/>
      <c r="AA232" s="309"/>
      <c r="AB232" s="309"/>
      <c r="AC232" s="309"/>
      <c r="AD232" s="309"/>
      <c r="AE232" s="309"/>
      <c r="AF232" s="309"/>
      <c r="AG232" s="309"/>
      <c r="AH232" s="309"/>
      <c r="AI232" s="309"/>
      <c r="AJ232" s="309"/>
      <c r="AK232" s="309"/>
      <c r="AL232" s="309"/>
      <c r="AM232" s="309"/>
      <c r="AN232" s="309"/>
      <c r="AO232" s="309"/>
      <c r="AP232" s="309"/>
      <c r="AQ232" s="309"/>
      <c r="AR232" s="309"/>
      <c r="AS232" s="309"/>
      <c r="AT232" s="309"/>
      <c r="AU232" s="309"/>
      <c r="AV232" s="309"/>
      <c r="AW232" s="309"/>
      <c r="AX232" s="309"/>
      <c r="AY232" s="309"/>
      <c r="AZ232" s="309"/>
      <c r="BA232" s="281">
        <f>BA230*BA231*3/1000</f>
        <v>870.24</v>
      </c>
      <c r="BB232" s="281">
        <f t="shared" ref="BB232" si="692">BB230*BB231*3/1000</f>
        <v>908.47950000000003</v>
      </c>
      <c r="BC232" s="281">
        <f t="shared" ref="BC232" si="693">BC230*BC231*3/1000</f>
        <v>861.73199999999997</v>
      </c>
      <c r="BD232" s="281">
        <f t="shared" ref="BD232" si="694">BD230*BD231*3/1000</f>
        <v>866.07749999999999</v>
      </c>
      <c r="BE232" s="281">
        <f>BE230*BE231*12/1000</f>
        <v>3394.0875000000001</v>
      </c>
      <c r="BF232" s="281">
        <f>BF230*BF231*3/1000</f>
        <v>798</v>
      </c>
      <c r="BG232" s="281">
        <f t="shared" ref="BG232" si="695">BG230*BG231*3/1000</f>
        <v>796.89750000000004</v>
      </c>
      <c r="BH232" s="281">
        <f t="shared" ref="BH232" si="696">BH230*BH231*3/1000</f>
        <v>796.11</v>
      </c>
      <c r="BI232" s="281">
        <f t="shared" ref="BI232" si="697">BI230*BI231*3/1000</f>
        <v>784.66499999999996</v>
      </c>
      <c r="BJ232" s="281">
        <f>BJ230*BJ231*12/1000</f>
        <v>3138.66</v>
      </c>
      <c r="BK232" s="281">
        <f>BK230*BK231*3/1000</f>
        <v>711.93600000000004</v>
      </c>
      <c r="BL232" s="281">
        <f t="shared" ref="BL232" si="698">BL230*BL231*3/1000</f>
        <v>701.94870000000003</v>
      </c>
      <c r="BM232" s="281">
        <f t="shared" ref="BM232" si="699">BM230*BM231*3/1000</f>
        <v>725.2872000000001</v>
      </c>
      <c r="BN232" s="281">
        <f t="shared" ref="BN232" si="700">BN230*BN231*3/1000</f>
        <v>708.00479999999993</v>
      </c>
      <c r="BO232" s="281">
        <f>BO230*BO231*12/1000</f>
        <v>2799.2411999999999</v>
      </c>
      <c r="BP232" s="281">
        <f>BP230*BP231*3/1000</f>
        <v>699.29220000000009</v>
      </c>
      <c r="BQ232" s="281">
        <f t="shared" ref="BQ232" si="701">BQ230*BQ231*3/1000</f>
        <v>706.33500000000004</v>
      </c>
      <c r="BR232" s="281">
        <f t="shared" ref="BR232" si="702">BR230*BR231*3/1000</f>
        <v>662.50575000000003</v>
      </c>
      <c r="BS232" s="281">
        <f t="shared" ref="BS232" si="703">BS230*BS231*3/1000</f>
        <v>648.29160000000002</v>
      </c>
      <c r="BT232" s="281">
        <f>BT230*BT231*12/1000</f>
        <v>2680.4784</v>
      </c>
      <c r="BU232" s="281">
        <f>BU230*BU231*3/1000</f>
        <v>654.90210000000002</v>
      </c>
      <c r="BV232" s="281">
        <f t="shared" ref="BV232:BX232" si="704">BV230*BV231*3/1000</f>
        <v>692.0793000000001</v>
      </c>
      <c r="BW232" s="281">
        <f t="shared" si="704"/>
        <v>681.80790000000002</v>
      </c>
      <c r="BX232" s="281">
        <f t="shared" si="704"/>
        <v>691.93619999999999</v>
      </c>
      <c r="BY232" s="281">
        <f>BY230*BY231*12/1000</f>
        <v>2722.0508999999997</v>
      </c>
      <c r="BZ232" s="281">
        <f>BZ230*BZ231*3/1000</f>
        <v>654.73889999999994</v>
      </c>
      <c r="CA232" s="281">
        <f>CA230*CA231*3/1000</f>
        <v>655.16219999999998</v>
      </c>
      <c r="CB232" s="281">
        <f>CB230*CB231*3/1000</f>
        <v>661.87664999999993</v>
      </c>
      <c r="CC232" s="281">
        <f>CC230*CC231*3/1000</f>
        <v>654.27840000000003</v>
      </c>
      <c r="CD232" s="281">
        <f>CD230*CD231*12/1000</f>
        <v>2692.2672000000002</v>
      </c>
      <c r="CE232" s="281">
        <f t="shared" ref="CE232:CI232" si="705">CE230*CE231*12/1000</f>
        <v>2715.4076911656234</v>
      </c>
      <c r="CF232" s="281">
        <f t="shared" si="705"/>
        <v>2744.3541611414316</v>
      </c>
      <c r="CG232" s="281">
        <f t="shared" si="705"/>
        <v>2762.8763529730022</v>
      </c>
      <c r="CH232" s="281">
        <f t="shared" si="705"/>
        <v>2791.823377779433</v>
      </c>
      <c r="CI232" s="281">
        <f t="shared" si="705"/>
        <v>2831.882473290339</v>
      </c>
      <c r="CJ232" s="281">
        <f t="shared" ref="CJ232" si="706">CJ230*CJ231*12/1000</f>
        <v>2869.5566443969906</v>
      </c>
      <c r="CK232" s="281">
        <f t="shared" ref="CK232" si="707">CK230*CK231*12/1000</f>
        <v>2905.0707626224571</v>
      </c>
      <c r="CL232" s="281">
        <f t="shared" ref="CL232:CM232" si="708">CL230*CL231*12/1000</f>
        <v>2938.628163477174</v>
      </c>
      <c r="CM232" s="281">
        <f t="shared" si="708"/>
        <v>2970.4126842895234</v>
      </c>
    </row>
    <row r="233" spans="1:142" s="206" customFormat="1">
      <c r="A233" s="346" t="s">
        <v>0</v>
      </c>
      <c r="B233" s="309"/>
      <c r="C233" s="309"/>
      <c r="D233" s="309"/>
      <c r="E233" s="309"/>
      <c r="F233" s="309"/>
      <c r="G233" s="309"/>
      <c r="H233" s="309"/>
      <c r="I233" s="309"/>
      <c r="J233" s="309"/>
      <c r="K233" s="309"/>
      <c r="L233" s="309"/>
      <c r="M233" s="309"/>
      <c r="N233" s="309"/>
      <c r="O233" s="309"/>
      <c r="P233" s="309"/>
      <c r="Q233" s="309"/>
      <c r="R233" s="309"/>
      <c r="S233" s="309"/>
      <c r="T233" s="309"/>
      <c r="U233" s="309"/>
      <c r="V233" s="309"/>
      <c r="W233" s="309"/>
      <c r="X233" s="309"/>
      <c r="Y233" s="309"/>
      <c r="Z233" s="309"/>
      <c r="AA233" s="309"/>
      <c r="AB233" s="309"/>
      <c r="AC233" s="309"/>
      <c r="AD233" s="309"/>
      <c r="AE233" s="309"/>
      <c r="AF233" s="309"/>
      <c r="AG233" s="309"/>
      <c r="AH233" s="309"/>
      <c r="AI233" s="309"/>
      <c r="AJ233" s="309"/>
      <c r="AK233" s="309"/>
      <c r="AL233" s="309"/>
      <c r="AM233" s="309"/>
      <c r="AN233" s="309"/>
      <c r="AO233" s="309"/>
      <c r="AP233" s="309"/>
      <c r="AQ233" s="309"/>
      <c r="AR233" s="309"/>
      <c r="AS233" s="309"/>
      <c r="AT233" s="309"/>
      <c r="AU233" s="309"/>
      <c r="AV233" s="309"/>
      <c r="AW233" s="309"/>
      <c r="AX233" s="309"/>
      <c r="AY233" s="309"/>
      <c r="AZ233" s="309"/>
      <c r="BA233" s="243" t="e">
        <f>BA232/AV232-1</f>
        <v>#DIV/0!</v>
      </c>
      <c r="BB233" s="243" t="e">
        <f t="shared" ref="BB233" si="709">BB232/AW232-1</f>
        <v>#DIV/0!</v>
      </c>
      <c r="BC233" s="243" t="e">
        <f t="shared" ref="BC233" si="710">BC232/AX232-1</f>
        <v>#DIV/0!</v>
      </c>
      <c r="BD233" s="243" t="e">
        <f t="shared" ref="BD233" si="711">BD232/AY232-1</f>
        <v>#DIV/0!</v>
      </c>
      <c r="BE233" s="243" t="e">
        <f>BE232/AZ232-1</f>
        <v>#DIV/0!</v>
      </c>
      <c r="BF233" s="243">
        <f>BF232/BA232-1</f>
        <v>-8.3011583011583068E-2</v>
      </c>
      <c r="BG233" s="243">
        <f t="shared" ref="BG233" si="712">BG232/BB232-1</f>
        <v>-0.1228228044771511</v>
      </c>
      <c r="BH233" s="243">
        <f t="shared" ref="BH233" si="713">BH232/BC232-1</f>
        <v>-7.6151286014677355E-2</v>
      </c>
      <c r="BI233" s="243">
        <f t="shared" ref="BI233" si="714">BI232/BD232-1</f>
        <v>-9.4001402876763396E-2</v>
      </c>
      <c r="BJ233" s="243">
        <f>BJ232/BE232-1</f>
        <v>-7.5256604315593001E-2</v>
      </c>
      <c r="BK233" s="243">
        <f>BK232/BF232-1</f>
        <v>-0.10784962406015031</v>
      </c>
      <c r="BL233" s="243">
        <f t="shared" ref="BL233" si="715">BL232/BG232-1</f>
        <v>-0.11914807111328618</v>
      </c>
      <c r="BM233" s="243">
        <f t="shared" ref="BM233" si="716">BM232/BH232-1</f>
        <v>-8.8961073218524978E-2</v>
      </c>
      <c r="BN233" s="243">
        <f t="shared" ref="BN233" si="717">BN232/BI232-1</f>
        <v>-9.7697998508917916E-2</v>
      </c>
      <c r="BO233" s="243">
        <f>BO232/BJ232-1</f>
        <v>-0.10814130871136085</v>
      </c>
      <c r="BP233" s="243">
        <f>BP232/BK232-1</f>
        <v>-1.775974244875933E-2</v>
      </c>
      <c r="BQ233" s="243">
        <f t="shared" ref="BQ233" si="718">BQ232/BL232-1</f>
        <v>6.248747237511898E-3</v>
      </c>
      <c r="BR233" s="243">
        <f t="shared" ref="BR233" si="719">BR232/BM232-1</f>
        <v>-8.6560813426736383E-2</v>
      </c>
      <c r="BS233" s="243">
        <f t="shared" ref="BS233" si="720">BS232/BN232-1</f>
        <v>-8.4340106168771634E-2</v>
      </c>
      <c r="BT233" s="243">
        <f>BT232/BO232-1</f>
        <v>-4.2426783372579657E-2</v>
      </c>
      <c r="BU233" s="243">
        <f>BU232/BP232-1</f>
        <v>-6.3478614519080989E-2</v>
      </c>
      <c r="BV233" s="243">
        <f t="shared" ref="BV233:BX233" si="721">BV232/BQ232-1</f>
        <v>-2.0182632886661334E-2</v>
      </c>
      <c r="BW233" s="243">
        <f t="shared" si="721"/>
        <v>2.9135067884316523E-2</v>
      </c>
      <c r="BX233" s="243">
        <f t="shared" si="721"/>
        <v>6.7322482660580496E-2</v>
      </c>
      <c r="BY233" s="243">
        <f t="shared" ref="BY233:CD233" si="722">BY232/BT232-1</f>
        <v>1.5509358329468315E-2</v>
      </c>
      <c r="BZ233" s="243">
        <f t="shared" si="722"/>
        <v>-2.4919755181740388E-4</v>
      </c>
      <c r="CA233" s="243">
        <f t="shared" si="722"/>
        <v>-5.3342297623986346E-2</v>
      </c>
      <c r="CB233" s="243">
        <f t="shared" si="722"/>
        <v>-2.9232940832747856E-2</v>
      </c>
      <c r="CC233" s="243">
        <f t="shared" si="722"/>
        <v>-5.4423803813126059E-2</v>
      </c>
      <c r="CD233" s="243">
        <f t="shared" si="722"/>
        <v>-1.0941639629148514E-2</v>
      </c>
      <c r="CE233" s="243">
        <f>CE232/CD232-1</f>
        <v>8.5951688471423981E-3</v>
      </c>
      <c r="CF233" s="243">
        <f t="shared" ref="CF233:CI233" si="723">CF232/CE232-1</f>
        <v>1.0660082487791156E-2</v>
      </c>
      <c r="CG233" s="243">
        <f t="shared" si="723"/>
        <v>6.7491988074406262E-3</v>
      </c>
      <c r="CH233" s="243">
        <f t="shared" si="723"/>
        <v>1.0477133649242854E-2</v>
      </c>
      <c r="CI233" s="243">
        <f t="shared" si="723"/>
        <v>1.4348721280057486E-2</v>
      </c>
      <c r="CJ233" s="243">
        <f t="shared" ref="CJ233" si="724">CJ232/CI232-1</f>
        <v>1.3303578613161227E-2</v>
      </c>
      <c r="CK233" s="243">
        <f t="shared" ref="CK233" si="725">CK232/CJ232-1</f>
        <v>1.2376169083405442E-2</v>
      </c>
      <c r="CL233" s="243">
        <f t="shared" ref="CL233:CM233" si="726">CL232/CK232-1</f>
        <v>1.155131960518041E-2</v>
      </c>
      <c r="CM233" s="243">
        <f t="shared" si="726"/>
        <v>1.081610841663605E-2</v>
      </c>
    </row>
    <row r="234" spans="1:142" s="206" customFormat="1">
      <c r="A234" s="348"/>
      <c r="B234" s="309"/>
      <c r="C234" s="309"/>
      <c r="D234" s="309"/>
      <c r="E234" s="309"/>
      <c r="F234" s="309"/>
      <c r="G234" s="309"/>
      <c r="H234" s="309"/>
      <c r="I234" s="309"/>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9"/>
      <c r="AR234" s="309"/>
      <c r="AS234" s="309"/>
      <c r="AT234" s="309"/>
      <c r="AU234" s="309"/>
      <c r="AV234" s="309"/>
      <c r="AW234" s="309"/>
      <c r="AX234" s="309"/>
      <c r="AY234" s="309"/>
      <c r="AZ234" s="309"/>
      <c r="BA234" s="309"/>
      <c r="BB234" s="309"/>
      <c r="BC234" s="309"/>
      <c r="BD234" s="309"/>
      <c r="BE234" s="281"/>
      <c r="BF234" s="309"/>
      <c r="BG234" s="309"/>
      <c r="BH234" s="309"/>
      <c r="BI234" s="309"/>
      <c r="BJ234" s="281"/>
      <c r="BK234" s="309"/>
      <c r="BL234" s="309"/>
      <c r="BM234" s="309"/>
      <c r="BN234" s="309"/>
      <c r="BO234" s="281"/>
      <c r="BP234" s="309"/>
      <c r="BQ234" s="309"/>
      <c r="BR234" s="309"/>
      <c r="BS234" s="309"/>
      <c r="BT234" s="281"/>
      <c r="BU234" s="347"/>
      <c r="BV234" s="347"/>
      <c r="BW234" s="347"/>
      <c r="BX234" s="347"/>
      <c r="BY234" s="281"/>
      <c r="BZ234" s="347"/>
      <c r="CA234" s="347"/>
      <c r="CB234" s="347"/>
      <c r="CC234" s="347"/>
      <c r="CD234" s="281"/>
      <c r="CE234" s="281"/>
      <c r="CF234" s="281"/>
      <c r="CG234" s="281"/>
      <c r="CH234" s="281"/>
      <c r="CI234" s="281"/>
      <c r="CJ234" s="281"/>
      <c r="CK234" s="281"/>
      <c r="CL234" s="281"/>
      <c r="CM234" s="281"/>
    </row>
    <row r="235" spans="1:142" s="206" customFormat="1">
      <c r="A235" s="346" t="s">
        <v>680</v>
      </c>
      <c r="B235" s="309"/>
      <c r="C235" s="309"/>
      <c r="D235" s="309"/>
      <c r="E235" s="309"/>
      <c r="F235" s="309"/>
      <c r="G235" s="309"/>
      <c r="H235" s="309"/>
      <c r="I235" s="309"/>
      <c r="J235" s="309"/>
      <c r="K235" s="309"/>
      <c r="L235" s="309"/>
      <c r="M235" s="309"/>
      <c r="N235" s="309"/>
      <c r="O235" s="309"/>
      <c r="P235" s="309"/>
      <c r="Q235" s="309"/>
      <c r="R235" s="309"/>
      <c r="S235" s="309"/>
      <c r="T235" s="309"/>
      <c r="U235" s="309"/>
      <c r="V235" s="309"/>
      <c r="W235" s="309"/>
      <c r="X235" s="309"/>
      <c r="Y235" s="309"/>
      <c r="Z235" s="309"/>
      <c r="AA235" s="309"/>
      <c r="AB235" s="309"/>
      <c r="AC235" s="309"/>
      <c r="AD235" s="309"/>
      <c r="AE235" s="309"/>
      <c r="AF235" s="309"/>
      <c r="AG235" s="309"/>
      <c r="AH235" s="309"/>
      <c r="AI235" s="309"/>
      <c r="AJ235" s="309"/>
      <c r="AK235" s="309"/>
      <c r="AL235" s="309"/>
      <c r="AM235" s="309"/>
      <c r="AN235" s="309"/>
      <c r="AO235" s="309"/>
      <c r="AP235" s="309"/>
      <c r="AQ235" s="309"/>
      <c r="AR235" s="309"/>
      <c r="AS235" s="309"/>
      <c r="AT235" s="309"/>
      <c r="AU235" s="309"/>
      <c r="AV235" s="309"/>
      <c r="AW235" s="309"/>
      <c r="AX235" s="309"/>
      <c r="AY235" s="309"/>
      <c r="AZ235" s="309"/>
      <c r="BA235" s="204">
        <f>BA167</f>
        <v>92</v>
      </c>
      <c r="BB235" s="204">
        <f t="shared" ref="BB235:BD235" si="727">BB167</f>
        <v>94</v>
      </c>
      <c r="BC235" s="204">
        <f t="shared" si="727"/>
        <v>93</v>
      </c>
      <c r="BD235" s="204">
        <f t="shared" si="727"/>
        <v>94</v>
      </c>
      <c r="BE235" s="204">
        <f>BE167</f>
        <v>93.25</v>
      </c>
      <c r="BF235" s="204">
        <f>BF167</f>
        <v>88</v>
      </c>
      <c r="BG235" s="204">
        <f t="shared" ref="BG235:BI235" si="728">BG167</f>
        <v>86</v>
      </c>
      <c r="BH235" s="204">
        <f t="shared" si="728"/>
        <v>85</v>
      </c>
      <c r="BI235" s="204">
        <f t="shared" si="728"/>
        <v>84</v>
      </c>
      <c r="BJ235" s="204">
        <f>BJ167</f>
        <v>85.75</v>
      </c>
      <c r="BK235" s="204">
        <f>BK167</f>
        <v>81</v>
      </c>
      <c r="BL235" s="204">
        <f t="shared" ref="BL235:BN235" si="729">BL167</f>
        <v>79.5</v>
      </c>
      <c r="BM235" s="204">
        <f t="shared" si="729"/>
        <v>78.400000000000006</v>
      </c>
      <c r="BN235" s="204">
        <f t="shared" si="729"/>
        <v>77.3</v>
      </c>
      <c r="BO235" s="204">
        <f>BO167</f>
        <v>79.05</v>
      </c>
      <c r="BP235" s="204">
        <f>BP167</f>
        <v>76</v>
      </c>
      <c r="BQ235" s="204">
        <f t="shared" ref="BQ235:BS235" si="730">BQ167</f>
        <v>75.400000000000006</v>
      </c>
      <c r="BR235" s="204">
        <f t="shared" si="730"/>
        <v>75</v>
      </c>
      <c r="BS235" s="204">
        <f t="shared" si="730"/>
        <v>73.400000000000006</v>
      </c>
      <c r="BT235" s="204">
        <f>BT167</f>
        <v>74.95</v>
      </c>
      <c r="BU235" s="204">
        <f>BU167</f>
        <v>72.5</v>
      </c>
      <c r="BV235" s="204">
        <f t="shared" ref="BV235:BX235" si="731">BV167</f>
        <v>72.7</v>
      </c>
      <c r="BW235" s="204">
        <f t="shared" si="731"/>
        <v>72.8</v>
      </c>
      <c r="BX235" s="204">
        <f t="shared" si="731"/>
        <v>72.7</v>
      </c>
      <c r="BY235" s="204">
        <f t="shared" ref="BY235:CM235" si="732">BY167</f>
        <v>72.674999999999997</v>
      </c>
      <c r="BZ235" s="204">
        <f t="shared" si="732"/>
        <v>71.3</v>
      </c>
      <c r="CA235" s="204">
        <f t="shared" ref="CA235:CB235" si="733">CA167</f>
        <v>71</v>
      </c>
      <c r="CB235" s="204">
        <f t="shared" si="733"/>
        <v>70.2</v>
      </c>
      <c r="CC235" s="204">
        <f t="shared" ref="CC235:CD235" si="734">CC167</f>
        <v>69.8</v>
      </c>
      <c r="CD235" s="204">
        <f t="shared" si="734"/>
        <v>70.575000000000003</v>
      </c>
      <c r="CE235" s="204">
        <f t="shared" si="732"/>
        <v>69.163499999999999</v>
      </c>
      <c r="CF235" s="204">
        <f t="shared" si="732"/>
        <v>68.471864999999994</v>
      </c>
      <c r="CG235" s="204">
        <f t="shared" si="732"/>
        <v>68.12950567499999</v>
      </c>
      <c r="CH235" s="204">
        <f t="shared" si="732"/>
        <v>68.12950567499999</v>
      </c>
      <c r="CI235" s="204">
        <f t="shared" si="732"/>
        <v>68.470153203374977</v>
      </c>
      <c r="CJ235" s="204">
        <f t="shared" si="732"/>
        <v>68.812503969391841</v>
      </c>
      <c r="CK235" s="204">
        <f t="shared" si="732"/>
        <v>69.156566489238799</v>
      </c>
      <c r="CL235" s="204">
        <f t="shared" si="732"/>
        <v>69.502349321684989</v>
      </c>
      <c r="CM235" s="204">
        <f t="shared" si="732"/>
        <v>69.849861068293407</v>
      </c>
    </row>
    <row r="236" spans="1:142" s="206" customFormat="1">
      <c r="A236" s="346" t="s">
        <v>749</v>
      </c>
      <c r="B236" s="309"/>
      <c r="C236" s="309"/>
      <c r="D236" s="309"/>
      <c r="E236" s="309"/>
      <c r="F236" s="309"/>
      <c r="G236" s="309"/>
      <c r="H236" s="309"/>
      <c r="I236" s="309"/>
      <c r="J236" s="309"/>
      <c r="K236" s="309"/>
      <c r="L236" s="309"/>
      <c r="M236" s="309"/>
      <c r="N236" s="309"/>
      <c r="O236" s="309"/>
      <c r="P236" s="309"/>
      <c r="Q236" s="309"/>
      <c r="R236" s="309"/>
      <c r="S236" s="309"/>
      <c r="T236" s="309"/>
      <c r="U236" s="309"/>
      <c r="V236" s="309"/>
      <c r="W236" s="309"/>
      <c r="X236" s="309"/>
      <c r="Y236" s="309"/>
      <c r="Z236" s="309"/>
      <c r="AA236" s="309"/>
      <c r="AB236" s="309"/>
      <c r="AC236" s="309"/>
      <c r="AD236" s="309"/>
      <c r="AE236" s="309"/>
      <c r="AF236" s="309"/>
      <c r="AG236" s="309"/>
      <c r="AH236" s="309"/>
      <c r="AI236" s="309"/>
      <c r="AJ236" s="309"/>
      <c r="AK236" s="309"/>
      <c r="AL236" s="309"/>
      <c r="AM236" s="309"/>
      <c r="AN236" s="309"/>
      <c r="AO236" s="309"/>
      <c r="AP236" s="309"/>
      <c r="AQ236" s="309"/>
      <c r="AR236" s="309"/>
      <c r="AS236" s="309"/>
      <c r="AT236" s="309"/>
      <c r="AU236" s="309"/>
      <c r="AV236" s="309"/>
      <c r="AW236" s="309"/>
      <c r="AX236" s="309"/>
      <c r="AY236" s="309"/>
      <c r="AZ236" s="309"/>
      <c r="BA236" s="204">
        <f>BA104</f>
        <v>2926</v>
      </c>
      <c r="BB236" s="204">
        <f t="shared" ref="BB236:BD236" si="735">BB104</f>
        <v>2988.5</v>
      </c>
      <c r="BC236" s="204">
        <f t="shared" si="735"/>
        <v>3062</v>
      </c>
      <c r="BD236" s="204">
        <f t="shared" si="735"/>
        <v>3147.5</v>
      </c>
      <c r="BE236" s="204">
        <f>BE104</f>
        <v>3042</v>
      </c>
      <c r="BF236" s="204">
        <f>BF104</f>
        <v>3255.5</v>
      </c>
      <c r="BG236" s="204">
        <f t="shared" ref="BG236:BI236" si="736">BG104</f>
        <v>3379.5</v>
      </c>
      <c r="BH236" s="204">
        <f t="shared" si="736"/>
        <v>3509.5</v>
      </c>
      <c r="BI236" s="204">
        <f t="shared" si="736"/>
        <v>3668</v>
      </c>
      <c r="BJ236" s="204">
        <f>BJ104</f>
        <v>3472.5</v>
      </c>
      <c r="BK236" s="204">
        <f>BK104</f>
        <v>3794</v>
      </c>
      <c r="BL236" s="204">
        <f t="shared" ref="BL236:BN236" si="737">BL104</f>
        <v>3817</v>
      </c>
      <c r="BM236" s="204">
        <f t="shared" si="737"/>
        <v>3828</v>
      </c>
      <c r="BN236" s="204">
        <f t="shared" si="737"/>
        <v>3897</v>
      </c>
      <c r="BO236" s="204">
        <f>BO104</f>
        <v>3847</v>
      </c>
      <c r="BP236" s="204">
        <f>BP104</f>
        <v>3972.5</v>
      </c>
      <c r="BQ236" s="204">
        <f t="shared" ref="BQ236:BS236" si="738">BQ104</f>
        <v>4069.5</v>
      </c>
      <c r="BR236" s="204">
        <f t="shared" si="738"/>
        <v>4120</v>
      </c>
      <c r="BS236" s="204">
        <f t="shared" si="738"/>
        <v>4183</v>
      </c>
      <c r="BT236" s="204">
        <f>BT104</f>
        <v>4099</v>
      </c>
      <c r="BU236" s="204">
        <f>BU104</f>
        <v>4291.5</v>
      </c>
      <c r="BV236" s="204">
        <f t="shared" ref="BV236:BX236" si="739">BV104</f>
        <v>4361</v>
      </c>
      <c r="BW236" s="204">
        <f t="shared" si="739"/>
        <v>4438</v>
      </c>
      <c r="BX236" s="204">
        <f t="shared" si="739"/>
        <v>4534.5</v>
      </c>
      <c r="BY236" s="204">
        <f t="shared" ref="BY236:CM236" si="740">BY104</f>
        <v>4425</v>
      </c>
      <c r="BZ236" s="204">
        <f t="shared" si="740"/>
        <v>4627</v>
      </c>
      <c r="CA236" s="204">
        <f t="shared" ref="CA236:CB236" si="741">CA104</f>
        <v>4692</v>
      </c>
      <c r="CB236" s="204">
        <f t="shared" si="741"/>
        <v>4773</v>
      </c>
      <c r="CC236" s="204">
        <f t="shared" ref="CC236:CD236" si="742">CC104</f>
        <v>4873.5</v>
      </c>
      <c r="CD236" s="204">
        <f t="shared" si="742"/>
        <v>4756.5</v>
      </c>
      <c r="CE236" s="204">
        <f t="shared" si="740"/>
        <v>5000.4864788855339</v>
      </c>
      <c r="CF236" s="204">
        <f t="shared" si="740"/>
        <v>5143.1691713019209</v>
      </c>
      <c r="CG236" s="204">
        <f t="shared" si="740"/>
        <v>5269.3671524899091</v>
      </c>
      <c r="CH236" s="204">
        <f t="shared" si="740"/>
        <v>5391.3955321569156</v>
      </c>
      <c r="CI236" s="204">
        <f t="shared" si="740"/>
        <v>5509.6740458888344</v>
      </c>
      <c r="CJ236" s="204">
        <f t="shared" si="740"/>
        <v>5624.5863595412156</v>
      </c>
      <c r="CK236" s="204">
        <f t="shared" si="740"/>
        <v>5736.4831718264022</v>
      </c>
      <c r="CL236" s="204">
        <f t="shared" si="740"/>
        <v>5845.6850535332978</v>
      </c>
      <c r="CM236" s="204">
        <f t="shared" si="740"/>
        <v>5952.4850453881518</v>
      </c>
    </row>
    <row r="237" spans="1:142" s="206" customFormat="1">
      <c r="A237" s="346" t="s">
        <v>750</v>
      </c>
      <c r="B237" s="309"/>
      <c r="C237" s="309"/>
      <c r="D237" s="309"/>
      <c r="E237" s="309"/>
      <c r="F237" s="309"/>
      <c r="G237" s="309"/>
      <c r="H237" s="309"/>
      <c r="I237" s="309"/>
      <c r="J237" s="309"/>
      <c r="K237" s="309"/>
      <c r="L237" s="309"/>
      <c r="M237" s="309"/>
      <c r="N237" s="309"/>
      <c r="O237" s="309"/>
      <c r="P237" s="309"/>
      <c r="Q237" s="309"/>
      <c r="R237" s="309"/>
      <c r="S237" s="309"/>
      <c r="T237" s="309"/>
      <c r="U237" s="309"/>
      <c r="V237" s="309"/>
      <c r="W237" s="309"/>
      <c r="X237" s="309"/>
      <c r="Y237" s="309"/>
      <c r="Z237" s="309"/>
      <c r="AA237" s="309"/>
      <c r="AB237" s="309"/>
      <c r="AC237" s="309"/>
      <c r="AD237" s="309"/>
      <c r="AE237" s="309"/>
      <c r="AF237" s="309"/>
      <c r="AG237" s="309"/>
      <c r="AH237" s="309"/>
      <c r="AI237" s="309"/>
      <c r="AJ237" s="309"/>
      <c r="AK237" s="309"/>
      <c r="AL237" s="309"/>
      <c r="AM237" s="309"/>
      <c r="AN237" s="309"/>
      <c r="AO237" s="309"/>
      <c r="AP237" s="309"/>
      <c r="AQ237" s="309"/>
      <c r="AR237" s="309"/>
      <c r="AS237" s="309"/>
      <c r="AT237" s="309"/>
      <c r="AU237" s="309"/>
      <c r="AV237" s="309"/>
      <c r="AW237" s="309"/>
      <c r="AX237" s="309"/>
      <c r="AY237" s="309"/>
      <c r="AZ237" s="309"/>
      <c r="BA237" s="204">
        <f>BA235*BA236*3/1000</f>
        <v>807.57600000000002</v>
      </c>
      <c r="BB237" s="204">
        <f t="shared" ref="BB237" si="743">BB235*BB236*3/1000</f>
        <v>842.75699999999995</v>
      </c>
      <c r="BC237" s="204">
        <f t="shared" ref="BC237" si="744">BC235*BC236*3/1000</f>
        <v>854.298</v>
      </c>
      <c r="BD237" s="204">
        <f t="shared" ref="BD237" si="745">BD235*BD236*3/1000</f>
        <v>887.59500000000003</v>
      </c>
      <c r="BE237" s="281">
        <f>BE235*BE236*12/1000</f>
        <v>3403.998</v>
      </c>
      <c r="BF237" s="204">
        <f>BF235*BF236*3/1000</f>
        <v>859.452</v>
      </c>
      <c r="BG237" s="204">
        <f t="shared" ref="BG237" si="746">BG235*BG236*3/1000</f>
        <v>871.91099999999994</v>
      </c>
      <c r="BH237" s="204">
        <f t="shared" ref="BH237" si="747">BH235*BH236*3/1000</f>
        <v>894.92250000000001</v>
      </c>
      <c r="BI237" s="204">
        <f t="shared" ref="BI237" si="748">BI235*BI236*3/1000</f>
        <v>924.33600000000001</v>
      </c>
      <c r="BJ237" s="281">
        <f>BJ235*BJ236*12/1000</f>
        <v>3573.2024999999999</v>
      </c>
      <c r="BK237" s="204">
        <f>BK235*BK236*3/1000</f>
        <v>921.94200000000001</v>
      </c>
      <c r="BL237" s="204">
        <f t="shared" ref="BL237" si="749">BL235*BL236*3/1000</f>
        <v>910.35450000000003</v>
      </c>
      <c r="BM237" s="204">
        <f t="shared" ref="BM237" si="750">BM235*BM236*3/1000</f>
        <v>900.3456000000001</v>
      </c>
      <c r="BN237" s="204">
        <f t="shared" ref="BN237" si="751">BN235*BN236*3/1000</f>
        <v>903.71429999999998</v>
      </c>
      <c r="BO237" s="281">
        <f>BO235*BO236*12/1000</f>
        <v>3649.2641999999996</v>
      </c>
      <c r="BP237" s="204">
        <f>BP235*BP236*3/1000</f>
        <v>905.73</v>
      </c>
      <c r="BQ237" s="204">
        <f t="shared" ref="BQ237" si="752">BQ235*BQ236*3/1000</f>
        <v>920.5209000000001</v>
      </c>
      <c r="BR237" s="204">
        <f t="shared" ref="BR237" si="753">BR235*BR236*3/1000</f>
        <v>927</v>
      </c>
      <c r="BS237" s="204">
        <f t="shared" ref="BS237" si="754">BS235*BS236*3/1000</f>
        <v>921.09660000000008</v>
      </c>
      <c r="BT237" s="281">
        <f>BT235*BT236*12/1000</f>
        <v>3686.6405999999997</v>
      </c>
      <c r="BU237" s="204">
        <f>BU235*BU236*3/1000</f>
        <v>933.40125</v>
      </c>
      <c r="BV237" s="204">
        <f t="shared" ref="BV237:BX237" si="755">BV235*BV236*3/1000</f>
        <v>951.1341000000001</v>
      </c>
      <c r="BW237" s="204">
        <f t="shared" si="755"/>
        <v>969.25919999999996</v>
      </c>
      <c r="BX237" s="204">
        <f t="shared" si="755"/>
        <v>988.97445000000005</v>
      </c>
      <c r="BY237" s="281">
        <f>BY235*BY236*12/1000</f>
        <v>3859.0425</v>
      </c>
      <c r="BZ237" s="204">
        <f>BZ235*BZ236*3/1000</f>
        <v>989.71529999999996</v>
      </c>
      <c r="CA237" s="204">
        <f>CA235*CA236*3/1000</f>
        <v>999.39599999999996</v>
      </c>
      <c r="CB237" s="204">
        <f>CB235*CB236*3/1000</f>
        <v>1005.1938</v>
      </c>
      <c r="CC237" s="204">
        <f>CC235*CC236*3/1000</f>
        <v>1020.5108999999999</v>
      </c>
      <c r="CD237" s="281">
        <f>CD235*CD236*12/1000</f>
        <v>4028.2798499999994</v>
      </c>
      <c r="CE237" s="281">
        <f t="shared" ref="CE237:CI237" si="756">CE235*CE236*12/1000</f>
        <v>4150.2137589887952</v>
      </c>
      <c r="CF237" s="281">
        <f t="shared" si="756"/>
        <v>4225.9486220345634</v>
      </c>
      <c r="CG237" s="281">
        <f t="shared" si="756"/>
        <v>4307.9925518306372</v>
      </c>
      <c r="CH237" s="281">
        <f t="shared" si="756"/>
        <v>4407.7573500510498</v>
      </c>
      <c r="CI237" s="281">
        <f t="shared" si="756"/>
        <v>4526.978712272009</v>
      </c>
      <c r="CJ237" s="281">
        <f t="shared" ref="CJ237" si="757">CJ235*CJ236*12/1000</f>
        <v>4644.5024543054051</v>
      </c>
      <c r="CK237" s="281">
        <f t="shared" ref="CK237" si="758">CK235*CK236*12/1000</f>
        <v>4760.5857586417442</v>
      </c>
      <c r="CL237" s="281">
        <f t="shared" ref="CL237:CM237" si="759">CL235*CL236*12/1000</f>
        <v>4875.4661353826887</v>
      </c>
      <c r="CM237" s="281">
        <f t="shared" si="759"/>
        <v>4989.3630411774784</v>
      </c>
    </row>
    <row r="238" spans="1:142" s="206" customFormat="1">
      <c r="A238" s="346" t="s">
        <v>0</v>
      </c>
      <c r="B238" s="309"/>
      <c r="C238" s="309"/>
      <c r="D238" s="309"/>
      <c r="E238" s="309"/>
      <c r="F238" s="309"/>
      <c r="G238" s="309"/>
      <c r="H238" s="309"/>
      <c r="I238" s="309"/>
      <c r="J238" s="309"/>
      <c r="K238" s="309"/>
      <c r="L238" s="309"/>
      <c r="M238" s="309"/>
      <c r="N238" s="309"/>
      <c r="O238" s="309"/>
      <c r="P238" s="309"/>
      <c r="Q238" s="309"/>
      <c r="R238" s="309"/>
      <c r="S238" s="309"/>
      <c r="T238" s="309"/>
      <c r="U238" s="309"/>
      <c r="V238" s="309"/>
      <c r="W238" s="309"/>
      <c r="X238" s="309"/>
      <c r="Y238" s="309"/>
      <c r="Z238" s="309"/>
      <c r="AA238" s="309"/>
      <c r="AB238" s="309"/>
      <c r="AC238" s="309"/>
      <c r="AD238" s="309"/>
      <c r="AE238" s="309"/>
      <c r="AF238" s="309"/>
      <c r="AG238" s="309"/>
      <c r="AH238" s="309"/>
      <c r="AI238" s="309"/>
      <c r="AJ238" s="309"/>
      <c r="AK238" s="309"/>
      <c r="AL238" s="309"/>
      <c r="AM238" s="309"/>
      <c r="AN238" s="309"/>
      <c r="AO238" s="309"/>
      <c r="AP238" s="309"/>
      <c r="AQ238" s="309"/>
      <c r="AR238" s="309"/>
      <c r="AS238" s="309"/>
      <c r="AT238" s="309"/>
      <c r="AU238" s="309"/>
      <c r="AV238" s="309"/>
      <c r="AW238" s="309"/>
      <c r="AX238" s="309"/>
      <c r="AY238" s="309"/>
      <c r="AZ238" s="309"/>
      <c r="BA238" s="243" t="e">
        <f>BA237/AV237-1</f>
        <v>#DIV/0!</v>
      </c>
      <c r="BB238" s="243" t="e">
        <f t="shared" ref="BB238" si="760">BB237/AW237-1</f>
        <v>#DIV/0!</v>
      </c>
      <c r="BC238" s="243" t="e">
        <f t="shared" ref="BC238" si="761">BC237/AX237-1</f>
        <v>#DIV/0!</v>
      </c>
      <c r="BD238" s="243" t="e">
        <f t="shared" ref="BD238" si="762">BD237/AY237-1</f>
        <v>#DIV/0!</v>
      </c>
      <c r="BE238" s="243" t="e">
        <f>BE237/AZ237-1</f>
        <v>#DIV/0!</v>
      </c>
      <c r="BF238" s="243">
        <f>BF237/BA237-1</f>
        <v>6.4236678653154522E-2</v>
      </c>
      <c r="BG238" s="243">
        <f t="shared" ref="BG238" si="763">BG237/BB237-1</f>
        <v>3.459360171437309E-2</v>
      </c>
      <c r="BH238" s="243">
        <f t="shared" ref="BH238" si="764">BH237/BC237-1</f>
        <v>4.7553078668099547E-2</v>
      </c>
      <c r="BI238" s="243">
        <f t="shared" ref="BI238" si="765">BI237/BD237-1</f>
        <v>4.139387896506852E-2</v>
      </c>
      <c r="BJ238" s="243">
        <f>BJ237/BE237-1</f>
        <v>4.9707579146638592E-2</v>
      </c>
      <c r="BK238" s="243">
        <f>BK237/BF237-1</f>
        <v>7.2709121626338691E-2</v>
      </c>
      <c r="BL238" s="243">
        <f t="shared" ref="BL238" si="766">BL237/BG237-1</f>
        <v>4.4091082690779215E-2</v>
      </c>
      <c r="BM238" s="243">
        <f t="shared" ref="BM238" si="767">BM237/BH237-1</f>
        <v>6.059854344929505E-3</v>
      </c>
      <c r="BN238" s="243">
        <f t="shared" ref="BN238" si="768">BN237/BI237-1</f>
        <v>-2.2309744508490437E-2</v>
      </c>
      <c r="BO238" s="243">
        <f>BO237/BJ237-1</f>
        <v>2.128670289467216E-2</v>
      </c>
      <c r="BP238" s="243">
        <f>BP237/BK237-1</f>
        <v>-1.7584620290647335E-2</v>
      </c>
      <c r="BQ238" s="243">
        <f t="shared" ref="BQ238" si="769">BQ237/BL237-1</f>
        <v>1.1167517708760677E-2</v>
      </c>
      <c r="BR238" s="243">
        <f t="shared" ref="BR238" si="770">BR237/BM237-1</f>
        <v>2.9604631821380512E-2</v>
      </c>
      <c r="BS238" s="243">
        <f t="shared" ref="BS238" si="771">BS237/BN237-1</f>
        <v>1.9234286765186903E-2</v>
      </c>
      <c r="BT238" s="243">
        <f>BT237/BO237-1</f>
        <v>1.0242174299136764E-2</v>
      </c>
      <c r="BU238" s="243">
        <f>BU237/BP237-1</f>
        <v>3.0551323242025807E-2</v>
      </c>
      <c r="BV238" s="243">
        <f t="shared" ref="BV238:BX238" si="772">BV237/BQ237-1</f>
        <v>3.3256387769142526E-2</v>
      </c>
      <c r="BW238" s="243">
        <f t="shared" si="772"/>
        <v>4.558705501618121E-2</v>
      </c>
      <c r="BX238" s="243">
        <f t="shared" si="772"/>
        <v>7.3692433562343007E-2</v>
      </c>
      <c r="BY238" s="243">
        <f t="shared" ref="BY238:CD238" si="773">BY237/BT237-1</f>
        <v>4.6763956323814249E-2</v>
      </c>
      <c r="BZ238" s="243">
        <f t="shared" si="773"/>
        <v>6.0332091905812124E-2</v>
      </c>
      <c r="CA238" s="243">
        <f t="shared" si="773"/>
        <v>5.0741425420453234E-2</v>
      </c>
      <c r="CB238" s="243">
        <f t="shared" si="773"/>
        <v>3.707429343977342E-2</v>
      </c>
      <c r="CC238" s="243">
        <f t="shared" si="773"/>
        <v>3.188803310338284E-2</v>
      </c>
      <c r="CD238" s="243">
        <f t="shared" si="773"/>
        <v>4.3854751534868841E-2</v>
      </c>
      <c r="CE238" s="243">
        <f>CE237/CD237-1</f>
        <v>3.0269473206732567E-2</v>
      </c>
      <c r="CF238" s="243">
        <f t="shared" ref="CF238" si="774">CF237/CE237-1</f>
        <v>1.8248424646016614E-2</v>
      </c>
      <c r="CG238" s="243">
        <f t="shared" ref="CG238" si="775">CG237/CF237-1</f>
        <v>1.9414322589793809E-2</v>
      </c>
      <c r="CH238" s="243">
        <f t="shared" ref="CH238" si="776">CH237/CG237-1</f>
        <v>2.3158071194440355E-2</v>
      </c>
      <c r="CI238" s="243">
        <f t="shared" ref="CI238" si="777">CI237/CH237-1</f>
        <v>2.7048077458160957E-2</v>
      </c>
      <c r="CJ238" s="243">
        <f t="shared" ref="CJ238" si="778">CJ237/CI237-1</f>
        <v>2.5960745455861245E-2</v>
      </c>
      <c r="CK238" s="243">
        <f t="shared" ref="CK238" si="779">CK237/CJ237-1</f>
        <v>2.4993700720026713E-2</v>
      </c>
      <c r="CL238" s="243">
        <f t="shared" ref="CL238:CM238" si="780">CL237/CK237-1</f>
        <v>2.4131563333861905E-2</v>
      </c>
      <c r="CM238" s="243">
        <f t="shared" si="780"/>
        <v>2.3361234112202478E-2</v>
      </c>
    </row>
    <row r="239" spans="1:142" s="206" customFormat="1">
      <c r="A239" s="286"/>
      <c r="B239" s="309"/>
      <c r="C239" s="309"/>
      <c r="D239" s="309"/>
      <c r="E239" s="309"/>
      <c r="F239" s="309"/>
      <c r="G239" s="309"/>
      <c r="H239" s="309"/>
      <c r="I239" s="309"/>
      <c r="J239" s="309"/>
      <c r="K239" s="309"/>
      <c r="L239" s="309"/>
      <c r="M239" s="309"/>
      <c r="N239" s="309"/>
      <c r="O239" s="309"/>
      <c r="P239" s="309"/>
      <c r="Q239" s="309"/>
      <c r="R239" s="309"/>
      <c r="S239" s="309"/>
      <c r="T239" s="309"/>
      <c r="U239" s="309"/>
      <c r="V239" s="309"/>
      <c r="W239" s="309"/>
      <c r="X239" s="309"/>
      <c r="Y239" s="309"/>
      <c r="Z239" s="309"/>
      <c r="AA239" s="309"/>
      <c r="AB239" s="309"/>
      <c r="AC239" s="309"/>
      <c r="AD239" s="309"/>
      <c r="AE239" s="309"/>
      <c r="AF239" s="309"/>
      <c r="AG239" s="309"/>
      <c r="AH239" s="309"/>
      <c r="AI239" s="309"/>
      <c r="AJ239" s="309"/>
      <c r="AK239" s="309"/>
      <c r="AL239" s="309"/>
      <c r="AM239" s="309"/>
      <c r="AN239" s="309"/>
      <c r="AO239" s="309"/>
      <c r="AP239" s="309"/>
      <c r="AQ239" s="309"/>
      <c r="AR239" s="309"/>
      <c r="AS239" s="309"/>
      <c r="AT239" s="309"/>
      <c r="AU239" s="309"/>
      <c r="AV239" s="309"/>
      <c r="AW239" s="309"/>
      <c r="AX239" s="309"/>
      <c r="AY239" s="309"/>
      <c r="AZ239" s="309"/>
      <c r="BA239" s="309"/>
      <c r="BB239" s="309"/>
      <c r="BC239" s="309"/>
      <c r="BD239" s="309"/>
      <c r="BE239" s="309"/>
      <c r="BF239" s="309"/>
      <c r="BG239" s="309"/>
      <c r="BH239" s="309"/>
      <c r="BI239" s="309"/>
      <c r="BJ239" s="309"/>
      <c r="BK239" s="309"/>
      <c r="BL239" s="309"/>
      <c r="BM239" s="309"/>
      <c r="BN239" s="309"/>
      <c r="BO239" s="309"/>
      <c r="BP239" s="309"/>
      <c r="BQ239" s="309"/>
      <c r="BR239" s="309"/>
      <c r="BS239" s="309"/>
      <c r="BT239" s="309"/>
      <c r="BU239" s="347"/>
      <c r="BV239" s="347"/>
      <c r="BW239" s="347"/>
      <c r="BX239" s="347"/>
      <c r="BY239" s="309"/>
      <c r="BZ239" s="347"/>
      <c r="CA239" s="347"/>
      <c r="CB239" s="347"/>
      <c r="CC239" s="347"/>
      <c r="CD239" s="309"/>
      <c r="CE239" s="243"/>
      <c r="CF239" s="243"/>
      <c r="CG239" s="243"/>
      <c r="CH239" s="243"/>
      <c r="CI239" s="243"/>
      <c r="CJ239" s="243"/>
      <c r="CK239" s="243"/>
      <c r="CL239" s="243"/>
      <c r="CM239" s="243"/>
    </row>
    <row r="240" spans="1:142" s="206" customFormat="1">
      <c r="A240" s="276" t="s">
        <v>782</v>
      </c>
      <c r="B240" s="309"/>
      <c r="C240" s="309"/>
      <c r="D240" s="309"/>
      <c r="E240" s="309"/>
      <c r="F240" s="309"/>
      <c r="G240" s="309"/>
      <c r="H240" s="309"/>
      <c r="I240" s="309"/>
      <c r="J240" s="309"/>
      <c r="K240" s="309"/>
      <c r="L240" s="309"/>
      <c r="M240" s="309"/>
      <c r="N240" s="309"/>
      <c r="O240" s="309"/>
      <c r="P240" s="309"/>
      <c r="Q240" s="309"/>
      <c r="R240" s="309"/>
      <c r="S240" s="309"/>
      <c r="T240" s="309"/>
      <c r="U240" s="309"/>
      <c r="V240" s="309"/>
      <c r="W240" s="309"/>
      <c r="X240" s="309"/>
      <c r="Y240" s="309"/>
      <c r="Z240" s="309"/>
      <c r="AA240" s="309"/>
      <c r="AB240" s="309"/>
      <c r="AC240" s="309"/>
      <c r="AD240" s="309"/>
      <c r="AE240" s="309"/>
      <c r="AF240" s="309"/>
      <c r="AG240" s="309"/>
      <c r="AH240" s="309"/>
      <c r="AI240" s="309"/>
      <c r="AJ240" s="309"/>
      <c r="AK240" s="309"/>
      <c r="AL240" s="309"/>
      <c r="AM240" s="309"/>
      <c r="AN240" s="309"/>
      <c r="AO240" s="309"/>
      <c r="AP240" s="309"/>
      <c r="AQ240" s="309"/>
      <c r="AR240" s="309"/>
      <c r="AS240" s="309"/>
      <c r="AT240" s="309"/>
      <c r="AU240" s="309"/>
      <c r="AV240" s="309"/>
      <c r="AW240" s="309"/>
      <c r="AX240" s="309"/>
      <c r="AY240" s="309"/>
      <c r="AZ240" s="309"/>
      <c r="BA240" s="309"/>
      <c r="BB240" s="309"/>
      <c r="BC240" s="309"/>
      <c r="BD240" s="309"/>
      <c r="BE240" s="309"/>
      <c r="BF240" s="309"/>
      <c r="BG240" s="309"/>
      <c r="BH240" s="309"/>
      <c r="BI240" s="309"/>
      <c r="BJ240" s="309"/>
      <c r="BK240" s="309"/>
      <c r="BL240" s="309"/>
      <c r="BM240" s="309"/>
      <c r="BN240" s="309"/>
      <c r="BO240" s="309"/>
      <c r="BP240" s="309"/>
      <c r="BQ240" s="309"/>
      <c r="BR240" s="309"/>
      <c r="BS240" s="309"/>
      <c r="BT240" s="309">
        <f>BT232</f>
        <v>2680.4784</v>
      </c>
      <c r="BU240" s="309">
        <f t="shared" ref="BU240:BX240" si="781">BU232</f>
        <v>654.90210000000002</v>
      </c>
      <c r="BV240" s="309">
        <f t="shared" si="781"/>
        <v>692.0793000000001</v>
      </c>
      <c r="BW240" s="309">
        <f t="shared" si="781"/>
        <v>681.80790000000002</v>
      </c>
      <c r="BX240" s="309">
        <f t="shared" si="781"/>
        <v>691.93619999999999</v>
      </c>
      <c r="BY240" s="309">
        <f>BY232</f>
        <v>2722.0508999999997</v>
      </c>
      <c r="BZ240" s="309">
        <f t="shared" ref="BZ240:CM240" si="782">BZ232</f>
        <v>654.73889999999994</v>
      </c>
      <c r="CA240" s="309">
        <f t="shared" ref="CA240:CB240" si="783">CA232</f>
        <v>655.16219999999998</v>
      </c>
      <c r="CB240" s="309">
        <f t="shared" si="783"/>
        <v>661.87664999999993</v>
      </c>
      <c r="CC240" s="309">
        <f t="shared" ref="CC240" si="784">CC232</f>
        <v>654.27840000000003</v>
      </c>
      <c r="CD240" s="309">
        <f>CD232</f>
        <v>2692.2672000000002</v>
      </c>
      <c r="CE240" s="309">
        <f>CE232</f>
        <v>2715.4076911656234</v>
      </c>
      <c r="CF240" s="309">
        <f t="shared" si="782"/>
        <v>2744.3541611414316</v>
      </c>
      <c r="CG240" s="309">
        <f t="shared" si="782"/>
        <v>2762.8763529730022</v>
      </c>
      <c r="CH240" s="309">
        <f t="shared" si="782"/>
        <v>2791.823377779433</v>
      </c>
      <c r="CI240" s="309">
        <f t="shared" si="782"/>
        <v>2831.882473290339</v>
      </c>
      <c r="CJ240" s="309">
        <f t="shared" si="782"/>
        <v>2869.5566443969906</v>
      </c>
      <c r="CK240" s="309">
        <f t="shared" si="782"/>
        <v>2905.0707626224571</v>
      </c>
      <c r="CL240" s="309">
        <f t="shared" si="782"/>
        <v>2938.628163477174</v>
      </c>
      <c r="CM240" s="309">
        <f t="shared" si="782"/>
        <v>2970.4126842895234</v>
      </c>
    </row>
    <row r="241" spans="1:102" s="206" customFormat="1">
      <c r="A241" s="276" t="s">
        <v>719</v>
      </c>
      <c r="B241" s="309"/>
      <c r="C241" s="309"/>
      <c r="D241" s="309"/>
      <c r="E241" s="309"/>
      <c r="F241" s="309"/>
      <c r="G241" s="309"/>
      <c r="H241" s="309"/>
      <c r="I241" s="309"/>
      <c r="J241" s="309"/>
      <c r="K241" s="309"/>
      <c r="L241" s="309"/>
      <c r="M241" s="309"/>
      <c r="N241" s="309"/>
      <c r="O241" s="309"/>
      <c r="P241" s="309"/>
      <c r="Q241" s="309"/>
      <c r="R241" s="309"/>
      <c r="S241" s="309"/>
      <c r="T241" s="309"/>
      <c r="U241" s="309"/>
      <c r="V241" s="309"/>
      <c r="W241" s="309"/>
      <c r="X241" s="309"/>
      <c r="Y241" s="309"/>
      <c r="Z241" s="309"/>
      <c r="AA241" s="309"/>
      <c r="AB241" s="309"/>
      <c r="AC241" s="309"/>
      <c r="AD241" s="309"/>
      <c r="AE241" s="309"/>
      <c r="AF241" s="309"/>
      <c r="AG241" s="309"/>
      <c r="AH241" s="309"/>
      <c r="AI241" s="309"/>
      <c r="AJ241" s="309"/>
      <c r="AK241" s="309"/>
      <c r="AL241" s="309"/>
      <c r="AM241" s="309"/>
      <c r="AN241" s="309"/>
      <c r="AO241" s="309"/>
      <c r="AP241" s="309"/>
      <c r="AQ241" s="309"/>
      <c r="AR241" s="309"/>
      <c r="AS241" s="309"/>
      <c r="AT241" s="309"/>
      <c r="AU241" s="309"/>
      <c r="AV241" s="309"/>
      <c r="AW241" s="309"/>
      <c r="AX241" s="309"/>
      <c r="AY241" s="309"/>
      <c r="AZ241" s="309"/>
      <c r="BA241" s="309"/>
      <c r="BB241" s="309"/>
      <c r="BC241" s="309"/>
      <c r="BD241" s="309"/>
      <c r="BE241" s="309"/>
      <c r="BF241" s="309"/>
      <c r="BG241" s="309"/>
      <c r="BH241" s="309"/>
      <c r="BI241" s="309"/>
      <c r="BJ241" s="309"/>
      <c r="BK241" s="309"/>
      <c r="BL241" s="309"/>
      <c r="BM241" s="309"/>
      <c r="BN241" s="309"/>
      <c r="BO241" s="309"/>
      <c r="BP241" s="309"/>
      <c r="BQ241" s="309"/>
      <c r="BR241" s="309"/>
      <c r="BS241" s="309"/>
      <c r="BT241" s="309">
        <f>BT242-BT240</f>
        <v>34.521600000000035</v>
      </c>
      <c r="BU241" s="309">
        <f t="shared" ref="BU241:BX241" si="785">BU242-BU240</f>
        <v>2.0978999999999814</v>
      </c>
      <c r="BV241" s="309">
        <f t="shared" si="785"/>
        <v>-13.079300000000103</v>
      </c>
      <c r="BW241" s="309">
        <f t="shared" si="785"/>
        <v>-5.8079000000000178</v>
      </c>
      <c r="BX241" s="309">
        <f t="shared" si="785"/>
        <v>-10.936199999999985</v>
      </c>
      <c r="BY241" s="309">
        <f t="shared" ref="BY241:CD241" si="786">BY242-BY240</f>
        <v>-29.050899999999729</v>
      </c>
      <c r="BZ241" s="309">
        <f t="shared" si="786"/>
        <v>6.2611000000000558</v>
      </c>
      <c r="CA241" s="309">
        <f t="shared" si="786"/>
        <v>-4.1621999999999844</v>
      </c>
      <c r="CB241" s="309">
        <f t="shared" si="786"/>
        <v>-9.8766499999999269</v>
      </c>
      <c r="CC241" s="309">
        <f t="shared" si="786"/>
        <v>0.72159999999996671</v>
      </c>
      <c r="CD241" s="309">
        <f t="shared" si="786"/>
        <v>-73.26720000000023</v>
      </c>
      <c r="CE241" s="376">
        <f>CD241/CD240*CE240</f>
        <v>-73.896943954957578</v>
      </c>
      <c r="CF241" s="376">
        <f t="shared" ref="CF241:CM241" si="787">CE241/CE240*CF240</f>
        <v>-74.684691473113105</v>
      </c>
      <c r="CG241" s="376">
        <f t="shared" si="787"/>
        <v>-75.188753303737514</v>
      </c>
      <c r="CH241" s="376">
        <f t="shared" si="787"/>
        <v>-75.97651592102072</v>
      </c>
      <c r="CI241" s="376">
        <f t="shared" si="787"/>
        <v>-77.066681771801314</v>
      </c>
      <c r="CJ241" s="376">
        <f t="shared" si="787"/>
        <v>-78.091944431207963</v>
      </c>
      <c r="CK241" s="376">
        <f t="shared" si="787"/>
        <v>-79.058423539540499</v>
      </c>
      <c r="CL241" s="376">
        <f t="shared" si="787"/>
        <v>-79.971652657327439</v>
      </c>
      <c r="CM241" s="376">
        <f t="shared" si="787"/>
        <v>-80.836634722726657</v>
      </c>
    </row>
    <row r="242" spans="1:102" s="494" customFormat="1">
      <c r="A242" s="286" t="s">
        <v>783</v>
      </c>
      <c r="B242" s="512"/>
      <c r="C242" s="512"/>
      <c r="D242" s="512"/>
      <c r="E242" s="512"/>
      <c r="F242" s="512"/>
      <c r="G242" s="512"/>
      <c r="H242" s="512"/>
      <c r="I242" s="512"/>
      <c r="J242" s="512"/>
      <c r="K242" s="512"/>
      <c r="L242" s="512"/>
      <c r="M242" s="512"/>
      <c r="N242" s="512"/>
      <c r="O242" s="512"/>
      <c r="P242" s="512"/>
      <c r="Q242" s="512"/>
      <c r="R242" s="512"/>
      <c r="S242" s="512"/>
      <c r="T242" s="512"/>
      <c r="U242" s="512"/>
      <c r="V242" s="512"/>
      <c r="W242" s="512"/>
      <c r="X242" s="512"/>
      <c r="Y242" s="512"/>
      <c r="Z242" s="512"/>
      <c r="AA242" s="512"/>
      <c r="AB242" s="512"/>
      <c r="AC242" s="512"/>
      <c r="AD242" s="512"/>
      <c r="AE242" s="512"/>
      <c r="AF242" s="512"/>
      <c r="AG242" s="512"/>
      <c r="AH242" s="512"/>
      <c r="AI242" s="512"/>
      <c r="AJ242" s="512"/>
      <c r="AK242" s="512"/>
      <c r="AL242" s="512"/>
      <c r="AM242" s="512"/>
      <c r="AN242" s="512"/>
      <c r="AO242" s="512"/>
      <c r="AP242" s="512"/>
      <c r="AQ242" s="512"/>
      <c r="AR242" s="512"/>
      <c r="AS242" s="512"/>
      <c r="AT242" s="512"/>
      <c r="AU242" s="512"/>
      <c r="AV242" s="512"/>
      <c r="AW242" s="512"/>
      <c r="AX242" s="512"/>
      <c r="AY242" s="512"/>
      <c r="AZ242" s="512"/>
      <c r="BA242" s="512"/>
      <c r="BB242" s="512"/>
      <c r="BC242" s="512"/>
      <c r="BD242" s="512"/>
      <c r="BE242" s="512"/>
      <c r="BF242" s="512"/>
      <c r="BG242" s="512"/>
      <c r="BH242" s="512"/>
      <c r="BI242" s="512"/>
      <c r="BJ242" s="512"/>
      <c r="BK242" s="512"/>
      <c r="BL242" s="512"/>
      <c r="BM242" s="512"/>
      <c r="BN242" s="512"/>
      <c r="BO242" s="512"/>
      <c r="BP242" s="512"/>
      <c r="BQ242" s="512"/>
      <c r="BR242" s="512"/>
      <c r="BS242" s="512"/>
      <c r="BT242" s="512">
        <f>BT403</f>
        <v>2715</v>
      </c>
      <c r="BU242" s="512">
        <f t="shared" ref="BU242:BX242" si="788">BU403</f>
        <v>657</v>
      </c>
      <c r="BV242" s="512">
        <f t="shared" si="788"/>
        <v>679</v>
      </c>
      <c r="BW242" s="512">
        <f t="shared" si="788"/>
        <v>676</v>
      </c>
      <c r="BX242" s="512">
        <f t="shared" si="788"/>
        <v>681</v>
      </c>
      <c r="BY242" s="512">
        <f t="shared" ref="BY242:CD242" si="789">BY403</f>
        <v>2693</v>
      </c>
      <c r="BZ242" s="512">
        <f t="shared" si="789"/>
        <v>661</v>
      </c>
      <c r="CA242" s="512">
        <f t="shared" si="789"/>
        <v>651</v>
      </c>
      <c r="CB242" s="512">
        <f t="shared" si="789"/>
        <v>652</v>
      </c>
      <c r="CC242" s="512">
        <f t="shared" si="789"/>
        <v>655</v>
      </c>
      <c r="CD242" s="512">
        <f t="shared" si="789"/>
        <v>2619</v>
      </c>
      <c r="CE242" s="454">
        <f t="shared" ref="CE242:CM242" si="790">CE240+CE241</f>
        <v>2641.5107472106656</v>
      </c>
      <c r="CF242" s="454">
        <f t="shared" si="790"/>
        <v>2669.6694696683185</v>
      </c>
      <c r="CG242" s="454">
        <f t="shared" si="790"/>
        <v>2687.6875996692647</v>
      </c>
      <c r="CH242" s="454">
        <f t="shared" si="790"/>
        <v>2715.8468618584125</v>
      </c>
      <c r="CI242" s="454">
        <f t="shared" si="790"/>
        <v>2754.8157915185375</v>
      </c>
      <c r="CJ242" s="454">
        <f t="shared" si="790"/>
        <v>2791.4646999657825</v>
      </c>
      <c r="CK242" s="454">
        <f t="shared" si="790"/>
        <v>2826.0123390829167</v>
      </c>
      <c r="CL242" s="454">
        <f t="shared" si="790"/>
        <v>2858.6565108198465</v>
      </c>
      <c r="CM242" s="454">
        <f t="shared" si="790"/>
        <v>2889.5760495667969</v>
      </c>
    </row>
    <row r="243" spans="1:102">
      <c r="A243" s="276" t="s">
        <v>0</v>
      </c>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c r="BF243" s="243"/>
      <c r="BG243" s="243"/>
      <c r="BH243" s="243"/>
      <c r="BI243" s="243"/>
      <c r="BJ243" s="243"/>
      <c r="BK243" s="243"/>
      <c r="BL243" s="243"/>
      <c r="BM243" s="243"/>
      <c r="BN243" s="243"/>
      <c r="BO243" s="243"/>
      <c r="BP243" s="243"/>
      <c r="BQ243" s="243"/>
      <c r="BR243" s="243"/>
      <c r="BS243" s="243"/>
      <c r="BT243" s="243"/>
      <c r="BU243" s="243" t="e">
        <f>BU242/BP242-1</f>
        <v>#DIV/0!</v>
      </c>
      <c r="BV243" s="243" t="e">
        <f t="shared" ref="BV243" si="791">BV242/BQ242-1</f>
        <v>#DIV/0!</v>
      </c>
      <c r="BW243" s="243" t="e">
        <f t="shared" ref="BW243" si="792">BW242/BR242-1</f>
        <v>#DIV/0!</v>
      </c>
      <c r="BX243" s="243" t="e">
        <f t="shared" ref="BX243" si="793">BX242/BS242-1</f>
        <v>#DIV/0!</v>
      </c>
      <c r="BY243" s="243">
        <f>BY242/BT242-1</f>
        <v>-8.1031307550644138E-3</v>
      </c>
      <c r="BZ243" s="243">
        <f t="shared" ref="BZ243" si="794">BZ242/BU242-1</f>
        <v>6.0882800608828003E-3</v>
      </c>
      <c r="CA243" s="243">
        <f t="shared" ref="CA243" si="795">CA242/BV242-1</f>
        <v>-4.123711340206182E-2</v>
      </c>
      <c r="CB243" s="243">
        <f t="shared" ref="CB243" si="796">CB242/BW242-1</f>
        <v>-3.5502958579881616E-2</v>
      </c>
      <c r="CC243" s="243">
        <f t="shared" ref="CC243" si="797">CC242/BX242-1</f>
        <v>-3.8179148311306865E-2</v>
      </c>
      <c r="CD243" s="243">
        <f>CD242/BY242-1</f>
        <v>-2.7478648347567747E-2</v>
      </c>
      <c r="CE243" s="243">
        <f>CE242/CD242-1</f>
        <v>8.5951688471421761E-3</v>
      </c>
      <c r="CF243" s="243">
        <f t="shared" ref="CF243" si="798">CF242/CE242-1</f>
        <v>1.0660082487791378E-2</v>
      </c>
      <c r="CG243" s="243">
        <f t="shared" ref="CG243" si="799">CG242/CF242-1</f>
        <v>6.7491988074406262E-3</v>
      </c>
      <c r="CH243" s="243">
        <f t="shared" ref="CH243" si="800">CH242/CG242-1</f>
        <v>1.0477133649242854E-2</v>
      </c>
      <c r="CI243" s="243">
        <f t="shared" ref="CI243" si="801">CI242/CH242-1</f>
        <v>1.4348721280057486E-2</v>
      </c>
      <c r="CJ243" s="243">
        <f t="shared" ref="CJ243" si="802">CJ242/CI242-1</f>
        <v>1.3303578613161227E-2</v>
      </c>
      <c r="CK243" s="243">
        <f t="shared" ref="CK243" si="803">CK242/CJ242-1</f>
        <v>1.2376169083405442E-2</v>
      </c>
      <c r="CL243" s="243">
        <f t="shared" ref="CL243" si="804">CL242/CK242-1</f>
        <v>1.1551319605180188E-2</v>
      </c>
      <c r="CM243" s="243">
        <f t="shared" ref="CM243" si="805">CM242/CL242-1</f>
        <v>1.0816108416636272E-2</v>
      </c>
      <c r="CN243" s="195"/>
      <c r="CO243" s="195"/>
      <c r="CP243" s="195"/>
      <c r="CQ243" s="195"/>
      <c r="CR243" s="195"/>
      <c r="CS243" s="206"/>
      <c r="CT243" s="206"/>
      <c r="CU243" s="206"/>
      <c r="CV243" s="206"/>
      <c r="CW243" s="206"/>
      <c r="CX243" s="206"/>
    </row>
    <row r="244" spans="1:102">
      <c r="A244" s="276"/>
      <c r="B244" s="243"/>
      <c r="C244" s="243"/>
      <c r="D244" s="243"/>
      <c r="E244" s="243"/>
      <c r="F244" s="243"/>
      <c r="G244" s="243"/>
      <c r="H244" s="243"/>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43"/>
      <c r="AZ244" s="243"/>
      <c r="BA244" s="243"/>
      <c r="BB244" s="243"/>
      <c r="BC244" s="243"/>
      <c r="BD244" s="243"/>
      <c r="BE244" s="243"/>
      <c r="BF244" s="243"/>
      <c r="BG244" s="243"/>
      <c r="BH244" s="243"/>
      <c r="BI244" s="243"/>
      <c r="BJ244" s="243"/>
      <c r="BK244" s="243"/>
      <c r="BL244" s="243"/>
      <c r="BM244" s="243"/>
      <c r="BN244" s="243"/>
      <c r="BO244" s="243"/>
      <c r="BP244" s="243"/>
      <c r="BQ244" s="243"/>
      <c r="BR244" s="243"/>
      <c r="BS244" s="243"/>
      <c r="BT244" s="243"/>
      <c r="BU244" s="243"/>
      <c r="BV244" s="243"/>
      <c r="BW244" s="243"/>
      <c r="BX244" s="243"/>
      <c r="BY244" s="243"/>
      <c r="BZ244" s="243"/>
      <c r="CA244" s="243"/>
      <c r="CB244" s="243"/>
      <c r="CC244" s="243"/>
      <c r="CD244" s="243"/>
      <c r="CE244" s="243"/>
      <c r="CF244" s="243"/>
      <c r="CG244" s="243"/>
      <c r="CH244" s="243"/>
      <c r="CI244" s="243"/>
      <c r="CJ244" s="243"/>
      <c r="CK244" s="243"/>
      <c r="CL244" s="243"/>
      <c r="CM244" s="243"/>
      <c r="CN244" s="195"/>
      <c r="CO244" s="195"/>
      <c r="CP244" s="195"/>
      <c r="CQ244" s="195"/>
      <c r="CR244" s="195"/>
      <c r="CS244" s="206"/>
      <c r="CT244" s="206"/>
      <c r="CU244" s="206"/>
      <c r="CV244" s="206"/>
      <c r="CW244" s="206"/>
      <c r="CX244" s="206"/>
    </row>
    <row r="245" spans="1:102" s="206" customFormat="1">
      <c r="A245" s="276" t="s">
        <v>784</v>
      </c>
      <c r="B245" s="309"/>
      <c r="C245" s="309"/>
      <c r="D245" s="309"/>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9"/>
      <c r="AB245" s="309"/>
      <c r="AC245" s="309"/>
      <c r="AD245" s="309"/>
      <c r="AE245" s="309"/>
      <c r="AF245" s="309"/>
      <c r="AG245" s="309"/>
      <c r="AH245" s="309"/>
      <c r="AI245" s="309"/>
      <c r="AJ245" s="309"/>
      <c r="AK245" s="309"/>
      <c r="AL245" s="309"/>
      <c r="AM245" s="309"/>
      <c r="AN245" s="309"/>
      <c r="AO245" s="309"/>
      <c r="AP245" s="309"/>
      <c r="AQ245" s="309"/>
      <c r="AR245" s="309"/>
      <c r="AS245" s="309"/>
      <c r="AT245" s="309"/>
      <c r="AU245" s="309"/>
      <c r="AV245" s="309"/>
      <c r="AW245" s="309"/>
      <c r="AX245" s="309"/>
      <c r="AY245" s="309"/>
      <c r="AZ245" s="309"/>
      <c r="BA245" s="309"/>
      <c r="BB245" s="309"/>
      <c r="BC245" s="309"/>
      <c r="BD245" s="309"/>
      <c r="BE245" s="309"/>
      <c r="BF245" s="309"/>
      <c r="BG245" s="309"/>
      <c r="BH245" s="309"/>
      <c r="BI245" s="309"/>
      <c r="BJ245" s="309"/>
      <c r="BK245" s="309"/>
      <c r="BL245" s="309"/>
      <c r="BM245" s="309"/>
      <c r="BN245" s="309"/>
      <c r="BO245" s="309"/>
      <c r="BP245" s="309"/>
      <c r="BQ245" s="309"/>
      <c r="BR245" s="309"/>
      <c r="BS245" s="309"/>
      <c r="BT245" s="309">
        <f>BT237</f>
        <v>3686.6405999999997</v>
      </c>
      <c r="BU245" s="309">
        <f t="shared" ref="BU245:BX245" si="806">BU237</f>
        <v>933.40125</v>
      </c>
      <c r="BV245" s="309">
        <f t="shared" si="806"/>
        <v>951.1341000000001</v>
      </c>
      <c r="BW245" s="309">
        <f t="shared" si="806"/>
        <v>969.25919999999996</v>
      </c>
      <c r="BX245" s="309">
        <f t="shared" si="806"/>
        <v>988.97445000000005</v>
      </c>
      <c r="BY245" s="309">
        <f t="shared" ref="BY245:CE245" si="807">BY237</f>
        <v>3859.0425</v>
      </c>
      <c r="BZ245" s="309">
        <f t="shared" si="807"/>
        <v>989.71529999999996</v>
      </c>
      <c r="CA245" s="309">
        <f t="shared" si="807"/>
        <v>999.39599999999996</v>
      </c>
      <c r="CB245" s="309">
        <f t="shared" si="807"/>
        <v>1005.1938</v>
      </c>
      <c r="CC245" s="309">
        <f t="shared" si="807"/>
        <v>1020.5108999999999</v>
      </c>
      <c r="CD245" s="309">
        <f t="shared" si="807"/>
        <v>4028.2798499999994</v>
      </c>
      <c r="CE245" s="309">
        <f t="shared" si="807"/>
        <v>4150.2137589887952</v>
      </c>
      <c r="CF245" s="309">
        <f t="shared" ref="CF245:CM245" si="808">CF237</f>
        <v>4225.9486220345634</v>
      </c>
      <c r="CG245" s="309">
        <f t="shared" si="808"/>
        <v>4307.9925518306372</v>
      </c>
      <c r="CH245" s="309">
        <f t="shared" si="808"/>
        <v>4407.7573500510498</v>
      </c>
      <c r="CI245" s="309">
        <f t="shared" si="808"/>
        <v>4526.978712272009</v>
      </c>
      <c r="CJ245" s="309">
        <f t="shared" si="808"/>
        <v>4644.5024543054051</v>
      </c>
      <c r="CK245" s="309">
        <f t="shared" si="808"/>
        <v>4760.5857586417442</v>
      </c>
      <c r="CL245" s="309">
        <f t="shared" si="808"/>
        <v>4875.4661353826887</v>
      </c>
      <c r="CM245" s="309">
        <f t="shared" si="808"/>
        <v>4989.3630411774784</v>
      </c>
    </row>
    <row r="246" spans="1:102" s="206" customFormat="1">
      <c r="A246" s="276" t="s">
        <v>719</v>
      </c>
      <c r="B246" s="309"/>
      <c r="C246" s="309"/>
      <c r="D246" s="309"/>
      <c r="E246" s="309"/>
      <c r="F246" s="309"/>
      <c r="G246" s="309"/>
      <c r="H246" s="309"/>
      <c r="I246" s="309"/>
      <c r="J246" s="309"/>
      <c r="K246" s="309"/>
      <c r="L246" s="309"/>
      <c r="M246" s="309"/>
      <c r="N246" s="309"/>
      <c r="O246" s="309"/>
      <c r="P246" s="309"/>
      <c r="Q246" s="309"/>
      <c r="R246" s="309"/>
      <c r="S246" s="309"/>
      <c r="T246" s="309"/>
      <c r="U246" s="309"/>
      <c r="V246" s="309"/>
      <c r="W246" s="309"/>
      <c r="X246" s="309"/>
      <c r="Y246" s="309"/>
      <c r="Z246" s="309"/>
      <c r="AA246" s="309"/>
      <c r="AB246" s="309"/>
      <c r="AC246" s="309"/>
      <c r="AD246" s="309"/>
      <c r="AE246" s="309"/>
      <c r="AF246" s="309"/>
      <c r="AG246" s="309"/>
      <c r="AH246" s="309"/>
      <c r="AI246" s="309"/>
      <c r="AJ246" s="309"/>
      <c r="AK246" s="309"/>
      <c r="AL246" s="309"/>
      <c r="AM246" s="309"/>
      <c r="AN246" s="309"/>
      <c r="AO246" s="309"/>
      <c r="AP246" s="309"/>
      <c r="AQ246" s="309"/>
      <c r="AR246" s="309"/>
      <c r="AS246" s="309"/>
      <c r="AT246" s="309"/>
      <c r="AU246" s="309"/>
      <c r="AV246" s="309"/>
      <c r="AW246" s="309"/>
      <c r="AX246" s="309"/>
      <c r="AY246" s="309"/>
      <c r="AZ246" s="309"/>
      <c r="BA246" s="309"/>
      <c r="BB246" s="309"/>
      <c r="BC246" s="309"/>
      <c r="BD246" s="309"/>
      <c r="BE246" s="309"/>
      <c r="BF246" s="309"/>
      <c r="BG246" s="309"/>
      <c r="BH246" s="309"/>
      <c r="BI246" s="309"/>
      <c r="BJ246" s="309"/>
      <c r="BK246" s="309"/>
      <c r="BL246" s="309"/>
      <c r="BM246" s="309"/>
      <c r="BN246" s="309"/>
      <c r="BO246" s="309"/>
      <c r="BP246" s="309"/>
      <c r="BQ246" s="309"/>
      <c r="BR246" s="309"/>
      <c r="BS246" s="309"/>
      <c r="BT246" s="309">
        <f>BT247-BT245</f>
        <v>-623.64059999999972</v>
      </c>
      <c r="BU246" s="309">
        <f t="shared" ref="BU246:BX246" si="809">BU247-BU245</f>
        <v>-148.40125</v>
      </c>
      <c r="BV246" s="309">
        <f t="shared" si="809"/>
        <v>-141.1341000000001</v>
      </c>
      <c r="BW246" s="309">
        <f t="shared" si="809"/>
        <v>-139.25919999999996</v>
      </c>
      <c r="BX246" s="309">
        <f t="shared" si="809"/>
        <v>-138.97445000000005</v>
      </c>
      <c r="BY246" s="309">
        <f t="shared" ref="BY246:CD246" si="810">BY247-BY245</f>
        <v>-584.04250000000002</v>
      </c>
      <c r="BZ246" s="309">
        <f t="shared" si="810"/>
        <v>-125.71529999999996</v>
      </c>
      <c r="CA246" s="309">
        <f t="shared" si="810"/>
        <v>-128.39599999999996</v>
      </c>
      <c r="CB246" s="309">
        <f t="shared" si="810"/>
        <v>-123.19380000000001</v>
      </c>
      <c r="CC246" s="309">
        <f t="shared" si="810"/>
        <v>-117.51089999999988</v>
      </c>
      <c r="CD246" s="309">
        <f t="shared" si="810"/>
        <v>-508.27984999999944</v>
      </c>
      <c r="CE246" s="376">
        <f>CD246/CD245*CE245</f>
        <v>-523.66521330109651</v>
      </c>
      <c r="CF246" s="376">
        <f t="shared" ref="CF246" si="811">CE246/CE245*CF245</f>
        <v>-533.22127848576167</v>
      </c>
      <c r="CG246" s="376">
        <f t="shared" ref="CG246" si="812">CF246/CF245*CG245</f>
        <v>-543.57340839802657</v>
      </c>
      <c r="CH246" s="376">
        <f t="shared" ref="CH246" si="813">CG246/CG245*CH245</f>
        <v>-556.16152008911263</v>
      </c>
      <c r="CI246" s="376">
        <f t="shared" ref="CI246" si="814">CH246/CH245*CI245</f>
        <v>-571.2046199637316</v>
      </c>
      <c r="CJ246" s="376">
        <f t="shared" ref="CJ246" si="815">CI246/CI245*CJ245</f>
        <v>-586.03351770582196</v>
      </c>
      <c r="CK246" s="376">
        <f t="shared" ref="CK246" si="816">CJ246/CJ245*CK245</f>
        <v>-600.68066405926572</v>
      </c>
      <c r="CL246" s="376">
        <f t="shared" ref="CL246" si="817">CK246/CK245*CL245</f>
        <v>-615.17602754743814</v>
      </c>
      <c r="CM246" s="376">
        <f t="shared" ref="CM246" si="818">CL246/CL245*CM245</f>
        <v>-629.54729874718862</v>
      </c>
    </row>
    <row r="247" spans="1:102" s="494" customFormat="1">
      <c r="A247" s="286" t="s">
        <v>785</v>
      </c>
      <c r="B247" s="512"/>
      <c r="C247" s="512"/>
      <c r="D247" s="512"/>
      <c r="E247" s="512"/>
      <c r="F247" s="512"/>
      <c r="G247" s="512"/>
      <c r="H247" s="512"/>
      <c r="I247" s="512"/>
      <c r="J247" s="512"/>
      <c r="K247" s="512"/>
      <c r="L247" s="512"/>
      <c r="M247" s="512"/>
      <c r="N247" s="512"/>
      <c r="O247" s="512"/>
      <c r="P247" s="512"/>
      <c r="Q247" s="512"/>
      <c r="R247" s="512"/>
      <c r="S247" s="512"/>
      <c r="T247" s="512"/>
      <c r="U247" s="512"/>
      <c r="V247" s="512"/>
      <c r="W247" s="512"/>
      <c r="X247" s="512"/>
      <c r="Y247" s="512"/>
      <c r="Z247" s="512"/>
      <c r="AA247" s="512"/>
      <c r="AB247" s="512"/>
      <c r="AC247" s="512"/>
      <c r="AD247" s="512"/>
      <c r="AE247" s="512"/>
      <c r="AF247" s="512"/>
      <c r="AG247" s="512"/>
      <c r="AH247" s="512"/>
      <c r="AI247" s="512"/>
      <c r="AJ247" s="512"/>
      <c r="AK247" s="512"/>
      <c r="AL247" s="512"/>
      <c r="AM247" s="512"/>
      <c r="AN247" s="512"/>
      <c r="AO247" s="512"/>
      <c r="AP247" s="512"/>
      <c r="AQ247" s="512"/>
      <c r="AR247" s="512"/>
      <c r="AS247" s="512"/>
      <c r="AT247" s="512"/>
      <c r="AU247" s="512"/>
      <c r="AV247" s="512"/>
      <c r="AW247" s="512"/>
      <c r="AX247" s="512"/>
      <c r="AY247" s="512"/>
      <c r="AZ247" s="512"/>
      <c r="BA247" s="512"/>
      <c r="BB247" s="512"/>
      <c r="BC247" s="512"/>
      <c r="BD247" s="512"/>
      <c r="BE247" s="512"/>
      <c r="BF247" s="512"/>
      <c r="BG247" s="512"/>
      <c r="BH247" s="512"/>
      <c r="BI247" s="512"/>
      <c r="BJ247" s="512"/>
      <c r="BK247" s="512"/>
      <c r="BL247" s="512"/>
      <c r="BM247" s="512"/>
      <c r="BN247" s="512"/>
      <c r="BO247" s="512"/>
      <c r="BP247" s="512"/>
      <c r="BQ247" s="512"/>
      <c r="BR247" s="512"/>
      <c r="BS247" s="512"/>
      <c r="BT247" s="512">
        <f>BT402</f>
        <v>3063</v>
      </c>
      <c r="BU247" s="512">
        <f t="shared" ref="BU247:BX247" si="819">BU402</f>
        <v>785</v>
      </c>
      <c r="BV247" s="512">
        <f t="shared" si="819"/>
        <v>810</v>
      </c>
      <c r="BW247" s="512">
        <f t="shared" si="819"/>
        <v>830</v>
      </c>
      <c r="BX247" s="512">
        <f t="shared" si="819"/>
        <v>850</v>
      </c>
      <c r="BY247" s="512">
        <f t="shared" ref="BY247:CD247" si="820">BY402</f>
        <v>3275</v>
      </c>
      <c r="BZ247" s="512">
        <f t="shared" si="820"/>
        <v>864</v>
      </c>
      <c r="CA247" s="512">
        <f t="shared" si="820"/>
        <v>871</v>
      </c>
      <c r="CB247" s="512">
        <f t="shared" si="820"/>
        <v>882</v>
      </c>
      <c r="CC247" s="512">
        <f t="shared" si="820"/>
        <v>903</v>
      </c>
      <c r="CD247" s="512">
        <f t="shared" si="820"/>
        <v>3520</v>
      </c>
      <c r="CE247" s="454">
        <f t="shared" ref="CE247" si="821">CE245+CE246</f>
        <v>3626.5485456876986</v>
      </c>
      <c r="CF247" s="454">
        <f t="shared" ref="CF247" si="822">CF245+CF246</f>
        <v>3692.7273435488019</v>
      </c>
      <c r="CG247" s="454">
        <f t="shared" ref="CG247" si="823">CG245+CG246</f>
        <v>3764.4191434326108</v>
      </c>
      <c r="CH247" s="454">
        <f t="shared" ref="CH247" si="824">CH245+CH246</f>
        <v>3851.5958299619369</v>
      </c>
      <c r="CI247" s="454">
        <f t="shared" ref="CI247" si="825">CI245+CI246</f>
        <v>3955.7740923082774</v>
      </c>
      <c r="CJ247" s="454">
        <f t="shared" ref="CJ247" si="826">CJ245+CJ246</f>
        <v>4058.4689365995832</v>
      </c>
      <c r="CK247" s="454">
        <f t="shared" ref="CK247" si="827">CK245+CK246</f>
        <v>4159.9050945824783</v>
      </c>
      <c r="CL247" s="454">
        <f t="shared" ref="CL247" si="828">CL245+CL246</f>
        <v>4260.2901078352506</v>
      </c>
      <c r="CM247" s="454">
        <f t="shared" ref="CM247" si="829">CM245+CM246</f>
        <v>4359.8157424302899</v>
      </c>
    </row>
    <row r="248" spans="1:102">
      <c r="A248" s="276" t="s">
        <v>0</v>
      </c>
      <c r="B248" s="24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43"/>
      <c r="AZ248" s="243"/>
      <c r="BA248" s="243"/>
      <c r="BB248" s="243"/>
      <c r="BC248" s="243"/>
      <c r="BD248" s="243"/>
      <c r="BE248" s="243"/>
      <c r="BF248" s="243"/>
      <c r="BG248" s="243"/>
      <c r="BH248" s="243"/>
      <c r="BI248" s="243"/>
      <c r="BJ248" s="243"/>
      <c r="BK248" s="243"/>
      <c r="BL248" s="243"/>
      <c r="BM248" s="243"/>
      <c r="BN248" s="243"/>
      <c r="BO248" s="243"/>
      <c r="BP248" s="243"/>
      <c r="BQ248" s="243"/>
      <c r="BR248" s="243"/>
      <c r="BS248" s="243"/>
      <c r="BT248" s="243"/>
      <c r="BU248" s="243" t="e">
        <f>BU247/BP247-1</f>
        <v>#DIV/0!</v>
      </c>
      <c r="BV248" s="243" t="e">
        <f t="shared" ref="BV248" si="830">BV247/BQ247-1</f>
        <v>#DIV/0!</v>
      </c>
      <c r="BW248" s="243" t="e">
        <f t="shared" ref="BW248" si="831">BW247/BR247-1</f>
        <v>#DIV/0!</v>
      </c>
      <c r="BX248" s="243" t="e">
        <f t="shared" ref="BX248" si="832">BX247/BS247-1</f>
        <v>#DIV/0!</v>
      </c>
      <c r="BY248" s="243">
        <f>BY247/BT247-1</f>
        <v>6.9213189683317022E-2</v>
      </c>
      <c r="BZ248" s="243">
        <f t="shared" ref="BZ248" si="833">BZ247/BU247-1</f>
        <v>0.10063694267515921</v>
      </c>
      <c r="CA248" s="243">
        <f t="shared" ref="CA248" si="834">CA247/BV247-1</f>
        <v>7.5308641975308621E-2</v>
      </c>
      <c r="CB248" s="243">
        <f t="shared" ref="CB248" si="835">CB247/BW247-1</f>
        <v>6.2650602409638489E-2</v>
      </c>
      <c r="CC248" s="243">
        <f t="shared" ref="CC248" si="836">CC247/BX247-1</f>
        <v>6.23529411764705E-2</v>
      </c>
      <c r="CD248" s="243">
        <f>CD247/BY247-1</f>
        <v>7.4809160305343569E-2</v>
      </c>
      <c r="CE248" s="243">
        <f>CE247/CD247-1</f>
        <v>3.0269473206732567E-2</v>
      </c>
      <c r="CF248" s="243">
        <f t="shared" ref="CF248" si="837">CF247/CE247-1</f>
        <v>1.8248424646016614E-2</v>
      </c>
      <c r="CG248" s="243">
        <f t="shared" ref="CG248" si="838">CG247/CF247-1</f>
        <v>1.9414322589793809E-2</v>
      </c>
      <c r="CH248" s="243">
        <f t="shared" ref="CH248" si="839">CH247/CG247-1</f>
        <v>2.3158071194440355E-2</v>
      </c>
      <c r="CI248" s="243">
        <f t="shared" ref="CI248" si="840">CI247/CH247-1</f>
        <v>2.7048077458160957E-2</v>
      </c>
      <c r="CJ248" s="243">
        <f t="shared" ref="CJ248" si="841">CJ247/CI247-1</f>
        <v>2.5960745455861245E-2</v>
      </c>
      <c r="CK248" s="243">
        <f t="shared" ref="CK248" si="842">CK247/CJ247-1</f>
        <v>2.4993700720026713E-2</v>
      </c>
      <c r="CL248" s="243">
        <f t="shared" ref="CL248" si="843">CL247/CK247-1</f>
        <v>2.4131563333861905E-2</v>
      </c>
      <c r="CM248" s="243">
        <f t="shared" ref="CM248" si="844">CM247/CL247-1</f>
        <v>2.3361234112202478E-2</v>
      </c>
      <c r="CN248" s="195"/>
      <c r="CO248" s="195"/>
      <c r="CP248" s="195"/>
      <c r="CQ248" s="195"/>
      <c r="CR248" s="195"/>
      <c r="CS248" s="206"/>
      <c r="CT248" s="206"/>
      <c r="CU248" s="206"/>
      <c r="CV248" s="206"/>
      <c r="CW248" s="206"/>
      <c r="CX248" s="206"/>
    </row>
    <row r="249" spans="1:102" s="206" customFormat="1">
      <c r="A249" s="276"/>
      <c r="B249" s="309"/>
      <c r="C249" s="309"/>
      <c r="D249" s="309"/>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c r="AB249" s="309"/>
      <c r="AC249" s="309"/>
      <c r="AD249" s="309"/>
      <c r="AE249" s="309"/>
      <c r="AF249" s="309"/>
      <c r="AG249" s="309"/>
      <c r="AH249" s="309"/>
      <c r="AI249" s="309"/>
      <c r="AJ249" s="309"/>
      <c r="AK249" s="309"/>
      <c r="AL249" s="309"/>
      <c r="AM249" s="309"/>
      <c r="AN249" s="309"/>
      <c r="AO249" s="309"/>
      <c r="AP249" s="309"/>
      <c r="AQ249" s="309"/>
      <c r="AR249" s="309"/>
      <c r="AS249" s="309"/>
      <c r="AT249" s="309"/>
      <c r="AU249" s="309"/>
      <c r="AV249" s="309"/>
      <c r="AW249" s="309"/>
      <c r="AX249" s="309"/>
      <c r="AY249" s="309"/>
      <c r="AZ249" s="309"/>
      <c r="BA249" s="309"/>
      <c r="BB249" s="309"/>
      <c r="BC249" s="309"/>
      <c r="BD249" s="309"/>
      <c r="BE249" s="309"/>
      <c r="BF249" s="309"/>
      <c r="BG249" s="309"/>
      <c r="BH249" s="309"/>
      <c r="BI249" s="309"/>
      <c r="BJ249" s="309"/>
      <c r="BK249" s="309"/>
      <c r="BL249" s="309"/>
      <c r="BM249" s="309"/>
      <c r="BN249" s="309"/>
      <c r="BO249" s="309"/>
      <c r="BP249" s="309"/>
      <c r="BQ249" s="309"/>
      <c r="BR249" s="309"/>
      <c r="BS249" s="309"/>
      <c r="BT249" s="309"/>
      <c r="BU249" s="309"/>
      <c r="BV249" s="309"/>
      <c r="BW249" s="309"/>
      <c r="BX249" s="309"/>
      <c r="BY249" s="309"/>
      <c r="BZ249" s="347"/>
      <c r="CA249" s="347"/>
      <c r="CB249" s="347"/>
      <c r="CC249" s="347"/>
      <c r="CD249" s="309"/>
      <c r="CE249" s="364"/>
      <c r="CF249" s="364"/>
      <c r="CG249" s="364"/>
      <c r="CH249" s="364"/>
      <c r="CI249" s="364"/>
      <c r="CJ249" s="364"/>
      <c r="CK249" s="364"/>
      <c r="CL249" s="364"/>
      <c r="CM249" s="364"/>
    </row>
    <row r="250" spans="1:102" s="206" customFormat="1">
      <c r="A250" s="286" t="s">
        <v>751</v>
      </c>
      <c r="B250" s="309"/>
      <c r="C250" s="309"/>
      <c r="D250" s="309"/>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c r="AA250" s="309"/>
      <c r="AB250" s="309"/>
      <c r="AC250" s="309"/>
      <c r="AD250" s="309"/>
      <c r="AE250" s="309"/>
      <c r="AF250" s="309"/>
      <c r="AG250" s="309"/>
      <c r="AH250" s="309"/>
      <c r="AI250" s="309"/>
      <c r="AJ250" s="309"/>
      <c r="AK250" s="309"/>
      <c r="AL250" s="309"/>
      <c r="AM250" s="309"/>
      <c r="AN250" s="309"/>
      <c r="AO250" s="309"/>
      <c r="AP250" s="309"/>
      <c r="AQ250" s="309"/>
      <c r="AR250" s="309"/>
      <c r="AS250" s="309"/>
      <c r="AT250" s="309"/>
      <c r="AU250" s="309"/>
      <c r="AV250" s="309"/>
      <c r="AW250" s="309"/>
      <c r="AX250" s="309"/>
      <c r="AY250" s="309"/>
      <c r="AZ250" s="309"/>
      <c r="BA250" s="309"/>
      <c r="BB250" s="309"/>
      <c r="BC250" s="309"/>
      <c r="BD250" s="309"/>
      <c r="BE250" s="309"/>
      <c r="BF250" s="309"/>
      <c r="BG250" s="309"/>
      <c r="BH250" s="309"/>
      <c r="BI250" s="309"/>
      <c r="BJ250" s="309"/>
      <c r="BK250" s="309"/>
      <c r="BL250" s="309"/>
      <c r="BM250" s="309"/>
      <c r="BN250" s="309"/>
      <c r="BO250" s="309"/>
      <c r="BP250" s="309"/>
      <c r="BQ250" s="309"/>
      <c r="BR250" s="309"/>
      <c r="BS250" s="309"/>
      <c r="BT250" s="281">
        <f>BT232+BT237</f>
        <v>6367.1189999999997</v>
      </c>
      <c r="BU250" s="281">
        <f t="shared" ref="BU250:BX250" si="845">BU232+BU237</f>
        <v>1588.3033500000001</v>
      </c>
      <c r="BV250" s="281">
        <f t="shared" si="845"/>
        <v>1643.2134000000001</v>
      </c>
      <c r="BW250" s="281">
        <f t="shared" si="845"/>
        <v>1651.0671</v>
      </c>
      <c r="BX250" s="281">
        <f t="shared" si="845"/>
        <v>1680.91065</v>
      </c>
      <c r="BY250" s="281">
        <f t="shared" ref="BY250:CD250" si="846">BY232+BY237</f>
        <v>6581.0933999999997</v>
      </c>
      <c r="BZ250" s="281">
        <f t="shared" si="846"/>
        <v>1644.4541999999999</v>
      </c>
      <c r="CA250" s="281">
        <f t="shared" si="846"/>
        <v>1654.5581999999999</v>
      </c>
      <c r="CB250" s="281">
        <f t="shared" si="846"/>
        <v>1667.0704499999999</v>
      </c>
      <c r="CC250" s="281">
        <f t="shared" si="846"/>
        <v>1674.7892999999999</v>
      </c>
      <c r="CD250" s="281">
        <f t="shared" si="846"/>
        <v>6720.5470499999992</v>
      </c>
      <c r="CE250" s="281">
        <f t="shared" ref="CE250:CI250" si="847">CE232+CE237</f>
        <v>6865.6214501544182</v>
      </c>
      <c r="CF250" s="281">
        <f t="shared" si="847"/>
        <v>6970.3027831759955</v>
      </c>
      <c r="CG250" s="281">
        <f t="shared" si="847"/>
        <v>7070.8689048036395</v>
      </c>
      <c r="CH250" s="281">
        <f t="shared" si="847"/>
        <v>7199.5807278304828</v>
      </c>
      <c r="CI250" s="281">
        <f t="shared" si="847"/>
        <v>7358.8611855623476</v>
      </c>
      <c r="CJ250" s="281">
        <f t="shared" ref="CJ250:CL250" si="848">CJ232+CJ237</f>
        <v>7514.0590987023952</v>
      </c>
      <c r="CK250" s="281">
        <f t="shared" si="848"/>
        <v>7665.6565212642017</v>
      </c>
      <c r="CL250" s="281">
        <f t="shared" si="848"/>
        <v>7814.0942988598626</v>
      </c>
      <c r="CM250" s="281">
        <f t="shared" ref="CM250" si="849">CM232+CM237</f>
        <v>7959.7757254670014</v>
      </c>
    </row>
    <row r="251" spans="1:102" s="206" customFormat="1">
      <c r="A251" s="276" t="s">
        <v>719</v>
      </c>
      <c r="B251" s="309"/>
      <c r="C251" s="309"/>
      <c r="D251" s="309"/>
      <c r="E251" s="309"/>
      <c r="F251" s="309"/>
      <c r="G251" s="309"/>
      <c r="H251" s="309"/>
      <c r="I251" s="309"/>
      <c r="J251" s="309"/>
      <c r="K251" s="309"/>
      <c r="L251" s="309"/>
      <c r="M251" s="309"/>
      <c r="N251" s="309"/>
      <c r="O251" s="309"/>
      <c r="P251" s="309"/>
      <c r="Q251" s="309"/>
      <c r="R251" s="309"/>
      <c r="S251" s="309"/>
      <c r="T251" s="309"/>
      <c r="U251" s="309"/>
      <c r="V251" s="309"/>
      <c r="W251" s="309"/>
      <c r="X251" s="309"/>
      <c r="Y251" s="309"/>
      <c r="Z251" s="309"/>
      <c r="AA251" s="309"/>
      <c r="AB251" s="309"/>
      <c r="AC251" s="309"/>
      <c r="AD251" s="309"/>
      <c r="AE251" s="309"/>
      <c r="AF251" s="309"/>
      <c r="AG251" s="309"/>
      <c r="AH251" s="309"/>
      <c r="AI251" s="309"/>
      <c r="AJ251" s="309"/>
      <c r="AK251" s="309"/>
      <c r="AL251" s="309"/>
      <c r="AM251" s="309"/>
      <c r="AN251" s="309"/>
      <c r="AO251" s="309"/>
      <c r="AP251" s="309"/>
      <c r="AQ251" s="309"/>
      <c r="AR251" s="309"/>
      <c r="AS251" s="309"/>
      <c r="AT251" s="309"/>
      <c r="AU251" s="309"/>
      <c r="AV251" s="309"/>
      <c r="AW251" s="309"/>
      <c r="AX251" s="309"/>
      <c r="AY251" s="309"/>
      <c r="AZ251" s="309"/>
      <c r="BA251" s="309"/>
      <c r="BB251" s="309"/>
      <c r="BC251" s="309"/>
      <c r="BD251" s="309"/>
      <c r="BE251" s="309"/>
      <c r="BF251" s="309"/>
      <c r="BG251" s="309"/>
      <c r="BH251" s="309"/>
      <c r="BI251" s="309"/>
      <c r="BJ251" s="309"/>
      <c r="BK251" s="309"/>
      <c r="BL251" s="309"/>
      <c r="BM251" s="309"/>
      <c r="BN251" s="309"/>
      <c r="BO251" s="309"/>
      <c r="BP251" s="309"/>
      <c r="BQ251" s="309"/>
      <c r="BR251" s="309"/>
      <c r="BS251" s="309"/>
      <c r="BT251" s="309">
        <f>BT252-BT250</f>
        <v>-589.11899999999969</v>
      </c>
      <c r="BU251" s="309">
        <f t="shared" ref="BU251:BX251" si="850">BU252-BU250</f>
        <v>-146.30335000000014</v>
      </c>
      <c r="BV251" s="309">
        <f t="shared" si="850"/>
        <v>-154.21340000000009</v>
      </c>
      <c r="BW251" s="309">
        <f t="shared" si="850"/>
        <v>-145.06709999999998</v>
      </c>
      <c r="BX251" s="309">
        <f t="shared" si="850"/>
        <v>-149.91065000000003</v>
      </c>
      <c r="BY251" s="309">
        <f t="shared" ref="BY251:CD251" si="851">BY252-BY250</f>
        <v>-613.09339999999975</v>
      </c>
      <c r="BZ251" s="309">
        <f t="shared" si="851"/>
        <v>-119.4541999999999</v>
      </c>
      <c r="CA251" s="309">
        <f t="shared" si="851"/>
        <v>-132.55819999999994</v>
      </c>
      <c r="CB251" s="309">
        <f t="shared" si="851"/>
        <v>-133.07044999999994</v>
      </c>
      <c r="CC251" s="309">
        <f t="shared" si="851"/>
        <v>-116.78929999999991</v>
      </c>
      <c r="CD251" s="309">
        <f t="shared" si="851"/>
        <v>-581.54704999999922</v>
      </c>
      <c r="CE251" s="280">
        <f>CD251/CD250*CE250</f>
        <v>-594.10072886165108</v>
      </c>
      <c r="CF251" s="280">
        <f t="shared" ref="CF251:CM251" si="852">CE251/CE250*CF250</f>
        <v>-603.15908675362743</v>
      </c>
      <c r="CG251" s="280">
        <f t="shared" si="852"/>
        <v>-611.86134431203527</v>
      </c>
      <c r="CH251" s="280">
        <f t="shared" si="852"/>
        <v>-622.999125273093</v>
      </c>
      <c r="CI251" s="280">
        <f t="shared" si="852"/>
        <v>-636.78209258623986</v>
      </c>
      <c r="CJ251" s="280">
        <f t="shared" si="852"/>
        <v>-650.21178631225143</v>
      </c>
      <c r="CK251" s="280">
        <f t="shared" si="852"/>
        <v>-663.3299198841936</v>
      </c>
      <c r="CL251" s="280">
        <f t="shared" si="852"/>
        <v>-676.17464086108384</v>
      </c>
      <c r="CM251" s="280">
        <f t="shared" si="852"/>
        <v>-688.78084735779646</v>
      </c>
    </row>
    <row r="252" spans="1:102" s="206" customFormat="1">
      <c r="A252" s="349" t="s">
        <v>752</v>
      </c>
      <c r="B252" s="350"/>
      <c r="C252" s="350"/>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f>BT402+BT403</f>
        <v>5778</v>
      </c>
      <c r="BU252" s="350">
        <f>BU402+BU403</f>
        <v>1442</v>
      </c>
      <c r="BV252" s="350">
        <f t="shared" ref="BV252:BX252" si="853">BV402+BV403</f>
        <v>1489</v>
      </c>
      <c r="BW252" s="350">
        <f t="shared" si="853"/>
        <v>1506</v>
      </c>
      <c r="BX252" s="350">
        <f t="shared" si="853"/>
        <v>1531</v>
      </c>
      <c r="BY252" s="350">
        <f t="shared" ref="BY252:CD252" si="854">BY402+BY403</f>
        <v>5968</v>
      </c>
      <c r="BZ252" s="350">
        <f t="shared" si="854"/>
        <v>1525</v>
      </c>
      <c r="CA252" s="350">
        <f t="shared" si="854"/>
        <v>1522</v>
      </c>
      <c r="CB252" s="350">
        <f t="shared" si="854"/>
        <v>1534</v>
      </c>
      <c r="CC252" s="350">
        <f t="shared" si="854"/>
        <v>1558</v>
      </c>
      <c r="CD252" s="350">
        <f t="shared" si="854"/>
        <v>6139</v>
      </c>
      <c r="CE252" s="350">
        <f t="shared" ref="CE252:CI252" si="855">SUM(CE250:CE251)</f>
        <v>6271.5207212927671</v>
      </c>
      <c r="CF252" s="350">
        <f t="shared" si="855"/>
        <v>6367.1436964223685</v>
      </c>
      <c r="CG252" s="350">
        <f t="shared" si="855"/>
        <v>6459.0075604916037</v>
      </c>
      <c r="CH252" s="350">
        <f t="shared" si="855"/>
        <v>6576.5816025573895</v>
      </c>
      <c r="CI252" s="350">
        <f t="shared" si="855"/>
        <v>6722.0790929761079</v>
      </c>
      <c r="CJ252" s="350">
        <f t="shared" ref="CJ252" si="856">SUM(CJ250:CJ251)</f>
        <v>6863.847312390144</v>
      </c>
      <c r="CK252" s="350">
        <f t="shared" ref="CK252" si="857">SUM(CK250:CK251)</f>
        <v>7002.3266013800085</v>
      </c>
      <c r="CL252" s="350">
        <f t="shared" ref="CL252:CM252" si="858">SUM(CL250:CL251)</f>
        <v>7137.9196579987783</v>
      </c>
      <c r="CM252" s="350">
        <f t="shared" si="858"/>
        <v>7270.9948781092053</v>
      </c>
    </row>
    <row r="253" spans="1:102">
      <c r="A253" s="276" t="s">
        <v>0</v>
      </c>
      <c r="B253" s="243"/>
      <c r="C253" s="243"/>
      <c r="D253" s="243"/>
      <c r="E253" s="243"/>
      <c r="F253" s="243"/>
      <c r="G253" s="243"/>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43"/>
      <c r="AZ253" s="243"/>
      <c r="BA253" s="243"/>
      <c r="BB253" s="243"/>
      <c r="BC253" s="243"/>
      <c r="BD253" s="243"/>
      <c r="BE253" s="243"/>
      <c r="BF253" s="243"/>
      <c r="BG253" s="243"/>
      <c r="BH253" s="243"/>
      <c r="BI253" s="243"/>
      <c r="BJ253" s="243"/>
      <c r="BK253" s="243"/>
      <c r="BL253" s="243"/>
      <c r="BM253" s="243"/>
      <c r="BN253" s="243"/>
      <c r="BO253" s="243"/>
      <c r="BP253" s="243"/>
      <c r="BQ253" s="243"/>
      <c r="BR253" s="243"/>
      <c r="BS253" s="243"/>
      <c r="BT253" s="243"/>
      <c r="BU253" s="243" t="e">
        <f>BU252/BP252-1</f>
        <v>#DIV/0!</v>
      </c>
      <c r="BV253" s="243" t="e">
        <f t="shared" ref="BV253:CC253" si="859">BV252/BQ252-1</f>
        <v>#DIV/0!</v>
      </c>
      <c r="BW253" s="243" t="e">
        <f t="shared" si="859"/>
        <v>#DIV/0!</v>
      </c>
      <c r="BX253" s="243" t="e">
        <f t="shared" si="859"/>
        <v>#DIV/0!</v>
      </c>
      <c r="BY253" s="243">
        <f>BY252/BT252-1</f>
        <v>3.2883350640360076E-2</v>
      </c>
      <c r="BZ253" s="243">
        <f t="shared" si="859"/>
        <v>5.7558945908460446E-2</v>
      </c>
      <c r="CA253" s="243">
        <f t="shared" si="859"/>
        <v>2.2162525184687754E-2</v>
      </c>
      <c r="CB253" s="243">
        <f t="shared" si="859"/>
        <v>1.8592297476759612E-2</v>
      </c>
      <c r="CC253" s="243">
        <f t="shared" si="859"/>
        <v>1.7635532331809367E-2</v>
      </c>
      <c r="CD253" s="243">
        <f>CD252/BY252-1</f>
        <v>2.8652815013404886E-2</v>
      </c>
      <c r="CE253" s="243">
        <f>CE252/CD252-1</f>
        <v>2.1586695112032483E-2</v>
      </c>
      <c r="CF253" s="243">
        <f t="shared" ref="CF253" si="860">CF252/CE252-1</f>
        <v>1.5247175187502293E-2</v>
      </c>
      <c r="CG253" s="243">
        <f t="shared" ref="CG253" si="861">CG252/CF252-1</f>
        <v>1.4427798153959115E-2</v>
      </c>
      <c r="CH253" s="243">
        <f t="shared" ref="CH253" si="862">CH252/CG252-1</f>
        <v>1.8203112624447293E-2</v>
      </c>
      <c r="CI253" s="243">
        <f t="shared" ref="CI253" si="863">CI252/CH252-1</f>
        <v>2.2123574101496679E-2</v>
      </c>
      <c r="CJ253" s="243">
        <f t="shared" ref="CJ253" si="864">CJ252/CI252-1</f>
        <v>2.1089936231510453E-2</v>
      </c>
      <c r="CK253" s="243">
        <f t="shared" ref="CK253" si="865">CK252/CJ252-1</f>
        <v>2.0175170380012819E-2</v>
      </c>
      <c r="CL253" s="243">
        <f t="shared" ref="CL253:CM253" si="866">CL252/CK252-1</f>
        <v>1.9364000615459398E-2</v>
      </c>
      <c r="CM253" s="243">
        <f t="shared" si="866"/>
        <v>1.8643418038658099E-2</v>
      </c>
      <c r="CN253" s="195"/>
      <c r="CO253" s="195"/>
      <c r="CP253" s="195"/>
      <c r="CQ253" s="195"/>
      <c r="CR253" s="195"/>
      <c r="CS253" s="206"/>
      <c r="CT253" s="206"/>
      <c r="CU253" s="206"/>
      <c r="CV253" s="206"/>
      <c r="CW253" s="206"/>
      <c r="CX253" s="206"/>
    </row>
    <row r="254" spans="1:102">
      <c r="A254" s="286"/>
      <c r="B254" s="243"/>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43"/>
      <c r="AZ254" s="243"/>
      <c r="BA254" s="243"/>
      <c r="BB254" s="243"/>
      <c r="BC254" s="243"/>
      <c r="BD254" s="243"/>
      <c r="BE254" s="243"/>
      <c r="BF254" s="243"/>
      <c r="BG254" s="243"/>
      <c r="BH254" s="243"/>
      <c r="BI254" s="243"/>
      <c r="BJ254" s="243"/>
      <c r="BK254" s="243"/>
      <c r="BL254" s="243"/>
      <c r="BM254" s="243"/>
      <c r="BN254" s="243"/>
      <c r="BO254" s="243"/>
      <c r="BP254" s="243"/>
      <c r="BQ254" s="243"/>
      <c r="BR254" s="243"/>
      <c r="BS254" s="243"/>
      <c r="BT254" s="243"/>
      <c r="BU254" s="222"/>
      <c r="BV254" s="222"/>
      <c r="BW254" s="222"/>
      <c r="BX254" s="222"/>
      <c r="BY254" s="243"/>
      <c r="BZ254" s="222"/>
      <c r="CA254" s="222"/>
      <c r="CB254" s="222"/>
      <c r="CC254" s="222"/>
      <c r="CD254" s="243"/>
      <c r="CE254" s="243"/>
      <c r="CF254" s="243"/>
      <c r="CG254" s="243"/>
      <c r="CH254" s="243"/>
      <c r="CI254" s="243"/>
      <c r="CJ254" s="243"/>
      <c r="CK254" s="243"/>
      <c r="CL254" s="243"/>
      <c r="CM254" s="243"/>
      <c r="CN254" s="195"/>
      <c r="CO254" s="195"/>
      <c r="CP254" s="195"/>
      <c r="CQ254" s="195"/>
      <c r="CR254" s="195"/>
      <c r="CS254" s="206"/>
      <c r="CT254" s="206"/>
      <c r="CU254" s="206"/>
      <c r="CV254" s="206"/>
      <c r="CW254" s="206"/>
      <c r="CX254" s="206"/>
    </row>
    <row r="255" spans="1:102">
      <c r="A255" s="286"/>
      <c r="B255" s="243"/>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43"/>
      <c r="AV255" s="243"/>
      <c r="AW255" s="243"/>
      <c r="AX255" s="243"/>
      <c r="AY255" s="243"/>
      <c r="AZ255" s="243"/>
      <c r="BA255" s="243"/>
      <c r="BB255" s="243"/>
      <c r="BC255" s="243"/>
      <c r="BD255" s="243"/>
      <c r="BE255" s="243"/>
      <c r="BF255" s="243"/>
      <c r="BG255" s="243"/>
      <c r="BH255" s="243"/>
      <c r="BI255" s="243"/>
      <c r="BJ255" s="243"/>
      <c r="BK255" s="243"/>
      <c r="BL255" s="243"/>
      <c r="BM255" s="243"/>
      <c r="BN255" s="243"/>
      <c r="BO255" s="243"/>
      <c r="BP255" s="243"/>
      <c r="BQ255" s="243"/>
      <c r="BR255" s="243"/>
      <c r="BS255" s="243"/>
      <c r="BT255" s="243"/>
      <c r="BU255" s="222"/>
      <c r="BV255" s="222"/>
      <c r="BW255" s="222"/>
      <c r="BX255" s="222"/>
      <c r="BY255" s="243"/>
      <c r="BZ255" s="222"/>
      <c r="CA255" s="222"/>
      <c r="CB255" s="222"/>
      <c r="CC255" s="222"/>
      <c r="CD255" s="243"/>
      <c r="CE255" s="243"/>
      <c r="CF255" s="243"/>
      <c r="CG255" s="243"/>
      <c r="CH255" s="243"/>
      <c r="CI255" s="243"/>
      <c r="CJ255" s="243"/>
      <c r="CK255" s="243"/>
      <c r="CL255" s="243"/>
      <c r="CM255" s="243"/>
      <c r="CN255" s="195"/>
      <c r="CO255" s="195"/>
      <c r="CP255" s="195"/>
      <c r="CQ255" s="195"/>
      <c r="CR255" s="195"/>
      <c r="CS255" s="206"/>
      <c r="CT255" s="206"/>
      <c r="CU255" s="206"/>
      <c r="CV255" s="206"/>
      <c r="CW255" s="206"/>
      <c r="CX255" s="206"/>
    </row>
    <row r="256" spans="1:102">
      <c r="A256" s="343" t="s">
        <v>692</v>
      </c>
      <c r="B256" s="243"/>
      <c r="C256" s="243"/>
      <c r="D256" s="243"/>
      <c r="E256" s="243"/>
      <c r="F256" s="243"/>
      <c r="G256" s="243"/>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43"/>
      <c r="AZ256" s="243"/>
      <c r="BA256" s="243"/>
      <c r="BB256" s="243"/>
      <c r="BC256" s="243"/>
      <c r="BD256" s="243"/>
      <c r="BE256" s="243"/>
      <c r="BF256" s="243"/>
      <c r="BG256" s="243"/>
      <c r="BH256" s="243"/>
      <c r="BI256" s="243"/>
      <c r="BJ256" s="243"/>
      <c r="BK256" s="243"/>
      <c r="BL256" s="243"/>
      <c r="BM256" s="243"/>
      <c r="BN256" s="243"/>
      <c r="BO256" s="243"/>
      <c r="BP256" s="243"/>
      <c r="BQ256" s="243"/>
      <c r="BR256" s="243"/>
      <c r="BS256" s="243"/>
      <c r="BT256" s="243"/>
      <c r="BU256" s="222"/>
      <c r="BV256" s="222"/>
      <c r="BW256" s="222"/>
      <c r="BX256" s="222"/>
      <c r="BY256" s="243"/>
      <c r="BZ256" s="222"/>
      <c r="CA256" s="222"/>
      <c r="CB256" s="222"/>
      <c r="CC256" s="222"/>
      <c r="CD256" s="243"/>
      <c r="CE256" s="243"/>
      <c r="CF256" s="243"/>
      <c r="CG256" s="243"/>
      <c r="CH256" s="243"/>
      <c r="CI256" s="243"/>
      <c r="CJ256" s="243"/>
      <c r="CK256" s="243"/>
      <c r="CL256" s="243"/>
      <c r="CM256" s="243"/>
      <c r="CN256" s="195"/>
      <c r="CO256" s="195"/>
      <c r="CP256" s="195"/>
      <c r="CQ256" s="195"/>
      <c r="CR256" s="195"/>
      <c r="CS256" s="206"/>
      <c r="CT256" s="206"/>
      <c r="CU256" s="206"/>
      <c r="CV256" s="206"/>
      <c r="CW256" s="206"/>
      <c r="CX256" s="206"/>
    </row>
    <row r="257" spans="1:102">
      <c r="A257" s="286"/>
      <c r="B257" s="243"/>
      <c r="C257" s="243"/>
      <c r="D257" s="243"/>
      <c r="E257" s="243"/>
      <c r="F257" s="243"/>
      <c r="G257" s="243"/>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43"/>
      <c r="AZ257" s="243"/>
      <c r="BA257" s="243"/>
      <c r="BB257" s="243"/>
      <c r="BC257" s="243"/>
      <c r="BD257" s="243"/>
      <c r="BE257" s="243"/>
      <c r="BF257" s="243"/>
      <c r="BG257" s="243"/>
      <c r="BH257" s="243"/>
      <c r="BI257" s="243"/>
      <c r="BJ257" s="243"/>
      <c r="BK257" s="243"/>
      <c r="BL257" s="243"/>
      <c r="BM257" s="243"/>
      <c r="BN257" s="243"/>
      <c r="BO257" s="243"/>
      <c r="BP257" s="243"/>
      <c r="BQ257" s="243"/>
      <c r="BR257" s="243"/>
      <c r="BS257" s="243"/>
      <c r="BT257" s="243"/>
      <c r="BU257" s="222"/>
      <c r="BV257" s="222"/>
      <c r="BW257" s="222"/>
      <c r="BX257" s="222"/>
      <c r="BY257" s="243"/>
      <c r="BZ257" s="222"/>
      <c r="CA257" s="222"/>
      <c r="CB257" s="222"/>
      <c r="CC257" s="222"/>
      <c r="CD257" s="243"/>
      <c r="CE257" s="243"/>
      <c r="CF257" s="243"/>
      <c r="CG257" s="243"/>
      <c r="CH257" s="243"/>
      <c r="CI257" s="243"/>
      <c r="CJ257" s="243"/>
      <c r="CK257" s="243"/>
      <c r="CL257" s="243"/>
      <c r="CM257" s="243"/>
      <c r="CN257" s="195"/>
      <c r="CO257" s="195"/>
      <c r="CP257" s="195"/>
      <c r="CQ257" s="195"/>
      <c r="CR257" s="195"/>
      <c r="CS257" s="206"/>
      <c r="CT257" s="206"/>
      <c r="CU257" s="206"/>
      <c r="CV257" s="206"/>
      <c r="CW257" s="206"/>
      <c r="CX257" s="206"/>
    </row>
    <row r="258" spans="1:102" s="265" customFormat="1">
      <c r="A258" s="286" t="s">
        <v>715</v>
      </c>
      <c r="B258" s="260"/>
      <c r="C258" s="260"/>
      <c r="D258" s="260"/>
      <c r="E258" s="260"/>
      <c r="F258" s="260"/>
      <c r="G258" s="260"/>
      <c r="H258" s="260"/>
      <c r="I258" s="260"/>
      <c r="J258" s="260"/>
      <c r="K258" s="260"/>
      <c r="L258" s="260"/>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0"/>
      <c r="AL258" s="260"/>
      <c r="AM258" s="260"/>
      <c r="AN258" s="260"/>
      <c r="AO258" s="260"/>
      <c r="AP258" s="260"/>
      <c r="AQ258" s="260"/>
      <c r="AR258" s="260"/>
      <c r="AS258" s="260"/>
      <c r="AT258" s="260"/>
      <c r="AU258" s="260"/>
      <c r="AV258" s="260"/>
      <c r="AW258" s="260"/>
      <c r="AX258" s="260"/>
      <c r="AY258" s="260"/>
      <c r="AZ258" s="260"/>
      <c r="BA258" s="260"/>
      <c r="BB258" s="260"/>
      <c r="BC258" s="260"/>
      <c r="BD258" s="260"/>
      <c r="BE258" s="260"/>
      <c r="BF258" s="260"/>
      <c r="BG258" s="260"/>
      <c r="BH258" s="260"/>
      <c r="BI258" s="260"/>
      <c r="BJ258" s="260"/>
      <c r="BK258" s="260"/>
      <c r="BL258" s="315">
        <f>'[2]Domestic Mobile Operations'!AJ26</f>
        <v>105</v>
      </c>
      <c r="BM258" s="315">
        <f>'[2]Domestic Mobile Operations'!AK26</f>
        <v>102</v>
      </c>
      <c r="BN258" s="315">
        <f>'[2]Domestic Mobile Operations'!AL26</f>
        <v>107</v>
      </c>
      <c r="BO258" s="316">
        <f>AVERAGE(BK258:BN258)</f>
        <v>104.66666666666667</v>
      </c>
      <c r="BP258" s="315">
        <f>'[2]Domestic Mobile Operations'!AM26</f>
        <v>108.1</v>
      </c>
      <c r="BQ258" s="315">
        <f>'[2]Domestic Mobile Operations'!AN26</f>
        <v>108.9</v>
      </c>
      <c r="BR258" s="315">
        <f>'[2]Domestic Mobile Operations'!AO26</f>
        <v>108.4</v>
      </c>
      <c r="BS258" s="315">
        <f>'[2]Domestic Mobile Operations'!AP26</f>
        <v>109.5</v>
      </c>
      <c r="BT258" s="316">
        <f>BT406*1000/BT265/12</f>
        <v>109.93176648976498</v>
      </c>
      <c r="BU258" s="315">
        <f>'[2]Domestic Mobile Operations'!AQ26</f>
        <v>107.8</v>
      </c>
      <c r="BV258" s="315">
        <f>'[2]Domestic Mobile Operations'!AR26</f>
        <v>108.3</v>
      </c>
      <c r="BW258" s="315">
        <f>'[2]Domestic Mobile Operations'!AS26</f>
        <v>108</v>
      </c>
      <c r="BX258" s="315">
        <f>'[2]Domestic Mobile Operations'!AT26</f>
        <v>108.5</v>
      </c>
      <c r="BY258" s="316">
        <f>BY406*1000/BY265/12</f>
        <v>108.38729571384521</v>
      </c>
      <c r="BZ258" s="315">
        <f>'[2]Domestic Mobile Operations'!AU26</f>
        <v>107.1</v>
      </c>
      <c r="CA258" s="315">
        <f>'[2]Domestic Mobile Operations'!AV26</f>
        <v>107.4</v>
      </c>
      <c r="CB258" s="315">
        <f>'[2]Domestic Mobile Operations'!AW26</f>
        <v>108.9</v>
      </c>
      <c r="CC258" s="315">
        <f>'[2]Domestic Mobile Operations'!AX26</f>
        <v>108.3</v>
      </c>
      <c r="CD258" s="316">
        <f>CD406*1000/CD265/12</f>
        <v>106.58761528326745</v>
      </c>
      <c r="CE258" s="317">
        <f t="shared" ref="CE258:CM258" si="867">CD258*(1+CE259)</f>
        <v>105.52173913043478</v>
      </c>
      <c r="CF258" s="317">
        <f t="shared" si="867"/>
        <v>104.9941304347826</v>
      </c>
      <c r="CG258" s="317">
        <f t="shared" si="867"/>
        <v>104.9941304347826</v>
      </c>
      <c r="CH258" s="317">
        <f t="shared" si="867"/>
        <v>105.51910108695651</v>
      </c>
      <c r="CI258" s="317">
        <f t="shared" si="867"/>
        <v>106.04669659239129</v>
      </c>
      <c r="CJ258" s="317">
        <f t="shared" si="867"/>
        <v>106.57693007535323</v>
      </c>
      <c r="CK258" s="317">
        <f t="shared" si="867"/>
        <v>107.10981472572999</v>
      </c>
      <c r="CL258" s="317">
        <f t="shared" si="867"/>
        <v>107.64536379935863</v>
      </c>
      <c r="CM258" s="317">
        <f t="shared" si="867"/>
        <v>108.18359061835541</v>
      </c>
      <c r="CN258" s="202"/>
      <c r="CO258" s="202"/>
      <c r="CP258" s="202"/>
      <c r="CQ258" s="202"/>
      <c r="CR258" s="202"/>
      <c r="CS258" s="494"/>
      <c r="CT258" s="494"/>
      <c r="CU258" s="494"/>
      <c r="CV258" s="494"/>
      <c r="CW258" s="494"/>
      <c r="CX258" s="494"/>
    </row>
    <row r="259" spans="1:102">
      <c r="A259" s="276" t="s">
        <v>0</v>
      </c>
      <c r="B259" s="243"/>
      <c r="C259" s="243"/>
      <c r="D259" s="243"/>
      <c r="E259" s="243"/>
      <c r="F259" s="243"/>
      <c r="G259" s="243"/>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43"/>
      <c r="AZ259" s="243"/>
      <c r="BA259" s="243"/>
      <c r="BB259" s="243"/>
      <c r="BC259" s="243"/>
      <c r="BD259" s="243"/>
      <c r="BE259" s="243"/>
      <c r="BF259" s="243"/>
      <c r="BG259" s="243"/>
      <c r="BH259" s="243"/>
      <c r="BI259" s="243"/>
      <c r="BJ259" s="243"/>
      <c r="BK259" s="243"/>
      <c r="BL259" s="465"/>
      <c r="BM259" s="465"/>
      <c r="BN259" s="465"/>
      <c r="BO259" s="243"/>
      <c r="BP259" s="243" t="e">
        <f t="shared" ref="BP259:CD259" si="868">BP258/BK258-1</f>
        <v>#DIV/0!</v>
      </c>
      <c r="BQ259" s="243">
        <f t="shared" si="868"/>
        <v>3.7142857142857144E-2</v>
      </c>
      <c r="BR259" s="243">
        <f t="shared" si="868"/>
        <v>6.2745098039215685E-2</v>
      </c>
      <c r="BS259" s="243">
        <f t="shared" si="868"/>
        <v>2.3364485981308469E-2</v>
      </c>
      <c r="BT259" s="243">
        <f t="shared" si="868"/>
        <v>5.0303501494569858E-2</v>
      </c>
      <c r="BU259" s="222">
        <f t="shared" si="868"/>
        <v>-2.7752081406104967E-3</v>
      </c>
      <c r="BV259" s="222">
        <f t="shared" si="868"/>
        <v>-5.5096418732782926E-3</v>
      </c>
      <c r="BW259" s="222">
        <f t="shared" si="868"/>
        <v>-3.6900369003690647E-3</v>
      </c>
      <c r="BX259" s="222">
        <f t="shared" si="868"/>
        <v>-9.1324200913242004E-3</v>
      </c>
      <c r="BY259" s="243">
        <f t="shared" si="868"/>
        <v>-1.4049358299573655E-2</v>
      </c>
      <c r="BZ259" s="222">
        <f t="shared" si="868"/>
        <v>-6.4935064935065512E-3</v>
      </c>
      <c r="CA259" s="222">
        <f t="shared" si="868"/>
        <v>-8.310249307479145E-3</v>
      </c>
      <c r="CB259" s="222">
        <f t="shared" si="868"/>
        <v>8.3333333333333037E-3</v>
      </c>
      <c r="CC259" s="222">
        <f t="shared" si="868"/>
        <v>-1.8433179723502668E-3</v>
      </c>
      <c r="CD259" s="243">
        <f t="shared" si="868"/>
        <v>-1.6604163972585018E-2</v>
      </c>
      <c r="CE259" s="496">
        <v>-0.01</v>
      </c>
      <c r="CF259" s="496">
        <v>-5.0000000000000001E-3</v>
      </c>
      <c r="CG259" s="496">
        <v>0</v>
      </c>
      <c r="CH259" s="496">
        <v>5.0000000000000001E-3</v>
      </c>
      <c r="CI259" s="496">
        <v>5.0000000000000001E-3</v>
      </c>
      <c r="CJ259" s="496">
        <v>5.0000000000000001E-3</v>
      </c>
      <c r="CK259" s="496">
        <v>5.0000000000000001E-3</v>
      </c>
      <c r="CL259" s="496">
        <v>5.0000000000000001E-3</v>
      </c>
      <c r="CM259" s="496">
        <v>5.0000000000000001E-3</v>
      </c>
      <c r="CN259" s="195"/>
      <c r="CO259" s="195" t="s">
        <v>759</v>
      </c>
      <c r="CP259" s="195"/>
      <c r="CQ259" s="195"/>
      <c r="CR259" s="195"/>
      <c r="CS259" s="206"/>
      <c r="CT259" s="206"/>
      <c r="CU259" s="206"/>
      <c r="CV259" s="206"/>
      <c r="CW259" s="206"/>
      <c r="CX259" s="206"/>
    </row>
    <row r="260" spans="1:102" s="195" customFormat="1">
      <c r="A260" s="276" t="s">
        <v>773</v>
      </c>
      <c r="B260" s="364"/>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c r="AE260" s="364"/>
      <c r="AF260" s="364"/>
      <c r="AG260" s="364"/>
      <c r="AH260" s="364"/>
      <c r="AI260" s="364"/>
      <c r="AJ260" s="364"/>
      <c r="AK260" s="364"/>
      <c r="AL260" s="364"/>
      <c r="AM260" s="364"/>
      <c r="AN260" s="364"/>
      <c r="AO260" s="364"/>
      <c r="AP260" s="364"/>
      <c r="AQ260" s="364"/>
      <c r="AR260" s="364"/>
      <c r="AS260" s="364"/>
      <c r="AT260" s="364"/>
      <c r="AU260" s="364"/>
      <c r="AV260" s="364"/>
      <c r="AW260" s="364"/>
      <c r="AX260" s="364"/>
      <c r="AY260" s="364"/>
      <c r="AZ260" s="364"/>
      <c r="BA260" s="364"/>
      <c r="BB260" s="364"/>
      <c r="BC260" s="364"/>
      <c r="BD260" s="364"/>
      <c r="BE260" s="364"/>
      <c r="BF260" s="364"/>
      <c r="BG260" s="364"/>
      <c r="BH260" s="364"/>
      <c r="BI260" s="364"/>
      <c r="BJ260" s="364"/>
      <c r="BK260" s="364"/>
      <c r="BL260" s="508">
        <f>BL258/BL167</f>
        <v>1.320754716981132</v>
      </c>
      <c r="BM260" s="508">
        <f t="shared" ref="BM260:BU260" si="869">BM258/BM167</f>
        <v>1.3010204081632653</v>
      </c>
      <c r="BN260" s="508">
        <f t="shared" si="869"/>
        <v>1.3842173350582148</v>
      </c>
      <c r="BO260" s="508">
        <f t="shared" si="869"/>
        <v>1.324056504322159</v>
      </c>
      <c r="BP260" s="508">
        <f t="shared" si="869"/>
        <v>1.4223684210526315</v>
      </c>
      <c r="BQ260" s="508">
        <f t="shared" si="869"/>
        <v>1.4442970822281167</v>
      </c>
      <c r="BR260" s="508">
        <f t="shared" si="869"/>
        <v>1.4453333333333334</v>
      </c>
      <c r="BS260" s="508">
        <f t="shared" si="869"/>
        <v>1.4918256130790191</v>
      </c>
      <c r="BT260" s="508">
        <f t="shared" si="869"/>
        <v>1.4667347096699797</v>
      </c>
      <c r="BU260" s="508">
        <f t="shared" si="869"/>
        <v>1.4868965517241379</v>
      </c>
      <c r="BV260" s="508">
        <f t="shared" ref="BV260:CM260" si="870">BV258/BV167</f>
        <v>1.4896836313617605</v>
      </c>
      <c r="BW260" s="508">
        <f t="shared" si="870"/>
        <v>1.4835164835164836</v>
      </c>
      <c r="BX260" s="508">
        <f t="shared" si="870"/>
        <v>1.4924346629986245</v>
      </c>
      <c r="BY260" s="508">
        <f t="shared" si="870"/>
        <v>1.4913972578444474</v>
      </c>
      <c r="BZ260" s="508">
        <f t="shared" si="870"/>
        <v>1.5021037868162692</v>
      </c>
      <c r="CA260" s="508">
        <f t="shared" ref="CA260:CB260" si="871">CA258/CA167</f>
        <v>1.5126760563380282</v>
      </c>
      <c r="CB260" s="508">
        <f t="shared" si="871"/>
        <v>1.5512820512820513</v>
      </c>
      <c r="CC260" s="508">
        <f t="shared" ref="CC260:CD260" si="872">CC258/CC167</f>
        <v>1.5515759312320918</v>
      </c>
      <c r="CD260" s="508">
        <f t="shared" si="872"/>
        <v>1.5102743929616358</v>
      </c>
      <c r="CE260" s="508">
        <f t="shared" si="870"/>
        <v>1.525685356155122</v>
      </c>
      <c r="CF260" s="508">
        <f t="shared" si="870"/>
        <v>1.5333908377518652</v>
      </c>
      <c r="CG260" s="508">
        <f t="shared" si="870"/>
        <v>1.5410963193486082</v>
      </c>
      <c r="CH260" s="508">
        <f t="shared" si="870"/>
        <v>1.5488018009453512</v>
      </c>
      <c r="CI260" s="508">
        <f t="shared" si="870"/>
        <v>1.5488018009453515</v>
      </c>
      <c r="CJ260" s="508">
        <f t="shared" si="870"/>
        <v>1.5488018009453515</v>
      </c>
      <c r="CK260" s="508">
        <f t="shared" si="870"/>
        <v>1.5488018009453515</v>
      </c>
      <c r="CL260" s="508">
        <f t="shared" si="870"/>
        <v>1.5488018009453515</v>
      </c>
      <c r="CM260" s="508">
        <f t="shared" si="870"/>
        <v>1.5488018009453512</v>
      </c>
    </row>
    <row r="261" spans="1:102">
      <c r="A261" s="286"/>
      <c r="B261" s="243"/>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43"/>
      <c r="AZ261" s="243"/>
      <c r="BA261" s="243"/>
      <c r="BB261" s="243"/>
      <c r="BC261" s="243"/>
      <c r="BD261" s="243"/>
      <c r="BE261" s="243"/>
      <c r="BF261" s="243"/>
      <c r="BG261" s="243"/>
      <c r="BH261" s="243"/>
      <c r="BI261" s="243"/>
      <c r="BJ261" s="243"/>
      <c r="BK261" s="243"/>
      <c r="BL261" s="243"/>
      <c r="BM261" s="243"/>
      <c r="BN261" s="243"/>
      <c r="BO261" s="243"/>
      <c r="BP261" s="243"/>
      <c r="BQ261" s="243"/>
      <c r="BR261" s="243"/>
      <c r="BS261" s="243"/>
      <c r="BT261" s="243"/>
      <c r="BU261" s="222"/>
      <c r="BV261" s="222"/>
      <c r="BW261" s="222"/>
      <c r="BX261" s="222"/>
      <c r="BY261" s="243"/>
      <c r="BZ261" s="222"/>
      <c r="CA261" s="222"/>
      <c r="CB261" s="222"/>
      <c r="CC261" s="222"/>
      <c r="CD261" s="243"/>
      <c r="CE261" s="243"/>
      <c r="CF261" s="243"/>
      <c r="CG261" s="243"/>
      <c r="CH261" s="243"/>
      <c r="CI261" s="243"/>
      <c r="CJ261" s="243"/>
      <c r="CK261" s="243"/>
      <c r="CL261" s="243"/>
      <c r="CM261" s="243"/>
      <c r="CN261" s="195"/>
      <c r="CO261" s="195"/>
      <c r="CP261" s="195"/>
      <c r="CQ261" s="195"/>
      <c r="CR261" s="195"/>
      <c r="CS261" s="206"/>
      <c r="CT261" s="206"/>
      <c r="CU261" s="206"/>
      <c r="CV261" s="206"/>
      <c r="CW261" s="206"/>
      <c r="CX261" s="206"/>
    </row>
    <row r="262" spans="1:102">
      <c r="A262" s="286"/>
      <c r="B262" s="243"/>
      <c r="C262" s="243"/>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43"/>
      <c r="AZ262" s="243"/>
      <c r="BA262" s="243"/>
      <c r="BB262" s="243"/>
      <c r="BC262" s="243"/>
      <c r="BD262" s="243"/>
      <c r="BE262" s="243"/>
      <c r="BF262" s="243"/>
      <c r="BG262" s="243"/>
      <c r="BH262" s="243"/>
      <c r="BI262" s="243"/>
      <c r="BJ262" s="243"/>
      <c r="BK262" s="243"/>
      <c r="BL262" s="243"/>
      <c r="BM262" s="243"/>
      <c r="BN262" s="243"/>
      <c r="BO262" s="243"/>
      <c r="BP262" s="243"/>
      <c r="BQ262" s="243"/>
      <c r="BR262" s="243"/>
      <c r="BS262" s="243"/>
      <c r="BT262" s="243"/>
      <c r="BU262" s="222"/>
      <c r="BV262" s="222"/>
      <c r="BW262" s="222"/>
      <c r="BX262" s="222"/>
      <c r="BY262" s="243"/>
      <c r="BZ262" s="222"/>
      <c r="CA262" s="222"/>
      <c r="CB262" s="222"/>
      <c r="CC262" s="222"/>
      <c r="CD262" s="243"/>
      <c r="CE262" s="243"/>
      <c r="CF262" s="243"/>
      <c r="CG262" s="243"/>
      <c r="CH262" s="243"/>
      <c r="CI262" s="243"/>
      <c r="CJ262" s="243"/>
      <c r="CK262" s="243"/>
      <c r="CL262" s="243"/>
      <c r="CM262" s="243"/>
      <c r="CN262" s="195"/>
      <c r="CO262" s="195"/>
      <c r="CP262" s="195"/>
      <c r="CQ262" s="195"/>
      <c r="CR262" s="195"/>
      <c r="CS262" s="206"/>
      <c r="CT262" s="206"/>
      <c r="CU262" s="206"/>
      <c r="CV262" s="206"/>
      <c r="CW262" s="206"/>
      <c r="CX262" s="206"/>
    </row>
    <row r="263" spans="1:102" s="265" customFormat="1">
      <c r="A263" s="286" t="s">
        <v>755</v>
      </c>
      <c r="B263" s="260"/>
      <c r="C263" s="260"/>
      <c r="D263" s="260"/>
      <c r="E263" s="260"/>
      <c r="F263" s="260"/>
      <c r="G263" s="260"/>
      <c r="H263" s="260"/>
      <c r="I263" s="260"/>
      <c r="J263" s="260"/>
      <c r="K263" s="260"/>
      <c r="L263" s="260"/>
      <c r="M263" s="260"/>
      <c r="N263" s="260"/>
      <c r="O263" s="260"/>
      <c r="P263" s="260"/>
      <c r="Q263" s="260"/>
      <c r="R263" s="260"/>
      <c r="S263" s="260"/>
      <c r="T263" s="260"/>
      <c r="U263" s="260"/>
      <c r="V263" s="260"/>
      <c r="W263" s="260"/>
      <c r="X263" s="260"/>
      <c r="Y263" s="260"/>
      <c r="Z263" s="260"/>
      <c r="AA263" s="260"/>
      <c r="AB263" s="260"/>
      <c r="AC263" s="260"/>
      <c r="AD263" s="260"/>
      <c r="AE263" s="260"/>
      <c r="AF263" s="260"/>
      <c r="AG263" s="260"/>
      <c r="AH263" s="260"/>
      <c r="AI263" s="260"/>
      <c r="AJ263" s="260"/>
      <c r="AK263" s="260"/>
      <c r="AL263" s="260"/>
      <c r="AM263" s="260"/>
      <c r="AN263" s="260"/>
      <c r="AO263" s="260"/>
      <c r="AP263" s="260"/>
      <c r="AQ263" s="260"/>
      <c r="AR263" s="260"/>
      <c r="AS263" s="260"/>
      <c r="AT263" s="260"/>
      <c r="AU263" s="260"/>
      <c r="AV263" s="260"/>
      <c r="AW263" s="260"/>
      <c r="AX263" s="260"/>
      <c r="AY263" s="260"/>
      <c r="AZ263" s="260"/>
      <c r="BA263" s="260"/>
      <c r="BB263" s="260"/>
      <c r="BC263" s="260"/>
      <c r="BD263" s="260"/>
      <c r="BE263" s="260"/>
      <c r="BF263" s="260"/>
      <c r="BG263" s="260"/>
      <c r="BH263" s="260"/>
      <c r="BI263" s="260"/>
      <c r="BJ263" s="260"/>
      <c r="BK263" s="260"/>
      <c r="BL263" s="315">
        <f>'[2]Domestic Mobile Operations'!AJ16</f>
        <v>371</v>
      </c>
      <c r="BM263" s="315">
        <f>'[2]Domestic Mobile Operations'!AK16</f>
        <v>383</v>
      </c>
      <c r="BN263" s="315">
        <f>'[2]Domestic Mobile Operations'!AL16</f>
        <v>402</v>
      </c>
      <c r="BO263" s="316">
        <f>AVERAGE(BK263:BN263)</f>
        <v>385.33333333333331</v>
      </c>
      <c r="BP263" s="315">
        <f>'[2]Domestic Mobile Operations'!AM16</f>
        <v>423</v>
      </c>
      <c r="BQ263" s="315">
        <f>'[2]Domestic Mobile Operations'!AN16</f>
        <v>444</v>
      </c>
      <c r="BR263" s="315">
        <f>'[2]Domestic Mobile Operations'!AO16</f>
        <v>470</v>
      </c>
      <c r="BS263" s="315">
        <f>'[2]Domestic Mobile Operations'!AP16</f>
        <v>494</v>
      </c>
      <c r="BT263" s="316">
        <f>BS263</f>
        <v>494</v>
      </c>
      <c r="BU263" s="315">
        <f>'[2]Domestic Mobile Operations'!AQ16</f>
        <v>520</v>
      </c>
      <c r="BV263" s="315">
        <f>'[2]Domestic Mobile Operations'!AR16</f>
        <v>545</v>
      </c>
      <c r="BW263" s="315">
        <f>'[2]Domestic Mobile Operations'!AS16</f>
        <v>564</v>
      </c>
      <c r="BX263" s="315">
        <f>'[2]Domestic Mobile Operations'!AT16</f>
        <v>587</v>
      </c>
      <c r="BY263" s="316">
        <f>BX263</f>
        <v>587</v>
      </c>
      <c r="BZ263" s="315">
        <f>'[2]Domestic Mobile Operations'!AU16</f>
        <v>612</v>
      </c>
      <c r="CA263" s="315">
        <f>'[2]Domestic Mobile Operations'!AV16</f>
        <v>634</v>
      </c>
      <c r="CB263" s="315">
        <f>'[2]Domestic Mobile Operations'!AW16</f>
        <v>658</v>
      </c>
      <c r="CC263" s="315">
        <f>'[2]Domestic Mobile Operations'!AX16</f>
        <v>678</v>
      </c>
      <c r="CD263" s="316">
        <f>CC263</f>
        <v>678</v>
      </c>
      <c r="CE263" s="497">
        <v>781.27689024073254</v>
      </c>
      <c r="CF263" s="497">
        <v>874.53710880992264</v>
      </c>
      <c r="CG263" s="497">
        <v>966.28181416976156</v>
      </c>
      <c r="CH263" s="497">
        <v>1056.5395539688946</v>
      </c>
      <c r="CI263" s="497">
        <v>1145.3525559600362</v>
      </c>
      <c r="CJ263" s="497">
        <v>1232.7738931058293</v>
      </c>
      <c r="CK263" s="497">
        <v>1318.8650656344169</v>
      </c>
      <c r="CL263" s="497">
        <v>1403.6939462638281</v>
      </c>
      <c r="CM263" s="497">
        <v>1487.3330412837502</v>
      </c>
      <c r="CN263" s="202"/>
      <c r="CO263" s="202" t="s">
        <v>759</v>
      </c>
      <c r="CP263" s="202"/>
      <c r="CQ263" s="202"/>
      <c r="CR263" s="202"/>
      <c r="CS263" s="494"/>
      <c r="CT263" s="494"/>
      <c r="CU263" s="494"/>
      <c r="CV263" s="494"/>
      <c r="CW263" s="494"/>
      <c r="CX263" s="494"/>
    </row>
    <row r="264" spans="1:102">
      <c r="A264" s="276" t="s">
        <v>758</v>
      </c>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c r="AI264" s="364"/>
      <c r="AJ264" s="364"/>
      <c r="AK264" s="364"/>
      <c r="AL264" s="364"/>
      <c r="AM264" s="364"/>
      <c r="AN264" s="364"/>
      <c r="AO264" s="364"/>
      <c r="AP264" s="364"/>
      <c r="AQ264" s="364"/>
      <c r="AR264" s="364"/>
      <c r="AS264" s="364"/>
      <c r="AT264" s="364"/>
      <c r="AU264" s="364"/>
      <c r="AV264" s="364"/>
      <c r="AW264" s="364"/>
      <c r="AX264" s="364"/>
      <c r="AY264" s="364"/>
      <c r="AZ264" s="364"/>
      <c r="BA264" s="364"/>
      <c r="BB264" s="364"/>
      <c r="BC264" s="364"/>
      <c r="BD264" s="364"/>
      <c r="BE264" s="364"/>
      <c r="BF264" s="364"/>
      <c r="BG264" s="364"/>
      <c r="BH264" s="364"/>
      <c r="BI264" s="364"/>
      <c r="BJ264" s="364"/>
      <c r="BK264" s="364"/>
      <c r="BL264" s="202"/>
      <c r="BM264" s="202"/>
      <c r="BN264" s="202"/>
      <c r="BO264" s="202"/>
      <c r="BP264" s="202"/>
      <c r="BQ264" s="202"/>
      <c r="BR264" s="202"/>
      <c r="BS264" s="202"/>
      <c r="BT264" s="202"/>
      <c r="BU264" s="202"/>
      <c r="BV264" s="202"/>
      <c r="BW264" s="202"/>
      <c r="BX264" s="202"/>
      <c r="BY264" s="195">
        <f>BY263-BT263</f>
        <v>93</v>
      </c>
      <c r="BZ264" s="195"/>
      <c r="CA264" s="195"/>
      <c r="CB264" s="195"/>
      <c r="CC264" s="195"/>
      <c r="CD264" s="195">
        <f>CD263-BY263</f>
        <v>91</v>
      </c>
      <c r="CE264" s="195">
        <f>CE263-CD263</f>
        <v>103.27689024073254</v>
      </c>
      <c r="CF264" s="195">
        <f t="shared" ref="CF264:CM264" si="873">CF263-CE263</f>
        <v>93.260218569190101</v>
      </c>
      <c r="CG264" s="195">
        <f t="shared" si="873"/>
        <v>91.744705359838918</v>
      </c>
      <c r="CH264" s="195">
        <f t="shared" si="873"/>
        <v>90.257739799132992</v>
      </c>
      <c r="CI264" s="195">
        <f t="shared" si="873"/>
        <v>88.813001991141618</v>
      </c>
      <c r="CJ264" s="195">
        <f t="shared" si="873"/>
        <v>87.421337145793132</v>
      </c>
      <c r="CK264" s="195">
        <f t="shared" si="873"/>
        <v>86.091172528587549</v>
      </c>
      <c r="CL264" s="195">
        <f t="shared" si="873"/>
        <v>84.828880629411287</v>
      </c>
      <c r="CM264" s="195">
        <f t="shared" si="873"/>
        <v>83.639095019922024</v>
      </c>
      <c r="CN264" s="195"/>
      <c r="CO264" s="195"/>
      <c r="CP264" s="195"/>
      <c r="CQ264" s="195"/>
      <c r="CR264" s="195"/>
      <c r="CS264" s="206"/>
      <c r="CT264" s="206"/>
      <c r="CU264" s="206"/>
      <c r="CV264" s="206"/>
      <c r="CW264" s="206"/>
      <c r="CX264" s="206"/>
    </row>
    <row r="265" spans="1:102">
      <c r="A265" s="276" t="s">
        <v>756</v>
      </c>
      <c r="B265" s="364"/>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c r="AE265" s="364"/>
      <c r="AF265" s="364"/>
      <c r="AG265" s="364"/>
      <c r="AH265" s="364"/>
      <c r="AI265" s="364"/>
      <c r="AJ265" s="364"/>
      <c r="AK265" s="364"/>
      <c r="AL265" s="364"/>
      <c r="AM265" s="364"/>
      <c r="AN265" s="364"/>
      <c r="AO265" s="364"/>
      <c r="AP265" s="364"/>
      <c r="AQ265" s="364"/>
      <c r="AR265" s="364"/>
      <c r="AS265" s="364"/>
      <c r="AT265" s="364"/>
      <c r="AU265" s="364"/>
      <c r="AV265" s="364"/>
      <c r="AW265" s="364"/>
      <c r="AX265" s="364"/>
      <c r="AY265" s="364"/>
      <c r="AZ265" s="364"/>
      <c r="BA265" s="364"/>
      <c r="BB265" s="364"/>
      <c r="BC265" s="364"/>
      <c r="BD265" s="364"/>
      <c r="BE265" s="364"/>
      <c r="BF265" s="364"/>
      <c r="BG265" s="364"/>
      <c r="BH265" s="364"/>
      <c r="BI265" s="364"/>
      <c r="BJ265" s="364"/>
      <c r="BK265" s="364"/>
      <c r="BL265" s="364"/>
      <c r="BM265" s="364"/>
      <c r="BN265" s="364"/>
      <c r="BO265" s="364"/>
      <c r="BP265" s="364"/>
      <c r="BQ265" s="364"/>
      <c r="BR265" s="364"/>
      <c r="BS265" s="364"/>
      <c r="BT265" s="195">
        <f>AVERAGE(BO263,BT263)</f>
        <v>439.66666666666663</v>
      </c>
      <c r="BU265" s="195">
        <f>AVERAGE(BT263,BU263)</f>
        <v>507</v>
      </c>
      <c r="BV265" s="195">
        <f t="shared" ref="BV265:CC265" si="874">AVERAGE(BU263,BV263)</f>
        <v>532.5</v>
      </c>
      <c r="BW265" s="195">
        <f t="shared" si="874"/>
        <v>554.5</v>
      </c>
      <c r="BX265" s="195">
        <f t="shared" si="874"/>
        <v>575.5</v>
      </c>
      <c r="BY265" s="195">
        <f>AVERAGE(BT263,BY263)</f>
        <v>540.5</v>
      </c>
      <c r="BZ265" s="195">
        <f t="shared" si="874"/>
        <v>599.5</v>
      </c>
      <c r="CA265" s="195">
        <f t="shared" si="874"/>
        <v>623</v>
      </c>
      <c r="CB265" s="195">
        <f t="shared" si="874"/>
        <v>646</v>
      </c>
      <c r="CC265" s="195">
        <f t="shared" si="874"/>
        <v>668</v>
      </c>
      <c r="CD265" s="195">
        <f>AVERAGE(BY263,CD263)</f>
        <v>632.5</v>
      </c>
      <c r="CE265" s="195">
        <f>AVERAGE(CD263:CE263)</f>
        <v>729.63844512036621</v>
      </c>
      <c r="CF265" s="195">
        <f t="shared" ref="CF265:CM265" si="875">AVERAGE(CE263:CF263)</f>
        <v>827.90699952532759</v>
      </c>
      <c r="CG265" s="195">
        <f t="shared" si="875"/>
        <v>920.4094614898421</v>
      </c>
      <c r="CH265" s="195">
        <f t="shared" si="875"/>
        <v>1011.410684069328</v>
      </c>
      <c r="CI265" s="195">
        <f t="shared" si="875"/>
        <v>1100.9460549644655</v>
      </c>
      <c r="CJ265" s="195">
        <f t="shared" si="875"/>
        <v>1189.0632245329327</v>
      </c>
      <c r="CK265" s="195">
        <f t="shared" si="875"/>
        <v>1275.8194793701232</v>
      </c>
      <c r="CL265" s="195">
        <f t="shared" si="875"/>
        <v>1361.2795059491225</v>
      </c>
      <c r="CM265" s="195">
        <f t="shared" si="875"/>
        <v>1445.5134937737892</v>
      </c>
      <c r="CN265" s="195"/>
      <c r="CO265" s="195"/>
      <c r="CP265" s="195"/>
      <c r="CQ265" s="195"/>
      <c r="CR265" s="195"/>
      <c r="CS265" s="206"/>
      <c r="CT265" s="206"/>
      <c r="CU265" s="206"/>
      <c r="CV265" s="206"/>
      <c r="CW265" s="206"/>
      <c r="CX265" s="206"/>
    </row>
    <row r="266" spans="1:102">
      <c r="A266" s="286"/>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c r="AF266" s="364"/>
      <c r="AG266" s="364"/>
      <c r="AH266" s="364"/>
      <c r="AI266" s="364"/>
      <c r="AJ266" s="364"/>
      <c r="AK266" s="364"/>
      <c r="AL266" s="364"/>
      <c r="AM266" s="364"/>
      <c r="AN266" s="364"/>
      <c r="AO266" s="364"/>
      <c r="AP266" s="364"/>
      <c r="AQ266" s="364"/>
      <c r="AR266" s="364"/>
      <c r="AS266" s="364"/>
      <c r="AT266" s="364"/>
      <c r="AU266" s="364"/>
      <c r="AV266" s="364"/>
      <c r="AW266" s="364"/>
      <c r="AX266" s="364"/>
      <c r="AY266" s="364"/>
      <c r="AZ266" s="364"/>
      <c r="BA266" s="364"/>
      <c r="BB266" s="364"/>
      <c r="BC266" s="364"/>
      <c r="BD266" s="364"/>
      <c r="BE266" s="364"/>
      <c r="BF266" s="364"/>
      <c r="BG266" s="364"/>
      <c r="BH266" s="364"/>
      <c r="BI266" s="364"/>
      <c r="BJ266" s="364"/>
      <c r="BK266" s="364"/>
      <c r="BL266" s="364"/>
      <c r="BM266" s="364"/>
      <c r="BN266" s="364"/>
      <c r="BO266" s="364"/>
      <c r="BP266" s="364"/>
      <c r="BQ266" s="364"/>
      <c r="BR266" s="364"/>
      <c r="BS266" s="364"/>
      <c r="BT266" s="364"/>
      <c r="BU266" s="332"/>
      <c r="BV266" s="332"/>
      <c r="BW266" s="332"/>
      <c r="BX266" s="332"/>
      <c r="BY266" s="364"/>
      <c r="BZ266" s="332"/>
      <c r="CA266" s="332"/>
      <c r="CB266" s="332"/>
      <c r="CC266" s="332"/>
      <c r="CD266" s="364"/>
      <c r="CE266" s="364"/>
      <c r="CF266" s="364"/>
      <c r="CG266" s="364"/>
      <c r="CH266" s="364"/>
      <c r="CI266" s="364"/>
      <c r="CJ266" s="364"/>
      <c r="CK266" s="364"/>
      <c r="CL266" s="364"/>
      <c r="CM266" s="364"/>
      <c r="CN266" s="195"/>
      <c r="CO266" s="195"/>
      <c r="CP266" s="195"/>
      <c r="CQ266" s="195"/>
      <c r="CR266" s="195"/>
      <c r="CS266" s="206"/>
      <c r="CT266" s="206"/>
      <c r="CU266" s="206"/>
      <c r="CV266" s="206"/>
      <c r="CW266" s="206"/>
      <c r="CX266" s="206"/>
    </row>
    <row r="267" spans="1:102">
      <c r="A267" s="286" t="s">
        <v>757</v>
      </c>
      <c r="B267" s="364"/>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c r="AE267" s="364"/>
      <c r="AF267" s="364"/>
      <c r="AG267" s="364"/>
      <c r="AH267" s="364"/>
      <c r="AI267" s="364"/>
      <c r="AJ267" s="364"/>
      <c r="AK267" s="364"/>
      <c r="AL267" s="364"/>
      <c r="AM267" s="364"/>
      <c r="AN267" s="364"/>
      <c r="AO267" s="364"/>
      <c r="AP267" s="364"/>
      <c r="AQ267" s="364"/>
      <c r="AR267" s="364"/>
      <c r="AS267" s="364"/>
      <c r="AT267" s="364"/>
      <c r="AU267" s="364"/>
      <c r="AV267" s="364"/>
      <c r="AW267" s="364"/>
      <c r="AX267" s="364"/>
      <c r="AY267" s="364"/>
      <c r="AZ267" s="364"/>
      <c r="BA267" s="364"/>
      <c r="BB267" s="364"/>
      <c r="BC267" s="364"/>
      <c r="BD267" s="364"/>
      <c r="BE267" s="364"/>
      <c r="BF267" s="364"/>
      <c r="BG267" s="364"/>
      <c r="BH267" s="364"/>
      <c r="BI267" s="364"/>
      <c r="BJ267" s="364"/>
      <c r="BK267" s="364"/>
      <c r="BL267" s="364"/>
      <c r="BM267" s="364"/>
      <c r="BN267" s="364"/>
      <c r="BO267" s="364"/>
      <c r="BP267" s="364"/>
      <c r="BQ267" s="364"/>
      <c r="BR267" s="364"/>
      <c r="BS267" s="364"/>
      <c r="BT267" s="364"/>
      <c r="BU267" s="332">
        <f>BU258*BU265*3/1000</f>
        <v>163.96379999999999</v>
      </c>
      <c r="BV267" s="332">
        <f t="shared" ref="BV267:BW267" si="876">BV258*BV265*3/1000</f>
        <v>173.00925000000001</v>
      </c>
      <c r="BW267" s="332">
        <f t="shared" si="876"/>
        <v>179.65799999999999</v>
      </c>
      <c r="BX267" s="332">
        <f>BX258*BX265*3/1000</f>
        <v>187.32525000000001</v>
      </c>
      <c r="BY267" s="195">
        <f>SUM(BU267:BX267)</f>
        <v>703.95629999999994</v>
      </c>
      <c r="BZ267" s="332">
        <f>BZ258*BZ265*3/1000</f>
        <v>192.61934999999997</v>
      </c>
      <c r="CA267" s="332">
        <f>CA258*CA265*3/1000</f>
        <v>200.73059999999998</v>
      </c>
      <c r="CB267" s="332">
        <f>CB258*CB265*3/1000</f>
        <v>211.04820000000001</v>
      </c>
      <c r="CC267" s="332">
        <f>CC258*CC265*3/1000</f>
        <v>217.03319999999999</v>
      </c>
      <c r="CD267" s="195">
        <f>SUM(BZ267:CC267)</f>
        <v>821.43134999999995</v>
      </c>
      <c r="CE267" s="195">
        <f>CE258*CE265*12/1000</f>
        <v>923.91261198632799</v>
      </c>
      <c r="CF267" s="195">
        <f t="shared" ref="CF267:CM267" si="877">CF258*CF265*12/1000</f>
        <v>1043.104505952381</v>
      </c>
      <c r="CG267" s="195">
        <f t="shared" si="877"/>
        <v>1159.6510926368701</v>
      </c>
      <c r="CH267" s="195">
        <f t="shared" si="877"/>
        <v>1280.677754552871</v>
      </c>
      <c r="CI267" s="195">
        <f t="shared" si="877"/>
        <v>1401.0203070648818</v>
      </c>
      <c r="CJ267" s="195">
        <f t="shared" si="877"/>
        <v>1520.7204976346452</v>
      </c>
      <c r="CK267" s="195">
        <f t="shared" si="877"/>
        <v>1639.8334567057341</v>
      </c>
      <c r="CL267" s="195">
        <f t="shared" si="877"/>
        <v>1758.4251318060537</v>
      </c>
      <c r="CM267" s="195">
        <f t="shared" si="877"/>
        <v>1876.570080524787</v>
      </c>
      <c r="CN267" s="195"/>
      <c r="CO267" s="195"/>
      <c r="CP267" s="195"/>
      <c r="CQ267" s="195"/>
      <c r="CR267" s="195"/>
      <c r="CS267" s="206"/>
      <c r="CT267" s="206"/>
      <c r="CU267" s="206"/>
      <c r="CV267" s="206"/>
      <c r="CW267" s="206"/>
      <c r="CX267" s="206"/>
    </row>
    <row r="268" spans="1:102">
      <c r="A268" s="276" t="s">
        <v>0</v>
      </c>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43"/>
      <c r="AZ268" s="243"/>
      <c r="BA268" s="243"/>
      <c r="BB268" s="243"/>
      <c r="BC268" s="243"/>
      <c r="BD268" s="243"/>
      <c r="BE268" s="243"/>
      <c r="BF268" s="243"/>
      <c r="BG268" s="243"/>
      <c r="BH268" s="243"/>
      <c r="BI268" s="243"/>
      <c r="BJ268" s="243"/>
      <c r="BK268" s="243"/>
      <c r="BL268" s="243"/>
      <c r="BM268" s="243"/>
      <c r="BN268" s="243"/>
      <c r="BO268" s="243"/>
      <c r="BP268" s="243"/>
      <c r="BQ268" s="243"/>
      <c r="BR268" s="243"/>
      <c r="BS268" s="243"/>
      <c r="BT268" s="243"/>
      <c r="BU268" s="222"/>
      <c r="BV268" s="222"/>
      <c r="BW268" s="222"/>
      <c r="BX268" s="222"/>
      <c r="BY268" s="243"/>
      <c r="BZ268" s="222">
        <f>IFERROR(BZ267/BU267-1,"")</f>
        <v>0.17476754015215534</v>
      </c>
      <c r="CA268" s="222">
        <f t="shared" ref="CA268:CD268" si="878">IFERROR(CA267/BV267-1,"")</f>
        <v>0.16023045010599124</v>
      </c>
      <c r="CB268" s="222">
        <f t="shared" si="878"/>
        <v>0.17472197174631821</v>
      </c>
      <c r="CC268" s="222">
        <f t="shared" si="878"/>
        <v>0.15859020607205898</v>
      </c>
      <c r="CD268" s="222">
        <f t="shared" si="878"/>
        <v>0.16687832753254717</v>
      </c>
      <c r="CE268" s="243">
        <f t="shared" ref="CE268" si="879">CE267/CD267-1</f>
        <v>0.12475937518859981</v>
      </c>
      <c r="CF268" s="243">
        <f t="shared" ref="CF268" si="880">CF267/CE267-1</f>
        <v>0.12900775724860103</v>
      </c>
      <c r="CG268" s="243">
        <f t="shared" ref="CG268" si="881">CG267/CF267-1</f>
        <v>0.11173049873663343</v>
      </c>
      <c r="CH268" s="243">
        <f t="shared" ref="CH268" si="882">CH267/CG267-1</f>
        <v>0.10436472028910404</v>
      </c>
      <c r="CI268" s="243">
        <f t="shared" ref="CI268" si="883">CI267/CH267-1</f>
        <v>9.3967863566136955E-2</v>
      </c>
      <c r="CJ268" s="243">
        <f t="shared" ref="CJ268" si="884">CJ267/CI267-1</f>
        <v>8.543786979114798E-2</v>
      </c>
      <c r="CK268" s="243">
        <f t="shared" ref="CK268" si="885">CK267/CJ267-1</f>
        <v>7.8326661116463692E-2</v>
      </c>
      <c r="CL268" s="243">
        <f t="shared" ref="CL268" si="886">CL267/CK267-1</f>
        <v>7.2319341098552092E-2</v>
      </c>
      <c r="CM268" s="243">
        <f t="shared" ref="CM268" si="887">CM267/CL267-1</f>
        <v>6.7187932304736853E-2</v>
      </c>
      <c r="CN268" s="195"/>
      <c r="CO268" s="195"/>
      <c r="CP268" s="195"/>
      <c r="CQ268" s="195"/>
      <c r="CR268" s="195"/>
      <c r="CS268" s="206"/>
      <c r="CT268" s="206"/>
      <c r="CU268" s="206"/>
      <c r="CV268" s="206"/>
      <c r="CW268" s="206"/>
      <c r="CX268" s="206"/>
    </row>
    <row r="269" spans="1:102">
      <c r="A269" s="286"/>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43"/>
      <c r="AZ269" s="243"/>
      <c r="BA269" s="243"/>
      <c r="BB269" s="243"/>
      <c r="BC269" s="243"/>
      <c r="BD269" s="243"/>
      <c r="BE269" s="243"/>
      <c r="BF269" s="243"/>
      <c r="BG269" s="243"/>
      <c r="BH269" s="243"/>
      <c r="BI269" s="243"/>
      <c r="BJ269" s="243"/>
      <c r="BK269" s="243"/>
      <c r="BL269" s="243"/>
      <c r="BM269" s="243"/>
      <c r="BN269" s="243"/>
      <c r="BO269" s="243"/>
      <c r="BP269" s="243"/>
      <c r="BQ269" s="243"/>
      <c r="BR269" s="243"/>
      <c r="BS269" s="243"/>
      <c r="BT269" s="243"/>
      <c r="BU269" s="222"/>
      <c r="BV269" s="222"/>
      <c r="BW269" s="222"/>
      <c r="BX269" s="222"/>
      <c r="BY269" s="243"/>
      <c r="BZ269" s="222"/>
      <c r="CA269" s="222"/>
      <c r="CB269" s="222"/>
      <c r="CC269" s="222"/>
      <c r="CD269" s="243"/>
      <c r="CE269" s="243"/>
      <c r="CF269" s="243"/>
      <c r="CG269" s="243"/>
      <c r="CH269" s="243"/>
      <c r="CI269" s="243"/>
      <c r="CJ269" s="243"/>
      <c r="CK269" s="243"/>
      <c r="CL269" s="243"/>
      <c r="CM269" s="243"/>
      <c r="CN269" s="195"/>
      <c r="CO269" s="195"/>
      <c r="CP269" s="195"/>
      <c r="CQ269" s="195"/>
      <c r="CR269" s="195"/>
      <c r="CS269" s="206"/>
      <c r="CT269" s="206"/>
      <c r="CU269" s="206"/>
      <c r="CV269" s="206"/>
      <c r="CW269" s="206"/>
      <c r="CX269" s="206"/>
    </row>
    <row r="270" spans="1:102" s="195" customFormat="1">
      <c r="A270" s="276" t="s">
        <v>719</v>
      </c>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43"/>
      <c r="AZ270" s="243"/>
      <c r="BA270" s="243"/>
      <c r="BB270" s="243"/>
      <c r="BC270" s="243"/>
      <c r="BD270" s="243"/>
      <c r="BE270" s="243"/>
      <c r="BF270" s="243"/>
      <c r="BG270" s="243"/>
      <c r="BH270" s="243"/>
      <c r="BI270" s="243"/>
      <c r="BJ270" s="243"/>
      <c r="BK270" s="243"/>
      <c r="BL270" s="243"/>
      <c r="BM270" s="243"/>
      <c r="BN270" s="243"/>
      <c r="BO270" s="243"/>
      <c r="BP270" s="243"/>
      <c r="BQ270" s="243"/>
      <c r="BR270" s="243"/>
      <c r="BS270" s="243"/>
      <c r="BT270" s="243"/>
      <c r="BU270" s="465">
        <f>BU271-BU267</f>
        <v>-0.963799999999992</v>
      </c>
      <c r="BV270" s="465">
        <f t="shared" ref="BV270:BZ270" si="888">BV271-BV267</f>
        <v>-9.2500000000086402E-3</v>
      </c>
      <c r="BW270" s="465">
        <f t="shared" si="888"/>
        <v>0.34200000000001296</v>
      </c>
      <c r="BX270" s="465">
        <f t="shared" si="888"/>
        <v>-0.32525000000001114</v>
      </c>
      <c r="BY270" s="465">
        <f t="shared" si="888"/>
        <v>-0.95629999999994197</v>
      </c>
      <c r="BZ270" s="465">
        <f t="shared" si="888"/>
        <v>-0.61934999999996876</v>
      </c>
      <c r="CA270" s="465">
        <f t="shared" ref="CA270:CB270" si="889">CA271-CA267</f>
        <v>0.26940000000001874</v>
      </c>
      <c r="CB270" s="465">
        <f t="shared" si="889"/>
        <v>-10.048200000000008</v>
      </c>
      <c r="CC270" s="465">
        <f t="shared" ref="CC270:CD270" si="890">CC271-CC267</f>
        <v>-2.0331999999999937</v>
      </c>
      <c r="CD270" s="465">
        <f t="shared" si="890"/>
        <v>-12.431349999999952</v>
      </c>
      <c r="CE270" s="376">
        <f>CD270/CD267*CE267</f>
        <v>-13.982277458750747</v>
      </c>
      <c r="CF270" s="376">
        <f t="shared" ref="CF270:CM270" si="891">CE270/CE267*CF267</f>
        <v>-15.786099714931847</v>
      </c>
      <c r="CG270" s="376">
        <f t="shared" si="891"/>
        <v>-17.549888509187408</v>
      </c>
      <c r="CH270" s="376">
        <f t="shared" si="891"/>
        <v>-19.381477714553714</v>
      </c>
      <c r="CI270" s="376">
        <f t="shared" si="891"/>
        <v>-21.202713768145021</v>
      </c>
      <c r="CJ270" s="376">
        <f t="shared" si="891"/>
        <v>-23.014228466286774</v>
      </c>
      <c r="CK270" s="376">
        <f t="shared" si="891"/>
        <v>-24.816856140222487</v>
      </c>
      <c r="CL270" s="376">
        <f t="shared" si="891"/>
        <v>-26.611594824420933</v>
      </c>
      <c r="CM270" s="376">
        <f t="shared" si="891"/>
        <v>-28.399572856005218</v>
      </c>
    </row>
    <row r="271" spans="1:102" s="202" customFormat="1">
      <c r="A271" s="349" t="s">
        <v>760</v>
      </c>
      <c r="B271" s="357"/>
      <c r="C271" s="357"/>
      <c r="D271" s="357"/>
      <c r="E271" s="357"/>
      <c r="F271" s="357"/>
      <c r="G271" s="357"/>
      <c r="H271" s="357"/>
      <c r="I271" s="357"/>
      <c r="J271" s="357"/>
      <c r="K271" s="357"/>
      <c r="L271" s="357"/>
      <c r="M271" s="357"/>
      <c r="N271" s="357"/>
      <c r="O271" s="357"/>
      <c r="P271" s="357"/>
      <c r="Q271" s="357"/>
      <c r="R271" s="357"/>
      <c r="S271" s="357"/>
      <c r="T271" s="357"/>
      <c r="U271" s="357"/>
      <c r="V271" s="357"/>
      <c r="W271" s="357"/>
      <c r="X271" s="357"/>
      <c r="Y271" s="357"/>
      <c r="Z271" s="357"/>
      <c r="AA271" s="357"/>
      <c r="AB271" s="357"/>
      <c r="AC271" s="357"/>
      <c r="AD271" s="357"/>
      <c r="AE271" s="357"/>
      <c r="AF271" s="357"/>
      <c r="AG271" s="357"/>
      <c r="AH271" s="357"/>
      <c r="AI271" s="357"/>
      <c r="AJ271" s="357"/>
      <c r="AK271" s="357"/>
      <c r="AL271" s="357"/>
      <c r="AM271" s="357"/>
      <c r="AN271" s="357"/>
      <c r="AO271" s="357"/>
      <c r="AP271" s="357"/>
      <c r="AQ271" s="357"/>
      <c r="AR271" s="357"/>
      <c r="AS271" s="357"/>
      <c r="AT271" s="357"/>
      <c r="AU271" s="357"/>
      <c r="AV271" s="357"/>
      <c r="AW271" s="357"/>
      <c r="AX271" s="357"/>
      <c r="AY271" s="357"/>
      <c r="AZ271" s="357"/>
      <c r="BA271" s="357"/>
      <c r="BB271" s="357"/>
      <c r="BC271" s="357"/>
      <c r="BD271" s="357"/>
      <c r="BE271" s="357"/>
      <c r="BF271" s="357"/>
      <c r="BG271" s="357"/>
      <c r="BH271" s="357"/>
      <c r="BI271" s="357"/>
      <c r="BJ271" s="357"/>
      <c r="BK271" s="357"/>
      <c r="BL271" s="357"/>
      <c r="BM271" s="357"/>
      <c r="BN271" s="357"/>
      <c r="BO271" s="498"/>
      <c r="BP271" s="357"/>
      <c r="BQ271" s="357"/>
      <c r="BR271" s="357"/>
      <c r="BS271" s="357"/>
      <c r="BT271" s="357"/>
      <c r="BU271" s="498">
        <f>BU406</f>
        <v>163</v>
      </c>
      <c r="BV271" s="498">
        <f t="shared" ref="BV271:BX271" si="892">BV406</f>
        <v>173</v>
      </c>
      <c r="BW271" s="498">
        <f t="shared" si="892"/>
        <v>180</v>
      </c>
      <c r="BX271" s="498">
        <f t="shared" si="892"/>
        <v>187</v>
      </c>
      <c r="BY271" s="498">
        <f>BY406</f>
        <v>703</v>
      </c>
      <c r="BZ271" s="498">
        <f t="shared" ref="BZ271:CA271" si="893">BZ406</f>
        <v>192</v>
      </c>
      <c r="CA271" s="498">
        <f t="shared" si="893"/>
        <v>201</v>
      </c>
      <c r="CB271" s="498">
        <f t="shared" ref="CB271:CC271" si="894">CB406</f>
        <v>201</v>
      </c>
      <c r="CC271" s="498">
        <f t="shared" si="894"/>
        <v>215</v>
      </c>
      <c r="CD271" s="498">
        <f>CD406</f>
        <v>809</v>
      </c>
      <c r="CE271" s="397">
        <f>CE267+CE270</f>
        <v>909.9303345275772</v>
      </c>
      <c r="CF271" s="397">
        <f>CF267+CF270</f>
        <v>1027.3184062374492</v>
      </c>
      <c r="CG271" s="397">
        <f t="shared" ref="CG271:CM271" si="895">CG267+CG270</f>
        <v>1142.1012041276826</v>
      </c>
      <c r="CH271" s="397">
        <f t="shared" si="895"/>
        <v>1261.2962768383172</v>
      </c>
      <c r="CI271" s="397">
        <f t="shared" si="895"/>
        <v>1379.8175932967367</v>
      </c>
      <c r="CJ271" s="397">
        <f t="shared" si="895"/>
        <v>1497.7062691683584</v>
      </c>
      <c r="CK271" s="397">
        <f t="shared" si="895"/>
        <v>1615.0166005655117</v>
      </c>
      <c r="CL271" s="397">
        <f t="shared" si="895"/>
        <v>1731.8135369816328</v>
      </c>
      <c r="CM271" s="397">
        <f t="shared" si="895"/>
        <v>1848.1705076687817</v>
      </c>
    </row>
    <row r="272" spans="1:102">
      <c r="A272" s="286"/>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43"/>
      <c r="AZ272" s="243"/>
      <c r="BA272" s="243"/>
      <c r="BB272" s="243"/>
      <c r="BC272" s="243"/>
      <c r="BD272" s="243"/>
      <c r="BE272" s="243"/>
      <c r="BF272" s="243"/>
      <c r="BG272" s="243"/>
      <c r="BH272" s="243"/>
      <c r="BI272" s="243"/>
      <c r="BJ272" s="243"/>
      <c r="BK272" s="243"/>
      <c r="BL272" s="243"/>
      <c r="BM272" s="243"/>
      <c r="BN272" s="243"/>
      <c r="BO272" s="243"/>
      <c r="BP272" s="243"/>
      <c r="BQ272" s="243"/>
      <c r="BR272" s="243"/>
      <c r="BS272" s="243"/>
      <c r="BT272" s="243"/>
      <c r="BU272" s="222"/>
      <c r="BV272" s="222"/>
      <c r="BW272" s="222"/>
      <c r="BX272" s="222"/>
      <c r="BY272" s="243"/>
      <c r="BZ272" s="222"/>
      <c r="CA272" s="222"/>
      <c r="CB272" s="222"/>
      <c r="CC272" s="222"/>
      <c r="CD272" s="243">
        <f>CD271/BY271-1</f>
        <v>0.15078236130867717</v>
      </c>
      <c r="CE272" s="243">
        <f>CE271/CD271-1</f>
        <v>0.12475937518859981</v>
      </c>
      <c r="CF272" s="243">
        <f t="shared" ref="CF272:CM272" si="896">CF271/CE271-1</f>
        <v>0.12900775724860103</v>
      </c>
      <c r="CG272" s="243">
        <f t="shared" si="896"/>
        <v>0.11173049873663343</v>
      </c>
      <c r="CH272" s="243">
        <f t="shared" si="896"/>
        <v>0.10436472028910404</v>
      </c>
      <c r="CI272" s="243">
        <f t="shared" si="896"/>
        <v>9.3967863566136955E-2</v>
      </c>
      <c r="CJ272" s="243">
        <f t="shared" si="896"/>
        <v>8.543786979114798E-2</v>
      </c>
      <c r="CK272" s="243">
        <f t="shared" si="896"/>
        <v>7.8326661116463692E-2</v>
      </c>
      <c r="CL272" s="243">
        <f t="shared" si="896"/>
        <v>7.231934109855187E-2</v>
      </c>
      <c r="CM272" s="243">
        <f t="shared" si="896"/>
        <v>6.7187932304736853E-2</v>
      </c>
      <c r="CN272" s="195"/>
      <c r="CO272" s="195"/>
      <c r="CP272" s="195"/>
      <c r="CQ272" s="195"/>
      <c r="CR272" s="195"/>
      <c r="CS272" s="206"/>
      <c r="CT272" s="206"/>
      <c r="CU272" s="206"/>
      <c r="CV272" s="206"/>
      <c r="CW272" s="206"/>
      <c r="CX272" s="206"/>
    </row>
    <row r="273" spans="1:135">
      <c r="A273" s="286"/>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43"/>
      <c r="AV273" s="243"/>
      <c r="AW273" s="243"/>
      <c r="AX273" s="243"/>
      <c r="AY273" s="243"/>
      <c r="AZ273" s="243"/>
      <c r="BA273" s="243"/>
      <c r="BB273" s="243"/>
      <c r="BC273" s="243"/>
      <c r="BD273" s="243"/>
      <c r="BE273" s="243"/>
      <c r="BF273" s="243"/>
      <c r="BG273" s="243"/>
      <c r="BH273" s="243"/>
      <c r="BI273" s="243"/>
      <c r="BJ273" s="243"/>
      <c r="BK273" s="243"/>
      <c r="BL273" s="243"/>
      <c r="BM273" s="243"/>
      <c r="BN273" s="243"/>
      <c r="BO273" s="243"/>
      <c r="BP273" s="243"/>
      <c r="BQ273" s="243"/>
      <c r="BR273" s="243"/>
      <c r="BS273" s="243"/>
      <c r="BT273" s="243"/>
      <c r="BU273" s="222"/>
      <c r="BV273" s="222"/>
      <c r="BW273" s="222"/>
      <c r="BX273" s="222"/>
      <c r="BY273" s="243"/>
      <c r="BZ273" s="222"/>
      <c r="CA273" s="222"/>
      <c r="CB273" s="222"/>
      <c r="CC273" s="222"/>
      <c r="CD273" s="243"/>
      <c r="CE273" s="243"/>
      <c r="CF273" s="243"/>
      <c r="CG273" s="243"/>
      <c r="CH273" s="243"/>
      <c r="CI273" s="243"/>
      <c r="CJ273" s="243"/>
      <c r="CK273" s="243"/>
      <c r="CL273" s="243"/>
      <c r="CM273" s="243"/>
      <c r="CN273" s="195"/>
      <c r="CO273" s="195"/>
      <c r="CP273" s="195"/>
      <c r="CQ273" s="195"/>
      <c r="CR273" s="195"/>
      <c r="CS273" s="206"/>
      <c r="CT273" s="206"/>
      <c r="CU273" s="206"/>
      <c r="CV273" s="206"/>
      <c r="CW273" s="206"/>
      <c r="CX273" s="206"/>
    </row>
    <row r="274" spans="1:135">
      <c r="A274" s="343" t="s">
        <v>652</v>
      </c>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43"/>
      <c r="AZ274" s="243"/>
      <c r="BA274" s="243"/>
      <c r="BB274" s="243"/>
      <c r="BC274" s="243"/>
      <c r="BD274" s="243"/>
      <c r="BE274" s="243"/>
      <c r="BF274" s="243"/>
      <c r="BG274" s="243"/>
      <c r="BH274" s="243"/>
      <c r="BI274" s="243"/>
      <c r="BJ274" s="243"/>
      <c r="BK274" s="243"/>
      <c r="BL274" s="243"/>
      <c r="BM274" s="243"/>
      <c r="BN274" s="243"/>
      <c r="BO274" s="243"/>
      <c r="BP274" s="243"/>
      <c r="BQ274" s="243"/>
      <c r="BR274" s="243"/>
      <c r="BS274" s="243"/>
      <c r="BT274" s="243"/>
      <c r="BU274" s="222"/>
      <c r="BV274" s="222"/>
      <c r="BW274" s="222"/>
      <c r="BX274" s="222"/>
      <c r="BY274" s="202">
        <f t="shared" ref="BY274:CD274" si="897">BY413</f>
        <v>1525</v>
      </c>
      <c r="BZ274" s="202">
        <f t="shared" si="897"/>
        <v>365</v>
      </c>
      <c r="CA274" s="202">
        <f t="shared" si="897"/>
        <v>362</v>
      </c>
      <c r="CB274" s="202">
        <f t="shared" si="897"/>
        <v>380</v>
      </c>
      <c r="CC274" s="202">
        <f t="shared" si="897"/>
        <v>401</v>
      </c>
      <c r="CD274" s="202">
        <f t="shared" si="897"/>
        <v>1508</v>
      </c>
      <c r="CE274" s="359">
        <f t="shared" ref="CE274" si="898">CD274*(1+CE275)</f>
        <v>1583.4</v>
      </c>
      <c r="CF274" s="359">
        <f t="shared" ref="CF274" si="899">CE274*(1+CF275)</f>
        <v>1662.5700000000002</v>
      </c>
      <c r="CG274" s="359">
        <f t="shared" ref="CG274" si="900">CF274*(1+CG275)</f>
        <v>1745.6985000000002</v>
      </c>
      <c r="CH274" s="359">
        <f t="shared" ref="CH274" si="901">CG274*(1+CH275)</f>
        <v>1832.9834250000004</v>
      </c>
      <c r="CI274" s="359">
        <f t="shared" ref="CI274" si="902">CH274*(1+CI275)</f>
        <v>1924.6325962500005</v>
      </c>
      <c r="CJ274" s="359">
        <f t="shared" ref="CJ274" si="903">CI274*(1+CJ275)</f>
        <v>2020.8642260625006</v>
      </c>
      <c r="CK274" s="359">
        <f t="shared" ref="CK274" si="904">CJ274*(1+CK275)</f>
        <v>2121.9074373656258</v>
      </c>
      <c r="CL274" s="359">
        <f t="shared" ref="CL274" si="905">CK274*(1+CL275)</f>
        <v>2228.0028092339071</v>
      </c>
      <c r="CM274" s="359">
        <f t="shared" ref="CM274" si="906">CL274*(1+CM275)</f>
        <v>2339.4029496956027</v>
      </c>
      <c r="CN274" s="195"/>
      <c r="CO274" s="195"/>
      <c r="CP274" s="195"/>
      <c r="CQ274" s="195"/>
      <c r="CR274" s="195"/>
      <c r="CS274" s="206"/>
      <c r="CT274" s="206"/>
      <c r="CU274" s="206"/>
      <c r="CV274" s="206"/>
      <c r="CW274" s="206"/>
      <c r="CX274" s="206"/>
    </row>
    <row r="275" spans="1:135">
      <c r="A275" s="511" t="s">
        <v>781</v>
      </c>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43"/>
      <c r="AZ275" s="243"/>
      <c r="BA275" s="243"/>
      <c r="BB275" s="243"/>
      <c r="BC275" s="243"/>
      <c r="BD275" s="243"/>
      <c r="BE275" s="243"/>
      <c r="BF275" s="243"/>
      <c r="BG275" s="243"/>
      <c r="BH275" s="243"/>
      <c r="BI275" s="243"/>
      <c r="BJ275" s="243"/>
      <c r="BK275" s="243"/>
      <c r="BL275" s="243"/>
      <c r="BM275" s="243"/>
      <c r="BN275" s="243"/>
      <c r="BO275" s="243"/>
      <c r="BP275" s="243"/>
      <c r="BQ275" s="243"/>
      <c r="BR275" s="243"/>
      <c r="BS275" s="243"/>
      <c r="BT275" s="243"/>
      <c r="BU275" s="222"/>
      <c r="BV275" s="222"/>
      <c r="BW275" s="222"/>
      <c r="BX275" s="222"/>
      <c r="BY275" s="243"/>
      <c r="BZ275" s="222"/>
      <c r="CA275" s="222"/>
      <c r="CB275" s="222"/>
      <c r="CC275" s="222"/>
      <c r="CD275" s="222">
        <f>CD274/BY274-1</f>
        <v>-1.1147540983606596E-2</v>
      </c>
      <c r="CE275" s="375">
        <v>0.05</v>
      </c>
      <c r="CF275" s="375">
        <v>0.05</v>
      </c>
      <c r="CG275" s="375">
        <v>0.05</v>
      </c>
      <c r="CH275" s="375">
        <v>0.05</v>
      </c>
      <c r="CI275" s="375">
        <v>0.05</v>
      </c>
      <c r="CJ275" s="375">
        <v>0.05</v>
      </c>
      <c r="CK275" s="375">
        <v>0.05</v>
      </c>
      <c r="CL275" s="375">
        <v>0.05</v>
      </c>
      <c r="CM275" s="375">
        <v>0.05</v>
      </c>
      <c r="CN275" s="195"/>
      <c r="CO275" s="195"/>
      <c r="CP275" s="195"/>
      <c r="CQ275" s="195"/>
      <c r="CR275" s="195"/>
      <c r="CS275" s="206"/>
      <c r="CT275" s="206"/>
      <c r="CU275" s="206"/>
      <c r="CV275" s="206"/>
      <c r="CW275" s="206"/>
      <c r="CX275" s="206"/>
    </row>
    <row r="276" spans="1:135">
      <c r="A276" s="200" t="s">
        <v>780</v>
      </c>
      <c r="B276" s="260"/>
      <c r="C276" s="260"/>
      <c r="D276" s="260"/>
      <c r="E276" s="260"/>
      <c r="F276" s="260"/>
      <c r="G276" s="260"/>
      <c r="H276" s="260"/>
      <c r="I276" s="260"/>
      <c r="J276" s="260"/>
      <c r="K276" s="260"/>
      <c r="L276" s="260"/>
      <c r="M276" s="260"/>
      <c r="N276" s="260"/>
      <c r="O276" s="260"/>
      <c r="P276" s="260"/>
      <c r="Q276" s="260"/>
      <c r="R276" s="260"/>
      <c r="S276" s="260"/>
      <c r="T276" s="260"/>
      <c r="U276" s="260"/>
      <c r="V276" s="260"/>
      <c r="W276" s="260"/>
      <c r="X276" s="260"/>
      <c r="Y276" s="260"/>
      <c r="Z276" s="260"/>
      <c r="AA276" s="260"/>
      <c r="AB276" s="260"/>
      <c r="AC276" s="260"/>
      <c r="AD276" s="260"/>
      <c r="AE276" s="260"/>
      <c r="AF276" s="260"/>
      <c r="AG276" s="260"/>
      <c r="AH276" s="260"/>
      <c r="AI276" s="260"/>
      <c r="AJ276" s="260"/>
      <c r="AK276" s="260"/>
      <c r="AL276" s="260"/>
      <c r="AM276" s="260"/>
      <c r="AN276" s="260"/>
      <c r="AO276" s="260"/>
      <c r="AP276" s="260"/>
      <c r="AQ276" s="260"/>
      <c r="AR276" s="260"/>
      <c r="AS276" s="260"/>
      <c r="AT276" s="260"/>
      <c r="AU276" s="260"/>
      <c r="AV276" s="260"/>
      <c r="AW276" s="260"/>
      <c r="AX276" s="260"/>
      <c r="AY276" s="260"/>
      <c r="AZ276" s="260"/>
      <c r="BA276" s="260"/>
      <c r="BB276" s="260"/>
      <c r="BC276" s="260"/>
      <c r="BD276" s="260"/>
      <c r="BE276" s="260"/>
      <c r="BF276" s="260"/>
      <c r="BG276" s="260"/>
      <c r="BH276" s="260"/>
      <c r="BI276" s="260"/>
      <c r="BJ276" s="260"/>
      <c r="BK276" s="260"/>
      <c r="BL276" s="260"/>
      <c r="BM276" s="260"/>
      <c r="BN276" s="260"/>
      <c r="BO276" s="344">
        <f>'[3]Enterprise model'!E$52</f>
        <v>1200</v>
      </c>
      <c r="BP276" s="344"/>
      <c r="BQ276" s="344"/>
      <c r="BR276" s="344"/>
      <c r="BS276" s="344"/>
      <c r="BT276" s="344">
        <f>'[3]Enterprise model'!F$52</f>
        <v>1400.5190859077447</v>
      </c>
      <c r="BU276" s="345"/>
      <c r="BV276" s="345"/>
      <c r="BW276" s="345"/>
      <c r="BX276" s="345"/>
      <c r="BY276" s="344">
        <f>'[3]Enterprise model'!G$52</f>
        <v>1606.816249840974</v>
      </c>
      <c r="BZ276" s="345"/>
      <c r="CA276" s="345"/>
      <c r="CB276" s="345"/>
      <c r="CC276" s="345"/>
      <c r="CD276" s="344">
        <f>'[3]Enterprise model'!H$52</f>
        <v>1845.7481232307298</v>
      </c>
      <c r="CE276" s="344">
        <f>'[3]Enterprise model'!I$52</f>
        <v>2082.050444412539</v>
      </c>
      <c r="CF276" s="344">
        <f>'[3]Enterprise model'!J$52</f>
        <v>2315.5745271047108</v>
      </c>
      <c r="CG276" s="344">
        <f>'[3]Enterprise model'!K$52</f>
        <v>2546.18199208947</v>
      </c>
      <c r="CH276" s="344">
        <f>'[3]Enterprise model'!L$52</f>
        <v>2724.9281054742096</v>
      </c>
      <c r="CI276" s="344">
        <f>'[3]Enterprise model'!M$52</f>
        <v>2829.4377414071914</v>
      </c>
      <c r="CJ276" s="344">
        <f>'[3]Enterprise model'!N$52</f>
        <v>2908.5251707789303</v>
      </c>
      <c r="CK276" s="344">
        <f>'[3]Enterprise model'!O$52</f>
        <v>2985.9708092393239</v>
      </c>
      <c r="CL276" s="344">
        <f>'[3]Enterprise model'!P$52</f>
        <v>3061.7531989836862</v>
      </c>
      <c r="CM276" s="344">
        <f>'[3]Enterprise model'!Q$52</f>
        <v>3135.8535570843719</v>
      </c>
      <c r="CN276" s="195"/>
      <c r="CO276" s="195" t="s">
        <v>694</v>
      </c>
      <c r="CP276" s="195"/>
      <c r="CQ276" s="195"/>
      <c r="CR276" s="195"/>
      <c r="CS276" s="206"/>
      <c r="CT276" s="206"/>
      <c r="CU276" s="206"/>
      <c r="CV276" s="206"/>
      <c r="CW276" s="206"/>
      <c r="CX276" s="206"/>
    </row>
    <row r="277" spans="1:135">
      <c r="A277" s="286" t="s">
        <v>243</v>
      </c>
      <c r="B277" s="260"/>
      <c r="C277" s="260"/>
      <c r="D277" s="260"/>
      <c r="E277" s="260"/>
      <c r="F277" s="260"/>
      <c r="G277" s="260"/>
      <c r="H277" s="260"/>
      <c r="I277" s="260"/>
      <c r="J277" s="260"/>
      <c r="K277" s="260"/>
      <c r="L277" s="260"/>
      <c r="M277" s="260"/>
      <c r="N277" s="260"/>
      <c r="O277" s="260"/>
      <c r="P277" s="260"/>
      <c r="Q277" s="260"/>
      <c r="R277" s="260"/>
      <c r="S277" s="260"/>
      <c r="T277" s="260"/>
      <c r="U277" s="260"/>
      <c r="V277" s="260"/>
      <c r="W277" s="260"/>
      <c r="X277" s="260"/>
      <c r="Y277" s="260"/>
      <c r="Z277" s="260"/>
      <c r="AA277" s="260"/>
      <c r="AB277" s="260"/>
      <c r="AC277" s="260"/>
      <c r="AD277" s="260"/>
      <c r="AE277" s="260"/>
      <c r="AF277" s="260"/>
      <c r="AG277" s="260"/>
      <c r="AH277" s="260"/>
      <c r="AI277" s="260"/>
      <c r="AJ277" s="260"/>
      <c r="AK277" s="260"/>
      <c r="AL277" s="260"/>
      <c r="AM277" s="260"/>
      <c r="AN277" s="260"/>
      <c r="AO277" s="260"/>
      <c r="AP277" s="260"/>
      <c r="AQ277" s="260"/>
      <c r="AR277" s="260"/>
      <c r="AS277" s="260"/>
      <c r="AT277" s="260"/>
      <c r="AU277" s="260"/>
      <c r="AV277" s="260"/>
      <c r="AW277" s="260"/>
      <c r="AX277" s="260"/>
      <c r="AY277" s="260"/>
      <c r="AZ277" s="260"/>
      <c r="BA277" s="260"/>
      <c r="BB277" s="260"/>
      <c r="BC277" s="260"/>
      <c r="BD277" s="260"/>
      <c r="BE277" s="260"/>
      <c r="BF277" s="260"/>
      <c r="BG277" s="260"/>
      <c r="BH277" s="260"/>
      <c r="BI277" s="260"/>
      <c r="BJ277" s="260"/>
      <c r="BK277" s="260"/>
      <c r="BL277" s="260"/>
      <c r="BM277" s="260"/>
      <c r="BN277" s="260"/>
      <c r="BO277" s="260"/>
      <c r="BP277" s="260"/>
      <c r="BQ277" s="260"/>
      <c r="BR277" s="260"/>
      <c r="BS277" s="260"/>
      <c r="BT277" s="260"/>
      <c r="BU277" s="253"/>
      <c r="BV277" s="253"/>
      <c r="BW277" s="253"/>
      <c r="BX277" s="253"/>
      <c r="BY277" s="260"/>
      <c r="BZ277" s="253"/>
      <c r="CA277" s="253"/>
      <c r="CB277" s="253"/>
      <c r="CC277" s="253"/>
      <c r="CD277" s="260">
        <f>CD276/BY276-1</f>
        <v>0.14869894016406837</v>
      </c>
      <c r="CE277" s="260">
        <f t="shared" ref="CE277:CI277" si="907">CE276/CD276-1</f>
        <v>0.12802522630671542</v>
      </c>
      <c r="CF277" s="260">
        <f t="shared" si="907"/>
        <v>0.11216062671241467</v>
      </c>
      <c r="CG277" s="260">
        <f t="shared" si="907"/>
        <v>9.958973994808118E-2</v>
      </c>
      <c r="CH277" s="260">
        <f t="shared" si="907"/>
        <v>7.020162499776994E-2</v>
      </c>
      <c r="CI277" s="260">
        <f t="shared" si="907"/>
        <v>3.835317185911391E-2</v>
      </c>
      <c r="CJ277" s="260">
        <f t="shared" ref="CJ277" si="908">CJ276/CI276-1</f>
        <v>2.7951641491996693E-2</v>
      </c>
      <c r="CK277" s="260">
        <f t="shared" ref="CK277" si="909">CK276/CJ276-1</f>
        <v>2.6627116463858291E-2</v>
      </c>
      <c r="CL277" s="260">
        <f t="shared" ref="CL277:CM277" si="910">CL276/CK276-1</f>
        <v>2.5379481108747992E-2</v>
      </c>
      <c r="CM277" s="260">
        <f t="shared" si="910"/>
        <v>2.420193702264517E-2</v>
      </c>
      <c r="CN277" s="195"/>
      <c r="CO277" s="195"/>
      <c r="CP277" s="195"/>
      <c r="CQ277" s="195"/>
      <c r="CR277" s="195"/>
      <c r="CS277" s="206"/>
      <c r="CT277" s="206"/>
      <c r="CU277" s="206"/>
      <c r="CV277" s="206"/>
      <c r="CW277" s="206"/>
      <c r="CX277" s="206"/>
    </row>
    <row r="278" spans="1:135">
      <c r="A278" s="286"/>
      <c r="B278" s="260"/>
      <c r="C278" s="260"/>
      <c r="D278" s="260"/>
      <c r="E278" s="260"/>
      <c r="F278" s="260"/>
      <c r="G278" s="260"/>
      <c r="H278" s="260"/>
      <c r="I278" s="260"/>
      <c r="J278" s="260"/>
      <c r="K278" s="260"/>
      <c r="L278" s="260"/>
      <c r="M278" s="260"/>
      <c r="N278" s="260"/>
      <c r="O278" s="260"/>
      <c r="P278" s="260"/>
      <c r="Q278" s="260"/>
      <c r="R278" s="260"/>
      <c r="S278" s="260"/>
      <c r="T278" s="260"/>
      <c r="U278" s="260"/>
      <c r="V278" s="260"/>
      <c r="W278" s="260"/>
      <c r="X278" s="260"/>
      <c r="Y278" s="260"/>
      <c r="Z278" s="260"/>
      <c r="AA278" s="260"/>
      <c r="AB278" s="260"/>
      <c r="AC278" s="260"/>
      <c r="AD278" s="260"/>
      <c r="AE278" s="260"/>
      <c r="AF278" s="260"/>
      <c r="AG278" s="260"/>
      <c r="AH278" s="260"/>
      <c r="AI278" s="260"/>
      <c r="AJ278" s="260"/>
      <c r="AK278" s="260"/>
      <c r="AL278" s="260"/>
      <c r="AM278" s="260"/>
      <c r="AN278" s="260"/>
      <c r="AO278" s="260"/>
      <c r="AP278" s="260"/>
      <c r="AQ278" s="260"/>
      <c r="AR278" s="260"/>
      <c r="AS278" s="260"/>
      <c r="AT278" s="260"/>
      <c r="AU278" s="260"/>
      <c r="AV278" s="260"/>
      <c r="AW278" s="260"/>
      <c r="AX278" s="260"/>
      <c r="AY278" s="260"/>
      <c r="AZ278" s="260"/>
      <c r="BA278" s="260"/>
      <c r="BB278" s="260"/>
      <c r="BC278" s="260"/>
      <c r="BD278" s="260"/>
      <c r="BE278" s="260"/>
      <c r="BF278" s="260"/>
      <c r="BG278" s="260"/>
      <c r="BH278" s="260"/>
      <c r="BI278" s="260"/>
      <c r="BJ278" s="260"/>
      <c r="BK278" s="260"/>
      <c r="BL278" s="260"/>
      <c r="BM278" s="260"/>
      <c r="BN278" s="260"/>
      <c r="BO278" s="260"/>
      <c r="BP278" s="260"/>
      <c r="BQ278" s="260"/>
      <c r="BR278" s="260"/>
      <c r="BS278" s="260"/>
      <c r="BT278" s="260"/>
      <c r="BU278" s="253"/>
      <c r="BV278" s="253"/>
      <c r="BW278" s="253"/>
      <c r="BX278" s="253"/>
      <c r="BY278" s="260"/>
      <c r="BZ278" s="253"/>
      <c r="CA278" s="253"/>
      <c r="CB278" s="253"/>
      <c r="CC278" s="253"/>
      <c r="CD278" s="260"/>
      <c r="CE278" s="260"/>
      <c r="CF278" s="260"/>
      <c r="CG278" s="260"/>
      <c r="CH278" s="260"/>
      <c r="CI278" s="260"/>
      <c r="CJ278" s="260"/>
      <c r="CK278" s="260"/>
      <c r="CL278" s="260"/>
      <c r="CM278" s="260"/>
      <c r="CN278" s="195"/>
      <c r="CO278" s="195"/>
      <c r="CP278" s="195"/>
      <c r="CQ278" s="195"/>
      <c r="CR278" s="195"/>
      <c r="CS278" s="206"/>
      <c r="CT278" s="206"/>
      <c r="CU278" s="206"/>
      <c r="CV278" s="206"/>
      <c r="CW278" s="206"/>
      <c r="CX278" s="206"/>
    </row>
    <row r="279" spans="1:135">
      <c r="A279" s="286" t="s">
        <v>653</v>
      </c>
      <c r="B279" s="260"/>
      <c r="C279" s="260"/>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0"/>
      <c r="AA279" s="260"/>
      <c r="AB279" s="260"/>
      <c r="AC279" s="260"/>
      <c r="AD279" s="260"/>
      <c r="AE279" s="260"/>
      <c r="AF279" s="260"/>
      <c r="AG279" s="260"/>
      <c r="AH279" s="260"/>
      <c r="AI279" s="260"/>
      <c r="AJ279" s="260"/>
      <c r="AK279" s="260"/>
      <c r="AL279" s="260"/>
      <c r="AM279" s="260"/>
      <c r="AN279" s="260"/>
      <c r="AO279" s="260"/>
      <c r="AP279" s="260"/>
      <c r="AQ279" s="260"/>
      <c r="AR279" s="260"/>
      <c r="AS279" s="260"/>
      <c r="AT279" s="260"/>
      <c r="AU279" s="260"/>
      <c r="AV279" s="260"/>
      <c r="AW279" s="260"/>
      <c r="AX279" s="260"/>
      <c r="AY279" s="260"/>
      <c r="AZ279" s="260"/>
      <c r="BA279" s="260"/>
      <c r="BB279" s="260"/>
      <c r="BC279" s="260"/>
      <c r="BD279" s="260"/>
      <c r="BE279" s="260"/>
      <c r="BF279" s="260"/>
      <c r="BG279" s="260"/>
      <c r="BH279" s="260"/>
      <c r="BI279" s="260"/>
      <c r="BJ279" s="260"/>
      <c r="BK279" s="260"/>
      <c r="BL279" s="260"/>
      <c r="BM279" s="260"/>
      <c r="BN279" s="260"/>
      <c r="BO279" s="281">
        <f>BO221-BO276</f>
        <v>5428.0355500000005</v>
      </c>
      <c r="BP279" s="281"/>
      <c r="BQ279" s="281"/>
      <c r="BR279" s="281"/>
      <c r="BS279" s="281"/>
      <c r="BT279" s="281">
        <f>BT221-BT276</f>
        <v>5314.8693640922547</v>
      </c>
      <c r="BU279" s="250"/>
      <c r="BV279" s="250"/>
      <c r="BW279" s="250"/>
      <c r="BX279" s="250"/>
      <c r="BY279" s="281">
        <f>BY221-BY276</f>
        <v>5457.321750159027</v>
      </c>
      <c r="BZ279" s="250"/>
      <c r="CA279" s="250"/>
      <c r="CB279" s="250"/>
      <c r="CC279" s="250"/>
      <c r="CD279" s="281">
        <f t="shared" ref="CD279:CM279" si="911">CD221-CD276</f>
        <v>5376.9842767692708</v>
      </c>
      <c r="CE279" s="281">
        <f t="shared" si="911"/>
        <v>5226.2830057418787</v>
      </c>
      <c r="CF279" s="281">
        <f t="shared" si="911"/>
        <v>5097.4402560712842</v>
      </c>
      <c r="CG279" s="281">
        <f t="shared" si="911"/>
        <v>4967.3989127141685</v>
      </c>
      <c r="CH279" s="281">
        <f t="shared" si="911"/>
        <v>4917.3646223562737</v>
      </c>
      <c r="CI279" s="281">
        <f t="shared" si="911"/>
        <v>4972.1354441551557</v>
      </c>
      <c r="CJ279" s="281">
        <f t="shared" si="911"/>
        <v>5048.2459279234645</v>
      </c>
      <c r="CK279" s="281">
        <f t="shared" si="911"/>
        <v>5122.3977120248792</v>
      </c>
      <c r="CL279" s="281">
        <f t="shared" si="911"/>
        <v>5195.0530998761769</v>
      </c>
      <c r="CM279" s="281">
        <f t="shared" si="911"/>
        <v>5266.6341683826286</v>
      </c>
      <c r="CN279" s="195"/>
      <c r="CO279" s="195"/>
      <c r="CP279" s="195"/>
      <c r="CQ279" s="195"/>
      <c r="CR279" s="195"/>
      <c r="CS279" s="206"/>
      <c r="CT279" s="206"/>
      <c r="CU279" s="206"/>
      <c r="CV279" s="206"/>
      <c r="CW279" s="206"/>
      <c r="CX279" s="206"/>
    </row>
    <row r="280" spans="1:135">
      <c r="A280" s="286" t="s">
        <v>243</v>
      </c>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43"/>
      <c r="AV280" s="243"/>
      <c r="AW280" s="243"/>
      <c r="AX280" s="243"/>
      <c r="AY280" s="243"/>
      <c r="AZ280" s="243"/>
      <c r="BA280" s="243"/>
      <c r="BB280" s="243"/>
      <c r="BC280" s="243"/>
      <c r="BD280" s="243"/>
      <c r="BE280" s="243"/>
      <c r="BF280" s="243"/>
      <c r="BG280" s="243"/>
      <c r="BH280" s="243"/>
      <c r="BI280" s="243"/>
      <c r="BJ280" s="243"/>
      <c r="BK280" s="243"/>
      <c r="BL280" s="243"/>
      <c r="BM280" s="243"/>
      <c r="BN280" s="243"/>
      <c r="BO280" s="243"/>
      <c r="BP280" s="243"/>
      <c r="BQ280" s="243"/>
      <c r="BR280" s="243"/>
      <c r="BS280" s="243"/>
      <c r="BT280" s="243"/>
      <c r="BU280" s="222"/>
      <c r="BV280" s="222"/>
      <c r="BW280" s="222"/>
      <c r="BX280" s="222"/>
      <c r="BY280" s="243"/>
      <c r="BZ280" s="222"/>
      <c r="CA280" s="222"/>
      <c r="CB280" s="222"/>
      <c r="CC280" s="222"/>
      <c r="CD280" s="243"/>
      <c r="CE280" s="243"/>
      <c r="CF280" s="243"/>
      <c r="CG280" s="243"/>
      <c r="CH280" s="243"/>
      <c r="CI280" s="243"/>
      <c r="CJ280" s="243"/>
      <c r="CK280" s="243"/>
      <c r="CL280" s="243"/>
      <c r="CM280" s="243"/>
      <c r="CN280" s="195"/>
      <c r="CO280" s="195" t="s">
        <v>600</v>
      </c>
      <c r="CP280" s="195"/>
      <c r="CQ280" s="195"/>
      <c r="CR280" s="195"/>
      <c r="CS280" s="206"/>
      <c r="CT280" s="206"/>
      <c r="CU280" s="206"/>
      <c r="CV280" s="206"/>
      <c r="CW280" s="206"/>
      <c r="CX280" s="206"/>
    </row>
    <row r="281" spans="1:135">
      <c r="A281" s="286"/>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43"/>
      <c r="AZ281" s="243"/>
      <c r="BA281" s="243"/>
      <c r="BB281" s="243"/>
      <c r="BC281" s="243"/>
      <c r="BD281" s="243"/>
      <c r="BE281" s="243"/>
      <c r="BF281" s="243"/>
      <c r="BG281" s="243"/>
      <c r="BH281" s="243"/>
      <c r="BI281" s="243"/>
      <c r="BJ281" s="243"/>
      <c r="BK281" s="243"/>
      <c r="BL281" s="243"/>
      <c r="BM281" s="243"/>
      <c r="BN281" s="243"/>
      <c r="BO281" s="243"/>
      <c r="BP281" s="243"/>
      <c r="BQ281" s="243"/>
      <c r="BR281" s="243"/>
      <c r="BS281" s="243"/>
      <c r="BT281" s="243"/>
      <c r="BU281" s="222"/>
      <c r="BV281" s="222"/>
      <c r="BW281" s="222"/>
      <c r="BX281" s="222"/>
      <c r="BY281" s="243"/>
      <c r="BZ281" s="222"/>
      <c r="CA281" s="222"/>
      <c r="CB281" s="222"/>
      <c r="CC281" s="222"/>
      <c r="CD281" s="243"/>
      <c r="CE281" s="243"/>
      <c r="CF281" s="243"/>
      <c r="CG281" s="243"/>
      <c r="CH281" s="243"/>
      <c r="CI281" s="243"/>
      <c r="CJ281" s="243"/>
      <c r="CK281" s="243"/>
      <c r="CL281" s="243"/>
      <c r="CM281" s="243"/>
      <c r="CN281" s="195"/>
      <c r="CO281" s="195"/>
      <c r="CP281" s="195"/>
      <c r="CQ281" s="195"/>
      <c r="CR281" s="195"/>
      <c r="CS281" s="206"/>
      <c r="CT281" s="206"/>
      <c r="CU281" s="206"/>
      <c r="CV281" s="206"/>
      <c r="CW281" s="206"/>
      <c r="CX281" s="206"/>
    </row>
    <row r="282" spans="1:135">
      <c r="A282" s="237" t="s">
        <v>50</v>
      </c>
      <c r="B282" s="237">
        <f>B213</f>
        <v>2007</v>
      </c>
      <c r="C282" s="237"/>
      <c r="D282" s="237"/>
      <c r="E282" s="237"/>
      <c r="F282" s="237"/>
      <c r="G282" s="237">
        <f>B282+1</f>
        <v>2008</v>
      </c>
      <c r="H282" s="237"/>
      <c r="I282" s="237"/>
      <c r="J282" s="237"/>
      <c r="K282" s="237"/>
      <c r="L282" s="237">
        <f>G282+1</f>
        <v>2009</v>
      </c>
      <c r="M282" s="237"/>
      <c r="N282" s="237"/>
      <c r="O282" s="237"/>
      <c r="P282" s="237"/>
      <c r="Q282" s="237">
        <f>L282+1</f>
        <v>2010</v>
      </c>
      <c r="R282" s="237"/>
      <c r="S282" s="237"/>
      <c r="T282" s="237"/>
      <c r="U282" s="237"/>
      <c r="V282" s="237">
        <f>Q282+1</f>
        <v>2011</v>
      </c>
      <c r="W282" s="237"/>
      <c r="X282" s="237"/>
      <c r="Y282" s="237"/>
      <c r="Z282" s="237"/>
      <c r="AA282" s="237">
        <f>V282+1</f>
        <v>2012</v>
      </c>
      <c r="AB282" s="237"/>
      <c r="AC282" s="237"/>
      <c r="AD282" s="237"/>
      <c r="AE282" s="237"/>
      <c r="AF282" s="237">
        <f>AA282+1</f>
        <v>2013</v>
      </c>
      <c r="AG282" s="237"/>
      <c r="AH282" s="237"/>
      <c r="AI282" s="237"/>
      <c r="AJ282" s="237"/>
      <c r="AK282" s="237">
        <f>AF282+1</f>
        <v>2014</v>
      </c>
      <c r="AL282" s="237"/>
      <c r="AM282" s="237"/>
      <c r="AN282" s="237"/>
      <c r="AO282" s="237"/>
      <c r="AP282" s="237">
        <f>AK282+1</f>
        <v>2015</v>
      </c>
      <c r="AQ282" s="237"/>
      <c r="AR282" s="237"/>
      <c r="AS282" s="237"/>
      <c r="AT282" s="237"/>
      <c r="AU282" s="237">
        <f>AP282+1</f>
        <v>2016</v>
      </c>
      <c r="AV282" s="237"/>
      <c r="AW282" s="237"/>
      <c r="AX282" s="237"/>
      <c r="AY282" s="237"/>
      <c r="AZ282" s="237">
        <f>AU282+1</f>
        <v>2017</v>
      </c>
      <c r="BA282" s="237"/>
      <c r="BB282" s="237"/>
      <c r="BC282" s="237"/>
      <c r="BD282" s="237"/>
      <c r="BE282" s="237">
        <f>AZ282+1</f>
        <v>2018</v>
      </c>
      <c r="BF282" s="237"/>
      <c r="BG282" s="237"/>
      <c r="BH282" s="237"/>
      <c r="BI282" s="237"/>
      <c r="BJ282" s="237">
        <f>BE282+1</f>
        <v>2019</v>
      </c>
      <c r="BK282" s="237"/>
      <c r="BL282" s="237"/>
      <c r="BM282" s="237"/>
      <c r="BN282" s="237"/>
      <c r="BO282" s="237">
        <f>BJ282+1</f>
        <v>2020</v>
      </c>
      <c r="BP282" s="237"/>
      <c r="BQ282" s="237"/>
      <c r="BR282" s="237"/>
      <c r="BS282" s="237"/>
      <c r="BT282" s="237">
        <f>BO282+1</f>
        <v>2021</v>
      </c>
      <c r="BU282" s="237"/>
      <c r="BV282" s="237"/>
      <c r="BW282" s="237"/>
      <c r="BX282" s="237"/>
      <c r="BY282" s="237">
        <f>BT282+1</f>
        <v>2022</v>
      </c>
      <c r="BZ282" s="237"/>
      <c r="CA282" s="237"/>
      <c r="CB282" s="237"/>
      <c r="CC282" s="237"/>
      <c r="CD282" s="237">
        <f>BY282+1</f>
        <v>2023</v>
      </c>
      <c r="CE282" s="237">
        <f t="shared" ref="CE282:CI282" si="912">CD282+1</f>
        <v>2024</v>
      </c>
      <c r="CF282" s="237">
        <f t="shared" si="912"/>
        <v>2025</v>
      </c>
      <c r="CG282" s="237">
        <f t="shared" si="912"/>
        <v>2026</v>
      </c>
      <c r="CH282" s="237">
        <f t="shared" si="912"/>
        <v>2027</v>
      </c>
      <c r="CI282" s="237">
        <f t="shared" si="912"/>
        <v>2028</v>
      </c>
      <c r="CJ282" s="237">
        <f t="shared" ref="CJ282" si="913">CI282+1</f>
        <v>2029</v>
      </c>
      <c r="CK282" s="237">
        <f t="shared" ref="CK282" si="914">CJ282+1</f>
        <v>2030</v>
      </c>
      <c r="CL282" s="237">
        <f t="shared" ref="CL282:CM282" si="915">CK282+1</f>
        <v>2031</v>
      </c>
      <c r="CM282" s="237">
        <f t="shared" si="915"/>
        <v>2032</v>
      </c>
      <c r="CN282" s="195"/>
      <c r="CO282" s="195"/>
      <c r="CP282" s="195"/>
      <c r="CQ282" s="195"/>
      <c r="CR282" s="195"/>
      <c r="CS282" s="195"/>
      <c r="CT282" s="195"/>
      <c r="DT282" s="358"/>
      <c r="DU282" s="358"/>
      <c r="DV282" s="358"/>
      <c r="DW282" s="358"/>
      <c r="DX282" s="358"/>
      <c r="DY282" s="358"/>
      <c r="DZ282" s="358"/>
      <c r="EA282" s="358"/>
      <c r="EB282" s="358"/>
      <c r="EC282" s="358"/>
      <c r="ED282" s="358"/>
      <c r="EE282" s="358"/>
    </row>
    <row r="283" spans="1:135">
      <c r="A283" s="276" t="s">
        <v>274</v>
      </c>
      <c r="B283" s="359"/>
      <c r="C283" s="359"/>
      <c r="D283" s="359"/>
      <c r="E283" s="359"/>
      <c r="F283" s="359"/>
      <c r="G283" s="359">
        <f>G285/G136*1000</f>
        <v>192.8578424212069</v>
      </c>
      <c r="H283" s="359"/>
      <c r="I283" s="359"/>
      <c r="J283" s="359"/>
      <c r="K283" s="359"/>
      <c r="L283" s="359">
        <f>L285/L136*1000</f>
        <v>49.817441129987934</v>
      </c>
      <c r="M283" s="359"/>
      <c r="N283" s="359"/>
      <c r="O283" s="359"/>
      <c r="P283" s="359"/>
      <c r="Q283" s="359">
        <f>Q285/Q136*1000</f>
        <v>70.776573787518004</v>
      </c>
      <c r="R283" s="359"/>
      <c r="S283" s="359"/>
      <c r="T283" s="359"/>
      <c r="U283" s="359"/>
      <c r="V283" s="359">
        <f>V285/V136*1000</f>
        <v>130.32236237131829</v>
      </c>
      <c r="W283" s="359"/>
      <c r="X283" s="359"/>
      <c r="Y283" s="359"/>
      <c r="Z283" s="359"/>
      <c r="AA283" s="359">
        <f>AA285/AA136*1000</f>
        <v>50.690698976183775</v>
      </c>
      <c r="AB283" s="359"/>
      <c r="AC283" s="359"/>
      <c r="AD283" s="359"/>
      <c r="AE283" s="359"/>
      <c r="AF283" s="359">
        <f>AF285/AF136*1000</f>
        <v>381.95049029690813</v>
      </c>
      <c r="AG283" s="359"/>
      <c r="AH283" s="359"/>
      <c r="AI283" s="359"/>
      <c r="AJ283" s="359"/>
      <c r="AK283" s="359">
        <f>AK285/AK136*1000</f>
        <v>182.55192036472042</v>
      </c>
      <c r="AL283" s="359"/>
      <c r="AM283" s="359"/>
      <c r="AN283" s="359"/>
      <c r="AO283" s="359"/>
      <c r="AP283" s="359">
        <f>AP285/AP136*1000</f>
        <v>243.66482363951653</v>
      </c>
      <c r="AQ283" s="359"/>
      <c r="AR283" s="359"/>
      <c r="AS283" s="359"/>
      <c r="AT283" s="359"/>
      <c r="AU283" s="359">
        <f>AU285/AU136*1000</f>
        <v>377.10063512665459</v>
      </c>
      <c r="AV283" s="359"/>
      <c r="AW283" s="359"/>
      <c r="AX283" s="359"/>
      <c r="AY283" s="359"/>
      <c r="AZ283" s="359">
        <f>AZ285/AZ136*1000</f>
        <v>1060.9761483540615</v>
      </c>
      <c r="BA283" s="359"/>
      <c r="BB283" s="359"/>
      <c r="BC283" s="359"/>
      <c r="BD283" s="359"/>
      <c r="BE283" s="359">
        <f>BE285/BE136*1000</f>
        <v>630.51400889293313</v>
      </c>
      <c r="BF283" s="359"/>
      <c r="BG283" s="359"/>
      <c r="BH283" s="359"/>
      <c r="BI283" s="359"/>
      <c r="BJ283" s="359">
        <f>BJ285/BJ136*1000</f>
        <v>689.60184136428359</v>
      </c>
      <c r="BK283" s="359"/>
      <c r="BL283" s="359"/>
      <c r="BM283" s="359"/>
      <c r="BN283" s="359"/>
      <c r="BO283" s="359">
        <f>BO285/BO136*1000</f>
        <v>655.19243968111493</v>
      </c>
      <c r="BP283" s="359"/>
      <c r="BQ283" s="359"/>
      <c r="BR283" s="359"/>
      <c r="BS283" s="359"/>
      <c r="BT283" s="359">
        <f>BT285/BT136*1000</f>
        <v>514.20258656934789</v>
      </c>
      <c r="BU283" s="359"/>
      <c r="BV283" s="359"/>
      <c r="BW283" s="359"/>
      <c r="BX283" s="359"/>
      <c r="BY283" s="359">
        <f>BY285/BY136*1000</f>
        <v>693.53622330625365</v>
      </c>
      <c r="BZ283" s="359"/>
      <c r="CA283" s="359"/>
      <c r="CB283" s="359"/>
      <c r="CC283" s="359"/>
      <c r="CD283" s="359">
        <f>BY283*(1+CD284)</f>
        <v>693.53622330625365</v>
      </c>
      <c r="CE283" s="359">
        <f t="shared" ref="CE283:CI283" si="916">CD283*(1+CE284)</f>
        <v>693.53622330625365</v>
      </c>
      <c r="CF283" s="359">
        <f t="shared" si="916"/>
        <v>693.53622330625365</v>
      </c>
      <c r="CG283" s="359">
        <f t="shared" si="916"/>
        <v>693.53622330625365</v>
      </c>
      <c r="CH283" s="359">
        <f t="shared" si="916"/>
        <v>693.53622330625365</v>
      </c>
      <c r="CI283" s="359">
        <f t="shared" si="916"/>
        <v>693.53622330625365</v>
      </c>
      <c r="CJ283" s="359">
        <f t="shared" ref="CJ283" si="917">CI283*(1+CJ284)</f>
        <v>693.53622330625365</v>
      </c>
      <c r="CK283" s="359">
        <f t="shared" ref="CK283" si="918">CJ283*(1+CK284)</f>
        <v>693.53622330625365</v>
      </c>
      <c r="CL283" s="359">
        <f t="shared" ref="CL283:CM283" si="919">CK283*(1+CL284)</f>
        <v>693.53622330625365</v>
      </c>
      <c r="CM283" s="359">
        <f t="shared" si="919"/>
        <v>693.53622330625365</v>
      </c>
      <c r="CN283" s="195"/>
      <c r="CO283" s="195"/>
      <c r="CP283" s="195"/>
      <c r="CQ283" s="195"/>
      <c r="CR283" s="195"/>
      <c r="CS283" s="195"/>
      <c r="CT283" s="195"/>
    </row>
    <row r="284" spans="1:135">
      <c r="A284" s="276" t="s">
        <v>39</v>
      </c>
      <c r="B284" s="243"/>
      <c r="C284" s="243"/>
      <c r="D284" s="243"/>
      <c r="E284" s="243"/>
      <c r="F284" s="243"/>
      <c r="G284" s="243"/>
      <c r="H284" s="243"/>
      <c r="I284" s="243"/>
      <c r="J284" s="243"/>
      <c r="K284" s="243"/>
      <c r="L284" s="243">
        <f>L283/G283-1</f>
        <v>-0.74168827928093661</v>
      </c>
      <c r="M284" s="243"/>
      <c r="N284" s="243"/>
      <c r="O284" s="243"/>
      <c r="P284" s="243"/>
      <c r="Q284" s="243">
        <f>Q283/L283-1</f>
        <v>0.42071877202286867</v>
      </c>
      <c r="R284" s="243"/>
      <c r="S284" s="243"/>
      <c r="T284" s="243"/>
      <c r="U284" s="243"/>
      <c r="V284" s="243">
        <f>V283/Q283-1</f>
        <v>0.84132058670381205</v>
      </c>
      <c r="W284" s="243"/>
      <c r="X284" s="243"/>
      <c r="Y284" s="243"/>
      <c r="Z284" s="243"/>
      <c r="AA284" s="243">
        <f>AA283/V283-1</f>
        <v>-0.61103606431140078</v>
      </c>
      <c r="AB284" s="243"/>
      <c r="AC284" s="243"/>
      <c r="AD284" s="243"/>
      <c r="AE284" s="243"/>
      <c r="AF284" s="243">
        <f>AF283/AA283-1</f>
        <v>6.5349225402546045</v>
      </c>
      <c r="AG284" s="243"/>
      <c r="AH284" s="243"/>
      <c r="AI284" s="243"/>
      <c r="AJ284" s="243"/>
      <c r="AK284" s="243">
        <f>AK283/AF283-1</f>
        <v>-0.5220534467102943</v>
      </c>
      <c r="AL284" s="243"/>
      <c r="AM284" s="243"/>
      <c r="AN284" s="243"/>
      <c r="AO284" s="243"/>
      <c r="AP284" s="243">
        <f>AP283/AK283-1</f>
        <v>0.33476998298729832</v>
      </c>
      <c r="AQ284" s="243"/>
      <c r="AR284" s="243"/>
      <c r="AS284" s="243"/>
      <c r="AT284" s="243"/>
      <c r="AU284" s="243">
        <f>AU283/AP283-1</f>
        <v>0.54762033146214883</v>
      </c>
      <c r="AV284" s="243"/>
      <c r="AW284" s="243"/>
      <c r="AX284" s="243"/>
      <c r="AY284" s="243"/>
      <c r="AZ284" s="243">
        <f>AZ283/AU283-1</f>
        <v>1.8135093116396308</v>
      </c>
      <c r="BA284" s="243"/>
      <c r="BB284" s="243"/>
      <c r="BC284" s="243"/>
      <c r="BD284" s="243"/>
      <c r="BE284" s="243">
        <f>BE283/AZ283-1</f>
        <v>-0.40572273008108906</v>
      </c>
      <c r="BF284" s="243"/>
      <c r="BG284" s="243"/>
      <c r="BH284" s="277"/>
      <c r="BI284" s="277"/>
      <c r="BJ284" s="243">
        <f>BJ283/BE283-1</f>
        <v>9.3713750428952247E-2</v>
      </c>
      <c r="BK284" s="243"/>
      <c r="BL284" s="243"/>
      <c r="BM284" s="243"/>
      <c r="BN284" s="243"/>
      <c r="BO284" s="243">
        <f>BO283/BJ283-1</f>
        <v>-4.9897491014661899E-2</v>
      </c>
      <c r="BP284" s="243"/>
      <c r="BQ284" s="243"/>
      <c r="BR284" s="243"/>
      <c r="BS284" s="243"/>
      <c r="BT284" s="243">
        <f>BT283/BO283-1</f>
        <v>-0.21518846154633198</v>
      </c>
      <c r="BU284" s="222"/>
      <c r="BV284" s="222"/>
      <c r="BW284" s="222"/>
      <c r="BX284" s="222"/>
      <c r="BY284" s="243">
        <f>BY283/BT283-1</f>
        <v>0.34876066636183656</v>
      </c>
      <c r="BZ284" s="222"/>
      <c r="CA284" s="222"/>
      <c r="CB284" s="222"/>
      <c r="CC284" s="222"/>
      <c r="CD284" s="278">
        <v>0</v>
      </c>
      <c r="CE284" s="278">
        <f t="shared" ref="CE284" si="920">CD284</f>
        <v>0</v>
      </c>
      <c r="CF284" s="278">
        <f t="shared" ref="CF284" si="921">CE284</f>
        <v>0</v>
      </c>
      <c r="CG284" s="278">
        <f t="shared" ref="CG284" si="922">CF284</f>
        <v>0</v>
      </c>
      <c r="CH284" s="278">
        <f t="shared" ref="CH284" si="923">CG284</f>
        <v>0</v>
      </c>
      <c r="CI284" s="278">
        <f t="shared" ref="CI284" si="924">CH284</f>
        <v>0</v>
      </c>
      <c r="CJ284" s="278">
        <f t="shared" ref="CJ284" si="925">CI284</f>
        <v>0</v>
      </c>
      <c r="CK284" s="278">
        <f t="shared" ref="CK284" si="926">CJ284</f>
        <v>0</v>
      </c>
      <c r="CL284" s="278">
        <f t="shared" ref="CL284" si="927">CK284</f>
        <v>0</v>
      </c>
      <c r="CM284" s="278">
        <f t="shared" ref="CM284" si="928">CL284</f>
        <v>0</v>
      </c>
      <c r="CN284" s="195"/>
      <c r="CO284" s="195"/>
      <c r="CP284" s="195"/>
      <c r="CQ284" s="195"/>
      <c r="CR284" s="195"/>
      <c r="CS284" s="195"/>
      <c r="CT284" s="195"/>
      <c r="DT284" s="265"/>
      <c r="DU284" s="265"/>
      <c r="DV284" s="265"/>
      <c r="DW284" s="265"/>
      <c r="DX284" s="265"/>
      <c r="DY284" s="265"/>
      <c r="DZ284" s="265"/>
      <c r="EA284" s="265"/>
      <c r="EB284" s="265"/>
      <c r="EC284" s="265"/>
      <c r="ED284" s="265"/>
      <c r="EE284" s="265"/>
    </row>
    <row r="285" spans="1:135">
      <c r="A285" s="286" t="s">
        <v>543</v>
      </c>
      <c r="B285" s="202">
        <f>B288-B221</f>
        <v>1433.8319999999994</v>
      </c>
      <c r="C285" s="202"/>
      <c r="D285" s="202"/>
      <c r="E285" s="202"/>
      <c r="F285" s="202">
        <f t="shared" ref="F285:AU285" si="929">F288-F221</f>
        <v>99.43100000000004</v>
      </c>
      <c r="G285" s="202">
        <f t="shared" si="929"/>
        <v>554.51643999999942</v>
      </c>
      <c r="H285" s="202">
        <f t="shared" si="929"/>
        <v>63.991600000000062</v>
      </c>
      <c r="I285" s="202">
        <f t="shared" si="929"/>
        <v>56.140799999999899</v>
      </c>
      <c r="J285" s="202">
        <f t="shared" si="929"/>
        <v>67.744799999999714</v>
      </c>
      <c r="K285" s="202">
        <f t="shared" si="929"/>
        <v>92.855000000000018</v>
      </c>
      <c r="L285" s="202">
        <f t="shared" si="929"/>
        <v>134.85405000000083</v>
      </c>
      <c r="M285" s="202">
        <f t="shared" si="929"/>
        <v>74.403999999999996</v>
      </c>
      <c r="N285" s="202">
        <f t="shared" si="929"/>
        <v>77.856999999999971</v>
      </c>
      <c r="O285" s="202">
        <f t="shared" si="929"/>
        <v>115.5440000000001</v>
      </c>
      <c r="P285" s="202">
        <f t="shared" si="929"/>
        <v>132.29349999999999</v>
      </c>
      <c r="Q285" s="202">
        <f t="shared" si="929"/>
        <v>248.02999999999975</v>
      </c>
      <c r="R285" s="202">
        <f t="shared" si="929"/>
        <v>75.770500000000084</v>
      </c>
      <c r="S285" s="202">
        <f t="shared" si="929"/>
        <v>124.3264999999999</v>
      </c>
      <c r="T285" s="202">
        <f t="shared" si="929"/>
        <v>101.71199999999999</v>
      </c>
      <c r="U285" s="202">
        <f t="shared" si="929"/>
        <v>110.41300000000001</v>
      </c>
      <c r="V285" s="202">
        <f t="shared" si="929"/>
        <v>119.03199999999924</v>
      </c>
      <c r="W285" s="202">
        <f t="shared" si="929"/>
        <v>8</v>
      </c>
      <c r="X285" s="202">
        <f t="shared" si="929"/>
        <v>-15.25</v>
      </c>
      <c r="Y285" s="202">
        <f t="shared" si="929"/>
        <v>83.119999999999891</v>
      </c>
      <c r="Z285" s="202">
        <f t="shared" si="929"/>
        <v>93.488000000000056</v>
      </c>
      <c r="AA285" s="360">
        <f t="shared" si="929"/>
        <v>169.35800000000017</v>
      </c>
      <c r="AB285" s="360">
        <f t="shared" si="929"/>
        <v>118.33699999999999</v>
      </c>
      <c r="AC285" s="360">
        <f t="shared" si="929"/>
        <v>130.37899999999991</v>
      </c>
      <c r="AD285" s="360">
        <f t="shared" si="929"/>
        <v>100.80799999999999</v>
      </c>
      <c r="AE285" s="360">
        <f t="shared" si="929"/>
        <v>105.20900000000006</v>
      </c>
      <c r="AF285" s="360">
        <f t="shared" si="929"/>
        <v>398.10499999999956</v>
      </c>
      <c r="AG285" s="360">
        <f t="shared" si="929"/>
        <v>117.3599999999999</v>
      </c>
      <c r="AH285" s="360">
        <f t="shared" si="929"/>
        <v>79.775000000000091</v>
      </c>
      <c r="AI285" s="360">
        <f t="shared" si="929"/>
        <v>84.799999999999955</v>
      </c>
      <c r="AJ285" s="360">
        <f t="shared" si="929"/>
        <v>88.400000000000091</v>
      </c>
      <c r="AK285" s="360">
        <f t="shared" si="929"/>
        <v>385.33500000000095</v>
      </c>
      <c r="AL285" s="360">
        <f t="shared" si="929"/>
        <v>134.5440000000001</v>
      </c>
      <c r="AM285" s="360">
        <f t="shared" si="929"/>
        <v>113.70550000000003</v>
      </c>
      <c r="AN285" s="360">
        <f t="shared" si="929"/>
        <v>107.1434999999999</v>
      </c>
      <c r="AO285" s="360">
        <f t="shared" si="929"/>
        <v>111.70000000000005</v>
      </c>
      <c r="AP285" s="360">
        <f t="shared" si="929"/>
        <v>467.09299999999985</v>
      </c>
      <c r="AQ285" s="360">
        <f t="shared" si="929"/>
        <v>129.70000000000005</v>
      </c>
      <c r="AR285" s="360">
        <f t="shared" si="929"/>
        <v>128.91350000000011</v>
      </c>
      <c r="AS285" s="360">
        <f t="shared" si="929"/>
        <v>159.875</v>
      </c>
      <c r="AT285" s="360">
        <f t="shared" si="929"/>
        <v>107.6400000000001</v>
      </c>
      <c r="AU285" s="360">
        <f t="shared" si="929"/>
        <v>526.12850000000071</v>
      </c>
      <c r="AV285" s="360">
        <f>'[2]Profit and Loss Highlights'!W$31</f>
        <v>299</v>
      </c>
      <c r="AW285" s="360">
        <f>'[2]Profit and Loss Highlights'!X$31</f>
        <v>266</v>
      </c>
      <c r="AX285" s="360">
        <f>'[2]Profit and Loss Highlights'!Y$31</f>
        <v>243</v>
      </c>
      <c r="AY285" s="360">
        <f>'[2]Profit and Loss Highlights'!Z$31</f>
        <v>340</v>
      </c>
      <c r="AZ285" s="360">
        <f>SUM(AV285:AY285)</f>
        <v>1148</v>
      </c>
      <c r="BA285" s="360">
        <f>'[2]Profit and Loss Highlights'!AA$31</f>
        <v>257</v>
      </c>
      <c r="BB285" s="360">
        <f>'[2]Profit and Loss Highlights'!AB$31</f>
        <v>233</v>
      </c>
      <c r="BC285" s="360">
        <f>'[2]Profit and Loss Highlights'!AC$31</f>
        <v>237</v>
      </c>
      <c r="BD285" s="360">
        <f>'[2]Profit and Loss Highlights'!AD$31</f>
        <v>397</v>
      </c>
      <c r="BE285" s="360">
        <f>SUM(BA285:BD285)</f>
        <v>1124</v>
      </c>
      <c r="BF285" s="360">
        <f>'[2]Profit and Loss Highlights'!AE$31</f>
        <v>285</v>
      </c>
      <c r="BG285" s="360">
        <f>'[2]Profit and Loss Highlights'!AF$31</f>
        <v>288</v>
      </c>
      <c r="BH285" s="360">
        <f>'[2]Profit and Loss Highlights'!AG$31</f>
        <v>345</v>
      </c>
      <c r="BI285" s="360">
        <f>'[2]Profit and Loss Highlights'!AH$31</f>
        <v>598</v>
      </c>
      <c r="BJ285" s="360">
        <f>SUM(BF285:BI285)</f>
        <v>1516</v>
      </c>
      <c r="BK285" s="360">
        <f>'[2]Profit and Loss Highlights'!AI$31</f>
        <v>401</v>
      </c>
      <c r="BL285" s="360">
        <f>'[2]Profit and Loss Highlights'!AJ$31</f>
        <v>251</v>
      </c>
      <c r="BM285" s="360">
        <f>'[2]Profit and Loss Highlights'!AK$31</f>
        <v>273</v>
      </c>
      <c r="BN285" s="360">
        <f>'[2]Profit and Loss Highlights'!AL$31</f>
        <v>316</v>
      </c>
      <c r="BO285" s="360">
        <f>SUM(BK285:BN285)</f>
        <v>1241</v>
      </c>
      <c r="BP285" s="360">
        <f>'[2]Profit and Loss Highlights'!AM$31</f>
        <v>269</v>
      </c>
      <c r="BQ285" s="360">
        <f>'[2]Profit and Loss Highlights'!AN$31</f>
        <v>276</v>
      </c>
      <c r="BR285" s="360">
        <f>'[2]Profit and Loss Highlights'!AO$31</f>
        <v>238</v>
      </c>
      <c r="BS285" s="360">
        <f>'[2]Profit and Loss Highlights'!AP$31</f>
        <v>440</v>
      </c>
      <c r="BT285" s="360">
        <f>SUM(BP285:BS285)</f>
        <v>1223</v>
      </c>
      <c r="BU285" s="360">
        <f>'[2]Profit and Loss Highlights'!AQ$31</f>
        <v>376</v>
      </c>
      <c r="BV285" s="360">
        <f>'[2]Profit and Loss Highlights'!AR$31</f>
        <v>340</v>
      </c>
      <c r="BW285" s="360">
        <f>'[2]Profit and Loss Highlights'!AS$31</f>
        <v>297</v>
      </c>
      <c r="BX285" s="360">
        <f>'[2]Profit and Loss Highlights'!AT$31</f>
        <v>440</v>
      </c>
      <c r="BY285" s="360">
        <f>SUM(BU285:BX285)</f>
        <v>1453</v>
      </c>
      <c r="BZ285" s="360">
        <f>'[2]Profit and Loss Highlights'!AU$31</f>
        <v>414</v>
      </c>
      <c r="CA285" s="360">
        <f>'[2]Profit and Loss Highlights'!AV$31</f>
        <v>357</v>
      </c>
      <c r="CB285" s="360">
        <f>'[2]Profit and Loss Highlights'!AW$31</f>
        <v>297</v>
      </c>
      <c r="CC285" s="360">
        <f>'[2]Profit and Loss Highlights'!AX$31</f>
        <v>540</v>
      </c>
      <c r="CD285" s="202">
        <f>CD283*CD136/1000</f>
        <v>1952.5902055311062</v>
      </c>
      <c r="CE285" s="202">
        <f t="shared" ref="CE285:CM285" si="930">CE283*CE136/1000</f>
        <v>1753.4393465232426</v>
      </c>
      <c r="CF285" s="202">
        <f t="shared" si="930"/>
        <v>1737.8689531218001</v>
      </c>
      <c r="CG285" s="202">
        <f t="shared" si="930"/>
        <v>1755.7791965750014</v>
      </c>
      <c r="CH285" s="202">
        <f t="shared" si="930"/>
        <v>1772.8983954208034</v>
      </c>
      <c r="CI285" s="202">
        <f t="shared" si="930"/>
        <v>1789.3066913374271</v>
      </c>
      <c r="CJ285" s="202">
        <f t="shared" si="930"/>
        <v>1805.0765954574083</v>
      </c>
      <c r="CK285" s="202">
        <f t="shared" si="930"/>
        <v>1820.2737171996434</v>
      </c>
      <c r="CL285" s="202">
        <f t="shared" si="930"/>
        <v>1834.9574234985378</v>
      </c>
      <c r="CM285" s="202">
        <f t="shared" si="930"/>
        <v>1849.1814350773461</v>
      </c>
      <c r="CN285" s="195"/>
      <c r="CO285" s="195"/>
      <c r="CP285" s="195"/>
      <c r="CQ285" s="195"/>
      <c r="CR285" s="195"/>
      <c r="CS285" s="361">
        <v>38322</v>
      </c>
      <c r="CT285" s="361">
        <v>38687</v>
      </c>
      <c r="CU285" s="361">
        <v>39052</v>
      </c>
      <c r="CV285" s="361">
        <v>39417</v>
      </c>
      <c r="CW285" s="361">
        <v>39783</v>
      </c>
      <c r="CX285" s="361">
        <v>40148</v>
      </c>
      <c r="CY285" s="361">
        <v>40148</v>
      </c>
    </row>
    <row r="286" spans="1:135">
      <c r="A286" s="276" t="s">
        <v>61</v>
      </c>
      <c r="B286" s="243"/>
      <c r="C286" s="243"/>
      <c r="D286" s="243"/>
      <c r="E286" s="243"/>
      <c r="F286" s="243"/>
      <c r="G286" s="243">
        <f>G285/B285-1</f>
        <v>-0.61326261375112312</v>
      </c>
      <c r="H286" s="243"/>
      <c r="I286" s="243"/>
      <c r="J286" s="243"/>
      <c r="K286" s="243"/>
      <c r="L286" s="243">
        <f>L285/G285-1</f>
        <v>-0.75680784144109237</v>
      </c>
      <c r="M286" s="243"/>
      <c r="N286" s="243"/>
      <c r="O286" s="243"/>
      <c r="P286" s="243"/>
      <c r="Q286" s="243">
        <f>Q285/L285-1</f>
        <v>0.83924769037339431</v>
      </c>
      <c r="R286" s="243"/>
      <c r="S286" s="243"/>
      <c r="T286" s="243"/>
      <c r="U286" s="243"/>
      <c r="V286" s="243">
        <f>V285/Q285-1</f>
        <v>-0.52009031165585062</v>
      </c>
      <c r="W286" s="243"/>
      <c r="X286" s="243"/>
      <c r="Y286" s="243"/>
      <c r="Z286" s="243"/>
      <c r="AA286" s="243">
        <f>AA285/V285-1</f>
        <v>0.4227938705558274</v>
      </c>
      <c r="AB286" s="243"/>
      <c r="AC286" s="243"/>
      <c r="AD286" s="243"/>
      <c r="AE286" s="243"/>
      <c r="AF286" s="243">
        <f>AF285/AA285-1</f>
        <v>1.3506713588965336</v>
      </c>
      <c r="AG286" s="243"/>
      <c r="AH286" s="243"/>
      <c r="AI286" s="243"/>
      <c r="AJ286" s="243"/>
      <c r="AK286" s="243">
        <f>AK285/AF285-1</f>
        <v>-3.2076964619883297E-2</v>
      </c>
      <c r="AL286" s="243"/>
      <c r="AM286" s="243"/>
      <c r="AN286" s="243"/>
      <c r="AO286" s="243"/>
      <c r="AP286" s="243">
        <f>AP285/AK285-1</f>
        <v>0.21217382277757979</v>
      </c>
      <c r="AQ286" s="243"/>
      <c r="AR286" s="243"/>
      <c r="AS286" s="243"/>
      <c r="AT286" s="243"/>
      <c r="AU286" s="243">
        <f>AU285/AP285-1</f>
        <v>0.1263891773158683</v>
      </c>
      <c r="AV286" s="243"/>
      <c r="AW286" s="243"/>
      <c r="AX286" s="243"/>
      <c r="AY286" s="243"/>
      <c r="AZ286" s="243">
        <f t="shared" ref="AZ286:CC286" si="931">AZ285/AU285-1</f>
        <v>1.181976456321979</v>
      </c>
      <c r="BA286" s="243">
        <f t="shared" si="931"/>
        <v>-0.14046822742474918</v>
      </c>
      <c r="BB286" s="243">
        <f t="shared" si="931"/>
        <v>-0.12406015037593987</v>
      </c>
      <c r="BC286" s="243">
        <f t="shared" si="931"/>
        <v>-2.4691358024691357E-2</v>
      </c>
      <c r="BD286" s="243">
        <f t="shared" si="931"/>
        <v>0.16764705882352948</v>
      </c>
      <c r="BE286" s="243">
        <f t="shared" si="931"/>
        <v>-2.0905923344947785E-2</v>
      </c>
      <c r="BF286" s="243">
        <f t="shared" si="931"/>
        <v>0.10894941634241251</v>
      </c>
      <c r="BG286" s="243">
        <f t="shared" si="931"/>
        <v>0.23605150214592285</v>
      </c>
      <c r="BH286" s="243">
        <f t="shared" si="931"/>
        <v>0.45569620253164556</v>
      </c>
      <c r="BI286" s="243">
        <f t="shared" si="931"/>
        <v>0.50629722921914366</v>
      </c>
      <c r="BJ286" s="243">
        <f t="shared" si="931"/>
        <v>0.3487544483985765</v>
      </c>
      <c r="BK286" s="243">
        <f t="shared" si="931"/>
        <v>0.40701754385964906</v>
      </c>
      <c r="BL286" s="243">
        <f t="shared" si="931"/>
        <v>-0.12847222222222221</v>
      </c>
      <c r="BM286" s="243">
        <f t="shared" si="931"/>
        <v>-0.20869565217391306</v>
      </c>
      <c r="BN286" s="243">
        <f t="shared" si="931"/>
        <v>-0.47157190635451507</v>
      </c>
      <c r="BO286" s="243">
        <f t="shared" si="931"/>
        <v>-0.18139841688654357</v>
      </c>
      <c r="BP286" s="243">
        <f t="shared" si="931"/>
        <v>-0.32917705735660852</v>
      </c>
      <c r="BQ286" s="243">
        <f t="shared" si="931"/>
        <v>9.960159362549792E-2</v>
      </c>
      <c r="BR286" s="243">
        <f t="shared" si="931"/>
        <v>-0.12820512820512819</v>
      </c>
      <c r="BS286" s="243">
        <f t="shared" si="931"/>
        <v>0.39240506329113933</v>
      </c>
      <c r="BT286" s="243">
        <f t="shared" si="931"/>
        <v>-1.4504431909750148E-2</v>
      </c>
      <c r="BU286" s="222">
        <f t="shared" si="931"/>
        <v>0.39776951672862459</v>
      </c>
      <c r="BV286" s="222">
        <f t="shared" si="931"/>
        <v>0.23188405797101441</v>
      </c>
      <c r="BW286" s="222">
        <f t="shared" si="931"/>
        <v>0.24789915966386555</v>
      </c>
      <c r="BX286" s="222">
        <f t="shared" si="931"/>
        <v>0</v>
      </c>
      <c r="BY286" s="243">
        <f t="shared" si="931"/>
        <v>0.18806214227309903</v>
      </c>
      <c r="BZ286" s="222">
        <f t="shared" si="931"/>
        <v>0.10106382978723394</v>
      </c>
      <c r="CA286" s="222">
        <f t="shared" si="931"/>
        <v>5.0000000000000044E-2</v>
      </c>
      <c r="CB286" s="222">
        <f t="shared" si="931"/>
        <v>0</v>
      </c>
      <c r="CC286" s="222">
        <f t="shared" si="931"/>
        <v>0.22727272727272729</v>
      </c>
      <c r="CD286" s="243">
        <f>CD285/BY285-1</f>
        <v>0.34383358949147014</v>
      </c>
      <c r="CE286" s="243">
        <f t="shared" ref="CE286:CI286" si="932">CE285/CD285-1</f>
        <v>-0.10199316704740635</v>
      </c>
      <c r="CF286" s="243">
        <f t="shared" si="932"/>
        <v>-8.8799155969185861E-3</v>
      </c>
      <c r="CG286" s="243">
        <f t="shared" si="932"/>
        <v>1.0305865365180855E-2</v>
      </c>
      <c r="CH286" s="243">
        <f t="shared" si="932"/>
        <v>9.7502002980764946E-3</v>
      </c>
      <c r="CI286" s="243">
        <f t="shared" si="932"/>
        <v>9.255068400425337E-3</v>
      </c>
      <c r="CJ286" s="243">
        <f t="shared" ref="CJ286" si="933">CJ285/CI285-1</f>
        <v>8.8134159427939451E-3</v>
      </c>
      <c r="CK286" s="243">
        <f t="shared" ref="CK286" si="934">CK285/CJ285-1</f>
        <v>8.4191007630809445E-3</v>
      </c>
      <c r="CL286" s="243">
        <f t="shared" ref="CL286:CM286" si="935">CL285/CK285-1</f>
        <v>8.0667573014701066E-3</v>
      </c>
      <c r="CM286" s="243">
        <f t="shared" si="935"/>
        <v>7.7516848056826682E-3</v>
      </c>
      <c r="CN286" s="195"/>
      <c r="CO286" s="195"/>
      <c r="CP286" s="195"/>
      <c r="CQ286" s="195"/>
      <c r="CR286" s="362" t="s">
        <v>52</v>
      </c>
      <c r="CS286" s="274">
        <v>412</v>
      </c>
      <c r="CT286" s="274">
        <v>448</v>
      </c>
      <c r="CU286" s="363">
        <v>487</v>
      </c>
      <c r="CV286" s="363">
        <v>504</v>
      </c>
      <c r="CW286" s="363">
        <v>524</v>
      </c>
      <c r="CX286" s="364">
        <v>527</v>
      </c>
      <c r="CY286" s="364">
        <v>553</v>
      </c>
      <c r="DT286" s="198"/>
      <c r="DU286" s="198"/>
      <c r="DV286" s="198"/>
      <c r="DW286" s="198"/>
      <c r="DX286" s="198"/>
      <c r="DY286" s="198"/>
      <c r="DZ286" s="198"/>
      <c r="EA286" s="198"/>
      <c r="EB286" s="198"/>
      <c r="EC286" s="198"/>
      <c r="ED286" s="198"/>
      <c r="EE286" s="198"/>
    </row>
    <row r="287" spans="1:135">
      <c r="A287" s="286"/>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43"/>
      <c r="AV287" s="243"/>
      <c r="AW287" s="243"/>
      <c r="AX287" s="243"/>
      <c r="AY287" s="243"/>
      <c r="AZ287" s="243"/>
      <c r="BA287" s="243"/>
      <c r="BB287" s="243"/>
      <c r="BC287" s="243"/>
      <c r="BD287" s="243"/>
      <c r="BE287" s="243"/>
      <c r="BF287" s="243"/>
      <c r="BG287" s="243"/>
      <c r="BH287" s="243"/>
      <c r="BI287" s="243"/>
      <c r="BJ287" s="243"/>
      <c r="BK287" s="243"/>
      <c r="BL287" s="243"/>
      <c r="BM287" s="243"/>
      <c r="BN287" s="243"/>
      <c r="BO287" s="243"/>
      <c r="BP287" s="243"/>
      <c r="BQ287" s="243"/>
      <c r="BR287" s="243"/>
      <c r="BS287" s="243"/>
      <c r="BT287" s="243"/>
      <c r="BU287" s="222"/>
      <c r="BV287" s="222"/>
      <c r="BW287" s="222"/>
      <c r="BX287" s="222"/>
      <c r="BY287" s="243"/>
      <c r="BZ287" s="222"/>
      <c r="CA287" s="222"/>
      <c r="CB287" s="222"/>
      <c r="CC287" s="222"/>
      <c r="CD287" s="243"/>
      <c r="CE287" s="243"/>
      <c r="CF287" s="243"/>
      <c r="CG287" s="243"/>
      <c r="CH287" s="243"/>
      <c r="CI287" s="243"/>
      <c r="CJ287" s="243"/>
      <c r="CK287" s="243"/>
      <c r="CL287" s="243"/>
      <c r="CM287" s="243"/>
      <c r="CN287" s="195"/>
      <c r="CO287" s="195"/>
      <c r="CP287" s="195"/>
      <c r="CQ287" s="195"/>
      <c r="CR287" s="195"/>
      <c r="CS287" s="206"/>
      <c r="CT287" s="206"/>
      <c r="CU287" s="206"/>
      <c r="CV287" s="206"/>
      <c r="CW287" s="206"/>
      <c r="CX287" s="206"/>
    </row>
    <row r="288" spans="1:135">
      <c r="A288" s="286" t="s">
        <v>599</v>
      </c>
      <c r="B288" s="280">
        <v>7223.4</v>
      </c>
      <c r="C288" s="280"/>
      <c r="D288" s="280"/>
      <c r="E288" s="280"/>
      <c r="F288" s="280">
        <v>2078</v>
      </c>
      <c r="G288" s="280">
        <v>7937.8</v>
      </c>
      <c r="H288" s="280">
        <v>1954</v>
      </c>
      <c r="I288" s="280">
        <v>1962</v>
      </c>
      <c r="J288" s="280">
        <v>2013</v>
      </c>
      <c r="K288" s="280">
        <v>2075</v>
      </c>
      <c r="L288" s="280">
        <v>8004</v>
      </c>
      <c r="M288" s="280">
        <v>2023</v>
      </c>
      <c r="N288" s="280">
        <v>2041</v>
      </c>
      <c r="O288" s="280">
        <v>2063</v>
      </c>
      <c r="P288" s="280">
        <v>2152</v>
      </c>
      <c r="Q288" s="280">
        <v>8279</v>
      </c>
      <c r="R288" s="280">
        <v>2038</v>
      </c>
      <c r="S288" s="280">
        <v>2075</v>
      </c>
      <c r="T288" s="280">
        <v>2163</v>
      </c>
      <c r="U288" s="280">
        <v>2170</v>
      </c>
      <c r="V288" s="280">
        <v>8446</v>
      </c>
      <c r="W288" s="280">
        <v>2036</v>
      </c>
      <c r="X288" s="280">
        <v>2081</v>
      </c>
      <c r="Y288" s="280">
        <v>2066</v>
      </c>
      <c r="Z288" s="280">
        <v>2111</v>
      </c>
      <c r="AA288" s="280">
        <v>8294</v>
      </c>
      <c r="AB288" s="280">
        <v>2066</v>
      </c>
      <c r="AC288" s="280">
        <v>2063</v>
      </c>
      <c r="AD288" s="280">
        <v>2051</v>
      </c>
      <c r="AE288" s="280">
        <v>2024</v>
      </c>
      <c r="AF288" s="280">
        <v>8147.3720000000003</v>
      </c>
      <c r="AG288" s="280">
        <v>1953</v>
      </c>
      <c r="AH288" s="280">
        <v>1955</v>
      </c>
      <c r="AI288" s="280">
        <v>1946</v>
      </c>
      <c r="AJ288" s="280">
        <v>1988</v>
      </c>
      <c r="AK288" s="280">
        <v>7857</v>
      </c>
      <c r="AL288" s="280">
        <v>2019</v>
      </c>
      <c r="AM288" s="280">
        <v>1984</v>
      </c>
      <c r="AN288" s="280">
        <v>2046</v>
      </c>
      <c r="AO288" s="280">
        <v>2047</v>
      </c>
      <c r="AP288" s="280">
        <v>8096</v>
      </c>
      <c r="AQ288" s="280">
        <v>2005</v>
      </c>
      <c r="AR288" s="280">
        <v>1934</v>
      </c>
      <c r="AS288" s="280">
        <v>1982</v>
      </c>
      <c r="AT288" s="280">
        <v>2028</v>
      </c>
      <c r="AU288" s="280">
        <f>SUM(AQ288:AT288)</f>
        <v>7949</v>
      </c>
      <c r="AV288" s="280">
        <v>1994</v>
      </c>
      <c r="AW288" s="280">
        <f>'[2]Profit and Loss Highlights'!X$10</f>
        <v>1928</v>
      </c>
      <c r="AX288" s="280">
        <f>'[2]Profit and Loss Highlights'!Y$10</f>
        <v>1944</v>
      </c>
      <c r="AY288" s="280">
        <f>'[2]Profit and Loss Highlights'!Z$10</f>
        <v>1897</v>
      </c>
      <c r="AZ288" s="280">
        <f>SUM(AV288:AY288)</f>
        <v>7763</v>
      </c>
      <c r="BA288" s="280">
        <f>'[2]Profit and Loss Highlights'!AA$10</f>
        <v>1834</v>
      </c>
      <c r="BB288" s="280">
        <f>'[2]Profit and Loss Highlights'!AB$10</f>
        <v>1863</v>
      </c>
      <c r="BC288" s="280">
        <f>'[2]Profit and Loss Highlights'!AC$10</f>
        <v>1876</v>
      </c>
      <c r="BD288" s="280">
        <f>'[2]Profit and Loss Highlights'!AD$10</f>
        <v>1898</v>
      </c>
      <c r="BE288" s="280">
        <f>SUM(BA288:BD288)</f>
        <v>7471</v>
      </c>
      <c r="BF288" s="280">
        <f>'[2]Profit and Loss Highlights'!AE$10</f>
        <v>1797</v>
      </c>
      <c r="BG288" s="280">
        <f>'[2]Profit and Loss Highlights'!AF$10</f>
        <v>1763</v>
      </c>
      <c r="BH288" s="280">
        <f>'[2]Profit and Loss Highlights'!AG$10</f>
        <v>1773</v>
      </c>
      <c r="BI288" s="280">
        <f>'[2]Profit and Loss Highlights'!AH$10</f>
        <v>1772</v>
      </c>
      <c r="BJ288" s="280">
        <f>SUM(BF288:BI288)</f>
        <v>7105</v>
      </c>
      <c r="BK288" s="280">
        <f>'[2]Profit and Loss Highlights'!AI$10</f>
        <v>1698</v>
      </c>
      <c r="BL288" s="280">
        <f>'[2]Profit and Loss Highlights'!AJ$10</f>
        <v>1660</v>
      </c>
      <c r="BM288" s="280">
        <f>'[2]Profit and Loss Highlights'!AK$10</f>
        <v>1673</v>
      </c>
      <c r="BN288" s="280">
        <f>'[2]Profit and Loss Highlights'!AL$10</f>
        <v>1663</v>
      </c>
      <c r="BO288" s="280">
        <f>SUM(BK288:BN288)</f>
        <v>6694</v>
      </c>
      <c r="BP288" s="280">
        <f>'[2]Profit and Loss Highlights'!AM$10</f>
        <v>1664</v>
      </c>
      <c r="BQ288" s="280">
        <f>'[2]Profit and Loss Highlights'!AN$10</f>
        <v>1687</v>
      </c>
      <c r="BR288" s="280">
        <f>'[2]Profit and Loss Highlights'!AO$10</f>
        <v>1715</v>
      </c>
      <c r="BS288" s="280">
        <f>'[2]Profit and Loss Highlights'!AP$10</f>
        <v>1674</v>
      </c>
      <c r="BT288" s="280">
        <f>SUM(BP288:BS288)</f>
        <v>6740</v>
      </c>
      <c r="BU288" s="282">
        <f>'[2]Profit and Loss Highlights'!AQ$10</f>
        <v>1698</v>
      </c>
      <c r="BV288" s="282">
        <f>'[2]Profit and Loss Highlights'!AR$10</f>
        <v>1748</v>
      </c>
      <c r="BW288" s="282">
        <f>'[2]Profit and Loss Highlights'!AS$10</f>
        <v>1768</v>
      </c>
      <c r="BX288" s="282">
        <f>'[2]Profit and Loss Highlights'!AT$10</f>
        <v>1793</v>
      </c>
      <c r="BY288" s="280">
        <f>SUM(BU288:BX288)</f>
        <v>7007</v>
      </c>
      <c r="BZ288" s="282">
        <f>'[2]Profit and Loss Highlights'!AU$10</f>
        <v>1784</v>
      </c>
      <c r="CA288" s="282">
        <f>'[2]Profit and Loss Highlights'!AV$10</f>
        <v>1779</v>
      </c>
      <c r="CB288" s="282">
        <f>'[2]Profit and Loss Highlights'!AW$10</f>
        <v>1806</v>
      </c>
      <c r="CC288" s="282">
        <f>'[2]Profit and Loss Highlights'!AX$10</f>
        <v>1841</v>
      </c>
      <c r="CD288" s="281">
        <f t="shared" ref="CD288:CM288" si="936">CD221</f>
        <v>7222.7324000000008</v>
      </c>
      <c r="CE288" s="281">
        <f t="shared" si="936"/>
        <v>7308.3334501544177</v>
      </c>
      <c r="CF288" s="281">
        <f t="shared" si="936"/>
        <v>7413.014783175995</v>
      </c>
      <c r="CG288" s="281">
        <f t="shared" si="936"/>
        <v>7513.580904803639</v>
      </c>
      <c r="CH288" s="281">
        <f t="shared" si="936"/>
        <v>7642.2927278304833</v>
      </c>
      <c r="CI288" s="281">
        <f t="shared" si="936"/>
        <v>7801.5731855623471</v>
      </c>
      <c r="CJ288" s="281">
        <f t="shared" si="936"/>
        <v>7956.7710987023947</v>
      </c>
      <c r="CK288" s="281">
        <f t="shared" si="936"/>
        <v>8108.3685212642031</v>
      </c>
      <c r="CL288" s="281">
        <f t="shared" si="936"/>
        <v>8256.8062988598631</v>
      </c>
      <c r="CM288" s="281">
        <f t="shared" si="936"/>
        <v>8402.4877254670009</v>
      </c>
      <c r="CN288" s="195"/>
      <c r="CO288" s="195"/>
      <c r="CP288" s="195"/>
      <c r="CQ288" s="195"/>
      <c r="CR288" s="195"/>
      <c r="CS288" s="206"/>
      <c r="CT288" s="206"/>
      <c r="CU288" s="206"/>
      <c r="CV288" s="206"/>
      <c r="CW288" s="206"/>
      <c r="CX288" s="206"/>
    </row>
    <row r="289" spans="1:139">
      <c r="A289" s="276" t="s">
        <v>605</v>
      </c>
      <c r="B289" s="204"/>
      <c r="C289" s="243"/>
      <c r="D289" s="243"/>
      <c r="E289" s="243"/>
      <c r="F289" s="243"/>
      <c r="G289" s="204"/>
      <c r="H289" s="204"/>
      <c r="I289" s="204"/>
      <c r="J289" s="204"/>
      <c r="K289" s="204"/>
      <c r="L289" s="204"/>
      <c r="M289" s="204"/>
      <c r="N289" s="204"/>
      <c r="O289" s="204"/>
      <c r="P289" s="204"/>
      <c r="Q289" s="243">
        <f t="shared" ref="Q289:CC289" si="937">Q288/L288-1</f>
        <v>3.4357821089455287E-2</v>
      </c>
      <c r="R289" s="243">
        <f t="shared" si="937"/>
        <v>7.4147305981215883E-3</v>
      </c>
      <c r="S289" s="243">
        <f t="shared" si="937"/>
        <v>1.6658500734933801E-2</v>
      </c>
      <c r="T289" s="243">
        <f t="shared" si="937"/>
        <v>4.847309743092576E-2</v>
      </c>
      <c r="U289" s="243">
        <f t="shared" si="937"/>
        <v>8.3643122676579917E-3</v>
      </c>
      <c r="V289" s="243">
        <f t="shared" si="937"/>
        <v>2.0171518299311408E-2</v>
      </c>
      <c r="W289" s="243">
        <f t="shared" si="937"/>
        <v>-9.8135426889112143E-4</v>
      </c>
      <c r="X289" s="243">
        <f t="shared" si="937"/>
        <v>2.8915662650601526E-3</v>
      </c>
      <c r="Y289" s="243">
        <f t="shared" si="937"/>
        <v>-4.4845122515025482E-2</v>
      </c>
      <c r="Z289" s="243">
        <f t="shared" si="937"/>
        <v>-2.7188940092165881E-2</v>
      </c>
      <c r="AA289" s="243">
        <f t="shared" si="937"/>
        <v>-1.799668482121719E-2</v>
      </c>
      <c r="AB289" s="243">
        <f t="shared" si="937"/>
        <v>1.4734774066797574E-2</v>
      </c>
      <c r="AC289" s="243">
        <f t="shared" si="937"/>
        <v>-8.6496876501681585E-3</v>
      </c>
      <c r="AD289" s="243">
        <f t="shared" si="937"/>
        <v>-7.2604065827686082E-3</v>
      </c>
      <c r="AE289" s="243">
        <f t="shared" si="937"/>
        <v>-4.1212695405021371E-2</v>
      </c>
      <c r="AF289" s="243">
        <f t="shared" si="937"/>
        <v>-1.7678803954666034E-2</v>
      </c>
      <c r="AG289" s="243">
        <f t="shared" si="937"/>
        <v>-5.4695062923523663E-2</v>
      </c>
      <c r="AH289" s="243">
        <f t="shared" si="937"/>
        <v>-5.2350945225399848E-2</v>
      </c>
      <c r="AI289" s="243">
        <f t="shared" si="937"/>
        <v>-5.1194539249146742E-2</v>
      </c>
      <c r="AJ289" s="243">
        <f t="shared" si="937"/>
        <v>-1.7786561264822143E-2</v>
      </c>
      <c r="AK289" s="243">
        <f t="shared" si="937"/>
        <v>-3.563995850441104E-2</v>
      </c>
      <c r="AL289" s="243">
        <f t="shared" si="937"/>
        <v>3.3794162826420893E-2</v>
      </c>
      <c r="AM289" s="243">
        <f t="shared" si="937"/>
        <v>1.4833759590792805E-2</v>
      </c>
      <c r="AN289" s="243">
        <f t="shared" si="937"/>
        <v>5.1387461459403871E-2</v>
      </c>
      <c r="AO289" s="243">
        <f t="shared" si="937"/>
        <v>2.9678068410462721E-2</v>
      </c>
      <c r="AP289" s="243">
        <f t="shared" si="937"/>
        <v>3.0418734886088927E-2</v>
      </c>
      <c r="AQ289" s="243">
        <f t="shared" si="937"/>
        <v>-6.9341258048538634E-3</v>
      </c>
      <c r="AR289" s="243">
        <f t="shared" si="937"/>
        <v>-2.5201612903225756E-2</v>
      </c>
      <c r="AS289" s="243">
        <f t="shared" si="937"/>
        <v>-3.128054740957964E-2</v>
      </c>
      <c r="AT289" s="243">
        <f t="shared" si="937"/>
        <v>-9.2818759159746245E-3</v>
      </c>
      <c r="AU289" s="243">
        <f t="shared" si="937"/>
        <v>-1.8157114624505977E-2</v>
      </c>
      <c r="AV289" s="243">
        <f t="shared" si="937"/>
        <v>-5.4862842892767771E-3</v>
      </c>
      <c r="AW289" s="243">
        <f t="shared" si="937"/>
        <v>-3.1023784901758056E-3</v>
      </c>
      <c r="AX289" s="243">
        <f t="shared" si="937"/>
        <v>-1.9172552976791102E-2</v>
      </c>
      <c r="AY289" s="243">
        <f t="shared" si="937"/>
        <v>-6.4595660749506956E-2</v>
      </c>
      <c r="AZ289" s="243">
        <f t="shared" si="937"/>
        <v>-2.3399169706881384E-2</v>
      </c>
      <c r="BA289" s="243">
        <f t="shared" si="937"/>
        <v>-8.0240722166499467E-2</v>
      </c>
      <c r="BB289" s="243">
        <f t="shared" si="937"/>
        <v>-3.3713692946058083E-2</v>
      </c>
      <c r="BC289" s="243">
        <f t="shared" si="937"/>
        <v>-3.4979423868312765E-2</v>
      </c>
      <c r="BD289" s="243">
        <f t="shared" si="937"/>
        <v>5.2714812862419969E-4</v>
      </c>
      <c r="BE289" s="243">
        <f t="shared" si="937"/>
        <v>-3.7614324359139473E-2</v>
      </c>
      <c r="BF289" s="243">
        <f t="shared" si="937"/>
        <v>-2.0174482006543037E-2</v>
      </c>
      <c r="BG289" s="243">
        <f t="shared" si="937"/>
        <v>-5.3676865271068186E-2</v>
      </c>
      <c r="BH289" s="243">
        <f t="shared" si="937"/>
        <v>-5.4904051172707913E-2</v>
      </c>
      <c r="BI289" s="243">
        <f t="shared" si="937"/>
        <v>-6.6385669125395119E-2</v>
      </c>
      <c r="BJ289" s="243">
        <f t="shared" si="937"/>
        <v>-4.8989425779681461E-2</v>
      </c>
      <c r="BK289" s="243">
        <f t="shared" si="937"/>
        <v>-5.5091819699499167E-2</v>
      </c>
      <c r="BL289" s="243">
        <f t="shared" si="937"/>
        <v>-5.8423142370958581E-2</v>
      </c>
      <c r="BM289" s="243">
        <f t="shared" si="937"/>
        <v>-5.6401579244218847E-2</v>
      </c>
      <c r="BN289" s="243">
        <f t="shared" si="937"/>
        <v>-6.1512415349887162E-2</v>
      </c>
      <c r="BO289" s="243">
        <f>BO288/BJ288-1</f>
        <v>-5.7846586910626274E-2</v>
      </c>
      <c r="BP289" s="243">
        <f t="shared" si="937"/>
        <v>-2.0023557126030656E-2</v>
      </c>
      <c r="BQ289" s="243">
        <f t="shared" si="937"/>
        <v>1.6265060240963747E-2</v>
      </c>
      <c r="BR289" s="243">
        <f t="shared" si="937"/>
        <v>2.5104602510460206E-2</v>
      </c>
      <c r="BS289" s="243">
        <f t="shared" si="937"/>
        <v>6.6145520144318404E-3</v>
      </c>
      <c r="BT289" s="243">
        <f>BT288/BO288-1</f>
        <v>6.8718255153870089E-3</v>
      </c>
      <c r="BU289" s="222">
        <f t="shared" si="937"/>
        <v>2.0432692307692291E-2</v>
      </c>
      <c r="BV289" s="222">
        <f t="shared" si="937"/>
        <v>3.6158861885003057E-2</v>
      </c>
      <c r="BW289" s="222">
        <f t="shared" si="937"/>
        <v>3.0903790087463578E-2</v>
      </c>
      <c r="BX289" s="222">
        <f t="shared" si="937"/>
        <v>7.1087216248506557E-2</v>
      </c>
      <c r="BY289" s="243">
        <f>BY288/BT288-1</f>
        <v>3.96142433234421E-2</v>
      </c>
      <c r="BZ289" s="222">
        <f t="shared" si="937"/>
        <v>5.0647820965842083E-2</v>
      </c>
      <c r="CA289" s="222">
        <f t="shared" si="937"/>
        <v>1.7734553775743622E-2</v>
      </c>
      <c r="CB289" s="222">
        <f t="shared" si="937"/>
        <v>2.1493212669683182E-2</v>
      </c>
      <c r="CC289" s="222">
        <f t="shared" si="937"/>
        <v>2.6770775237032973E-2</v>
      </c>
      <c r="CD289" s="243">
        <f>CD288/BY288-1</f>
        <v>3.0788126159554841E-2</v>
      </c>
      <c r="CE289" s="243">
        <f t="shared" ref="CE289:CI289" si="938">CE288/CD288-1</f>
        <v>1.1851615900156709E-2</v>
      </c>
      <c r="CF289" s="243">
        <f t="shared" si="938"/>
        <v>1.4323557311053614E-2</v>
      </c>
      <c r="CG289" s="243">
        <f t="shared" si="938"/>
        <v>1.3566156896905213E-2</v>
      </c>
      <c r="CH289" s="243">
        <f t="shared" si="938"/>
        <v>1.7130556609107117E-2</v>
      </c>
      <c r="CI289" s="243">
        <f t="shared" si="938"/>
        <v>2.0841972874425796E-2</v>
      </c>
      <c r="CJ289" s="243">
        <f t="shared" ref="CJ289" si="939">CJ288/CI288-1</f>
        <v>1.9893156091550512E-2</v>
      </c>
      <c r="CK289" s="243">
        <f t="shared" ref="CK289" si="940">CK288/CJ288-1</f>
        <v>1.9052630857576247E-2</v>
      </c>
      <c r="CL289" s="243">
        <f t="shared" ref="CL289:CM289" si="941">CL288/CK288-1</f>
        <v>1.8306737934564943E-2</v>
      </c>
      <c r="CM289" s="243">
        <f t="shared" si="941"/>
        <v>1.7643798502001262E-2</v>
      </c>
      <c r="CN289" s="195"/>
      <c r="CO289" s="195"/>
      <c r="CP289" s="195"/>
      <c r="CQ289" s="195"/>
      <c r="CR289" s="195"/>
      <c r="CS289" s="206"/>
      <c r="CT289" s="206"/>
      <c r="CU289" s="206"/>
      <c r="CV289" s="206"/>
      <c r="CW289" s="206"/>
      <c r="CX289" s="206"/>
    </row>
    <row r="290" spans="1:139">
      <c r="A290" s="276"/>
      <c r="B290" s="204"/>
      <c r="C290" s="243"/>
      <c r="D290" s="243"/>
      <c r="E290" s="243"/>
      <c r="F290" s="243"/>
      <c r="G290" s="204"/>
      <c r="H290" s="204"/>
      <c r="I290" s="204"/>
      <c r="J290" s="204"/>
      <c r="K290" s="204"/>
      <c r="L290" s="204"/>
      <c r="M290" s="204"/>
      <c r="N290" s="204"/>
      <c r="O290" s="204"/>
      <c r="P290" s="204"/>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43"/>
      <c r="AZ290" s="243"/>
      <c r="BA290" s="243"/>
      <c r="BB290" s="243"/>
      <c r="BC290" s="243"/>
      <c r="BD290" s="243"/>
      <c r="BE290" s="243"/>
      <c r="BF290" s="243"/>
      <c r="BG290" s="243"/>
      <c r="BH290" s="243"/>
      <c r="BI290" s="243"/>
      <c r="BJ290" s="243"/>
      <c r="BK290" s="243"/>
      <c r="BL290" s="243"/>
      <c r="BM290" s="243"/>
      <c r="BN290" s="243"/>
      <c r="BO290" s="243"/>
      <c r="BP290" s="243"/>
      <c r="BQ290" s="243"/>
      <c r="BR290" s="243"/>
      <c r="BS290" s="243"/>
      <c r="BT290" s="243"/>
      <c r="BU290" s="222"/>
      <c r="BV290" s="222"/>
      <c r="BW290" s="222"/>
      <c r="BX290" s="222"/>
      <c r="BY290" s="243"/>
      <c r="BZ290" s="222"/>
      <c r="CA290" s="222"/>
      <c r="CB290" s="222"/>
      <c r="CC290" s="222"/>
      <c r="CD290" s="243"/>
      <c r="CE290" s="243"/>
      <c r="CF290" s="243"/>
      <c r="CG290" s="243"/>
      <c r="CH290" s="243"/>
      <c r="CI290" s="243"/>
      <c r="CJ290" s="243"/>
      <c r="CK290" s="243"/>
      <c r="CL290" s="243"/>
      <c r="CM290" s="243"/>
      <c r="CN290" s="195"/>
      <c r="CO290" s="195"/>
      <c r="CP290" s="195"/>
      <c r="CQ290" s="195"/>
      <c r="CR290" s="195"/>
      <c r="CS290" s="206"/>
      <c r="CT290" s="206"/>
      <c r="CU290" s="206"/>
      <c r="CV290" s="206"/>
      <c r="CW290" s="206"/>
      <c r="CX290" s="206"/>
    </row>
    <row r="291" spans="1:139" hidden="1" outlineLevel="1">
      <c r="A291" s="237" t="s">
        <v>58</v>
      </c>
      <c r="B291" s="237">
        <f>B282</f>
        <v>2007</v>
      </c>
      <c r="C291" s="237"/>
      <c r="D291" s="237"/>
      <c r="E291" s="237"/>
      <c r="F291" s="237"/>
      <c r="G291" s="237">
        <f>B291+1</f>
        <v>2008</v>
      </c>
      <c r="H291" s="237"/>
      <c r="I291" s="237"/>
      <c r="J291" s="237"/>
      <c r="K291" s="237"/>
      <c r="L291" s="237">
        <f>G291+1</f>
        <v>2009</v>
      </c>
      <c r="M291" s="237"/>
      <c r="N291" s="237"/>
      <c r="O291" s="237"/>
      <c r="P291" s="237"/>
      <c r="Q291" s="237">
        <f>L291+1</f>
        <v>2010</v>
      </c>
      <c r="R291" s="237"/>
      <c r="S291" s="237"/>
      <c r="T291" s="237"/>
      <c r="U291" s="237"/>
      <c r="V291" s="237">
        <f>Q291+1</f>
        <v>2011</v>
      </c>
      <c r="W291" s="237"/>
      <c r="X291" s="237"/>
      <c r="Y291" s="237"/>
      <c r="Z291" s="237"/>
      <c r="AA291" s="237">
        <f>V291+1</f>
        <v>2012</v>
      </c>
      <c r="AB291" s="237"/>
      <c r="AC291" s="237"/>
      <c r="AD291" s="237"/>
      <c r="AE291" s="237"/>
      <c r="AF291" s="237">
        <f>AA291+1</f>
        <v>2013</v>
      </c>
      <c r="AG291" s="237"/>
      <c r="AH291" s="237"/>
      <c r="AI291" s="237"/>
      <c r="AJ291" s="237"/>
      <c r="AK291" s="237">
        <f>AF291+1</f>
        <v>2014</v>
      </c>
      <c r="AL291" s="237"/>
      <c r="AM291" s="237"/>
      <c r="AN291" s="237"/>
      <c r="AO291" s="237"/>
      <c r="AP291" s="237">
        <f>AK291+1</f>
        <v>2015</v>
      </c>
      <c r="AQ291" s="237"/>
      <c r="AR291" s="237"/>
      <c r="AS291" s="237"/>
      <c r="AT291" s="237"/>
      <c r="AU291" s="237">
        <f>AP291+1</f>
        <v>2016</v>
      </c>
      <c r="AV291" s="237"/>
      <c r="AW291" s="237"/>
      <c r="AX291" s="237"/>
      <c r="AY291" s="237"/>
      <c r="AZ291" s="237">
        <f>AU291+1</f>
        <v>2017</v>
      </c>
      <c r="BA291" s="237"/>
      <c r="BB291" s="237"/>
      <c r="BC291" s="237"/>
      <c r="BD291" s="237"/>
      <c r="BE291" s="237">
        <f>AZ291+1</f>
        <v>2018</v>
      </c>
      <c r="BF291" s="237"/>
      <c r="BG291" s="237"/>
      <c r="BH291" s="237"/>
      <c r="BI291" s="237"/>
      <c r="BJ291" s="237">
        <f>BE291+1</f>
        <v>2019</v>
      </c>
      <c r="BK291" s="237"/>
      <c r="BL291" s="237"/>
      <c r="BM291" s="237"/>
      <c r="BN291" s="237"/>
      <c r="BO291" s="237">
        <f>BJ291+1</f>
        <v>2020</v>
      </c>
      <c r="BP291" s="237"/>
      <c r="BQ291" s="237"/>
      <c r="BR291" s="237"/>
      <c r="BS291" s="237"/>
      <c r="BT291" s="237">
        <f>BO291+1</f>
        <v>2021</v>
      </c>
      <c r="BU291" s="237"/>
      <c r="BV291" s="237"/>
      <c r="BW291" s="237"/>
      <c r="BX291" s="237"/>
      <c r="BY291" s="237">
        <f>BT291+1</f>
        <v>2022</v>
      </c>
      <c r="BZ291" s="237"/>
      <c r="CA291" s="237"/>
      <c r="CB291" s="237"/>
      <c r="CC291" s="237"/>
      <c r="CD291" s="237">
        <f>BY291+1</f>
        <v>2023</v>
      </c>
      <c r="CE291" s="237">
        <f t="shared" ref="CE291:CI291" si="942">CD291+1</f>
        <v>2024</v>
      </c>
      <c r="CF291" s="237">
        <f t="shared" si="942"/>
        <v>2025</v>
      </c>
      <c r="CG291" s="237">
        <f t="shared" si="942"/>
        <v>2026</v>
      </c>
      <c r="CH291" s="237">
        <f t="shared" si="942"/>
        <v>2027</v>
      </c>
      <c r="CI291" s="237">
        <f t="shared" si="942"/>
        <v>2028</v>
      </c>
      <c r="CJ291" s="237">
        <f t="shared" ref="CJ291" si="943">CI291+1</f>
        <v>2029</v>
      </c>
      <c r="CK291" s="237">
        <f t="shared" ref="CK291" si="944">CJ291+1</f>
        <v>2030</v>
      </c>
      <c r="CL291" s="237">
        <f t="shared" ref="CL291:CM291" si="945">CK291+1</f>
        <v>2031</v>
      </c>
      <c r="CM291" s="237">
        <f t="shared" si="945"/>
        <v>2032</v>
      </c>
      <c r="CN291" s="195"/>
      <c r="CO291" s="195"/>
      <c r="CP291" s="195"/>
      <c r="CQ291" s="195"/>
      <c r="CR291" s="276" t="s">
        <v>57</v>
      </c>
      <c r="CS291" s="365">
        <v>262.39999999999998</v>
      </c>
      <c r="CT291" s="366">
        <v>313.2</v>
      </c>
      <c r="CU291" s="366">
        <v>342</v>
      </c>
      <c r="CV291" s="366">
        <v>398.14</v>
      </c>
      <c r="CW291" s="367">
        <v>412.34005436787288</v>
      </c>
      <c r="CX291" s="367">
        <v>441.32505811297347</v>
      </c>
      <c r="CY291" s="367">
        <v>467.99361565100776</v>
      </c>
    </row>
    <row r="292" spans="1:139" hidden="1" outlineLevel="1">
      <c r="A292" s="276"/>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43"/>
      <c r="AV292" s="243"/>
      <c r="AW292" s="243"/>
      <c r="AX292" s="243"/>
      <c r="AY292" s="243"/>
      <c r="AZ292" s="243"/>
      <c r="BA292" s="243"/>
      <c r="BB292" s="243"/>
      <c r="BC292" s="243"/>
      <c r="BD292" s="243"/>
      <c r="BE292" s="243"/>
      <c r="BF292" s="243"/>
      <c r="BG292" s="243"/>
      <c r="BH292" s="243"/>
      <c r="BI292" s="243"/>
      <c r="BJ292" s="243"/>
      <c r="BK292" s="243"/>
      <c r="BL292" s="243"/>
      <c r="BM292" s="243"/>
      <c r="BN292" s="243"/>
      <c r="BO292" s="243"/>
      <c r="BP292" s="243"/>
      <c r="BQ292" s="243"/>
      <c r="BR292" s="243"/>
      <c r="BS292" s="243"/>
      <c r="BT292" s="243"/>
      <c r="BU292" s="222"/>
      <c r="BV292" s="222"/>
      <c r="BW292" s="222"/>
      <c r="BX292" s="222"/>
      <c r="BY292" s="243"/>
      <c r="BZ292" s="222"/>
      <c r="CA292" s="222"/>
      <c r="CB292" s="222"/>
      <c r="CC292" s="222"/>
      <c r="CD292" s="243"/>
      <c r="CE292" s="243"/>
      <c r="CF292" s="243"/>
      <c r="CG292" s="243"/>
      <c r="CH292" s="243"/>
      <c r="CI292" s="243"/>
      <c r="CJ292" s="243"/>
      <c r="CK292" s="243"/>
      <c r="CL292" s="243"/>
      <c r="CM292" s="243"/>
      <c r="CN292" s="195"/>
      <c r="CO292" s="195"/>
      <c r="CP292" s="195"/>
      <c r="CQ292" s="195"/>
      <c r="CR292" s="276" t="s">
        <v>39</v>
      </c>
      <c r="CS292" s="243">
        <v>0.17142857142857126</v>
      </c>
      <c r="CT292" s="243">
        <v>0.19359756097560976</v>
      </c>
      <c r="CU292" s="243">
        <v>9.1954022988505857E-2</v>
      </c>
      <c r="CV292" s="243">
        <v>0.16415204678362572</v>
      </c>
      <c r="CW292" s="243">
        <v>3.5665982739420565E-2</v>
      </c>
      <c r="CX292" s="243">
        <v>7.0293932006036286E-2</v>
      </c>
      <c r="CY292" s="243">
        <v>6.0428378239079095E-2</v>
      </c>
    </row>
    <row r="293" spans="1:139" hidden="1" outlineLevel="1">
      <c r="A293" s="241" t="s">
        <v>53</v>
      </c>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row>
    <row r="294" spans="1:139" hidden="1" outlineLevel="1">
      <c r="A294" s="368" t="s">
        <v>54</v>
      </c>
      <c r="B294" s="204"/>
      <c r="C294" s="204"/>
      <c r="D294" s="204"/>
      <c r="E294" s="204"/>
      <c r="F294" s="204"/>
      <c r="G294" s="204"/>
      <c r="H294" s="204"/>
      <c r="I294" s="204"/>
      <c r="J294" s="204"/>
      <c r="K294" s="204"/>
      <c r="L294" s="204"/>
      <c r="M294" s="204"/>
      <c r="N294" s="204"/>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c r="AL294" s="204"/>
      <c r="AM294" s="204"/>
      <c r="AN294" s="204"/>
      <c r="AO294" s="204"/>
      <c r="AP294" s="204"/>
      <c r="AQ294" s="204"/>
      <c r="AR294" s="204"/>
      <c r="AS294" s="204"/>
      <c r="AT294" s="204"/>
      <c r="AU294" s="204"/>
      <c r="AV294" s="204"/>
      <c r="AW294" s="204"/>
      <c r="AX294" s="204"/>
      <c r="AY294" s="204"/>
      <c r="AZ294" s="204"/>
      <c r="BA294" s="204"/>
      <c r="BB294" s="204"/>
      <c r="BC294" s="204"/>
      <c r="BD294" s="204"/>
      <c r="BE294" s="204"/>
      <c r="BF294" s="204"/>
      <c r="BG294" s="204"/>
      <c r="BH294" s="204"/>
      <c r="BI294" s="204"/>
      <c r="BJ294" s="204"/>
      <c r="BK294" s="204"/>
      <c r="BL294" s="204"/>
      <c r="BM294" s="204"/>
      <c r="BN294" s="204"/>
      <c r="BO294" s="204"/>
      <c r="BP294" s="204"/>
      <c r="BQ294" s="204"/>
      <c r="BR294" s="204"/>
      <c r="BS294" s="204"/>
      <c r="BT294" s="204"/>
      <c r="BU294" s="254"/>
      <c r="BV294" s="254"/>
      <c r="BW294" s="254"/>
      <c r="BX294" s="254"/>
      <c r="BY294" s="204"/>
      <c r="BZ294" s="254"/>
      <c r="CA294" s="254"/>
      <c r="CB294" s="254"/>
      <c r="CC294" s="254"/>
      <c r="CD294" s="204"/>
      <c r="CE294" s="204"/>
      <c r="CF294" s="204"/>
      <c r="CG294" s="204"/>
      <c r="CH294" s="204"/>
      <c r="CI294" s="204"/>
      <c r="CJ294" s="204"/>
      <c r="CK294" s="204"/>
      <c r="CL294" s="204"/>
      <c r="CM294" s="204"/>
      <c r="CN294" s="195"/>
      <c r="CO294" s="195"/>
      <c r="CP294" s="195"/>
      <c r="CQ294" s="195"/>
      <c r="CR294" s="195"/>
      <c r="CS294" s="195"/>
      <c r="CT294" s="195"/>
      <c r="DE294" s="198"/>
      <c r="DF294" s="198"/>
      <c r="DG294" s="198"/>
      <c r="DH294" s="198"/>
      <c r="DI294" s="198"/>
    </row>
    <row r="295" spans="1:139" hidden="1" outlineLevel="1">
      <c r="A295" s="276" t="s">
        <v>39</v>
      </c>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43"/>
      <c r="AZ295" s="243"/>
      <c r="BA295" s="243"/>
      <c r="BB295" s="243"/>
      <c r="BC295" s="243"/>
      <c r="BD295" s="243"/>
      <c r="BE295" s="243"/>
      <c r="BF295" s="243"/>
      <c r="BG295" s="243"/>
      <c r="BH295" s="243"/>
      <c r="BI295" s="243"/>
      <c r="BJ295" s="243"/>
      <c r="BK295" s="243"/>
      <c r="BL295" s="243"/>
      <c r="BM295" s="243"/>
      <c r="BN295" s="243"/>
      <c r="BO295" s="243"/>
      <c r="BP295" s="243"/>
      <c r="BQ295" s="243"/>
      <c r="BR295" s="243"/>
      <c r="BS295" s="243"/>
      <c r="BT295" s="243"/>
      <c r="BU295" s="222"/>
      <c r="BV295" s="222"/>
      <c r="BW295" s="222"/>
      <c r="BX295" s="222"/>
      <c r="BY295" s="243"/>
      <c r="BZ295" s="222"/>
      <c r="CA295" s="222"/>
      <c r="CB295" s="222"/>
      <c r="CC295" s="222"/>
      <c r="CD295" s="243"/>
      <c r="CE295" s="243"/>
      <c r="CF295" s="243"/>
      <c r="CG295" s="243"/>
      <c r="CH295" s="243"/>
      <c r="CI295" s="243"/>
      <c r="CJ295" s="243"/>
      <c r="CK295" s="243"/>
      <c r="CL295" s="243"/>
      <c r="CM295" s="243"/>
      <c r="CN295" s="195"/>
      <c r="CO295" s="195"/>
      <c r="CP295" s="195"/>
      <c r="CQ295" s="195"/>
      <c r="CR295" s="195"/>
      <c r="CS295" s="195"/>
      <c r="CT295" s="195"/>
    </row>
    <row r="296" spans="1:139" s="198" customFormat="1" hidden="1" outlineLevel="1">
      <c r="A296" s="362" t="s">
        <v>545</v>
      </c>
      <c r="B296" s="369"/>
      <c r="C296" s="369"/>
      <c r="D296" s="369"/>
      <c r="E296" s="369"/>
      <c r="F296" s="369"/>
      <c r="G296" s="369"/>
      <c r="H296" s="369"/>
      <c r="I296" s="369"/>
      <c r="J296" s="369"/>
      <c r="K296" s="369"/>
      <c r="L296" s="369"/>
      <c r="M296" s="369"/>
      <c r="N296" s="369"/>
      <c r="O296" s="369"/>
      <c r="P296" s="369"/>
      <c r="Q296" s="370">
        <v>1750</v>
      </c>
      <c r="R296" s="370">
        <v>1771.55</v>
      </c>
      <c r="S296" s="370">
        <v>1825.02</v>
      </c>
      <c r="T296" s="370">
        <v>1868.38</v>
      </c>
      <c r="U296" s="370">
        <v>1922.5</v>
      </c>
      <c r="V296" s="370">
        <v>1922.5</v>
      </c>
      <c r="W296" s="370">
        <v>1973.75</v>
      </c>
      <c r="X296" s="370">
        <v>2011.03</v>
      </c>
      <c r="Y296" s="370">
        <v>2028.13</v>
      </c>
      <c r="Z296" s="370">
        <v>2065.5100000000002</v>
      </c>
      <c r="AA296" s="370">
        <v>2065.5100000000002</v>
      </c>
      <c r="AB296" s="370">
        <v>2109</v>
      </c>
      <c r="AC296" s="370">
        <v>2153</v>
      </c>
      <c r="AD296" s="370">
        <v>2184</v>
      </c>
      <c r="AE296" s="370">
        <v>2215</v>
      </c>
      <c r="AF296" s="370">
        <v>2215</v>
      </c>
      <c r="AG296" s="370">
        <v>2230</v>
      </c>
      <c r="AH296" s="370">
        <v>2251</v>
      </c>
      <c r="AI296" s="370">
        <v>2213</v>
      </c>
      <c r="AJ296" s="370">
        <v>2231</v>
      </c>
      <c r="AK296" s="370">
        <v>2231</v>
      </c>
      <c r="AL296" s="370">
        <v>2266</v>
      </c>
      <c r="AM296" s="370">
        <v>2288</v>
      </c>
      <c r="AN296" s="370">
        <v>2294</v>
      </c>
      <c r="AO296" s="370">
        <v>2340</v>
      </c>
      <c r="AP296" s="370">
        <v>2340</v>
      </c>
      <c r="AQ296" s="370">
        <v>2342</v>
      </c>
      <c r="AR296" s="370">
        <v>2387</v>
      </c>
      <c r="AS296" s="370">
        <v>2369</v>
      </c>
      <c r="AT296" s="369"/>
      <c r="AU296" s="370">
        <v>2670.5251605745239</v>
      </c>
      <c r="AV296" s="370"/>
      <c r="AW296" s="370"/>
      <c r="AX296" s="369"/>
      <c r="AY296" s="369"/>
      <c r="AZ296" s="370">
        <v>2931.4378144624702</v>
      </c>
      <c r="BA296" s="370"/>
      <c r="BB296" s="370"/>
      <c r="BC296" s="370"/>
      <c r="BD296" s="370"/>
      <c r="BE296" s="370">
        <v>3202.4561442831637</v>
      </c>
      <c r="BF296" s="370"/>
      <c r="BG296" s="369"/>
      <c r="BH296" s="369"/>
      <c r="BI296" s="369"/>
      <c r="BJ296" s="370">
        <v>3476.3075480771631</v>
      </c>
      <c r="BK296" s="370"/>
      <c r="BL296" s="370"/>
      <c r="BM296" s="370"/>
      <c r="BN296" s="370"/>
      <c r="BO296" s="370">
        <v>3749.2503231949804</v>
      </c>
      <c r="BP296" s="370"/>
      <c r="BQ296" s="370"/>
      <c r="BR296" s="370"/>
      <c r="BS296" s="370"/>
      <c r="BT296" s="370">
        <v>3749.2503231949804</v>
      </c>
      <c r="BU296" s="371"/>
      <c r="BV296" s="371"/>
      <c r="BW296" s="371"/>
      <c r="BX296" s="371"/>
      <c r="BY296" s="370">
        <v>4273.7736135678069</v>
      </c>
      <c r="BZ296" s="371"/>
      <c r="CA296" s="371"/>
      <c r="CB296" s="371"/>
      <c r="CC296" s="371"/>
      <c r="CD296" s="370">
        <v>4538.0549907171198</v>
      </c>
      <c r="CE296" s="370">
        <v>4800.3166359035304</v>
      </c>
      <c r="CF296" s="370">
        <v>5062.57828108995</v>
      </c>
      <c r="CG296" s="370">
        <v>5324.8399262763596</v>
      </c>
      <c r="CH296" s="370">
        <v>5587.1015714627702</v>
      </c>
      <c r="CI296" s="370">
        <v>5849.3632166491898</v>
      </c>
      <c r="CJ296" s="370">
        <v>5849.3632166491898</v>
      </c>
      <c r="CK296" s="370">
        <v>5849.3632166491898</v>
      </c>
      <c r="CL296" s="370">
        <v>5849.3632166491898</v>
      </c>
      <c r="CM296" s="370">
        <v>5849.3632166491898</v>
      </c>
      <c r="CS296" s="372">
        <f t="shared" ref="CS296:DC296" si="946">CR296+1</f>
        <v>1</v>
      </c>
      <c r="CT296" s="372">
        <f t="shared" si="946"/>
        <v>2</v>
      </c>
      <c r="CU296" s="372">
        <f t="shared" si="946"/>
        <v>3</v>
      </c>
      <c r="CV296" s="372">
        <f t="shared" si="946"/>
        <v>4</v>
      </c>
      <c r="CW296" s="372">
        <f t="shared" si="946"/>
        <v>5</v>
      </c>
      <c r="CX296" s="372">
        <f t="shared" si="946"/>
        <v>6</v>
      </c>
      <c r="CY296" s="372">
        <f t="shared" si="946"/>
        <v>7</v>
      </c>
      <c r="CZ296" s="372">
        <f t="shared" si="946"/>
        <v>8</v>
      </c>
      <c r="DA296" s="372">
        <f t="shared" si="946"/>
        <v>9</v>
      </c>
      <c r="DB296" s="372">
        <f t="shared" si="946"/>
        <v>10</v>
      </c>
      <c r="DC296" s="372">
        <f t="shared" si="946"/>
        <v>11</v>
      </c>
      <c r="DE296" s="200"/>
      <c r="DF296" s="200"/>
      <c r="DG296" s="200"/>
      <c r="DH296" s="200"/>
      <c r="DI296" s="200"/>
      <c r="DT296" s="200"/>
      <c r="DU296" s="200"/>
      <c r="DV296" s="200"/>
      <c r="DW296" s="200"/>
      <c r="DX296" s="200"/>
      <c r="DY296" s="200"/>
      <c r="DZ296" s="200"/>
      <c r="EA296" s="200"/>
      <c r="EB296" s="200"/>
      <c r="EC296" s="200"/>
      <c r="ED296" s="200"/>
      <c r="EE296" s="200"/>
      <c r="EF296" s="200"/>
      <c r="EG296" s="200"/>
      <c r="EH296" s="200"/>
      <c r="EI296" s="200"/>
    </row>
    <row r="297" spans="1:139" hidden="1" outlineLevel="1">
      <c r="A297" s="276" t="s">
        <v>39</v>
      </c>
      <c r="B297" s="243"/>
      <c r="C297" s="243"/>
      <c r="D297" s="243"/>
      <c r="E297" s="243"/>
      <c r="F297" s="243"/>
      <c r="G297" s="243"/>
      <c r="H297" s="243"/>
      <c r="I297" s="243"/>
      <c r="J297" s="243"/>
      <c r="K297" s="243"/>
      <c r="L297" s="243"/>
      <c r="M297" s="243"/>
      <c r="N297" s="243"/>
      <c r="O297" s="243"/>
      <c r="P297" s="243"/>
      <c r="Q297" s="243"/>
      <c r="R297" s="243"/>
      <c r="S297" s="243"/>
      <c r="T297" s="243"/>
      <c r="U297" s="243"/>
      <c r="V297" s="243">
        <f>V296/Q296-1</f>
        <v>9.8571428571428532E-2</v>
      </c>
      <c r="W297" s="243"/>
      <c r="X297" s="243"/>
      <c r="Y297" s="243"/>
      <c r="Z297" s="243"/>
      <c r="AA297" s="243">
        <f>AA296/V296-1</f>
        <v>7.4387516254876607E-2</v>
      </c>
      <c r="AB297" s="243"/>
      <c r="AC297" s="243"/>
      <c r="AD297" s="243"/>
      <c r="AE297" s="243"/>
      <c r="AF297" s="243">
        <f>AF296/AA296-1</f>
        <v>7.2374377272441004E-2</v>
      </c>
      <c r="AG297" s="243"/>
      <c r="AH297" s="243"/>
      <c r="AI297" s="243"/>
      <c r="AJ297" s="243"/>
      <c r="AK297" s="243">
        <f>AK296/AF296-1</f>
        <v>7.2234762979683786E-3</v>
      </c>
      <c r="AL297" s="243"/>
      <c r="AM297" s="243"/>
      <c r="AN297" s="243"/>
      <c r="AO297" s="243"/>
      <c r="AP297" s="243">
        <f>AP296/AK296-1</f>
        <v>4.8857014791573228E-2</v>
      </c>
      <c r="AQ297" s="243"/>
      <c r="AR297" s="243"/>
      <c r="AS297" s="243"/>
      <c r="AT297" s="243"/>
      <c r="AU297" s="243">
        <f>AU296/AP296-1</f>
        <v>0.1412500686215914</v>
      </c>
      <c r="AV297" s="243"/>
      <c r="AW297" s="243"/>
      <c r="AX297" s="243"/>
      <c r="AY297" s="243"/>
      <c r="AZ297" s="243">
        <f>AZ296/AU296-1</f>
        <v>9.7700878366491439E-2</v>
      </c>
      <c r="BA297" s="243"/>
      <c r="BB297" s="243"/>
      <c r="BC297" s="243"/>
      <c r="BD297" s="243"/>
      <c r="BE297" s="243">
        <f>BE296/AZ296-1</f>
        <v>9.2452355115160145E-2</v>
      </c>
      <c r="BF297" s="243"/>
      <c r="BG297" s="243"/>
      <c r="BH297" s="243"/>
      <c r="BI297" s="243"/>
      <c r="BJ297" s="243">
        <f>BJ296/BE296-1</f>
        <v>8.5512928657231591E-2</v>
      </c>
      <c r="BK297" s="243"/>
      <c r="BL297" s="243"/>
      <c r="BM297" s="243"/>
      <c r="BN297" s="243"/>
      <c r="BO297" s="243">
        <f>BO296/BJ296-1</f>
        <v>7.8515140373235814E-2</v>
      </c>
      <c r="BP297" s="243"/>
      <c r="BQ297" s="243"/>
      <c r="BR297" s="243"/>
      <c r="BS297" s="243"/>
      <c r="BT297" s="243">
        <f>BT296/BO296-1</f>
        <v>0</v>
      </c>
      <c r="BU297" s="222"/>
      <c r="BV297" s="222"/>
      <c r="BW297" s="222"/>
      <c r="BX297" s="222"/>
      <c r="BY297" s="243">
        <f>BY296/BT296-1</f>
        <v>0.13990084554446236</v>
      </c>
      <c r="BZ297" s="222"/>
      <c r="CA297" s="222"/>
      <c r="CB297" s="222"/>
      <c r="CC297" s="222"/>
      <c r="CD297" s="243">
        <f>CD296/BY296-1</f>
        <v>6.1837944880914542E-2</v>
      </c>
      <c r="CE297" s="243">
        <f t="shared" ref="CE297:CI297" si="947">CE296/CD296-1</f>
        <v>5.7791641071534672E-2</v>
      </c>
      <c r="CF297" s="243">
        <f t="shared" si="947"/>
        <v>5.4634238755180808E-2</v>
      </c>
      <c r="CG297" s="243">
        <f t="shared" si="947"/>
        <v>5.1803968378331122E-2</v>
      </c>
      <c r="CH297" s="243">
        <f t="shared" si="947"/>
        <v>4.9252493749574411E-2</v>
      </c>
      <c r="CI297" s="243">
        <f t="shared" si="947"/>
        <v>4.6940554387980615E-2</v>
      </c>
      <c r="CJ297" s="243">
        <f t="shared" ref="CJ297" si="948">CJ296/CI296-1</f>
        <v>0</v>
      </c>
      <c r="CK297" s="243">
        <f t="shared" ref="CK297" si="949">CK296/CJ296-1</f>
        <v>0</v>
      </c>
      <c r="CL297" s="243">
        <f t="shared" ref="CL297:CM297" si="950">CL296/CK296-1</f>
        <v>0</v>
      </c>
      <c r="CM297" s="243">
        <f t="shared" si="950"/>
        <v>0</v>
      </c>
      <c r="CN297" s="195"/>
      <c r="CO297" s="195"/>
      <c r="CP297" s="195"/>
      <c r="CQ297" s="195"/>
      <c r="CR297" s="362" t="s">
        <v>56</v>
      </c>
      <c r="CS297" s="373" t="e">
        <f>(CV300/((CV293+CU293)/2)*1000)/12</f>
        <v>#DIV/0!</v>
      </c>
      <c r="CT297" s="373" t="e">
        <f>(CW300/((CW293+CV293)/2)*1000)/12</f>
        <v>#DIV/0!</v>
      </c>
      <c r="CU297" s="373" t="e">
        <f>(CX300/((CX293+CW293)/2)*1000)/12</f>
        <v>#DIV/0!</v>
      </c>
      <c r="CV297" s="373" t="e">
        <f>(CY300/((CY293+CX293)/2)*1000)/12</f>
        <v>#DIV/0!</v>
      </c>
      <c r="CW297" s="373" t="e">
        <f>(CZ300/((CZ293+CY293)/2)*1000)/12</f>
        <v>#DIV/0!</v>
      </c>
      <c r="CX297" s="373" t="e">
        <f t="shared" ref="CX297:DC297" si="951">CW297*(1+DA298)</f>
        <v>#DIV/0!</v>
      </c>
      <c r="CY297" s="373" t="e">
        <f t="shared" si="951"/>
        <v>#DIV/0!</v>
      </c>
      <c r="CZ297" s="373" t="e">
        <f t="shared" si="951"/>
        <v>#DIV/0!</v>
      </c>
      <c r="DA297" s="373" t="e">
        <f t="shared" si="951"/>
        <v>#DIV/0!</v>
      </c>
      <c r="DB297" s="373" t="e">
        <f t="shared" si="951"/>
        <v>#DIV/0!</v>
      </c>
      <c r="DC297" s="373" t="e">
        <f t="shared" si="951"/>
        <v>#DIV/0!</v>
      </c>
    </row>
    <row r="298" spans="1:139" hidden="1" outlineLevel="1">
      <c r="A298" s="362" t="s">
        <v>547</v>
      </c>
      <c r="B298" s="369"/>
      <c r="C298" s="369"/>
      <c r="D298" s="369"/>
      <c r="E298" s="369"/>
      <c r="F298" s="369"/>
      <c r="G298" s="369"/>
      <c r="H298" s="369"/>
      <c r="I298" s="369"/>
      <c r="J298" s="369"/>
      <c r="K298" s="369"/>
      <c r="L298" s="369"/>
      <c r="M298" s="369"/>
      <c r="N298" s="369"/>
      <c r="O298" s="369"/>
      <c r="P298" s="369"/>
      <c r="Q298" s="369">
        <f t="shared" ref="Q298:AP298" si="952">Q296/Q300</f>
        <v>1804.1237113402062</v>
      </c>
      <c r="R298" s="369" t="e">
        <f t="shared" si="952"/>
        <v>#DIV/0!</v>
      </c>
      <c r="S298" s="369" t="e">
        <f t="shared" si="952"/>
        <v>#DIV/0!</v>
      </c>
      <c r="T298" s="369" t="e">
        <f t="shared" si="952"/>
        <v>#DIV/0!</v>
      </c>
      <c r="U298" s="369" t="e">
        <f t="shared" si="952"/>
        <v>#DIV/0!</v>
      </c>
      <c r="V298" s="369">
        <f t="shared" si="952"/>
        <v>1992.2279792746115</v>
      </c>
      <c r="W298" s="369" t="e">
        <f t="shared" si="952"/>
        <v>#DIV/0!</v>
      </c>
      <c r="X298" s="369" t="e">
        <f t="shared" si="952"/>
        <v>#DIV/0!</v>
      </c>
      <c r="Y298" s="369" t="e">
        <f t="shared" si="952"/>
        <v>#DIV/0!</v>
      </c>
      <c r="Z298" s="369" t="e">
        <f t="shared" si="952"/>
        <v>#DIV/0!</v>
      </c>
      <c r="AA298" s="369">
        <f t="shared" si="952"/>
        <v>2151.572916666667</v>
      </c>
      <c r="AB298" s="369" t="e">
        <f t="shared" si="952"/>
        <v>#DIV/0!</v>
      </c>
      <c r="AC298" s="369" t="e">
        <f t="shared" si="952"/>
        <v>#DIV/0!</v>
      </c>
      <c r="AD298" s="369" t="e">
        <f t="shared" si="952"/>
        <v>#DIV/0!</v>
      </c>
      <c r="AE298" s="369" t="e">
        <f t="shared" si="952"/>
        <v>#DIV/0!</v>
      </c>
      <c r="AF298" s="369">
        <f t="shared" si="952"/>
        <v>2319.3717277486912</v>
      </c>
      <c r="AG298" s="369" t="e">
        <f t="shared" si="952"/>
        <v>#DIV/0!</v>
      </c>
      <c r="AH298" s="369" t="e">
        <f t="shared" si="952"/>
        <v>#DIV/0!</v>
      </c>
      <c r="AI298" s="369" t="e">
        <f t="shared" si="952"/>
        <v>#DIV/0!</v>
      </c>
      <c r="AJ298" s="369" t="e">
        <f t="shared" si="952"/>
        <v>#DIV/0!</v>
      </c>
      <c r="AK298" s="369">
        <f t="shared" si="952"/>
        <v>2348.4210526315792</v>
      </c>
      <c r="AL298" s="369" t="e">
        <f t="shared" si="952"/>
        <v>#DIV/0!</v>
      </c>
      <c r="AM298" s="369" t="e">
        <f t="shared" si="952"/>
        <v>#DIV/0!</v>
      </c>
      <c r="AN298" s="369" t="e">
        <f t="shared" si="952"/>
        <v>#DIV/0!</v>
      </c>
      <c r="AO298" s="369" t="e">
        <f t="shared" si="952"/>
        <v>#DIV/0!</v>
      </c>
      <c r="AP298" s="369">
        <f t="shared" si="952"/>
        <v>2476.1904761904761</v>
      </c>
      <c r="AQ298" s="369"/>
      <c r="AR298" s="369"/>
      <c r="AS298" s="369"/>
      <c r="AT298" s="369"/>
      <c r="AU298" s="369">
        <f>AU296/AU300</f>
        <v>2837.9651015669756</v>
      </c>
      <c r="AV298" s="369"/>
      <c r="AW298" s="369"/>
      <c r="AX298" s="369"/>
      <c r="AY298" s="369"/>
      <c r="AZ298" s="369">
        <f>AZ296/AZ300</f>
        <v>3125.200228638028</v>
      </c>
      <c r="BA298" s="369"/>
      <c r="BB298" s="369"/>
      <c r="BC298" s="369"/>
      <c r="BD298" s="369"/>
      <c r="BE298" s="369">
        <f>BE296/BE300</f>
        <v>3425.0867853295872</v>
      </c>
      <c r="BF298" s="369"/>
      <c r="BG298" s="369"/>
      <c r="BH298" s="369"/>
      <c r="BI298" s="369"/>
      <c r="BJ298" s="369">
        <f>BJ296/BJ300</f>
        <v>3729.9437211128361</v>
      </c>
      <c r="BK298" s="369"/>
      <c r="BL298" s="369"/>
      <c r="BM298" s="369"/>
      <c r="BN298" s="369"/>
      <c r="BO298" s="369">
        <f>BO296/BO300</f>
        <v>4035.7915212001944</v>
      </c>
      <c r="BP298" s="369"/>
      <c r="BQ298" s="369"/>
      <c r="BR298" s="369"/>
      <c r="BS298" s="369"/>
      <c r="BT298" s="369">
        <f>BT296/BT300</f>
        <v>4048.8664397354005</v>
      </c>
      <c r="BU298" s="374"/>
      <c r="BV298" s="374"/>
      <c r="BW298" s="374"/>
      <c r="BX298" s="374"/>
      <c r="BY298" s="369">
        <f t="shared" ref="BY298:CI298" si="953">BY296/BY300</f>
        <v>4625.2961185798777</v>
      </c>
      <c r="BZ298" s="374"/>
      <c r="CA298" s="374"/>
      <c r="CB298" s="374"/>
      <c r="CC298" s="374"/>
      <c r="CD298" s="369">
        <f t="shared" si="953"/>
        <v>4927.3126935039309</v>
      </c>
      <c r="CE298" s="369">
        <f t="shared" si="953"/>
        <v>5223.413096739424</v>
      </c>
      <c r="CF298" s="369">
        <f t="shared" si="953"/>
        <v>5520.8051047872959</v>
      </c>
      <c r="CG298" s="369">
        <f t="shared" si="953"/>
        <v>5825.8642519435016</v>
      </c>
      <c r="CH298" s="369">
        <f t="shared" si="953"/>
        <v>6126.2078634460204</v>
      </c>
      <c r="CI298" s="369">
        <f t="shared" si="953"/>
        <v>6427.871666647462</v>
      </c>
      <c r="CJ298" s="369">
        <f t="shared" ref="CJ298:CL298" si="954">CJ296/CJ300</f>
        <v>6442.0299742832494</v>
      </c>
      <c r="CK298" s="369">
        <f t="shared" si="954"/>
        <v>6456.250791003521</v>
      </c>
      <c r="CL298" s="369">
        <f t="shared" si="954"/>
        <v>6470.5345316915818</v>
      </c>
      <c r="CM298" s="369">
        <f t="shared" ref="CM298" si="955">CM296/CM300</f>
        <v>6484.8816149104105</v>
      </c>
      <c r="CN298" s="195"/>
      <c r="CO298" s="195"/>
      <c r="CP298" s="195"/>
      <c r="CQ298" s="195"/>
      <c r="CR298" s="195"/>
      <c r="CS298" s="195"/>
      <c r="CT298" s="195"/>
      <c r="DW298" s="265"/>
      <c r="DX298" s="265"/>
      <c r="DY298" s="265"/>
      <c r="DZ298" s="265"/>
    </row>
    <row r="299" spans="1:139" hidden="1" outlineLevel="1">
      <c r="A299" s="276" t="s">
        <v>39</v>
      </c>
      <c r="B299" s="243"/>
      <c r="C299" s="243"/>
      <c r="D299" s="243"/>
      <c r="E299" s="243"/>
      <c r="F299" s="243"/>
      <c r="G299" s="243"/>
      <c r="H299" s="243"/>
      <c r="I299" s="243"/>
      <c r="J299" s="243"/>
      <c r="K299" s="243"/>
      <c r="L299" s="243"/>
      <c r="M299" s="243"/>
      <c r="N299" s="243"/>
      <c r="O299" s="243"/>
      <c r="P299" s="243"/>
      <c r="Q299" s="243"/>
      <c r="R299" s="243"/>
      <c r="S299" s="243"/>
      <c r="T299" s="243"/>
      <c r="U299" s="243"/>
      <c r="V299" s="243">
        <f>V298/Q298-1</f>
        <v>0.10426350851221322</v>
      </c>
      <c r="W299" s="243"/>
      <c r="X299" s="243"/>
      <c r="Y299" s="243"/>
      <c r="Z299" s="243"/>
      <c r="AA299" s="243">
        <f>AA298/V298-1</f>
        <v>7.9983284568704072E-2</v>
      </c>
      <c r="AB299" s="243"/>
      <c r="AC299" s="243"/>
      <c r="AD299" s="243"/>
      <c r="AE299" s="243"/>
      <c r="AF299" s="243">
        <f>AF298/AA298-1</f>
        <v>7.798890280789883E-2</v>
      </c>
      <c r="AG299" s="243"/>
      <c r="AH299" s="243"/>
      <c r="AI299" s="243"/>
      <c r="AJ299" s="243"/>
      <c r="AK299" s="243">
        <f>AK298/AF298-1</f>
        <v>1.2524652489010357E-2</v>
      </c>
      <c r="AL299" s="243"/>
      <c r="AM299" s="243"/>
      <c r="AN299" s="243"/>
      <c r="AO299" s="243"/>
      <c r="AP299" s="243">
        <f>AP298/AK298-1</f>
        <v>5.4406522806343283E-2</v>
      </c>
      <c r="AQ299" s="243"/>
      <c r="AR299" s="243"/>
      <c r="AS299" s="243"/>
      <c r="AT299" s="243"/>
      <c r="AU299" s="243">
        <f>AU298/AP298-1</f>
        <v>0.14610129101743241</v>
      </c>
      <c r="AV299" s="243"/>
      <c r="AW299" s="243"/>
      <c r="AX299" s="243"/>
      <c r="AY299" s="243"/>
      <c r="AZ299" s="243">
        <f>AZ298/AU298-1</f>
        <v>0.10121164876638411</v>
      </c>
      <c r="BA299" s="243"/>
      <c r="BB299" s="243"/>
      <c r="BC299" s="243"/>
      <c r="BD299" s="243"/>
      <c r="BE299" s="243">
        <f>BE298/AZ298-1</f>
        <v>9.595754983745497E-2</v>
      </c>
      <c r="BF299" s="243"/>
      <c r="BG299" s="243"/>
      <c r="BH299" s="243"/>
      <c r="BI299" s="243"/>
      <c r="BJ299" s="243">
        <f>BJ298/BE298-1</f>
        <v>8.9007068985527349E-2</v>
      </c>
      <c r="BK299" s="243"/>
      <c r="BL299" s="243"/>
      <c r="BM299" s="243"/>
      <c r="BN299" s="243"/>
      <c r="BO299" s="243">
        <f>BO298/BJ298-1</f>
        <v>8.1997966445485071E-2</v>
      </c>
      <c r="BP299" s="243"/>
      <c r="BQ299" s="243"/>
      <c r="BR299" s="243"/>
      <c r="BS299" s="243"/>
      <c r="BT299" s="243">
        <f>BT298/BO298-1</f>
        <v>3.2397408207343048E-3</v>
      </c>
      <c r="BU299" s="222"/>
      <c r="BV299" s="222"/>
      <c r="BW299" s="222"/>
      <c r="BX299" s="222"/>
      <c r="BY299" s="243">
        <f>BY298/BT298-1</f>
        <v>0.14236816339196112</v>
      </c>
      <c r="BZ299" s="222"/>
      <c r="CA299" s="222"/>
      <c r="CB299" s="222"/>
      <c r="CC299" s="222"/>
      <c r="CD299" s="243">
        <f>CD298/BY298-1</f>
        <v>6.5296700401699326E-2</v>
      </c>
      <c r="CE299" s="243">
        <f t="shared" ref="CE299:CI299" si="956">CE298/CD298-1</f>
        <v>6.0093690344813266E-2</v>
      </c>
      <c r="CF299" s="243">
        <f t="shared" si="956"/>
        <v>5.6934422482018743E-2</v>
      </c>
      <c r="CG299" s="243">
        <f t="shared" si="956"/>
        <v>5.5256278996640873E-2</v>
      </c>
      <c r="CH299" s="243">
        <f t="shared" si="956"/>
        <v>5.1553486060428533E-2</v>
      </c>
      <c r="CI299" s="243">
        <f t="shared" si="956"/>
        <v>4.9241522639382751E-2</v>
      </c>
      <c r="CJ299" s="243">
        <f t="shared" ref="CJ299" si="957">CJ298/CI298-1</f>
        <v>2.2026431718060735E-3</v>
      </c>
      <c r="CK299" s="243">
        <f t="shared" ref="CK299" si="958">CK298/CJ298-1</f>
        <v>2.2075055187638082E-3</v>
      </c>
      <c r="CL299" s="243">
        <f t="shared" ref="CL299:CM299" si="959">CL298/CK298-1</f>
        <v>2.2123893805310324E-3</v>
      </c>
      <c r="CM299" s="243">
        <f t="shared" si="959"/>
        <v>2.2172949002217113E-3</v>
      </c>
      <c r="CN299" s="195"/>
      <c r="CO299" s="195"/>
      <c r="CP299" s="195"/>
      <c r="CQ299" s="195"/>
      <c r="CR299" s="195"/>
      <c r="CS299" s="195"/>
      <c r="CT299" s="195"/>
    </row>
    <row r="300" spans="1:139" hidden="1" outlineLevel="1">
      <c r="A300" s="276" t="s">
        <v>546</v>
      </c>
      <c r="B300" s="243"/>
      <c r="C300" s="243"/>
      <c r="D300" s="243"/>
      <c r="E300" s="243"/>
      <c r="F300" s="243"/>
      <c r="G300" s="243"/>
      <c r="H300" s="243"/>
      <c r="I300" s="243"/>
      <c r="J300" s="243"/>
      <c r="K300" s="243"/>
      <c r="L300" s="243"/>
      <c r="M300" s="243"/>
      <c r="N300" s="243"/>
      <c r="O300" s="243"/>
      <c r="P300" s="243"/>
      <c r="Q300" s="243">
        <v>0.97</v>
      </c>
      <c r="R300" s="243"/>
      <c r="S300" s="243"/>
      <c r="T300" s="243"/>
      <c r="U300" s="243"/>
      <c r="V300" s="243">
        <f>Q300-0.5%</f>
        <v>0.96499999999999997</v>
      </c>
      <c r="W300" s="243"/>
      <c r="X300" s="243"/>
      <c r="Y300" s="243"/>
      <c r="Z300" s="243"/>
      <c r="AA300" s="243">
        <f>V300-0.5%</f>
        <v>0.96</v>
      </c>
      <c r="AB300" s="243"/>
      <c r="AC300" s="243"/>
      <c r="AD300" s="243"/>
      <c r="AE300" s="243"/>
      <c r="AF300" s="243">
        <f>AA300-0.5%</f>
        <v>0.95499999999999996</v>
      </c>
      <c r="AG300" s="243"/>
      <c r="AH300" s="243"/>
      <c r="AI300" s="243"/>
      <c r="AJ300" s="243"/>
      <c r="AK300" s="243">
        <f>AF300-0.5%</f>
        <v>0.95</v>
      </c>
      <c r="AL300" s="243"/>
      <c r="AM300" s="243"/>
      <c r="AN300" s="243"/>
      <c r="AO300" s="243"/>
      <c r="AP300" s="243">
        <f>AK300-0.5%</f>
        <v>0.94499999999999995</v>
      </c>
      <c r="AQ300" s="243"/>
      <c r="AR300" s="243"/>
      <c r="AS300" s="243"/>
      <c r="AT300" s="243"/>
      <c r="AU300" s="375">
        <f>AP300-0.4%</f>
        <v>0.94099999999999995</v>
      </c>
      <c r="AV300" s="375"/>
      <c r="AW300" s="375"/>
      <c r="AX300" s="243"/>
      <c r="AY300" s="243"/>
      <c r="AZ300" s="375">
        <f>AU300-0.3%</f>
        <v>0.93799999999999994</v>
      </c>
      <c r="BA300" s="375"/>
      <c r="BB300" s="375"/>
      <c r="BC300" s="375"/>
      <c r="BD300" s="375"/>
      <c r="BE300" s="375">
        <f>AZ300-0.3%</f>
        <v>0.93499999999999994</v>
      </c>
      <c r="BF300" s="375"/>
      <c r="BG300" s="243"/>
      <c r="BH300" s="243"/>
      <c r="BI300" s="243"/>
      <c r="BJ300" s="375">
        <f>BE300-0.3%</f>
        <v>0.93199999999999994</v>
      </c>
      <c r="BK300" s="375"/>
      <c r="BL300" s="375"/>
      <c r="BM300" s="375"/>
      <c r="BN300" s="375"/>
      <c r="BO300" s="375">
        <f>BJ300-0.3%</f>
        <v>0.92899999999999994</v>
      </c>
      <c r="BP300" s="375"/>
      <c r="BQ300" s="375"/>
      <c r="BR300" s="375"/>
      <c r="BS300" s="375"/>
      <c r="BT300" s="375">
        <f>BO300-0.3%</f>
        <v>0.92599999999999993</v>
      </c>
      <c r="BU300" s="330"/>
      <c r="BV300" s="330"/>
      <c r="BW300" s="330"/>
      <c r="BX300" s="330"/>
      <c r="BY300" s="375">
        <f>BT300-0.2%</f>
        <v>0.92399999999999993</v>
      </c>
      <c r="BZ300" s="330"/>
      <c r="CA300" s="330"/>
      <c r="CB300" s="330"/>
      <c r="CC300" s="330"/>
      <c r="CD300" s="375">
        <f>BY300-0.3%</f>
        <v>0.92099999999999993</v>
      </c>
      <c r="CE300" s="375">
        <f>CD300-0.2%</f>
        <v>0.91899999999999993</v>
      </c>
      <c r="CF300" s="375">
        <f>CE300-0.2%</f>
        <v>0.91699999999999993</v>
      </c>
      <c r="CG300" s="375">
        <f>CF300-0.3%</f>
        <v>0.91399999999999992</v>
      </c>
      <c r="CH300" s="375">
        <f>CG300-0.2%</f>
        <v>0.91199999999999992</v>
      </c>
      <c r="CI300" s="375">
        <f>CH300-0.2%</f>
        <v>0.90999999999999992</v>
      </c>
      <c r="CJ300" s="375">
        <f t="shared" ref="CJ300:CL300" si="960">CI300-0.2%</f>
        <v>0.90799999999999992</v>
      </c>
      <c r="CK300" s="375">
        <f t="shared" si="960"/>
        <v>0.90599999999999992</v>
      </c>
      <c r="CL300" s="375">
        <f t="shared" si="960"/>
        <v>0.90399999999999991</v>
      </c>
      <c r="CM300" s="375">
        <f t="shared" ref="CM300" si="961">CL300-0.2%</f>
        <v>0.90199999999999991</v>
      </c>
      <c r="CN300" s="195"/>
      <c r="CO300" s="195"/>
      <c r="CP300" s="195"/>
      <c r="CQ300" s="195"/>
      <c r="CR300" s="195"/>
      <c r="CS300" s="195"/>
      <c r="CT300" s="195"/>
    </row>
    <row r="301" spans="1:139" hidden="1" outlineLevel="1">
      <c r="A301" s="276"/>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43"/>
      <c r="AV301" s="243"/>
      <c r="AW301" s="243"/>
      <c r="AX301" s="243"/>
      <c r="AY301" s="243"/>
      <c r="AZ301" s="243"/>
      <c r="BA301" s="243"/>
      <c r="BB301" s="243"/>
      <c r="BC301" s="243"/>
      <c r="BD301" s="243"/>
      <c r="BE301" s="243"/>
      <c r="BF301" s="243"/>
      <c r="BG301" s="243"/>
      <c r="BH301" s="243"/>
      <c r="BI301" s="243"/>
      <c r="BJ301" s="243"/>
      <c r="BK301" s="243"/>
      <c r="BL301" s="243"/>
      <c r="BM301" s="243"/>
      <c r="BN301" s="243"/>
      <c r="BO301" s="243"/>
      <c r="BP301" s="243"/>
      <c r="BQ301" s="243"/>
      <c r="BR301" s="243"/>
      <c r="BS301" s="243"/>
      <c r="BT301" s="243"/>
      <c r="BU301" s="222"/>
      <c r="BV301" s="222"/>
      <c r="BW301" s="222"/>
      <c r="BX301" s="222"/>
      <c r="BY301" s="243"/>
      <c r="BZ301" s="222"/>
      <c r="CA301" s="222"/>
      <c r="CB301" s="222"/>
      <c r="CC301" s="222"/>
      <c r="CD301" s="243"/>
      <c r="CE301" s="243"/>
      <c r="CF301" s="243"/>
      <c r="CG301" s="243"/>
      <c r="CH301" s="243"/>
      <c r="CI301" s="243"/>
      <c r="CJ301" s="243"/>
      <c r="CK301" s="243"/>
      <c r="CL301" s="243"/>
      <c r="CM301" s="243"/>
      <c r="CN301" s="195"/>
      <c r="CO301" s="195"/>
      <c r="CP301" s="195"/>
      <c r="CQ301" s="195"/>
      <c r="CR301" s="195"/>
      <c r="CS301" s="195"/>
      <c r="CT301" s="195"/>
    </row>
    <row r="302" spans="1:139" hidden="1" outlineLevel="1">
      <c r="A302" s="362" t="s">
        <v>548</v>
      </c>
      <c r="B302" s="369"/>
      <c r="C302" s="369"/>
      <c r="D302" s="369"/>
      <c r="E302" s="369"/>
      <c r="F302" s="369"/>
      <c r="G302" s="369"/>
      <c r="H302" s="369"/>
      <c r="I302" s="369"/>
      <c r="J302" s="369"/>
      <c r="K302" s="369"/>
      <c r="L302" s="364"/>
      <c r="M302" s="364"/>
      <c r="N302" s="364"/>
      <c r="O302" s="364"/>
      <c r="P302" s="364"/>
      <c r="Q302" s="369"/>
      <c r="R302" s="369"/>
      <c r="S302" s="369"/>
      <c r="T302" s="369"/>
      <c r="U302" s="369"/>
      <c r="V302" s="369"/>
      <c r="W302" s="369">
        <v>627</v>
      </c>
      <c r="X302" s="369">
        <v>614</v>
      </c>
      <c r="Y302" s="369">
        <v>710</v>
      </c>
      <c r="Z302" s="369">
        <v>679</v>
      </c>
      <c r="AA302" s="369"/>
      <c r="AB302" s="363">
        <v>31</v>
      </c>
      <c r="AC302" s="363">
        <v>36</v>
      </c>
      <c r="AD302" s="363">
        <v>43</v>
      </c>
      <c r="AE302" s="363">
        <v>52</v>
      </c>
      <c r="AF302" s="363">
        <v>52</v>
      </c>
      <c r="AG302" s="363">
        <v>59</v>
      </c>
      <c r="AH302" s="363">
        <v>66</v>
      </c>
      <c r="AI302" s="363">
        <v>72</v>
      </c>
      <c r="AJ302" s="363">
        <v>80</v>
      </c>
      <c r="AK302" s="363">
        <v>80</v>
      </c>
      <c r="AL302" s="363">
        <v>89</v>
      </c>
      <c r="AM302" s="363">
        <v>99</v>
      </c>
      <c r="AN302" s="363">
        <v>107</v>
      </c>
      <c r="AO302" s="363">
        <v>118</v>
      </c>
      <c r="AP302" s="363">
        <v>118</v>
      </c>
      <c r="AQ302" s="363">
        <v>126</v>
      </c>
      <c r="AR302" s="363">
        <v>133</v>
      </c>
      <c r="AS302" s="363">
        <v>139</v>
      </c>
      <c r="AT302" s="376">
        <v>146</v>
      </c>
      <c r="AU302" s="376">
        <f>AT302</f>
        <v>146</v>
      </c>
      <c r="AV302" s="376">
        <v>153</v>
      </c>
      <c r="AW302" s="376">
        <f>'[2]Domestic Mobile Operations'!X$16</f>
        <v>159</v>
      </c>
      <c r="AX302" s="376">
        <f>'[2]Domestic Mobile Operations'!Y$16</f>
        <v>163</v>
      </c>
      <c r="AY302" s="376">
        <f>'[2]Domestic Mobile Operations'!Z$16</f>
        <v>172</v>
      </c>
      <c r="AZ302" s="376">
        <f>AY302</f>
        <v>172</v>
      </c>
      <c r="BA302" s="376">
        <f>'[2]Domestic Mobile Operations'!AA$16</f>
        <v>184</v>
      </c>
      <c r="BB302" s="376">
        <f>'[2]Domestic Mobile Operations'!AB$16</f>
        <v>194</v>
      </c>
      <c r="BC302" s="376">
        <f>'[2]Domestic Mobile Operations'!AC$16</f>
        <v>202</v>
      </c>
      <c r="BD302" s="376">
        <f>'[2]Domestic Mobile Operations'!AD$16</f>
        <v>226</v>
      </c>
      <c r="BE302" s="364">
        <f>BE304*BE298</f>
        <v>197.06741553536622</v>
      </c>
      <c r="BF302" s="376">
        <f>'[2]Domestic Mobile Operations'!AF$16</f>
        <v>279</v>
      </c>
      <c r="BG302" s="364"/>
      <c r="BH302" s="364"/>
      <c r="BI302" s="364"/>
      <c r="BJ302" s="364">
        <f>BJ304*BJ298</f>
        <v>289.20668300697889</v>
      </c>
      <c r="BK302" s="376">
        <f>'[2]Domestic Mobile Operations'!AJ$16</f>
        <v>371</v>
      </c>
      <c r="BL302" s="376">
        <f>'[2]Domestic Mobile Operations'!AK$16</f>
        <v>383</v>
      </c>
      <c r="BM302" s="376">
        <f>'[2]Domestic Mobile Operations'!AL$16</f>
        <v>402</v>
      </c>
      <c r="BN302" s="376" t="e">
        <f>'[2]Domestic Mobile Operations'!#REF!</f>
        <v>#REF!</v>
      </c>
      <c r="BO302" s="364">
        <f>BO304*BO298</f>
        <v>393.6368733199991</v>
      </c>
      <c r="BP302" s="364"/>
      <c r="BQ302" s="364"/>
      <c r="BR302" s="364"/>
      <c r="BS302" s="364"/>
      <c r="BT302" s="364">
        <f>BT304*BT298</f>
        <v>475.88948356174819</v>
      </c>
      <c r="BU302" s="332"/>
      <c r="BV302" s="332"/>
      <c r="BW302" s="332"/>
      <c r="BX302" s="332"/>
      <c r="BY302" s="364">
        <f t="shared" ref="BY302:CI302" si="962">BY304*BY298</f>
        <v>636.14691768558066</v>
      </c>
      <c r="BZ302" s="332"/>
      <c r="CA302" s="332"/>
      <c r="CB302" s="332"/>
      <c r="CC302" s="332"/>
      <c r="CD302" s="364">
        <f t="shared" si="962"/>
        <v>679.32764994566173</v>
      </c>
      <c r="CE302" s="364">
        <f t="shared" si="962"/>
        <v>719.28038653470946</v>
      </c>
      <c r="CF302" s="364">
        <f t="shared" si="962"/>
        <v>756.55166320818137</v>
      </c>
      <c r="CG302" s="364">
        <f t="shared" si="962"/>
        <v>791.55905135851776</v>
      </c>
      <c r="CH302" s="364">
        <f t="shared" si="962"/>
        <v>822.15633343965851</v>
      </c>
      <c r="CI302" s="364">
        <f t="shared" si="962"/>
        <v>848.71350786810308</v>
      </c>
      <c r="CJ302" s="364">
        <f t="shared" ref="CJ302:CL302" si="963">CJ304*CJ298</f>
        <v>836.62518927008136</v>
      </c>
      <c r="CK302" s="364">
        <f t="shared" si="963"/>
        <v>824.48350061202405</v>
      </c>
      <c r="CL302" s="364">
        <f t="shared" si="963"/>
        <v>812.28808766786926</v>
      </c>
      <c r="CM302" s="364">
        <f t="shared" ref="CM302" si="964">CM304*CM298</f>
        <v>800.03859306986021</v>
      </c>
      <c r="CN302" s="195"/>
      <c r="CO302" s="195"/>
      <c r="CP302" s="195"/>
      <c r="CQ302" s="195"/>
      <c r="CR302" s="195"/>
      <c r="CS302" s="195"/>
      <c r="CT302" s="195"/>
    </row>
    <row r="303" spans="1:139" hidden="1" outlineLevel="1">
      <c r="A303" s="276" t="s">
        <v>39</v>
      </c>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t="e">
        <f>AF302/AA302-1</f>
        <v>#DIV/0!</v>
      </c>
      <c r="AG303" s="243"/>
      <c r="AH303" s="243"/>
      <c r="AI303" s="243"/>
      <c r="AJ303" s="243"/>
      <c r="AK303" s="243">
        <f>AK302/AF302-1</f>
        <v>0.53846153846153855</v>
      </c>
      <c r="AL303" s="243"/>
      <c r="AM303" s="243"/>
      <c r="AN303" s="243"/>
      <c r="AO303" s="243"/>
      <c r="AP303" s="243">
        <f>AP302/AK302-1</f>
        <v>0.47500000000000009</v>
      </c>
      <c r="AQ303" s="243"/>
      <c r="AR303" s="243"/>
      <c r="AS303" s="243"/>
      <c r="AT303" s="243"/>
      <c r="AU303" s="243">
        <f>AU302/AP302-1</f>
        <v>0.23728813559322037</v>
      </c>
      <c r="AV303" s="243"/>
      <c r="AW303" s="243"/>
      <c r="AX303" s="243"/>
      <c r="AY303" s="243"/>
      <c r="AZ303" s="243">
        <f>AZ302/AU302-1</f>
        <v>0.17808219178082196</v>
      </c>
      <c r="BA303" s="243"/>
      <c r="BB303" s="243"/>
      <c r="BC303" s="243"/>
      <c r="BD303" s="243"/>
      <c r="BE303" s="243">
        <f>BE302/AZ302-1</f>
        <v>0.14574078799631529</v>
      </c>
      <c r="BF303" s="243"/>
      <c r="BG303" s="243"/>
      <c r="BH303" s="243"/>
      <c r="BI303" s="243"/>
      <c r="BJ303" s="243">
        <f>BJ302/BE302-1</f>
        <v>0.46755201625444331</v>
      </c>
      <c r="BK303" s="243"/>
      <c r="BL303" s="243"/>
      <c r="BM303" s="243"/>
      <c r="BN303" s="243"/>
      <c r="BO303" s="243">
        <f>BO302/BJ302-1</f>
        <v>0.36109189880131565</v>
      </c>
      <c r="BP303" s="243"/>
      <c r="BQ303" s="243"/>
      <c r="BR303" s="243"/>
      <c r="BS303" s="243"/>
      <c r="BT303" s="243">
        <f>BT302/BO302-1</f>
        <v>0.20895555222765805</v>
      </c>
      <c r="BU303" s="222"/>
      <c r="BV303" s="222"/>
      <c r="BW303" s="222"/>
      <c r="BX303" s="222"/>
      <c r="BY303" s="243">
        <f>BY302/BT302-1</f>
        <v>0.33675346831453679</v>
      </c>
      <c r="BZ303" s="222"/>
      <c r="CA303" s="222"/>
      <c r="CB303" s="222"/>
      <c r="CC303" s="222"/>
      <c r="CD303" s="243">
        <f>CD302/BY302-1</f>
        <v>6.7878552987697516E-2</v>
      </c>
      <c r="CE303" s="243">
        <f t="shared" ref="CE303:CI303" si="965">CE302/CD302-1</f>
        <v>5.8812174938328354E-2</v>
      </c>
      <c r="CF303" s="243">
        <f t="shared" si="965"/>
        <v>5.1817451679774695E-2</v>
      </c>
      <c r="CG303" s="243">
        <f t="shared" si="965"/>
        <v>4.6272303469516496E-2</v>
      </c>
      <c r="CH303" s="243">
        <f t="shared" si="965"/>
        <v>3.8654452916213833E-2</v>
      </c>
      <c r="CI303" s="243">
        <f t="shared" si="965"/>
        <v>3.2301854706071831E-2</v>
      </c>
      <c r="CJ303" s="243">
        <f t="shared" ref="CJ303" si="966">CJ302/CI302-1</f>
        <v>-1.4243108523613102E-2</v>
      </c>
      <c r="CK303" s="243">
        <f t="shared" ref="CK303" si="967">CK302/CJ302-1</f>
        <v>-1.4512697936635677E-2</v>
      </c>
      <c r="CL303" s="243">
        <f t="shared" ref="CL303:CM303" si="968">CL302/CK302-1</f>
        <v>-1.4791579134211919E-2</v>
      </c>
      <c r="CM303" s="243">
        <f t="shared" si="968"/>
        <v>-1.5080234197670128E-2</v>
      </c>
      <c r="CN303" s="195"/>
      <c r="CO303" s="195"/>
      <c r="CP303" s="195"/>
      <c r="CQ303" s="195"/>
      <c r="CR303" s="195"/>
      <c r="CS303" s="195"/>
      <c r="CT303" s="195"/>
    </row>
    <row r="304" spans="1:139" hidden="1" outlineLevel="1">
      <c r="A304" s="276" t="s">
        <v>59</v>
      </c>
      <c r="B304" s="243"/>
      <c r="C304" s="243"/>
      <c r="D304" s="243"/>
      <c r="E304" s="243"/>
      <c r="F304" s="243"/>
      <c r="G304" s="243"/>
      <c r="H304" s="243"/>
      <c r="I304" s="243"/>
      <c r="J304" s="243"/>
      <c r="K304" s="243"/>
      <c r="L304" s="243"/>
      <c r="M304" s="243" t="e">
        <f>M302/(M298)</f>
        <v>#DIV/0!</v>
      </c>
      <c r="N304" s="243" t="e">
        <f>N302/(N298)</f>
        <v>#DIV/0!</v>
      </c>
      <c r="O304" s="243" t="e">
        <f>O302/(O298)</f>
        <v>#DIV/0!</v>
      </c>
      <c r="P304" s="243" t="e">
        <f>P302/(P298)</f>
        <v>#DIV/0!</v>
      </c>
      <c r="Q304" s="243"/>
      <c r="R304" s="243"/>
      <c r="S304" s="243"/>
      <c r="T304" s="243"/>
      <c r="U304" s="243"/>
      <c r="V304" s="243"/>
      <c r="W304" s="243"/>
      <c r="X304" s="243"/>
      <c r="Y304" s="243"/>
      <c r="Z304" s="243"/>
      <c r="AA304" s="243"/>
      <c r="AB304" s="243" t="e">
        <f t="shared" ref="AB304:AP304" si="969">AB302/(AB298)</f>
        <v>#DIV/0!</v>
      </c>
      <c r="AC304" s="243" t="e">
        <f t="shared" si="969"/>
        <v>#DIV/0!</v>
      </c>
      <c r="AD304" s="243" t="e">
        <f t="shared" si="969"/>
        <v>#DIV/0!</v>
      </c>
      <c r="AE304" s="243" t="e">
        <f t="shared" si="969"/>
        <v>#DIV/0!</v>
      </c>
      <c r="AF304" s="243">
        <f t="shared" si="969"/>
        <v>2.2419864559819411E-2</v>
      </c>
      <c r="AG304" s="243" t="e">
        <f t="shared" si="969"/>
        <v>#DIV/0!</v>
      </c>
      <c r="AH304" s="243" t="e">
        <f t="shared" si="969"/>
        <v>#DIV/0!</v>
      </c>
      <c r="AI304" s="243" t="e">
        <f t="shared" si="969"/>
        <v>#DIV/0!</v>
      </c>
      <c r="AJ304" s="243" t="e">
        <f t="shared" si="969"/>
        <v>#DIV/0!</v>
      </c>
      <c r="AK304" s="243">
        <f t="shared" si="969"/>
        <v>3.4065441506051092E-2</v>
      </c>
      <c r="AL304" s="243" t="e">
        <f t="shared" si="969"/>
        <v>#DIV/0!</v>
      </c>
      <c r="AM304" s="243" t="e">
        <f t="shared" si="969"/>
        <v>#DIV/0!</v>
      </c>
      <c r="AN304" s="243" t="e">
        <f t="shared" si="969"/>
        <v>#DIV/0!</v>
      </c>
      <c r="AO304" s="243" t="e">
        <f t="shared" si="969"/>
        <v>#DIV/0!</v>
      </c>
      <c r="AP304" s="243">
        <f t="shared" si="969"/>
        <v>4.7653846153846158E-2</v>
      </c>
      <c r="AQ304" s="243"/>
      <c r="AR304" s="243"/>
      <c r="AS304" s="243"/>
      <c r="AT304" s="243"/>
      <c r="AU304" s="243">
        <f>AU302/(AU298)</f>
        <v>5.1445311966446118E-2</v>
      </c>
      <c r="AV304" s="243"/>
      <c r="AW304" s="243"/>
      <c r="AX304" s="243"/>
      <c r="AY304" s="243"/>
      <c r="AZ304" s="243">
        <f>AZ302/(AZ298)</f>
        <v>5.5036473638989246E-2</v>
      </c>
      <c r="BA304" s="243"/>
      <c r="BB304" s="243"/>
      <c r="BC304" s="243"/>
      <c r="BD304" s="243"/>
      <c r="BE304" s="243">
        <f>AZ304+BE305</f>
        <v>5.7536473638989248E-2</v>
      </c>
      <c r="BF304" s="243"/>
      <c r="BG304" s="243"/>
      <c r="BH304" s="243"/>
      <c r="BI304" s="243"/>
      <c r="BJ304" s="243">
        <f>BE304+BJ305</f>
        <v>7.7536473638989245E-2</v>
      </c>
      <c r="BK304" s="243"/>
      <c r="BL304" s="243"/>
      <c r="BM304" s="243"/>
      <c r="BN304" s="243"/>
      <c r="BO304" s="243">
        <f>BJ304+BO305</f>
        <v>9.7536473638989249E-2</v>
      </c>
      <c r="BP304" s="243"/>
      <c r="BQ304" s="243"/>
      <c r="BR304" s="243"/>
      <c r="BS304" s="243"/>
      <c r="BT304" s="243">
        <f>BO304+BT305</f>
        <v>0.11753647363898925</v>
      </c>
      <c r="BU304" s="222"/>
      <c r="BV304" s="222"/>
      <c r="BW304" s="222"/>
      <c r="BX304" s="222"/>
      <c r="BY304" s="243">
        <f>BT304+BY305</f>
        <v>0.13753647363898924</v>
      </c>
      <c r="BZ304" s="222"/>
      <c r="CA304" s="222"/>
      <c r="CB304" s="222"/>
      <c r="CC304" s="222"/>
      <c r="CD304" s="243">
        <f>BY304+CD305</f>
        <v>0.13786980697232257</v>
      </c>
      <c r="CE304" s="243">
        <f t="shared" ref="CE304:CI304" si="970">CD304+CE305</f>
        <v>0.13770314030565589</v>
      </c>
      <c r="CF304" s="243">
        <f t="shared" si="970"/>
        <v>0.13703647363898921</v>
      </c>
      <c r="CG304" s="243">
        <f t="shared" si="970"/>
        <v>0.13586980697232254</v>
      </c>
      <c r="CH304" s="243">
        <f t="shared" si="970"/>
        <v>0.13420314030565586</v>
      </c>
      <c r="CI304" s="243">
        <f t="shared" si="970"/>
        <v>0.13203647363898918</v>
      </c>
      <c r="CJ304" s="243">
        <f t="shared" ref="CJ304" si="971">CI304+CJ305</f>
        <v>0.1298698069723225</v>
      </c>
      <c r="CK304" s="243">
        <f t="shared" ref="CK304" si="972">CJ304+CK305</f>
        <v>0.12770314030565583</v>
      </c>
      <c r="CL304" s="243">
        <f t="shared" ref="CL304:CM304" si="973">CK304+CL305</f>
        <v>0.12553647363898915</v>
      </c>
      <c r="CM304" s="243">
        <f t="shared" si="973"/>
        <v>0.12336980697232248</v>
      </c>
      <c r="CN304" s="195"/>
      <c r="CO304" s="195"/>
      <c r="CP304" s="195"/>
      <c r="CQ304" s="195"/>
      <c r="CR304" s="195"/>
      <c r="CS304" s="195"/>
      <c r="CT304" s="195"/>
    </row>
    <row r="305" spans="1:142" hidden="1" outlineLevel="1">
      <c r="A305" s="276" t="s">
        <v>60</v>
      </c>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f>AF304-AA304</f>
        <v>2.2419864559819411E-2</v>
      </c>
      <c r="AG305" s="243"/>
      <c r="AH305" s="243"/>
      <c r="AI305" s="243"/>
      <c r="AJ305" s="243"/>
      <c r="AK305" s="243">
        <f>AK304-AF304</f>
        <v>1.1645576946231681E-2</v>
      </c>
      <c r="AL305" s="243"/>
      <c r="AM305" s="243"/>
      <c r="AN305" s="243"/>
      <c r="AO305" s="243"/>
      <c r="AP305" s="243">
        <f>AP304-AK304</f>
        <v>1.3588404647795066E-2</v>
      </c>
      <c r="AQ305" s="243"/>
      <c r="AR305" s="243"/>
      <c r="AS305" s="243"/>
      <c r="AT305" s="243"/>
      <c r="AU305" s="243">
        <f>AU304-AP304</f>
        <v>3.7914658125999603E-3</v>
      </c>
      <c r="AV305" s="243"/>
      <c r="AW305" s="243"/>
      <c r="AX305" s="243"/>
      <c r="AY305" s="243"/>
      <c r="AZ305" s="243">
        <f>AZ304-AU304</f>
        <v>3.5911616725431278E-3</v>
      </c>
      <c r="BA305" s="243"/>
      <c r="BB305" s="243"/>
      <c r="BC305" s="243"/>
      <c r="BD305" s="243"/>
      <c r="BE305" s="312">
        <v>2.5000000000000001E-3</v>
      </c>
      <c r="BF305" s="243"/>
      <c r="BG305" s="243"/>
      <c r="BH305" s="243"/>
      <c r="BI305" s="243"/>
      <c r="BJ305" s="312">
        <v>0.02</v>
      </c>
      <c r="BK305" s="243"/>
      <c r="BL305" s="243"/>
      <c r="BM305" s="243"/>
      <c r="BN305" s="243"/>
      <c r="BO305" s="312">
        <v>0.02</v>
      </c>
      <c r="BP305" s="312"/>
      <c r="BQ305" s="312"/>
      <c r="BR305" s="312"/>
      <c r="BS305" s="312"/>
      <c r="BT305" s="312">
        <v>0.02</v>
      </c>
      <c r="BU305" s="377"/>
      <c r="BV305" s="377"/>
      <c r="BW305" s="377"/>
      <c r="BX305" s="377"/>
      <c r="BY305" s="312">
        <v>0.02</v>
      </c>
      <c r="BZ305" s="377"/>
      <c r="CA305" s="377"/>
      <c r="CB305" s="377"/>
      <c r="CC305" s="377"/>
      <c r="CD305" s="312">
        <v>3.3333333333333403E-4</v>
      </c>
      <c r="CE305" s="312">
        <v>-1.6666666666666601E-4</v>
      </c>
      <c r="CF305" s="312">
        <v>-6.6666666666666599E-4</v>
      </c>
      <c r="CG305" s="312">
        <v>-1.16666666666667E-3</v>
      </c>
      <c r="CH305" s="312">
        <v>-1.66666666666667E-3</v>
      </c>
      <c r="CI305" s="312">
        <v>-2.16666666666667E-3</v>
      </c>
      <c r="CJ305" s="312">
        <v>-2.16666666666667E-3</v>
      </c>
      <c r="CK305" s="312">
        <v>-2.16666666666667E-3</v>
      </c>
      <c r="CL305" s="312">
        <v>-2.16666666666667E-3</v>
      </c>
      <c r="CM305" s="312">
        <v>-2.16666666666667E-3</v>
      </c>
      <c r="CN305" s="195"/>
      <c r="CO305" s="195"/>
      <c r="CP305" s="195"/>
      <c r="CQ305" s="195"/>
      <c r="CR305" s="195"/>
      <c r="CS305" s="195"/>
      <c r="CT305" s="195"/>
      <c r="EF305" s="265"/>
    </row>
    <row r="306" spans="1:142" hidden="1" outlineLevel="1">
      <c r="A306" s="362" t="s">
        <v>56</v>
      </c>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f>(AF309/((AF302+AA302)/2)*1000)/12</f>
        <v>769.23076923076917</v>
      </c>
      <c r="AG306" s="373">
        <f>(AG309/((AG302+AF302)/2)*1000)/3</f>
        <v>354.35435435435437</v>
      </c>
      <c r="AH306" s="373">
        <f>(AH309/((AH302+AG302)/2)*1000)/3</f>
        <v>330.66666666666669</v>
      </c>
      <c r="AI306" s="373">
        <f>(AI309/((AI302+AH302)/2)*1000)/3</f>
        <v>309.17874396135267</v>
      </c>
      <c r="AJ306" s="373">
        <f>(AJ309/((AJ302+AI302)/2)*1000)/3</f>
        <v>298.24561403508773</v>
      </c>
      <c r="AK306" s="373">
        <f>(AK309/((AK302+AF302)/2)*1000)/12</f>
        <v>319.44444444444446</v>
      </c>
      <c r="AL306" s="373">
        <f>(AL309/((AL302+AK302)/2)*1000)/3</f>
        <v>256.41025641025641</v>
      </c>
      <c r="AM306" s="373">
        <f>(AM309/((AM302+AL302)/2)*1000)/3</f>
        <v>226.95035460992906</v>
      </c>
      <c r="AN306" s="373">
        <f>(AN309/((AN302+AM302)/2)*1000)/3</f>
        <v>203.88349514563106</v>
      </c>
      <c r="AO306" s="373">
        <f>(AO309/((AO302+AN302)/2)*1000)/3</f>
        <v>180.74074074074076</v>
      </c>
      <c r="AP306" s="373">
        <f>(AP309/((AP302+AK302)/2)*1000)/12</f>
        <v>212.96296296296293</v>
      </c>
      <c r="AQ306" s="373">
        <f>(AQ309/((AQ302+AP302)/2)*1000)/3</f>
        <v>183.06010928961749</v>
      </c>
      <c r="AR306" s="373">
        <f>(AR309/((AR302+AQ302)/2)*1000)/3</f>
        <v>172.45817245817247</v>
      </c>
      <c r="AS306" s="373">
        <f>(AS309/((AS302+AR302)/2)*1000)/3</f>
        <v>181.37254901960785</v>
      </c>
      <c r="AT306" s="373">
        <f>(AT309/((AT302+AS302)/2)*1000)/3</f>
        <v>182.45614035087718</v>
      </c>
      <c r="AU306" s="373">
        <f>(AU309/((AU302+AP302)/2)*1000)/12</f>
        <v>180.55555555555554</v>
      </c>
      <c r="AV306" s="373">
        <f>(AV309/((AV302+AU302)/2)*1000)/3</f>
        <v>160.53511705685619</v>
      </c>
      <c r="AW306" s="373">
        <f>(AW309/((AW302+AV302)/2)*1000)/3</f>
        <v>0</v>
      </c>
      <c r="AX306" s="373">
        <f>(AX309/((AX302+AW302)/2)*1000)/3</f>
        <v>0</v>
      </c>
      <c r="AY306" s="373">
        <f>(AY309/((AY302+AX302)/2)*1000)/3</f>
        <v>0</v>
      </c>
      <c r="AZ306" s="373">
        <f>(AZ309/((AZ302+AU302)/2)*1000)/12</f>
        <v>37.735849056603776</v>
      </c>
      <c r="BA306" s="373">
        <f>(BA309/((BA302+AZ302)/2)*1000)/3</f>
        <v>0</v>
      </c>
      <c r="BB306" s="373">
        <f>(BB309/((BB302+BA302)/2)*1000)/3</f>
        <v>0</v>
      </c>
      <c r="BC306" s="373">
        <f>(BC309/((BC302+BB302)/2)*1000)/3</f>
        <v>0</v>
      </c>
      <c r="BD306" s="373">
        <f>(BD309/((BD302+BC302)/2)*1000)/3</f>
        <v>0</v>
      </c>
      <c r="BE306" s="373">
        <f>AZ306*(1+BE307)</f>
        <v>32.452830188679243</v>
      </c>
      <c r="BF306" s="373">
        <f>(BF309/((BF302+BE302)/2)*1000)/3</f>
        <v>0</v>
      </c>
      <c r="BG306" s="373"/>
      <c r="BH306" s="373"/>
      <c r="BI306" s="373"/>
      <c r="BJ306" s="373">
        <f>BE306*(1+BJ307)</f>
        <v>30.505660377358488</v>
      </c>
      <c r="BK306" s="373">
        <f>(BK309/((BK302+BJ302)/2)*1000)/3</f>
        <v>0</v>
      </c>
      <c r="BL306" s="373">
        <f>(BL309/((BL302+BK302)/2)*1000)/3</f>
        <v>0</v>
      </c>
      <c r="BM306" s="373">
        <f>(BM309/((BM302+BL302)/2)*1000)/3</f>
        <v>0</v>
      </c>
      <c r="BN306" s="373" t="e">
        <f>(BN309/((BN302+BM302)/2)*1000)/3</f>
        <v>#REF!</v>
      </c>
      <c r="BO306" s="373">
        <f>BJ306*(1+BO307)</f>
        <v>29.895547169811319</v>
      </c>
      <c r="BP306" s="373"/>
      <c r="BQ306" s="373"/>
      <c r="BR306" s="373"/>
      <c r="BS306" s="373"/>
      <c r="BT306" s="373">
        <f>BO306*(1+BT307)</f>
        <v>29.297636226415094</v>
      </c>
      <c r="BU306" s="378"/>
      <c r="BV306" s="378"/>
      <c r="BW306" s="378"/>
      <c r="BX306" s="378"/>
      <c r="BY306" s="373">
        <f>BT306*(1+BY307)</f>
        <v>28.711683501886792</v>
      </c>
      <c r="BZ306" s="378"/>
      <c r="CA306" s="378"/>
      <c r="CB306" s="378"/>
      <c r="CC306" s="378"/>
      <c r="CD306" s="373">
        <f>BY306*(1+CD307)</f>
        <v>28.137449831849057</v>
      </c>
      <c r="CE306" s="373">
        <f t="shared" ref="CE306:CI306" si="974">CD306*(1+CE307)</f>
        <v>27.574700835212077</v>
      </c>
      <c r="CF306" s="373">
        <f t="shared" si="974"/>
        <v>27.023206818507834</v>
      </c>
      <c r="CG306" s="373">
        <f t="shared" si="974"/>
        <v>26.482742682137676</v>
      </c>
      <c r="CH306" s="373">
        <f t="shared" si="974"/>
        <v>25.953087828494922</v>
      </c>
      <c r="CI306" s="373">
        <f t="shared" si="974"/>
        <v>25.434026071925025</v>
      </c>
      <c r="CJ306" s="373">
        <f t="shared" ref="CJ306" si="975">CI306*(1+CJ307)</f>
        <v>24.925345550486526</v>
      </c>
      <c r="CK306" s="373">
        <f t="shared" ref="CK306" si="976">CJ306*(1+CK307)</f>
        <v>24.426838639476795</v>
      </c>
      <c r="CL306" s="373">
        <f t="shared" ref="CL306:CM306" si="977">CK306*(1+CL307)</f>
        <v>23.938301866687258</v>
      </c>
      <c r="CM306" s="373">
        <f t="shared" si="977"/>
        <v>23.459535829353513</v>
      </c>
      <c r="CN306" s="195"/>
      <c r="CO306" s="195"/>
      <c r="CP306" s="195"/>
      <c r="CQ306" s="195"/>
      <c r="CR306" s="195"/>
      <c r="CS306" s="195"/>
      <c r="CT306" s="195"/>
      <c r="DT306" s="265"/>
      <c r="DU306" s="265"/>
      <c r="EG306" s="265"/>
      <c r="EH306" s="265"/>
      <c r="EI306" s="265"/>
    </row>
    <row r="307" spans="1:142" hidden="1" outlineLevel="1">
      <c r="A307" s="276" t="s">
        <v>39</v>
      </c>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t="e">
        <f>AF306/AA306-1</f>
        <v>#DIV/0!</v>
      </c>
      <c r="AG307" s="243"/>
      <c r="AH307" s="243"/>
      <c r="AI307" s="243"/>
      <c r="AJ307" s="243"/>
      <c r="AK307" s="243">
        <f t="shared" ref="AK307:BD307" si="978">AK306/AF306-1</f>
        <v>-0.58472222222222214</v>
      </c>
      <c r="AL307" s="243">
        <f t="shared" si="978"/>
        <v>-0.27640156453715781</v>
      </c>
      <c r="AM307" s="243">
        <f t="shared" si="978"/>
        <v>-0.31365820178448878</v>
      </c>
      <c r="AN307" s="243">
        <f t="shared" si="978"/>
        <v>-0.34056432038834961</v>
      </c>
      <c r="AO307" s="243">
        <f t="shared" si="978"/>
        <v>-0.39398692810457514</v>
      </c>
      <c r="AP307" s="243">
        <f t="shared" si="978"/>
        <v>-0.33333333333333348</v>
      </c>
      <c r="AQ307" s="243">
        <f t="shared" si="978"/>
        <v>-0.2860655737704918</v>
      </c>
      <c r="AR307" s="243">
        <f t="shared" si="978"/>
        <v>-0.24010617760617747</v>
      </c>
      <c r="AS307" s="243">
        <f t="shared" si="978"/>
        <v>-0.11041083099906623</v>
      </c>
      <c r="AT307" s="243">
        <f t="shared" si="978"/>
        <v>9.4909404659186958E-3</v>
      </c>
      <c r="AU307" s="243">
        <f t="shared" si="978"/>
        <v>-0.15217391304347816</v>
      </c>
      <c r="AV307" s="243">
        <f t="shared" si="978"/>
        <v>-0.12304697249538254</v>
      </c>
      <c r="AW307" s="243">
        <f t="shared" si="978"/>
        <v>-1</v>
      </c>
      <c r="AX307" s="243">
        <f t="shared" si="978"/>
        <v>-1</v>
      </c>
      <c r="AY307" s="243">
        <f t="shared" si="978"/>
        <v>-1</v>
      </c>
      <c r="AZ307" s="243">
        <f t="shared" si="978"/>
        <v>-0.79100145137880984</v>
      </c>
      <c r="BA307" s="243">
        <f t="shared" si="978"/>
        <v>-1</v>
      </c>
      <c r="BB307" s="243" t="e">
        <f t="shared" si="978"/>
        <v>#DIV/0!</v>
      </c>
      <c r="BC307" s="243" t="e">
        <f t="shared" si="978"/>
        <v>#DIV/0!</v>
      </c>
      <c r="BD307" s="243" t="e">
        <f t="shared" si="978"/>
        <v>#DIV/0!</v>
      </c>
      <c r="BE307" s="312">
        <v>-0.14000000000000001</v>
      </c>
      <c r="BF307" s="243" t="e">
        <f>BF306/BA306-1</f>
        <v>#DIV/0!</v>
      </c>
      <c r="BG307" s="243"/>
      <c r="BH307" s="243"/>
      <c r="BI307" s="243"/>
      <c r="BJ307" s="312">
        <v>-0.06</v>
      </c>
      <c r="BK307" s="243" t="e">
        <f>BK306/BF306-1</f>
        <v>#DIV/0!</v>
      </c>
      <c r="BL307" s="243" t="e">
        <f>BL306/BG306-1</f>
        <v>#DIV/0!</v>
      </c>
      <c r="BM307" s="243" t="e">
        <f>BM306/BH306-1</f>
        <v>#DIV/0!</v>
      </c>
      <c r="BN307" s="243" t="e">
        <f>BN306/BI306-1</f>
        <v>#REF!</v>
      </c>
      <c r="BO307" s="312">
        <v>-0.02</v>
      </c>
      <c r="BP307" s="312"/>
      <c r="BQ307" s="312"/>
      <c r="BR307" s="312"/>
      <c r="BS307" s="312"/>
      <c r="BT307" s="312">
        <v>-0.02</v>
      </c>
      <c r="BU307" s="377"/>
      <c r="BV307" s="377"/>
      <c r="BW307" s="377"/>
      <c r="BX307" s="377"/>
      <c r="BY307" s="312">
        <f>BT307</f>
        <v>-0.02</v>
      </c>
      <c r="BZ307" s="377"/>
      <c r="CA307" s="377"/>
      <c r="CB307" s="377"/>
      <c r="CC307" s="377"/>
      <c r="CD307" s="312">
        <f>BY307</f>
        <v>-0.02</v>
      </c>
      <c r="CE307" s="312">
        <f t="shared" ref="CE307:CI307" si="979">CD307</f>
        <v>-0.02</v>
      </c>
      <c r="CF307" s="312">
        <f t="shared" si="979"/>
        <v>-0.02</v>
      </c>
      <c r="CG307" s="312">
        <f t="shared" si="979"/>
        <v>-0.02</v>
      </c>
      <c r="CH307" s="312">
        <f t="shared" si="979"/>
        <v>-0.02</v>
      </c>
      <c r="CI307" s="312">
        <f t="shared" si="979"/>
        <v>-0.02</v>
      </c>
      <c r="CJ307" s="312">
        <f t="shared" ref="CJ307" si="980">CI307</f>
        <v>-0.02</v>
      </c>
      <c r="CK307" s="312">
        <f t="shared" ref="CK307" si="981">CJ307</f>
        <v>-0.02</v>
      </c>
      <c r="CL307" s="312">
        <f t="shared" ref="CL307:CM307" si="982">CK307</f>
        <v>-0.02</v>
      </c>
      <c r="CM307" s="312">
        <f t="shared" si="982"/>
        <v>-0.02</v>
      </c>
      <c r="CN307" s="195"/>
      <c r="CO307" s="195"/>
      <c r="CP307" s="195"/>
      <c r="CQ307" s="195"/>
      <c r="CR307" s="195"/>
      <c r="CS307" s="195"/>
      <c r="CT307" s="195"/>
    </row>
    <row r="308" spans="1:142" hidden="1" outlineLevel="1">
      <c r="A308" s="276"/>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43"/>
      <c r="AZ308" s="243"/>
      <c r="BA308" s="243"/>
      <c r="BB308" s="243"/>
      <c r="BC308" s="243"/>
      <c r="BD308" s="243"/>
      <c r="BE308" s="243"/>
      <c r="BF308" s="243"/>
      <c r="BG308" s="243"/>
      <c r="BH308" s="243"/>
      <c r="BI308" s="243"/>
      <c r="BJ308" s="243"/>
      <c r="BK308" s="243"/>
      <c r="BL308" s="243"/>
      <c r="BM308" s="243"/>
      <c r="BN308" s="243"/>
      <c r="BO308" s="243"/>
      <c r="BP308" s="243"/>
      <c r="BQ308" s="243"/>
      <c r="BR308" s="243"/>
      <c r="BS308" s="243"/>
      <c r="BT308" s="243"/>
      <c r="BU308" s="222"/>
      <c r="BV308" s="222"/>
      <c r="BW308" s="222"/>
      <c r="BX308" s="222"/>
      <c r="BY308" s="243"/>
      <c r="BZ308" s="222"/>
      <c r="CA308" s="222"/>
      <c r="CB308" s="222"/>
      <c r="CC308" s="222"/>
      <c r="CD308" s="243"/>
      <c r="CE308" s="243"/>
      <c r="CF308" s="243"/>
      <c r="CG308" s="243"/>
      <c r="CH308" s="243"/>
      <c r="CI308" s="243"/>
      <c r="CJ308" s="243"/>
      <c r="CK308" s="243"/>
      <c r="CL308" s="243"/>
      <c r="CM308" s="243"/>
      <c r="CN308" s="195"/>
      <c r="CO308" s="195"/>
      <c r="CP308" s="195"/>
      <c r="CQ308" s="195"/>
      <c r="CR308" s="195"/>
      <c r="CS308" s="195"/>
      <c r="CT308" s="195"/>
    </row>
    <row r="309" spans="1:142" s="265" customFormat="1" hidden="1" outlineLevel="1">
      <c r="A309" s="286" t="s">
        <v>544</v>
      </c>
      <c r="B309" s="379"/>
      <c r="C309" s="379"/>
      <c r="D309" s="379"/>
      <c r="E309" s="379"/>
      <c r="F309" s="380">
        <v>59</v>
      </c>
      <c r="G309" s="380">
        <v>247.2</v>
      </c>
      <c r="H309" s="380">
        <v>45</v>
      </c>
      <c r="I309" s="380">
        <v>59</v>
      </c>
      <c r="J309" s="380">
        <v>40</v>
      </c>
      <c r="K309" s="380">
        <v>44</v>
      </c>
      <c r="L309" s="380">
        <v>188</v>
      </c>
      <c r="M309" s="380">
        <v>43</v>
      </c>
      <c r="N309" s="380">
        <v>45</v>
      </c>
      <c r="O309" s="380">
        <v>47</v>
      </c>
      <c r="P309" s="380">
        <v>50</v>
      </c>
      <c r="Q309" s="380">
        <v>185</v>
      </c>
      <c r="R309" s="380">
        <v>47</v>
      </c>
      <c r="S309" s="380">
        <v>53</v>
      </c>
      <c r="T309" s="380">
        <v>48</v>
      </c>
      <c r="U309" s="380">
        <v>33</v>
      </c>
      <c r="V309" s="381">
        <v>181</v>
      </c>
      <c r="W309" s="381">
        <v>45</v>
      </c>
      <c r="X309" s="381">
        <v>50</v>
      </c>
      <c r="Y309" s="381">
        <v>53</v>
      </c>
      <c r="Z309" s="381">
        <v>55</v>
      </c>
      <c r="AA309" s="381">
        <v>203</v>
      </c>
      <c r="AB309" s="381">
        <v>63</v>
      </c>
      <c r="AC309" s="381">
        <v>58</v>
      </c>
      <c r="AD309" s="381">
        <v>58</v>
      </c>
      <c r="AE309" s="381">
        <v>61</v>
      </c>
      <c r="AF309" s="381">
        <v>240</v>
      </c>
      <c r="AG309" s="381">
        <v>59</v>
      </c>
      <c r="AH309" s="381">
        <v>62</v>
      </c>
      <c r="AI309" s="381">
        <v>64</v>
      </c>
      <c r="AJ309" s="381">
        <v>68</v>
      </c>
      <c r="AK309" s="381">
        <v>253</v>
      </c>
      <c r="AL309" s="381">
        <v>65</v>
      </c>
      <c r="AM309" s="381">
        <v>64</v>
      </c>
      <c r="AN309" s="381">
        <v>63</v>
      </c>
      <c r="AO309" s="381">
        <v>61</v>
      </c>
      <c r="AP309" s="381">
        <v>253</v>
      </c>
      <c r="AQ309" s="381">
        <v>67</v>
      </c>
      <c r="AR309" s="381">
        <v>67</v>
      </c>
      <c r="AS309" s="381">
        <v>74</v>
      </c>
      <c r="AT309" s="381">
        <v>78</v>
      </c>
      <c r="AU309" s="381">
        <f>SUM(AQ309:AT309)</f>
        <v>286</v>
      </c>
      <c r="AV309" s="381">
        <v>72</v>
      </c>
      <c r="AW309" s="381">
        <f>'[2]Profit and Loss Highlights'!X$11</f>
        <v>0</v>
      </c>
      <c r="AX309" s="381">
        <f>'[2]Profit and Loss Highlights'!Y$11</f>
        <v>0</v>
      </c>
      <c r="AY309" s="381">
        <f>'[2]Profit and Loss Highlights'!Z$11</f>
        <v>0</v>
      </c>
      <c r="AZ309" s="381">
        <f>SUM(AV309:AY309)</f>
        <v>72</v>
      </c>
      <c r="BA309" s="381">
        <f>'[2]Profit and Loss Highlights'!AA$11</f>
        <v>0</v>
      </c>
      <c r="BB309" s="381">
        <f>'[2]Profit and Loss Highlights'!AB$11</f>
        <v>0</v>
      </c>
      <c r="BC309" s="381">
        <f>'[2]Profit and Loss Highlights'!AC$11</f>
        <v>0</v>
      </c>
      <c r="BD309" s="381">
        <f>'[2]Profit and Loss Highlights'!AD$11</f>
        <v>0</v>
      </c>
      <c r="BE309" s="379">
        <f>((BE302+AZ302)/2)*BE306*12/1000</f>
        <v>71.863692987263761</v>
      </c>
      <c r="BF309" s="381">
        <f>'[2]Profit and Loss Highlights'!AF$11</f>
        <v>0</v>
      </c>
      <c r="BG309" s="379"/>
      <c r="BH309" s="379"/>
      <c r="BI309" s="379"/>
      <c r="BJ309" s="379">
        <f>((BJ302+BE302)/2)*BJ306*12/1000</f>
        <v>89.004675002633604</v>
      </c>
      <c r="BK309" s="381">
        <f>'[2]Profit and Loss Highlights'!AJ$11</f>
        <v>0</v>
      </c>
      <c r="BL309" s="381">
        <f>'[2]Profit and Loss Highlights'!AK$11</f>
        <v>0</v>
      </c>
      <c r="BM309" s="381">
        <f>'[2]Profit and Loss Highlights'!AL$11</f>
        <v>0</v>
      </c>
      <c r="BN309" s="381" t="e">
        <f>'[2]Profit and Loss Highlights'!#REF!</f>
        <v>#REF!</v>
      </c>
      <c r="BO309" s="379">
        <f>((BO302+BJ302)/2)*BO306*12/1000</f>
        <v>122.48389048664929</v>
      </c>
      <c r="BP309" s="379"/>
      <c r="BQ309" s="379"/>
      <c r="BR309" s="379"/>
      <c r="BS309" s="379"/>
      <c r="BT309" s="379">
        <f>((BT302+BO302)/2)*BT306*12/1000</f>
        <v>152.85040135920852</v>
      </c>
      <c r="BU309" s="382"/>
      <c r="BV309" s="382"/>
      <c r="BW309" s="382"/>
      <c r="BX309" s="382"/>
      <c r="BY309" s="379">
        <f>((BY302+BT302)/2)*BY306*12/1000</f>
        <v>191.57062317114296</v>
      </c>
      <c r="BZ309" s="382"/>
      <c r="CA309" s="382"/>
      <c r="CB309" s="382"/>
      <c r="CC309" s="382"/>
      <c r="CD309" s="379">
        <f>((CD302+BY302)/2)*CD306*12/1000</f>
        <v>222.08459791078448</v>
      </c>
      <c r="CE309" s="379">
        <f t="shared" ref="CE309:CI309" si="983">((CE302+CD302)/2)*CE306*12/1000</f>
        <v>231.39718915001765</v>
      </c>
      <c r="CF309" s="379">
        <f t="shared" si="983"/>
        <v>239.29028825750686</v>
      </c>
      <c r="CG309" s="379">
        <f t="shared" si="983"/>
        <v>245.98930618398109</v>
      </c>
      <c r="CH309" s="379">
        <f t="shared" si="983"/>
        <v>251.28538267116329</v>
      </c>
      <c r="CI309" s="379">
        <f t="shared" si="983"/>
        <v>254.98168263968904</v>
      </c>
      <c r="CJ309" s="379">
        <f t="shared" ref="CJ309" si="984">((CJ302+CI302)/2)*CJ306*12/1000</f>
        <v>252.045896374656</v>
      </c>
      <c r="CK309" s="379">
        <f t="shared" ref="CK309" si="985">((CK302+CJ302)/2)*CK306*12/1000</f>
        <v>243.45380358229733</v>
      </c>
      <c r="CL309" s="379">
        <f t="shared" ref="CL309:CM309" si="986">((CL302+CK302)/2)*CL306*12/1000</f>
        <v>235.08919420236745</v>
      </c>
      <c r="CM309" s="379">
        <f t="shared" si="986"/>
        <v>226.94661321233633</v>
      </c>
      <c r="CN309" s="202"/>
      <c r="CO309" s="202"/>
      <c r="CP309" s="202"/>
      <c r="CQ309" s="202"/>
      <c r="CR309" s="202"/>
      <c r="CS309" s="202"/>
      <c r="CT309" s="202"/>
    </row>
    <row r="310" spans="1:142" hidden="1" outlineLevel="1">
      <c r="A310" s="276" t="s">
        <v>39</v>
      </c>
      <c r="B310" s="243"/>
      <c r="C310" s="243"/>
      <c r="D310" s="243"/>
      <c r="E310" s="243"/>
      <c r="F310" s="243"/>
      <c r="G310" s="243"/>
      <c r="H310" s="243"/>
      <c r="I310" s="243"/>
      <c r="J310" s="243"/>
      <c r="K310" s="243"/>
      <c r="L310" s="243">
        <f t="shared" ref="L310:BF310" si="987">L309/G309-1</f>
        <v>-0.23948220064724912</v>
      </c>
      <c r="M310" s="243">
        <f t="shared" si="987"/>
        <v>-4.4444444444444398E-2</v>
      </c>
      <c r="N310" s="243">
        <f t="shared" si="987"/>
        <v>-0.23728813559322037</v>
      </c>
      <c r="O310" s="243">
        <f t="shared" si="987"/>
        <v>0.17500000000000004</v>
      </c>
      <c r="P310" s="243">
        <f t="shared" si="987"/>
        <v>0.13636363636363646</v>
      </c>
      <c r="Q310" s="243">
        <f t="shared" si="987"/>
        <v>-1.5957446808510634E-2</v>
      </c>
      <c r="R310" s="243">
        <f t="shared" si="987"/>
        <v>9.3023255813953432E-2</v>
      </c>
      <c r="S310" s="243">
        <f t="shared" si="987"/>
        <v>0.17777777777777781</v>
      </c>
      <c r="T310" s="243">
        <f t="shared" si="987"/>
        <v>2.1276595744680771E-2</v>
      </c>
      <c r="U310" s="243">
        <f t="shared" si="987"/>
        <v>-0.33999999999999997</v>
      </c>
      <c r="V310" s="243">
        <f t="shared" si="987"/>
        <v>-2.1621621621621623E-2</v>
      </c>
      <c r="W310" s="243">
        <f t="shared" si="987"/>
        <v>-4.2553191489361653E-2</v>
      </c>
      <c r="X310" s="243">
        <f t="shared" si="987"/>
        <v>-5.6603773584905648E-2</v>
      </c>
      <c r="Y310" s="243">
        <f t="shared" si="987"/>
        <v>0.10416666666666674</v>
      </c>
      <c r="Z310" s="243">
        <f t="shared" si="987"/>
        <v>0.66666666666666674</v>
      </c>
      <c r="AA310" s="243">
        <f t="shared" si="987"/>
        <v>0.12154696132596676</v>
      </c>
      <c r="AB310" s="243">
        <f t="shared" si="987"/>
        <v>0.39999999999999991</v>
      </c>
      <c r="AC310" s="243">
        <f t="shared" si="987"/>
        <v>0.15999999999999992</v>
      </c>
      <c r="AD310" s="243">
        <f t="shared" si="987"/>
        <v>9.4339622641509413E-2</v>
      </c>
      <c r="AE310" s="243">
        <f t="shared" si="987"/>
        <v>0.10909090909090913</v>
      </c>
      <c r="AF310" s="243">
        <f t="shared" si="987"/>
        <v>0.18226600985221686</v>
      </c>
      <c r="AG310" s="243">
        <f t="shared" si="987"/>
        <v>-6.3492063492063489E-2</v>
      </c>
      <c r="AH310" s="243">
        <f t="shared" si="987"/>
        <v>6.8965517241379226E-2</v>
      </c>
      <c r="AI310" s="243">
        <f t="shared" si="987"/>
        <v>0.10344827586206895</v>
      </c>
      <c r="AJ310" s="243">
        <f t="shared" si="987"/>
        <v>0.11475409836065564</v>
      </c>
      <c r="AK310" s="243">
        <f t="shared" si="987"/>
        <v>5.4166666666666696E-2</v>
      </c>
      <c r="AL310" s="243">
        <f t="shared" si="987"/>
        <v>0.10169491525423724</v>
      </c>
      <c r="AM310" s="243">
        <f t="shared" si="987"/>
        <v>3.2258064516129004E-2</v>
      </c>
      <c r="AN310" s="243">
        <f t="shared" si="987"/>
        <v>-1.5625E-2</v>
      </c>
      <c r="AO310" s="243">
        <f t="shared" si="987"/>
        <v>-0.1029411764705882</v>
      </c>
      <c r="AP310" s="243">
        <f t="shared" si="987"/>
        <v>0</v>
      </c>
      <c r="AQ310" s="243">
        <f t="shared" si="987"/>
        <v>3.076923076923066E-2</v>
      </c>
      <c r="AR310" s="243">
        <f t="shared" si="987"/>
        <v>4.6875E-2</v>
      </c>
      <c r="AS310" s="243">
        <f t="shared" si="987"/>
        <v>0.17460317460317465</v>
      </c>
      <c r="AT310" s="243">
        <f t="shared" si="987"/>
        <v>0.27868852459016402</v>
      </c>
      <c r="AU310" s="243">
        <f t="shared" si="987"/>
        <v>0.13043478260869557</v>
      </c>
      <c r="AV310" s="243">
        <f t="shared" si="987"/>
        <v>7.4626865671641784E-2</v>
      </c>
      <c r="AW310" s="243">
        <f t="shared" si="987"/>
        <v>-1</v>
      </c>
      <c r="AX310" s="243">
        <f t="shared" si="987"/>
        <v>-1</v>
      </c>
      <c r="AY310" s="243">
        <f t="shared" si="987"/>
        <v>-1</v>
      </c>
      <c r="AZ310" s="243">
        <f t="shared" si="987"/>
        <v>-0.74825174825174823</v>
      </c>
      <c r="BA310" s="243">
        <f t="shared" si="987"/>
        <v>-1</v>
      </c>
      <c r="BB310" s="243" t="e">
        <f t="shared" si="987"/>
        <v>#DIV/0!</v>
      </c>
      <c r="BC310" s="243" t="e">
        <f t="shared" si="987"/>
        <v>#DIV/0!</v>
      </c>
      <c r="BD310" s="243" t="e">
        <f t="shared" si="987"/>
        <v>#DIV/0!</v>
      </c>
      <c r="BE310" s="243">
        <f t="shared" si="987"/>
        <v>-1.8931529546699633E-3</v>
      </c>
      <c r="BF310" s="243" t="e">
        <f t="shared" si="987"/>
        <v>#DIV/0!</v>
      </c>
      <c r="BG310" s="243"/>
      <c r="BH310" s="243"/>
      <c r="BI310" s="243"/>
      <c r="BJ310" s="243">
        <f t="shared" ref="BJ310:BO310" si="988">BJ309/BE309-1</f>
        <v>0.23852075092227309</v>
      </c>
      <c r="BK310" s="243" t="e">
        <f t="shared" si="988"/>
        <v>#DIV/0!</v>
      </c>
      <c r="BL310" s="243" t="e">
        <f t="shared" si="988"/>
        <v>#DIV/0!</v>
      </c>
      <c r="BM310" s="243" t="e">
        <f t="shared" si="988"/>
        <v>#DIV/0!</v>
      </c>
      <c r="BN310" s="243" t="e">
        <f t="shared" si="988"/>
        <v>#REF!</v>
      </c>
      <c r="BO310" s="243">
        <f t="shared" si="988"/>
        <v>0.37615120197927854</v>
      </c>
      <c r="BP310" s="243"/>
      <c r="BQ310" s="243"/>
      <c r="BR310" s="243"/>
      <c r="BS310" s="243"/>
      <c r="BT310" s="243">
        <f>BT309/BO309-1</f>
        <v>0.24792248802604111</v>
      </c>
      <c r="BU310" s="222"/>
      <c r="BV310" s="222"/>
      <c r="BW310" s="222"/>
      <c r="BX310" s="222"/>
      <c r="BY310" s="243">
        <f>BY309/BT309-1</f>
        <v>0.25332103460388944</v>
      </c>
      <c r="BZ310" s="222"/>
      <c r="CA310" s="222"/>
      <c r="CB310" s="222"/>
      <c r="CC310" s="222"/>
      <c r="CD310" s="243">
        <f>CD309/BY309-1</f>
        <v>0.15928316270277687</v>
      </c>
      <c r="CE310" s="243">
        <f t="shared" ref="CE310:CI310" si="989">CE309/CD309-1</f>
        <v>4.1932629848442815E-2</v>
      </c>
      <c r="CF310" s="243">
        <f t="shared" si="989"/>
        <v>3.411060927957954E-2</v>
      </c>
      <c r="CG310" s="243">
        <f t="shared" si="989"/>
        <v>2.799536067784425E-2</v>
      </c>
      <c r="CH310" s="243">
        <f t="shared" si="989"/>
        <v>2.1529702121364291E-2</v>
      </c>
      <c r="CI310" s="243">
        <f t="shared" si="989"/>
        <v>1.4709570167727559E-2</v>
      </c>
      <c r="CJ310" s="243">
        <f t="shared" ref="CJ310" si="990">CJ309/CI309-1</f>
        <v>-1.1513714376030548E-2</v>
      </c>
      <c r="CK310" s="243">
        <f t="shared" ref="CK310" si="991">CK309/CJ309-1</f>
        <v>-3.4089397669013755E-2</v>
      </c>
      <c r="CL310" s="243">
        <f t="shared" ref="CL310:CM310" si="992">CL309/CK309-1</f>
        <v>-3.4358096923724157E-2</v>
      </c>
      <c r="CM310" s="243">
        <f t="shared" si="992"/>
        <v>-3.4636134670749219E-2</v>
      </c>
      <c r="CN310" s="195"/>
      <c r="CO310" s="195"/>
      <c r="CP310" s="195"/>
      <c r="CQ310" s="195"/>
      <c r="CR310" s="195"/>
      <c r="CS310" s="195"/>
      <c r="CT310" s="195"/>
    </row>
    <row r="311" spans="1:142" collapsed="1">
      <c r="A311" s="195"/>
      <c r="B311" s="243"/>
      <c r="C311" s="243"/>
      <c r="D311" s="243"/>
      <c r="E311" s="243"/>
      <c r="F311" s="196"/>
      <c r="G311" s="196"/>
      <c r="H311" s="196"/>
      <c r="I311" s="196"/>
      <c r="J311" s="196"/>
      <c r="K311" s="196"/>
      <c r="L311" s="196"/>
      <c r="M311" s="196"/>
      <c r="N311" s="196"/>
      <c r="O311" s="196"/>
      <c r="P311" s="196"/>
      <c r="Q311" s="196"/>
      <c r="R311" s="196"/>
      <c r="S311" s="196"/>
      <c r="T311" s="196"/>
      <c r="U311" s="196"/>
      <c r="V311" s="196"/>
      <c r="W311" s="196"/>
      <c r="X311" s="196"/>
      <c r="Y311" s="196"/>
      <c r="Z311" s="196"/>
      <c r="AA311" s="196"/>
      <c r="AB311" s="196"/>
      <c r="AC311" s="196"/>
      <c r="AD311" s="196"/>
      <c r="AE311" s="196"/>
      <c r="AF311" s="196"/>
      <c r="AG311" s="196"/>
      <c r="AH311" s="196"/>
      <c r="AI311" s="196"/>
      <c r="AJ311" s="196"/>
      <c r="AK311" s="196"/>
      <c r="AL311" s="196"/>
      <c r="AM311" s="196"/>
      <c r="AN311" s="196"/>
      <c r="AO311" s="196"/>
      <c r="AP311" s="196"/>
      <c r="AQ311" s="196"/>
      <c r="AR311" s="196"/>
      <c r="AS311" s="196"/>
      <c r="AT311" s="196"/>
      <c r="AU311" s="196"/>
      <c r="AV311" s="196"/>
      <c r="AW311" s="196"/>
      <c r="AX311" s="243"/>
      <c r="AY311" s="243"/>
      <c r="AZ311" s="196"/>
      <c r="BA311" s="196"/>
      <c r="BB311" s="196"/>
      <c r="BC311" s="196"/>
      <c r="BD311" s="196"/>
      <c r="BE311" s="196"/>
      <c r="BF311" s="196"/>
      <c r="BG311" s="243"/>
      <c r="BH311" s="243"/>
      <c r="BI311" s="243"/>
      <c r="BJ311" s="196"/>
      <c r="BK311" s="196"/>
      <c r="BL311" s="196"/>
      <c r="BM311" s="196"/>
      <c r="BN311" s="196"/>
      <c r="BO311" s="196"/>
      <c r="BP311" s="196"/>
      <c r="BQ311" s="196"/>
      <c r="BR311" s="196"/>
      <c r="BS311" s="196"/>
      <c r="BT311" s="196"/>
      <c r="BU311" s="197"/>
      <c r="BV311" s="197"/>
      <c r="BW311" s="197"/>
      <c r="BX311" s="197"/>
      <c r="BY311" s="196"/>
      <c r="BZ311" s="197"/>
      <c r="CA311" s="197"/>
      <c r="CB311" s="197"/>
      <c r="CC311" s="197"/>
      <c r="CD311" s="196"/>
      <c r="CE311" s="196"/>
      <c r="CF311" s="196"/>
      <c r="CG311" s="196"/>
      <c r="CH311" s="196"/>
      <c r="CI311" s="196"/>
      <c r="CJ311" s="196"/>
      <c r="CK311" s="196"/>
      <c r="CL311" s="196"/>
      <c r="CM311" s="196"/>
      <c r="CN311" s="195"/>
      <c r="CO311" s="195"/>
      <c r="CP311" s="195"/>
      <c r="CQ311" s="195"/>
      <c r="CR311" s="195"/>
      <c r="CS311" s="195"/>
      <c r="CT311" s="195"/>
    </row>
    <row r="312" spans="1:142">
      <c r="A312" s="383" t="s">
        <v>62</v>
      </c>
      <c r="B312" s="384">
        <f>B$2</f>
        <v>2007</v>
      </c>
      <c r="C312" s="384" t="str">
        <f t="shared" ref="C312:CD312" si="993">C$2</f>
        <v>Q1</v>
      </c>
      <c r="D312" s="384" t="str">
        <f t="shared" si="993"/>
        <v>Q2</v>
      </c>
      <c r="E312" s="384" t="str">
        <f t="shared" si="993"/>
        <v>Q3</v>
      </c>
      <c r="F312" s="384" t="str">
        <f t="shared" si="993"/>
        <v>Q4</v>
      </c>
      <c r="G312" s="384">
        <f t="shared" si="993"/>
        <v>2008</v>
      </c>
      <c r="H312" s="384" t="str">
        <f t="shared" si="993"/>
        <v>Q1</v>
      </c>
      <c r="I312" s="384" t="str">
        <f t="shared" si="993"/>
        <v>Q2</v>
      </c>
      <c r="J312" s="384" t="str">
        <f t="shared" si="993"/>
        <v>Q3</v>
      </c>
      <c r="K312" s="384" t="str">
        <f t="shared" si="993"/>
        <v>Q4</v>
      </c>
      <c r="L312" s="384">
        <f t="shared" si="993"/>
        <v>2009</v>
      </c>
      <c r="M312" s="384" t="str">
        <f t="shared" si="993"/>
        <v>Q1</v>
      </c>
      <c r="N312" s="384" t="str">
        <f t="shared" si="993"/>
        <v>Q2</v>
      </c>
      <c r="O312" s="384" t="str">
        <f t="shared" si="993"/>
        <v>Q3</v>
      </c>
      <c r="P312" s="384" t="str">
        <f t="shared" si="993"/>
        <v>Q4</v>
      </c>
      <c r="Q312" s="384">
        <f t="shared" si="993"/>
        <v>2010</v>
      </c>
      <c r="R312" s="384" t="str">
        <f t="shared" si="993"/>
        <v>Q1</v>
      </c>
      <c r="S312" s="384" t="str">
        <f t="shared" si="993"/>
        <v>Q2</v>
      </c>
      <c r="T312" s="384" t="str">
        <f t="shared" si="993"/>
        <v>Q3</v>
      </c>
      <c r="U312" s="384" t="str">
        <f t="shared" si="993"/>
        <v>Q4</v>
      </c>
      <c r="V312" s="384">
        <f t="shared" si="993"/>
        <v>2011</v>
      </c>
      <c r="W312" s="384" t="str">
        <f t="shared" si="993"/>
        <v>Q1</v>
      </c>
      <c r="X312" s="384" t="str">
        <f t="shared" si="993"/>
        <v>Q2</v>
      </c>
      <c r="Y312" s="384" t="str">
        <f t="shared" si="993"/>
        <v>Q3</v>
      </c>
      <c r="Z312" s="384" t="str">
        <f t="shared" si="993"/>
        <v>Q4</v>
      </c>
      <c r="AA312" s="384">
        <f t="shared" si="993"/>
        <v>2012</v>
      </c>
      <c r="AB312" s="384" t="str">
        <f t="shared" si="993"/>
        <v>Q1</v>
      </c>
      <c r="AC312" s="384" t="str">
        <f t="shared" si="993"/>
        <v>Q2</v>
      </c>
      <c r="AD312" s="384" t="str">
        <f t="shared" si="993"/>
        <v>Q3</v>
      </c>
      <c r="AE312" s="384" t="str">
        <f t="shared" si="993"/>
        <v>Q4</v>
      </c>
      <c r="AF312" s="384">
        <f t="shared" si="993"/>
        <v>2013</v>
      </c>
      <c r="AG312" s="384" t="str">
        <f t="shared" si="993"/>
        <v>Q1</v>
      </c>
      <c r="AH312" s="384" t="str">
        <f t="shared" si="993"/>
        <v>Q2</v>
      </c>
      <c r="AI312" s="384" t="str">
        <f t="shared" si="993"/>
        <v>Q3</v>
      </c>
      <c r="AJ312" s="384" t="str">
        <f t="shared" si="993"/>
        <v>Q4</v>
      </c>
      <c r="AK312" s="384">
        <f t="shared" si="993"/>
        <v>2014</v>
      </c>
      <c r="AL312" s="384" t="str">
        <f t="shared" si="993"/>
        <v>Q1</v>
      </c>
      <c r="AM312" s="384" t="str">
        <f t="shared" si="993"/>
        <v>Q2</v>
      </c>
      <c r="AN312" s="384" t="str">
        <f t="shared" si="993"/>
        <v>Q3</v>
      </c>
      <c r="AO312" s="384" t="str">
        <f t="shared" si="993"/>
        <v>Q4</v>
      </c>
      <c r="AP312" s="384">
        <f t="shared" si="993"/>
        <v>2015</v>
      </c>
      <c r="AQ312" s="384" t="str">
        <f t="shared" si="993"/>
        <v>Q1</v>
      </c>
      <c r="AR312" s="384" t="str">
        <f t="shared" si="993"/>
        <v>Q2</v>
      </c>
      <c r="AS312" s="384" t="str">
        <f t="shared" si="993"/>
        <v>Q3</v>
      </c>
      <c r="AT312" s="384" t="str">
        <f t="shared" si="993"/>
        <v>Q4</v>
      </c>
      <c r="AU312" s="384">
        <f t="shared" si="993"/>
        <v>2016</v>
      </c>
      <c r="AV312" s="384" t="str">
        <f t="shared" si="993"/>
        <v>Q1</v>
      </c>
      <c r="AW312" s="384" t="str">
        <f t="shared" si="993"/>
        <v>Q2</v>
      </c>
      <c r="AX312" s="384" t="str">
        <f t="shared" si="993"/>
        <v>Q3</v>
      </c>
      <c r="AY312" s="384" t="str">
        <f t="shared" si="993"/>
        <v>Q4</v>
      </c>
      <c r="AZ312" s="384">
        <f t="shared" si="993"/>
        <v>2017</v>
      </c>
      <c r="BA312" s="384" t="str">
        <f t="shared" si="993"/>
        <v>Q1</v>
      </c>
      <c r="BB312" s="384" t="str">
        <f t="shared" si="993"/>
        <v>Q2</v>
      </c>
      <c r="BC312" s="384" t="str">
        <f t="shared" si="993"/>
        <v>Q3</v>
      </c>
      <c r="BD312" s="384" t="str">
        <f t="shared" si="993"/>
        <v>Q4</v>
      </c>
      <c r="BE312" s="384">
        <f t="shared" si="993"/>
        <v>2018</v>
      </c>
      <c r="BF312" s="384" t="str">
        <f t="shared" si="993"/>
        <v>Q1</v>
      </c>
      <c r="BG312" s="384" t="str">
        <f t="shared" si="993"/>
        <v>Q2</v>
      </c>
      <c r="BH312" s="384" t="str">
        <f t="shared" si="993"/>
        <v>Q3</v>
      </c>
      <c r="BI312" s="384" t="str">
        <f t="shared" si="993"/>
        <v>Q4</v>
      </c>
      <c r="BJ312" s="384">
        <f t="shared" si="993"/>
        <v>2019</v>
      </c>
      <c r="BK312" s="384" t="str">
        <f t="shared" si="993"/>
        <v>Q1</v>
      </c>
      <c r="BL312" s="384" t="str">
        <f t="shared" si="993"/>
        <v>Q2</v>
      </c>
      <c r="BM312" s="384" t="str">
        <f t="shared" si="993"/>
        <v>Q3</v>
      </c>
      <c r="BN312" s="384" t="str">
        <f t="shared" si="993"/>
        <v>Q4</v>
      </c>
      <c r="BO312" s="384">
        <f t="shared" si="993"/>
        <v>2020</v>
      </c>
      <c r="BP312" s="384" t="str">
        <f t="shared" si="993"/>
        <v>Q1</v>
      </c>
      <c r="BQ312" s="384" t="str">
        <f t="shared" si="993"/>
        <v>Q2</v>
      </c>
      <c r="BR312" s="384" t="str">
        <f t="shared" si="993"/>
        <v>Q3</v>
      </c>
      <c r="BS312" s="384" t="str">
        <f t="shared" si="993"/>
        <v>Q4</v>
      </c>
      <c r="BT312" s="384">
        <f t="shared" si="993"/>
        <v>2021</v>
      </c>
      <c r="BU312" s="384" t="str">
        <f t="shared" si="993"/>
        <v>Q1</v>
      </c>
      <c r="BV312" s="384" t="str">
        <f t="shared" si="993"/>
        <v>Q2</v>
      </c>
      <c r="BW312" s="384" t="str">
        <f t="shared" si="993"/>
        <v>Q3</v>
      </c>
      <c r="BX312" s="384" t="str">
        <f t="shared" si="993"/>
        <v>Q4</v>
      </c>
      <c r="BY312" s="384">
        <f t="shared" si="993"/>
        <v>2022</v>
      </c>
      <c r="BZ312" s="384" t="str">
        <f t="shared" si="993"/>
        <v>Q1</v>
      </c>
      <c r="CA312" s="384" t="str">
        <f t="shared" si="993"/>
        <v>Q2</v>
      </c>
      <c r="CB312" s="384" t="str">
        <f t="shared" si="993"/>
        <v>Q3</v>
      </c>
      <c r="CC312" s="384" t="str">
        <f t="shared" si="993"/>
        <v>Q4</v>
      </c>
      <c r="CD312" s="384">
        <f t="shared" si="993"/>
        <v>2023</v>
      </c>
      <c r="CE312" s="384">
        <f>CE$2</f>
        <v>2024</v>
      </c>
      <c r="CF312" s="384">
        <f>CF$2</f>
        <v>2025</v>
      </c>
      <c r="CG312" s="384">
        <f>CG$2</f>
        <v>2026</v>
      </c>
      <c r="CH312" s="384">
        <f>CH$2</f>
        <v>2027</v>
      </c>
      <c r="CI312" s="384">
        <f>CI$2</f>
        <v>2028</v>
      </c>
      <c r="CJ312" s="384">
        <f t="shared" ref="CJ312:CM312" si="994">CJ$2</f>
        <v>2029</v>
      </c>
      <c r="CK312" s="384">
        <f t="shared" si="994"/>
        <v>2030</v>
      </c>
      <c r="CL312" s="384">
        <f t="shared" si="994"/>
        <v>2031</v>
      </c>
      <c r="CM312" s="384">
        <f t="shared" si="994"/>
        <v>2032</v>
      </c>
      <c r="CN312" s="202"/>
      <c r="CO312" s="202"/>
      <c r="CP312" s="202"/>
      <c r="CQ312" s="202"/>
      <c r="CR312" s="265"/>
      <c r="CS312" s="200">
        <v>2007</v>
      </c>
      <c r="CT312" s="200">
        <v>2008</v>
      </c>
      <c r="CU312" s="200">
        <v>2009</v>
      </c>
      <c r="CV312" s="200">
        <v>2010</v>
      </c>
      <c r="CW312" s="200">
        <v>2011</v>
      </c>
      <c r="CX312" s="200">
        <v>2012</v>
      </c>
      <c r="EG312" s="353">
        <v>39953</v>
      </c>
      <c r="EH312" s="354">
        <v>0.97109999999999996</v>
      </c>
    </row>
    <row r="313" spans="1:142" hidden="1">
      <c r="A313" s="276"/>
      <c r="B313" s="385"/>
      <c r="C313" s="385"/>
      <c r="D313" s="385"/>
      <c r="E313" s="385"/>
      <c r="F313" s="385"/>
      <c r="G313" s="385"/>
      <c r="H313" s="385"/>
      <c r="I313" s="385"/>
      <c r="J313" s="385"/>
      <c r="K313" s="385"/>
      <c r="L313" s="385"/>
      <c r="M313" s="385"/>
      <c r="N313" s="385"/>
      <c r="O313" s="385"/>
      <c r="P313" s="385"/>
      <c r="Q313" s="385"/>
      <c r="R313" s="385"/>
      <c r="S313" s="385"/>
      <c r="T313" s="385"/>
      <c r="U313" s="385"/>
      <c r="V313" s="385"/>
      <c r="W313" s="385"/>
      <c r="X313" s="385"/>
      <c r="Y313" s="385"/>
      <c r="Z313" s="385"/>
      <c r="AA313" s="385"/>
      <c r="AB313" s="385"/>
      <c r="AC313" s="385"/>
      <c r="AD313" s="385"/>
      <c r="AE313" s="385"/>
      <c r="AF313" s="385"/>
      <c r="AG313" s="385"/>
      <c r="AH313" s="385"/>
      <c r="AI313" s="385"/>
      <c r="AJ313" s="385"/>
      <c r="AK313" s="385"/>
      <c r="AL313" s="385"/>
      <c r="AM313" s="385"/>
      <c r="AN313" s="385"/>
      <c r="AO313" s="385"/>
      <c r="AP313" s="385"/>
      <c r="AQ313" s="195"/>
      <c r="AR313" s="195"/>
      <c r="AS313" s="195"/>
      <c r="AT313" s="195"/>
      <c r="AU313" s="195"/>
      <c r="AV313" s="195"/>
      <c r="AW313" s="195"/>
      <c r="AX313" s="195"/>
      <c r="AY313" s="195"/>
      <c r="AZ313" s="195"/>
      <c r="BA313" s="195"/>
      <c r="BB313" s="195"/>
      <c r="BC313" s="195"/>
      <c r="BD313" s="195"/>
      <c r="BE313" s="195"/>
      <c r="BF313" s="195"/>
      <c r="BG313" s="195"/>
      <c r="BH313" s="195"/>
      <c r="BI313" s="195"/>
      <c r="BJ313" s="195"/>
      <c r="BK313" s="195"/>
      <c r="BL313" s="195"/>
      <c r="BM313" s="195"/>
      <c r="BN313" s="195"/>
      <c r="BO313" s="195"/>
      <c r="BP313" s="195"/>
      <c r="BQ313" s="195"/>
      <c r="BR313" s="195"/>
      <c r="BS313" s="195"/>
      <c r="BT313" s="195"/>
      <c r="BU313" s="195"/>
      <c r="BV313" s="195"/>
      <c r="BW313" s="195"/>
      <c r="BX313" s="195"/>
      <c r="BY313" s="195"/>
      <c r="BZ313" s="195"/>
      <c r="CA313" s="195"/>
      <c r="CB313" s="195"/>
      <c r="CC313" s="195"/>
      <c r="CD313" s="195"/>
      <c r="CE313" s="195"/>
      <c r="CF313" s="195"/>
      <c r="CG313" s="195"/>
      <c r="CH313" s="195"/>
      <c r="CI313" s="195"/>
      <c r="CJ313" s="195"/>
      <c r="CK313" s="195"/>
      <c r="CL313" s="195"/>
      <c r="CM313" s="195"/>
      <c r="CN313" s="195"/>
      <c r="CO313" s="195"/>
      <c r="CP313" s="195"/>
      <c r="CQ313" s="195"/>
      <c r="CR313" s="200" t="s">
        <v>63</v>
      </c>
      <c r="CS313" s="303">
        <v>233.6</v>
      </c>
      <c r="CT313" s="303">
        <v>300.7</v>
      </c>
      <c r="CU313" s="303">
        <v>333.4</v>
      </c>
      <c r="CV313" s="303">
        <v>301.84877071656308</v>
      </c>
      <c r="CW313" s="303">
        <v>263.34289477212172</v>
      </c>
      <c r="CX313" s="303">
        <v>281.94505398919773</v>
      </c>
      <c r="EG313" s="353">
        <v>39954</v>
      </c>
      <c r="EH313" s="354">
        <v>0.98229999999999995</v>
      </c>
    </row>
    <row r="314" spans="1:142" hidden="1">
      <c r="A314" s="286" t="s">
        <v>69</v>
      </c>
      <c r="B314" s="386"/>
      <c r="C314" s="386"/>
      <c r="D314" s="386"/>
      <c r="E314" s="386"/>
      <c r="F314" s="386"/>
      <c r="G314" s="386"/>
      <c r="H314" s="386"/>
      <c r="I314" s="386"/>
      <c r="J314" s="386"/>
      <c r="K314" s="386"/>
      <c r="L314" s="386"/>
      <c r="M314" s="386"/>
      <c r="N314" s="386"/>
      <c r="O314" s="386"/>
      <c r="P314" s="386"/>
      <c r="Q314" s="386"/>
      <c r="R314" s="386"/>
      <c r="S314" s="386"/>
      <c r="T314" s="386"/>
      <c r="U314" s="386"/>
      <c r="V314" s="386"/>
      <c r="W314" s="386"/>
      <c r="X314" s="386"/>
      <c r="Y314" s="386"/>
      <c r="Z314" s="386"/>
      <c r="AA314" s="386"/>
      <c r="AB314" s="386"/>
      <c r="AC314" s="386"/>
      <c r="AD314" s="386"/>
      <c r="AE314" s="386"/>
      <c r="AF314" s="386"/>
      <c r="AG314" s="386"/>
      <c r="AH314" s="386"/>
      <c r="AI314" s="386"/>
      <c r="AJ314" s="386"/>
      <c r="AK314" s="386"/>
      <c r="AL314" s="386"/>
      <c r="AM314" s="386"/>
      <c r="AN314" s="386"/>
      <c r="AO314" s="386"/>
      <c r="AP314" s="386"/>
      <c r="AQ314" s="386"/>
      <c r="AR314" s="386"/>
      <c r="AS314" s="386"/>
      <c r="AT314" s="386"/>
      <c r="AU314" s="387">
        <f>AU317*AU378</f>
        <v>552.43492500000082</v>
      </c>
      <c r="AV314" s="386"/>
      <c r="AW314" s="386"/>
      <c r="AX314" s="386"/>
      <c r="AY314" s="386"/>
      <c r="AZ314" s="387">
        <f>AZ317*AZ378</f>
        <v>1205.4000000000001</v>
      </c>
      <c r="BA314" s="386"/>
      <c r="BB314" s="386"/>
      <c r="BC314" s="386"/>
      <c r="BD314" s="386"/>
      <c r="BE314" s="386"/>
      <c r="BF314" s="386"/>
      <c r="BG314" s="386"/>
      <c r="BH314" s="386"/>
      <c r="BI314" s="386"/>
      <c r="BJ314" s="386"/>
      <c r="BK314" s="386"/>
      <c r="BL314" s="386"/>
      <c r="BM314" s="386"/>
      <c r="BN314" s="386"/>
      <c r="BO314" s="386"/>
      <c r="BP314" s="386"/>
      <c r="BQ314" s="386"/>
      <c r="BR314" s="386"/>
      <c r="BS314" s="386"/>
      <c r="BT314" s="386"/>
      <c r="BU314" s="388"/>
      <c r="BV314" s="388"/>
      <c r="BW314" s="388"/>
      <c r="BX314" s="388"/>
      <c r="BY314" s="386"/>
      <c r="BZ314" s="388"/>
      <c r="CA314" s="388"/>
      <c r="CB314" s="388"/>
      <c r="CC314" s="388"/>
      <c r="CD314" s="386"/>
      <c r="CE314" s="386"/>
      <c r="CF314" s="386"/>
      <c r="CG314" s="386"/>
      <c r="CH314" s="386"/>
      <c r="CI314" s="386"/>
      <c r="CJ314" s="386"/>
      <c r="CK314" s="386"/>
      <c r="CL314" s="386"/>
      <c r="CM314" s="386"/>
      <c r="CN314" s="202"/>
      <c r="CO314" s="202"/>
      <c r="CP314" s="202"/>
      <c r="CQ314" s="202"/>
      <c r="CR314" s="202"/>
      <c r="CS314" s="195"/>
      <c r="CT314" s="195"/>
      <c r="EK314" s="353">
        <v>39980</v>
      </c>
      <c r="EL314" s="354">
        <v>1.0106999999999999</v>
      </c>
    </row>
    <row r="315" spans="1:142" hidden="1">
      <c r="A315" s="276" t="s">
        <v>65</v>
      </c>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43" t="e">
        <f>AU314/AP314-1</f>
        <v>#DIV/0!</v>
      </c>
      <c r="AV315" s="243"/>
      <c r="AW315" s="243"/>
      <c r="AX315" s="243"/>
      <c r="AY315" s="243"/>
      <c r="AZ315" s="243">
        <f>AZ314/AU314-1</f>
        <v>1.181976456321979</v>
      </c>
      <c r="BA315" s="243"/>
      <c r="BB315" s="243"/>
      <c r="BC315" s="243"/>
      <c r="BD315" s="243"/>
      <c r="BE315" s="243"/>
      <c r="BF315" s="243"/>
      <c r="BG315" s="243"/>
      <c r="BH315" s="243"/>
      <c r="BI315" s="243"/>
      <c r="BJ315" s="243"/>
      <c r="BK315" s="243"/>
      <c r="BL315" s="243"/>
      <c r="BM315" s="243"/>
      <c r="BN315" s="243"/>
      <c r="BO315" s="243"/>
      <c r="BP315" s="243"/>
      <c r="BQ315" s="243"/>
      <c r="BR315" s="243"/>
      <c r="BS315" s="243"/>
      <c r="BT315" s="243"/>
      <c r="BU315" s="222"/>
      <c r="BV315" s="222"/>
      <c r="BW315" s="222"/>
      <c r="BX315" s="222"/>
      <c r="BY315" s="243"/>
      <c r="BZ315" s="222"/>
      <c r="CA315" s="222"/>
      <c r="CB315" s="222"/>
      <c r="CC315" s="222"/>
      <c r="CD315" s="243"/>
      <c r="CE315" s="243"/>
      <c r="CF315" s="243"/>
      <c r="CG315" s="243"/>
      <c r="CH315" s="243"/>
      <c r="CI315" s="243"/>
      <c r="CJ315" s="243"/>
      <c r="CK315" s="243"/>
      <c r="CL315" s="243"/>
      <c r="CM315" s="243"/>
      <c r="CN315" s="195"/>
      <c r="CO315" s="195"/>
      <c r="CP315" s="195"/>
      <c r="CQ315" s="195"/>
      <c r="CR315" s="195"/>
      <c r="CS315" s="195"/>
      <c r="CT315" s="195"/>
      <c r="EK315" s="353">
        <v>39981</v>
      </c>
      <c r="EL315" s="354">
        <v>1.0142</v>
      </c>
    </row>
    <row r="316" spans="1:142" hidden="1">
      <c r="A316" s="276" t="s">
        <v>70</v>
      </c>
      <c r="B316" s="373" t="e">
        <f>B314/B136*1000</f>
        <v>#DIV/0!</v>
      </c>
      <c r="C316" s="373"/>
      <c r="D316" s="373"/>
      <c r="E316" s="373"/>
      <c r="F316" s="373"/>
      <c r="G316" s="373"/>
      <c r="H316" s="373"/>
      <c r="I316" s="373"/>
      <c r="J316" s="373"/>
      <c r="K316" s="373"/>
      <c r="L316" s="373"/>
      <c r="M316" s="373"/>
      <c r="N316" s="373"/>
      <c r="O316" s="373"/>
      <c r="P316" s="373"/>
      <c r="Q316" s="373"/>
      <c r="R316" s="373"/>
      <c r="S316" s="373"/>
      <c r="T316" s="373"/>
      <c r="U316" s="373"/>
      <c r="V316" s="373"/>
      <c r="W316" s="373"/>
      <c r="X316" s="373"/>
      <c r="Y316" s="373"/>
      <c r="Z316" s="373"/>
      <c r="AA316" s="373"/>
      <c r="AB316" s="373"/>
      <c r="AC316" s="373"/>
      <c r="AD316" s="373"/>
      <c r="AE316" s="373"/>
      <c r="AF316" s="373"/>
      <c r="AG316" s="373"/>
      <c r="AH316" s="373"/>
      <c r="AI316" s="373"/>
      <c r="AJ316" s="373"/>
      <c r="AK316" s="373"/>
      <c r="AL316" s="373"/>
      <c r="AM316" s="373"/>
      <c r="AN316" s="373"/>
      <c r="AO316" s="373"/>
      <c r="AP316" s="373"/>
      <c r="AQ316" s="373"/>
      <c r="AR316" s="373"/>
      <c r="AS316" s="373"/>
      <c r="AT316" s="373"/>
      <c r="AU316" s="373">
        <f>AU314/AU136*1000</f>
        <v>395.95566688298732</v>
      </c>
      <c r="AV316" s="373"/>
      <c r="AW316" s="373"/>
      <c r="AX316" s="373"/>
      <c r="AY316" s="373"/>
      <c r="AZ316" s="373">
        <f>AZ314/AZ136*1000</f>
        <v>1114.0249557717646</v>
      </c>
      <c r="BA316" s="373"/>
      <c r="BB316" s="373"/>
      <c r="BC316" s="373"/>
      <c r="BD316" s="373"/>
      <c r="BE316" s="373"/>
      <c r="BF316" s="373"/>
      <c r="BG316" s="373"/>
      <c r="BH316" s="373"/>
      <c r="BI316" s="373"/>
      <c r="BJ316" s="373"/>
      <c r="BK316" s="373"/>
      <c r="BL316" s="373"/>
      <c r="BM316" s="373"/>
      <c r="BN316" s="373"/>
      <c r="BO316" s="373"/>
      <c r="BP316" s="373"/>
      <c r="BQ316" s="373"/>
      <c r="BR316" s="373"/>
      <c r="BS316" s="373"/>
      <c r="BT316" s="373"/>
      <c r="BU316" s="378"/>
      <c r="BV316" s="378"/>
      <c r="BW316" s="378"/>
      <c r="BX316" s="378"/>
      <c r="BY316" s="373"/>
      <c r="BZ316" s="378"/>
      <c r="CA316" s="378"/>
      <c r="CB316" s="378"/>
      <c r="CC316" s="378"/>
      <c r="CD316" s="373"/>
      <c r="CE316" s="373"/>
      <c r="CF316" s="373"/>
      <c r="CG316" s="373"/>
      <c r="CH316" s="373"/>
      <c r="CI316" s="373"/>
      <c r="CJ316" s="373"/>
      <c r="CK316" s="373"/>
      <c r="CL316" s="373"/>
      <c r="CM316" s="373"/>
      <c r="CN316" s="195"/>
      <c r="CO316" s="195"/>
      <c r="CP316" s="195"/>
      <c r="CQ316" s="195"/>
      <c r="CR316" s="195"/>
      <c r="CS316" s="195"/>
      <c r="CT316" s="195"/>
      <c r="DW316" s="265"/>
      <c r="DX316" s="265"/>
      <c r="DY316" s="265"/>
      <c r="DZ316" s="265"/>
      <c r="EK316" s="353">
        <v>39982</v>
      </c>
      <c r="EL316" s="354">
        <v>1.0107999999999999</v>
      </c>
    </row>
    <row r="317" spans="1:142" hidden="1">
      <c r="A317" s="276" t="s">
        <v>71</v>
      </c>
      <c r="B317" s="243">
        <f>B314/B378</f>
        <v>0</v>
      </c>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389">
        <v>1.05</v>
      </c>
      <c r="AV317" s="207"/>
      <c r="AW317" s="207"/>
      <c r="AX317" s="207"/>
      <c r="AY317" s="207"/>
      <c r="AZ317" s="389">
        <v>1.05</v>
      </c>
      <c r="BA317" s="207"/>
      <c r="BB317" s="207"/>
      <c r="BC317" s="207"/>
      <c r="BD317" s="207"/>
      <c r="BE317" s="207"/>
      <c r="BF317" s="207"/>
      <c r="BG317" s="207"/>
      <c r="BH317" s="207"/>
      <c r="BI317" s="207"/>
      <c r="BJ317" s="207"/>
      <c r="BK317" s="207"/>
      <c r="BL317" s="207"/>
      <c r="BM317" s="207"/>
      <c r="BN317" s="207"/>
      <c r="BO317" s="207"/>
      <c r="BP317" s="207"/>
      <c r="BQ317" s="207"/>
      <c r="BR317" s="207"/>
      <c r="BS317" s="207"/>
      <c r="BT317" s="207"/>
      <c r="BU317" s="207"/>
      <c r="BV317" s="207"/>
      <c r="BW317" s="207"/>
      <c r="BX317" s="207"/>
      <c r="BY317" s="207"/>
      <c r="BZ317" s="207"/>
      <c r="CA317" s="207"/>
      <c r="CB317" s="207"/>
      <c r="CC317" s="207"/>
      <c r="CD317" s="207"/>
      <c r="CE317" s="207"/>
      <c r="CF317" s="207"/>
      <c r="CG317" s="207"/>
      <c r="CH317" s="207"/>
      <c r="CI317" s="207"/>
      <c r="CJ317" s="207"/>
      <c r="CK317" s="207"/>
      <c r="CL317" s="207"/>
      <c r="CM317" s="207"/>
      <c r="CN317" s="195"/>
      <c r="CO317" s="195"/>
      <c r="CP317" s="195"/>
      <c r="CQ317" s="195"/>
      <c r="CR317" s="195"/>
      <c r="CS317" s="195"/>
      <c r="CT317" s="195"/>
      <c r="EF317" s="265"/>
      <c r="EK317" s="353">
        <v>39983</v>
      </c>
      <c r="EL317" s="354">
        <v>1.0241</v>
      </c>
    </row>
    <row r="318" spans="1:142" hidden="1">
      <c r="A318" s="276" t="s">
        <v>266</v>
      </c>
      <c r="B318" s="243"/>
      <c r="C318" s="243"/>
      <c r="D318" s="243"/>
      <c r="E318" s="243"/>
      <c r="F318" s="243"/>
      <c r="G318" s="204"/>
      <c r="H318" s="204"/>
      <c r="I318" s="204"/>
      <c r="J318" s="204"/>
      <c r="K318" s="204"/>
      <c r="L318" s="204"/>
      <c r="M318" s="204"/>
      <c r="N318" s="204"/>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c r="AL318" s="204"/>
      <c r="AM318" s="204"/>
      <c r="AN318" s="204"/>
      <c r="AO318" s="204"/>
      <c r="AP318" s="204"/>
      <c r="AQ318" s="204"/>
      <c r="AR318" s="204"/>
      <c r="AS318" s="204"/>
      <c r="AT318" s="204"/>
      <c r="AU318" s="204">
        <f>AU285-AU314</f>
        <v>-26.306425000000104</v>
      </c>
      <c r="AV318" s="204"/>
      <c r="AW318" s="204"/>
      <c r="AX318" s="204"/>
      <c r="AY318" s="204"/>
      <c r="AZ318" s="204">
        <f>AZ285-AZ314</f>
        <v>-57.400000000000091</v>
      </c>
      <c r="BA318" s="204"/>
      <c r="BB318" s="204"/>
      <c r="BC318" s="204"/>
      <c r="BD318" s="204"/>
      <c r="BE318" s="204"/>
      <c r="BF318" s="204"/>
      <c r="BG318" s="204"/>
      <c r="BH318" s="204"/>
      <c r="BI318" s="204"/>
      <c r="BJ318" s="204"/>
      <c r="BK318" s="204"/>
      <c r="BL318" s="204"/>
      <c r="BM318" s="204"/>
      <c r="BN318" s="204"/>
      <c r="BO318" s="204"/>
      <c r="BP318" s="204"/>
      <c r="BQ318" s="204"/>
      <c r="BR318" s="204"/>
      <c r="BS318" s="204"/>
      <c r="BT318" s="204"/>
      <c r="BU318" s="254"/>
      <c r="BV318" s="254"/>
      <c r="BW318" s="254"/>
      <c r="BX318" s="254"/>
      <c r="BY318" s="204"/>
      <c r="BZ318" s="254"/>
      <c r="CA318" s="254"/>
      <c r="CB318" s="254"/>
      <c r="CC318" s="254"/>
      <c r="CD318" s="204"/>
      <c r="CE318" s="204"/>
      <c r="CF318" s="204"/>
      <c r="CG318" s="204"/>
      <c r="CH318" s="204"/>
      <c r="CI318" s="204"/>
      <c r="CJ318" s="204"/>
      <c r="CK318" s="204"/>
      <c r="CL318" s="204"/>
      <c r="CM318" s="204"/>
      <c r="CN318" s="195"/>
      <c r="CO318" s="195"/>
      <c r="CP318" s="195"/>
      <c r="CQ318" s="195"/>
      <c r="CR318" s="195"/>
      <c r="CS318" s="195"/>
      <c r="CT318" s="195"/>
      <c r="EF318" s="265"/>
      <c r="EK318" s="353"/>
      <c r="EL318" s="354"/>
    </row>
    <row r="319" spans="1:142" hidden="1">
      <c r="A319" s="276"/>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202"/>
      <c r="CT319" s="202"/>
      <c r="DT319" s="265"/>
      <c r="DU319" s="265"/>
      <c r="EG319" s="265"/>
      <c r="EH319" s="265"/>
      <c r="EI319" s="265"/>
      <c r="EK319" s="353">
        <v>39984</v>
      </c>
      <c r="EL319" s="354">
        <v>1.0392999999999999</v>
      </c>
    </row>
    <row r="320" spans="1:142">
      <c r="A320" s="286" t="s">
        <v>583</v>
      </c>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390">
        <v>182</v>
      </c>
      <c r="AR320" s="390">
        <v>209</v>
      </c>
      <c r="AS320" s="390">
        <v>195</v>
      </c>
      <c r="AT320" s="390">
        <v>206</v>
      </c>
      <c r="AU320" s="391">
        <f>SUM(AQ320:AT320)</f>
        <v>792</v>
      </c>
      <c r="AV320" s="391">
        <v>203</v>
      </c>
      <c r="AW320" s="391">
        <f>'[2]Profit and Loss Highlights'!X$43</f>
        <v>195</v>
      </c>
      <c r="AX320" s="391">
        <f>'[2]Profit and Loss Highlights'!Y$43</f>
        <v>199</v>
      </c>
      <c r="AY320" s="391">
        <f>'[2]Profit and Loss Highlights'!Z$43</f>
        <v>190</v>
      </c>
      <c r="AZ320" s="391">
        <f>SUM(AV320:AY320)</f>
        <v>787</v>
      </c>
      <c r="BA320" s="391">
        <f>'[2]Profit and Loss Highlights'!AA$43</f>
        <v>200</v>
      </c>
      <c r="BB320" s="391">
        <f>'[2]Profit and Loss Highlights'!AB$43</f>
        <v>196</v>
      </c>
      <c r="BC320" s="391">
        <f>'[2]Profit and Loss Highlights'!AC$43</f>
        <v>208</v>
      </c>
      <c r="BD320" s="391">
        <f>'[2]Profit and Loss Highlights'!AD$43</f>
        <v>280</v>
      </c>
      <c r="BE320" s="195">
        <f>SUM(BA320:BD320)</f>
        <v>884</v>
      </c>
      <c r="BF320" s="391">
        <f>'[2]Profit and Loss Highlights'!AE$43</f>
        <v>151</v>
      </c>
      <c r="BG320" s="391">
        <f>'[2]Profit and Loss Highlights'!AF$43</f>
        <v>145</v>
      </c>
      <c r="BH320" s="391">
        <f>'[2]Profit and Loss Highlights'!AG$43</f>
        <v>129</v>
      </c>
      <c r="BI320" s="391">
        <f>'[2]Profit and Loss Highlights'!AH$43</f>
        <v>105</v>
      </c>
      <c r="BJ320" s="195">
        <f>SUM(BF320:BI320)</f>
        <v>530</v>
      </c>
      <c r="BK320" s="391">
        <f>'[2]Profit and Loss Highlights'!AI$43</f>
        <v>110</v>
      </c>
      <c r="BL320" s="391">
        <f>'[2]Profit and Loss Highlights'!AJ$43</f>
        <v>128</v>
      </c>
      <c r="BM320" s="391">
        <f>'[2]Profit and Loss Highlights'!AK$43</f>
        <v>107</v>
      </c>
      <c r="BN320" s="391">
        <f>'[2]Profit and Loss Highlights'!AL$43</f>
        <v>128</v>
      </c>
      <c r="BO320" s="195">
        <f>SUM(BK320:BN320)</f>
        <v>473</v>
      </c>
      <c r="BP320" s="391">
        <f>'[2]Profit and Loss Highlights'!AM$43</f>
        <v>118</v>
      </c>
      <c r="BQ320" s="391">
        <f>'[2]Profit and Loss Highlights'!AN$43</f>
        <v>117</v>
      </c>
      <c r="BR320" s="391">
        <f>'[2]Profit and Loss Highlights'!AO$43</f>
        <v>125</v>
      </c>
      <c r="BS320" s="391">
        <f>'[2]Profit and Loss Highlights'!AP$43</f>
        <v>119</v>
      </c>
      <c r="BT320" s="195">
        <f>SUM(BP320:BS320)</f>
        <v>479</v>
      </c>
      <c r="BU320" s="327">
        <f>'[2]Profit and Loss Highlights'!AQ$43</f>
        <v>132</v>
      </c>
      <c r="BV320" s="327">
        <f>'[2]Profit and Loss Highlights'!AR$43</f>
        <v>134</v>
      </c>
      <c r="BW320" s="327">
        <f>'[2]Profit and Loss Highlights'!AS$43</f>
        <v>129</v>
      </c>
      <c r="BX320" s="327">
        <f>'[2]Profit and Loss Highlights'!AT$43</f>
        <v>123</v>
      </c>
      <c r="BY320" s="195">
        <f>SUM(BU320:BX320)</f>
        <v>518</v>
      </c>
      <c r="BZ320" s="327">
        <f>'[2]Profit and Loss Highlights'!AU$43</f>
        <v>138</v>
      </c>
      <c r="CA320" s="327">
        <f>'[2]Profit and Loss Highlights'!AV$43</f>
        <v>144</v>
      </c>
      <c r="CB320" s="327">
        <f>'[2]Profit and Loss Highlights'!AW$43</f>
        <v>139</v>
      </c>
      <c r="CC320" s="327">
        <f>'[2]Profit and Loss Highlights'!AX$43</f>
        <v>136</v>
      </c>
      <c r="CD320" s="195">
        <f>SUM(BZ320:CC320)</f>
        <v>557</v>
      </c>
      <c r="CE320" s="195">
        <f t="shared" ref="CE320:CI320" si="995">CE288*CE321</f>
        <v>563.60135005638722</v>
      </c>
      <c r="CF320" s="195">
        <f t="shared" si="995"/>
        <v>571.67412629450712</v>
      </c>
      <c r="CG320" s="195">
        <f t="shared" si="995"/>
        <v>579.42954718571968</v>
      </c>
      <c r="CH320" s="195">
        <f t="shared" si="995"/>
        <v>589.35549784477394</v>
      </c>
      <c r="CI320" s="195">
        <f t="shared" si="995"/>
        <v>601.63882914424835</v>
      </c>
      <c r="CJ320" s="195">
        <f t="shared" ref="CJ320:CL320" si="996">CJ288*CJ321</f>
        <v>613.60732428315259</v>
      </c>
      <c r="CK320" s="195">
        <f t="shared" si="996"/>
        <v>625.29815812422464</v>
      </c>
      <c r="CL320" s="195">
        <f t="shared" si="996"/>
        <v>636.74532763597097</v>
      </c>
      <c r="CM320" s="195">
        <f t="shared" ref="CM320" si="997">CM288*CM321</f>
        <v>647.97993389387079</v>
      </c>
      <c r="CN320" s="195"/>
      <c r="CO320" s="195"/>
      <c r="CP320" s="195"/>
      <c r="CQ320" s="195"/>
      <c r="CR320" s="195"/>
      <c r="CS320" s="202"/>
      <c r="CT320" s="202"/>
      <c r="DT320" s="265"/>
      <c r="DU320" s="265"/>
      <c r="EG320" s="265"/>
      <c r="EH320" s="265"/>
      <c r="EI320" s="265"/>
      <c r="EK320" s="353"/>
      <c r="EL320" s="354"/>
    </row>
    <row r="321" spans="1:142">
      <c r="A321" s="276" t="s">
        <v>64</v>
      </c>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f t="shared" ref="AQ321:BD321" si="998">AQ320/AQ288</f>
        <v>9.0773067331670829E-2</v>
      </c>
      <c r="AR321" s="243">
        <f t="shared" si="998"/>
        <v>0.10806618407445709</v>
      </c>
      <c r="AS321" s="243">
        <f t="shared" si="998"/>
        <v>9.838546922300706E-2</v>
      </c>
      <c r="AT321" s="243">
        <f t="shared" si="998"/>
        <v>0.10157790927021697</v>
      </c>
      <c r="AU321" s="243">
        <f t="shared" si="998"/>
        <v>9.9635174235752924E-2</v>
      </c>
      <c r="AV321" s="243">
        <f t="shared" si="998"/>
        <v>0.10180541624874624</v>
      </c>
      <c r="AW321" s="243">
        <f t="shared" si="998"/>
        <v>0.10114107883817428</v>
      </c>
      <c r="AX321" s="243">
        <f t="shared" si="998"/>
        <v>0.10236625514403293</v>
      </c>
      <c r="AY321" s="243">
        <f t="shared" si="998"/>
        <v>0.10015814443858724</v>
      </c>
      <c r="AZ321" s="243">
        <f t="shared" si="998"/>
        <v>0.1013783331186397</v>
      </c>
      <c r="BA321" s="243">
        <f t="shared" si="998"/>
        <v>0.10905125408942203</v>
      </c>
      <c r="BB321" s="243">
        <f t="shared" si="998"/>
        <v>0.10520665593129361</v>
      </c>
      <c r="BC321" s="243">
        <f t="shared" si="998"/>
        <v>0.11087420042643924</v>
      </c>
      <c r="BD321" s="243">
        <f t="shared" si="998"/>
        <v>0.14752370916754479</v>
      </c>
      <c r="BE321" s="243">
        <f t="shared" ref="BE321:BK321" si="999">BE320/BE288</f>
        <v>0.11832418685584259</v>
      </c>
      <c r="BF321" s="243">
        <f t="shared" si="999"/>
        <v>8.4028937117417921E-2</v>
      </c>
      <c r="BG321" s="243">
        <f t="shared" si="999"/>
        <v>8.2246171298922296E-2</v>
      </c>
      <c r="BH321" s="243">
        <f t="shared" si="999"/>
        <v>7.2758037225042302E-2</v>
      </c>
      <c r="BI321" s="243">
        <f t="shared" si="999"/>
        <v>5.9255079006772009E-2</v>
      </c>
      <c r="BJ321" s="243">
        <f t="shared" si="999"/>
        <v>7.4595355383532722E-2</v>
      </c>
      <c r="BK321" s="243">
        <f t="shared" si="999"/>
        <v>6.4782096584216728E-2</v>
      </c>
      <c r="BL321" s="243">
        <f t="shared" ref="BL321:BV321" si="1000">BL320/BL288</f>
        <v>7.7108433734939766E-2</v>
      </c>
      <c r="BM321" s="243">
        <f t="shared" si="1000"/>
        <v>6.3956963538553499E-2</v>
      </c>
      <c r="BN321" s="243">
        <f t="shared" si="1000"/>
        <v>7.6969332531569457E-2</v>
      </c>
      <c r="BO321" s="243">
        <f t="shared" si="1000"/>
        <v>7.0660292799521962E-2</v>
      </c>
      <c r="BP321" s="243">
        <f t="shared" si="1000"/>
        <v>7.0913461538461536E-2</v>
      </c>
      <c r="BQ321" s="243">
        <f t="shared" si="1000"/>
        <v>6.9353882631890934E-2</v>
      </c>
      <c r="BR321" s="243">
        <f t="shared" si="1000"/>
        <v>7.2886297376093298E-2</v>
      </c>
      <c r="BS321" s="243">
        <f t="shared" si="1000"/>
        <v>7.1087216248506571E-2</v>
      </c>
      <c r="BT321" s="243">
        <f t="shared" si="1000"/>
        <v>7.1068249258160243E-2</v>
      </c>
      <c r="BU321" s="222">
        <f t="shared" si="1000"/>
        <v>7.7738515901060068E-2</v>
      </c>
      <c r="BV321" s="222">
        <f t="shared" si="1000"/>
        <v>7.6659038901601834E-2</v>
      </c>
      <c r="BW321" s="222">
        <f t="shared" ref="BW321:BY321" si="1001">BW320/BW288</f>
        <v>7.296380090497738E-2</v>
      </c>
      <c r="BX321" s="222">
        <f t="shared" si="1001"/>
        <v>6.8600111544896827E-2</v>
      </c>
      <c r="BY321" s="243">
        <f t="shared" si="1001"/>
        <v>7.3926073926073921E-2</v>
      </c>
      <c r="BZ321" s="222">
        <f t="shared" ref="BZ321:CA321" si="1002">BZ320/BZ288</f>
        <v>7.73542600896861E-2</v>
      </c>
      <c r="CA321" s="222">
        <f t="shared" si="1002"/>
        <v>8.0944350758853284E-2</v>
      </c>
      <c r="CB321" s="222">
        <f t="shared" ref="CB321:CD321" si="1003">CB320/CB288</f>
        <v>7.6965669988925803E-2</v>
      </c>
      <c r="CC321" s="222">
        <f t="shared" si="1003"/>
        <v>7.3872895165670832E-2</v>
      </c>
      <c r="CD321" s="243">
        <f t="shared" si="1003"/>
        <v>7.7117629333740778E-2</v>
      </c>
      <c r="CE321" s="312">
        <f t="shared" ref="CE321:CI321" si="1004">CD321</f>
        <v>7.7117629333740778E-2</v>
      </c>
      <c r="CF321" s="312">
        <f t="shared" si="1004"/>
        <v>7.7117629333740778E-2</v>
      </c>
      <c r="CG321" s="312">
        <f t="shared" si="1004"/>
        <v>7.7117629333740778E-2</v>
      </c>
      <c r="CH321" s="312">
        <f t="shared" si="1004"/>
        <v>7.7117629333740778E-2</v>
      </c>
      <c r="CI321" s="312">
        <f t="shared" si="1004"/>
        <v>7.7117629333740778E-2</v>
      </c>
      <c r="CJ321" s="312">
        <f t="shared" ref="CJ321" si="1005">CI321</f>
        <v>7.7117629333740778E-2</v>
      </c>
      <c r="CK321" s="312">
        <f t="shared" ref="CK321" si="1006">CJ321</f>
        <v>7.7117629333740778E-2</v>
      </c>
      <c r="CL321" s="312">
        <f t="shared" ref="CL321:CM321" si="1007">CK321</f>
        <v>7.7117629333740778E-2</v>
      </c>
      <c r="CM321" s="312">
        <f t="shared" si="1007"/>
        <v>7.7117629333740778E-2</v>
      </c>
      <c r="CN321" s="195"/>
      <c r="CO321" s="195"/>
      <c r="CP321" s="195"/>
      <c r="CQ321" s="195"/>
      <c r="CR321" s="195"/>
      <c r="CS321" s="202"/>
      <c r="CT321" s="202"/>
      <c r="DT321" s="265"/>
      <c r="DU321" s="265"/>
      <c r="EG321" s="265"/>
      <c r="EH321" s="265"/>
      <c r="EI321" s="265"/>
      <c r="EK321" s="353"/>
      <c r="EL321" s="354"/>
    </row>
    <row r="322" spans="1:142">
      <c r="A322" s="276" t="s">
        <v>65</v>
      </c>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195"/>
      <c r="AV322" s="243">
        <f>AV320/AQ320-1</f>
        <v>0.11538461538461542</v>
      </c>
      <c r="AW322" s="243">
        <f>AW320/AR320-1</f>
        <v>-6.6985645933014371E-2</v>
      </c>
      <c r="AX322" s="243">
        <f>AX320/AS320-1</f>
        <v>2.051282051282044E-2</v>
      </c>
      <c r="AY322" s="243">
        <f>AY320/AT320-1</f>
        <v>-7.7669902912621325E-2</v>
      </c>
      <c r="AZ322" s="195"/>
      <c r="BA322" s="243">
        <f t="shared" ref="BA322:CC322" si="1008">BA320/AV320-1</f>
        <v>-1.4778325123152691E-2</v>
      </c>
      <c r="BB322" s="243">
        <f t="shared" si="1008"/>
        <v>5.12820512820511E-3</v>
      </c>
      <c r="BC322" s="243">
        <f t="shared" si="1008"/>
        <v>4.5226130653266416E-2</v>
      </c>
      <c r="BD322" s="243">
        <f t="shared" si="1008"/>
        <v>0.47368421052631571</v>
      </c>
      <c r="BE322" s="207">
        <f>BE320/AZ320-1</f>
        <v>0.12325285895806859</v>
      </c>
      <c r="BF322" s="243">
        <f t="shared" si="1008"/>
        <v>-0.245</v>
      </c>
      <c r="BG322" s="243">
        <f t="shared" si="1008"/>
        <v>-0.26020408163265307</v>
      </c>
      <c r="BH322" s="243">
        <f t="shared" si="1008"/>
        <v>-0.37980769230769229</v>
      </c>
      <c r="BI322" s="243">
        <f t="shared" si="1008"/>
        <v>-0.625</v>
      </c>
      <c r="BJ322" s="207">
        <f>BJ320/BE320-1</f>
        <v>-0.40045248868778283</v>
      </c>
      <c r="BK322" s="243">
        <f t="shared" si="1008"/>
        <v>-0.27152317880794707</v>
      </c>
      <c r="BL322" s="243">
        <f t="shared" si="1008"/>
        <v>-0.11724137931034484</v>
      </c>
      <c r="BM322" s="243">
        <f t="shared" si="1008"/>
        <v>-0.1705426356589147</v>
      </c>
      <c r="BN322" s="243">
        <f t="shared" si="1008"/>
        <v>0.21904761904761916</v>
      </c>
      <c r="BO322" s="207">
        <f>BO320/BJ320-1</f>
        <v>-0.10754716981132073</v>
      </c>
      <c r="BP322" s="243">
        <f t="shared" si="1008"/>
        <v>7.2727272727272751E-2</v>
      </c>
      <c r="BQ322" s="243">
        <f t="shared" si="1008"/>
        <v>-8.59375E-2</v>
      </c>
      <c r="BR322" s="243">
        <f t="shared" si="1008"/>
        <v>0.16822429906542058</v>
      </c>
      <c r="BS322" s="243">
        <f t="shared" si="1008"/>
        <v>-7.03125E-2</v>
      </c>
      <c r="BT322" s="207">
        <f>BT320/BO320-1</f>
        <v>1.2684989429175397E-2</v>
      </c>
      <c r="BU322" s="222">
        <f t="shared" si="1008"/>
        <v>0.11864406779661008</v>
      </c>
      <c r="BV322" s="222">
        <f t="shared" si="1008"/>
        <v>0.14529914529914523</v>
      </c>
      <c r="BW322" s="222">
        <f t="shared" si="1008"/>
        <v>3.2000000000000028E-2</v>
      </c>
      <c r="BX322" s="222">
        <f t="shared" si="1008"/>
        <v>3.3613445378151363E-2</v>
      </c>
      <c r="BY322" s="207">
        <f>BY320/BT320-1</f>
        <v>8.1419624217119013E-2</v>
      </c>
      <c r="BZ322" s="222">
        <f t="shared" si="1008"/>
        <v>4.5454545454545414E-2</v>
      </c>
      <c r="CA322" s="222">
        <f t="shared" si="1008"/>
        <v>7.4626865671641784E-2</v>
      </c>
      <c r="CB322" s="222">
        <f t="shared" si="1008"/>
        <v>7.7519379844961156E-2</v>
      </c>
      <c r="CC322" s="222">
        <f t="shared" si="1008"/>
        <v>0.10569105691056913</v>
      </c>
      <c r="CD322" s="207">
        <f>CD320/BY320-1</f>
        <v>7.528957528957525E-2</v>
      </c>
      <c r="CE322" s="207">
        <f t="shared" ref="CE322:CI322" si="1009">CE320/CD320-1</f>
        <v>1.1851615900156487E-2</v>
      </c>
      <c r="CF322" s="207">
        <f t="shared" si="1009"/>
        <v>1.4323557311053614E-2</v>
      </c>
      <c r="CG322" s="207">
        <f t="shared" si="1009"/>
        <v>1.3566156896905435E-2</v>
      </c>
      <c r="CH322" s="207">
        <f t="shared" si="1009"/>
        <v>1.7130556609107117E-2</v>
      </c>
      <c r="CI322" s="207">
        <f t="shared" si="1009"/>
        <v>2.0841972874425574E-2</v>
      </c>
      <c r="CJ322" s="207">
        <f t="shared" ref="CJ322" si="1010">CJ320/CI320-1</f>
        <v>1.9893156091550512E-2</v>
      </c>
      <c r="CK322" s="207">
        <f t="shared" ref="CK322" si="1011">CK320/CJ320-1</f>
        <v>1.9052630857576247E-2</v>
      </c>
      <c r="CL322" s="207">
        <f t="shared" ref="CL322:CM322" si="1012">CL320/CK320-1</f>
        <v>1.8306737934564943E-2</v>
      </c>
      <c r="CM322" s="207">
        <f t="shared" si="1012"/>
        <v>1.7643798502001262E-2</v>
      </c>
      <c r="CN322" s="195"/>
      <c r="CO322" s="195"/>
      <c r="CP322" s="195"/>
      <c r="CQ322" s="195"/>
      <c r="CR322" s="195"/>
      <c r="CS322" s="202"/>
      <c r="CT322" s="202"/>
      <c r="DT322" s="265"/>
      <c r="DU322" s="265"/>
      <c r="EG322" s="265"/>
      <c r="EH322" s="265"/>
      <c r="EI322" s="265"/>
      <c r="EK322" s="353"/>
      <c r="EL322" s="354"/>
    </row>
    <row r="323" spans="1:142">
      <c r="A323" s="286" t="s">
        <v>68</v>
      </c>
      <c r="B323" s="385"/>
      <c r="C323" s="385"/>
      <c r="D323" s="385"/>
      <c r="E323" s="385"/>
      <c r="F323" s="385"/>
      <c r="G323" s="385"/>
      <c r="H323" s="385"/>
      <c r="I323" s="385"/>
      <c r="J323" s="385"/>
      <c r="K323" s="385"/>
      <c r="L323" s="385"/>
      <c r="M323" s="385"/>
      <c r="N323" s="385"/>
      <c r="O323" s="385"/>
      <c r="P323" s="385"/>
      <c r="Q323" s="385"/>
      <c r="R323" s="385"/>
      <c r="S323" s="385"/>
      <c r="T323" s="385"/>
      <c r="U323" s="385"/>
      <c r="V323" s="385"/>
      <c r="W323" s="385"/>
      <c r="X323" s="385"/>
      <c r="Y323" s="385"/>
      <c r="Z323" s="385"/>
      <c r="AA323" s="385"/>
      <c r="AB323" s="385"/>
      <c r="AC323" s="385"/>
      <c r="AD323" s="385"/>
      <c r="AE323" s="385"/>
      <c r="AF323" s="385"/>
      <c r="AG323" s="385"/>
      <c r="AH323" s="385"/>
      <c r="AI323" s="385"/>
      <c r="AJ323" s="385"/>
      <c r="AK323" s="385"/>
      <c r="AL323" s="385"/>
      <c r="AM323" s="385"/>
      <c r="AN323" s="385"/>
      <c r="AO323" s="385"/>
      <c r="AP323" s="385"/>
      <c r="AQ323" s="391">
        <f>'[2]Profit and Loss Highlights'!S$41</f>
        <v>0</v>
      </c>
      <c r="AR323" s="391">
        <f>'[2]Profit and Loss Highlights'!T$41</f>
        <v>0</v>
      </c>
      <c r="AS323" s="391">
        <f>'[2]Profit and Loss Highlights'!U$41</f>
        <v>0</v>
      </c>
      <c r="AT323" s="391">
        <f>'[2]Profit and Loss Highlights'!V$41</f>
        <v>0</v>
      </c>
      <c r="AU323" s="391">
        <f>SUM(AQ323:AT323)</f>
        <v>0</v>
      </c>
      <c r="AV323" s="391">
        <f>'[2]Profit and Loss Highlights'!W$41</f>
        <v>0</v>
      </c>
      <c r="AW323" s="391">
        <f>'[2]Profit and Loss Highlights'!X$41</f>
        <v>0</v>
      </c>
      <c r="AX323" s="391">
        <f>'[2]Profit and Loss Highlights'!Y$41</f>
        <v>0</v>
      </c>
      <c r="AY323" s="391">
        <f>'[2]Profit and Loss Highlights'!Z$41</f>
        <v>0</v>
      </c>
      <c r="AZ323" s="391">
        <f>SUM(AV323:AY323)</f>
        <v>0</v>
      </c>
      <c r="BA323" s="391">
        <f>'[2]Profit and Loss Highlights'!AA$41</f>
        <v>0</v>
      </c>
      <c r="BB323" s="391">
        <f>'[2]Profit and Loss Highlights'!AB$41</f>
        <v>0</v>
      </c>
      <c r="BC323" s="391">
        <f>'[2]Profit and Loss Highlights'!AC$41</f>
        <v>0</v>
      </c>
      <c r="BD323" s="391">
        <f>'[2]Profit and Loss Highlights'!AD$41</f>
        <v>0</v>
      </c>
      <c r="BE323" s="195">
        <f>SUM(BA323:BD323)</f>
        <v>0</v>
      </c>
      <c r="BF323" s="391">
        <f>'[2]Profit and Loss Highlights'!AE$41</f>
        <v>0</v>
      </c>
      <c r="BG323" s="391">
        <f>'[2]Profit and Loss Highlights'!AF$41</f>
        <v>0</v>
      </c>
      <c r="BH323" s="391">
        <f>'[2]Profit and Loss Highlights'!AG$41</f>
        <v>0</v>
      </c>
      <c r="BI323" s="391">
        <f>'[2]Profit and Loss Highlights'!AH$41</f>
        <v>0</v>
      </c>
      <c r="BJ323" s="195">
        <f>SUM(BF323:BI323)</f>
        <v>0</v>
      </c>
      <c r="BK323" s="391">
        <f>'[2]Profit and Loss Highlights'!AI$41</f>
        <v>0</v>
      </c>
      <c r="BL323" s="391">
        <f>'[2]Profit and Loss Highlights'!AJ$41</f>
        <v>0</v>
      </c>
      <c r="BM323" s="391">
        <f>'[2]Profit and Loss Highlights'!AK$41</f>
        <v>0</v>
      </c>
      <c r="BN323" s="391">
        <f>'[2]Profit and Loss Highlights'!AL$41</f>
        <v>0</v>
      </c>
      <c r="BO323" s="195">
        <f>SUM(BK323:BN323)</f>
        <v>0</v>
      </c>
      <c r="BP323" s="391">
        <f>'[2]Profit and Loss Highlights'!AM$41</f>
        <v>0</v>
      </c>
      <c r="BQ323" s="391">
        <f>'[2]Profit and Loss Highlights'!AN$41</f>
        <v>0</v>
      </c>
      <c r="BR323" s="391">
        <f>'[2]Profit and Loss Highlights'!AO$41</f>
        <v>0</v>
      </c>
      <c r="BS323" s="391">
        <f>'[2]Profit and Loss Highlights'!AP$41</f>
        <v>0</v>
      </c>
      <c r="BT323" s="195">
        <f>SUM(BP323:BS323)</f>
        <v>0</v>
      </c>
      <c r="BU323" s="327">
        <f>'[2]Profit and Loss Highlights'!AQ$41</f>
        <v>972</v>
      </c>
      <c r="BV323" s="327">
        <f>'[2]Profit and Loss Highlights'!AR$41</f>
        <v>919</v>
      </c>
      <c r="BW323" s="327">
        <f>'[2]Profit and Loss Highlights'!AS$41</f>
        <v>893</v>
      </c>
      <c r="BX323" s="327">
        <f>'[2]Profit and Loss Highlights'!AT$41</f>
        <v>1047</v>
      </c>
      <c r="BY323" s="195">
        <f>SUM(BU323:BX323)</f>
        <v>3831</v>
      </c>
      <c r="BZ323" s="327">
        <f>'[2]Profit and Loss Highlights'!AU$41</f>
        <v>1023</v>
      </c>
      <c r="CA323" s="327">
        <f>'[2]Profit and Loss Highlights'!AV$41</f>
        <v>938</v>
      </c>
      <c r="CB323" s="327">
        <f>'[2]Profit and Loss Highlights'!AW$41</f>
        <v>895</v>
      </c>
      <c r="CC323" s="327">
        <f>'[2]Profit and Loss Highlights'!AX$41</f>
        <v>1175</v>
      </c>
      <c r="CD323" s="195">
        <f>SUM(BZ323:CC323)</f>
        <v>4031</v>
      </c>
      <c r="CE323" s="306">
        <f t="shared" ref="CE323:CM323" si="1013">CE324*CE29</f>
        <v>4208.7239286826289</v>
      </c>
      <c r="CF323" s="306">
        <f t="shared" si="1013"/>
        <v>4317.7451345437476</v>
      </c>
      <c r="CG323" s="306">
        <f t="shared" si="1013"/>
        <v>4438.7271935340059</v>
      </c>
      <c r="CH323" s="306">
        <f t="shared" si="1013"/>
        <v>4572.9361886816641</v>
      </c>
      <c r="CI323" s="306">
        <f t="shared" si="1013"/>
        <v>4719.3375057514695</v>
      </c>
      <c r="CJ323" s="306">
        <f t="shared" si="1013"/>
        <v>4865.5439991708636</v>
      </c>
      <c r="CK323" s="306">
        <f t="shared" si="1013"/>
        <v>5011.8694819290158</v>
      </c>
      <c r="CL323" s="306">
        <f t="shared" si="1013"/>
        <v>5158.6189474966741</v>
      </c>
      <c r="CM323" s="306">
        <f t="shared" si="1013"/>
        <v>5306.0895171879047</v>
      </c>
      <c r="CN323" s="202"/>
      <c r="CO323" s="202"/>
      <c r="CP323" s="202"/>
      <c r="CQ323" s="202"/>
      <c r="CR323" s="202"/>
      <c r="CS323" s="195"/>
      <c r="CT323" s="195"/>
    </row>
    <row r="324" spans="1:142">
      <c r="A324" s="276" t="s">
        <v>64</v>
      </c>
      <c r="B324" s="243"/>
      <c r="C324" s="243"/>
      <c r="D324" s="243"/>
      <c r="E324" s="243"/>
      <c r="F324" s="243"/>
      <c r="G324" s="243"/>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f t="shared" ref="AQ324:BZ324" si="1014">AQ323/AQ29</f>
        <v>0</v>
      </c>
      <c r="AR324" s="243">
        <f t="shared" si="1014"/>
        <v>0</v>
      </c>
      <c r="AS324" s="243">
        <f t="shared" si="1014"/>
        <v>0</v>
      </c>
      <c r="AT324" s="243">
        <f t="shared" si="1014"/>
        <v>0</v>
      </c>
      <c r="AU324" s="243">
        <f t="shared" si="1014"/>
        <v>0</v>
      </c>
      <c r="AV324" s="243">
        <f t="shared" si="1014"/>
        <v>0</v>
      </c>
      <c r="AW324" s="243">
        <f t="shared" si="1014"/>
        <v>0</v>
      </c>
      <c r="AX324" s="243">
        <f t="shared" si="1014"/>
        <v>0</v>
      </c>
      <c r="AY324" s="243">
        <f t="shared" si="1014"/>
        <v>0</v>
      </c>
      <c r="AZ324" s="243">
        <f t="shared" si="1014"/>
        <v>0</v>
      </c>
      <c r="BA324" s="243">
        <f t="shared" si="1014"/>
        <v>0</v>
      </c>
      <c r="BB324" s="243">
        <f t="shared" si="1014"/>
        <v>0</v>
      </c>
      <c r="BC324" s="243">
        <f t="shared" si="1014"/>
        <v>0</v>
      </c>
      <c r="BD324" s="243">
        <f t="shared" si="1014"/>
        <v>0</v>
      </c>
      <c r="BE324" s="243">
        <f t="shared" si="1014"/>
        <v>0</v>
      </c>
      <c r="BF324" s="243">
        <f t="shared" si="1014"/>
        <v>0</v>
      </c>
      <c r="BG324" s="243">
        <f t="shared" si="1014"/>
        <v>0</v>
      </c>
      <c r="BH324" s="243">
        <f t="shared" si="1014"/>
        <v>0</v>
      </c>
      <c r="BI324" s="243">
        <f t="shared" si="1014"/>
        <v>0</v>
      </c>
      <c r="BJ324" s="243">
        <f t="shared" si="1014"/>
        <v>0</v>
      </c>
      <c r="BK324" s="243">
        <f t="shared" si="1014"/>
        <v>0</v>
      </c>
      <c r="BL324" s="243">
        <f t="shared" si="1014"/>
        <v>0</v>
      </c>
      <c r="BM324" s="243">
        <f t="shared" si="1014"/>
        <v>0</v>
      </c>
      <c r="BN324" s="243">
        <f t="shared" si="1014"/>
        <v>0</v>
      </c>
      <c r="BO324" s="243">
        <f t="shared" si="1014"/>
        <v>0</v>
      </c>
      <c r="BP324" s="243">
        <f t="shared" si="1014"/>
        <v>0</v>
      </c>
      <c r="BQ324" s="243">
        <f t="shared" si="1014"/>
        <v>0</v>
      </c>
      <c r="BR324" s="243">
        <f t="shared" si="1014"/>
        <v>0</v>
      </c>
      <c r="BS324" s="243">
        <f t="shared" si="1014"/>
        <v>0</v>
      </c>
      <c r="BT324" s="243">
        <f t="shared" si="1014"/>
        <v>0</v>
      </c>
      <c r="BU324" s="222">
        <f t="shared" si="1014"/>
        <v>0.40399002493765584</v>
      </c>
      <c r="BV324" s="222">
        <f t="shared" si="1014"/>
        <v>0.37912541254125415</v>
      </c>
      <c r="BW324" s="222">
        <f t="shared" si="1014"/>
        <v>0.37130977130977133</v>
      </c>
      <c r="BX324" s="222">
        <f t="shared" si="1014"/>
        <v>0.40994518402505875</v>
      </c>
      <c r="BY324" s="243">
        <f t="shared" si="1014"/>
        <v>0.39135764633772602</v>
      </c>
      <c r="BZ324" s="222">
        <f t="shared" si="1014"/>
        <v>0.40498812351543945</v>
      </c>
      <c r="CA324" s="222">
        <f t="shared" ref="CA324:CB324" si="1015">CA323/CA29</f>
        <v>0.37975708502024291</v>
      </c>
      <c r="CB324" s="222">
        <f t="shared" si="1015"/>
        <v>0.36650286650286651</v>
      </c>
      <c r="CC324" s="222">
        <f t="shared" ref="CC324:CD324" si="1016">CC323/CC29</f>
        <v>0.42851932895696571</v>
      </c>
      <c r="CD324" s="243">
        <f t="shared" si="1016"/>
        <v>0.39597249508840865</v>
      </c>
      <c r="CE324" s="312">
        <f>CD324</f>
        <v>0.39597249508840865</v>
      </c>
      <c r="CF324" s="312">
        <f>CE324</f>
        <v>0.39597249508840865</v>
      </c>
      <c r="CG324" s="312">
        <f t="shared" ref="CG324:CM324" si="1017">CF324</f>
        <v>0.39597249508840865</v>
      </c>
      <c r="CH324" s="312">
        <f t="shared" si="1017"/>
        <v>0.39597249508840865</v>
      </c>
      <c r="CI324" s="312">
        <f t="shared" si="1017"/>
        <v>0.39597249508840865</v>
      </c>
      <c r="CJ324" s="312">
        <f t="shared" si="1017"/>
        <v>0.39597249508840865</v>
      </c>
      <c r="CK324" s="312">
        <f t="shared" si="1017"/>
        <v>0.39597249508840865</v>
      </c>
      <c r="CL324" s="312">
        <f t="shared" si="1017"/>
        <v>0.39597249508840865</v>
      </c>
      <c r="CM324" s="312">
        <f t="shared" si="1017"/>
        <v>0.39597249508840865</v>
      </c>
      <c r="CN324" s="195"/>
      <c r="CO324" s="195"/>
      <c r="CP324" s="195"/>
      <c r="CQ324" s="195"/>
      <c r="CR324" s="195"/>
      <c r="CS324" s="195"/>
      <c r="CT324" s="195"/>
    </row>
    <row r="325" spans="1:142">
      <c r="A325" s="276" t="s">
        <v>65</v>
      </c>
      <c r="B325" s="243"/>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07"/>
      <c r="AQ325" s="207"/>
      <c r="AR325" s="207"/>
      <c r="AS325" s="207"/>
      <c r="AT325" s="207"/>
      <c r="AU325" s="207" t="e">
        <f t="shared" ref="AU325:CD325" si="1018">AU323/AP323-1</f>
        <v>#DIV/0!</v>
      </c>
      <c r="AV325" s="243" t="e">
        <f t="shared" si="1018"/>
        <v>#DIV/0!</v>
      </c>
      <c r="AW325" s="243" t="e">
        <f t="shared" si="1018"/>
        <v>#DIV/0!</v>
      </c>
      <c r="AX325" s="243" t="e">
        <f t="shared" si="1018"/>
        <v>#DIV/0!</v>
      </c>
      <c r="AY325" s="243" t="e">
        <f t="shared" si="1018"/>
        <v>#DIV/0!</v>
      </c>
      <c r="AZ325" s="207" t="e">
        <f t="shared" si="1018"/>
        <v>#DIV/0!</v>
      </c>
      <c r="BA325" s="243" t="e">
        <f t="shared" si="1018"/>
        <v>#DIV/0!</v>
      </c>
      <c r="BB325" s="243" t="e">
        <f t="shared" si="1018"/>
        <v>#DIV/0!</v>
      </c>
      <c r="BC325" s="243" t="e">
        <f t="shared" si="1018"/>
        <v>#DIV/0!</v>
      </c>
      <c r="BD325" s="243" t="e">
        <f t="shared" si="1018"/>
        <v>#DIV/0!</v>
      </c>
      <c r="BE325" s="243" t="e">
        <f t="shared" si="1018"/>
        <v>#DIV/0!</v>
      </c>
      <c r="BF325" s="243" t="e">
        <f t="shared" si="1018"/>
        <v>#DIV/0!</v>
      </c>
      <c r="BG325" s="243" t="e">
        <f t="shared" si="1018"/>
        <v>#DIV/0!</v>
      </c>
      <c r="BH325" s="243" t="e">
        <f t="shared" si="1018"/>
        <v>#DIV/0!</v>
      </c>
      <c r="BI325" s="243" t="e">
        <f t="shared" si="1018"/>
        <v>#DIV/0!</v>
      </c>
      <c r="BJ325" s="243" t="e">
        <f t="shared" si="1018"/>
        <v>#DIV/0!</v>
      </c>
      <c r="BK325" s="243" t="e">
        <f t="shared" si="1018"/>
        <v>#DIV/0!</v>
      </c>
      <c r="BL325" s="243" t="e">
        <f t="shared" si="1018"/>
        <v>#DIV/0!</v>
      </c>
      <c r="BM325" s="243" t="e">
        <f t="shared" si="1018"/>
        <v>#DIV/0!</v>
      </c>
      <c r="BN325" s="243" t="e">
        <f t="shared" si="1018"/>
        <v>#DIV/0!</v>
      </c>
      <c r="BO325" s="243" t="e">
        <f t="shared" si="1018"/>
        <v>#DIV/0!</v>
      </c>
      <c r="BP325" s="243" t="e">
        <f t="shared" si="1018"/>
        <v>#DIV/0!</v>
      </c>
      <c r="BQ325" s="243" t="e">
        <f t="shared" si="1018"/>
        <v>#DIV/0!</v>
      </c>
      <c r="BR325" s="243" t="e">
        <f t="shared" si="1018"/>
        <v>#DIV/0!</v>
      </c>
      <c r="BS325" s="243" t="e">
        <f t="shared" si="1018"/>
        <v>#DIV/0!</v>
      </c>
      <c r="BT325" s="243" t="e">
        <f t="shared" si="1018"/>
        <v>#DIV/0!</v>
      </c>
      <c r="BU325" s="222" t="e">
        <f t="shared" si="1018"/>
        <v>#DIV/0!</v>
      </c>
      <c r="BV325" s="222" t="e">
        <f t="shared" si="1018"/>
        <v>#DIV/0!</v>
      </c>
      <c r="BW325" s="222" t="e">
        <f t="shared" si="1018"/>
        <v>#DIV/0!</v>
      </c>
      <c r="BX325" s="222" t="e">
        <f t="shared" si="1018"/>
        <v>#DIV/0!</v>
      </c>
      <c r="BY325" s="243" t="e">
        <f t="shared" si="1018"/>
        <v>#DIV/0!</v>
      </c>
      <c r="BZ325" s="222">
        <f t="shared" si="1018"/>
        <v>5.2469135802469147E-2</v>
      </c>
      <c r="CA325" s="222">
        <f t="shared" si="1018"/>
        <v>2.0674646354733373E-2</v>
      </c>
      <c r="CB325" s="222">
        <f t="shared" si="1018"/>
        <v>2.2396416573349232E-3</v>
      </c>
      <c r="CC325" s="222">
        <f t="shared" si="1018"/>
        <v>0.12225405921680998</v>
      </c>
      <c r="CD325" s="243">
        <f t="shared" si="1018"/>
        <v>5.2205690420255912E-2</v>
      </c>
      <c r="CE325" s="207">
        <f t="shared" ref="CE325:CI325" si="1019">CE323/CD323-1</f>
        <v>4.4089290171825501E-2</v>
      </c>
      <c r="CF325" s="207">
        <f t="shared" si="1019"/>
        <v>2.5903624877396725E-2</v>
      </c>
      <c r="CG325" s="207">
        <f t="shared" si="1019"/>
        <v>2.8019731415444449E-2</v>
      </c>
      <c r="CH325" s="207">
        <f t="shared" si="1019"/>
        <v>3.0235918833480868E-2</v>
      </c>
      <c r="CI325" s="207">
        <f t="shared" si="1019"/>
        <v>3.2014729930445851E-2</v>
      </c>
      <c r="CJ325" s="207">
        <f t="shared" ref="CJ325" si="1020">CJ323/CI323-1</f>
        <v>3.0980300358093071E-2</v>
      </c>
      <c r="CK325" s="207">
        <f t="shared" ref="CK325" si="1021">CK323/CJ323-1</f>
        <v>3.0073817600475339E-2</v>
      </c>
      <c r="CL325" s="207">
        <f t="shared" ref="CL325:CM325" si="1022">CL323/CK323-1</f>
        <v>2.9280384514557722E-2</v>
      </c>
      <c r="CM325" s="207">
        <f t="shared" si="1022"/>
        <v>2.8587219019694077E-2</v>
      </c>
      <c r="CN325" s="195"/>
      <c r="CO325" s="195"/>
      <c r="CP325" s="195"/>
      <c r="CQ325" s="195"/>
      <c r="CR325" s="195"/>
      <c r="CS325" s="195"/>
      <c r="CT325" s="195"/>
      <c r="DV325" s="265"/>
      <c r="EA325" s="265"/>
      <c r="EB325" s="265"/>
      <c r="EC325" s="265"/>
      <c r="ED325" s="265"/>
      <c r="EE325" s="265"/>
    </row>
    <row r="326" spans="1:142">
      <c r="A326" s="349" t="s">
        <v>63</v>
      </c>
      <c r="B326" s="392"/>
      <c r="C326" s="392"/>
      <c r="D326" s="392"/>
      <c r="E326" s="392"/>
      <c r="F326" s="392">
        <f>F314+F323</f>
        <v>0</v>
      </c>
      <c r="G326" s="392"/>
      <c r="H326" s="392"/>
      <c r="I326" s="392"/>
      <c r="J326" s="392"/>
      <c r="K326" s="392"/>
      <c r="L326" s="392"/>
      <c r="M326" s="392"/>
      <c r="N326" s="392"/>
      <c r="O326" s="392"/>
      <c r="P326" s="392"/>
      <c r="Q326" s="392"/>
      <c r="R326" s="392"/>
      <c r="S326" s="392"/>
      <c r="T326" s="392"/>
      <c r="U326" s="392"/>
      <c r="V326" s="392"/>
      <c r="W326" s="392">
        <f>W$419*W327</f>
        <v>702.41500000000008</v>
      </c>
      <c r="X326" s="392">
        <f>X$419*X327</f>
        <v>718.029</v>
      </c>
      <c r="Y326" s="392">
        <f>Y$419*Y327</f>
        <v>742.36</v>
      </c>
      <c r="Z326" s="392">
        <f>Z$419*Z327</f>
        <v>811.71199999999999</v>
      </c>
      <c r="AA326" s="392">
        <f>SUM(W326:Z326)</f>
        <v>2974.5160000000001</v>
      </c>
      <c r="AB326" s="392">
        <f>AB$419*AB327</f>
        <v>800.48799999999994</v>
      </c>
      <c r="AC326" s="392">
        <f>AC$419*AC327</f>
        <v>787.18500000000006</v>
      </c>
      <c r="AD326" s="392">
        <f>AD$419*AD327</f>
        <v>738.87</v>
      </c>
      <c r="AE326" s="392">
        <f>AE$419*AE327</f>
        <v>758.38400000000001</v>
      </c>
      <c r="AF326" s="392">
        <f>SUM(AB326:AE326)</f>
        <v>3084.9270000000001</v>
      </c>
      <c r="AG326" s="393">
        <v>707.74600000000009</v>
      </c>
      <c r="AH326" s="393">
        <v>651.66600000000005</v>
      </c>
      <c r="AI326" s="393">
        <v>652.54</v>
      </c>
      <c r="AJ326" s="393">
        <v>696.34400000000005</v>
      </c>
      <c r="AK326" s="393">
        <v>2838.6694805769366</v>
      </c>
      <c r="AL326" s="393">
        <v>713.46800000000007</v>
      </c>
      <c r="AM326" s="393">
        <v>649.88</v>
      </c>
      <c r="AN326" s="393">
        <v>689</v>
      </c>
      <c r="AO326" s="393">
        <v>676</v>
      </c>
      <c r="AP326" s="393">
        <v>2728.348</v>
      </c>
      <c r="AQ326" s="392">
        <f>AQ320+AQ323</f>
        <v>182</v>
      </c>
      <c r="AR326" s="392">
        <f>AR320+AR323</f>
        <v>209</v>
      </c>
      <c r="AS326" s="392">
        <f>AS320+AS323</f>
        <v>195</v>
      </c>
      <c r="AT326" s="392">
        <f>AT320+AT323</f>
        <v>206</v>
      </c>
      <c r="AU326" s="392">
        <f>SUM(AQ326:AT326)</f>
        <v>792</v>
      </c>
      <c r="AV326" s="392">
        <f>AV320+AV323</f>
        <v>203</v>
      </c>
      <c r="AW326" s="392">
        <f>AW320+AW323</f>
        <v>195</v>
      </c>
      <c r="AX326" s="392">
        <f>AX320+AX323</f>
        <v>199</v>
      </c>
      <c r="AY326" s="392">
        <f>AY320+AY323</f>
        <v>190</v>
      </c>
      <c r="AZ326" s="392">
        <f>SUM(AV326:AY326)</f>
        <v>787</v>
      </c>
      <c r="BA326" s="392">
        <f t="shared" ref="BA326:CI326" si="1023">BA320+BA323</f>
        <v>200</v>
      </c>
      <c r="BB326" s="392">
        <f t="shared" si="1023"/>
        <v>196</v>
      </c>
      <c r="BC326" s="392">
        <f t="shared" si="1023"/>
        <v>208</v>
      </c>
      <c r="BD326" s="392">
        <f t="shared" si="1023"/>
        <v>280</v>
      </c>
      <c r="BE326" s="392">
        <f>BE320+BE323</f>
        <v>884</v>
      </c>
      <c r="BF326" s="392">
        <f t="shared" si="1023"/>
        <v>151</v>
      </c>
      <c r="BG326" s="392">
        <f t="shared" si="1023"/>
        <v>145</v>
      </c>
      <c r="BH326" s="392">
        <f t="shared" si="1023"/>
        <v>129</v>
      </c>
      <c r="BI326" s="392">
        <f>BI320+BI323</f>
        <v>105</v>
      </c>
      <c r="BJ326" s="392">
        <f t="shared" si="1023"/>
        <v>530</v>
      </c>
      <c r="BK326" s="392">
        <f t="shared" ref="BK326:BV326" si="1024">BK320+BK323</f>
        <v>110</v>
      </c>
      <c r="BL326" s="392">
        <f t="shared" si="1024"/>
        <v>128</v>
      </c>
      <c r="BM326" s="392">
        <f t="shared" si="1024"/>
        <v>107</v>
      </c>
      <c r="BN326" s="392">
        <f t="shared" si="1024"/>
        <v>128</v>
      </c>
      <c r="BO326" s="392">
        <f t="shared" si="1024"/>
        <v>473</v>
      </c>
      <c r="BP326" s="392">
        <f t="shared" si="1024"/>
        <v>118</v>
      </c>
      <c r="BQ326" s="392">
        <f t="shared" si="1024"/>
        <v>117</v>
      </c>
      <c r="BR326" s="392">
        <f t="shared" si="1024"/>
        <v>125</v>
      </c>
      <c r="BS326" s="392">
        <f t="shared" si="1024"/>
        <v>119</v>
      </c>
      <c r="BT326" s="392">
        <f t="shared" si="1024"/>
        <v>479</v>
      </c>
      <c r="BU326" s="392">
        <f t="shared" si="1024"/>
        <v>1104</v>
      </c>
      <c r="BV326" s="392">
        <f t="shared" si="1024"/>
        <v>1053</v>
      </c>
      <c r="BW326" s="392">
        <f t="shared" ref="BW326:BY326" si="1025">BW320+BW323</f>
        <v>1022</v>
      </c>
      <c r="BX326" s="392">
        <f t="shared" si="1025"/>
        <v>1170</v>
      </c>
      <c r="BY326" s="392">
        <f t="shared" si="1025"/>
        <v>4349</v>
      </c>
      <c r="BZ326" s="392">
        <f t="shared" si="1023"/>
        <v>1161</v>
      </c>
      <c r="CA326" s="392">
        <f t="shared" ref="CA326:CB326" si="1026">CA320+CA323</f>
        <v>1082</v>
      </c>
      <c r="CB326" s="392">
        <f t="shared" si="1026"/>
        <v>1034</v>
      </c>
      <c r="CC326" s="392">
        <f t="shared" ref="CC326:CD326" si="1027">CC320+CC323</f>
        <v>1311</v>
      </c>
      <c r="CD326" s="392">
        <f t="shared" si="1027"/>
        <v>4588</v>
      </c>
      <c r="CE326" s="392">
        <f t="shared" si="1023"/>
        <v>4772.3252787390156</v>
      </c>
      <c r="CF326" s="392">
        <f t="shared" si="1023"/>
        <v>4889.4192608382546</v>
      </c>
      <c r="CG326" s="392">
        <f t="shared" si="1023"/>
        <v>5018.1567407197253</v>
      </c>
      <c r="CH326" s="392">
        <f t="shared" si="1023"/>
        <v>5162.2916865264378</v>
      </c>
      <c r="CI326" s="392">
        <f t="shared" si="1023"/>
        <v>5320.9763348957176</v>
      </c>
      <c r="CJ326" s="392">
        <f t="shared" ref="CJ326:CL326" si="1028">CJ320+CJ323</f>
        <v>5479.1513234540162</v>
      </c>
      <c r="CK326" s="392">
        <f t="shared" si="1028"/>
        <v>5637.1676400532406</v>
      </c>
      <c r="CL326" s="392">
        <f t="shared" si="1028"/>
        <v>5795.3642751326452</v>
      </c>
      <c r="CM326" s="392">
        <f t="shared" ref="CM326" si="1029">CM320+CM323</f>
        <v>5954.0694510817757</v>
      </c>
      <c r="CN326" s="202"/>
      <c r="CO326" s="202"/>
      <c r="CP326" s="202"/>
      <c r="CQ326" s="202"/>
      <c r="CR326" s="265" t="s">
        <v>65</v>
      </c>
      <c r="CS326" s="207">
        <v>0.41062801932367154</v>
      </c>
      <c r="CT326" s="207">
        <v>0.28724315068493156</v>
      </c>
      <c r="CU326" s="207">
        <v>0.10874625872963084</v>
      </c>
      <c r="CV326" s="207">
        <v>-9.4634760898131054E-2</v>
      </c>
      <c r="CW326" s="207">
        <v>-0.12756678071946992</v>
      </c>
      <c r="CX326" s="207">
        <v>7.0638546117498313E-2</v>
      </c>
      <c r="EG326" s="353">
        <v>39956</v>
      </c>
      <c r="EH326" s="354">
        <v>1.0036</v>
      </c>
    </row>
    <row r="327" spans="1:142">
      <c r="A327" s="276" t="s">
        <v>64</v>
      </c>
      <c r="B327" s="243"/>
      <c r="C327" s="243"/>
      <c r="D327" s="243"/>
      <c r="E327" s="243"/>
      <c r="F327" s="243"/>
      <c r="G327" s="243"/>
      <c r="H327" s="243"/>
      <c r="I327" s="243"/>
      <c r="J327" s="243"/>
      <c r="K327" s="243"/>
      <c r="L327" s="243"/>
      <c r="M327" s="243"/>
      <c r="N327" s="243"/>
      <c r="O327" s="243"/>
      <c r="P327" s="243"/>
      <c r="Q327" s="243"/>
      <c r="R327" s="243"/>
      <c r="S327" s="243"/>
      <c r="T327" s="243"/>
      <c r="U327" s="243"/>
      <c r="V327" s="243"/>
      <c r="W327" s="375">
        <v>0.32900000000000001</v>
      </c>
      <c r="X327" s="375">
        <v>0.32300000000000001</v>
      </c>
      <c r="Y327" s="375">
        <v>0.33500000000000002</v>
      </c>
      <c r="Z327" s="375">
        <v>0.35199999999999998</v>
      </c>
      <c r="AA327" s="243">
        <f>AA326/AA29</f>
        <v>0.33496801801801801</v>
      </c>
      <c r="AB327" s="375">
        <v>0.34399999999999997</v>
      </c>
      <c r="AC327" s="375">
        <v>0.34300000000000003</v>
      </c>
      <c r="AD327" s="375">
        <v>0.33</v>
      </c>
      <c r="AE327" s="375">
        <v>0.34100000000000003</v>
      </c>
      <c r="AF327" s="243">
        <f t="shared" ref="AF327:BK327" si="1030">AF326/AF29</f>
        <v>0.34169250004319718</v>
      </c>
      <c r="AG327" s="243">
        <f t="shared" si="1030"/>
        <v>0.33400000000000002</v>
      </c>
      <c r="AH327" s="243">
        <f t="shared" si="1030"/>
        <v>0.313</v>
      </c>
      <c r="AI327" s="243">
        <f t="shared" si="1030"/>
        <v>0.316</v>
      </c>
      <c r="AJ327" s="243">
        <f t="shared" si="1030"/>
        <v>0.32800000000000001</v>
      </c>
      <c r="AK327" s="243">
        <f t="shared" si="1030"/>
        <v>0.33777599721286727</v>
      </c>
      <c r="AL327" s="243">
        <f t="shared" si="1030"/>
        <v>0.33200000000000002</v>
      </c>
      <c r="AM327" s="243">
        <f t="shared" si="1030"/>
        <v>0.308</v>
      </c>
      <c r="AN327" s="243">
        <f t="shared" si="1030"/>
        <v>0.31809787626962144</v>
      </c>
      <c r="AO327" s="243">
        <f t="shared" si="1030"/>
        <v>0.31066176470588236</v>
      </c>
      <c r="AP327" s="243">
        <f t="shared" si="1030"/>
        <v>0.31721288222299732</v>
      </c>
      <c r="AQ327" s="243">
        <f t="shared" si="1030"/>
        <v>8.5046728971962623E-2</v>
      </c>
      <c r="AR327" s="243">
        <f t="shared" si="1030"/>
        <v>9.9429115128449097E-2</v>
      </c>
      <c r="AS327" s="243">
        <f t="shared" si="1030"/>
        <v>9.0445269016697583E-2</v>
      </c>
      <c r="AT327" s="243">
        <f t="shared" si="1030"/>
        <v>9.3044263775971095E-2</v>
      </c>
      <c r="AU327" s="243">
        <f t="shared" si="1030"/>
        <v>9.1964700418021364E-2</v>
      </c>
      <c r="AV327" s="243">
        <f t="shared" si="1030"/>
        <v>8.5473684210526313E-2</v>
      </c>
      <c r="AW327" s="243">
        <f t="shared" si="1030"/>
        <v>8.3511777301927201E-2</v>
      </c>
      <c r="AX327" s="243">
        <f t="shared" si="1030"/>
        <v>8.529789969995713E-2</v>
      </c>
      <c r="AY327" s="243">
        <f t="shared" si="1030"/>
        <v>7.9966329966329963E-2</v>
      </c>
      <c r="AZ327" s="243">
        <f t="shared" si="1030"/>
        <v>8.355451746469901E-2</v>
      </c>
      <c r="BA327" s="243">
        <f t="shared" si="1030"/>
        <v>8.9405453732677692E-2</v>
      </c>
      <c r="BB327" s="243">
        <f t="shared" si="1030"/>
        <v>8.7266251113089943E-2</v>
      </c>
      <c r="BC327" s="243">
        <f t="shared" si="1030"/>
        <v>9.187279151943463E-2</v>
      </c>
      <c r="BD327" s="243">
        <f t="shared" si="1030"/>
        <v>0.11451942740286299</v>
      </c>
      <c r="BE327" s="243">
        <f t="shared" si="1030"/>
        <v>9.6170583115752828E-2</v>
      </c>
      <c r="BF327" s="243">
        <f t="shared" si="1030"/>
        <v>6.7652329749103943E-2</v>
      </c>
      <c r="BG327" s="243">
        <f t="shared" si="1030"/>
        <v>6.5729827742520397E-2</v>
      </c>
      <c r="BH327" s="243">
        <f t="shared" si="1030"/>
        <v>5.6455142231947482E-2</v>
      </c>
      <c r="BI327" s="243">
        <f t="shared" si="1030"/>
        <v>4.0540540540540543E-2</v>
      </c>
      <c r="BJ327" s="243">
        <f t="shared" si="1030"/>
        <v>5.6909696123698054E-2</v>
      </c>
      <c r="BK327" s="243">
        <f t="shared" si="1030"/>
        <v>4.698846646732166E-2</v>
      </c>
      <c r="BL327" s="243">
        <f t="shared" ref="BL327:CM327" si="1031">BL326/BL29</f>
        <v>5.9507205950720593E-2</v>
      </c>
      <c r="BM327" s="243">
        <f t="shared" si="1031"/>
        <v>4.8350655219159509E-2</v>
      </c>
      <c r="BN327" s="243">
        <f t="shared" si="1031"/>
        <v>5.6612118531623179E-2</v>
      </c>
      <c r="BO327" s="243">
        <f t="shared" si="1031"/>
        <v>5.2754851661833593E-2</v>
      </c>
      <c r="BP327" s="243">
        <f t="shared" si="1031"/>
        <v>5.2678571428571429E-2</v>
      </c>
      <c r="BQ327" s="243">
        <f t="shared" si="1031"/>
        <v>5.1451187335092345E-2</v>
      </c>
      <c r="BR327" s="243">
        <f t="shared" si="1031"/>
        <v>5.5041831792162044E-2</v>
      </c>
      <c r="BS327" s="243">
        <f t="shared" si="1031"/>
        <v>4.8452768729641695E-2</v>
      </c>
      <c r="BT327" s="243">
        <f t="shared" si="1031"/>
        <v>5.1834217076074017E-2</v>
      </c>
      <c r="BU327" s="222">
        <f t="shared" si="1031"/>
        <v>0.45885286783042395</v>
      </c>
      <c r="BV327" s="222">
        <f t="shared" si="1031"/>
        <v>0.4344059405940594</v>
      </c>
      <c r="BW327" s="222">
        <f t="shared" si="1031"/>
        <v>0.42494802494802497</v>
      </c>
      <c r="BX327" s="222">
        <f t="shared" si="1031"/>
        <v>0.45810493343774472</v>
      </c>
      <c r="BY327" s="243">
        <f t="shared" si="1031"/>
        <v>0.44427418531004187</v>
      </c>
      <c r="BZ327" s="222">
        <f t="shared" si="1031"/>
        <v>0.45961995249406173</v>
      </c>
      <c r="CA327" s="222">
        <f t="shared" ref="CA327:CB327" si="1032">CA326/CA29</f>
        <v>0.43805668016194332</v>
      </c>
      <c r="CB327" s="222">
        <f t="shared" si="1032"/>
        <v>0.42342342342342343</v>
      </c>
      <c r="CC327" s="222">
        <f t="shared" ref="CC327:CD327" si="1033">CC326/CC29</f>
        <v>0.47811816192560175</v>
      </c>
      <c r="CD327" s="243">
        <f t="shared" si="1033"/>
        <v>0.45068762278978391</v>
      </c>
      <c r="CE327" s="243">
        <f t="shared" si="1031"/>
        <v>0.44899821894169012</v>
      </c>
      <c r="CF327" s="243">
        <f t="shared" si="1031"/>
        <v>0.44839968175936112</v>
      </c>
      <c r="CG327" s="243">
        <f t="shared" si="1031"/>
        <v>0.44766257504225304</v>
      </c>
      <c r="CH327" s="243">
        <f t="shared" si="1031"/>
        <v>0.44700503902664895</v>
      </c>
      <c r="CI327" s="243">
        <f t="shared" si="1031"/>
        <v>0.44645255251765209</v>
      </c>
      <c r="CJ327" s="243">
        <f t="shared" si="1031"/>
        <v>0.44590969085569115</v>
      </c>
      <c r="CK327" s="243">
        <f t="shared" si="1031"/>
        <v>0.44537539209907395</v>
      </c>
      <c r="CL327" s="243">
        <f t="shared" si="1031"/>
        <v>0.44484868437202585</v>
      </c>
      <c r="CM327" s="243">
        <f t="shared" si="1031"/>
        <v>0.44432867723724667</v>
      </c>
      <c r="CN327" s="195"/>
      <c r="CO327" s="195"/>
      <c r="CP327" s="195"/>
      <c r="CQ327" s="195"/>
      <c r="CR327" s="195"/>
      <c r="CS327" s="195"/>
      <c r="CT327" s="195"/>
    </row>
    <row r="328" spans="1:142">
      <c r="A328" s="276" t="s">
        <v>65</v>
      </c>
      <c r="B328" s="243"/>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c r="AA328" s="243"/>
      <c r="AB328" s="243">
        <f t="shared" ref="AB328:CC328" si="1034">AB326/W326-1</f>
        <v>0.13962258778642234</v>
      </c>
      <c r="AC328" s="243">
        <f t="shared" si="1034"/>
        <v>9.6313658640528432E-2</v>
      </c>
      <c r="AD328" s="243">
        <f t="shared" si="1034"/>
        <v>-4.7012231262459903E-3</v>
      </c>
      <c r="AE328" s="243">
        <f t="shared" si="1034"/>
        <v>-6.569817866435379E-2</v>
      </c>
      <c r="AF328" s="243">
        <f t="shared" si="1034"/>
        <v>3.7118980029019921E-2</v>
      </c>
      <c r="AG328" s="207">
        <f t="shared" si="1034"/>
        <v>-0.11585682733532532</v>
      </c>
      <c r="AH328" s="207">
        <f t="shared" si="1034"/>
        <v>-0.17215648164027519</v>
      </c>
      <c r="AI328" s="207">
        <f t="shared" si="1034"/>
        <v>-0.1168405808870302</v>
      </c>
      <c r="AJ328" s="207">
        <f t="shared" si="1034"/>
        <v>-8.1805523323276841E-2</v>
      </c>
      <c r="AK328" s="207">
        <f t="shared" si="1034"/>
        <v>-7.9826044319059597E-2</v>
      </c>
      <c r="AL328" s="207">
        <f t="shared" si="1034"/>
        <v>8.0848213907249722E-3</v>
      </c>
      <c r="AM328" s="207">
        <f t="shared" si="1034"/>
        <v>-2.7406677653890599E-3</v>
      </c>
      <c r="AN328" s="207">
        <f t="shared" si="1034"/>
        <v>5.5873969411836866E-2</v>
      </c>
      <c r="AO328" s="207">
        <f t="shared" si="1034"/>
        <v>-2.9215445239709203E-2</v>
      </c>
      <c r="AP328" s="207">
        <f t="shared" si="1034"/>
        <v>-3.8863799160765544E-2</v>
      </c>
      <c r="AQ328" s="207">
        <f t="shared" si="1034"/>
        <v>-0.74490797064479419</v>
      </c>
      <c r="AR328" s="207">
        <f t="shared" si="1034"/>
        <v>-0.67840216655382535</v>
      </c>
      <c r="AS328" s="207">
        <f t="shared" si="1034"/>
        <v>-0.71698113207547176</v>
      </c>
      <c r="AT328" s="207">
        <f t="shared" si="1034"/>
        <v>-0.69526627218934911</v>
      </c>
      <c r="AU328" s="207">
        <f t="shared" si="1034"/>
        <v>-0.70971444991621302</v>
      </c>
      <c r="AV328" s="207">
        <f t="shared" si="1034"/>
        <v>0.11538461538461542</v>
      </c>
      <c r="AW328" s="207">
        <f t="shared" si="1034"/>
        <v>-6.6985645933014371E-2</v>
      </c>
      <c r="AX328" s="207">
        <f t="shared" si="1034"/>
        <v>2.051282051282044E-2</v>
      </c>
      <c r="AY328" s="207">
        <f t="shared" si="1034"/>
        <v>-7.7669902912621325E-2</v>
      </c>
      <c r="AZ328" s="207">
        <f t="shared" si="1034"/>
        <v>-6.3131313131312705E-3</v>
      </c>
      <c r="BA328" s="207">
        <f t="shared" si="1034"/>
        <v>-1.4778325123152691E-2</v>
      </c>
      <c r="BB328" s="207">
        <f t="shared" si="1034"/>
        <v>5.12820512820511E-3</v>
      </c>
      <c r="BC328" s="207">
        <f t="shared" si="1034"/>
        <v>4.5226130653266416E-2</v>
      </c>
      <c r="BD328" s="207">
        <f t="shared" si="1034"/>
        <v>0.47368421052631571</v>
      </c>
      <c r="BE328" s="207">
        <f>BE326/AZ326-1</f>
        <v>0.12325285895806859</v>
      </c>
      <c r="BF328" s="207">
        <f t="shared" si="1034"/>
        <v>-0.245</v>
      </c>
      <c r="BG328" s="207">
        <f t="shared" si="1034"/>
        <v>-0.26020408163265307</v>
      </c>
      <c r="BH328" s="207">
        <f t="shared" si="1034"/>
        <v>-0.37980769230769229</v>
      </c>
      <c r="BI328" s="207">
        <f t="shared" si="1034"/>
        <v>-0.625</v>
      </c>
      <c r="BJ328" s="207">
        <f>BJ326/BE326-1</f>
        <v>-0.40045248868778283</v>
      </c>
      <c r="BK328" s="207">
        <f t="shared" si="1034"/>
        <v>-0.27152317880794707</v>
      </c>
      <c r="BL328" s="207">
        <f t="shared" si="1034"/>
        <v>-0.11724137931034484</v>
      </c>
      <c r="BM328" s="207">
        <f t="shared" si="1034"/>
        <v>-0.1705426356589147</v>
      </c>
      <c r="BN328" s="207">
        <f t="shared" si="1034"/>
        <v>0.21904761904761916</v>
      </c>
      <c r="BO328" s="207">
        <f>BO326/BJ326-1</f>
        <v>-0.10754716981132073</v>
      </c>
      <c r="BP328" s="207">
        <f t="shared" si="1034"/>
        <v>7.2727272727272751E-2</v>
      </c>
      <c r="BQ328" s="207">
        <f t="shared" si="1034"/>
        <v>-8.59375E-2</v>
      </c>
      <c r="BR328" s="207">
        <f t="shared" si="1034"/>
        <v>0.16822429906542058</v>
      </c>
      <c r="BS328" s="207">
        <f t="shared" si="1034"/>
        <v>-7.03125E-2</v>
      </c>
      <c r="BT328" s="207">
        <f>BT326/BO326-1</f>
        <v>1.2684989429175397E-2</v>
      </c>
      <c r="BU328" s="207">
        <f t="shared" si="1034"/>
        <v>8.3559322033898304</v>
      </c>
      <c r="BV328" s="207">
        <f t="shared" si="1034"/>
        <v>8</v>
      </c>
      <c r="BW328" s="207">
        <f t="shared" si="1034"/>
        <v>7.1760000000000002</v>
      </c>
      <c r="BX328" s="207">
        <f t="shared" si="1034"/>
        <v>8.8319327731092443</v>
      </c>
      <c r="BY328" s="207">
        <f>BY326/BT326-1</f>
        <v>8.0793319415448845</v>
      </c>
      <c r="BZ328" s="207">
        <f t="shared" si="1034"/>
        <v>5.1630434782608647E-2</v>
      </c>
      <c r="CA328" s="207">
        <f t="shared" si="1034"/>
        <v>2.7540360873694159E-2</v>
      </c>
      <c r="CB328" s="207">
        <f t="shared" si="1034"/>
        <v>1.1741682974559797E-2</v>
      </c>
      <c r="CC328" s="207">
        <f t="shared" si="1034"/>
        <v>0.12051282051282053</v>
      </c>
      <c r="CD328" s="207">
        <f>CD326/BY326-1</f>
        <v>5.4955162106231414E-2</v>
      </c>
      <c r="CE328" s="207">
        <f t="shared" ref="CE328:CI328" si="1035">CE326/CD326-1</f>
        <v>4.0175518469707017E-2</v>
      </c>
      <c r="CF328" s="207">
        <f t="shared" si="1035"/>
        <v>2.453604380675789E-2</v>
      </c>
      <c r="CG328" s="207">
        <f t="shared" si="1035"/>
        <v>2.6329809945445204E-2</v>
      </c>
      <c r="CH328" s="207">
        <f t="shared" si="1035"/>
        <v>2.872268708490755E-2</v>
      </c>
      <c r="CI328" s="207">
        <f t="shared" si="1035"/>
        <v>3.0739186780833538E-2</v>
      </c>
      <c r="CJ328" s="207">
        <f t="shared" ref="CJ328" si="1036">CJ326/CI326-1</f>
        <v>2.9726685217704274E-2</v>
      </c>
      <c r="CK328" s="207">
        <f t="shared" ref="CK328" si="1037">CK326/CJ326-1</f>
        <v>2.8839560594506874E-2</v>
      </c>
      <c r="CL328" s="207">
        <f t="shared" ref="CL328:CM328" si="1038">CL326/CK326-1</f>
        <v>2.8063141843677863E-2</v>
      </c>
      <c r="CM328" s="207">
        <f t="shared" si="1038"/>
        <v>2.7384849064642891E-2</v>
      </c>
      <c r="CN328" s="195"/>
      <c r="CO328" s="195"/>
      <c r="CP328" s="195"/>
      <c r="CQ328" s="195"/>
      <c r="CR328" s="195"/>
      <c r="CS328" s="195"/>
      <c r="CT328" s="195"/>
    </row>
    <row r="329" spans="1:142">
      <c r="A329" s="276"/>
      <c r="B329" s="243"/>
      <c r="C329" s="24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07"/>
      <c r="AU329" s="207"/>
      <c r="AV329" s="207"/>
      <c r="AW329" s="207"/>
      <c r="AX329" s="207"/>
      <c r="AY329" s="207"/>
      <c r="AZ329" s="207"/>
      <c r="BA329" s="207"/>
      <c r="BB329" s="207"/>
      <c r="BC329" s="207"/>
      <c r="BD329" s="207"/>
      <c r="BE329" s="195"/>
      <c r="BF329" s="207"/>
      <c r="BG329" s="207"/>
      <c r="BH329" s="207"/>
      <c r="BI329" s="207"/>
      <c r="BJ329" s="195"/>
      <c r="BK329" s="207"/>
      <c r="BL329" s="207"/>
      <c r="BM329" s="207"/>
      <c r="BN329" s="207"/>
      <c r="BO329" s="195"/>
      <c r="BP329" s="207"/>
      <c r="BQ329" s="207"/>
      <c r="BR329" s="207"/>
      <c r="BS329" s="207"/>
      <c r="BT329" s="195"/>
      <c r="BU329" s="207"/>
      <c r="BV329" s="207"/>
      <c r="BW329" s="207"/>
      <c r="BX329" s="207"/>
      <c r="BY329" s="195"/>
      <c r="BZ329" s="207"/>
      <c r="CA329" s="207"/>
      <c r="CB329" s="207"/>
      <c r="CC329" s="207"/>
      <c r="CD329" s="195"/>
      <c r="CE329" s="195"/>
      <c r="CF329" s="195"/>
      <c r="CG329" s="195"/>
      <c r="CH329" s="195"/>
      <c r="CI329" s="195"/>
      <c r="CJ329" s="195"/>
      <c r="CK329" s="195"/>
      <c r="CL329" s="195"/>
      <c r="CM329" s="195"/>
      <c r="CN329" s="195"/>
      <c r="CO329" s="195"/>
      <c r="CP329" s="195"/>
      <c r="CQ329" s="195"/>
      <c r="CR329" s="195"/>
      <c r="CS329" s="202"/>
      <c r="CT329" s="202"/>
    </row>
    <row r="330" spans="1:142">
      <c r="A330" s="286" t="s">
        <v>809</v>
      </c>
      <c r="B330" s="385"/>
      <c r="C330" s="385"/>
      <c r="D330" s="385"/>
      <c r="E330" s="385"/>
      <c r="F330" s="385"/>
      <c r="G330" s="385"/>
      <c r="H330" s="385"/>
      <c r="I330" s="385"/>
      <c r="J330" s="385"/>
      <c r="K330" s="385"/>
      <c r="L330" s="385"/>
      <c r="M330" s="385"/>
      <c r="N330" s="385"/>
      <c r="O330" s="385"/>
      <c r="P330" s="385"/>
      <c r="Q330" s="385"/>
      <c r="R330" s="385"/>
      <c r="S330" s="385"/>
      <c r="T330" s="385"/>
      <c r="U330" s="385"/>
      <c r="V330" s="385"/>
      <c r="W330" s="385"/>
      <c r="X330" s="385"/>
      <c r="Y330" s="385"/>
      <c r="Z330" s="385"/>
      <c r="AA330" s="385"/>
      <c r="AB330" s="385"/>
      <c r="AC330" s="385"/>
      <c r="AD330" s="385"/>
      <c r="AE330" s="385"/>
      <c r="AF330" s="385"/>
      <c r="AG330" s="385"/>
      <c r="AH330" s="385"/>
      <c r="AI330" s="385"/>
      <c r="AJ330" s="385"/>
      <c r="AK330" s="385"/>
      <c r="AL330" s="385"/>
      <c r="AM330" s="385"/>
      <c r="AN330" s="385"/>
      <c r="AO330" s="385"/>
      <c r="AP330" s="385"/>
      <c r="AQ330" s="385"/>
      <c r="AR330" s="385"/>
      <c r="AS330" s="385"/>
      <c r="AT330" s="385"/>
      <c r="AU330" s="385"/>
      <c r="AV330" s="385"/>
      <c r="AW330" s="385"/>
      <c r="AX330" s="385"/>
      <c r="AY330" s="385"/>
      <c r="AZ330" s="385"/>
      <c r="BA330" s="385"/>
      <c r="BB330" s="385"/>
      <c r="BC330" s="385"/>
      <c r="BD330" s="385"/>
      <c r="BE330" s="385"/>
      <c r="BF330" s="385"/>
      <c r="BG330" s="385"/>
      <c r="BH330" s="385"/>
      <c r="BI330" s="385"/>
      <c r="BJ330" s="385"/>
      <c r="BK330" s="385"/>
      <c r="BL330" s="385"/>
      <c r="BM330" s="385"/>
      <c r="BN330" s="385"/>
      <c r="BO330" s="385"/>
      <c r="BP330" s="385"/>
      <c r="BQ330" s="385"/>
      <c r="BR330" s="385"/>
      <c r="BS330" s="385"/>
      <c r="BT330" s="385"/>
      <c r="BU330" s="394">
        <f>'[2]Profit and Loss Highlights'!AQ$42</f>
        <v>66</v>
      </c>
      <c r="BV330" s="394">
        <f>'[2]Profit and Loss Highlights'!AR$42</f>
        <v>67</v>
      </c>
      <c r="BW330" s="394">
        <f>'[2]Profit and Loss Highlights'!AS$42</f>
        <v>63</v>
      </c>
      <c r="BX330" s="394">
        <f>'[2]Profit and Loss Highlights'!AT$42</f>
        <v>63</v>
      </c>
      <c r="BY330" s="195">
        <f>SUM(BU330:BX330)</f>
        <v>259</v>
      </c>
      <c r="BZ330" s="394">
        <f>'[2]Profit and Loss Highlights'!AU$42</f>
        <v>61</v>
      </c>
      <c r="CA330" s="394">
        <f>'[2]Profit and Loss Highlights'!AV$42</f>
        <v>62</v>
      </c>
      <c r="CB330" s="394">
        <f>'[2]Profit and Loss Highlights'!AW$42</f>
        <v>62</v>
      </c>
      <c r="CC330" s="394">
        <f>'[2]Profit and Loss Highlights'!AX$42</f>
        <v>62</v>
      </c>
      <c r="CD330" s="195">
        <f>SUM(BZ330:CC330)</f>
        <v>247</v>
      </c>
      <c r="CE330" s="385">
        <f t="shared" ref="CE330:CM330" si="1039">CE331*CE29</f>
        <v>257.89005467244095</v>
      </c>
      <c r="CF330" s="385">
        <f t="shared" si="1039"/>
        <v>264.57034190828722</v>
      </c>
      <c r="CG330" s="385">
        <f t="shared" si="1039"/>
        <v>271.98353182904975</v>
      </c>
      <c r="CH330" s="385">
        <f t="shared" si="1039"/>
        <v>280.20720382147636</v>
      </c>
      <c r="CI330" s="385">
        <f t="shared" si="1039"/>
        <v>289.17796177638621</v>
      </c>
      <c r="CJ330" s="385">
        <f t="shared" si="1039"/>
        <v>298.13678188915986</v>
      </c>
      <c r="CK330" s="385">
        <f t="shared" si="1039"/>
        <v>307.10289308768716</v>
      </c>
      <c r="CL330" s="385">
        <f t="shared" si="1039"/>
        <v>316.09498388282771</v>
      </c>
      <c r="CM330" s="385">
        <f t="shared" si="1039"/>
        <v>325.13126041811273</v>
      </c>
      <c r="CN330" s="195"/>
      <c r="CO330" s="195"/>
      <c r="CP330" s="195"/>
      <c r="CQ330" s="195"/>
      <c r="CR330" s="195"/>
      <c r="CS330" s="202"/>
      <c r="CT330" s="202"/>
    </row>
    <row r="331" spans="1:142">
      <c r="A331" s="276" t="s">
        <v>64</v>
      </c>
      <c r="B331" s="243"/>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43"/>
      <c r="AV331" s="243"/>
      <c r="AW331" s="243"/>
      <c r="AX331" s="243"/>
      <c r="AY331" s="243"/>
      <c r="AZ331" s="243"/>
      <c r="BA331" s="243"/>
      <c r="BB331" s="243"/>
      <c r="BC331" s="243"/>
      <c r="BD331" s="243"/>
      <c r="BE331" s="243"/>
      <c r="BF331" s="243"/>
      <c r="BG331" s="243"/>
      <c r="BH331" s="243"/>
      <c r="BI331" s="243"/>
      <c r="BJ331" s="243"/>
      <c r="BK331" s="243"/>
      <c r="BL331" s="243"/>
      <c r="BM331" s="243"/>
      <c r="BN331" s="243"/>
      <c r="BO331" s="243"/>
      <c r="BP331" s="243"/>
      <c r="BQ331" s="243"/>
      <c r="BR331" s="243"/>
      <c r="BS331" s="243"/>
      <c r="BT331" s="243"/>
      <c r="BU331" s="222">
        <f>BU330/BU29</f>
        <v>2.7431421446384038E-2</v>
      </c>
      <c r="BV331" s="222">
        <f t="shared" ref="BV331:CD331" si="1040">BV330/BV29</f>
        <v>2.7640264026402642E-2</v>
      </c>
      <c r="BW331" s="222">
        <f t="shared" si="1040"/>
        <v>2.6195426195426197E-2</v>
      </c>
      <c r="BX331" s="222">
        <f t="shared" si="1040"/>
        <v>2.466718872357087E-2</v>
      </c>
      <c r="BY331" s="222">
        <f t="shared" si="1040"/>
        <v>2.6458269486157933E-2</v>
      </c>
      <c r="BZ331" s="222">
        <f t="shared" si="1040"/>
        <v>2.414885193982581E-2</v>
      </c>
      <c r="CA331" s="222">
        <f t="shared" si="1040"/>
        <v>2.5101214574898785E-2</v>
      </c>
      <c r="CB331" s="222">
        <f t="shared" si="1040"/>
        <v>2.5389025389025387E-2</v>
      </c>
      <c r="CC331" s="222">
        <f t="shared" si="1040"/>
        <v>2.2611232676878191E-2</v>
      </c>
      <c r="CD331" s="222">
        <f t="shared" si="1040"/>
        <v>2.4263261296660118E-2</v>
      </c>
      <c r="CE331" s="375">
        <f t="shared" ref="CE331" si="1041">CD331</f>
        <v>2.4263261296660118E-2</v>
      </c>
      <c r="CF331" s="375">
        <f t="shared" ref="CF331" si="1042">CE331</f>
        <v>2.4263261296660118E-2</v>
      </c>
      <c r="CG331" s="375">
        <f t="shared" ref="CG331" si="1043">CF331</f>
        <v>2.4263261296660118E-2</v>
      </c>
      <c r="CH331" s="375">
        <f t="shared" ref="CH331" si="1044">CG331</f>
        <v>2.4263261296660118E-2</v>
      </c>
      <c r="CI331" s="375">
        <f t="shared" ref="CI331" si="1045">CH331</f>
        <v>2.4263261296660118E-2</v>
      </c>
      <c r="CJ331" s="375">
        <f t="shared" ref="CJ331" si="1046">CI331</f>
        <v>2.4263261296660118E-2</v>
      </c>
      <c r="CK331" s="375">
        <f t="shared" ref="CK331" si="1047">CJ331</f>
        <v>2.4263261296660118E-2</v>
      </c>
      <c r="CL331" s="375">
        <f t="shared" ref="CL331" si="1048">CK331</f>
        <v>2.4263261296660118E-2</v>
      </c>
      <c r="CM331" s="375">
        <f t="shared" ref="CM331" si="1049">CL331</f>
        <v>2.4263261296660118E-2</v>
      </c>
      <c r="CN331" s="195"/>
      <c r="CO331" s="195"/>
      <c r="CP331" s="195"/>
      <c r="CQ331" s="195"/>
      <c r="CR331" s="195"/>
      <c r="CS331" s="202"/>
      <c r="CT331" s="202"/>
    </row>
    <row r="332" spans="1:142">
      <c r="A332" s="276" t="s">
        <v>65</v>
      </c>
      <c r="B332" s="243"/>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43"/>
      <c r="AV332" s="243"/>
      <c r="AW332" s="243"/>
      <c r="AX332" s="243"/>
      <c r="AY332" s="243"/>
      <c r="AZ332" s="243"/>
      <c r="BA332" s="243"/>
      <c r="BB332" s="243"/>
      <c r="BC332" s="243"/>
      <c r="BD332" s="243"/>
      <c r="BE332" s="243"/>
      <c r="BF332" s="243"/>
      <c r="BG332" s="243"/>
      <c r="BH332" s="243"/>
      <c r="BI332" s="243"/>
      <c r="BJ332" s="243"/>
      <c r="BK332" s="243"/>
      <c r="BL332" s="243"/>
      <c r="BM332" s="243"/>
      <c r="BN332" s="243"/>
      <c r="BO332" s="243"/>
      <c r="BP332" s="243"/>
      <c r="BQ332" s="243"/>
      <c r="BR332" s="243"/>
      <c r="BS332" s="243"/>
      <c r="BT332" s="243"/>
      <c r="BU332" s="222"/>
      <c r="BV332" s="222"/>
      <c r="BW332" s="222"/>
      <c r="BX332" s="222"/>
      <c r="BY332" s="243"/>
      <c r="BZ332" s="222"/>
      <c r="CA332" s="222"/>
      <c r="CB332" s="222"/>
      <c r="CC332" s="222"/>
      <c r="CD332" s="243"/>
      <c r="CE332" s="243"/>
      <c r="CF332" s="243"/>
      <c r="CG332" s="243"/>
      <c r="CH332" s="243"/>
      <c r="CI332" s="243"/>
      <c r="CJ332" s="243"/>
      <c r="CK332" s="243"/>
      <c r="CL332" s="243"/>
      <c r="CM332" s="243"/>
      <c r="CN332" s="195"/>
      <c r="CO332" s="195"/>
      <c r="CP332" s="195"/>
      <c r="CQ332" s="195"/>
      <c r="CR332" s="195"/>
      <c r="CS332" s="202"/>
      <c r="CT332" s="202"/>
    </row>
    <row r="333" spans="1:142">
      <c r="A333" s="276"/>
      <c r="B333" s="243"/>
      <c r="C333" s="243"/>
      <c r="D333" s="243"/>
      <c r="E333" s="243"/>
      <c r="F333" s="243"/>
      <c r="G333" s="243"/>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07"/>
      <c r="AU333" s="207"/>
      <c r="AV333" s="207"/>
      <c r="AW333" s="207"/>
      <c r="AX333" s="207"/>
      <c r="AY333" s="207"/>
      <c r="AZ333" s="207"/>
      <c r="BA333" s="207"/>
      <c r="BB333" s="207"/>
      <c r="BC333" s="207"/>
      <c r="BD333" s="207"/>
      <c r="BE333" s="195"/>
      <c r="BF333" s="207"/>
      <c r="BG333" s="207"/>
      <c r="BH333" s="207"/>
      <c r="BI333" s="207"/>
      <c r="BJ333" s="195"/>
      <c r="BK333" s="207"/>
      <c r="BL333" s="207"/>
      <c r="BM333" s="207"/>
      <c r="BN333" s="207"/>
      <c r="BO333" s="195"/>
      <c r="BP333" s="207"/>
      <c r="BQ333" s="207"/>
      <c r="BR333" s="207"/>
      <c r="BS333" s="207"/>
      <c r="BT333" s="195"/>
      <c r="BU333" s="207"/>
      <c r="BV333" s="207"/>
      <c r="BW333" s="207"/>
      <c r="BX333" s="207"/>
      <c r="BY333" s="195"/>
      <c r="BZ333" s="207"/>
      <c r="CA333" s="207"/>
      <c r="CB333" s="207"/>
      <c r="CC333" s="207"/>
      <c r="CD333" s="195"/>
      <c r="CE333" s="195"/>
      <c r="CF333" s="195"/>
      <c r="CG333" s="195"/>
      <c r="CH333" s="195"/>
      <c r="CI333" s="195"/>
      <c r="CJ333" s="195"/>
      <c r="CK333" s="195"/>
      <c r="CL333" s="195"/>
      <c r="CM333" s="195"/>
      <c r="CN333" s="195"/>
      <c r="CO333" s="195"/>
      <c r="CP333" s="195"/>
      <c r="CQ333" s="195"/>
      <c r="CR333" s="195"/>
      <c r="CS333" s="202"/>
      <c r="CT333" s="202"/>
    </row>
    <row r="334" spans="1:142">
      <c r="A334" s="276"/>
      <c r="B334" s="243"/>
      <c r="C334" s="243"/>
      <c r="D334" s="243"/>
      <c r="E334" s="243"/>
      <c r="F334" s="243"/>
      <c r="G334" s="243"/>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07"/>
      <c r="AU334" s="207"/>
      <c r="AV334" s="207"/>
      <c r="AW334" s="207"/>
      <c r="AX334" s="207"/>
      <c r="AY334" s="207"/>
      <c r="AZ334" s="207"/>
      <c r="BA334" s="207"/>
      <c r="BB334" s="207"/>
      <c r="BC334" s="207"/>
      <c r="BD334" s="207"/>
      <c r="BE334" s="195"/>
      <c r="BF334" s="207"/>
      <c r="BG334" s="207"/>
      <c r="BH334" s="207"/>
      <c r="BI334" s="207"/>
      <c r="BJ334" s="195"/>
      <c r="BK334" s="207"/>
      <c r="BL334" s="207"/>
      <c r="BM334" s="207"/>
      <c r="BN334" s="207"/>
      <c r="BO334" s="195"/>
      <c r="BP334" s="207"/>
      <c r="BQ334" s="207"/>
      <c r="BR334" s="207"/>
      <c r="BS334" s="207"/>
      <c r="BT334" s="195"/>
      <c r="BU334" s="207"/>
      <c r="BV334" s="207"/>
      <c r="BW334" s="207"/>
      <c r="BX334" s="207"/>
      <c r="BY334" s="195"/>
      <c r="BZ334" s="207"/>
      <c r="CA334" s="207"/>
      <c r="CB334" s="207"/>
      <c r="CC334" s="207"/>
      <c r="CD334" s="195"/>
      <c r="CE334" s="195"/>
      <c r="CF334" s="195"/>
      <c r="CG334" s="195"/>
      <c r="CH334" s="195"/>
      <c r="CI334" s="195"/>
      <c r="CJ334" s="195"/>
      <c r="CK334" s="195"/>
      <c r="CL334" s="195"/>
      <c r="CM334" s="195"/>
      <c r="CN334" s="195"/>
      <c r="CO334" s="195"/>
      <c r="CP334" s="195"/>
      <c r="CQ334" s="195"/>
      <c r="CR334" s="195"/>
      <c r="CS334" s="202"/>
      <c r="CT334" s="202"/>
    </row>
    <row r="335" spans="1:142">
      <c r="A335" s="342" t="s">
        <v>787</v>
      </c>
      <c r="B335" s="243"/>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391">
        <f>'[2]Profit and Loss Highlights'!S43</f>
        <v>182</v>
      </c>
      <c r="AR335" s="391">
        <f>'[2]Profit and Loss Highlights'!T43</f>
        <v>209</v>
      </c>
      <c r="AS335" s="391">
        <f>'[2]Profit and Loss Highlights'!U43</f>
        <v>195</v>
      </c>
      <c r="AT335" s="391">
        <f>'[2]Profit and Loss Highlights'!V43</f>
        <v>206</v>
      </c>
      <c r="AU335" s="391">
        <f>SUM(AQ335:AT335)</f>
        <v>792</v>
      </c>
      <c r="AV335" s="391">
        <f>'[2]Profit and Loss Highlights'!W43</f>
        <v>203</v>
      </c>
      <c r="AW335" s="391">
        <f>'[2]Profit and Loss Highlights'!X43</f>
        <v>195</v>
      </c>
      <c r="AX335" s="391">
        <f>'[2]Profit and Loss Highlights'!Y43</f>
        <v>199</v>
      </c>
      <c r="AY335" s="391">
        <f>'[2]Profit and Loss Highlights'!Z43</f>
        <v>190</v>
      </c>
      <c r="AZ335" s="391">
        <f>SUM(AV335:AY335)</f>
        <v>787</v>
      </c>
      <c r="BA335" s="391">
        <f>'[2]Profit and Loss Highlights'!AA43</f>
        <v>200</v>
      </c>
      <c r="BB335" s="391">
        <f>'[2]Profit and Loss Highlights'!AB43</f>
        <v>196</v>
      </c>
      <c r="BC335" s="391">
        <f>'[2]Profit and Loss Highlights'!AC43</f>
        <v>208</v>
      </c>
      <c r="BD335" s="391">
        <f>'[2]Profit and Loss Highlights'!AD43</f>
        <v>280</v>
      </c>
      <c r="BE335" s="195">
        <f>SUM(BA335:BD335)</f>
        <v>884</v>
      </c>
      <c r="BF335" s="391">
        <f>'[2]Profit and Loss Highlights'!AE43</f>
        <v>151</v>
      </c>
      <c r="BG335" s="391">
        <f>'[2]Profit and Loss Highlights'!AF43</f>
        <v>145</v>
      </c>
      <c r="BH335" s="391">
        <f>'[2]Profit and Loss Highlights'!AG43</f>
        <v>129</v>
      </c>
      <c r="BI335" s="391">
        <f>'[2]Profit and Loss Highlights'!AH43</f>
        <v>105</v>
      </c>
      <c r="BJ335" s="195">
        <f>SUM(BF335:BI335)</f>
        <v>530</v>
      </c>
      <c r="BK335" s="391">
        <f>'[2]Profit and Loss Highlights'!AI43</f>
        <v>110</v>
      </c>
      <c r="BL335" s="391">
        <f>'[2]Profit and Loss Highlights'!AJ43</f>
        <v>128</v>
      </c>
      <c r="BM335" s="391">
        <f>'[2]Profit and Loss Highlights'!AK43</f>
        <v>107</v>
      </c>
      <c r="BN335" s="391">
        <f>'[2]Profit and Loss Highlights'!AL43</f>
        <v>128</v>
      </c>
      <c r="BO335" s="195">
        <f>SUM(BK335:BN335)</f>
        <v>473</v>
      </c>
      <c r="BP335" s="391">
        <f>'[2]Profit and Loss Highlights'!AM43</f>
        <v>118</v>
      </c>
      <c r="BQ335" s="391">
        <f>'[2]Profit and Loss Highlights'!AN43</f>
        <v>117</v>
      </c>
      <c r="BR335" s="391">
        <f>'[2]Profit and Loss Highlights'!AO43</f>
        <v>125</v>
      </c>
      <c r="BS335" s="391">
        <f>'[2]Profit and Loss Highlights'!AP43</f>
        <v>119</v>
      </c>
      <c r="BT335" s="195">
        <f>SUM(BP335:BS335)</f>
        <v>479</v>
      </c>
      <c r="BU335" s="327">
        <f>'[2]Profit and Loss Highlights'!AQ43</f>
        <v>132</v>
      </c>
      <c r="BV335" s="327">
        <f>'[2]Profit and Loss Highlights'!AR43</f>
        <v>134</v>
      </c>
      <c r="BW335" s="327">
        <f>'[2]Profit and Loss Highlights'!AS43</f>
        <v>129</v>
      </c>
      <c r="BX335" s="327">
        <f>'[2]Profit and Loss Highlights'!AT43</f>
        <v>123</v>
      </c>
      <c r="BY335" s="195">
        <f>SUM(BU335:BX335)</f>
        <v>518</v>
      </c>
      <c r="BZ335" s="327">
        <f>'[2]Profit and Loss Highlights'!AU43</f>
        <v>138</v>
      </c>
      <c r="CA335" s="327">
        <f>'[2]Profit and Loss Highlights'!AV43</f>
        <v>144</v>
      </c>
      <c r="CB335" s="327">
        <f>'[2]Profit and Loss Highlights'!AW43</f>
        <v>139</v>
      </c>
      <c r="CC335" s="327">
        <f>'[2]Profit and Loss Highlights'!AX43</f>
        <v>136</v>
      </c>
      <c r="CD335" s="306">
        <f>CD336*CD29</f>
        <v>1934.2</v>
      </c>
      <c r="CE335" s="306">
        <f t="shared" ref="CE335:CM335" si="1050">CE336*CE29</f>
        <v>2019.4775050503451</v>
      </c>
      <c r="CF335" s="306">
        <f t="shared" si="1050"/>
        <v>2071.7892927895105</v>
      </c>
      <c r="CG335" s="306">
        <f t="shared" si="1050"/>
        <v>2129.8402723228664</v>
      </c>
      <c r="CH335" s="306">
        <f t="shared" si="1050"/>
        <v>2194.2379499250992</v>
      </c>
      <c r="CI335" s="306">
        <f t="shared" si="1050"/>
        <v>2264.4858852950861</v>
      </c>
      <c r="CJ335" s="306">
        <f t="shared" si="1050"/>
        <v>2334.6403381781902</v>
      </c>
      <c r="CK335" s="306">
        <f t="shared" si="1050"/>
        <v>2404.8518858712732</v>
      </c>
      <c r="CL335" s="306">
        <f t="shared" si="1050"/>
        <v>2475.2668737901431</v>
      </c>
      <c r="CM335" s="306">
        <f t="shared" si="1050"/>
        <v>2546.0278700433751</v>
      </c>
      <c r="CN335" s="195"/>
      <c r="CO335" s="195"/>
      <c r="CP335" s="195"/>
      <c r="CQ335" s="195"/>
      <c r="CR335" s="195"/>
      <c r="CS335" s="202"/>
      <c r="CT335" s="202"/>
    </row>
    <row r="336" spans="1:142">
      <c r="A336" s="341" t="s">
        <v>64</v>
      </c>
      <c r="B336" s="243"/>
      <c r="C336" s="243"/>
      <c r="D336" s="243"/>
      <c r="E336" s="243"/>
      <c r="F336" s="243"/>
      <c r="G336" s="243"/>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f t="shared" ref="AG336:BZ336" si="1051">AG335/AG29</f>
        <v>0</v>
      </c>
      <c r="AH336" s="243">
        <f t="shared" si="1051"/>
        <v>0</v>
      </c>
      <c r="AI336" s="243">
        <f t="shared" si="1051"/>
        <v>0</v>
      </c>
      <c r="AJ336" s="243">
        <f t="shared" si="1051"/>
        <v>0</v>
      </c>
      <c r="AK336" s="243">
        <f t="shared" si="1051"/>
        <v>0</v>
      </c>
      <c r="AL336" s="243">
        <f t="shared" si="1051"/>
        <v>0</v>
      </c>
      <c r="AM336" s="243">
        <f t="shared" si="1051"/>
        <v>0</v>
      </c>
      <c r="AN336" s="243">
        <f t="shared" si="1051"/>
        <v>0</v>
      </c>
      <c r="AO336" s="243">
        <f t="shared" si="1051"/>
        <v>0</v>
      </c>
      <c r="AP336" s="243">
        <f t="shared" si="1051"/>
        <v>0</v>
      </c>
      <c r="AQ336" s="243">
        <f t="shared" si="1051"/>
        <v>8.5046728971962623E-2</v>
      </c>
      <c r="AR336" s="243">
        <f t="shared" si="1051"/>
        <v>9.9429115128449097E-2</v>
      </c>
      <c r="AS336" s="243">
        <f t="shared" si="1051"/>
        <v>9.0445269016697583E-2</v>
      </c>
      <c r="AT336" s="243">
        <f t="shared" si="1051"/>
        <v>9.3044263775971095E-2</v>
      </c>
      <c r="AU336" s="243">
        <f t="shared" si="1051"/>
        <v>9.1964700418021364E-2</v>
      </c>
      <c r="AV336" s="243">
        <f t="shared" si="1051"/>
        <v>8.5473684210526313E-2</v>
      </c>
      <c r="AW336" s="243">
        <f t="shared" si="1051"/>
        <v>8.3511777301927201E-2</v>
      </c>
      <c r="AX336" s="243">
        <f t="shared" si="1051"/>
        <v>8.529789969995713E-2</v>
      </c>
      <c r="AY336" s="243">
        <f t="shared" si="1051"/>
        <v>7.9966329966329963E-2</v>
      </c>
      <c r="AZ336" s="243">
        <f t="shared" si="1051"/>
        <v>8.355451746469901E-2</v>
      </c>
      <c r="BA336" s="243">
        <f t="shared" si="1051"/>
        <v>8.9405453732677692E-2</v>
      </c>
      <c r="BB336" s="243">
        <f t="shared" si="1051"/>
        <v>8.7266251113089943E-2</v>
      </c>
      <c r="BC336" s="243">
        <f t="shared" si="1051"/>
        <v>9.187279151943463E-2</v>
      </c>
      <c r="BD336" s="243">
        <f t="shared" si="1051"/>
        <v>0.11451942740286299</v>
      </c>
      <c r="BE336" s="243">
        <f t="shared" si="1051"/>
        <v>9.6170583115752828E-2</v>
      </c>
      <c r="BF336" s="243">
        <f t="shared" si="1051"/>
        <v>6.7652329749103943E-2</v>
      </c>
      <c r="BG336" s="243">
        <f t="shared" si="1051"/>
        <v>6.5729827742520397E-2</v>
      </c>
      <c r="BH336" s="243">
        <f t="shared" si="1051"/>
        <v>5.6455142231947482E-2</v>
      </c>
      <c r="BI336" s="243">
        <f t="shared" si="1051"/>
        <v>4.0540540540540543E-2</v>
      </c>
      <c r="BJ336" s="243">
        <f t="shared" si="1051"/>
        <v>5.6909696123698054E-2</v>
      </c>
      <c r="BK336" s="243">
        <f t="shared" si="1051"/>
        <v>4.698846646732166E-2</v>
      </c>
      <c r="BL336" s="243">
        <f t="shared" si="1051"/>
        <v>5.9507205950720593E-2</v>
      </c>
      <c r="BM336" s="243">
        <f t="shared" si="1051"/>
        <v>4.8350655219159509E-2</v>
      </c>
      <c r="BN336" s="243">
        <f t="shared" si="1051"/>
        <v>5.6612118531623179E-2</v>
      </c>
      <c r="BO336" s="243">
        <f t="shared" si="1051"/>
        <v>5.2754851661833593E-2</v>
      </c>
      <c r="BP336" s="243">
        <f t="shared" si="1051"/>
        <v>5.2678571428571429E-2</v>
      </c>
      <c r="BQ336" s="243">
        <f t="shared" si="1051"/>
        <v>5.1451187335092345E-2</v>
      </c>
      <c r="BR336" s="243">
        <f t="shared" si="1051"/>
        <v>5.5041831792162044E-2</v>
      </c>
      <c r="BS336" s="243">
        <f t="shared" si="1051"/>
        <v>4.8452768729641695E-2</v>
      </c>
      <c r="BT336" s="243">
        <f t="shared" si="1051"/>
        <v>5.1834217076074017E-2</v>
      </c>
      <c r="BU336" s="222">
        <f t="shared" si="1051"/>
        <v>5.4862842892768077E-2</v>
      </c>
      <c r="BV336" s="222">
        <f t="shared" si="1051"/>
        <v>5.5280528052805283E-2</v>
      </c>
      <c r="BW336" s="222">
        <f t="shared" si="1051"/>
        <v>5.3638253638253641E-2</v>
      </c>
      <c r="BX336" s="222">
        <f t="shared" si="1051"/>
        <v>4.8159749412685984E-2</v>
      </c>
      <c r="BY336" s="243">
        <f t="shared" si="1051"/>
        <v>5.2916538972315866E-2</v>
      </c>
      <c r="BZ336" s="222">
        <f t="shared" si="1051"/>
        <v>5.4631828978622329E-2</v>
      </c>
      <c r="CA336" s="222">
        <f t="shared" ref="CA336:CB336" si="1052">CA335/CA29</f>
        <v>5.8299595141700404E-2</v>
      </c>
      <c r="CB336" s="222">
        <f t="shared" si="1052"/>
        <v>5.692055692055692E-2</v>
      </c>
      <c r="CC336" s="222">
        <f t="shared" ref="CC336" si="1053">CC335/CC29</f>
        <v>4.9598832968636035E-2</v>
      </c>
      <c r="CD336" s="375">
        <v>0.19</v>
      </c>
      <c r="CE336" s="375">
        <f>CD336</f>
        <v>0.19</v>
      </c>
      <c r="CF336" s="375">
        <f t="shared" ref="CF336:CM336" si="1054">CE336</f>
        <v>0.19</v>
      </c>
      <c r="CG336" s="375">
        <f t="shared" si="1054"/>
        <v>0.19</v>
      </c>
      <c r="CH336" s="375">
        <f t="shared" si="1054"/>
        <v>0.19</v>
      </c>
      <c r="CI336" s="375">
        <f t="shared" si="1054"/>
        <v>0.19</v>
      </c>
      <c r="CJ336" s="375">
        <f t="shared" si="1054"/>
        <v>0.19</v>
      </c>
      <c r="CK336" s="375">
        <f t="shared" si="1054"/>
        <v>0.19</v>
      </c>
      <c r="CL336" s="375">
        <f t="shared" si="1054"/>
        <v>0.19</v>
      </c>
      <c r="CM336" s="375">
        <f t="shared" si="1054"/>
        <v>0.19</v>
      </c>
      <c r="CN336" s="195"/>
      <c r="CO336" s="195"/>
      <c r="CP336" s="195"/>
      <c r="CQ336" s="195"/>
      <c r="CR336" s="195"/>
      <c r="CS336" s="202"/>
      <c r="CT336" s="202"/>
    </row>
    <row r="337" spans="1:130">
      <c r="A337" s="341" t="s">
        <v>65</v>
      </c>
      <c r="B337" s="243"/>
      <c r="C337" s="243"/>
      <c r="D337" s="243"/>
      <c r="E337" s="243"/>
      <c r="F337" s="243"/>
      <c r="G337" s="243"/>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07" t="e">
        <f t="shared" ref="AG337" si="1055">AG335/AB335-1</f>
        <v>#DIV/0!</v>
      </c>
      <c r="AH337" s="207" t="e">
        <f t="shared" ref="AH337" si="1056">AH335/AC335-1</f>
        <v>#DIV/0!</v>
      </c>
      <c r="AI337" s="207" t="e">
        <f t="shared" ref="AI337" si="1057">AI335/AD335-1</f>
        <v>#DIV/0!</v>
      </c>
      <c r="AJ337" s="207" t="e">
        <f t="shared" ref="AJ337" si="1058">AJ335/AE335-1</f>
        <v>#DIV/0!</v>
      </c>
      <c r="AK337" s="207" t="e">
        <f t="shared" ref="AK337" si="1059">AK335/AF335-1</f>
        <v>#DIV/0!</v>
      </c>
      <c r="AL337" s="207" t="e">
        <f t="shared" ref="AL337" si="1060">AL335/AG335-1</f>
        <v>#DIV/0!</v>
      </c>
      <c r="AM337" s="207" t="e">
        <f t="shared" ref="AM337" si="1061">AM335/AH335-1</f>
        <v>#DIV/0!</v>
      </c>
      <c r="AN337" s="207" t="e">
        <f t="shared" ref="AN337" si="1062">AN335/AI335-1</f>
        <v>#DIV/0!</v>
      </c>
      <c r="AO337" s="207" t="e">
        <f t="shared" ref="AO337" si="1063">AO335/AJ335-1</f>
        <v>#DIV/0!</v>
      </c>
      <c r="AP337" s="207" t="e">
        <f t="shared" ref="AP337" si="1064">AP335/AK335-1</f>
        <v>#DIV/0!</v>
      </c>
      <c r="AQ337" s="207" t="e">
        <f t="shared" ref="AQ337" si="1065">AQ335/AL335-1</f>
        <v>#DIV/0!</v>
      </c>
      <c r="AR337" s="207" t="e">
        <f t="shared" ref="AR337" si="1066">AR335/AM335-1</f>
        <v>#DIV/0!</v>
      </c>
      <c r="AS337" s="207" t="e">
        <f t="shared" ref="AS337" si="1067">AS335/AN335-1</f>
        <v>#DIV/0!</v>
      </c>
      <c r="AT337" s="207" t="e">
        <f t="shared" ref="AT337" si="1068">AT335/AO335-1</f>
        <v>#DIV/0!</v>
      </c>
      <c r="AU337" s="207" t="e">
        <f t="shared" ref="AU337" si="1069">AU335/AP335-1</f>
        <v>#DIV/0!</v>
      </c>
      <c r="AV337" s="207">
        <f t="shared" ref="AV337" si="1070">AV335/AQ335-1</f>
        <v>0.11538461538461542</v>
      </c>
      <c r="AW337" s="207">
        <f t="shared" ref="AW337" si="1071">AW335/AR335-1</f>
        <v>-6.6985645933014371E-2</v>
      </c>
      <c r="AX337" s="207">
        <f t="shared" ref="AX337" si="1072">AX335/AS335-1</f>
        <v>2.051282051282044E-2</v>
      </c>
      <c r="AY337" s="207">
        <f t="shared" ref="AY337" si="1073">AY335/AT335-1</f>
        <v>-7.7669902912621325E-2</v>
      </c>
      <c r="AZ337" s="207">
        <f t="shared" ref="AZ337" si="1074">AZ335/AU335-1</f>
        <v>-6.3131313131312705E-3</v>
      </c>
      <c r="BA337" s="207">
        <f t="shared" ref="BA337" si="1075">BA335/AV335-1</f>
        <v>-1.4778325123152691E-2</v>
      </c>
      <c r="BB337" s="207">
        <f t="shared" ref="BB337" si="1076">BB335/AW335-1</f>
        <v>5.12820512820511E-3</v>
      </c>
      <c r="BC337" s="207">
        <f t="shared" ref="BC337" si="1077">BC335/AX335-1</f>
        <v>4.5226130653266416E-2</v>
      </c>
      <c r="BD337" s="207">
        <f t="shared" ref="BD337" si="1078">BD335/AY335-1</f>
        <v>0.47368421052631571</v>
      </c>
      <c r="BE337" s="207">
        <f>BE335/AZ335-1</f>
        <v>0.12325285895806859</v>
      </c>
      <c r="BF337" s="207">
        <f t="shared" ref="BF337" si="1079">BF335/BA335-1</f>
        <v>-0.245</v>
      </c>
      <c r="BG337" s="207">
        <f t="shared" ref="BG337" si="1080">BG335/BB335-1</f>
        <v>-0.26020408163265307</v>
      </c>
      <c r="BH337" s="207">
        <f t="shared" ref="BH337" si="1081">BH335/BC335-1</f>
        <v>-0.37980769230769229</v>
      </c>
      <c r="BI337" s="207">
        <f t="shared" ref="BI337" si="1082">BI335/BD335-1</f>
        <v>-0.625</v>
      </c>
      <c r="BJ337" s="207">
        <f>BJ335/BE335-1</f>
        <v>-0.40045248868778283</v>
      </c>
      <c r="BK337" s="207">
        <f t="shared" ref="BK337" si="1083">BK335/BF335-1</f>
        <v>-0.27152317880794707</v>
      </c>
      <c r="BL337" s="207">
        <f t="shared" ref="BL337" si="1084">BL335/BG335-1</f>
        <v>-0.11724137931034484</v>
      </c>
      <c r="BM337" s="207">
        <f t="shared" ref="BM337" si="1085">BM335/BH335-1</f>
        <v>-0.1705426356589147</v>
      </c>
      <c r="BN337" s="207">
        <f t="shared" ref="BN337" si="1086">BN335/BI335-1</f>
        <v>0.21904761904761916</v>
      </c>
      <c r="BO337" s="207">
        <f>BO335/BJ335-1</f>
        <v>-0.10754716981132073</v>
      </c>
      <c r="BP337" s="207">
        <f t="shared" ref="BP337" si="1087">BP335/BK335-1</f>
        <v>7.2727272727272751E-2</v>
      </c>
      <c r="BQ337" s="207">
        <f t="shared" ref="BQ337" si="1088">BQ335/BL335-1</f>
        <v>-8.59375E-2</v>
      </c>
      <c r="BR337" s="207">
        <f t="shared" ref="BR337" si="1089">BR335/BM335-1</f>
        <v>0.16822429906542058</v>
      </c>
      <c r="BS337" s="207">
        <f t="shared" ref="BS337" si="1090">BS335/BN335-1</f>
        <v>-7.03125E-2</v>
      </c>
      <c r="BT337" s="207">
        <f>BT335/BO335-1</f>
        <v>1.2684989429175397E-2</v>
      </c>
      <c r="BU337" s="207">
        <f t="shared" ref="BU337" si="1091">BU335/BP335-1</f>
        <v>0.11864406779661008</v>
      </c>
      <c r="BV337" s="207">
        <f t="shared" ref="BV337" si="1092">BV335/BQ335-1</f>
        <v>0.14529914529914523</v>
      </c>
      <c r="BW337" s="207">
        <f t="shared" ref="BW337" si="1093">BW335/BR335-1</f>
        <v>3.2000000000000028E-2</v>
      </c>
      <c r="BX337" s="207">
        <f t="shared" ref="BX337" si="1094">BX335/BS335-1</f>
        <v>3.3613445378151363E-2</v>
      </c>
      <c r="BY337" s="207">
        <f>BY335/BT335-1</f>
        <v>8.1419624217119013E-2</v>
      </c>
      <c r="BZ337" s="207">
        <f t="shared" ref="BZ337:CC337" si="1095">BZ335/BU335-1</f>
        <v>4.5454545454545414E-2</v>
      </c>
      <c r="CA337" s="207">
        <f t="shared" si="1095"/>
        <v>7.4626865671641784E-2</v>
      </c>
      <c r="CB337" s="207">
        <f t="shared" si="1095"/>
        <v>7.7519379844961156E-2</v>
      </c>
      <c r="CC337" s="207">
        <f t="shared" si="1095"/>
        <v>0.10569105691056913</v>
      </c>
      <c r="CD337" s="207">
        <f>CD335/BY335-1</f>
        <v>2.733976833976834</v>
      </c>
      <c r="CE337" s="207">
        <f t="shared" ref="CE337" si="1096">CE335/CD335-1</f>
        <v>4.4089290171825501E-2</v>
      </c>
      <c r="CF337" s="207">
        <f t="shared" ref="CF337" si="1097">CF335/CE335-1</f>
        <v>2.5903624877396725E-2</v>
      </c>
      <c r="CG337" s="207">
        <f t="shared" ref="CG337" si="1098">CG335/CF335-1</f>
        <v>2.8019731415444671E-2</v>
      </c>
      <c r="CH337" s="207">
        <f t="shared" ref="CH337" si="1099">CH335/CG335-1</f>
        <v>3.0235918833480868E-2</v>
      </c>
      <c r="CI337" s="207">
        <f t="shared" ref="CI337" si="1100">CI335/CH335-1</f>
        <v>3.2014729930445629E-2</v>
      </c>
      <c r="CJ337" s="207">
        <f t="shared" ref="CJ337" si="1101">CJ335/CI335-1</f>
        <v>3.0980300358093071E-2</v>
      </c>
      <c r="CK337" s="207">
        <f t="shared" ref="CK337" si="1102">CK335/CJ335-1</f>
        <v>3.0073817600475339E-2</v>
      </c>
      <c r="CL337" s="207">
        <f t="shared" ref="CL337" si="1103">CL335/CK335-1</f>
        <v>2.92803845145575E-2</v>
      </c>
      <c r="CM337" s="207">
        <f t="shared" ref="CM337" si="1104">CM335/CL335-1</f>
        <v>2.8587219019693855E-2</v>
      </c>
      <c r="CN337" s="195"/>
      <c r="CO337" s="195"/>
      <c r="CP337" s="195"/>
      <c r="CQ337" s="195"/>
      <c r="CR337" s="195"/>
      <c r="CS337" s="202"/>
      <c r="CT337" s="202"/>
    </row>
    <row r="338" spans="1:130">
      <c r="A338" s="276"/>
      <c r="B338" s="243"/>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07"/>
      <c r="AU338" s="207"/>
      <c r="AV338" s="207"/>
      <c r="AW338" s="207"/>
      <c r="AX338" s="207"/>
      <c r="AY338" s="207"/>
      <c r="AZ338" s="207"/>
      <c r="BA338" s="207"/>
      <c r="BB338" s="207"/>
      <c r="BC338" s="207"/>
      <c r="BD338" s="207"/>
      <c r="BE338" s="195"/>
      <c r="BF338" s="207"/>
      <c r="BG338" s="207"/>
      <c r="BH338" s="207"/>
      <c r="BI338" s="207"/>
      <c r="BJ338" s="195"/>
      <c r="BK338" s="207"/>
      <c r="BL338" s="207"/>
      <c r="BM338" s="207"/>
      <c r="BN338" s="207"/>
      <c r="BO338" s="195"/>
      <c r="BP338" s="207"/>
      <c r="BQ338" s="207"/>
      <c r="BR338" s="207"/>
      <c r="BS338" s="207"/>
      <c r="BT338" s="195"/>
      <c r="BU338" s="207"/>
      <c r="BV338" s="207"/>
      <c r="BW338" s="207"/>
      <c r="BX338" s="207"/>
      <c r="BY338" s="195"/>
      <c r="BZ338" s="207"/>
      <c r="CA338" s="207"/>
      <c r="CB338" s="207"/>
      <c r="CC338" s="207"/>
      <c r="CD338" s="195"/>
      <c r="CE338" s="195"/>
      <c r="CF338" s="195"/>
      <c r="CG338" s="195"/>
      <c r="CH338" s="195"/>
      <c r="CI338" s="195"/>
      <c r="CJ338" s="195"/>
      <c r="CK338" s="195"/>
      <c r="CL338" s="195"/>
      <c r="CM338" s="195"/>
      <c r="CN338" s="195"/>
      <c r="CO338" s="195"/>
      <c r="CP338" s="195"/>
      <c r="CQ338" s="195"/>
      <c r="CR338" s="195"/>
      <c r="CS338" s="202"/>
      <c r="CT338" s="202"/>
    </row>
    <row r="339" spans="1:130">
      <c r="A339" s="276"/>
      <c r="B339" s="243"/>
      <c r="C339" s="243"/>
      <c r="D339" s="243"/>
      <c r="E339" s="243"/>
      <c r="F339" s="243"/>
      <c r="G339" s="243"/>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07"/>
      <c r="AU339" s="207"/>
      <c r="AV339" s="207"/>
      <c r="AW339" s="207"/>
      <c r="AX339" s="207"/>
      <c r="AY339" s="207"/>
      <c r="AZ339" s="207"/>
      <c r="BA339" s="207"/>
      <c r="BB339" s="207"/>
      <c r="BC339" s="207"/>
      <c r="BD339" s="207"/>
      <c r="BE339" s="195"/>
      <c r="BF339" s="207"/>
      <c r="BG339" s="207"/>
      <c r="BH339" s="207"/>
      <c r="BI339" s="207"/>
      <c r="BJ339" s="195"/>
      <c r="BK339" s="207"/>
      <c r="BL339" s="207"/>
      <c r="BM339" s="207"/>
      <c r="BN339" s="207"/>
      <c r="BO339" s="195"/>
      <c r="BP339" s="207"/>
      <c r="BQ339" s="207"/>
      <c r="BR339" s="207"/>
      <c r="BS339" s="207"/>
      <c r="BT339" s="195"/>
      <c r="BU339" s="207"/>
      <c r="BV339" s="207"/>
      <c r="BW339" s="207"/>
      <c r="BX339" s="207"/>
      <c r="BY339" s="195"/>
      <c r="BZ339" s="207"/>
      <c r="CA339" s="207"/>
      <c r="CB339" s="207"/>
      <c r="CC339" s="207"/>
      <c r="CD339" s="195"/>
      <c r="CE339" s="195"/>
      <c r="CF339" s="195"/>
      <c r="CG339" s="195"/>
      <c r="CH339" s="195"/>
      <c r="CI339" s="195"/>
      <c r="CJ339" s="195"/>
      <c r="CK339" s="195"/>
      <c r="CL339" s="195"/>
      <c r="CM339" s="195"/>
      <c r="CN339" s="195"/>
      <c r="CO339" s="195"/>
      <c r="CP339" s="195"/>
      <c r="CQ339" s="195"/>
      <c r="CR339" s="195"/>
      <c r="CS339" s="202"/>
      <c r="CT339" s="202"/>
    </row>
    <row r="340" spans="1:130">
      <c r="A340" s="286" t="s">
        <v>66</v>
      </c>
      <c r="B340" s="385"/>
      <c r="C340" s="385"/>
      <c r="D340" s="385"/>
      <c r="E340" s="385"/>
      <c r="F340" s="385"/>
      <c r="G340" s="385"/>
      <c r="H340" s="385"/>
      <c r="I340" s="385"/>
      <c r="J340" s="385"/>
      <c r="K340" s="385"/>
      <c r="L340" s="385"/>
      <c r="M340" s="385"/>
      <c r="N340" s="385"/>
      <c r="O340" s="385"/>
      <c r="P340" s="385"/>
      <c r="Q340" s="385"/>
      <c r="R340" s="385"/>
      <c r="S340" s="385"/>
      <c r="T340" s="385"/>
      <c r="U340" s="385"/>
      <c r="V340" s="385"/>
      <c r="W340" s="385">
        <f>W$419*W341</f>
        <v>117.425</v>
      </c>
      <c r="X340" s="385">
        <f>X$419*X341</f>
        <v>117.819</v>
      </c>
      <c r="Y340" s="385">
        <f>Y$419*Y341</f>
        <v>126.312</v>
      </c>
      <c r="Z340" s="385">
        <f>Z$419*Z341</f>
        <v>129.136</v>
      </c>
      <c r="AA340" s="385">
        <f>SUM(W340:Z340)</f>
        <v>490.69200000000001</v>
      </c>
      <c r="AB340" s="385">
        <f>AB$419*AB341</f>
        <v>134.96600000000001</v>
      </c>
      <c r="AC340" s="385">
        <f>AC$419*AC341</f>
        <v>110.16</v>
      </c>
      <c r="AD340" s="385">
        <f>AD$419*AD341</f>
        <v>116.428</v>
      </c>
      <c r="AE340" s="385">
        <f>AE$419*AE341</f>
        <v>113.42399999999999</v>
      </c>
      <c r="AF340" s="385">
        <f>SUM(AB340:AE340)</f>
        <v>474.97799999999995</v>
      </c>
      <c r="AG340" s="390">
        <v>117</v>
      </c>
      <c r="AH340" s="390">
        <v>115</v>
      </c>
      <c r="AI340" s="390">
        <v>66</v>
      </c>
      <c r="AJ340" s="390">
        <v>116</v>
      </c>
      <c r="AK340" s="390">
        <v>414</v>
      </c>
      <c r="AL340" s="390">
        <v>124</v>
      </c>
      <c r="AM340" s="390">
        <v>115</v>
      </c>
      <c r="AN340" s="390">
        <v>124</v>
      </c>
      <c r="AO340" s="390">
        <v>117</v>
      </c>
      <c r="AP340" s="390">
        <v>480</v>
      </c>
      <c r="AQ340" s="390">
        <v>124</v>
      </c>
      <c r="AR340" s="390">
        <v>135</v>
      </c>
      <c r="AS340" s="390">
        <v>136</v>
      </c>
      <c r="AT340" s="390">
        <v>132</v>
      </c>
      <c r="AU340" s="390">
        <f>SUM(AQ340:AT340)</f>
        <v>527</v>
      </c>
      <c r="AV340" s="390">
        <v>143</v>
      </c>
      <c r="AW340" s="390">
        <f>'[2]Profit and Loss Highlights'!X$44</f>
        <v>137</v>
      </c>
      <c r="AX340" s="390">
        <f>'[2]Profit and Loss Highlights'!Y$44</f>
        <v>150</v>
      </c>
      <c r="AY340" s="390">
        <f>'[2]Profit and Loss Highlights'!Z$44</f>
        <v>146</v>
      </c>
      <c r="AZ340" s="390">
        <f>SUM(AV340:AY340)</f>
        <v>576</v>
      </c>
      <c r="BA340" s="390">
        <f>'[2]Profit and Loss Highlights'!AA$44</f>
        <v>140</v>
      </c>
      <c r="BB340" s="390">
        <f>'[2]Profit and Loss Highlights'!AB$44</f>
        <v>144</v>
      </c>
      <c r="BC340" s="390">
        <f>'[2]Profit and Loss Highlights'!AC$44</f>
        <v>148</v>
      </c>
      <c r="BD340" s="390">
        <f>'[2]Profit and Loss Highlights'!AD$44</f>
        <v>174</v>
      </c>
      <c r="BE340" s="195">
        <f>SUM(BA340:BD340)</f>
        <v>606</v>
      </c>
      <c r="BF340" s="390">
        <f>'[2]Profit and Loss Highlights'!AE$44</f>
        <v>152</v>
      </c>
      <c r="BG340" s="390">
        <f>'[2]Profit and Loss Highlights'!AF$44</f>
        <v>166</v>
      </c>
      <c r="BH340" s="390">
        <f>'[2]Profit and Loss Highlights'!AG$44</f>
        <v>153</v>
      </c>
      <c r="BI340" s="390">
        <f>'[2]Profit and Loss Highlights'!AH$44</f>
        <v>180</v>
      </c>
      <c r="BJ340" s="195">
        <f>SUM(BF340:BI340)</f>
        <v>651</v>
      </c>
      <c r="BK340" s="390">
        <f>'[2]Profit and Loss Highlights'!AI$44</f>
        <v>158</v>
      </c>
      <c r="BL340" s="390">
        <f>'[2]Profit and Loss Highlights'!AJ$44</f>
        <v>178</v>
      </c>
      <c r="BM340" s="390">
        <f>'[2]Profit and Loss Highlights'!AK$44</f>
        <v>171</v>
      </c>
      <c r="BN340" s="390">
        <f>'[2]Profit and Loss Highlights'!AL$44</f>
        <v>163</v>
      </c>
      <c r="BO340" s="195">
        <f>SUM(BK340:BN340)</f>
        <v>670</v>
      </c>
      <c r="BP340" s="390">
        <f>'[2]Profit and Loss Highlights'!AM$44</f>
        <v>183</v>
      </c>
      <c r="BQ340" s="390">
        <f>'[2]Profit and Loss Highlights'!AN$44</f>
        <v>178</v>
      </c>
      <c r="BR340" s="390">
        <f>'[2]Profit and Loss Highlights'!AO$44</f>
        <v>183</v>
      </c>
      <c r="BS340" s="390">
        <f>'[2]Profit and Loss Highlights'!AP$44</f>
        <v>191</v>
      </c>
      <c r="BT340" s="195">
        <f>SUM(BP340:BS340)</f>
        <v>735</v>
      </c>
      <c r="BU340" s="394">
        <f>'[2]Profit and Loss Highlights'!AQ$44</f>
        <v>210</v>
      </c>
      <c r="BV340" s="394">
        <f>'[2]Profit and Loss Highlights'!AR$44</f>
        <v>194</v>
      </c>
      <c r="BW340" s="394">
        <f>'[2]Profit and Loss Highlights'!AS$44</f>
        <v>193</v>
      </c>
      <c r="BX340" s="394">
        <f>'[2]Profit and Loss Highlights'!AT$44</f>
        <v>216</v>
      </c>
      <c r="BY340" s="195">
        <f>SUM(BU340:BX340)</f>
        <v>813</v>
      </c>
      <c r="BZ340" s="394">
        <f>'[2]Profit and Loss Highlights'!AU$44</f>
        <v>200</v>
      </c>
      <c r="CA340" s="394">
        <f>'[2]Profit and Loss Highlights'!AV$44</f>
        <v>202</v>
      </c>
      <c r="CB340" s="394">
        <f>'[2]Profit and Loss Highlights'!AW$44</f>
        <v>277</v>
      </c>
      <c r="CC340" s="394">
        <f>'[2]Profit and Loss Highlights'!AX$44</f>
        <v>201</v>
      </c>
      <c r="CD340" s="195">
        <f>SUM(BZ340:CC340)</f>
        <v>880</v>
      </c>
      <c r="CE340" s="385">
        <f>CE341*CE29</f>
        <v>918.79857535120652</v>
      </c>
      <c r="CF340" s="385">
        <f t="shared" ref="CF340:CM340" si="1105">CF341*CF29</f>
        <v>931.69463481241439</v>
      </c>
      <c r="CG340" s="385">
        <f t="shared" si="1105"/>
        <v>946.59078259726436</v>
      </c>
      <c r="CH340" s="385">
        <f t="shared" si="1105"/>
        <v>963.66320387931694</v>
      </c>
      <c r="CI340" s="385">
        <f t="shared" si="1105"/>
        <v>982.59627433071023</v>
      </c>
      <c r="CJ340" s="385">
        <f t="shared" si="1105"/>
        <v>1000.7498213129653</v>
      </c>
      <c r="CK340" s="385">
        <f t="shared" si="1105"/>
        <v>1018.1890737140435</v>
      </c>
      <c r="CL340" s="385">
        <f t="shared" si="1105"/>
        <v>1034.9743209125427</v>
      </c>
      <c r="CM340" s="385">
        <f t="shared" si="1105"/>
        <v>1051.1612118197897</v>
      </c>
      <c r="CN340" s="202"/>
      <c r="CO340" s="202"/>
      <c r="CP340" s="202"/>
      <c r="CQ340" s="202"/>
      <c r="CR340" s="202"/>
      <c r="CS340" s="195"/>
      <c r="CT340" s="195"/>
    </row>
    <row r="341" spans="1:130">
      <c r="A341" s="276" t="s">
        <v>64</v>
      </c>
      <c r="B341" s="243"/>
      <c r="C341" s="243"/>
      <c r="D341" s="243"/>
      <c r="E341" s="243"/>
      <c r="F341" s="243"/>
      <c r="G341" s="243"/>
      <c r="H341" s="243"/>
      <c r="I341" s="243"/>
      <c r="J341" s="243"/>
      <c r="K341" s="243"/>
      <c r="L341" s="243"/>
      <c r="M341" s="243"/>
      <c r="N341" s="243"/>
      <c r="O341" s="243"/>
      <c r="P341" s="243"/>
      <c r="Q341" s="243"/>
      <c r="R341" s="243"/>
      <c r="S341" s="243"/>
      <c r="T341" s="243"/>
      <c r="U341" s="243"/>
      <c r="V341" s="243"/>
      <c r="W341" s="375">
        <v>5.5E-2</v>
      </c>
      <c r="X341" s="375">
        <v>5.2999999999999999E-2</v>
      </c>
      <c r="Y341" s="375">
        <v>5.7000000000000002E-2</v>
      </c>
      <c r="Z341" s="375">
        <v>5.6000000000000001E-2</v>
      </c>
      <c r="AA341" s="243"/>
      <c r="AB341" s="375">
        <v>5.8000000000000003E-2</v>
      </c>
      <c r="AC341" s="375">
        <v>4.8000000000000001E-2</v>
      </c>
      <c r="AD341" s="375">
        <v>5.1999999999999998E-2</v>
      </c>
      <c r="AE341" s="375">
        <v>5.0999999999999997E-2</v>
      </c>
      <c r="AF341" s="243">
        <f t="shared" ref="AF341:BZ341" si="1106">AF340/AF29</f>
        <v>5.2609484855076862E-2</v>
      </c>
      <c r="AG341" s="243">
        <f t="shared" si="1106"/>
        <v>5.5214723926380369E-2</v>
      </c>
      <c r="AH341" s="243">
        <f t="shared" si="1106"/>
        <v>5.5235350624399618E-2</v>
      </c>
      <c r="AI341" s="243">
        <f t="shared" si="1106"/>
        <v>3.1961259079903145E-2</v>
      </c>
      <c r="AJ341" s="243">
        <f t="shared" si="1106"/>
        <v>5.4639660857277436E-2</v>
      </c>
      <c r="AK341" s="243">
        <f t="shared" si="1106"/>
        <v>4.926225606853879E-2</v>
      </c>
      <c r="AL341" s="243">
        <f t="shared" si="1106"/>
        <v>5.7701256398324803E-2</v>
      </c>
      <c r="AM341" s="243">
        <f t="shared" si="1106"/>
        <v>5.4502369668246446E-2</v>
      </c>
      <c r="AN341" s="243">
        <f t="shared" si="1106"/>
        <v>5.7248384118190214E-2</v>
      </c>
      <c r="AO341" s="243">
        <f t="shared" si="1106"/>
        <v>5.376838235294118E-2</v>
      </c>
      <c r="AP341" s="243">
        <f t="shared" si="1106"/>
        <v>5.5807464248343215E-2</v>
      </c>
      <c r="AQ341" s="243">
        <f t="shared" si="1106"/>
        <v>5.7943925233644861E-2</v>
      </c>
      <c r="AR341" s="243">
        <f t="shared" si="1106"/>
        <v>6.4224548049476693E-2</v>
      </c>
      <c r="AS341" s="243">
        <f t="shared" si="1106"/>
        <v>6.3079777365491654E-2</v>
      </c>
      <c r="AT341" s="243">
        <f t="shared" si="1106"/>
        <v>5.9620596205962058E-2</v>
      </c>
      <c r="AU341" s="243">
        <f t="shared" si="1106"/>
        <v>6.1193683232698561E-2</v>
      </c>
      <c r="AV341" s="243">
        <f t="shared" si="1106"/>
        <v>6.0210526315789471E-2</v>
      </c>
      <c r="AW341" s="243">
        <f t="shared" si="1106"/>
        <v>5.8672376873661669E-2</v>
      </c>
      <c r="AX341" s="243">
        <f t="shared" si="1106"/>
        <v>6.4294899271324479E-2</v>
      </c>
      <c r="AY341" s="243">
        <f t="shared" si="1106"/>
        <v>6.1447811447811446E-2</v>
      </c>
      <c r="AZ341" s="243">
        <f t="shared" si="1106"/>
        <v>6.1152988639983016E-2</v>
      </c>
      <c r="BA341" s="243">
        <f t="shared" si="1106"/>
        <v>6.258381761287439E-2</v>
      </c>
      <c r="BB341" s="243">
        <f t="shared" si="1106"/>
        <v>6.4113980409617091E-2</v>
      </c>
      <c r="BC341" s="243">
        <f t="shared" si="1106"/>
        <v>6.5371024734982339E-2</v>
      </c>
      <c r="BD341" s="243">
        <f t="shared" si="1106"/>
        <v>7.1165644171779147E-2</v>
      </c>
      <c r="BE341" s="243">
        <f t="shared" si="1106"/>
        <v>6.5926892950391641E-2</v>
      </c>
      <c r="BF341" s="243">
        <f t="shared" si="1106"/>
        <v>6.8100358422939072E-2</v>
      </c>
      <c r="BG341" s="243">
        <f t="shared" si="1106"/>
        <v>7.5249320036264736E-2</v>
      </c>
      <c r="BH341" s="243">
        <f t="shared" si="1106"/>
        <v>6.695842450765864E-2</v>
      </c>
      <c r="BI341" s="243">
        <f t="shared" si="1106"/>
        <v>6.9498069498069498E-2</v>
      </c>
      <c r="BJ341" s="243">
        <f t="shared" si="1106"/>
        <v>6.990228712552346E-2</v>
      </c>
      <c r="BK341" s="243">
        <f t="shared" si="1106"/>
        <v>6.749252456215292E-2</v>
      </c>
      <c r="BL341" s="243">
        <f t="shared" si="1106"/>
        <v>8.2752208275220826E-2</v>
      </c>
      <c r="BM341" s="243">
        <f t="shared" si="1106"/>
        <v>7.7270673294170811E-2</v>
      </c>
      <c r="BN341" s="243">
        <f t="shared" si="1106"/>
        <v>7.2091994692613889E-2</v>
      </c>
      <c r="BO341" s="243">
        <f t="shared" si="1106"/>
        <v>7.4726745482935536E-2</v>
      </c>
      <c r="BP341" s="243">
        <f t="shared" si="1106"/>
        <v>8.1696428571428573E-2</v>
      </c>
      <c r="BQ341" s="243">
        <f t="shared" si="1106"/>
        <v>7.8276165347405446E-2</v>
      </c>
      <c r="BR341" s="243">
        <f t="shared" si="1106"/>
        <v>8.0581241743725232E-2</v>
      </c>
      <c r="BS341" s="243">
        <f t="shared" si="1106"/>
        <v>7.7768729641693818E-2</v>
      </c>
      <c r="BT341" s="243">
        <f t="shared" si="1106"/>
        <v>7.9536846661616714E-2</v>
      </c>
      <c r="BU341" s="222">
        <f t="shared" si="1106"/>
        <v>8.7281795511221949E-2</v>
      </c>
      <c r="BV341" s="222">
        <f t="shared" si="1106"/>
        <v>8.003300330033003E-2</v>
      </c>
      <c r="BW341" s="222">
        <f t="shared" si="1106"/>
        <v>8.0249480249480254E-2</v>
      </c>
      <c r="BX341" s="222">
        <f t="shared" si="1106"/>
        <v>8.4573218480814408E-2</v>
      </c>
      <c r="BY341" s="243">
        <f t="shared" si="1106"/>
        <v>8.3052405761569109E-2</v>
      </c>
      <c r="BZ341" s="222">
        <f t="shared" si="1106"/>
        <v>7.9176563737133804E-2</v>
      </c>
      <c r="CA341" s="222">
        <f t="shared" ref="CA341:CB341" si="1107">CA340/CA29</f>
        <v>8.1781376518218624E-2</v>
      </c>
      <c r="CB341" s="222">
        <f t="shared" si="1107"/>
        <v>0.11343161343161343</v>
      </c>
      <c r="CC341" s="222">
        <f t="shared" ref="CC341:CD341" si="1108">CC340/CC29</f>
        <v>7.3304157549234139E-2</v>
      </c>
      <c r="CD341" s="243">
        <f t="shared" si="1108"/>
        <v>8.6444007858546168E-2</v>
      </c>
      <c r="CE341" s="312">
        <f t="shared" ref="CE341" si="1109">CD341</f>
        <v>8.6444007858546168E-2</v>
      </c>
      <c r="CF341" s="312">
        <f>CE341-0.1%</f>
        <v>8.5444007858546167E-2</v>
      </c>
      <c r="CG341" s="312">
        <f t="shared" ref="CG341:CM341" si="1110">CF341-0.1%</f>
        <v>8.4444007858546166E-2</v>
      </c>
      <c r="CH341" s="312">
        <f t="shared" si="1110"/>
        <v>8.3444007858546165E-2</v>
      </c>
      <c r="CI341" s="312">
        <f t="shared" si="1110"/>
        <v>8.2444007858546164E-2</v>
      </c>
      <c r="CJ341" s="312">
        <f t="shared" si="1110"/>
        <v>8.1444007858546164E-2</v>
      </c>
      <c r="CK341" s="312">
        <f t="shared" si="1110"/>
        <v>8.0444007858546163E-2</v>
      </c>
      <c r="CL341" s="312">
        <f t="shared" si="1110"/>
        <v>7.9444007858546162E-2</v>
      </c>
      <c r="CM341" s="312">
        <f t="shared" si="1110"/>
        <v>7.8444007858546161E-2</v>
      </c>
      <c r="CN341" s="195"/>
      <c r="CO341" s="195"/>
      <c r="CP341" s="195"/>
      <c r="CQ341" s="195"/>
      <c r="CR341" s="195"/>
      <c r="CS341" s="195"/>
      <c r="CT341" s="195"/>
    </row>
    <row r="342" spans="1:130">
      <c r="A342" s="276" t="s">
        <v>65</v>
      </c>
      <c r="B342" s="243"/>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c r="AA342" s="243"/>
      <c r="AB342" s="207">
        <f t="shared" ref="AB342:CD342" si="1111">AB340/W340-1</f>
        <v>0.14938045560996382</v>
      </c>
      <c r="AC342" s="207">
        <f t="shared" si="1111"/>
        <v>-6.5006493010465238E-2</v>
      </c>
      <c r="AD342" s="207">
        <f t="shared" si="1111"/>
        <v>-7.8250680853758969E-2</v>
      </c>
      <c r="AE342" s="207">
        <f t="shared" si="1111"/>
        <v>-0.12167017717754924</v>
      </c>
      <c r="AF342" s="207">
        <f t="shared" si="1111"/>
        <v>-3.2024161795994321E-2</v>
      </c>
      <c r="AG342" s="207">
        <f t="shared" si="1111"/>
        <v>-0.13311500674243892</v>
      </c>
      <c r="AH342" s="207">
        <f t="shared" si="1111"/>
        <v>4.3936092955700889E-2</v>
      </c>
      <c r="AI342" s="207">
        <f t="shared" si="1111"/>
        <v>-0.43312605215240318</v>
      </c>
      <c r="AJ342" s="207">
        <f t="shared" si="1111"/>
        <v>2.2711242770489637E-2</v>
      </c>
      <c r="AK342" s="207">
        <f t="shared" si="1111"/>
        <v>-0.12838068289478666</v>
      </c>
      <c r="AL342" s="207">
        <f t="shared" si="1111"/>
        <v>5.9829059829059839E-2</v>
      </c>
      <c r="AM342" s="207">
        <f t="shared" si="1111"/>
        <v>0</v>
      </c>
      <c r="AN342" s="207">
        <f t="shared" si="1111"/>
        <v>0.8787878787878789</v>
      </c>
      <c r="AO342" s="207">
        <f t="shared" si="1111"/>
        <v>8.6206896551723755E-3</v>
      </c>
      <c r="AP342" s="207">
        <f t="shared" si="1111"/>
        <v>0.15942028985507251</v>
      </c>
      <c r="AQ342" s="207">
        <f t="shared" si="1111"/>
        <v>0</v>
      </c>
      <c r="AR342" s="207">
        <f t="shared" si="1111"/>
        <v>0.17391304347826098</v>
      </c>
      <c r="AS342" s="207">
        <f t="shared" si="1111"/>
        <v>9.6774193548387011E-2</v>
      </c>
      <c r="AT342" s="207">
        <f t="shared" si="1111"/>
        <v>0.12820512820512819</v>
      </c>
      <c r="AU342" s="207">
        <f t="shared" si="1111"/>
        <v>9.7916666666666652E-2</v>
      </c>
      <c r="AV342" s="207">
        <f t="shared" si="1111"/>
        <v>0.15322580645161299</v>
      </c>
      <c r="AW342" s="207">
        <f t="shared" si="1111"/>
        <v>1.4814814814814836E-2</v>
      </c>
      <c r="AX342" s="207">
        <f t="shared" si="1111"/>
        <v>0.10294117647058831</v>
      </c>
      <c r="AY342" s="207">
        <f t="shared" si="1111"/>
        <v>0.10606060606060597</v>
      </c>
      <c r="AZ342" s="207">
        <f t="shared" si="1111"/>
        <v>9.2979127134724893E-2</v>
      </c>
      <c r="BA342" s="207">
        <f t="shared" si="1111"/>
        <v>-2.0979020979020935E-2</v>
      </c>
      <c r="BB342" s="207">
        <f t="shared" si="1111"/>
        <v>5.1094890510948954E-2</v>
      </c>
      <c r="BC342" s="207">
        <f t="shared" si="1111"/>
        <v>-1.3333333333333308E-2</v>
      </c>
      <c r="BD342" s="207">
        <f t="shared" si="1111"/>
        <v>0.19178082191780832</v>
      </c>
      <c r="BE342" s="207">
        <f t="shared" si="1111"/>
        <v>5.2083333333333259E-2</v>
      </c>
      <c r="BF342" s="207">
        <f t="shared" si="1111"/>
        <v>8.5714285714285632E-2</v>
      </c>
      <c r="BG342" s="207">
        <f t="shared" si="1111"/>
        <v>0.15277777777777768</v>
      </c>
      <c r="BH342" s="207">
        <f t="shared" si="1111"/>
        <v>3.3783783783783772E-2</v>
      </c>
      <c r="BI342" s="207">
        <f t="shared" si="1111"/>
        <v>3.4482758620689724E-2</v>
      </c>
      <c r="BJ342" s="207">
        <f t="shared" si="1111"/>
        <v>7.4257425742574323E-2</v>
      </c>
      <c r="BK342" s="207">
        <f t="shared" si="1111"/>
        <v>3.9473684210526327E-2</v>
      </c>
      <c r="BL342" s="207">
        <f t="shared" si="1111"/>
        <v>7.2289156626506035E-2</v>
      </c>
      <c r="BM342" s="207">
        <f t="shared" si="1111"/>
        <v>0.11764705882352944</v>
      </c>
      <c r="BN342" s="207">
        <f t="shared" si="1111"/>
        <v>-9.4444444444444442E-2</v>
      </c>
      <c r="BO342" s="207">
        <f t="shared" si="1111"/>
        <v>2.9185867895545226E-2</v>
      </c>
      <c r="BP342" s="207">
        <f t="shared" si="1111"/>
        <v>0.15822784810126578</v>
      </c>
      <c r="BQ342" s="207">
        <f t="shared" si="1111"/>
        <v>0</v>
      </c>
      <c r="BR342" s="207">
        <f t="shared" si="1111"/>
        <v>7.0175438596491224E-2</v>
      </c>
      <c r="BS342" s="207">
        <f t="shared" si="1111"/>
        <v>0.17177914110429437</v>
      </c>
      <c r="BT342" s="207">
        <f t="shared" si="1111"/>
        <v>9.7014925373134275E-2</v>
      </c>
      <c r="BU342" s="207">
        <f t="shared" si="1111"/>
        <v>0.14754098360655732</v>
      </c>
      <c r="BV342" s="207">
        <f t="shared" si="1111"/>
        <v>8.98876404494382E-2</v>
      </c>
      <c r="BW342" s="207">
        <f t="shared" si="1111"/>
        <v>5.464480874316946E-2</v>
      </c>
      <c r="BX342" s="207">
        <f t="shared" si="1111"/>
        <v>0.13089005235602102</v>
      </c>
      <c r="BY342" s="207">
        <f t="shared" si="1111"/>
        <v>0.10612244897959178</v>
      </c>
      <c r="BZ342" s="207">
        <f t="shared" si="1111"/>
        <v>-4.7619047619047672E-2</v>
      </c>
      <c r="CA342" s="207">
        <f t="shared" si="1111"/>
        <v>4.1237113402061931E-2</v>
      </c>
      <c r="CB342" s="207">
        <f t="shared" si="1111"/>
        <v>0.43523316062176165</v>
      </c>
      <c r="CC342" s="207">
        <f t="shared" si="1111"/>
        <v>-6.944444444444442E-2</v>
      </c>
      <c r="CD342" s="207">
        <f t="shared" si="1111"/>
        <v>8.2410824108241076E-2</v>
      </c>
      <c r="CE342" s="207">
        <f t="shared" ref="CE342:CI342" si="1112">CE340/CD340-1</f>
        <v>4.4089290171825501E-2</v>
      </c>
      <c r="CF342" s="207">
        <f t="shared" si="1112"/>
        <v>1.4035785216883312E-2</v>
      </c>
      <c r="CG342" s="207">
        <f t="shared" si="1112"/>
        <v>1.5988229649781305E-2</v>
      </c>
      <c r="CH342" s="207">
        <f t="shared" si="1112"/>
        <v>1.8035693560430666E-2</v>
      </c>
      <c r="CI342" s="207">
        <f t="shared" si="1112"/>
        <v>1.9646978711209906E-2</v>
      </c>
      <c r="CJ342" s="207">
        <f t="shared" ref="CJ342" si="1113">CJ340/CI340-1</f>
        <v>1.8475082245370977E-2</v>
      </c>
      <c r="CK342" s="207">
        <f t="shared" ref="CK342" si="1114">CK340/CJ340-1</f>
        <v>1.7426185875505151E-2</v>
      </c>
      <c r="CL342" s="207">
        <f t="shared" ref="CL342:CM342" si="1115">CL340/CK340-1</f>
        <v>1.6485393166979945E-2</v>
      </c>
      <c r="CM342" s="207">
        <f t="shared" si="1115"/>
        <v>1.563989615991157E-2</v>
      </c>
      <c r="CN342" s="195"/>
      <c r="CO342" s="195"/>
      <c r="CP342" s="195"/>
      <c r="CQ342" s="195"/>
      <c r="CR342" s="195"/>
      <c r="CS342" s="195"/>
      <c r="CT342" s="195"/>
    </row>
    <row r="343" spans="1:130">
      <c r="A343" s="276"/>
      <c r="B343" s="243"/>
      <c r="C343" s="243"/>
      <c r="D343" s="243"/>
      <c r="E343" s="243"/>
      <c r="F343" s="243"/>
      <c r="G343" s="243"/>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202"/>
      <c r="CT343" s="202"/>
    </row>
    <row r="344" spans="1:130">
      <c r="A344" s="342" t="s">
        <v>262</v>
      </c>
      <c r="B344" s="385"/>
      <c r="C344" s="385"/>
      <c r="D344" s="385"/>
      <c r="E344" s="385"/>
      <c r="F344" s="385"/>
      <c r="G344" s="385"/>
      <c r="H344" s="385"/>
      <c r="I344" s="385"/>
      <c r="J344" s="385"/>
      <c r="K344" s="385"/>
      <c r="L344" s="385"/>
      <c r="M344" s="385"/>
      <c r="N344" s="385"/>
      <c r="O344" s="385"/>
      <c r="P344" s="385"/>
      <c r="Q344" s="385"/>
      <c r="R344" s="385"/>
      <c r="S344" s="385"/>
      <c r="T344" s="385"/>
      <c r="U344" s="385"/>
      <c r="V344" s="385"/>
      <c r="W344" s="385"/>
      <c r="X344" s="385"/>
      <c r="Y344" s="385"/>
      <c r="Z344" s="385"/>
      <c r="AA344" s="385"/>
      <c r="AB344" s="385"/>
      <c r="AC344" s="385"/>
      <c r="AD344" s="385"/>
      <c r="AE344" s="385"/>
      <c r="AF344" s="385"/>
      <c r="AG344" s="385"/>
      <c r="AH344" s="385"/>
      <c r="AI344" s="385"/>
      <c r="AJ344" s="385"/>
      <c r="AK344" s="385"/>
      <c r="AL344" s="385"/>
      <c r="AM344" s="385"/>
      <c r="AN344" s="385"/>
      <c r="AO344" s="385"/>
      <c r="AP344" s="385"/>
      <c r="AQ344" s="390">
        <v>34</v>
      </c>
      <c r="AR344" s="390">
        <v>36</v>
      </c>
      <c r="AS344" s="390">
        <v>40</v>
      </c>
      <c r="AT344" s="390">
        <v>37</v>
      </c>
      <c r="AU344" s="390">
        <f>SUM(AQ344:AT344)</f>
        <v>147</v>
      </c>
      <c r="AV344" s="390">
        <v>41</v>
      </c>
      <c r="AW344" s="390">
        <f>'[2]Profit and Loss Highlights'!X$47</f>
        <v>0</v>
      </c>
      <c r="AX344" s="390">
        <f>'[2]Profit and Loss Highlights'!Y$47</f>
        <v>0</v>
      </c>
      <c r="AY344" s="390">
        <f>'[2]Profit and Loss Highlights'!Z$47</f>
        <v>0</v>
      </c>
      <c r="AZ344" s="390">
        <f>SUM(AV344:AY344)</f>
        <v>41</v>
      </c>
      <c r="BA344" s="390">
        <f>'[2]Profit and Loss Highlights'!AA$47</f>
        <v>0</v>
      </c>
      <c r="BB344" s="390">
        <f>'[2]Profit and Loss Highlights'!AB$47</f>
        <v>0</v>
      </c>
      <c r="BC344" s="390">
        <f>'[2]Profit and Loss Highlights'!AC$47</f>
        <v>0</v>
      </c>
      <c r="BD344" s="390">
        <f>'[2]Profit and Loss Highlights'!AD$47</f>
        <v>0</v>
      </c>
      <c r="BE344" s="195">
        <f>SUM(BA344:BD344)</f>
        <v>0</v>
      </c>
      <c r="BF344" s="390">
        <f>'[2]Profit and Loss Highlights'!AE$47</f>
        <v>0</v>
      </c>
      <c r="BG344" s="390">
        <f>'[2]Profit and Loss Highlights'!AF$47</f>
        <v>0</v>
      </c>
      <c r="BH344" s="390">
        <f>'[2]Profit and Loss Highlights'!AG$47</f>
        <v>0</v>
      </c>
      <c r="BI344" s="390">
        <f>'[2]Profit and Loss Highlights'!AH$47</f>
        <v>0</v>
      </c>
      <c r="BJ344" s="195">
        <f>SUM(BF344:BI344)</f>
        <v>0</v>
      </c>
      <c r="BK344" s="390">
        <f>'[2]Profit and Loss Highlights'!AI$47</f>
        <v>0</v>
      </c>
      <c r="BL344" s="390">
        <f>'[2]Profit and Loss Highlights'!AJ$47</f>
        <v>0</v>
      </c>
      <c r="BM344" s="390">
        <f>'[2]Profit and Loss Highlights'!AK$47</f>
        <v>0</v>
      </c>
      <c r="BN344" s="390">
        <f>'[2]Profit and Loss Highlights'!AL$47</f>
        <v>0</v>
      </c>
      <c r="BO344" s="195">
        <f>SUM(BK344:BN344)</f>
        <v>0</v>
      </c>
      <c r="BP344" s="390">
        <f>'[2]Profit and Loss Highlights'!AM$47</f>
        <v>0</v>
      </c>
      <c r="BQ344" s="390">
        <f>'[2]Profit and Loss Highlights'!AN$47</f>
        <v>0</v>
      </c>
      <c r="BR344" s="390">
        <f>'[2]Profit and Loss Highlights'!AO$47</f>
        <v>0</v>
      </c>
      <c r="BS344" s="390">
        <f>'[2]Profit and Loss Highlights'!AP$47</f>
        <v>0</v>
      </c>
      <c r="BT344" s="195">
        <f>SUM(BP344:BS344)</f>
        <v>0</v>
      </c>
      <c r="BU344" s="394">
        <f>'[2]Profit and Loss Highlights'!AQ$47</f>
        <v>34</v>
      </c>
      <c r="BV344" s="394">
        <f>'[2]Profit and Loss Highlights'!AR$47</f>
        <v>26</v>
      </c>
      <c r="BW344" s="394">
        <f>'[2]Profit and Loss Highlights'!AS$47</f>
        <v>25</v>
      </c>
      <c r="BX344" s="394">
        <f>'[2]Profit and Loss Highlights'!AT$47</f>
        <v>22</v>
      </c>
      <c r="BY344" s="195">
        <f>SUM(BU344:BX344)</f>
        <v>107</v>
      </c>
      <c r="BZ344" s="394">
        <f>'[2]Profit and Loss Highlights'!AU$47</f>
        <v>34</v>
      </c>
      <c r="CA344" s="394">
        <f>'[2]Profit and Loss Highlights'!AV$47</f>
        <v>37</v>
      </c>
      <c r="CB344" s="394">
        <f>'[2]Profit and Loss Highlights'!AW$47</f>
        <v>32</v>
      </c>
      <c r="CC344" s="394">
        <f>'[2]Profit and Loss Highlights'!AX$47</f>
        <v>26</v>
      </c>
      <c r="CD344" s="385">
        <f t="shared" ref="CD344" si="1116">CD345*CD30</f>
        <v>111.27387884359996</v>
      </c>
      <c r="CE344" s="385">
        <f>CE345*CE29</f>
        <v>116.17986517648001</v>
      </c>
      <c r="CF344" s="385">
        <f t="shared" ref="CF344:CM344" si="1117">CF345*CF29</f>
        <v>119.18934482231808</v>
      </c>
      <c r="CG344" s="385">
        <f t="shared" si="1117"/>
        <v>122.52899825182223</v>
      </c>
      <c r="CH344" s="385">
        <f t="shared" si="1117"/>
        <v>126.23377509771205</v>
      </c>
      <c r="CI344" s="385">
        <f t="shared" si="1117"/>
        <v>130.27511531556593</v>
      </c>
      <c r="CJ344" s="385">
        <f t="shared" si="1117"/>
        <v>134.31107751722737</v>
      </c>
      <c r="CK344" s="385">
        <f t="shared" si="1117"/>
        <v>138.35032436420377</v>
      </c>
      <c r="CL344" s="385">
        <f t="shared" si="1117"/>
        <v>142.40127505930141</v>
      </c>
      <c r="CM344" s="385">
        <f t="shared" si="1117"/>
        <v>146.47213149810534</v>
      </c>
      <c r="CN344" s="202"/>
      <c r="CO344" s="202"/>
      <c r="CP344" s="202"/>
      <c r="CQ344" s="202"/>
      <c r="CR344" s="202"/>
      <c r="CS344" s="195"/>
      <c r="CT344" s="195"/>
    </row>
    <row r="345" spans="1:130">
      <c r="A345" s="341" t="s">
        <v>64</v>
      </c>
      <c r="B345" s="243"/>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f t="shared" ref="AQ345:BZ345" si="1118">AQ344/AQ29</f>
        <v>1.5887850467289719E-2</v>
      </c>
      <c r="AR345" s="243">
        <f t="shared" si="1118"/>
        <v>1.7126546146527116E-2</v>
      </c>
      <c r="AS345" s="243">
        <f t="shared" si="1118"/>
        <v>1.8552875695732839E-2</v>
      </c>
      <c r="AT345" s="243">
        <f t="shared" si="1118"/>
        <v>1.6711833785004515E-2</v>
      </c>
      <c r="AU345" s="243">
        <f t="shared" si="1118"/>
        <v>1.706920575940548E-2</v>
      </c>
      <c r="AV345" s="243">
        <f t="shared" si="1118"/>
        <v>1.7263157894736841E-2</v>
      </c>
      <c r="AW345" s="243">
        <f t="shared" si="1118"/>
        <v>0</v>
      </c>
      <c r="AX345" s="243">
        <f t="shared" si="1118"/>
        <v>0</v>
      </c>
      <c r="AY345" s="243">
        <f t="shared" si="1118"/>
        <v>0</v>
      </c>
      <c r="AZ345" s="243">
        <f t="shared" si="1118"/>
        <v>4.3529037052765689E-3</v>
      </c>
      <c r="BA345" s="243">
        <f t="shared" si="1118"/>
        <v>0</v>
      </c>
      <c r="BB345" s="243">
        <f t="shared" si="1118"/>
        <v>0</v>
      </c>
      <c r="BC345" s="243">
        <f t="shared" si="1118"/>
        <v>0</v>
      </c>
      <c r="BD345" s="243">
        <f t="shared" si="1118"/>
        <v>0</v>
      </c>
      <c r="BE345" s="243">
        <f t="shared" si="1118"/>
        <v>0</v>
      </c>
      <c r="BF345" s="243">
        <f t="shared" si="1118"/>
        <v>0</v>
      </c>
      <c r="BG345" s="243">
        <f t="shared" si="1118"/>
        <v>0</v>
      </c>
      <c r="BH345" s="243">
        <f t="shared" si="1118"/>
        <v>0</v>
      </c>
      <c r="BI345" s="243">
        <f t="shared" si="1118"/>
        <v>0</v>
      </c>
      <c r="BJ345" s="243">
        <f t="shared" si="1118"/>
        <v>0</v>
      </c>
      <c r="BK345" s="243">
        <f t="shared" si="1118"/>
        <v>0</v>
      </c>
      <c r="BL345" s="243">
        <f t="shared" si="1118"/>
        <v>0</v>
      </c>
      <c r="BM345" s="243">
        <f t="shared" si="1118"/>
        <v>0</v>
      </c>
      <c r="BN345" s="243">
        <f t="shared" si="1118"/>
        <v>0</v>
      </c>
      <c r="BO345" s="243">
        <f t="shared" si="1118"/>
        <v>0</v>
      </c>
      <c r="BP345" s="243">
        <f t="shared" si="1118"/>
        <v>0</v>
      </c>
      <c r="BQ345" s="243">
        <f t="shared" si="1118"/>
        <v>0</v>
      </c>
      <c r="BR345" s="243">
        <f t="shared" si="1118"/>
        <v>0</v>
      </c>
      <c r="BS345" s="243">
        <f t="shared" si="1118"/>
        <v>0</v>
      </c>
      <c r="BT345" s="243">
        <f t="shared" si="1118"/>
        <v>0</v>
      </c>
      <c r="BU345" s="222">
        <f t="shared" si="1118"/>
        <v>1.4131338320864505E-2</v>
      </c>
      <c r="BV345" s="222">
        <f t="shared" si="1118"/>
        <v>1.0726072607260726E-2</v>
      </c>
      <c r="BW345" s="222">
        <f t="shared" si="1118"/>
        <v>1.0395010395010396E-2</v>
      </c>
      <c r="BX345" s="222">
        <f t="shared" si="1118"/>
        <v>8.6139389193422081E-3</v>
      </c>
      <c r="BY345" s="243">
        <f t="shared" si="1118"/>
        <v>1.0930636428644397E-2</v>
      </c>
      <c r="BZ345" s="222">
        <f t="shared" si="1118"/>
        <v>1.3460015835312747E-2</v>
      </c>
      <c r="CA345" s="222">
        <f t="shared" ref="CA345:CB345" si="1119">CA344/CA29</f>
        <v>1.4979757085020242E-2</v>
      </c>
      <c r="CB345" s="222">
        <f t="shared" si="1119"/>
        <v>1.3104013104013105E-2</v>
      </c>
      <c r="CC345" s="222">
        <f t="shared" ref="CC345" si="1120">CC344/CC29</f>
        <v>9.4821298322392417E-3</v>
      </c>
      <c r="CD345" s="375">
        <f>BY345</f>
        <v>1.0930636428644397E-2</v>
      </c>
      <c r="CE345" s="375">
        <f t="shared" ref="CE345:CI345" si="1121">CD345</f>
        <v>1.0930636428644397E-2</v>
      </c>
      <c r="CF345" s="375">
        <f t="shared" si="1121"/>
        <v>1.0930636428644397E-2</v>
      </c>
      <c r="CG345" s="375">
        <f t="shared" si="1121"/>
        <v>1.0930636428644397E-2</v>
      </c>
      <c r="CH345" s="375">
        <f t="shared" si="1121"/>
        <v>1.0930636428644397E-2</v>
      </c>
      <c r="CI345" s="375">
        <f t="shared" si="1121"/>
        <v>1.0930636428644397E-2</v>
      </c>
      <c r="CJ345" s="375">
        <f t="shared" ref="CJ345" si="1122">CI345</f>
        <v>1.0930636428644397E-2</v>
      </c>
      <c r="CK345" s="375">
        <f t="shared" ref="CK345" si="1123">CJ345</f>
        <v>1.0930636428644397E-2</v>
      </c>
      <c r="CL345" s="375">
        <f t="shared" ref="CL345:CM345" si="1124">CK345</f>
        <v>1.0930636428644397E-2</v>
      </c>
      <c r="CM345" s="375">
        <f t="shared" si="1124"/>
        <v>1.0930636428644397E-2</v>
      </c>
      <c r="CN345" s="195"/>
      <c r="CO345" s="195"/>
      <c r="CP345" s="195"/>
      <c r="CQ345" s="195"/>
      <c r="CR345" s="195"/>
      <c r="CS345" s="195"/>
      <c r="CT345" s="195"/>
    </row>
    <row r="346" spans="1:130">
      <c r="A346" s="341" t="s">
        <v>65</v>
      </c>
      <c r="B346" s="243"/>
      <c r="C346" s="243"/>
      <c r="D346" s="243"/>
      <c r="E346" s="243"/>
      <c r="F346" s="243"/>
      <c r="G346" s="243"/>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t="e">
        <f t="shared" ref="AQ346:CC346" si="1125">AQ344/AL344-1</f>
        <v>#DIV/0!</v>
      </c>
      <c r="AR346" s="243" t="e">
        <f t="shared" si="1125"/>
        <v>#DIV/0!</v>
      </c>
      <c r="AS346" s="243" t="e">
        <f t="shared" si="1125"/>
        <v>#DIV/0!</v>
      </c>
      <c r="AT346" s="243" t="e">
        <f t="shared" si="1125"/>
        <v>#DIV/0!</v>
      </c>
      <c r="AU346" s="243" t="e">
        <f t="shared" si="1125"/>
        <v>#DIV/0!</v>
      </c>
      <c r="AV346" s="243">
        <f t="shared" si="1125"/>
        <v>0.20588235294117641</v>
      </c>
      <c r="AW346" s="243">
        <f t="shared" si="1125"/>
        <v>-1</v>
      </c>
      <c r="AX346" s="243">
        <f t="shared" si="1125"/>
        <v>-1</v>
      </c>
      <c r="AY346" s="243">
        <f t="shared" si="1125"/>
        <v>-1</v>
      </c>
      <c r="AZ346" s="243">
        <f t="shared" si="1125"/>
        <v>-0.72108843537414968</v>
      </c>
      <c r="BA346" s="243">
        <f t="shared" si="1125"/>
        <v>-1</v>
      </c>
      <c r="BB346" s="243" t="e">
        <f t="shared" si="1125"/>
        <v>#DIV/0!</v>
      </c>
      <c r="BC346" s="243" t="e">
        <f t="shared" si="1125"/>
        <v>#DIV/0!</v>
      </c>
      <c r="BD346" s="243" t="e">
        <f t="shared" si="1125"/>
        <v>#DIV/0!</v>
      </c>
      <c r="BE346" s="243">
        <f t="shared" si="1125"/>
        <v>-1</v>
      </c>
      <c r="BF346" s="243" t="e">
        <f t="shared" si="1125"/>
        <v>#DIV/0!</v>
      </c>
      <c r="BG346" s="243" t="e">
        <f t="shared" si="1125"/>
        <v>#DIV/0!</v>
      </c>
      <c r="BH346" s="243" t="e">
        <f t="shared" si="1125"/>
        <v>#DIV/0!</v>
      </c>
      <c r="BI346" s="243" t="e">
        <f t="shared" si="1125"/>
        <v>#DIV/0!</v>
      </c>
      <c r="BJ346" s="243" t="e">
        <f t="shared" si="1125"/>
        <v>#DIV/0!</v>
      </c>
      <c r="BK346" s="243" t="e">
        <f t="shared" si="1125"/>
        <v>#DIV/0!</v>
      </c>
      <c r="BL346" s="243" t="e">
        <f t="shared" si="1125"/>
        <v>#DIV/0!</v>
      </c>
      <c r="BM346" s="243" t="e">
        <f t="shared" si="1125"/>
        <v>#DIV/0!</v>
      </c>
      <c r="BN346" s="243" t="e">
        <f t="shared" si="1125"/>
        <v>#DIV/0!</v>
      </c>
      <c r="BO346" s="243" t="e">
        <f t="shared" si="1125"/>
        <v>#DIV/0!</v>
      </c>
      <c r="BP346" s="243" t="e">
        <f t="shared" si="1125"/>
        <v>#DIV/0!</v>
      </c>
      <c r="BQ346" s="243" t="e">
        <f t="shared" si="1125"/>
        <v>#DIV/0!</v>
      </c>
      <c r="BR346" s="243" t="e">
        <f t="shared" si="1125"/>
        <v>#DIV/0!</v>
      </c>
      <c r="BS346" s="243" t="e">
        <f t="shared" si="1125"/>
        <v>#DIV/0!</v>
      </c>
      <c r="BT346" s="243" t="e">
        <f t="shared" si="1125"/>
        <v>#DIV/0!</v>
      </c>
      <c r="BU346" s="222" t="e">
        <f t="shared" si="1125"/>
        <v>#DIV/0!</v>
      </c>
      <c r="BV346" s="222" t="e">
        <f t="shared" si="1125"/>
        <v>#DIV/0!</v>
      </c>
      <c r="BW346" s="222" t="e">
        <f t="shared" si="1125"/>
        <v>#DIV/0!</v>
      </c>
      <c r="BX346" s="222" t="e">
        <f t="shared" si="1125"/>
        <v>#DIV/0!</v>
      </c>
      <c r="BY346" s="243" t="e">
        <f t="shared" si="1125"/>
        <v>#DIV/0!</v>
      </c>
      <c r="BZ346" s="222">
        <f t="shared" si="1125"/>
        <v>0</v>
      </c>
      <c r="CA346" s="222">
        <f t="shared" si="1125"/>
        <v>0.42307692307692313</v>
      </c>
      <c r="CB346" s="222">
        <f t="shared" si="1125"/>
        <v>0.28000000000000003</v>
      </c>
      <c r="CC346" s="222">
        <f t="shared" si="1125"/>
        <v>0.18181818181818188</v>
      </c>
      <c r="CD346" s="243">
        <f>CD344/BY344-1</f>
        <v>3.9942792930840687E-2</v>
      </c>
      <c r="CE346" s="243">
        <f t="shared" ref="CE346:CI346" si="1126">CE344/CD344-1</f>
        <v>4.4089290171825724E-2</v>
      </c>
      <c r="CF346" s="243">
        <f t="shared" si="1126"/>
        <v>2.5903624877396725E-2</v>
      </c>
      <c r="CG346" s="243">
        <f t="shared" si="1126"/>
        <v>2.8019731415444449E-2</v>
      </c>
      <c r="CH346" s="243">
        <f t="shared" si="1126"/>
        <v>3.0235918833480868E-2</v>
      </c>
      <c r="CI346" s="243">
        <f t="shared" si="1126"/>
        <v>3.2014729930445629E-2</v>
      </c>
      <c r="CJ346" s="243">
        <f t="shared" ref="CJ346" si="1127">CJ344/CI344-1</f>
        <v>3.0980300358093071E-2</v>
      </c>
      <c r="CK346" s="243">
        <f t="shared" ref="CK346" si="1128">CK344/CJ344-1</f>
        <v>3.0073817600475339E-2</v>
      </c>
      <c r="CL346" s="243">
        <f t="shared" ref="CL346:CM346" si="1129">CL344/CK344-1</f>
        <v>2.92803845145575E-2</v>
      </c>
      <c r="CM346" s="243">
        <f t="shared" si="1129"/>
        <v>2.8587219019693855E-2</v>
      </c>
      <c r="CN346" s="195"/>
      <c r="CO346" s="195"/>
      <c r="CP346" s="195"/>
      <c r="CQ346" s="195"/>
      <c r="CR346" s="195"/>
      <c r="CS346" s="195"/>
      <c r="CT346" s="195"/>
    </row>
    <row r="347" spans="1:130">
      <c r="A347" s="276"/>
      <c r="B347" s="385"/>
      <c r="C347" s="385"/>
      <c r="D347" s="385"/>
      <c r="E347" s="385"/>
      <c r="F347" s="385"/>
      <c r="G347" s="385"/>
      <c r="H347" s="385"/>
      <c r="I347" s="385"/>
      <c r="J347" s="385"/>
      <c r="K347" s="385"/>
      <c r="L347" s="385"/>
      <c r="M347" s="385"/>
      <c r="N347" s="385"/>
      <c r="O347" s="385"/>
      <c r="P347" s="385"/>
      <c r="Q347" s="385"/>
      <c r="R347" s="385"/>
      <c r="S347" s="385"/>
      <c r="T347" s="385"/>
      <c r="U347" s="385"/>
      <c r="V347" s="385"/>
      <c r="W347" s="385"/>
      <c r="X347" s="385"/>
      <c r="Y347" s="385"/>
      <c r="Z347" s="385"/>
      <c r="AA347" s="385"/>
      <c r="AB347" s="385"/>
      <c r="AC347" s="385"/>
      <c r="AD347" s="385"/>
      <c r="AE347" s="385"/>
      <c r="AF347" s="385"/>
      <c r="AG347" s="385"/>
      <c r="AH347" s="385"/>
      <c r="AI347" s="385"/>
      <c r="AJ347" s="385"/>
      <c r="AK347" s="385"/>
      <c r="AL347" s="385"/>
      <c r="AM347" s="385"/>
      <c r="AN347" s="385"/>
      <c r="AO347" s="385"/>
      <c r="AP347" s="385"/>
      <c r="AQ347" s="385"/>
      <c r="AR347" s="385"/>
      <c r="AS347" s="385"/>
      <c r="AT347" s="38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202"/>
      <c r="CT347" s="202"/>
    </row>
    <row r="348" spans="1:130">
      <c r="A348" s="286" t="s">
        <v>67</v>
      </c>
      <c r="B348" s="385"/>
      <c r="C348" s="385"/>
      <c r="D348" s="385"/>
      <c r="E348" s="385"/>
      <c r="F348" s="385"/>
      <c r="G348" s="385"/>
      <c r="H348" s="385"/>
      <c r="I348" s="385"/>
      <c r="J348" s="385"/>
      <c r="K348" s="385"/>
      <c r="L348" s="385"/>
      <c r="M348" s="385"/>
      <c r="N348" s="385"/>
      <c r="O348" s="385"/>
      <c r="P348" s="385"/>
      <c r="Q348" s="385"/>
      <c r="R348" s="385"/>
      <c r="S348" s="385"/>
      <c r="T348" s="385"/>
      <c r="U348" s="385"/>
      <c r="V348" s="385"/>
      <c r="W348" s="385">
        <f>W$419*W349</f>
        <v>74.725000000000009</v>
      </c>
      <c r="X348" s="385">
        <f>X$419*X349</f>
        <v>106.70400000000001</v>
      </c>
      <c r="Y348" s="385">
        <f>Y$419*Y349</f>
        <v>95.287999999999997</v>
      </c>
      <c r="Z348" s="385">
        <f>Z$419*Z349</f>
        <v>117.60599999999999</v>
      </c>
      <c r="AA348" s="385">
        <f>SUM(W348:Z348)</f>
        <v>394.32300000000004</v>
      </c>
      <c r="AB348" s="385">
        <f>AB$419*AB349</f>
        <v>90.753</v>
      </c>
      <c r="AC348" s="385">
        <f>AC$419*AC349</f>
        <v>78.03</v>
      </c>
      <c r="AD348" s="385">
        <f>AD$419*AD349</f>
        <v>87.320999999999998</v>
      </c>
      <c r="AE348" s="385">
        <f>AE$419*AE349</f>
        <v>106.752</v>
      </c>
      <c r="AF348" s="385">
        <f>SUM(AB348:AE348)</f>
        <v>362.85600000000005</v>
      </c>
      <c r="AG348" s="390">
        <v>71</v>
      </c>
      <c r="AH348" s="390">
        <v>100</v>
      </c>
      <c r="AI348" s="390">
        <v>107</v>
      </c>
      <c r="AJ348" s="390">
        <v>122</v>
      </c>
      <c r="AK348" s="390">
        <v>400</v>
      </c>
      <c r="AL348" s="390">
        <v>103</v>
      </c>
      <c r="AM348" s="390">
        <v>110</v>
      </c>
      <c r="AN348" s="390">
        <v>94</v>
      </c>
      <c r="AO348" s="390">
        <v>98</v>
      </c>
      <c r="AP348" s="390">
        <v>405</v>
      </c>
      <c r="AQ348" s="390">
        <v>36</v>
      </c>
      <c r="AR348" s="390">
        <v>63</v>
      </c>
      <c r="AS348" s="390">
        <v>53</v>
      </c>
      <c r="AT348" s="390">
        <v>45</v>
      </c>
      <c r="AU348" s="390">
        <f>SUM(AQ348:AT348)</f>
        <v>197</v>
      </c>
      <c r="AV348" s="390">
        <v>39</v>
      </c>
      <c r="AW348" s="390">
        <f>'[2]Profit and Loss Highlights'!X$46</f>
        <v>43</v>
      </c>
      <c r="AX348" s="390">
        <f>'[2]Profit and Loss Highlights'!Y$46</f>
        <v>43</v>
      </c>
      <c r="AY348" s="390">
        <f>'[2]Profit and Loss Highlights'!Z$46</f>
        <v>35</v>
      </c>
      <c r="AZ348" s="390">
        <f>SUM(AV348:AY348)</f>
        <v>160</v>
      </c>
      <c r="BA348" s="390">
        <f>'[2]Profit and Loss Highlights'!AA$46</f>
        <v>39</v>
      </c>
      <c r="BB348" s="390">
        <f>'[2]Profit and Loss Highlights'!AB$46</f>
        <v>51</v>
      </c>
      <c r="BC348" s="390">
        <f>'[2]Profit and Loss Highlights'!AC$46</f>
        <v>59</v>
      </c>
      <c r="BD348" s="390">
        <f>'[2]Profit and Loss Highlights'!AD$46</f>
        <v>62</v>
      </c>
      <c r="BE348" s="195">
        <f>SUM(BA348:BD348)</f>
        <v>211</v>
      </c>
      <c r="BF348" s="390">
        <f>'[2]Profit and Loss Highlights'!AE$46</f>
        <v>42</v>
      </c>
      <c r="BG348" s="390">
        <f>'[2]Profit and Loss Highlights'!AF$46</f>
        <v>43</v>
      </c>
      <c r="BH348" s="390">
        <f>'[2]Profit and Loss Highlights'!AG$46</f>
        <v>42</v>
      </c>
      <c r="BI348" s="390">
        <f>'[2]Profit and Loss Highlights'!AH$46</f>
        <v>46</v>
      </c>
      <c r="BJ348" s="195">
        <f>SUM(BF348:BI348)</f>
        <v>173</v>
      </c>
      <c r="BK348" s="390">
        <f>'[2]Profit and Loss Highlights'!AI$46</f>
        <v>40</v>
      </c>
      <c r="BL348" s="390">
        <f>'[2]Profit and Loss Highlights'!AJ$46</f>
        <v>30</v>
      </c>
      <c r="BM348" s="390">
        <f>'[2]Profit and Loss Highlights'!AK$46</f>
        <v>46</v>
      </c>
      <c r="BN348" s="390">
        <f>'[2]Profit and Loss Highlights'!AL$46</f>
        <v>26</v>
      </c>
      <c r="BO348" s="195">
        <f>SUM(BK348:BN348)</f>
        <v>142</v>
      </c>
      <c r="BP348" s="390">
        <f>'[2]Profit and Loss Highlights'!AM$46</f>
        <v>41</v>
      </c>
      <c r="BQ348" s="390">
        <f>'[2]Profit and Loss Highlights'!AN$46</f>
        <v>42</v>
      </c>
      <c r="BR348" s="390">
        <f>'[2]Profit and Loss Highlights'!AO$46</f>
        <v>49</v>
      </c>
      <c r="BS348" s="390">
        <f>'[2]Profit and Loss Highlights'!AP$46</f>
        <v>48</v>
      </c>
      <c r="BT348" s="195">
        <f>SUM(BP348:BS348)</f>
        <v>180</v>
      </c>
      <c r="BU348" s="394">
        <f>'[2]Profit and Loss Highlights'!AQ$46</f>
        <v>39</v>
      </c>
      <c r="BV348" s="394">
        <f>'[2]Profit and Loss Highlights'!AR$46</f>
        <v>50</v>
      </c>
      <c r="BW348" s="394">
        <f>'[2]Profit and Loss Highlights'!AS$46</f>
        <v>48</v>
      </c>
      <c r="BX348" s="394">
        <f>'[2]Profit and Loss Highlights'!AT$46</f>
        <v>52</v>
      </c>
      <c r="BY348" s="195">
        <f>SUM(BU348:BX348)</f>
        <v>189</v>
      </c>
      <c r="BZ348" s="394">
        <f>'[2]Profit and Loss Highlights'!AU$46</f>
        <v>38</v>
      </c>
      <c r="CA348" s="394">
        <f>'[2]Profit and Loss Highlights'!AV$46</f>
        <v>43</v>
      </c>
      <c r="CB348" s="394">
        <f>'[2]Profit and Loss Highlights'!AW$46</f>
        <v>44</v>
      </c>
      <c r="CC348" s="394">
        <f>'[2]Profit and Loss Highlights'!AX$46</f>
        <v>38</v>
      </c>
      <c r="CD348" s="195">
        <f>SUM(BZ348:CC348)</f>
        <v>163</v>
      </c>
      <c r="CE348" s="385">
        <f>CE349*CE29</f>
        <v>170.18655429800759</v>
      </c>
      <c r="CF348" s="385">
        <f t="shared" ref="CF348:CM348" si="1130">CF349*CF29</f>
        <v>174.59500295971989</v>
      </c>
      <c r="CG348" s="385">
        <f t="shared" si="1130"/>
        <v>179.48710804913</v>
      </c>
      <c r="CH348" s="385">
        <f t="shared" si="1130"/>
        <v>184.91406567975969</v>
      </c>
      <c r="CI348" s="385">
        <f t="shared" si="1130"/>
        <v>190.83403955283788</v>
      </c>
      <c r="CJ348" s="385">
        <f t="shared" si="1130"/>
        <v>196.74613541673304</v>
      </c>
      <c r="CK348" s="385">
        <f t="shared" si="1130"/>
        <v>202.66304280685429</v>
      </c>
      <c r="CL348" s="385">
        <f t="shared" si="1130"/>
        <v>208.59709462712922</v>
      </c>
      <c r="CM348" s="385">
        <f t="shared" si="1130"/>
        <v>214.5603054581068</v>
      </c>
      <c r="CN348" s="202"/>
      <c r="CO348" s="202"/>
      <c r="CP348" s="202"/>
      <c r="CQ348" s="202"/>
      <c r="CR348" s="202"/>
      <c r="CS348" s="195"/>
      <c r="CT348" s="195"/>
    </row>
    <row r="349" spans="1:130">
      <c r="A349" s="276" t="s">
        <v>64</v>
      </c>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375">
        <v>3.5000000000000003E-2</v>
      </c>
      <c r="X349" s="375">
        <v>4.8000000000000001E-2</v>
      </c>
      <c r="Y349" s="375">
        <v>4.2999999999999997E-2</v>
      </c>
      <c r="Z349" s="375">
        <v>5.0999999999999997E-2</v>
      </c>
      <c r="AA349" s="243"/>
      <c r="AB349" s="375">
        <v>3.9E-2</v>
      </c>
      <c r="AC349" s="375">
        <v>3.4000000000000002E-2</v>
      </c>
      <c r="AD349" s="375">
        <v>3.9E-2</v>
      </c>
      <c r="AE349" s="375">
        <v>4.8000000000000001E-2</v>
      </c>
      <c r="AF349" s="243">
        <f t="shared" ref="AF349:BZ349" si="1131">AF348/AF29</f>
        <v>4.019063459059951E-2</v>
      </c>
      <c r="AG349" s="243">
        <f t="shared" si="1131"/>
        <v>3.350637092968381E-2</v>
      </c>
      <c r="AH349" s="243">
        <f t="shared" si="1131"/>
        <v>4.8030739673390971E-2</v>
      </c>
      <c r="AI349" s="243">
        <f t="shared" si="1131"/>
        <v>5.1815980629539952E-2</v>
      </c>
      <c r="AJ349" s="243">
        <f t="shared" si="1131"/>
        <v>5.7465850211964202E-2</v>
      </c>
      <c r="AK349" s="243">
        <f t="shared" si="1131"/>
        <v>4.7596382674916705E-2</v>
      </c>
      <c r="AL349" s="243">
        <f t="shared" si="1131"/>
        <v>4.7929269427640767E-2</v>
      </c>
      <c r="AM349" s="243">
        <f t="shared" si="1131"/>
        <v>5.2132701421800945E-2</v>
      </c>
      <c r="AN349" s="243">
        <f t="shared" si="1131"/>
        <v>4.339796860572484E-2</v>
      </c>
      <c r="AO349" s="243">
        <f t="shared" si="1131"/>
        <v>4.5036764705882353E-2</v>
      </c>
      <c r="AP349" s="243">
        <f t="shared" si="1131"/>
        <v>4.7087547959539587E-2</v>
      </c>
      <c r="AQ349" s="243">
        <f t="shared" si="1131"/>
        <v>1.6822429906542057E-2</v>
      </c>
      <c r="AR349" s="243">
        <f t="shared" si="1131"/>
        <v>2.9971455756422453E-2</v>
      </c>
      <c r="AS349" s="243">
        <f t="shared" si="1131"/>
        <v>2.4582560296846009E-2</v>
      </c>
      <c r="AT349" s="243">
        <f t="shared" si="1131"/>
        <v>2.032520325203252E-2</v>
      </c>
      <c r="AU349" s="243">
        <f t="shared" si="1131"/>
        <v>2.2875058058522992E-2</v>
      </c>
      <c r="AV349" s="243">
        <f t="shared" si="1131"/>
        <v>1.6421052631578947E-2</v>
      </c>
      <c r="AW349" s="243">
        <f t="shared" si="1131"/>
        <v>1.841541755888651E-2</v>
      </c>
      <c r="AX349" s="243">
        <f t="shared" si="1131"/>
        <v>1.8431204457779682E-2</v>
      </c>
      <c r="AY349" s="243">
        <f t="shared" si="1131"/>
        <v>1.4730639730639731E-2</v>
      </c>
      <c r="AZ349" s="243">
        <f t="shared" si="1131"/>
        <v>1.6986941288884172E-2</v>
      </c>
      <c r="BA349" s="243">
        <f t="shared" si="1131"/>
        <v>1.7434063477872151E-2</v>
      </c>
      <c r="BB349" s="243">
        <f t="shared" si="1131"/>
        <v>2.2707034728406055E-2</v>
      </c>
      <c r="BC349" s="243">
        <f t="shared" si="1131"/>
        <v>2.6060070671378093E-2</v>
      </c>
      <c r="BD349" s="243">
        <f t="shared" si="1131"/>
        <v>2.5357873210633947E-2</v>
      </c>
      <c r="BE349" s="243">
        <f t="shared" si="1131"/>
        <v>2.2954743255004351E-2</v>
      </c>
      <c r="BF349" s="243">
        <f t="shared" si="1131"/>
        <v>1.8817204301075269E-2</v>
      </c>
      <c r="BG349" s="243">
        <f t="shared" si="1131"/>
        <v>1.9492293744333637E-2</v>
      </c>
      <c r="BH349" s="243">
        <f t="shared" si="1131"/>
        <v>1.8380743982494528E-2</v>
      </c>
      <c r="BI349" s="243">
        <f t="shared" si="1131"/>
        <v>1.7760617760617759E-2</v>
      </c>
      <c r="BJ349" s="243">
        <f t="shared" si="1131"/>
        <v>1.8576183829056157E-2</v>
      </c>
      <c r="BK349" s="243">
        <f t="shared" si="1131"/>
        <v>1.7086715079026059E-2</v>
      </c>
      <c r="BL349" s="243">
        <f t="shared" si="1131"/>
        <v>1.3947001394700139E-2</v>
      </c>
      <c r="BM349" s="243">
        <f t="shared" si="1131"/>
        <v>2.0786262991414371E-2</v>
      </c>
      <c r="BN349" s="243">
        <f t="shared" si="1131"/>
        <v>1.1499336576735958E-2</v>
      </c>
      <c r="BO349" s="243">
        <f t="shared" si="1131"/>
        <v>1.5837608744144548E-2</v>
      </c>
      <c r="BP349" s="243">
        <f t="shared" si="1131"/>
        <v>1.8303571428571429E-2</v>
      </c>
      <c r="BQ349" s="243">
        <f t="shared" si="1131"/>
        <v>1.8469656992084433E-2</v>
      </c>
      <c r="BR349" s="243">
        <f t="shared" si="1131"/>
        <v>2.1576398062527521E-2</v>
      </c>
      <c r="BS349" s="243">
        <f t="shared" si="1131"/>
        <v>1.9543973941368076E-2</v>
      </c>
      <c r="BT349" s="243">
        <f t="shared" si="1131"/>
        <v>1.9478411427334703E-2</v>
      </c>
      <c r="BU349" s="222">
        <f t="shared" si="1131"/>
        <v>1.6209476309226933E-2</v>
      </c>
      <c r="BV349" s="222">
        <f t="shared" si="1131"/>
        <v>2.0627062706270627E-2</v>
      </c>
      <c r="BW349" s="222">
        <f t="shared" si="1131"/>
        <v>1.995841995841996E-2</v>
      </c>
      <c r="BX349" s="222">
        <f t="shared" si="1131"/>
        <v>2.0360219263899765E-2</v>
      </c>
      <c r="BY349" s="243">
        <f t="shared" si="1131"/>
        <v>1.9307385841250382E-2</v>
      </c>
      <c r="BZ349" s="222">
        <f t="shared" si="1131"/>
        <v>1.5043547110055424E-2</v>
      </c>
      <c r="CA349" s="222">
        <f t="shared" ref="CA349:CB349" si="1132">CA348/CA29</f>
        <v>1.7408906882591092E-2</v>
      </c>
      <c r="CB349" s="222">
        <f t="shared" si="1132"/>
        <v>1.8018018018018018E-2</v>
      </c>
      <c r="CC349" s="222">
        <f t="shared" ref="CC349:CD349" si="1133">CC348/CC29</f>
        <v>1.3858497447118891E-2</v>
      </c>
      <c r="CD349" s="243">
        <f t="shared" si="1133"/>
        <v>1.6011787819253439E-2</v>
      </c>
      <c r="CE349" s="312">
        <f t="shared" ref="CE349:CI349" si="1134">CD349</f>
        <v>1.6011787819253439E-2</v>
      </c>
      <c r="CF349" s="312">
        <f t="shared" si="1134"/>
        <v>1.6011787819253439E-2</v>
      </c>
      <c r="CG349" s="312">
        <f t="shared" si="1134"/>
        <v>1.6011787819253439E-2</v>
      </c>
      <c r="CH349" s="312">
        <f t="shared" si="1134"/>
        <v>1.6011787819253439E-2</v>
      </c>
      <c r="CI349" s="312">
        <f t="shared" si="1134"/>
        <v>1.6011787819253439E-2</v>
      </c>
      <c r="CJ349" s="312">
        <f t="shared" ref="CJ349" si="1135">CI349</f>
        <v>1.6011787819253439E-2</v>
      </c>
      <c r="CK349" s="312">
        <f t="shared" ref="CK349" si="1136">CJ349</f>
        <v>1.6011787819253439E-2</v>
      </c>
      <c r="CL349" s="312">
        <f t="shared" ref="CL349:CM349" si="1137">CK349</f>
        <v>1.6011787819253439E-2</v>
      </c>
      <c r="CM349" s="312">
        <f t="shared" si="1137"/>
        <v>1.6011787819253439E-2</v>
      </c>
      <c r="CN349" s="195"/>
      <c r="CO349" s="195"/>
      <c r="CP349" s="195"/>
      <c r="CQ349" s="195"/>
      <c r="CR349" s="195"/>
      <c r="CS349" s="195"/>
      <c r="CT349" s="195"/>
    </row>
    <row r="350" spans="1:130">
      <c r="A350" s="276" t="s">
        <v>65</v>
      </c>
      <c r="B350" s="243"/>
      <c r="C350" s="243"/>
      <c r="D350" s="243"/>
      <c r="E350" s="243"/>
      <c r="F350" s="243"/>
      <c r="G350" s="243"/>
      <c r="H350" s="243"/>
      <c r="I350" s="243"/>
      <c r="J350" s="243"/>
      <c r="K350" s="243"/>
      <c r="L350" s="243"/>
      <c r="M350" s="243"/>
      <c r="N350" s="243"/>
      <c r="O350" s="243"/>
      <c r="P350" s="243"/>
      <c r="Q350" s="243"/>
      <c r="R350" s="243"/>
      <c r="S350" s="243"/>
      <c r="T350" s="243"/>
      <c r="U350" s="243"/>
      <c r="V350" s="243"/>
      <c r="W350" s="243"/>
      <c r="X350" s="243"/>
      <c r="Y350" s="243"/>
      <c r="Z350" s="243"/>
      <c r="AA350" s="243"/>
      <c r="AB350" s="243">
        <f t="shared" ref="AB350:CD350" si="1138">AB348/W348-1</f>
        <v>0.21449314151890242</v>
      </c>
      <c r="AC350" s="243">
        <f t="shared" si="1138"/>
        <v>-0.26872469635627538</v>
      </c>
      <c r="AD350" s="243">
        <f t="shared" si="1138"/>
        <v>-8.3609688523213821E-2</v>
      </c>
      <c r="AE350" s="243">
        <f t="shared" si="1138"/>
        <v>-9.2291209632161642E-2</v>
      </c>
      <c r="AF350" s="243">
        <f t="shared" si="1138"/>
        <v>-7.9800062385404824E-2</v>
      </c>
      <c r="AG350" s="243">
        <f t="shared" si="1138"/>
        <v>-0.21765671658237196</v>
      </c>
      <c r="AH350" s="243">
        <f t="shared" si="1138"/>
        <v>0.28155837498398051</v>
      </c>
      <c r="AI350" s="243">
        <f t="shared" si="1138"/>
        <v>0.22536388726652246</v>
      </c>
      <c r="AJ350" s="243">
        <f t="shared" si="1138"/>
        <v>0.14283573141486805</v>
      </c>
      <c r="AK350" s="243">
        <f t="shared" si="1138"/>
        <v>0.10236567674228869</v>
      </c>
      <c r="AL350" s="243">
        <f t="shared" si="1138"/>
        <v>0.45070422535211274</v>
      </c>
      <c r="AM350" s="243">
        <f t="shared" si="1138"/>
        <v>0.10000000000000009</v>
      </c>
      <c r="AN350" s="243">
        <f t="shared" si="1138"/>
        <v>-0.12149532710280375</v>
      </c>
      <c r="AO350" s="243">
        <f t="shared" si="1138"/>
        <v>-0.19672131147540983</v>
      </c>
      <c r="AP350" s="243">
        <f t="shared" si="1138"/>
        <v>1.2499999999999956E-2</v>
      </c>
      <c r="AQ350" s="243">
        <f t="shared" si="1138"/>
        <v>-0.65048543689320382</v>
      </c>
      <c r="AR350" s="243">
        <f t="shared" si="1138"/>
        <v>-0.42727272727272725</v>
      </c>
      <c r="AS350" s="243">
        <f t="shared" si="1138"/>
        <v>-0.43617021276595747</v>
      </c>
      <c r="AT350" s="243">
        <f t="shared" si="1138"/>
        <v>-0.54081632653061229</v>
      </c>
      <c r="AU350" s="243">
        <f t="shared" si="1138"/>
        <v>-0.51358024691358017</v>
      </c>
      <c r="AV350" s="243">
        <f t="shared" si="1138"/>
        <v>8.3333333333333259E-2</v>
      </c>
      <c r="AW350" s="243">
        <f t="shared" si="1138"/>
        <v>-0.31746031746031744</v>
      </c>
      <c r="AX350" s="243">
        <f t="shared" si="1138"/>
        <v>-0.18867924528301883</v>
      </c>
      <c r="AY350" s="243">
        <f t="shared" si="1138"/>
        <v>-0.22222222222222221</v>
      </c>
      <c r="AZ350" s="243">
        <f t="shared" si="1138"/>
        <v>-0.18781725888324874</v>
      </c>
      <c r="BA350" s="243">
        <f t="shared" si="1138"/>
        <v>0</v>
      </c>
      <c r="BB350" s="243">
        <f t="shared" si="1138"/>
        <v>0.18604651162790709</v>
      </c>
      <c r="BC350" s="243">
        <f t="shared" si="1138"/>
        <v>0.37209302325581395</v>
      </c>
      <c r="BD350" s="243">
        <f t="shared" si="1138"/>
        <v>0.77142857142857135</v>
      </c>
      <c r="BE350" s="243">
        <f t="shared" si="1138"/>
        <v>0.31875000000000009</v>
      </c>
      <c r="BF350" s="243">
        <f t="shared" si="1138"/>
        <v>7.6923076923076872E-2</v>
      </c>
      <c r="BG350" s="243">
        <f t="shared" si="1138"/>
        <v>-0.15686274509803921</v>
      </c>
      <c r="BH350" s="243">
        <f t="shared" si="1138"/>
        <v>-0.28813559322033899</v>
      </c>
      <c r="BI350" s="243">
        <f t="shared" si="1138"/>
        <v>-0.25806451612903225</v>
      </c>
      <c r="BJ350" s="243">
        <f t="shared" si="1138"/>
        <v>-0.18009478672985779</v>
      </c>
      <c r="BK350" s="243">
        <f t="shared" si="1138"/>
        <v>-4.7619047619047672E-2</v>
      </c>
      <c r="BL350" s="243">
        <f t="shared" si="1138"/>
        <v>-0.30232558139534882</v>
      </c>
      <c r="BM350" s="243">
        <f t="shared" si="1138"/>
        <v>9.5238095238095344E-2</v>
      </c>
      <c r="BN350" s="243">
        <f t="shared" si="1138"/>
        <v>-0.43478260869565222</v>
      </c>
      <c r="BO350" s="243">
        <f t="shared" si="1138"/>
        <v>-0.17919075144508667</v>
      </c>
      <c r="BP350" s="243">
        <f t="shared" si="1138"/>
        <v>2.4999999999999911E-2</v>
      </c>
      <c r="BQ350" s="243">
        <f t="shared" si="1138"/>
        <v>0.39999999999999991</v>
      </c>
      <c r="BR350" s="243">
        <f t="shared" si="1138"/>
        <v>6.5217391304347894E-2</v>
      </c>
      <c r="BS350" s="243">
        <f t="shared" si="1138"/>
        <v>0.84615384615384626</v>
      </c>
      <c r="BT350" s="243">
        <f t="shared" si="1138"/>
        <v>0.26760563380281699</v>
      </c>
      <c r="BU350" s="222">
        <f t="shared" si="1138"/>
        <v>-4.8780487804878092E-2</v>
      </c>
      <c r="BV350" s="222">
        <f t="shared" si="1138"/>
        <v>0.19047619047619047</v>
      </c>
      <c r="BW350" s="222">
        <f t="shared" si="1138"/>
        <v>-2.0408163265306145E-2</v>
      </c>
      <c r="BX350" s="222">
        <f t="shared" si="1138"/>
        <v>8.3333333333333259E-2</v>
      </c>
      <c r="BY350" s="243">
        <f t="shared" si="1138"/>
        <v>5.0000000000000044E-2</v>
      </c>
      <c r="BZ350" s="222">
        <f t="shared" si="1138"/>
        <v>-2.5641025641025661E-2</v>
      </c>
      <c r="CA350" s="222">
        <f t="shared" si="1138"/>
        <v>-0.14000000000000001</v>
      </c>
      <c r="CB350" s="222">
        <f t="shared" si="1138"/>
        <v>-8.333333333333337E-2</v>
      </c>
      <c r="CC350" s="222">
        <f t="shared" si="1138"/>
        <v>-0.26923076923076927</v>
      </c>
      <c r="CD350" s="243">
        <f t="shared" si="1138"/>
        <v>-0.13756613756613756</v>
      </c>
      <c r="CE350" s="243">
        <f t="shared" ref="CE350:CI350" si="1139">CE348/CD348-1</f>
        <v>4.4089290171825724E-2</v>
      </c>
      <c r="CF350" s="243">
        <f t="shared" si="1139"/>
        <v>2.5903624877396725E-2</v>
      </c>
      <c r="CG350" s="243">
        <f t="shared" si="1139"/>
        <v>2.8019731415444671E-2</v>
      </c>
      <c r="CH350" s="243">
        <f t="shared" si="1139"/>
        <v>3.0235918833480868E-2</v>
      </c>
      <c r="CI350" s="243">
        <f t="shared" si="1139"/>
        <v>3.2014729930445629E-2</v>
      </c>
      <c r="CJ350" s="243">
        <f t="shared" ref="CJ350" si="1140">CJ348/CI348-1</f>
        <v>3.0980300358093293E-2</v>
      </c>
      <c r="CK350" s="243">
        <f t="shared" ref="CK350" si="1141">CK348/CJ348-1</f>
        <v>3.0073817600475339E-2</v>
      </c>
      <c r="CL350" s="243">
        <f t="shared" ref="CL350:CM350" si="1142">CL348/CK348-1</f>
        <v>2.92803845145575E-2</v>
      </c>
      <c r="CM350" s="243">
        <f t="shared" si="1142"/>
        <v>2.8587219019694077E-2</v>
      </c>
      <c r="CN350" s="195"/>
      <c r="CO350" s="195"/>
      <c r="CP350" s="195"/>
      <c r="CQ350" s="195"/>
      <c r="CR350" s="195"/>
      <c r="CS350" s="195"/>
      <c r="CT350" s="195"/>
      <c r="DW350" s="265"/>
      <c r="DX350" s="265"/>
      <c r="DY350" s="265"/>
      <c r="DZ350" s="265"/>
    </row>
    <row r="351" spans="1:130">
      <c r="A351" s="276"/>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202"/>
      <c r="CT351" s="202"/>
    </row>
    <row r="352" spans="1:130">
      <c r="A352" s="286" t="s">
        <v>808</v>
      </c>
      <c r="B352" s="385"/>
      <c r="C352" s="385"/>
      <c r="D352" s="385"/>
      <c r="E352" s="385"/>
      <c r="F352" s="385"/>
      <c r="G352" s="385"/>
      <c r="H352" s="385"/>
      <c r="I352" s="385"/>
      <c r="J352" s="385"/>
      <c r="K352" s="385"/>
      <c r="L352" s="385"/>
      <c r="M352" s="385"/>
      <c r="N352" s="385"/>
      <c r="O352" s="385"/>
      <c r="P352" s="385"/>
      <c r="Q352" s="385"/>
      <c r="R352" s="385"/>
      <c r="S352" s="385"/>
      <c r="T352" s="385"/>
      <c r="U352" s="385"/>
      <c r="V352" s="385"/>
      <c r="W352" s="385"/>
      <c r="X352" s="385"/>
      <c r="Y352" s="385"/>
      <c r="Z352" s="385"/>
      <c r="AA352" s="385"/>
      <c r="AB352" s="385"/>
      <c r="AC352" s="385"/>
      <c r="AD352" s="385"/>
      <c r="AE352" s="385"/>
      <c r="AF352" s="385"/>
      <c r="AG352" s="385"/>
      <c r="AH352" s="385"/>
      <c r="AI352" s="385"/>
      <c r="AJ352" s="385"/>
      <c r="AK352" s="385"/>
      <c r="AL352" s="385"/>
      <c r="AM352" s="385"/>
      <c r="AN352" s="385"/>
      <c r="AO352" s="385"/>
      <c r="AP352" s="385"/>
      <c r="AQ352" s="385"/>
      <c r="AR352" s="385"/>
      <c r="AS352" s="385"/>
      <c r="AT352" s="385"/>
      <c r="AU352" s="385"/>
      <c r="AV352" s="385"/>
      <c r="AW352" s="385"/>
      <c r="AX352" s="385"/>
      <c r="AY352" s="385"/>
      <c r="AZ352" s="385"/>
      <c r="BA352" s="385"/>
      <c r="BB352" s="385"/>
      <c r="BC352" s="385"/>
      <c r="BD352" s="385"/>
      <c r="BE352" s="385"/>
      <c r="BF352" s="385"/>
      <c r="BG352" s="385"/>
      <c r="BH352" s="385"/>
      <c r="BI352" s="385"/>
      <c r="BJ352" s="385"/>
      <c r="BK352" s="385"/>
      <c r="BL352" s="385"/>
      <c r="BM352" s="385"/>
      <c r="BN352" s="385"/>
      <c r="BO352" s="385"/>
      <c r="BP352" s="385"/>
      <c r="BQ352" s="385"/>
      <c r="BR352" s="385"/>
      <c r="BS352" s="385"/>
      <c r="BT352" s="385"/>
      <c r="BU352" s="394">
        <f>'[2]Profit and Loss Highlights'!AQ48</f>
        <v>-61</v>
      </c>
      <c r="BV352" s="394">
        <f>'[2]Profit and Loss Highlights'!AR48</f>
        <v>-74</v>
      </c>
      <c r="BW352" s="394">
        <f>'[2]Profit and Loss Highlights'!AS48</f>
        <v>-52</v>
      </c>
      <c r="BX352" s="394">
        <f>'[2]Profit and Loss Highlights'!AT48</f>
        <v>-64</v>
      </c>
      <c r="BY352" s="195">
        <f>SUM(BU352:BX352)</f>
        <v>-251</v>
      </c>
      <c r="BZ352" s="394">
        <f>'[2]Profit and Loss Highlights'!AU48</f>
        <v>-46</v>
      </c>
      <c r="CA352" s="394">
        <f>'[2]Profit and Loss Highlights'!AV48</f>
        <v>-52</v>
      </c>
      <c r="CB352" s="394">
        <f>'[2]Profit and Loss Highlights'!AW48</f>
        <v>-38</v>
      </c>
      <c r="CC352" s="394">
        <f>'[2]Profit and Loss Highlights'!AX48</f>
        <v>-79</v>
      </c>
      <c r="CD352" s="195">
        <f>SUM(BZ352:CC352)</f>
        <v>-215</v>
      </c>
      <c r="CE352" s="385">
        <f>CE353*CE29</f>
        <v>-224.4791973869425</v>
      </c>
      <c r="CF352" s="385">
        <f t="shared" ref="CF352:CM352" si="1143">CF353*CF29</f>
        <v>-230.29402230883298</v>
      </c>
      <c r="CG352" s="385">
        <f t="shared" si="1143"/>
        <v>-236.74679896050887</v>
      </c>
      <c r="CH352" s="385">
        <f t="shared" si="1143"/>
        <v>-243.90505595796523</v>
      </c>
      <c r="CI352" s="385">
        <f t="shared" si="1143"/>
        <v>-251.71361045312969</v>
      </c>
      <c r="CJ352" s="385">
        <f t="shared" si="1143"/>
        <v>-259.51177370918771</v>
      </c>
      <c r="CK352" s="385">
        <f t="shared" si="1143"/>
        <v>-267.31628345689364</v>
      </c>
      <c r="CL352" s="385">
        <f t="shared" si="1143"/>
        <v>-275.14340702351399</v>
      </c>
      <c r="CM352" s="385">
        <f t="shared" si="1143"/>
        <v>-283.00899186191998</v>
      </c>
      <c r="CN352" s="202"/>
      <c r="CO352" s="202"/>
      <c r="CP352" s="202"/>
      <c r="CQ352" s="202"/>
      <c r="CR352" s="202"/>
      <c r="CS352" s="195"/>
      <c r="CT352" s="195"/>
    </row>
    <row r="353" spans="1:136">
      <c r="A353" s="276" t="s">
        <v>64</v>
      </c>
      <c r="B353" s="243"/>
      <c r="C353" s="243"/>
      <c r="D353" s="243"/>
      <c r="E353" s="243"/>
      <c r="F353" s="243"/>
      <c r="G353" s="243"/>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43"/>
      <c r="AV353" s="243"/>
      <c r="AW353" s="243"/>
      <c r="AX353" s="243"/>
      <c r="AY353" s="243"/>
      <c r="AZ353" s="243"/>
      <c r="BA353" s="243"/>
      <c r="BB353" s="243"/>
      <c r="BC353" s="243"/>
      <c r="BD353" s="243"/>
      <c r="BE353" s="243"/>
      <c r="BF353" s="243"/>
      <c r="BG353" s="243"/>
      <c r="BH353" s="243"/>
      <c r="BI353" s="243"/>
      <c r="BJ353" s="243"/>
      <c r="BK353" s="243"/>
      <c r="BL353" s="243"/>
      <c r="BM353" s="243"/>
      <c r="BN353" s="243"/>
      <c r="BO353" s="243"/>
      <c r="BP353" s="243"/>
      <c r="BQ353" s="243"/>
      <c r="BR353" s="243"/>
      <c r="BS353" s="243"/>
      <c r="BT353" s="243"/>
      <c r="BU353" s="222">
        <f>BU352/BU29</f>
        <v>-2.5353283458021611E-2</v>
      </c>
      <c r="BV353" s="222">
        <f t="shared" ref="BV353" si="1144">BV352/BV29</f>
        <v>-3.052805280528053E-2</v>
      </c>
      <c r="BW353" s="222">
        <f t="shared" ref="BW353" si="1145">BW352/BW29</f>
        <v>-2.1621621621621623E-2</v>
      </c>
      <c r="BX353" s="222">
        <f t="shared" ref="BX353:BY353" si="1146">BX352/BX29</f>
        <v>-2.5058731401722788E-2</v>
      </c>
      <c r="BY353" s="222">
        <f t="shared" si="1146"/>
        <v>-2.564102564102564E-2</v>
      </c>
      <c r="BZ353" s="222">
        <f>BZ352/BZ29</f>
        <v>-1.8210609659540775E-2</v>
      </c>
      <c r="CA353" s="222">
        <f t="shared" ref="CA353:CC353" si="1147">CA352/CA29</f>
        <v>-2.1052631578947368E-2</v>
      </c>
      <c r="CB353" s="222">
        <f t="shared" si="1147"/>
        <v>-1.5561015561015561E-2</v>
      </c>
      <c r="CC353" s="222">
        <f t="shared" si="1147"/>
        <v>-2.8811086797957696E-2</v>
      </c>
      <c r="CD353" s="222">
        <f>CD352/CD29</f>
        <v>-2.111984282907662E-2</v>
      </c>
      <c r="CE353" s="375">
        <f>CD353</f>
        <v>-2.111984282907662E-2</v>
      </c>
      <c r="CF353" s="375">
        <f t="shared" ref="CF353:CI353" si="1148">CE353</f>
        <v>-2.111984282907662E-2</v>
      </c>
      <c r="CG353" s="375">
        <f t="shared" si="1148"/>
        <v>-2.111984282907662E-2</v>
      </c>
      <c r="CH353" s="375">
        <f t="shared" si="1148"/>
        <v>-2.111984282907662E-2</v>
      </c>
      <c r="CI353" s="375">
        <f t="shared" si="1148"/>
        <v>-2.111984282907662E-2</v>
      </c>
      <c r="CJ353" s="375">
        <f t="shared" ref="CJ353" si="1149">CI353</f>
        <v>-2.111984282907662E-2</v>
      </c>
      <c r="CK353" s="375">
        <f>CJ353</f>
        <v>-2.111984282907662E-2</v>
      </c>
      <c r="CL353" s="375">
        <f t="shared" ref="CL353:CM353" si="1150">CK353</f>
        <v>-2.111984282907662E-2</v>
      </c>
      <c r="CM353" s="375">
        <f t="shared" si="1150"/>
        <v>-2.111984282907662E-2</v>
      </c>
      <c r="CN353" s="195"/>
      <c r="CO353" s="195"/>
      <c r="CP353" s="195"/>
      <c r="CQ353" s="195"/>
      <c r="CR353" s="195"/>
      <c r="CS353" s="195"/>
      <c r="CT353" s="195"/>
    </row>
    <row r="354" spans="1:136">
      <c r="A354" s="276" t="s">
        <v>65</v>
      </c>
      <c r="B354" s="243"/>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243"/>
      <c r="AF354" s="243"/>
      <c r="AG354" s="243"/>
      <c r="AH354" s="243"/>
      <c r="AI354" s="243"/>
      <c r="AJ354" s="243"/>
      <c r="AK354" s="243"/>
      <c r="AL354" s="243"/>
      <c r="AM354" s="243"/>
      <c r="AN354" s="243"/>
      <c r="AO354" s="243"/>
      <c r="AP354" s="207"/>
      <c r="AQ354" s="207"/>
      <c r="AR354" s="207"/>
      <c r="AS354" s="207"/>
      <c r="AT354" s="207"/>
      <c r="AU354" s="207"/>
      <c r="AV354" s="207"/>
      <c r="AW354" s="207"/>
      <c r="AX354" s="207"/>
      <c r="AY354" s="207"/>
      <c r="AZ354" s="207"/>
      <c r="BA354" s="207"/>
      <c r="BB354" s="207"/>
      <c r="BC354" s="207"/>
      <c r="BD354" s="207"/>
      <c r="BE354" s="207"/>
      <c r="BF354" s="207"/>
      <c r="BG354" s="207"/>
      <c r="BH354" s="207"/>
      <c r="BI354" s="207"/>
      <c r="BJ354" s="207"/>
      <c r="BK354" s="207"/>
      <c r="BL354" s="207"/>
      <c r="BM354" s="207"/>
      <c r="BN354" s="207"/>
      <c r="BO354" s="207"/>
      <c r="BP354" s="207"/>
      <c r="BQ354" s="207"/>
      <c r="BR354" s="207"/>
      <c r="BS354" s="207"/>
      <c r="BT354" s="207"/>
      <c r="BU354" s="207"/>
      <c r="BV354" s="207"/>
      <c r="BW354" s="207"/>
      <c r="BX354" s="207"/>
      <c r="BY354" s="207"/>
      <c r="BZ354" s="207"/>
      <c r="CA354" s="207"/>
      <c r="CB354" s="207"/>
      <c r="CC354" s="207"/>
      <c r="CD354" s="207"/>
      <c r="CE354" s="207"/>
      <c r="CF354" s="207"/>
      <c r="CG354" s="207"/>
      <c r="CH354" s="207"/>
      <c r="CI354" s="207"/>
      <c r="CJ354" s="207"/>
      <c r="CK354" s="207"/>
      <c r="CL354" s="207"/>
      <c r="CM354" s="207"/>
      <c r="CN354" s="195"/>
      <c r="CO354" s="195"/>
      <c r="CP354" s="195"/>
      <c r="CQ354" s="195"/>
      <c r="CR354" s="195"/>
      <c r="CS354" s="195"/>
      <c r="CT354" s="195"/>
      <c r="DV354" s="265"/>
      <c r="EA354" s="265"/>
      <c r="EB354" s="265"/>
      <c r="EC354" s="265"/>
      <c r="ED354" s="265"/>
      <c r="EE354" s="265"/>
    </row>
    <row r="355" spans="1:136">
      <c r="A355" s="276"/>
      <c r="B355" s="243"/>
      <c r="C355" s="243"/>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202"/>
      <c r="CT355" s="202"/>
    </row>
    <row r="356" spans="1:136">
      <c r="A356" s="286" t="s">
        <v>261</v>
      </c>
      <c r="B356" s="385"/>
      <c r="C356" s="385"/>
      <c r="D356" s="385"/>
      <c r="E356" s="385"/>
      <c r="F356" s="385"/>
      <c r="G356" s="385"/>
      <c r="H356" s="385"/>
      <c r="I356" s="385"/>
      <c r="J356" s="385"/>
      <c r="K356" s="385"/>
      <c r="L356" s="385"/>
      <c r="M356" s="385"/>
      <c r="N356" s="385"/>
      <c r="O356" s="385"/>
      <c r="P356" s="385"/>
      <c r="Q356" s="385"/>
      <c r="R356" s="385"/>
      <c r="S356" s="385"/>
      <c r="T356" s="385"/>
      <c r="U356" s="385"/>
      <c r="V356" s="385"/>
      <c r="W356" s="385">
        <f>W$419*W357</f>
        <v>130.23499999999999</v>
      </c>
      <c r="X356" s="385">
        <f>X$419*X357</f>
        <v>148.941</v>
      </c>
      <c r="Y356" s="385">
        <f>Y$419*Y357</f>
        <v>175.06399999999999</v>
      </c>
      <c r="Z356" s="385">
        <f>Z$419*Z357</f>
        <v>172.95</v>
      </c>
      <c r="AA356" s="385">
        <f>SUM(W356:Z356)</f>
        <v>627.19000000000005</v>
      </c>
      <c r="AB356" s="385">
        <f>AB$419*AB357</f>
        <v>158.23600000000002</v>
      </c>
      <c r="AC356" s="385">
        <f>AC$419*AC357</f>
        <v>137.69999999999999</v>
      </c>
      <c r="AD356" s="385">
        <f>AD$419*AD357</f>
        <v>134.34</v>
      </c>
      <c r="AE356" s="385">
        <f>AE$419*AE357</f>
        <v>142.33600000000001</v>
      </c>
      <c r="AF356" s="385">
        <f>SUM(AB356:AE356)</f>
        <v>572.61200000000008</v>
      </c>
      <c r="AG356" s="390">
        <v>139</v>
      </c>
      <c r="AH356" s="390">
        <v>120</v>
      </c>
      <c r="AI356" s="390">
        <v>146</v>
      </c>
      <c r="AJ356" s="390">
        <v>137</v>
      </c>
      <c r="AK356" s="390">
        <v>585</v>
      </c>
      <c r="AL356" s="390">
        <v>122</v>
      </c>
      <c r="AM356" s="390">
        <v>115</v>
      </c>
      <c r="AN356" s="390">
        <v>141</v>
      </c>
      <c r="AO356" s="390">
        <v>156</v>
      </c>
      <c r="AP356" s="390">
        <v>628</v>
      </c>
      <c r="AQ356" s="390">
        <v>83</v>
      </c>
      <c r="AR356" s="390">
        <v>113</v>
      </c>
      <c r="AS356" s="390">
        <v>86</v>
      </c>
      <c r="AT356" s="390">
        <v>104</v>
      </c>
      <c r="AU356" s="390">
        <f>SUM(AQ356:AT356)</f>
        <v>386</v>
      </c>
      <c r="AV356" s="390">
        <v>97</v>
      </c>
      <c r="AW356" s="390">
        <f>'[2]Profit and Loss Highlights'!X45</f>
        <v>67</v>
      </c>
      <c r="AX356" s="390">
        <f>'[2]Profit and Loss Highlights'!Y45</f>
        <v>64</v>
      </c>
      <c r="AY356" s="390">
        <f>'[2]Profit and Loss Highlights'!Z45</f>
        <v>107</v>
      </c>
      <c r="AZ356" s="390">
        <f>SUM(AV356:AY356)</f>
        <v>335</v>
      </c>
      <c r="BA356" s="390">
        <f>'[2]Profit and Loss Highlights'!AA45</f>
        <v>81</v>
      </c>
      <c r="BB356" s="390">
        <f>'[2]Profit and Loss Highlights'!AB45</f>
        <v>96</v>
      </c>
      <c r="BC356" s="390">
        <f>'[2]Profit and Loss Highlights'!AC45</f>
        <v>90</v>
      </c>
      <c r="BD356" s="390">
        <f>'[2]Profit and Loss Highlights'!AD45</f>
        <v>213</v>
      </c>
      <c r="BE356" s="195">
        <f>SUM(BA356:BD356)</f>
        <v>480</v>
      </c>
      <c r="BF356" s="390">
        <f>'[2]Profit and Loss Highlights'!AE45</f>
        <v>104</v>
      </c>
      <c r="BG356" s="390">
        <f>'[2]Profit and Loss Highlights'!AF45</f>
        <v>49</v>
      </c>
      <c r="BH356" s="390">
        <f>'[2]Profit and Loss Highlights'!AG45</f>
        <v>90</v>
      </c>
      <c r="BI356" s="390">
        <f>'[2]Profit and Loss Highlights'!AH45</f>
        <v>114</v>
      </c>
      <c r="BJ356" s="195">
        <f>SUM(BF356:BI356)</f>
        <v>357</v>
      </c>
      <c r="BK356" s="390">
        <f>'[2]Profit and Loss Highlights'!AI45</f>
        <v>107</v>
      </c>
      <c r="BL356" s="390">
        <f>'[2]Profit and Loss Highlights'!AJ45</f>
        <v>95</v>
      </c>
      <c r="BM356" s="390">
        <f>'[2]Profit and Loss Highlights'!AK45</f>
        <v>111</v>
      </c>
      <c r="BN356" s="390">
        <f>'[2]Profit and Loss Highlights'!AL45</f>
        <v>140</v>
      </c>
      <c r="BO356" s="195">
        <f>SUM(BK356:BN356)</f>
        <v>453</v>
      </c>
      <c r="BP356" s="390">
        <f>'[2]Profit and Loss Highlights'!AM45</f>
        <v>99</v>
      </c>
      <c r="BQ356" s="390">
        <f>'[2]Profit and Loss Highlights'!AN45</f>
        <v>86</v>
      </c>
      <c r="BR356" s="390">
        <f>'[2]Profit and Loss Highlights'!AO45</f>
        <v>102</v>
      </c>
      <c r="BS356" s="390">
        <f>'[2]Profit and Loss Highlights'!AP45</f>
        <v>114</v>
      </c>
      <c r="BT356" s="195">
        <f>SUM(BP356:BS356)</f>
        <v>401</v>
      </c>
      <c r="BU356" s="394">
        <f>'[2]Profit and Loss Highlights'!AQ45</f>
        <v>87</v>
      </c>
      <c r="BV356" s="394">
        <f>'[2]Profit and Loss Highlights'!AR45</f>
        <v>96</v>
      </c>
      <c r="BW356" s="394">
        <f>'[2]Profit and Loss Highlights'!AS45</f>
        <v>102</v>
      </c>
      <c r="BX356" s="394">
        <f>'[2]Profit and Loss Highlights'!AT45</f>
        <v>109</v>
      </c>
      <c r="BY356" s="195">
        <f>SUM(BU356:BX356)</f>
        <v>394</v>
      </c>
      <c r="BZ356" s="394">
        <f>'[2]Profit and Loss Highlights'!AU45</f>
        <v>106</v>
      </c>
      <c r="CA356" s="394">
        <f>'[2]Profit and Loss Highlights'!AV45</f>
        <v>94</v>
      </c>
      <c r="CB356" s="394">
        <f>'[2]Profit and Loss Highlights'!AW45</f>
        <v>102</v>
      </c>
      <c r="CC356" s="394">
        <f>'[2]Profit and Loss Highlights'!AX45</f>
        <v>126</v>
      </c>
      <c r="CD356" s="195">
        <f>SUM(BZ356:CC356)</f>
        <v>428</v>
      </c>
      <c r="CE356" s="385">
        <f>CE357*CE29</f>
        <v>446.87021619354135</v>
      </c>
      <c r="CF356" s="385">
        <f t="shared" ref="CF356:CM356" si="1151">CF357*CF29</f>
        <v>458.44577464270009</v>
      </c>
      <c r="CG356" s="385">
        <f t="shared" si="1151"/>
        <v>471.2913021167339</v>
      </c>
      <c r="CH356" s="385">
        <f t="shared" si="1151"/>
        <v>485.54122767446103</v>
      </c>
      <c r="CI356" s="385">
        <f t="shared" si="1151"/>
        <v>501.08569894855589</v>
      </c>
      <c r="CJ356" s="385">
        <f t="shared" si="1151"/>
        <v>516.60948440712718</v>
      </c>
      <c r="CK356" s="385">
        <f t="shared" si="1151"/>
        <v>532.14590381186269</v>
      </c>
      <c r="CL356" s="385">
        <f t="shared" si="1151"/>
        <v>547.72734049332087</v>
      </c>
      <c r="CM356" s="385">
        <f t="shared" si="1151"/>
        <v>563.38534193907788</v>
      </c>
      <c r="CN356" s="202"/>
      <c r="CO356" s="202"/>
      <c r="CP356" s="202"/>
      <c r="CQ356" s="202"/>
      <c r="CR356" s="202"/>
      <c r="CS356" s="195"/>
      <c r="CT356" s="195"/>
    </row>
    <row r="357" spans="1:136">
      <c r="A357" s="276" t="s">
        <v>64</v>
      </c>
      <c r="B357" s="243"/>
      <c r="C357" s="243"/>
      <c r="D357" s="243"/>
      <c r="E357" s="243"/>
      <c r="F357" s="243"/>
      <c r="G357" s="243"/>
      <c r="H357" s="243"/>
      <c r="I357" s="243"/>
      <c r="J357" s="243"/>
      <c r="K357" s="243"/>
      <c r="L357" s="243"/>
      <c r="M357" s="243"/>
      <c r="N357" s="243"/>
      <c r="O357" s="243"/>
      <c r="P357" s="243"/>
      <c r="Q357" s="243"/>
      <c r="R357" s="243"/>
      <c r="S357" s="243"/>
      <c r="T357" s="243"/>
      <c r="U357" s="243"/>
      <c r="V357" s="243"/>
      <c r="W357" s="375">
        <v>6.0999999999999999E-2</v>
      </c>
      <c r="X357" s="375">
        <v>6.7000000000000004E-2</v>
      </c>
      <c r="Y357" s="375">
        <v>7.9000000000000001E-2</v>
      </c>
      <c r="Z357" s="375">
        <v>7.4999999999999997E-2</v>
      </c>
      <c r="AA357" s="243"/>
      <c r="AB357" s="375">
        <v>6.8000000000000005E-2</v>
      </c>
      <c r="AC357" s="375">
        <v>0.06</v>
      </c>
      <c r="AD357" s="375">
        <v>0.06</v>
      </c>
      <c r="AE357" s="375">
        <v>6.4000000000000001E-2</v>
      </c>
      <c r="AF357" s="243">
        <f t="shared" ref="AF357:BZ357" si="1152">AF356/AF29</f>
        <v>6.3423616129242355E-2</v>
      </c>
      <c r="AG357" s="243">
        <f t="shared" si="1152"/>
        <v>6.5596979707409159E-2</v>
      </c>
      <c r="AH357" s="243">
        <f t="shared" si="1152"/>
        <v>5.7636887608069162E-2</v>
      </c>
      <c r="AI357" s="243">
        <f t="shared" si="1152"/>
        <v>7.0702179176755447E-2</v>
      </c>
      <c r="AJ357" s="243">
        <f t="shared" si="1152"/>
        <v>6.4531323598681106E-2</v>
      </c>
      <c r="AK357" s="243">
        <f t="shared" si="1152"/>
        <v>6.9609709662065686E-2</v>
      </c>
      <c r="AL357" s="243">
        <f t="shared" si="1152"/>
        <v>5.6770590972545373E-2</v>
      </c>
      <c r="AM357" s="243">
        <f t="shared" si="1152"/>
        <v>5.4502369668246446E-2</v>
      </c>
      <c r="AN357" s="243">
        <f t="shared" si="1152"/>
        <v>6.5096952908587261E-2</v>
      </c>
      <c r="AO357" s="243">
        <f t="shared" si="1152"/>
        <v>7.169117647058823E-2</v>
      </c>
      <c r="AP357" s="243">
        <f t="shared" si="1152"/>
        <v>7.3014765724915706E-2</v>
      </c>
      <c r="AQ357" s="243">
        <f t="shared" si="1152"/>
        <v>3.8785046728971963E-2</v>
      </c>
      <c r="AR357" s="243">
        <f t="shared" si="1152"/>
        <v>5.3758325404376785E-2</v>
      </c>
      <c r="AS357" s="243">
        <f t="shared" si="1152"/>
        <v>3.9888682745825604E-2</v>
      </c>
      <c r="AT357" s="243">
        <f t="shared" si="1152"/>
        <v>4.6973803071364048E-2</v>
      </c>
      <c r="AU357" s="243">
        <f t="shared" si="1152"/>
        <v>4.482117974918718E-2</v>
      </c>
      <c r="AV357" s="243">
        <f t="shared" si="1152"/>
        <v>4.0842105263157895E-2</v>
      </c>
      <c r="AW357" s="243">
        <f t="shared" si="1152"/>
        <v>2.8693790149892935E-2</v>
      </c>
      <c r="AX357" s="243">
        <f t="shared" si="1152"/>
        <v>2.7432490355765109E-2</v>
      </c>
      <c r="AY357" s="243">
        <f t="shared" si="1152"/>
        <v>4.5033670033670037E-2</v>
      </c>
      <c r="AZ357" s="243">
        <f t="shared" si="1152"/>
        <v>3.556640832360123E-2</v>
      </c>
      <c r="BA357" s="243">
        <f t="shared" si="1152"/>
        <v>3.6209208761734467E-2</v>
      </c>
      <c r="BB357" s="243">
        <f t="shared" si="1152"/>
        <v>4.2742653606411399E-2</v>
      </c>
      <c r="BC357" s="243">
        <f t="shared" si="1152"/>
        <v>3.9752650176678443E-2</v>
      </c>
      <c r="BD357" s="243">
        <f t="shared" si="1152"/>
        <v>8.7116564417177911E-2</v>
      </c>
      <c r="BE357" s="243">
        <f t="shared" si="1152"/>
        <v>5.2219321148825062E-2</v>
      </c>
      <c r="BF357" s="243">
        <f t="shared" si="1152"/>
        <v>4.6594982078853049E-2</v>
      </c>
      <c r="BG357" s="243">
        <f t="shared" si="1152"/>
        <v>2.2212148685403447E-2</v>
      </c>
      <c r="BH357" s="243">
        <f t="shared" si="1152"/>
        <v>3.9387308533916851E-2</v>
      </c>
      <c r="BI357" s="243">
        <f t="shared" si="1152"/>
        <v>4.4015444015444015E-2</v>
      </c>
      <c r="BJ357" s="243">
        <f t="shared" si="1152"/>
        <v>3.8333512294641901E-2</v>
      </c>
      <c r="BK357" s="243">
        <f t="shared" si="1152"/>
        <v>4.57069628363947E-2</v>
      </c>
      <c r="BL357" s="243">
        <f t="shared" si="1152"/>
        <v>4.4165504416550441E-2</v>
      </c>
      <c r="BM357" s="243">
        <f t="shared" si="1152"/>
        <v>5.0158156348847717E-2</v>
      </c>
      <c r="BN357" s="243">
        <f t="shared" si="1152"/>
        <v>6.1919504643962849E-2</v>
      </c>
      <c r="BO357" s="243">
        <f t="shared" si="1152"/>
        <v>5.0524202542939996E-2</v>
      </c>
      <c r="BP357" s="243">
        <f t="shared" si="1152"/>
        <v>4.4196428571428574E-2</v>
      </c>
      <c r="BQ357" s="243">
        <f t="shared" si="1152"/>
        <v>3.7818821459982409E-2</v>
      </c>
      <c r="BR357" s="243">
        <f t="shared" si="1152"/>
        <v>4.491413474240423E-2</v>
      </c>
      <c r="BS357" s="243">
        <f t="shared" si="1152"/>
        <v>4.6416938110749185E-2</v>
      </c>
      <c r="BT357" s="243">
        <f t="shared" si="1152"/>
        <v>4.339357212422898E-2</v>
      </c>
      <c r="BU357" s="222">
        <f t="shared" si="1152"/>
        <v>3.6159600997506237E-2</v>
      </c>
      <c r="BV357" s="222">
        <f t="shared" si="1152"/>
        <v>3.9603960396039604E-2</v>
      </c>
      <c r="BW357" s="222">
        <f t="shared" si="1152"/>
        <v>4.2411642411642414E-2</v>
      </c>
      <c r="BX357" s="222">
        <f t="shared" si="1152"/>
        <v>4.2678151918559122E-2</v>
      </c>
      <c r="BY357" s="243">
        <f t="shared" si="1152"/>
        <v>4.0249259372765349E-2</v>
      </c>
      <c r="BZ357" s="222">
        <f t="shared" si="1152"/>
        <v>4.1963578780680917E-2</v>
      </c>
      <c r="CA357" s="222">
        <f t="shared" ref="CA357:CB357" si="1153">CA356/CA29</f>
        <v>3.8056680161943322E-2</v>
      </c>
      <c r="CB357" s="222">
        <f t="shared" si="1153"/>
        <v>4.1769041769041768E-2</v>
      </c>
      <c r="CC357" s="222">
        <f t="shared" ref="CC357:CD357" si="1154">CC356/CC29</f>
        <v>4.5951859956236324E-2</v>
      </c>
      <c r="CD357" s="243">
        <f t="shared" si="1154"/>
        <v>4.2043222003929272E-2</v>
      </c>
      <c r="CE357" s="312">
        <f t="shared" ref="CE357:CI357" si="1155">CD357</f>
        <v>4.2043222003929272E-2</v>
      </c>
      <c r="CF357" s="312">
        <f t="shared" si="1155"/>
        <v>4.2043222003929272E-2</v>
      </c>
      <c r="CG357" s="312">
        <f t="shared" si="1155"/>
        <v>4.2043222003929272E-2</v>
      </c>
      <c r="CH357" s="312">
        <f t="shared" si="1155"/>
        <v>4.2043222003929272E-2</v>
      </c>
      <c r="CI357" s="312">
        <f t="shared" si="1155"/>
        <v>4.2043222003929272E-2</v>
      </c>
      <c r="CJ357" s="312">
        <f t="shared" ref="CJ357" si="1156">CI357</f>
        <v>4.2043222003929272E-2</v>
      </c>
      <c r="CK357" s="312">
        <f t="shared" ref="CK357" si="1157">CJ357</f>
        <v>4.2043222003929272E-2</v>
      </c>
      <c r="CL357" s="312">
        <f t="shared" ref="CL357:CM357" si="1158">CK357</f>
        <v>4.2043222003929272E-2</v>
      </c>
      <c r="CM357" s="312">
        <f t="shared" si="1158"/>
        <v>4.2043222003929272E-2</v>
      </c>
      <c r="CN357" s="195"/>
      <c r="CO357" s="195"/>
      <c r="CP357" s="195"/>
      <c r="CQ357" s="195"/>
      <c r="CR357" s="195"/>
      <c r="CS357" s="195"/>
      <c r="CT357" s="195"/>
    </row>
    <row r="358" spans="1:136">
      <c r="A358" s="276" t="s">
        <v>65</v>
      </c>
      <c r="B358" s="243"/>
      <c r="C358" s="243"/>
      <c r="D358" s="243"/>
      <c r="E358" s="243"/>
      <c r="F358" s="243"/>
      <c r="G358" s="243"/>
      <c r="H358" s="243"/>
      <c r="I358" s="243"/>
      <c r="J358" s="243"/>
      <c r="K358" s="243"/>
      <c r="L358" s="243"/>
      <c r="M358" s="243"/>
      <c r="N358" s="243"/>
      <c r="O358" s="243"/>
      <c r="P358" s="243"/>
      <c r="Q358" s="243"/>
      <c r="R358" s="243"/>
      <c r="S358" s="243"/>
      <c r="T358" s="243"/>
      <c r="U358" s="243"/>
      <c r="V358" s="243"/>
      <c r="W358" s="243"/>
      <c r="X358" s="243"/>
      <c r="Y358" s="243"/>
      <c r="Z358" s="243"/>
      <c r="AA358" s="243"/>
      <c r="AB358" s="207">
        <f t="shared" ref="AB358:CD358" si="1159">AB356/W356-1</f>
        <v>0.21500364725304277</v>
      </c>
      <c r="AC358" s="207">
        <f t="shared" si="1159"/>
        <v>-7.5472838237960138E-2</v>
      </c>
      <c r="AD358" s="207">
        <f t="shared" si="1159"/>
        <v>-0.23262349769227253</v>
      </c>
      <c r="AE358" s="207">
        <f t="shared" si="1159"/>
        <v>-0.17701069673315972</v>
      </c>
      <c r="AF358" s="207">
        <f t="shared" si="1159"/>
        <v>-8.7019882332307508E-2</v>
      </c>
      <c r="AG358" s="207">
        <f t="shared" si="1159"/>
        <v>-0.12156525695796161</v>
      </c>
      <c r="AH358" s="207">
        <f t="shared" si="1159"/>
        <v>-0.1285403050108932</v>
      </c>
      <c r="AI358" s="207">
        <f t="shared" si="1159"/>
        <v>8.6794700014887649E-2</v>
      </c>
      <c r="AJ358" s="207">
        <f t="shared" si="1159"/>
        <v>-3.7488758992805793E-2</v>
      </c>
      <c r="AK358" s="207">
        <f t="shared" si="1159"/>
        <v>2.1634195580951809E-2</v>
      </c>
      <c r="AL358" s="207">
        <f t="shared" si="1159"/>
        <v>-0.12230215827338131</v>
      </c>
      <c r="AM358" s="207">
        <f t="shared" si="1159"/>
        <v>-4.166666666666663E-2</v>
      </c>
      <c r="AN358" s="207">
        <f t="shared" si="1159"/>
        <v>-3.4246575342465779E-2</v>
      </c>
      <c r="AO358" s="207">
        <f t="shared" si="1159"/>
        <v>0.13868613138686126</v>
      </c>
      <c r="AP358" s="207">
        <f t="shared" si="1159"/>
        <v>7.3504273504273465E-2</v>
      </c>
      <c r="AQ358" s="207">
        <f t="shared" si="1159"/>
        <v>-0.31967213114754101</v>
      </c>
      <c r="AR358" s="207">
        <f t="shared" si="1159"/>
        <v>-1.7391304347826098E-2</v>
      </c>
      <c r="AS358" s="207">
        <f t="shared" si="1159"/>
        <v>-0.39007092198581561</v>
      </c>
      <c r="AT358" s="207">
        <f t="shared" si="1159"/>
        <v>-0.33333333333333337</v>
      </c>
      <c r="AU358" s="207">
        <f t="shared" si="1159"/>
        <v>-0.38535031847133761</v>
      </c>
      <c r="AV358" s="207">
        <f t="shared" si="1159"/>
        <v>0.16867469879518082</v>
      </c>
      <c r="AW358" s="207">
        <f t="shared" si="1159"/>
        <v>-0.40707964601769908</v>
      </c>
      <c r="AX358" s="207">
        <f t="shared" si="1159"/>
        <v>-0.2558139534883721</v>
      </c>
      <c r="AY358" s="207">
        <f t="shared" si="1159"/>
        <v>2.8846153846153744E-2</v>
      </c>
      <c r="AZ358" s="207">
        <f t="shared" si="1159"/>
        <v>-0.13212435233160624</v>
      </c>
      <c r="BA358" s="207">
        <f t="shared" si="1159"/>
        <v>-0.16494845360824739</v>
      </c>
      <c r="BB358" s="207">
        <f t="shared" si="1159"/>
        <v>0.43283582089552231</v>
      </c>
      <c r="BC358" s="207">
        <f t="shared" si="1159"/>
        <v>0.40625</v>
      </c>
      <c r="BD358" s="207">
        <f t="shared" si="1159"/>
        <v>0.99065420560747675</v>
      </c>
      <c r="BE358" s="207">
        <f t="shared" si="1159"/>
        <v>0.43283582089552231</v>
      </c>
      <c r="BF358" s="207">
        <f t="shared" si="1159"/>
        <v>0.28395061728395055</v>
      </c>
      <c r="BG358" s="207">
        <f t="shared" si="1159"/>
        <v>-0.48958333333333337</v>
      </c>
      <c r="BH358" s="207">
        <f t="shared" si="1159"/>
        <v>0</v>
      </c>
      <c r="BI358" s="207">
        <f t="shared" si="1159"/>
        <v>-0.46478873239436624</v>
      </c>
      <c r="BJ358" s="207">
        <f t="shared" si="1159"/>
        <v>-0.25624999999999998</v>
      </c>
      <c r="BK358" s="207">
        <f t="shared" si="1159"/>
        <v>2.8846153846153744E-2</v>
      </c>
      <c r="BL358" s="207">
        <f t="shared" si="1159"/>
        <v>0.93877551020408156</v>
      </c>
      <c r="BM358" s="207">
        <f t="shared" si="1159"/>
        <v>0.23333333333333339</v>
      </c>
      <c r="BN358" s="207">
        <f t="shared" si="1159"/>
        <v>0.22807017543859653</v>
      </c>
      <c r="BO358" s="207">
        <f t="shared" si="1159"/>
        <v>0.26890756302521002</v>
      </c>
      <c r="BP358" s="207">
        <f t="shared" si="1159"/>
        <v>-7.4766355140186924E-2</v>
      </c>
      <c r="BQ358" s="207">
        <f t="shared" si="1159"/>
        <v>-9.4736842105263119E-2</v>
      </c>
      <c r="BR358" s="207">
        <f t="shared" si="1159"/>
        <v>-8.108108108108103E-2</v>
      </c>
      <c r="BS358" s="207">
        <f t="shared" si="1159"/>
        <v>-0.18571428571428572</v>
      </c>
      <c r="BT358" s="207">
        <f t="shared" si="1159"/>
        <v>-0.11479028697571747</v>
      </c>
      <c r="BU358" s="207">
        <f t="shared" si="1159"/>
        <v>-0.12121212121212122</v>
      </c>
      <c r="BV358" s="207">
        <f t="shared" si="1159"/>
        <v>0.11627906976744184</v>
      </c>
      <c r="BW358" s="207">
        <f t="shared" si="1159"/>
        <v>0</v>
      </c>
      <c r="BX358" s="207">
        <f t="shared" si="1159"/>
        <v>-4.3859649122807043E-2</v>
      </c>
      <c r="BY358" s="207">
        <f t="shared" si="1159"/>
        <v>-1.7456359102244412E-2</v>
      </c>
      <c r="BZ358" s="207">
        <f t="shared" si="1159"/>
        <v>0.21839080459770122</v>
      </c>
      <c r="CA358" s="207">
        <f t="shared" si="1159"/>
        <v>-2.083333333333337E-2</v>
      </c>
      <c r="CB358" s="207">
        <f t="shared" si="1159"/>
        <v>0</v>
      </c>
      <c r="CC358" s="207">
        <f t="shared" si="1159"/>
        <v>0.15596330275229353</v>
      </c>
      <c r="CD358" s="207">
        <f t="shared" si="1159"/>
        <v>8.6294416243654748E-2</v>
      </c>
      <c r="CE358" s="207">
        <f t="shared" ref="CE358:CI358" si="1160">CE356/CD356-1</f>
        <v>4.4089290171825501E-2</v>
      </c>
      <c r="CF358" s="207">
        <f t="shared" si="1160"/>
        <v>2.5903624877396947E-2</v>
      </c>
      <c r="CG358" s="207">
        <f t="shared" si="1160"/>
        <v>2.8019731415444449E-2</v>
      </c>
      <c r="CH358" s="207">
        <f t="shared" si="1160"/>
        <v>3.0235918833480868E-2</v>
      </c>
      <c r="CI358" s="207">
        <f t="shared" si="1160"/>
        <v>3.2014729930445629E-2</v>
      </c>
      <c r="CJ358" s="207">
        <f t="shared" ref="CJ358" si="1161">CJ356/CI356-1</f>
        <v>3.0980300358093071E-2</v>
      </c>
      <c r="CK358" s="207">
        <f t="shared" ref="CK358" si="1162">CK356/CJ356-1</f>
        <v>3.0073817600475339E-2</v>
      </c>
      <c r="CL358" s="207">
        <f t="shared" ref="CL358:CM358" si="1163">CL356/CK356-1</f>
        <v>2.9280384514557722E-2</v>
      </c>
      <c r="CM358" s="207">
        <f t="shared" si="1163"/>
        <v>2.8587219019693855E-2</v>
      </c>
      <c r="CN358" s="195"/>
      <c r="CO358" s="195"/>
      <c r="CP358" s="195"/>
      <c r="CQ358" s="195"/>
      <c r="CR358" s="195"/>
      <c r="CS358" s="195"/>
      <c r="CT358" s="195"/>
    </row>
    <row r="359" spans="1:136">
      <c r="A359" s="276"/>
      <c r="B359" s="243"/>
      <c r="C359" s="243"/>
      <c r="D359" s="243"/>
      <c r="E359" s="243"/>
      <c r="F359" s="243"/>
      <c r="G359" s="243"/>
      <c r="H359" s="243"/>
      <c r="I359" s="243"/>
      <c r="J359" s="243"/>
      <c r="K359" s="243"/>
      <c r="L359" s="207"/>
      <c r="M359" s="207"/>
      <c r="N359" s="207"/>
      <c r="O359" s="207"/>
      <c r="P359" s="207"/>
      <c r="Q359" s="207"/>
      <c r="R359" s="207"/>
      <c r="S359" s="207"/>
      <c r="T359" s="207"/>
      <c r="U359" s="207"/>
      <c r="V359" s="207"/>
      <c r="W359" s="207"/>
      <c r="X359" s="207"/>
      <c r="Y359" s="207"/>
      <c r="Z359" s="207"/>
      <c r="AA359" s="207"/>
      <c r="AB359" s="207"/>
      <c r="AC359" s="207"/>
      <c r="AD359" s="207"/>
      <c r="AE359" s="207"/>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202"/>
      <c r="CT359" s="202"/>
    </row>
    <row r="360" spans="1:136">
      <c r="A360" s="286" t="s">
        <v>72</v>
      </c>
      <c r="B360" s="385"/>
      <c r="C360" s="385"/>
      <c r="D360" s="385"/>
      <c r="E360" s="385"/>
      <c r="F360" s="385"/>
      <c r="G360" s="385"/>
      <c r="H360" s="385"/>
      <c r="I360" s="385"/>
      <c r="J360" s="385"/>
      <c r="K360" s="385"/>
      <c r="L360" s="385"/>
      <c r="M360" s="385"/>
      <c r="N360" s="385"/>
      <c r="O360" s="385"/>
      <c r="P360" s="385"/>
      <c r="Q360" s="385"/>
      <c r="R360" s="385"/>
      <c r="S360" s="385"/>
      <c r="T360" s="385"/>
      <c r="U360" s="385"/>
      <c r="V360" s="385"/>
      <c r="W360" s="385"/>
      <c r="X360" s="385"/>
      <c r="Y360" s="385"/>
      <c r="Z360" s="385"/>
      <c r="AA360" s="385"/>
      <c r="AB360" s="385"/>
      <c r="AC360" s="385"/>
      <c r="AD360" s="385"/>
      <c r="AE360" s="385"/>
      <c r="AF360" s="385"/>
      <c r="AG360" s="385"/>
      <c r="AH360" s="385"/>
      <c r="AI360" s="385"/>
      <c r="AJ360" s="385"/>
      <c r="AK360" s="385"/>
      <c r="AL360" s="385"/>
      <c r="AM360" s="385"/>
      <c r="AN360" s="385"/>
      <c r="AO360" s="385"/>
      <c r="AP360" s="385"/>
      <c r="AQ360" s="385"/>
      <c r="AR360" s="385"/>
      <c r="AS360" s="385"/>
      <c r="AT360" s="385"/>
      <c r="AU360" s="385"/>
      <c r="AV360" s="385"/>
      <c r="AW360" s="385"/>
      <c r="AX360" s="385"/>
      <c r="AY360" s="385"/>
      <c r="AZ360" s="385"/>
      <c r="BA360" s="385"/>
      <c r="BB360" s="385"/>
      <c r="BC360" s="385"/>
      <c r="BD360" s="385"/>
      <c r="BE360" s="385"/>
      <c r="BF360" s="385"/>
      <c r="BG360" s="385"/>
      <c r="BH360" s="385"/>
      <c r="BI360" s="385"/>
      <c r="BJ360" s="385"/>
      <c r="BK360" s="385"/>
      <c r="BL360" s="385"/>
      <c r="BM360" s="385"/>
      <c r="BN360" s="385"/>
      <c r="BO360" s="385"/>
      <c r="BP360" s="385"/>
      <c r="BQ360" s="385"/>
      <c r="BR360" s="385"/>
      <c r="BS360" s="385"/>
      <c r="BT360" s="385"/>
      <c r="BU360" s="394">
        <f>'[2]Profit and Loss Highlights'!AQ$47</f>
        <v>34</v>
      </c>
      <c r="BV360" s="394">
        <f>'[2]Profit and Loss Highlights'!AR$47</f>
        <v>26</v>
      </c>
      <c r="BW360" s="394">
        <f>'[2]Profit and Loss Highlights'!AS$47</f>
        <v>25</v>
      </c>
      <c r="BX360" s="394">
        <f>'[2]Profit and Loss Highlights'!AT$47</f>
        <v>22</v>
      </c>
      <c r="BY360" s="195">
        <f>SUM(BU360:BX360)</f>
        <v>107</v>
      </c>
      <c r="BZ360" s="394">
        <f>'[2]Profit and Loss Highlights'!AU$47</f>
        <v>34</v>
      </c>
      <c r="CA360" s="394">
        <f>'[2]Profit and Loss Highlights'!AV$47</f>
        <v>37</v>
      </c>
      <c r="CB360" s="394">
        <f>'[2]Profit and Loss Highlights'!AW$47</f>
        <v>32</v>
      </c>
      <c r="CC360" s="394">
        <f>'[2]Profit and Loss Highlights'!AX$47</f>
        <v>26</v>
      </c>
      <c r="CD360" s="195">
        <f>SUM(BZ360:CC360)</f>
        <v>129</v>
      </c>
      <c r="CE360" s="385">
        <f>CE361*CE29</f>
        <v>116.17986517648001</v>
      </c>
      <c r="CF360" s="385">
        <f t="shared" ref="CF360:CM360" si="1164">CF361*CF29</f>
        <v>119.18934482231808</v>
      </c>
      <c r="CG360" s="385">
        <f t="shared" si="1164"/>
        <v>122.52899825182223</v>
      </c>
      <c r="CH360" s="385">
        <f t="shared" si="1164"/>
        <v>126.23377509771205</v>
      </c>
      <c r="CI360" s="385">
        <f t="shared" si="1164"/>
        <v>130.27511531556593</v>
      </c>
      <c r="CJ360" s="385">
        <f t="shared" si="1164"/>
        <v>134.31107751722737</v>
      </c>
      <c r="CK360" s="385">
        <f t="shared" si="1164"/>
        <v>138.35032436420377</v>
      </c>
      <c r="CL360" s="385">
        <f t="shared" si="1164"/>
        <v>142.40127505930141</v>
      </c>
      <c r="CM360" s="385">
        <f t="shared" si="1164"/>
        <v>146.47213149810534</v>
      </c>
      <c r="CN360" s="202"/>
      <c r="CO360" s="202"/>
      <c r="CP360" s="202"/>
      <c r="CQ360" s="202"/>
      <c r="CR360" s="202"/>
      <c r="CS360" s="195"/>
      <c r="CT360" s="195"/>
    </row>
    <row r="361" spans="1:136">
      <c r="A361" s="276" t="s">
        <v>64</v>
      </c>
      <c r="B361" s="243"/>
      <c r="C361" s="243"/>
      <c r="D361" s="243"/>
      <c r="E361" s="243"/>
      <c r="F361" s="243"/>
      <c r="G361" s="243"/>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43"/>
      <c r="AV361" s="243"/>
      <c r="AW361" s="243"/>
      <c r="AX361" s="243"/>
      <c r="AY361" s="243"/>
      <c r="AZ361" s="243"/>
      <c r="BA361" s="243"/>
      <c r="BB361" s="243"/>
      <c r="BC361" s="243"/>
      <c r="BD361" s="243"/>
      <c r="BE361" s="243"/>
      <c r="BF361" s="243"/>
      <c r="BG361" s="243"/>
      <c r="BH361" s="243"/>
      <c r="BI361" s="243"/>
      <c r="BJ361" s="243"/>
      <c r="BK361" s="243"/>
      <c r="BL361" s="243"/>
      <c r="BM361" s="243"/>
      <c r="BN361" s="243"/>
      <c r="BO361" s="243"/>
      <c r="BP361" s="243"/>
      <c r="BQ361" s="243"/>
      <c r="BR361" s="243"/>
      <c r="BS361" s="243"/>
      <c r="BT361" s="243"/>
      <c r="BU361" s="222">
        <f>BU360/BU29</f>
        <v>1.4131338320864505E-2</v>
      </c>
      <c r="BV361" s="222">
        <f t="shared" ref="BV361:CC361" si="1165">BV360/BV29</f>
        <v>1.0726072607260726E-2</v>
      </c>
      <c r="BW361" s="222">
        <f t="shared" si="1165"/>
        <v>1.0395010395010396E-2</v>
      </c>
      <c r="BX361" s="222">
        <f t="shared" si="1165"/>
        <v>8.6139389193422081E-3</v>
      </c>
      <c r="BY361" s="222">
        <f t="shared" si="1165"/>
        <v>1.0930636428644397E-2</v>
      </c>
      <c r="BZ361" s="222">
        <f t="shared" si="1165"/>
        <v>1.3460015835312747E-2</v>
      </c>
      <c r="CA361" s="222">
        <f t="shared" si="1165"/>
        <v>1.4979757085020242E-2</v>
      </c>
      <c r="CB361" s="222">
        <f t="shared" si="1165"/>
        <v>1.3104013104013105E-2</v>
      </c>
      <c r="CC361" s="222">
        <f t="shared" si="1165"/>
        <v>9.4821298322392417E-3</v>
      </c>
      <c r="CD361" s="375">
        <f>BY361</f>
        <v>1.0930636428644397E-2</v>
      </c>
      <c r="CE361" s="375">
        <f t="shared" ref="CE361:CI361" si="1166">CD361</f>
        <v>1.0930636428644397E-2</v>
      </c>
      <c r="CF361" s="375">
        <f t="shared" si="1166"/>
        <v>1.0930636428644397E-2</v>
      </c>
      <c r="CG361" s="375">
        <f t="shared" si="1166"/>
        <v>1.0930636428644397E-2</v>
      </c>
      <c r="CH361" s="375">
        <f t="shared" si="1166"/>
        <v>1.0930636428644397E-2</v>
      </c>
      <c r="CI361" s="375">
        <f t="shared" si="1166"/>
        <v>1.0930636428644397E-2</v>
      </c>
      <c r="CJ361" s="375">
        <f t="shared" ref="CJ361" si="1167">CI361</f>
        <v>1.0930636428644397E-2</v>
      </c>
      <c r="CK361" s="375">
        <f t="shared" ref="CK361" si="1168">CJ361</f>
        <v>1.0930636428644397E-2</v>
      </c>
      <c r="CL361" s="375">
        <f t="shared" ref="CL361:CM361" si="1169">CK361</f>
        <v>1.0930636428644397E-2</v>
      </c>
      <c r="CM361" s="375">
        <f t="shared" si="1169"/>
        <v>1.0930636428644397E-2</v>
      </c>
      <c r="CN361" s="195"/>
      <c r="CO361" s="195"/>
      <c r="CP361" s="195"/>
      <c r="CQ361" s="195"/>
      <c r="CR361" s="195"/>
      <c r="CS361" s="195"/>
      <c r="CT361" s="195"/>
      <c r="DV361" s="265"/>
      <c r="DW361" s="265"/>
      <c r="DX361" s="265"/>
      <c r="DY361" s="265"/>
      <c r="DZ361" s="265"/>
      <c r="EA361" s="265"/>
      <c r="EB361" s="265"/>
      <c r="EC361" s="265"/>
      <c r="ED361" s="265"/>
      <c r="EE361" s="265"/>
    </row>
    <row r="362" spans="1:136">
      <c r="A362" s="276" t="s">
        <v>65</v>
      </c>
      <c r="B362" s="243"/>
      <c r="C362" s="243"/>
      <c r="D362" s="243"/>
      <c r="E362" s="243"/>
      <c r="F362" s="243"/>
      <c r="G362" s="243"/>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43"/>
      <c r="AV362" s="243"/>
      <c r="AW362" s="243"/>
      <c r="AX362" s="243"/>
      <c r="AY362" s="243"/>
      <c r="AZ362" s="243"/>
      <c r="BA362" s="243"/>
      <c r="BB362" s="243"/>
      <c r="BC362" s="243"/>
      <c r="BD362" s="243"/>
      <c r="BE362" s="243"/>
      <c r="BF362" s="243"/>
      <c r="BG362" s="243"/>
      <c r="BH362" s="243"/>
      <c r="BI362" s="243"/>
      <c r="BJ362" s="243"/>
      <c r="BK362" s="243"/>
      <c r="BL362" s="243"/>
      <c r="BM362" s="243"/>
      <c r="BN362" s="243"/>
      <c r="BO362" s="243"/>
      <c r="BP362" s="243"/>
      <c r="BQ362" s="243"/>
      <c r="BR362" s="243"/>
      <c r="BS362" s="243"/>
      <c r="BT362" s="243"/>
      <c r="BU362" s="222"/>
      <c r="BV362" s="222"/>
      <c r="BW362" s="222"/>
      <c r="BX362" s="222"/>
      <c r="BY362" s="243"/>
      <c r="BZ362" s="222"/>
      <c r="CA362" s="222"/>
      <c r="CB362" s="222"/>
      <c r="CC362" s="222"/>
      <c r="CD362" s="243"/>
      <c r="CE362" s="243"/>
      <c r="CF362" s="243"/>
      <c r="CG362" s="243"/>
      <c r="CH362" s="243"/>
      <c r="CI362" s="243"/>
      <c r="CJ362" s="243"/>
      <c r="CK362" s="243"/>
      <c r="CL362" s="243"/>
      <c r="CM362" s="243"/>
      <c r="CN362" s="195"/>
      <c r="CO362" s="195"/>
      <c r="CP362" s="195"/>
      <c r="CQ362" s="195"/>
      <c r="CR362" s="195"/>
      <c r="CS362" s="195"/>
      <c r="CT362" s="195"/>
    </row>
    <row r="363" spans="1:136">
      <c r="A363" s="276"/>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202"/>
      <c r="CT363" s="202"/>
      <c r="DW363" s="265"/>
      <c r="DX363" s="265"/>
      <c r="DY363" s="265"/>
      <c r="DZ363" s="265"/>
    </row>
    <row r="364" spans="1:136">
      <c r="A364" s="286" t="s">
        <v>73</v>
      </c>
      <c r="B364" s="373"/>
      <c r="C364" s="373"/>
      <c r="D364" s="373"/>
      <c r="E364" s="373"/>
      <c r="F364" s="373"/>
      <c r="G364" s="385"/>
      <c r="H364" s="385"/>
      <c r="I364" s="385"/>
      <c r="J364" s="385"/>
      <c r="K364" s="385"/>
      <c r="L364" s="385"/>
      <c r="M364" s="385"/>
      <c r="N364" s="385"/>
      <c r="O364" s="385"/>
      <c r="P364" s="385"/>
      <c r="Q364" s="385"/>
      <c r="R364" s="385"/>
      <c r="S364" s="385"/>
      <c r="T364" s="385"/>
      <c r="U364" s="385"/>
      <c r="V364" s="385"/>
      <c r="W364" s="385">
        <f>W$419*W365</f>
        <v>-22.4175</v>
      </c>
      <c r="X364" s="385">
        <f>X$419*X365</f>
        <v>25.564499999999999</v>
      </c>
      <c r="Y364" s="385">
        <f>Y$419*Y365</f>
        <v>22.16</v>
      </c>
      <c r="Z364" s="385">
        <f>Z$419*Z365</f>
        <v>9.2240000000000002</v>
      </c>
      <c r="AA364" s="385">
        <f>SUM(W364:Z364)</f>
        <v>34.530999999999999</v>
      </c>
      <c r="AB364" s="385">
        <f>AB$419*AB365</f>
        <v>20.942999999999998</v>
      </c>
      <c r="AC364" s="385">
        <f>AC$419*AC365</f>
        <v>16.065000000000001</v>
      </c>
      <c r="AD364" s="385">
        <f>AD$419*AD365</f>
        <v>8.9559999999999995</v>
      </c>
      <c r="AE364" s="385">
        <f>AE$419*AE365</f>
        <v>22.240000000000002</v>
      </c>
      <c r="AF364" s="385">
        <f>SUM(AB364:AE364)</f>
        <v>68.204000000000008</v>
      </c>
      <c r="AG364" s="390">
        <v>11.3</v>
      </c>
      <c r="AH364" s="390">
        <v>9.3000000000000007</v>
      </c>
      <c r="AI364" s="390">
        <v>14.5</v>
      </c>
      <c r="AJ364" s="390">
        <v>17.7</v>
      </c>
      <c r="AK364" s="390">
        <v>54</v>
      </c>
      <c r="AL364" s="390">
        <v>2.5</v>
      </c>
      <c r="AM364" s="390">
        <v>10.1</v>
      </c>
      <c r="AN364" s="390">
        <v>7</v>
      </c>
      <c r="AO364" s="390">
        <v>8</v>
      </c>
      <c r="AP364" s="390">
        <v>29</v>
      </c>
      <c r="AQ364" s="390">
        <v>-2</v>
      </c>
      <c r="AR364" s="390">
        <v>2</v>
      </c>
      <c r="AS364" s="390">
        <v>-35</v>
      </c>
      <c r="AT364" s="390">
        <v>-25</v>
      </c>
      <c r="AU364" s="390">
        <f>SUM(AQ364:AT364)</f>
        <v>-60</v>
      </c>
      <c r="AV364" s="390">
        <v>-10</v>
      </c>
      <c r="AW364" s="390">
        <f>'[2]Profit and Loss Highlights'!X$49</f>
        <v>0</v>
      </c>
      <c r="AX364" s="390">
        <f>'[2]Profit and Loss Highlights'!Y$49</f>
        <v>0</v>
      </c>
      <c r="AY364" s="390">
        <f>'[2]Profit and Loss Highlights'!Z$49</f>
        <v>0</v>
      </c>
      <c r="AZ364" s="390">
        <f>SUM(AV364:AY364)</f>
        <v>-10</v>
      </c>
      <c r="BA364" s="390">
        <f>'[2]Profit and Loss Highlights'!AA$49</f>
        <v>0</v>
      </c>
      <c r="BB364" s="390">
        <f>'[2]Profit and Loss Highlights'!AB$49</f>
        <v>0</v>
      </c>
      <c r="BC364" s="390">
        <f>'[2]Profit and Loss Highlights'!AC$49</f>
        <v>0</v>
      </c>
      <c r="BD364" s="390">
        <f>'[2]Profit and Loss Highlights'!AD$49</f>
        <v>0</v>
      </c>
      <c r="BE364" s="195">
        <f>SUM(BA364:BD364)</f>
        <v>0</v>
      </c>
      <c r="BF364" s="390">
        <f>'[2]Profit and Loss Highlights'!AE$49</f>
        <v>0</v>
      </c>
      <c r="BG364" s="390">
        <f>'[2]Profit and Loss Highlights'!AF$49</f>
        <v>0</v>
      </c>
      <c r="BH364" s="390">
        <f>'[2]Profit and Loss Highlights'!AG$49</f>
        <v>0</v>
      </c>
      <c r="BI364" s="390">
        <f>'[2]Profit and Loss Highlights'!AH$49</f>
        <v>0</v>
      </c>
      <c r="BJ364" s="195">
        <f>SUM(BF364:BI364)</f>
        <v>0</v>
      </c>
      <c r="BK364" s="390">
        <f>'[2]Profit and Loss Highlights'!AI$49</f>
        <v>0</v>
      </c>
      <c r="BL364" s="390">
        <f>'[2]Profit and Loss Highlights'!AJ$49</f>
        <v>0</v>
      </c>
      <c r="BM364" s="390">
        <f>'[2]Profit and Loss Highlights'!AK$49</f>
        <v>0</v>
      </c>
      <c r="BN364" s="390">
        <f>'[2]Profit and Loss Highlights'!AL$49</f>
        <v>0</v>
      </c>
      <c r="BO364" s="195">
        <f>SUM(BK364:BN364)</f>
        <v>0</v>
      </c>
      <c r="BP364" s="390">
        <f>'[2]Profit and Loss Highlights'!AM$49</f>
        <v>0</v>
      </c>
      <c r="BQ364" s="390">
        <f>'[2]Profit and Loss Highlights'!AN$49</f>
        <v>0</v>
      </c>
      <c r="BR364" s="390">
        <f>'[2]Profit and Loss Highlights'!AO$49</f>
        <v>0</v>
      </c>
      <c r="BS364" s="390">
        <f>'[2]Profit and Loss Highlights'!AP$49</f>
        <v>0</v>
      </c>
      <c r="BT364" s="195">
        <f>SUM(BP364:BS364)</f>
        <v>0</v>
      </c>
      <c r="BU364" s="395">
        <f>BU368-BU360-BU356-BU352-BU348-BU340-BU323-BU320-BU330</f>
        <v>0</v>
      </c>
      <c r="BV364" s="395">
        <f t="shared" ref="BV364:BX364" si="1170">BV368-BV360-BV356-BV352-BV348-BV340-BV323-BV320-BV330</f>
        <v>0</v>
      </c>
      <c r="BW364" s="395">
        <f t="shared" si="1170"/>
        <v>0</v>
      </c>
      <c r="BX364" s="395">
        <f t="shared" si="1170"/>
        <v>0</v>
      </c>
      <c r="BY364" s="195">
        <f>SUM(BU364:BX364)</f>
        <v>0</v>
      </c>
      <c r="BZ364" s="395">
        <f>BZ368-BZ360-BZ356-BZ352-BZ348-BZ340-BZ323-BZ320-BZ330</f>
        <v>0</v>
      </c>
      <c r="CA364" s="395">
        <f t="shared" ref="CA364:CC364" si="1171">CA368-CA360-CA356-CA352-CA348-CA340-CA323-CA320-CA330</f>
        <v>0</v>
      </c>
      <c r="CB364" s="395">
        <f t="shared" si="1171"/>
        <v>0</v>
      </c>
      <c r="CC364" s="395">
        <f t="shared" si="1171"/>
        <v>0</v>
      </c>
      <c r="CD364" s="195">
        <f>SUM(BZ364:CC364)</f>
        <v>0</v>
      </c>
      <c r="CE364" s="385">
        <f>CE29*CE365</f>
        <v>0</v>
      </c>
      <c r="CF364" s="385">
        <f t="shared" ref="CF364:CM364" si="1172">CF29*CF365</f>
        <v>0</v>
      </c>
      <c r="CG364" s="385">
        <f t="shared" si="1172"/>
        <v>0</v>
      </c>
      <c r="CH364" s="385">
        <f t="shared" si="1172"/>
        <v>0</v>
      </c>
      <c r="CI364" s="385">
        <f t="shared" si="1172"/>
        <v>0</v>
      </c>
      <c r="CJ364" s="385">
        <f t="shared" si="1172"/>
        <v>0</v>
      </c>
      <c r="CK364" s="385">
        <f t="shared" si="1172"/>
        <v>0</v>
      </c>
      <c r="CL364" s="385">
        <f t="shared" si="1172"/>
        <v>0</v>
      </c>
      <c r="CM364" s="385">
        <f t="shared" si="1172"/>
        <v>0</v>
      </c>
      <c r="CN364" s="202"/>
      <c r="CO364" s="202"/>
      <c r="CP364" s="202"/>
      <c r="CQ364" s="202"/>
      <c r="CR364" s="202"/>
      <c r="CS364" s="195"/>
      <c r="CT364" s="195"/>
    </row>
    <row r="365" spans="1:136">
      <c r="A365" s="276" t="s">
        <v>64</v>
      </c>
      <c r="B365" s="243"/>
      <c r="C365" s="243"/>
      <c r="D365" s="243"/>
      <c r="E365" s="243"/>
      <c r="F365" s="243"/>
      <c r="G365" s="243"/>
      <c r="H365" s="243"/>
      <c r="I365" s="243"/>
      <c r="J365" s="243"/>
      <c r="K365" s="243"/>
      <c r="L365" s="243"/>
      <c r="M365" s="243"/>
      <c r="N365" s="243"/>
      <c r="O365" s="243"/>
      <c r="P365" s="243"/>
      <c r="Q365" s="243"/>
      <c r="R365" s="243"/>
      <c r="S365" s="243"/>
      <c r="T365" s="243"/>
      <c r="U365" s="243"/>
      <c r="V365" s="243"/>
      <c r="W365" s="375">
        <v>-1.0500000000000001E-2</v>
      </c>
      <c r="X365" s="375">
        <v>1.15E-2</v>
      </c>
      <c r="Y365" s="375">
        <v>0.01</v>
      </c>
      <c r="Z365" s="375">
        <v>4.0000000000000001E-3</v>
      </c>
      <c r="AA365" s="243"/>
      <c r="AB365" s="375">
        <v>8.9999999999999993E-3</v>
      </c>
      <c r="AC365" s="375">
        <v>7.0000000000000001E-3</v>
      </c>
      <c r="AD365" s="375">
        <v>4.0000000000000001E-3</v>
      </c>
      <c r="AE365" s="375">
        <v>0.01</v>
      </c>
      <c r="AF365" s="243">
        <f t="shared" ref="AF365:BZ365" si="1173">AF364/AF29</f>
        <v>7.5544073726691828E-3</v>
      </c>
      <c r="AG365" s="243">
        <f t="shared" si="1173"/>
        <v>5.3327041057102407E-3</v>
      </c>
      <c r="AH365" s="243">
        <f t="shared" si="1173"/>
        <v>4.4668587896253605E-3</v>
      </c>
      <c r="AI365" s="243">
        <f t="shared" si="1173"/>
        <v>7.0217917675544795E-3</v>
      </c>
      <c r="AJ365" s="243">
        <f t="shared" si="1173"/>
        <v>8.3372585963259541E-3</v>
      </c>
      <c r="AK365" s="243">
        <f t="shared" si="1173"/>
        <v>6.425511661113755E-3</v>
      </c>
      <c r="AL365" s="243">
        <f t="shared" si="1173"/>
        <v>1.1633317822242904E-3</v>
      </c>
      <c r="AM365" s="243">
        <f t="shared" si="1173"/>
        <v>4.7867298578199054E-3</v>
      </c>
      <c r="AN365" s="243">
        <f t="shared" si="1173"/>
        <v>3.2317636195752539E-3</v>
      </c>
      <c r="AO365" s="243">
        <f t="shared" si="1173"/>
        <v>3.6764705882352941E-3</v>
      </c>
      <c r="AP365" s="243">
        <f t="shared" si="1173"/>
        <v>3.3717009650040693E-3</v>
      </c>
      <c r="AQ365" s="243">
        <f t="shared" si="1173"/>
        <v>-9.3457943925233649E-4</v>
      </c>
      <c r="AR365" s="243">
        <f t="shared" si="1173"/>
        <v>9.5147478591817321E-4</v>
      </c>
      <c r="AS365" s="243">
        <f t="shared" si="1173"/>
        <v>-1.6233766233766232E-2</v>
      </c>
      <c r="AT365" s="243">
        <f t="shared" si="1173"/>
        <v>-1.1291779584462511E-2</v>
      </c>
      <c r="AU365" s="243">
        <f t="shared" si="1173"/>
        <v>-6.9670227589410123E-3</v>
      </c>
      <c r="AV365" s="243">
        <f t="shared" si="1173"/>
        <v>-4.2105263157894736E-3</v>
      </c>
      <c r="AW365" s="243">
        <f t="shared" si="1173"/>
        <v>0</v>
      </c>
      <c r="AX365" s="243">
        <f t="shared" si="1173"/>
        <v>0</v>
      </c>
      <c r="AY365" s="243">
        <f t="shared" si="1173"/>
        <v>0</v>
      </c>
      <c r="AZ365" s="243">
        <f t="shared" si="1173"/>
        <v>-1.0616838305552607E-3</v>
      </c>
      <c r="BA365" s="243">
        <f t="shared" si="1173"/>
        <v>0</v>
      </c>
      <c r="BB365" s="243">
        <f t="shared" si="1173"/>
        <v>0</v>
      </c>
      <c r="BC365" s="243">
        <f t="shared" si="1173"/>
        <v>0</v>
      </c>
      <c r="BD365" s="243">
        <f t="shared" si="1173"/>
        <v>0</v>
      </c>
      <c r="BE365" s="243">
        <f t="shared" si="1173"/>
        <v>0</v>
      </c>
      <c r="BF365" s="243">
        <f t="shared" si="1173"/>
        <v>0</v>
      </c>
      <c r="BG365" s="243">
        <f t="shared" si="1173"/>
        <v>0</v>
      </c>
      <c r="BH365" s="243">
        <f t="shared" si="1173"/>
        <v>0</v>
      </c>
      <c r="BI365" s="243">
        <f t="shared" si="1173"/>
        <v>0</v>
      </c>
      <c r="BJ365" s="243">
        <f t="shared" si="1173"/>
        <v>0</v>
      </c>
      <c r="BK365" s="243">
        <f t="shared" si="1173"/>
        <v>0</v>
      </c>
      <c r="BL365" s="243">
        <f t="shared" si="1173"/>
        <v>0</v>
      </c>
      <c r="BM365" s="243">
        <f t="shared" si="1173"/>
        <v>0</v>
      </c>
      <c r="BN365" s="243">
        <f t="shared" si="1173"/>
        <v>0</v>
      </c>
      <c r="BO365" s="243">
        <f t="shared" si="1173"/>
        <v>0</v>
      </c>
      <c r="BP365" s="243">
        <f t="shared" si="1173"/>
        <v>0</v>
      </c>
      <c r="BQ365" s="243">
        <f t="shared" si="1173"/>
        <v>0</v>
      </c>
      <c r="BR365" s="243">
        <f t="shared" si="1173"/>
        <v>0</v>
      </c>
      <c r="BS365" s="243">
        <f t="shared" si="1173"/>
        <v>0</v>
      </c>
      <c r="BT365" s="243">
        <f t="shared" si="1173"/>
        <v>0</v>
      </c>
      <c r="BU365" s="222">
        <f t="shared" si="1173"/>
        <v>0</v>
      </c>
      <c r="BV365" s="222">
        <f t="shared" si="1173"/>
        <v>0</v>
      </c>
      <c r="BW365" s="222">
        <f t="shared" si="1173"/>
        <v>0</v>
      </c>
      <c r="BX365" s="222">
        <f t="shared" si="1173"/>
        <v>0</v>
      </c>
      <c r="BY365" s="243">
        <f t="shared" si="1173"/>
        <v>0</v>
      </c>
      <c r="BZ365" s="222">
        <f t="shared" si="1173"/>
        <v>0</v>
      </c>
      <c r="CA365" s="222">
        <f>CA364/CA29</f>
        <v>0</v>
      </c>
      <c r="CB365" s="222">
        <f>CB364/CB29</f>
        <v>0</v>
      </c>
      <c r="CC365" s="222">
        <f t="shared" ref="CC365:CD365" si="1174">CC364/CC29</f>
        <v>0</v>
      </c>
      <c r="CD365" s="243">
        <f t="shared" si="1174"/>
        <v>0</v>
      </c>
      <c r="CE365" s="312">
        <f t="shared" ref="CE365:CI365" si="1175">CD365</f>
        <v>0</v>
      </c>
      <c r="CF365" s="312">
        <f t="shared" si="1175"/>
        <v>0</v>
      </c>
      <c r="CG365" s="312">
        <f t="shared" si="1175"/>
        <v>0</v>
      </c>
      <c r="CH365" s="312">
        <f t="shared" si="1175"/>
        <v>0</v>
      </c>
      <c r="CI365" s="312">
        <f t="shared" si="1175"/>
        <v>0</v>
      </c>
      <c r="CJ365" s="312">
        <f t="shared" ref="CJ365" si="1176">CI365</f>
        <v>0</v>
      </c>
      <c r="CK365" s="312">
        <f t="shared" ref="CK365" si="1177">CJ365</f>
        <v>0</v>
      </c>
      <c r="CL365" s="312">
        <f t="shared" ref="CL365:CM365" si="1178">CK365</f>
        <v>0</v>
      </c>
      <c r="CM365" s="312">
        <f t="shared" si="1178"/>
        <v>0</v>
      </c>
      <c r="CN365" s="195"/>
      <c r="CO365" s="195"/>
      <c r="CP365" s="195"/>
      <c r="CQ365" s="195"/>
      <c r="CR365" s="195"/>
      <c r="CS365" s="195"/>
      <c r="CT365" s="195"/>
      <c r="DV365" s="265"/>
      <c r="DW365" s="265"/>
      <c r="DX365" s="265"/>
      <c r="DY365" s="265"/>
      <c r="DZ365" s="265"/>
      <c r="EA365" s="265"/>
      <c r="EB365" s="265"/>
      <c r="EC365" s="265"/>
      <c r="ED365" s="265"/>
      <c r="EE365" s="265"/>
    </row>
    <row r="366" spans="1:136">
      <c r="A366" s="276" t="s">
        <v>65</v>
      </c>
      <c r="B366" s="243"/>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c r="AA366" s="243"/>
      <c r="AB366" s="243">
        <f t="shared" ref="AB366:CC366" si="1179">AB364/W364-1</f>
        <v>-1.9342254934760787</v>
      </c>
      <c r="AC366" s="243">
        <f t="shared" si="1179"/>
        <v>-0.37158950888928</v>
      </c>
      <c r="AD366" s="243">
        <f t="shared" si="1179"/>
        <v>-0.59584837545126357</v>
      </c>
      <c r="AE366" s="243">
        <f t="shared" si="1179"/>
        <v>1.4111014744145707</v>
      </c>
      <c r="AF366" s="243">
        <f t="shared" si="1179"/>
        <v>0.97515276128695993</v>
      </c>
      <c r="AG366" s="243">
        <f t="shared" si="1179"/>
        <v>-0.46044024256314753</v>
      </c>
      <c r="AH366" s="243">
        <f t="shared" si="1179"/>
        <v>-0.42110177404295046</v>
      </c>
      <c r="AI366" s="243">
        <f t="shared" si="1179"/>
        <v>0.61902635104957571</v>
      </c>
      <c r="AJ366" s="243">
        <f t="shared" si="1179"/>
        <v>-0.20413669064748208</v>
      </c>
      <c r="AK366" s="243">
        <f t="shared" si="1179"/>
        <v>-0.20825758020057483</v>
      </c>
      <c r="AL366" s="243">
        <f t="shared" si="1179"/>
        <v>-0.77876106194690264</v>
      </c>
      <c r="AM366" s="243">
        <f t="shared" si="1179"/>
        <v>8.602150537634401E-2</v>
      </c>
      <c r="AN366" s="243">
        <f t="shared" si="1179"/>
        <v>-0.51724137931034475</v>
      </c>
      <c r="AO366" s="243">
        <f t="shared" si="1179"/>
        <v>-0.54802259887005644</v>
      </c>
      <c r="AP366" s="243">
        <f t="shared" si="1179"/>
        <v>-0.46296296296296291</v>
      </c>
      <c r="AQ366" s="243">
        <f t="shared" si="1179"/>
        <v>-1.8</v>
      </c>
      <c r="AR366" s="243">
        <f t="shared" si="1179"/>
        <v>-0.80198019801980203</v>
      </c>
      <c r="AS366" s="243">
        <f t="shared" si="1179"/>
        <v>-6</v>
      </c>
      <c r="AT366" s="243">
        <f t="shared" si="1179"/>
        <v>-4.125</v>
      </c>
      <c r="AU366" s="243">
        <f t="shared" si="1179"/>
        <v>-3.0689655172413794</v>
      </c>
      <c r="AV366" s="243">
        <f t="shared" si="1179"/>
        <v>4</v>
      </c>
      <c r="AW366" s="243">
        <f t="shared" si="1179"/>
        <v>-1</v>
      </c>
      <c r="AX366" s="243">
        <f t="shared" si="1179"/>
        <v>-1</v>
      </c>
      <c r="AY366" s="243">
        <f t="shared" si="1179"/>
        <v>-1</v>
      </c>
      <c r="AZ366" s="243">
        <f t="shared" si="1179"/>
        <v>-0.83333333333333337</v>
      </c>
      <c r="BA366" s="243">
        <f t="shared" si="1179"/>
        <v>-1</v>
      </c>
      <c r="BB366" s="243" t="e">
        <f t="shared" si="1179"/>
        <v>#DIV/0!</v>
      </c>
      <c r="BC366" s="243" t="e">
        <f t="shared" si="1179"/>
        <v>#DIV/0!</v>
      </c>
      <c r="BD366" s="243" t="e">
        <f t="shared" si="1179"/>
        <v>#DIV/0!</v>
      </c>
      <c r="BE366" s="243">
        <f t="shared" si="1179"/>
        <v>-1</v>
      </c>
      <c r="BF366" s="243" t="e">
        <f t="shared" si="1179"/>
        <v>#DIV/0!</v>
      </c>
      <c r="BG366" s="243" t="e">
        <f t="shared" si="1179"/>
        <v>#DIV/0!</v>
      </c>
      <c r="BH366" s="243" t="e">
        <f t="shared" si="1179"/>
        <v>#DIV/0!</v>
      </c>
      <c r="BI366" s="243" t="e">
        <f t="shared" si="1179"/>
        <v>#DIV/0!</v>
      </c>
      <c r="BJ366" s="243" t="e">
        <f t="shared" si="1179"/>
        <v>#DIV/0!</v>
      </c>
      <c r="BK366" s="243" t="e">
        <f t="shared" si="1179"/>
        <v>#DIV/0!</v>
      </c>
      <c r="BL366" s="243" t="e">
        <f t="shared" si="1179"/>
        <v>#DIV/0!</v>
      </c>
      <c r="BM366" s="243" t="e">
        <f t="shared" si="1179"/>
        <v>#DIV/0!</v>
      </c>
      <c r="BN366" s="243" t="e">
        <f t="shared" si="1179"/>
        <v>#DIV/0!</v>
      </c>
      <c r="BO366" s="243" t="e">
        <f t="shared" si="1179"/>
        <v>#DIV/0!</v>
      </c>
      <c r="BP366" s="243" t="e">
        <f t="shared" si="1179"/>
        <v>#DIV/0!</v>
      </c>
      <c r="BQ366" s="243" t="e">
        <f t="shared" si="1179"/>
        <v>#DIV/0!</v>
      </c>
      <c r="BR366" s="243" t="e">
        <f t="shared" si="1179"/>
        <v>#DIV/0!</v>
      </c>
      <c r="BS366" s="243" t="e">
        <f t="shared" si="1179"/>
        <v>#DIV/0!</v>
      </c>
      <c r="BT366" s="243" t="e">
        <f t="shared" si="1179"/>
        <v>#DIV/0!</v>
      </c>
      <c r="BU366" s="222" t="e">
        <f t="shared" si="1179"/>
        <v>#DIV/0!</v>
      </c>
      <c r="BV366" s="222" t="e">
        <f t="shared" si="1179"/>
        <v>#DIV/0!</v>
      </c>
      <c r="BW366" s="222" t="e">
        <f t="shared" si="1179"/>
        <v>#DIV/0!</v>
      </c>
      <c r="BX366" s="222" t="e">
        <f t="shared" si="1179"/>
        <v>#DIV/0!</v>
      </c>
      <c r="BY366" s="243" t="e">
        <f t="shared" si="1179"/>
        <v>#DIV/0!</v>
      </c>
      <c r="BZ366" s="222" t="e">
        <f t="shared" si="1179"/>
        <v>#DIV/0!</v>
      </c>
      <c r="CA366" s="222" t="e">
        <f t="shared" si="1179"/>
        <v>#DIV/0!</v>
      </c>
      <c r="CB366" s="222" t="e">
        <f t="shared" si="1179"/>
        <v>#DIV/0!</v>
      </c>
      <c r="CC366" s="222" t="e">
        <f t="shared" si="1179"/>
        <v>#DIV/0!</v>
      </c>
      <c r="CD366" s="243" t="e">
        <f>CD364/BY364-1</f>
        <v>#DIV/0!</v>
      </c>
      <c r="CE366" s="243" t="e">
        <f t="shared" ref="CE366:CI366" si="1180">CE364/CD364-1</f>
        <v>#DIV/0!</v>
      </c>
      <c r="CF366" s="243" t="e">
        <f t="shared" si="1180"/>
        <v>#DIV/0!</v>
      </c>
      <c r="CG366" s="243" t="e">
        <f t="shared" si="1180"/>
        <v>#DIV/0!</v>
      </c>
      <c r="CH366" s="243" t="e">
        <f t="shared" si="1180"/>
        <v>#DIV/0!</v>
      </c>
      <c r="CI366" s="243" t="e">
        <f t="shared" si="1180"/>
        <v>#DIV/0!</v>
      </c>
      <c r="CJ366" s="243" t="e">
        <f t="shared" ref="CJ366" si="1181">CJ364/CI364-1</f>
        <v>#DIV/0!</v>
      </c>
      <c r="CK366" s="243" t="e">
        <f t="shared" ref="CK366" si="1182">CK364/CJ364-1</f>
        <v>#DIV/0!</v>
      </c>
      <c r="CL366" s="243" t="e">
        <f t="shared" ref="CL366:CM366" si="1183">CL364/CK364-1</f>
        <v>#DIV/0!</v>
      </c>
      <c r="CM366" s="243" t="e">
        <f t="shared" si="1183"/>
        <v>#DIV/0!</v>
      </c>
      <c r="CN366" s="195"/>
      <c r="CO366" s="195"/>
      <c r="CP366" s="195"/>
      <c r="CQ366" s="195"/>
      <c r="CR366" s="195"/>
      <c r="CS366" s="195"/>
      <c r="CT366" s="195"/>
    </row>
    <row r="367" spans="1:136">
      <c r="A367" s="276"/>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43"/>
      <c r="AV367" s="243"/>
      <c r="AW367" s="243"/>
      <c r="AX367" s="243"/>
      <c r="AY367" s="243"/>
      <c r="AZ367" s="243"/>
      <c r="BA367" s="243"/>
      <c r="BB367" s="243"/>
      <c r="BC367" s="243"/>
      <c r="BD367" s="243"/>
      <c r="BE367" s="243"/>
      <c r="BF367" s="243"/>
      <c r="BG367" s="243"/>
      <c r="BH367" s="243"/>
      <c r="BI367" s="243"/>
      <c r="BJ367" s="243"/>
      <c r="BK367" s="243"/>
      <c r="BL367" s="243"/>
      <c r="BM367" s="243"/>
      <c r="BN367" s="243"/>
      <c r="BO367" s="243"/>
      <c r="BP367" s="243"/>
      <c r="BQ367" s="243"/>
      <c r="BR367" s="243"/>
      <c r="BS367" s="243"/>
      <c r="BT367" s="243"/>
      <c r="BU367" s="222"/>
      <c r="BV367" s="222"/>
      <c r="BW367" s="222"/>
      <c r="BX367" s="222"/>
      <c r="BY367" s="243"/>
      <c r="BZ367" s="222"/>
      <c r="CA367" s="222"/>
      <c r="CB367" s="222"/>
      <c r="CC367" s="222"/>
      <c r="CD367" s="243"/>
      <c r="CE367" s="243"/>
      <c r="CF367" s="243"/>
      <c r="CG367" s="243"/>
      <c r="CH367" s="243"/>
      <c r="CI367" s="243"/>
      <c r="CJ367" s="243"/>
      <c r="CK367" s="243"/>
      <c r="CL367" s="243"/>
      <c r="CM367" s="243"/>
      <c r="CN367" s="195"/>
      <c r="CO367" s="195"/>
      <c r="CP367" s="195"/>
      <c r="CQ367" s="195"/>
      <c r="CR367" s="195"/>
      <c r="CS367" s="195"/>
      <c r="CT367" s="195"/>
      <c r="DV367" s="265"/>
      <c r="DW367" s="265"/>
      <c r="DX367" s="265"/>
      <c r="DY367" s="265"/>
      <c r="DZ367" s="265"/>
      <c r="EA367" s="265"/>
      <c r="EB367" s="265"/>
      <c r="EC367" s="265"/>
      <c r="ED367" s="265"/>
      <c r="EE367" s="265"/>
    </row>
    <row r="368" spans="1:136">
      <c r="A368" s="396" t="s">
        <v>74</v>
      </c>
      <c r="B368" s="397">
        <f>SUM(B364+B356+B348+B344+B326+B340+B360+B438+B352+B439)</f>
        <v>894</v>
      </c>
      <c r="C368" s="397"/>
      <c r="D368" s="397"/>
      <c r="E368" s="397"/>
      <c r="F368" s="397">
        <f t="shared" ref="F368:AK368" si="1184">SUM(F364+F356+F348+F344+F326+F340+F360+F438+F352+F439)</f>
        <v>0</v>
      </c>
      <c r="G368" s="397">
        <f t="shared" si="1184"/>
        <v>1192.2</v>
      </c>
      <c r="H368" s="397">
        <f t="shared" si="1184"/>
        <v>0</v>
      </c>
      <c r="I368" s="397">
        <f t="shared" si="1184"/>
        <v>0</v>
      </c>
      <c r="J368" s="397">
        <f t="shared" si="1184"/>
        <v>278</v>
      </c>
      <c r="K368" s="397">
        <f t="shared" si="1184"/>
        <v>281</v>
      </c>
      <c r="L368" s="397">
        <f t="shared" si="1184"/>
        <v>1165</v>
      </c>
      <c r="M368" s="397">
        <f t="shared" si="1184"/>
        <v>267</v>
      </c>
      <c r="N368" s="397">
        <f t="shared" si="1184"/>
        <v>253</v>
      </c>
      <c r="O368" s="397">
        <f t="shared" si="1184"/>
        <v>274</v>
      </c>
      <c r="P368" s="397">
        <f t="shared" si="1184"/>
        <v>279</v>
      </c>
      <c r="Q368" s="397">
        <f t="shared" si="1184"/>
        <v>1073</v>
      </c>
      <c r="R368" s="397">
        <f t="shared" si="1184"/>
        <v>285</v>
      </c>
      <c r="S368" s="397">
        <f t="shared" si="1184"/>
        <v>288</v>
      </c>
      <c r="T368" s="397">
        <f t="shared" si="1184"/>
        <v>309</v>
      </c>
      <c r="U368" s="397">
        <f t="shared" si="1184"/>
        <v>309</v>
      </c>
      <c r="V368" s="397">
        <f t="shared" si="1184"/>
        <v>1191</v>
      </c>
      <c r="W368" s="397">
        <f t="shared" si="1184"/>
        <v>1297.3825000000002</v>
      </c>
      <c r="X368" s="397">
        <f t="shared" si="1184"/>
        <v>1406.0575000000001</v>
      </c>
      <c r="Y368" s="397">
        <f t="shared" si="1184"/>
        <v>1450.184</v>
      </c>
      <c r="Z368" s="397">
        <f t="shared" si="1184"/>
        <v>1729.6279999999999</v>
      </c>
      <c r="AA368" s="397">
        <f t="shared" si="1184"/>
        <v>5883.2520000000004</v>
      </c>
      <c r="AB368" s="397">
        <f t="shared" si="1184"/>
        <v>1575.386</v>
      </c>
      <c r="AC368" s="397">
        <f t="shared" si="1184"/>
        <v>1469.14</v>
      </c>
      <c r="AD368" s="397">
        <f t="shared" si="1184"/>
        <v>1388.915</v>
      </c>
      <c r="AE368" s="397">
        <f t="shared" si="1184"/>
        <v>1496.136</v>
      </c>
      <c r="AF368" s="397">
        <f t="shared" si="1184"/>
        <v>5929.5770000000002</v>
      </c>
      <c r="AG368" s="397">
        <f t="shared" si="1184"/>
        <v>1378.046</v>
      </c>
      <c r="AH368" s="397">
        <f t="shared" si="1184"/>
        <v>1330.9660000000001</v>
      </c>
      <c r="AI368" s="397">
        <f t="shared" si="1184"/>
        <v>1312.04</v>
      </c>
      <c r="AJ368" s="397">
        <f t="shared" si="1184"/>
        <v>1523.0440000000001</v>
      </c>
      <c r="AK368" s="397">
        <f t="shared" si="1184"/>
        <v>5718.6694805769366</v>
      </c>
      <c r="AL368" s="397">
        <f>AL320+AL323+AL335+AL340+AL344+AL348+AL356+AL360+AL364</f>
        <v>351.5</v>
      </c>
      <c r="AM368" s="397">
        <f t="shared" ref="AM368:AP368" si="1185">AM320+AM323+AM335+AM340+AM344+AM348+AM356+AM360+AM364</f>
        <v>350.1</v>
      </c>
      <c r="AN368" s="397">
        <f t="shared" si="1185"/>
        <v>366</v>
      </c>
      <c r="AO368" s="397">
        <f t="shared" si="1185"/>
        <v>379</v>
      </c>
      <c r="AP368" s="397">
        <f t="shared" si="1185"/>
        <v>1542</v>
      </c>
      <c r="AQ368" s="397">
        <f>AQ320+AQ323+AQ335+AQ340+AQ344+AQ348+AQ356+AQ360+AQ364</f>
        <v>639</v>
      </c>
      <c r="AR368" s="397">
        <f t="shared" ref="AR368:AU368" si="1186">AR320+AR323+AR335+AR340+AR344+AR348+AR356+AR360+AR364</f>
        <v>767</v>
      </c>
      <c r="AS368" s="397">
        <f t="shared" si="1186"/>
        <v>670</v>
      </c>
      <c r="AT368" s="397">
        <f t="shared" si="1186"/>
        <v>705</v>
      </c>
      <c r="AU368" s="397">
        <f t="shared" si="1186"/>
        <v>2781</v>
      </c>
      <c r="AV368" s="397">
        <f>AV320+AV323+AV335+AV340+AV344+AV348+AV356+AV360+AV364</f>
        <v>716</v>
      </c>
      <c r="AW368" s="397">
        <f t="shared" ref="AW368:AZ368" si="1187">AW320+AW323+AW335+AW340+AW344+AW348+AW356+AW360+AW364</f>
        <v>637</v>
      </c>
      <c r="AX368" s="397">
        <f t="shared" si="1187"/>
        <v>655</v>
      </c>
      <c r="AY368" s="397">
        <f t="shared" si="1187"/>
        <v>668</v>
      </c>
      <c r="AZ368" s="397">
        <f t="shared" si="1187"/>
        <v>2676</v>
      </c>
      <c r="BA368" s="397">
        <f>BA320+BA323+BA335+BA340+BA344+BA348+BA356+BA360+BA364</f>
        <v>660</v>
      </c>
      <c r="BB368" s="397">
        <f t="shared" ref="BB368:BE368" si="1188">BB320+BB323+BB335+BB340+BB344+BB348+BB356+BB360+BB364</f>
        <v>683</v>
      </c>
      <c r="BC368" s="397">
        <f t="shared" si="1188"/>
        <v>713</v>
      </c>
      <c r="BD368" s="397">
        <f t="shared" si="1188"/>
        <v>1009</v>
      </c>
      <c r="BE368" s="397">
        <f t="shared" si="1188"/>
        <v>3065</v>
      </c>
      <c r="BF368" s="397">
        <f>BF320+BF323+BF335+BF340+BF344+BF348+BF356+BF360+BF364</f>
        <v>600</v>
      </c>
      <c r="BG368" s="397">
        <f t="shared" ref="BG368:BJ368" si="1189">BG320+BG323+BG335+BG340+BG344+BG348+BG356+BG360+BG364</f>
        <v>548</v>
      </c>
      <c r="BH368" s="397">
        <f t="shared" si="1189"/>
        <v>543</v>
      </c>
      <c r="BI368" s="397">
        <f t="shared" si="1189"/>
        <v>550</v>
      </c>
      <c r="BJ368" s="397">
        <f t="shared" si="1189"/>
        <v>2241</v>
      </c>
      <c r="BK368" s="397">
        <f>BK320+BK323+BK335+BK340+BK344+BK348+BK356+BK360+BK364</f>
        <v>525</v>
      </c>
      <c r="BL368" s="397">
        <f t="shared" ref="BL368:BO368" si="1190">BL320+BL323+BL335+BL340+BL344+BL348+BL356+BL360+BL364</f>
        <v>559</v>
      </c>
      <c r="BM368" s="397">
        <f t="shared" si="1190"/>
        <v>542</v>
      </c>
      <c r="BN368" s="397">
        <f t="shared" si="1190"/>
        <v>585</v>
      </c>
      <c r="BO368" s="397">
        <f t="shared" si="1190"/>
        <v>2211</v>
      </c>
      <c r="BP368" s="397">
        <f>BP320+BP323+BP335+BP340+BP344+BP348+BP356+BP360+BP364</f>
        <v>559</v>
      </c>
      <c r="BQ368" s="397">
        <f t="shared" ref="BQ368:BT368" si="1191">BQ320+BQ323+BQ335+BQ340+BQ344+BQ348+BQ356+BQ360+BQ364</f>
        <v>540</v>
      </c>
      <c r="BR368" s="397">
        <f t="shared" si="1191"/>
        <v>584</v>
      </c>
      <c r="BS368" s="397">
        <f t="shared" si="1191"/>
        <v>591</v>
      </c>
      <c r="BT368" s="397">
        <f t="shared" si="1191"/>
        <v>2274</v>
      </c>
      <c r="BU368" s="397">
        <f>BU419-BU430</f>
        <v>1479</v>
      </c>
      <c r="BV368" s="397">
        <f t="shared" ref="BV368:CD368" si="1192">BV419-BV430</f>
        <v>1412</v>
      </c>
      <c r="BW368" s="397">
        <f t="shared" si="1192"/>
        <v>1401</v>
      </c>
      <c r="BX368" s="397">
        <f t="shared" si="1192"/>
        <v>1568</v>
      </c>
      <c r="BY368" s="397">
        <f t="shared" si="1192"/>
        <v>5860</v>
      </c>
      <c r="BZ368" s="397">
        <f t="shared" si="1192"/>
        <v>1554</v>
      </c>
      <c r="CA368" s="397">
        <f t="shared" si="1192"/>
        <v>1468</v>
      </c>
      <c r="CB368" s="397">
        <f t="shared" si="1192"/>
        <v>1513</v>
      </c>
      <c r="CC368" s="397">
        <f t="shared" si="1192"/>
        <v>1685</v>
      </c>
      <c r="CD368" s="397">
        <f t="shared" si="1192"/>
        <v>6220</v>
      </c>
      <c r="CE368" s="397">
        <f>CE320+CE323+CE330+CE340+CE348+CE352+CE356+CE360+CE364</f>
        <v>6457.7713470437502</v>
      </c>
      <c r="CF368" s="397">
        <f t="shared" ref="CF368:CM368" si="1193">CF320+CF323+CF330+CF340+CF348+CF352+CF356+CF360+CF364</f>
        <v>6607.6203376748617</v>
      </c>
      <c r="CG368" s="397">
        <f t="shared" si="1193"/>
        <v>6773.2916646032172</v>
      </c>
      <c r="CH368" s="397">
        <f t="shared" si="1193"/>
        <v>6958.9461067211987</v>
      </c>
      <c r="CI368" s="397">
        <f t="shared" si="1193"/>
        <v>7163.2318143666425</v>
      </c>
      <c r="CJ368" s="397">
        <f t="shared" si="1193"/>
        <v>7366.192850288041</v>
      </c>
      <c r="CK368" s="397">
        <f t="shared" si="1193"/>
        <v>7568.3025943809989</v>
      </c>
      <c r="CL368" s="397">
        <f t="shared" si="1193"/>
        <v>7770.0158830842529</v>
      </c>
      <c r="CM368" s="397">
        <f t="shared" si="1193"/>
        <v>7971.7707103530493</v>
      </c>
      <c r="CN368" s="195"/>
      <c r="CO368" s="195"/>
      <c r="CP368" s="195"/>
      <c r="CQ368" s="195"/>
      <c r="CR368" s="195"/>
      <c r="CS368" s="195"/>
      <c r="CT368" s="195"/>
      <c r="EF368" s="265"/>
    </row>
    <row r="369" spans="1:139">
      <c r="A369" s="286" t="s">
        <v>65</v>
      </c>
      <c r="B369" s="398"/>
      <c r="C369" s="398"/>
      <c r="D369" s="398"/>
      <c r="E369" s="398"/>
      <c r="F369" s="398"/>
      <c r="G369" s="260">
        <f t="shared" ref="G369:AY369" si="1194">G368/B368-1</f>
        <v>0.33355704697986588</v>
      </c>
      <c r="H369" s="260" t="e">
        <f t="shared" si="1194"/>
        <v>#DIV/0!</v>
      </c>
      <c r="I369" s="260" t="e">
        <f t="shared" si="1194"/>
        <v>#DIV/0!</v>
      </c>
      <c r="J369" s="260" t="e">
        <f t="shared" si="1194"/>
        <v>#DIV/0!</v>
      </c>
      <c r="K369" s="260" t="e">
        <f t="shared" si="1194"/>
        <v>#DIV/0!</v>
      </c>
      <c r="L369" s="260">
        <f t="shared" si="1194"/>
        <v>-2.2814963932226151E-2</v>
      </c>
      <c r="M369" s="260" t="e">
        <f t="shared" si="1194"/>
        <v>#DIV/0!</v>
      </c>
      <c r="N369" s="260" t="e">
        <f t="shared" si="1194"/>
        <v>#DIV/0!</v>
      </c>
      <c r="O369" s="260">
        <f t="shared" si="1194"/>
        <v>-1.4388489208633115E-2</v>
      </c>
      <c r="P369" s="260">
        <f t="shared" si="1194"/>
        <v>-7.1174377224199059E-3</v>
      </c>
      <c r="Q369" s="260">
        <f t="shared" si="1194"/>
        <v>-7.8969957081545084E-2</v>
      </c>
      <c r="R369" s="260">
        <f t="shared" si="1194"/>
        <v>6.7415730337078594E-2</v>
      </c>
      <c r="S369" s="260">
        <f t="shared" si="1194"/>
        <v>0.13833992094861669</v>
      </c>
      <c r="T369" s="260">
        <f t="shared" si="1194"/>
        <v>0.12773722627737216</v>
      </c>
      <c r="U369" s="260">
        <f t="shared" si="1194"/>
        <v>0.10752688172043001</v>
      </c>
      <c r="V369" s="260">
        <f t="shared" si="1194"/>
        <v>0.10997204100652369</v>
      </c>
      <c r="W369" s="260">
        <f t="shared" si="1194"/>
        <v>3.5522192982456149</v>
      </c>
      <c r="X369" s="260">
        <f t="shared" si="1194"/>
        <v>3.8821440972222225</v>
      </c>
      <c r="Y369" s="260">
        <f t="shared" si="1194"/>
        <v>3.6931521035598704</v>
      </c>
      <c r="Z369" s="260">
        <f t="shared" si="1194"/>
        <v>4.5975016181229771</v>
      </c>
      <c r="AA369" s="260">
        <f t="shared" si="1194"/>
        <v>3.9397581863979854</v>
      </c>
      <c r="AB369" s="260">
        <f t="shared" si="1194"/>
        <v>0.21428029127878623</v>
      </c>
      <c r="AC369" s="260">
        <f t="shared" si="1194"/>
        <v>4.4864808160405945E-2</v>
      </c>
      <c r="AD369" s="260">
        <f t="shared" si="1194"/>
        <v>-4.2249121490790187E-2</v>
      </c>
      <c r="AE369" s="260">
        <f t="shared" si="1194"/>
        <v>-0.13499550192295684</v>
      </c>
      <c r="AF369" s="260">
        <f t="shared" si="1194"/>
        <v>7.8740465307283181E-3</v>
      </c>
      <c r="AG369" s="260">
        <f t="shared" si="1194"/>
        <v>-0.12526453834171425</v>
      </c>
      <c r="AH369" s="260">
        <f t="shared" si="1194"/>
        <v>-9.4050941367058272E-2</v>
      </c>
      <c r="AI369" s="260">
        <f t="shared" si="1194"/>
        <v>-5.5348959439562528E-2</v>
      </c>
      <c r="AJ369" s="260">
        <f t="shared" si="1194"/>
        <v>1.7984996016404908E-2</v>
      </c>
      <c r="AK369" s="260">
        <f t="shared" si="1194"/>
        <v>-3.5568729341580951E-2</v>
      </c>
      <c r="AL369" s="260">
        <f t="shared" si="1194"/>
        <v>-0.74492868888266428</v>
      </c>
      <c r="AM369" s="260">
        <f t="shared" si="1194"/>
        <v>-0.73695796887373533</v>
      </c>
      <c r="AN369" s="260">
        <f t="shared" si="1194"/>
        <v>-0.72104509008871687</v>
      </c>
      <c r="AO369" s="260">
        <f t="shared" si="1194"/>
        <v>-0.75115623711462054</v>
      </c>
      <c r="AP369" s="260">
        <f t="shared" si="1194"/>
        <v>-0.73035685918948534</v>
      </c>
      <c r="AQ369" s="260">
        <f t="shared" si="1194"/>
        <v>0.81792318634423888</v>
      </c>
      <c r="AR369" s="260">
        <f t="shared" si="1194"/>
        <v>1.1908026278206227</v>
      </c>
      <c r="AS369" s="260">
        <f t="shared" si="1194"/>
        <v>0.8306010928961749</v>
      </c>
      <c r="AT369" s="260">
        <f t="shared" si="1194"/>
        <v>0.86015831134564635</v>
      </c>
      <c r="AU369" s="260">
        <f t="shared" si="1194"/>
        <v>0.80350194552529186</v>
      </c>
      <c r="AV369" s="260">
        <f t="shared" si="1194"/>
        <v>0.12050078247261342</v>
      </c>
      <c r="AW369" s="260">
        <f t="shared" si="1194"/>
        <v>-0.16949152542372881</v>
      </c>
      <c r="AX369" s="260">
        <f t="shared" si="1194"/>
        <v>-2.2388059701492491E-2</v>
      </c>
      <c r="AY369" s="260">
        <f t="shared" si="1194"/>
        <v>-5.2482269503546064E-2</v>
      </c>
      <c r="AZ369" s="260">
        <f t="shared" ref="AZ369:CC369" si="1195">AZ368/AU368-1</f>
        <v>-3.7756202804746453E-2</v>
      </c>
      <c r="BA369" s="260">
        <f t="shared" si="1195"/>
        <v>-7.8212290502793325E-2</v>
      </c>
      <c r="BB369" s="260">
        <f t="shared" si="1195"/>
        <v>7.2213500784929385E-2</v>
      </c>
      <c r="BC369" s="260">
        <f t="shared" si="1195"/>
        <v>8.8549618320610701E-2</v>
      </c>
      <c r="BD369" s="260">
        <f t="shared" si="1195"/>
        <v>0.51047904191616778</v>
      </c>
      <c r="BE369" s="260">
        <f t="shared" si="1195"/>
        <v>0.14536621823617346</v>
      </c>
      <c r="BF369" s="260">
        <f t="shared" si="1195"/>
        <v>-9.0909090909090939E-2</v>
      </c>
      <c r="BG369" s="260">
        <f t="shared" si="1195"/>
        <v>-0.19765739385065884</v>
      </c>
      <c r="BH369" s="260">
        <f t="shared" si="1195"/>
        <v>-0.23842917251051898</v>
      </c>
      <c r="BI369" s="260">
        <f t="shared" si="1195"/>
        <v>-0.45490584737363726</v>
      </c>
      <c r="BJ369" s="260">
        <f t="shared" si="1195"/>
        <v>-0.26884176182707997</v>
      </c>
      <c r="BK369" s="260">
        <f t="shared" si="1195"/>
        <v>-0.125</v>
      </c>
      <c r="BL369" s="260">
        <f t="shared" si="1195"/>
        <v>2.007299270072993E-2</v>
      </c>
      <c r="BM369" s="260">
        <f t="shared" si="1195"/>
        <v>-1.8416206261510082E-3</v>
      </c>
      <c r="BN369" s="260">
        <f t="shared" si="1195"/>
        <v>6.3636363636363713E-2</v>
      </c>
      <c r="BO369" s="260">
        <f t="shared" si="1195"/>
        <v>-1.338688085676043E-2</v>
      </c>
      <c r="BP369" s="260">
        <f t="shared" si="1195"/>
        <v>6.4761904761904798E-2</v>
      </c>
      <c r="BQ369" s="260">
        <f t="shared" si="1195"/>
        <v>-3.3989266547406083E-2</v>
      </c>
      <c r="BR369" s="260">
        <f t="shared" si="1195"/>
        <v>7.7490774907749138E-2</v>
      </c>
      <c r="BS369" s="260">
        <f t="shared" si="1195"/>
        <v>1.025641025641022E-2</v>
      </c>
      <c r="BT369" s="260">
        <f t="shared" si="1195"/>
        <v>2.8493894165535938E-2</v>
      </c>
      <c r="BU369" s="253">
        <f t="shared" si="1195"/>
        <v>1.6457960644007157</v>
      </c>
      <c r="BV369" s="253">
        <f t="shared" si="1195"/>
        <v>1.6148148148148147</v>
      </c>
      <c r="BW369" s="253">
        <f t="shared" si="1195"/>
        <v>1.3989726027397262</v>
      </c>
      <c r="BX369" s="253">
        <f t="shared" si="1195"/>
        <v>1.6531302876480543</v>
      </c>
      <c r="BY369" s="260">
        <f t="shared" si="1195"/>
        <v>1.5769569041336853</v>
      </c>
      <c r="BZ369" s="253">
        <f t="shared" si="1195"/>
        <v>5.070993914807298E-2</v>
      </c>
      <c r="CA369" s="253">
        <f t="shared" si="1195"/>
        <v>3.966005665722383E-2</v>
      </c>
      <c r="CB369" s="253">
        <f t="shared" si="1195"/>
        <v>7.994289793005005E-2</v>
      </c>
      <c r="CC369" s="253">
        <f t="shared" si="1195"/>
        <v>7.461734693877542E-2</v>
      </c>
      <c r="CD369" s="260">
        <f>CD368/BY368-1</f>
        <v>6.1433447098976135E-2</v>
      </c>
      <c r="CE369" s="260">
        <f t="shared" ref="CE369:CI369" si="1196">CE368/CD368-1</f>
        <v>3.8226904669413253E-2</v>
      </c>
      <c r="CF369" s="260">
        <f t="shared" si="1196"/>
        <v>2.3204443542230724E-2</v>
      </c>
      <c r="CG369" s="260">
        <f t="shared" si="1196"/>
        <v>2.5072767268988327E-2</v>
      </c>
      <c r="CH369" s="260">
        <f t="shared" si="1196"/>
        <v>2.7409781139087652E-2</v>
      </c>
      <c r="CI369" s="260">
        <f t="shared" si="1196"/>
        <v>2.9355839880429224E-2</v>
      </c>
      <c r="CJ369" s="260">
        <f t="shared" ref="CJ369" si="1197">CJ368/CI368-1</f>
        <v>2.8333724383222902E-2</v>
      </c>
      <c r="CK369" s="260">
        <f t="shared" ref="CK369" si="1198">CK368/CJ368-1</f>
        <v>2.7437476617932166E-2</v>
      </c>
      <c r="CL369" s="260">
        <f t="shared" ref="CL369:CM369" si="1199">CL368/CK368-1</f>
        <v>2.6652381585933638E-2</v>
      </c>
      <c r="CM369" s="260">
        <f t="shared" si="1199"/>
        <v>2.5965819157207637E-2</v>
      </c>
      <c r="CN369" s="195"/>
      <c r="CO369" s="195"/>
      <c r="CP369" s="195"/>
      <c r="CQ369" s="195"/>
      <c r="CR369" s="195"/>
      <c r="CS369" s="195"/>
      <c r="CT369" s="195"/>
      <c r="DT369" s="265"/>
      <c r="DU369" s="265"/>
      <c r="DV369" s="265"/>
      <c r="EA369" s="265"/>
      <c r="EB369" s="265"/>
      <c r="EC369" s="265"/>
      <c r="ED369" s="265"/>
      <c r="EE369" s="265"/>
      <c r="EG369" s="265"/>
      <c r="EH369" s="265"/>
      <c r="EI369" s="265"/>
    </row>
    <row r="370" spans="1:139">
      <c r="A370" s="276"/>
      <c r="B370" s="399"/>
      <c r="C370" s="399"/>
      <c r="D370" s="399"/>
      <c r="E370" s="399"/>
      <c r="F370" s="399"/>
      <c r="G370" s="399"/>
      <c r="H370" s="399"/>
      <c r="I370" s="399"/>
      <c r="J370" s="399"/>
      <c r="K370" s="399"/>
      <c r="AF370" s="195"/>
      <c r="AG370" s="195"/>
      <c r="AH370" s="195"/>
      <c r="AI370" s="195"/>
      <c r="AJ370" s="195"/>
      <c r="AK370" s="195"/>
      <c r="AL370" s="195"/>
      <c r="AM370" s="195"/>
      <c r="AN370" s="195"/>
      <c r="AO370" s="195"/>
      <c r="AP370" s="195"/>
      <c r="AQ370" s="195"/>
      <c r="AR370" s="195"/>
      <c r="AS370" s="195"/>
      <c r="AT370" s="195"/>
      <c r="AU370" s="195"/>
      <c r="AV370" s="243"/>
      <c r="AW370" s="243"/>
      <c r="AX370" s="243"/>
      <c r="AY370" s="243"/>
      <c r="AZ370" s="243"/>
      <c r="BA370" s="243"/>
      <c r="BB370" s="243"/>
      <c r="BC370" s="243"/>
      <c r="BD370" s="243"/>
      <c r="BE370" s="243"/>
      <c r="BF370" s="243"/>
      <c r="BG370" s="243"/>
      <c r="BH370" s="243"/>
      <c r="BI370" s="243"/>
      <c r="BJ370" s="195"/>
      <c r="BK370" s="243"/>
      <c r="BL370" s="243"/>
      <c r="BM370" s="243"/>
      <c r="BN370" s="243"/>
      <c r="BO370" s="195"/>
      <c r="BP370" s="243"/>
      <c r="BQ370" s="243"/>
      <c r="BR370" s="243"/>
      <c r="BS370" s="243"/>
      <c r="BT370" s="195"/>
      <c r="BU370" s="222"/>
      <c r="BV370" s="222"/>
      <c r="BW370" s="222"/>
      <c r="BX370" s="222"/>
      <c r="BY370" s="195"/>
      <c r="BZ370" s="222"/>
      <c r="CA370" s="222"/>
      <c r="CB370" s="222"/>
      <c r="CC370" s="222"/>
      <c r="CD370" s="195"/>
      <c r="CE370" s="195"/>
      <c r="CF370" s="195"/>
      <c r="CG370" s="195"/>
      <c r="CH370" s="195"/>
      <c r="CI370" s="195"/>
      <c r="CJ370" s="195"/>
      <c r="CK370" s="195"/>
      <c r="CL370" s="195"/>
      <c r="CM370" s="195"/>
      <c r="CN370" s="195"/>
      <c r="CO370" s="195"/>
      <c r="CP370" s="195"/>
      <c r="CQ370" s="195"/>
      <c r="CR370" s="195"/>
      <c r="CS370" s="195"/>
      <c r="CT370" s="195"/>
      <c r="DT370" s="265"/>
      <c r="DU370" s="265"/>
      <c r="DV370" s="265"/>
      <c r="EA370" s="265"/>
      <c r="EB370" s="265"/>
      <c r="EC370" s="265"/>
      <c r="ED370" s="265"/>
      <c r="EE370" s="265"/>
      <c r="EG370" s="265"/>
      <c r="EH370" s="265"/>
      <c r="EI370" s="265"/>
    </row>
    <row r="372" spans="1:139">
      <c r="BI372" s="200">
        <v>1992</v>
      </c>
      <c r="BJ372" s="196">
        <f>BI372/BI373-1</f>
        <v>0</v>
      </c>
    </row>
    <row r="373" spans="1:139">
      <c r="A373" s="273"/>
      <c r="B373" s="283"/>
      <c r="C373" s="283"/>
      <c r="D373" s="283"/>
      <c r="E373" s="283"/>
      <c r="F373" s="283"/>
      <c r="G373" s="283"/>
      <c r="H373" s="283"/>
      <c r="I373" s="283"/>
      <c r="J373" s="283"/>
      <c r="K373" s="283"/>
      <c r="L373" s="283"/>
      <c r="M373" s="283"/>
      <c r="N373" s="283"/>
      <c r="O373" s="283"/>
      <c r="P373" s="283"/>
      <c r="Q373" s="283"/>
      <c r="R373" s="283"/>
      <c r="S373" s="283"/>
      <c r="T373" s="283"/>
      <c r="U373" s="283"/>
      <c r="V373" s="283"/>
      <c r="W373" s="283"/>
      <c r="X373" s="283"/>
      <c r="Y373" s="283"/>
      <c r="Z373" s="283"/>
      <c r="AA373" s="283"/>
      <c r="AB373" s="283"/>
      <c r="AC373" s="283"/>
      <c r="AD373" s="283"/>
      <c r="AE373" s="283"/>
      <c r="AL373" s="400"/>
      <c r="AM373" s="400"/>
      <c r="AN373" s="400"/>
      <c r="AO373" s="400"/>
      <c r="AP373" s="400"/>
      <c r="AQ373" s="400"/>
      <c r="AR373" s="401">
        <f>AR381/AM381-1</f>
        <v>4.1067761806981018E-3</v>
      </c>
      <c r="AS373" s="401">
        <f>AS381/AN381-1</f>
        <v>-9.2402464065708401E-3</v>
      </c>
      <c r="AT373" s="401">
        <f>AT381/AO381-1</f>
        <v>-9.8911968348169843E-4</v>
      </c>
      <c r="AU373" s="400"/>
      <c r="AV373" s="400"/>
      <c r="AW373" s="400"/>
      <c r="AX373" s="400"/>
      <c r="AY373" s="400"/>
      <c r="AZ373" s="400"/>
      <c r="BA373" s="400"/>
      <c r="BB373" s="400"/>
      <c r="BC373" s="400"/>
      <c r="BD373" s="400"/>
      <c r="BE373" s="400"/>
      <c r="BF373" s="400"/>
      <c r="BG373" s="400"/>
      <c r="BH373" s="400">
        <f>BH376+BH385+BH388</f>
        <v>1940</v>
      </c>
      <c r="BI373" s="400">
        <f>BI376+BI385+BI388</f>
        <v>1992</v>
      </c>
      <c r="BJ373" s="400">
        <f>BJ376+BJ385+BJ388</f>
        <v>7797</v>
      </c>
      <c r="BK373" s="400"/>
      <c r="BL373" s="400"/>
      <c r="BM373" s="400"/>
      <c r="BN373" s="400"/>
      <c r="BO373" s="400">
        <f>BO376+BO385+BO388</f>
        <v>7725</v>
      </c>
      <c r="BP373" s="400"/>
      <c r="BQ373" s="400"/>
      <c r="BR373" s="400"/>
      <c r="BS373" s="400"/>
      <c r="BT373" s="400">
        <f>BT376+BT385+BT388</f>
        <v>7884</v>
      </c>
      <c r="BU373" s="402"/>
      <c r="BV373" s="402"/>
      <c r="BW373" s="402"/>
      <c r="BX373" s="402"/>
      <c r="BY373" s="400">
        <f>BY376+BY385+BY388</f>
        <v>8235</v>
      </c>
      <c r="BZ373" s="402"/>
      <c r="CA373" s="402"/>
      <c r="CB373" s="402"/>
      <c r="CC373" s="402"/>
      <c r="CD373" s="400"/>
      <c r="CE373" s="400"/>
      <c r="CF373" s="400"/>
      <c r="CG373" s="400"/>
      <c r="CH373" s="400"/>
      <c r="CI373" s="400"/>
      <c r="CJ373" s="400"/>
      <c r="CK373" s="400"/>
      <c r="CL373" s="400"/>
      <c r="CM373" s="400"/>
      <c r="CN373" s="195"/>
      <c r="CO373" s="195"/>
      <c r="CP373" s="195"/>
      <c r="CQ373" s="195"/>
      <c r="CR373" s="195"/>
      <c r="CS373" s="195"/>
      <c r="CT373" s="195"/>
      <c r="DE373" s="265"/>
      <c r="DF373" s="265"/>
      <c r="DG373" s="265"/>
      <c r="DH373" s="265"/>
      <c r="DI373" s="265"/>
      <c r="EF373" s="265"/>
    </row>
    <row r="374" spans="1:139">
      <c r="A374" s="273"/>
      <c r="B374" s="283"/>
      <c r="C374" s="283"/>
      <c r="D374" s="283"/>
      <c r="E374" s="283"/>
      <c r="F374" s="283"/>
      <c r="G374" s="283"/>
      <c r="H374" s="283"/>
      <c r="I374" s="283"/>
      <c r="J374" s="283"/>
      <c r="K374" s="283"/>
      <c r="L374" s="283"/>
      <c r="M374" s="283"/>
      <c r="N374" s="283"/>
      <c r="O374" s="283"/>
      <c r="P374" s="283"/>
      <c r="Q374" s="283"/>
      <c r="R374" s="283"/>
      <c r="S374" s="283"/>
      <c r="T374" s="283"/>
      <c r="U374" s="283"/>
      <c r="V374" s="283"/>
      <c r="W374" s="283"/>
      <c r="X374" s="283"/>
      <c r="Y374" s="283"/>
      <c r="Z374" s="283"/>
      <c r="AA374" s="283"/>
      <c r="AB374" s="283"/>
      <c r="AC374" s="283"/>
      <c r="AD374" s="283"/>
      <c r="AE374" s="283"/>
      <c r="AF374" s="400"/>
      <c r="AG374" s="400"/>
      <c r="AH374" s="400"/>
      <c r="AI374" s="400"/>
      <c r="AJ374" s="400"/>
      <c r="AK374" s="400"/>
      <c r="AL374" s="400"/>
      <c r="AM374" s="400"/>
      <c r="AN374" s="400"/>
      <c r="AO374" s="400"/>
      <c r="AP374" s="400"/>
      <c r="AQ374" s="400"/>
      <c r="AR374" s="401"/>
      <c r="AS374" s="401"/>
      <c r="AT374" s="401"/>
      <c r="AU374" s="400"/>
      <c r="AV374" s="400"/>
      <c r="AW374" s="400"/>
      <c r="AX374" s="400"/>
      <c r="AY374" s="400"/>
      <c r="AZ374" s="400"/>
      <c r="BA374" s="400"/>
      <c r="BB374" s="400"/>
      <c r="BC374" s="400"/>
      <c r="BD374" s="400"/>
      <c r="BE374" s="400"/>
      <c r="BF374" s="400"/>
      <c r="BG374" s="400"/>
      <c r="BH374" s="400"/>
      <c r="BI374" s="400"/>
      <c r="BJ374" s="400"/>
      <c r="BK374" s="400"/>
      <c r="BL374" s="400"/>
      <c r="BM374" s="400"/>
      <c r="BN374" s="400"/>
      <c r="BO374" s="400"/>
      <c r="BP374" s="400"/>
      <c r="BQ374" s="400"/>
      <c r="BR374" s="400"/>
      <c r="BS374" s="400"/>
      <c r="BT374" s="400"/>
      <c r="BU374" s="402"/>
      <c r="BV374" s="402">
        <f>BV376/BQ376-1</f>
        <v>3.6158861885003057E-2</v>
      </c>
      <c r="BW374" s="402">
        <f>BW376/BR376-1</f>
        <v>3.0903790087463578E-2</v>
      </c>
      <c r="BX374" s="402">
        <f>BX376/BS376-1</f>
        <v>7.1087216248506557E-2</v>
      </c>
      <c r="BY374" s="400"/>
      <c r="BZ374" s="402"/>
      <c r="CA374" s="402"/>
      <c r="CB374" s="402"/>
      <c r="CC374" s="402"/>
      <c r="CD374" s="400"/>
      <c r="CE374" s="400"/>
      <c r="CF374" s="400"/>
      <c r="CG374" s="400"/>
      <c r="CH374" s="400"/>
      <c r="CI374" s="400"/>
      <c r="CJ374" s="400"/>
      <c r="CK374" s="400"/>
      <c r="CL374" s="400"/>
      <c r="CM374" s="400"/>
      <c r="CN374" s="195"/>
      <c r="CO374" s="195"/>
      <c r="CP374" s="195"/>
      <c r="CQ374" s="195"/>
      <c r="CR374" s="195"/>
      <c r="CS374" s="195"/>
      <c r="CT374" s="195"/>
      <c r="DE374" s="265"/>
      <c r="DF374" s="265"/>
      <c r="DG374" s="265"/>
      <c r="DH374" s="265"/>
      <c r="DI374" s="265"/>
      <c r="EF374" s="265"/>
    </row>
    <row r="375" spans="1:139">
      <c r="A375" s="403" t="s">
        <v>584</v>
      </c>
      <c r="B375" s="404">
        <f>B$2</f>
        <v>2007</v>
      </c>
      <c r="C375" s="404" t="str">
        <f t="shared" ref="C375:CD375" si="1200">C$2</f>
        <v>Q1</v>
      </c>
      <c r="D375" s="404" t="str">
        <f t="shared" si="1200"/>
        <v>Q2</v>
      </c>
      <c r="E375" s="404" t="str">
        <f t="shared" si="1200"/>
        <v>Q3</v>
      </c>
      <c r="F375" s="404" t="str">
        <f t="shared" si="1200"/>
        <v>Q4</v>
      </c>
      <c r="G375" s="404">
        <f t="shared" si="1200"/>
        <v>2008</v>
      </c>
      <c r="H375" s="404" t="str">
        <f t="shared" si="1200"/>
        <v>Q1</v>
      </c>
      <c r="I375" s="404" t="str">
        <f t="shared" si="1200"/>
        <v>Q2</v>
      </c>
      <c r="J375" s="404" t="str">
        <f t="shared" si="1200"/>
        <v>Q3</v>
      </c>
      <c r="K375" s="404" t="str">
        <f t="shared" si="1200"/>
        <v>Q4</v>
      </c>
      <c r="L375" s="404">
        <f t="shared" si="1200"/>
        <v>2009</v>
      </c>
      <c r="M375" s="404" t="str">
        <f t="shared" si="1200"/>
        <v>Q1</v>
      </c>
      <c r="N375" s="404" t="str">
        <f t="shared" si="1200"/>
        <v>Q2</v>
      </c>
      <c r="O375" s="404" t="str">
        <f t="shared" si="1200"/>
        <v>Q3</v>
      </c>
      <c r="P375" s="404" t="str">
        <f t="shared" si="1200"/>
        <v>Q4</v>
      </c>
      <c r="Q375" s="404">
        <f t="shared" si="1200"/>
        <v>2010</v>
      </c>
      <c r="R375" s="404" t="str">
        <f t="shared" si="1200"/>
        <v>Q1</v>
      </c>
      <c r="S375" s="404" t="str">
        <f t="shared" si="1200"/>
        <v>Q2</v>
      </c>
      <c r="T375" s="404" t="str">
        <f t="shared" si="1200"/>
        <v>Q3</v>
      </c>
      <c r="U375" s="404" t="str">
        <f t="shared" si="1200"/>
        <v>Q4</v>
      </c>
      <c r="V375" s="404">
        <f t="shared" si="1200"/>
        <v>2011</v>
      </c>
      <c r="W375" s="404" t="str">
        <f t="shared" si="1200"/>
        <v>Q1</v>
      </c>
      <c r="X375" s="404" t="str">
        <f t="shared" si="1200"/>
        <v>Q2</v>
      </c>
      <c r="Y375" s="404" t="str">
        <f t="shared" si="1200"/>
        <v>Q3</v>
      </c>
      <c r="Z375" s="404" t="str">
        <f t="shared" si="1200"/>
        <v>Q4</v>
      </c>
      <c r="AA375" s="404">
        <f t="shared" si="1200"/>
        <v>2012</v>
      </c>
      <c r="AB375" s="404" t="str">
        <f t="shared" si="1200"/>
        <v>Q1</v>
      </c>
      <c r="AC375" s="404" t="str">
        <f t="shared" si="1200"/>
        <v>Q2</v>
      </c>
      <c r="AD375" s="404" t="str">
        <f t="shared" si="1200"/>
        <v>Q3</v>
      </c>
      <c r="AE375" s="404" t="str">
        <f t="shared" si="1200"/>
        <v>Q4</v>
      </c>
      <c r="AF375" s="404">
        <f t="shared" si="1200"/>
        <v>2013</v>
      </c>
      <c r="AG375" s="404" t="str">
        <f t="shared" si="1200"/>
        <v>Q1</v>
      </c>
      <c r="AH375" s="404" t="str">
        <f t="shared" si="1200"/>
        <v>Q2</v>
      </c>
      <c r="AI375" s="404" t="str">
        <f t="shared" si="1200"/>
        <v>Q3</v>
      </c>
      <c r="AJ375" s="404" t="str">
        <f t="shared" si="1200"/>
        <v>Q4</v>
      </c>
      <c r="AK375" s="404">
        <f t="shared" si="1200"/>
        <v>2014</v>
      </c>
      <c r="AL375" s="404" t="str">
        <f t="shared" si="1200"/>
        <v>Q1</v>
      </c>
      <c r="AM375" s="404" t="str">
        <f t="shared" si="1200"/>
        <v>Q2</v>
      </c>
      <c r="AN375" s="404" t="str">
        <f t="shared" si="1200"/>
        <v>Q3</v>
      </c>
      <c r="AO375" s="404" t="str">
        <f t="shared" si="1200"/>
        <v>Q4</v>
      </c>
      <c r="AP375" s="404">
        <f t="shared" si="1200"/>
        <v>2015</v>
      </c>
      <c r="AQ375" s="404" t="str">
        <f t="shared" si="1200"/>
        <v>Q1</v>
      </c>
      <c r="AR375" s="404" t="str">
        <f t="shared" si="1200"/>
        <v>Q2</v>
      </c>
      <c r="AS375" s="404" t="str">
        <f t="shared" si="1200"/>
        <v>Q3</v>
      </c>
      <c r="AT375" s="404" t="str">
        <f t="shared" si="1200"/>
        <v>Q4</v>
      </c>
      <c r="AU375" s="404">
        <f t="shared" si="1200"/>
        <v>2016</v>
      </c>
      <c r="AV375" s="404" t="str">
        <f t="shared" si="1200"/>
        <v>Q1</v>
      </c>
      <c r="AW375" s="404" t="str">
        <f t="shared" si="1200"/>
        <v>Q2</v>
      </c>
      <c r="AX375" s="404" t="str">
        <f t="shared" si="1200"/>
        <v>Q3</v>
      </c>
      <c r="AY375" s="404" t="str">
        <f t="shared" si="1200"/>
        <v>Q4</v>
      </c>
      <c r="AZ375" s="404">
        <f t="shared" si="1200"/>
        <v>2017</v>
      </c>
      <c r="BA375" s="404" t="str">
        <f t="shared" si="1200"/>
        <v>Q1</v>
      </c>
      <c r="BB375" s="404" t="str">
        <f t="shared" si="1200"/>
        <v>Q2</v>
      </c>
      <c r="BC375" s="404" t="str">
        <f t="shared" si="1200"/>
        <v>Q3</v>
      </c>
      <c r="BD375" s="404" t="str">
        <f t="shared" si="1200"/>
        <v>Q4</v>
      </c>
      <c r="BE375" s="404">
        <f t="shared" si="1200"/>
        <v>2018</v>
      </c>
      <c r="BF375" s="404" t="str">
        <f t="shared" si="1200"/>
        <v>Q1</v>
      </c>
      <c r="BG375" s="404" t="str">
        <f t="shared" si="1200"/>
        <v>Q2</v>
      </c>
      <c r="BH375" s="404" t="str">
        <f t="shared" si="1200"/>
        <v>Q3</v>
      </c>
      <c r="BI375" s="404" t="str">
        <f t="shared" si="1200"/>
        <v>Q4</v>
      </c>
      <c r="BJ375" s="404">
        <f t="shared" si="1200"/>
        <v>2019</v>
      </c>
      <c r="BK375" s="404" t="str">
        <f t="shared" si="1200"/>
        <v>Q1</v>
      </c>
      <c r="BL375" s="404" t="str">
        <f t="shared" si="1200"/>
        <v>Q2</v>
      </c>
      <c r="BM375" s="404" t="str">
        <f t="shared" si="1200"/>
        <v>Q3</v>
      </c>
      <c r="BN375" s="404" t="str">
        <f t="shared" si="1200"/>
        <v>Q4</v>
      </c>
      <c r="BO375" s="404">
        <f t="shared" si="1200"/>
        <v>2020</v>
      </c>
      <c r="BP375" s="404" t="str">
        <f t="shared" si="1200"/>
        <v>Q1</v>
      </c>
      <c r="BQ375" s="404" t="str">
        <f t="shared" si="1200"/>
        <v>Q2</v>
      </c>
      <c r="BR375" s="404" t="str">
        <f t="shared" si="1200"/>
        <v>Q3</v>
      </c>
      <c r="BS375" s="404" t="str">
        <f t="shared" si="1200"/>
        <v>Q4</v>
      </c>
      <c r="BT375" s="404">
        <f t="shared" si="1200"/>
        <v>2021</v>
      </c>
      <c r="BU375" s="404" t="str">
        <f t="shared" si="1200"/>
        <v>Q1</v>
      </c>
      <c r="BV375" s="404" t="str">
        <f t="shared" si="1200"/>
        <v>Q2</v>
      </c>
      <c r="BW375" s="404" t="str">
        <f t="shared" si="1200"/>
        <v>Q3</v>
      </c>
      <c r="BX375" s="404" t="str">
        <f t="shared" si="1200"/>
        <v>Q4</v>
      </c>
      <c r="BY375" s="404">
        <f t="shared" si="1200"/>
        <v>2022</v>
      </c>
      <c r="BZ375" s="404" t="str">
        <f t="shared" si="1200"/>
        <v>Q1</v>
      </c>
      <c r="CA375" s="404" t="str">
        <f t="shared" si="1200"/>
        <v>Q2</v>
      </c>
      <c r="CB375" s="404" t="str">
        <f t="shared" si="1200"/>
        <v>Q3</v>
      </c>
      <c r="CC375" s="404" t="str">
        <f t="shared" si="1200"/>
        <v>Q4</v>
      </c>
      <c r="CD375" s="404">
        <f t="shared" si="1200"/>
        <v>2023</v>
      </c>
      <c r="CE375" s="404">
        <f>CE$2</f>
        <v>2024</v>
      </c>
      <c r="CF375" s="404">
        <f>CF$2</f>
        <v>2025</v>
      </c>
      <c r="CG375" s="404">
        <f>CG$2</f>
        <v>2026</v>
      </c>
      <c r="CH375" s="404">
        <f>CH$2</f>
        <v>2027</v>
      </c>
      <c r="CI375" s="404">
        <f>CI$2</f>
        <v>2028</v>
      </c>
      <c r="CJ375" s="404">
        <f t="shared" ref="CJ375:CM375" si="1201">CJ$2</f>
        <v>2029</v>
      </c>
      <c r="CK375" s="404">
        <f t="shared" si="1201"/>
        <v>2030</v>
      </c>
      <c r="CL375" s="404">
        <f t="shared" si="1201"/>
        <v>2031</v>
      </c>
      <c r="CM375" s="404">
        <f t="shared" si="1201"/>
        <v>2032</v>
      </c>
      <c r="CN375" s="195"/>
      <c r="CO375" s="195"/>
      <c r="CP375" s="195"/>
      <c r="CQ375" s="195"/>
      <c r="CR375" s="195"/>
      <c r="CS375" s="202"/>
      <c r="CT375" s="202"/>
      <c r="DT375" s="265"/>
      <c r="DU375" s="265"/>
      <c r="EG375" s="265"/>
      <c r="EH375" s="265"/>
      <c r="EI375" s="265"/>
    </row>
    <row r="376" spans="1:139" s="265" customFormat="1" hidden="1" outlineLevel="1">
      <c r="A376" s="342" t="s">
        <v>549</v>
      </c>
      <c r="B376" s="281">
        <f>B221</f>
        <v>5789.5680000000002</v>
      </c>
      <c r="C376" s="281"/>
      <c r="D376" s="281"/>
      <c r="E376" s="281"/>
      <c r="F376" s="281">
        <f t="shared" ref="F376:AK376" si="1202">F221</f>
        <v>1978.569</v>
      </c>
      <c r="G376" s="281">
        <f t="shared" si="1202"/>
        <v>7383.2835600000008</v>
      </c>
      <c r="H376" s="281">
        <f t="shared" si="1202"/>
        <v>1890.0083999999999</v>
      </c>
      <c r="I376" s="281">
        <f t="shared" si="1202"/>
        <v>1905.8592000000001</v>
      </c>
      <c r="J376" s="281">
        <f t="shared" si="1202"/>
        <v>1945.2552000000003</v>
      </c>
      <c r="K376" s="281">
        <f t="shared" si="1202"/>
        <v>1982.145</v>
      </c>
      <c r="L376" s="281">
        <f t="shared" si="1202"/>
        <v>7869.1459499999992</v>
      </c>
      <c r="M376" s="281">
        <f t="shared" si="1202"/>
        <v>1948.596</v>
      </c>
      <c r="N376" s="281">
        <f t="shared" si="1202"/>
        <v>1963.143</v>
      </c>
      <c r="O376" s="281">
        <f t="shared" si="1202"/>
        <v>1947.4559999999999</v>
      </c>
      <c r="P376" s="281">
        <f t="shared" si="1202"/>
        <v>2019.7065</v>
      </c>
      <c r="Q376" s="281">
        <f t="shared" si="1202"/>
        <v>8030.97</v>
      </c>
      <c r="R376" s="281">
        <f t="shared" si="1202"/>
        <v>1962.2294999999999</v>
      </c>
      <c r="S376" s="281">
        <f t="shared" si="1202"/>
        <v>1950.6735000000001</v>
      </c>
      <c r="T376" s="281">
        <f t="shared" si="1202"/>
        <v>2061.288</v>
      </c>
      <c r="U376" s="281">
        <f t="shared" si="1202"/>
        <v>2059.587</v>
      </c>
      <c r="V376" s="281">
        <f t="shared" si="1202"/>
        <v>8326.9680000000008</v>
      </c>
      <c r="W376" s="281">
        <f t="shared" si="1202"/>
        <v>2028</v>
      </c>
      <c r="X376" s="281">
        <f t="shared" si="1202"/>
        <v>2096.25</v>
      </c>
      <c r="Y376" s="281">
        <f t="shared" si="1202"/>
        <v>1982.88</v>
      </c>
      <c r="Z376" s="281">
        <f t="shared" si="1202"/>
        <v>2017.5119999999999</v>
      </c>
      <c r="AA376" s="281">
        <f t="shared" si="1202"/>
        <v>8124.6419999999998</v>
      </c>
      <c r="AB376" s="281">
        <f t="shared" si="1202"/>
        <v>1947.663</v>
      </c>
      <c r="AC376" s="281">
        <f t="shared" si="1202"/>
        <v>1932.6210000000001</v>
      </c>
      <c r="AD376" s="281">
        <f t="shared" si="1202"/>
        <v>1950.192</v>
      </c>
      <c r="AE376" s="281">
        <f t="shared" si="1202"/>
        <v>1918.7909999999999</v>
      </c>
      <c r="AF376" s="281">
        <f t="shared" si="1202"/>
        <v>7749.2670000000007</v>
      </c>
      <c r="AG376" s="281">
        <f t="shared" si="1202"/>
        <v>1835.64</v>
      </c>
      <c r="AH376" s="281">
        <f t="shared" si="1202"/>
        <v>1875.2249999999999</v>
      </c>
      <c r="AI376" s="281">
        <f t="shared" si="1202"/>
        <v>1861.2</v>
      </c>
      <c r="AJ376" s="281">
        <f t="shared" si="1202"/>
        <v>1899.6</v>
      </c>
      <c r="AK376" s="281">
        <f t="shared" si="1202"/>
        <v>7471.6649999999991</v>
      </c>
      <c r="AL376" s="281">
        <f t="shared" ref="AL376:BD376" si="1203">AL221</f>
        <v>1884.4559999999999</v>
      </c>
      <c r="AM376" s="281">
        <f t="shared" si="1203"/>
        <v>1870.2945</v>
      </c>
      <c r="AN376" s="281">
        <f t="shared" si="1203"/>
        <v>1938.8565000000001</v>
      </c>
      <c r="AO376" s="281">
        <f t="shared" si="1203"/>
        <v>1935.3</v>
      </c>
      <c r="AP376" s="281">
        <f t="shared" si="1203"/>
        <v>7628.9070000000002</v>
      </c>
      <c r="AQ376" s="281">
        <f t="shared" si="1203"/>
        <v>1875.3</v>
      </c>
      <c r="AR376" s="281">
        <f t="shared" si="1203"/>
        <v>1805.0864999999999</v>
      </c>
      <c r="AS376" s="281">
        <f t="shared" si="1203"/>
        <v>1822.125</v>
      </c>
      <c r="AT376" s="281">
        <f t="shared" si="1203"/>
        <v>1920.36</v>
      </c>
      <c r="AU376" s="281">
        <f t="shared" si="1203"/>
        <v>7422.8714999999993</v>
      </c>
      <c r="AV376" s="281">
        <f t="shared" si="1203"/>
        <v>1942</v>
      </c>
      <c r="AW376" s="281">
        <f t="shared" si="1203"/>
        <v>1928</v>
      </c>
      <c r="AX376" s="281">
        <f t="shared" si="1203"/>
        <v>1944</v>
      </c>
      <c r="AY376" s="281">
        <f t="shared" si="1203"/>
        <v>1897</v>
      </c>
      <c r="AZ376" s="281">
        <f t="shared" si="1203"/>
        <v>7711</v>
      </c>
      <c r="BA376" s="281">
        <f t="shared" si="1203"/>
        <v>1834</v>
      </c>
      <c r="BB376" s="281">
        <f t="shared" si="1203"/>
        <v>1863</v>
      </c>
      <c r="BC376" s="281">
        <f t="shared" si="1203"/>
        <v>1876</v>
      </c>
      <c r="BD376" s="281">
        <f t="shared" si="1203"/>
        <v>1898</v>
      </c>
      <c r="BE376" s="281">
        <f>SUM(BA376:BD376)</f>
        <v>7471</v>
      </c>
      <c r="BF376" s="281">
        <f>BF380+BF381</f>
        <v>1797</v>
      </c>
      <c r="BG376" s="281">
        <f>BG380+BG381</f>
        <v>1763</v>
      </c>
      <c r="BH376" s="281">
        <f>BH380+BH381</f>
        <v>1773</v>
      </c>
      <c r="BI376" s="281">
        <f>BI380+BI381</f>
        <v>1772</v>
      </c>
      <c r="BJ376" s="281">
        <f>SUM(BF376:BI376)</f>
        <v>7105</v>
      </c>
      <c r="BK376" s="281">
        <f>BK380+BK381</f>
        <v>1698</v>
      </c>
      <c r="BL376" s="281">
        <f>BL380+BL381</f>
        <v>1660</v>
      </c>
      <c r="BM376" s="281">
        <f>BM380+BM381</f>
        <v>1673</v>
      </c>
      <c r="BN376" s="281">
        <f>BN380+BN381</f>
        <v>1663</v>
      </c>
      <c r="BO376" s="281">
        <f>SUM(BK376:BN376)</f>
        <v>6694</v>
      </c>
      <c r="BP376" s="281">
        <f>BP380+BP381</f>
        <v>1664</v>
      </c>
      <c r="BQ376" s="281">
        <f>BQ380+BQ381</f>
        <v>1687</v>
      </c>
      <c r="BR376" s="281">
        <f>BR380+BR381</f>
        <v>1715</v>
      </c>
      <c r="BS376" s="281">
        <f>BS380+BS381</f>
        <v>1674</v>
      </c>
      <c r="BT376" s="281">
        <f>SUM(BP376:BS376)</f>
        <v>6740</v>
      </c>
      <c r="BU376" s="250">
        <f>BU380+BU381</f>
        <v>1698</v>
      </c>
      <c r="BV376" s="250">
        <f>BV380+BV381</f>
        <v>1748</v>
      </c>
      <c r="BW376" s="250">
        <f>BW380+BW381</f>
        <v>1768</v>
      </c>
      <c r="BX376" s="250">
        <f>BX380+BX381</f>
        <v>1793</v>
      </c>
      <c r="BY376" s="281">
        <f>SUM(BU376:BX376)</f>
        <v>7007</v>
      </c>
      <c r="BZ376" s="250">
        <f>BZ380+BZ381</f>
        <v>1784</v>
      </c>
      <c r="CA376" s="250">
        <f>CA380+CA381</f>
        <v>1779</v>
      </c>
      <c r="CB376" s="250">
        <f>CB380+CB381</f>
        <v>1806</v>
      </c>
      <c r="CC376" s="250">
        <f>CC380+CC381</f>
        <v>1841</v>
      </c>
      <c r="CD376" s="281">
        <f t="shared" ref="CD376:CM376" si="1204">CD224+CD225</f>
        <v>7222.7324000000008</v>
      </c>
      <c r="CE376" s="281">
        <f t="shared" si="1204"/>
        <v>7308.3334501544177</v>
      </c>
      <c r="CF376" s="281">
        <f t="shared" si="1204"/>
        <v>7413.014783175995</v>
      </c>
      <c r="CG376" s="281">
        <f t="shared" si="1204"/>
        <v>7513.580904803639</v>
      </c>
      <c r="CH376" s="281">
        <f t="shared" si="1204"/>
        <v>7642.2927278304833</v>
      </c>
      <c r="CI376" s="281">
        <f t="shared" si="1204"/>
        <v>7801.5731855623471</v>
      </c>
      <c r="CJ376" s="281">
        <f t="shared" si="1204"/>
        <v>7956.7710987023947</v>
      </c>
      <c r="CK376" s="281">
        <f t="shared" si="1204"/>
        <v>8108.3685212642031</v>
      </c>
      <c r="CL376" s="281">
        <f t="shared" si="1204"/>
        <v>8256.8062988598631</v>
      </c>
      <c r="CM376" s="281">
        <f t="shared" si="1204"/>
        <v>8402.4877254670009</v>
      </c>
      <c r="CN376" s="202"/>
      <c r="CO376" s="202"/>
      <c r="CP376" s="202"/>
      <c r="CQ376" s="202"/>
      <c r="CR376" s="202"/>
      <c r="CS376" s="195"/>
      <c r="CT376" s="195"/>
      <c r="DE376" s="200"/>
      <c r="DF376" s="200"/>
      <c r="DG376" s="200"/>
      <c r="DH376" s="200"/>
      <c r="DI376" s="200"/>
      <c r="DT376" s="200"/>
      <c r="DU376" s="200"/>
      <c r="DV376" s="200"/>
      <c r="DW376" s="200"/>
      <c r="DX376" s="200"/>
      <c r="DY376" s="200"/>
      <c r="DZ376" s="200"/>
      <c r="EA376" s="200"/>
      <c r="EB376" s="200"/>
      <c r="EC376" s="200"/>
      <c r="ED376" s="200"/>
      <c r="EE376" s="200"/>
      <c r="EG376" s="200"/>
      <c r="EH376" s="200"/>
      <c r="EI376" s="200"/>
    </row>
    <row r="377" spans="1:139" hidden="1" outlineLevel="1">
      <c r="A377" s="405" t="s">
        <v>65</v>
      </c>
      <c r="B377" s="318"/>
      <c r="C377" s="318"/>
      <c r="D377" s="318"/>
      <c r="E377" s="318"/>
      <c r="F377" s="318"/>
      <c r="G377" s="318">
        <f t="shared" ref="G377:AL377" si="1205">G376/B376-1</f>
        <v>0.27527365772368517</v>
      </c>
      <c r="H377" s="318" t="e">
        <f t="shared" si="1205"/>
        <v>#DIV/0!</v>
      </c>
      <c r="I377" s="318" t="e">
        <f t="shared" si="1205"/>
        <v>#DIV/0!</v>
      </c>
      <c r="J377" s="318" t="e">
        <f t="shared" si="1205"/>
        <v>#DIV/0!</v>
      </c>
      <c r="K377" s="318">
        <f t="shared" si="1205"/>
        <v>1.8073668393672193E-3</v>
      </c>
      <c r="L377" s="318">
        <f t="shared" si="1205"/>
        <v>6.5805733458786264E-2</v>
      </c>
      <c r="M377" s="318">
        <f t="shared" si="1205"/>
        <v>3.0998592387208479E-2</v>
      </c>
      <c r="N377" s="318">
        <f t="shared" si="1205"/>
        <v>3.005667994781569E-2</v>
      </c>
      <c r="O377" s="318">
        <f t="shared" si="1205"/>
        <v>1.1313682646880707E-3</v>
      </c>
      <c r="P377" s="318">
        <f t="shared" si="1205"/>
        <v>1.8949925459539996E-2</v>
      </c>
      <c r="Q377" s="318">
        <f t="shared" si="1205"/>
        <v>2.056437268138378E-2</v>
      </c>
      <c r="R377" s="318">
        <f t="shared" si="1205"/>
        <v>6.996575996255805E-3</v>
      </c>
      <c r="S377" s="318">
        <f t="shared" si="1205"/>
        <v>-6.3518042241446082E-3</v>
      </c>
      <c r="T377" s="318">
        <f t="shared" si="1205"/>
        <v>5.8451641526175768E-2</v>
      </c>
      <c r="U377" s="318">
        <f t="shared" si="1205"/>
        <v>1.9745690772396962E-2</v>
      </c>
      <c r="V377" s="318">
        <f t="shared" si="1205"/>
        <v>3.6857067079070216E-2</v>
      </c>
      <c r="W377" s="318">
        <f t="shared" si="1205"/>
        <v>3.3518250541030081E-2</v>
      </c>
      <c r="X377" s="318">
        <f t="shared" si="1205"/>
        <v>7.4628839731508023E-2</v>
      </c>
      <c r="Y377" s="318">
        <f t="shared" si="1205"/>
        <v>-3.8038352719270585E-2</v>
      </c>
      <c r="Z377" s="318">
        <f t="shared" si="1205"/>
        <v>-2.0428852969066158E-2</v>
      </c>
      <c r="AA377" s="318">
        <f t="shared" si="1205"/>
        <v>-2.4297679539539541E-2</v>
      </c>
      <c r="AB377" s="318">
        <f t="shared" si="1205"/>
        <v>-3.9613905325443732E-2</v>
      </c>
      <c r="AC377" s="318">
        <f t="shared" si="1205"/>
        <v>-7.8057960644007163E-2</v>
      </c>
      <c r="AD377" s="318">
        <f t="shared" si="1205"/>
        <v>-1.6485112563544013E-2</v>
      </c>
      <c r="AE377" s="318">
        <f t="shared" si="1205"/>
        <v>-4.8932050961778661E-2</v>
      </c>
      <c r="AF377" s="318">
        <f t="shared" si="1205"/>
        <v>-4.6202035732774371E-2</v>
      </c>
      <c r="AG377" s="318">
        <f t="shared" si="1205"/>
        <v>-5.7516623769101716E-2</v>
      </c>
      <c r="AH377" s="318">
        <f t="shared" si="1205"/>
        <v>-2.9698528578547045E-2</v>
      </c>
      <c r="AI377" s="318">
        <f t="shared" si="1205"/>
        <v>-4.5632430037657823E-2</v>
      </c>
      <c r="AJ377" s="318">
        <f t="shared" si="1205"/>
        <v>-1.0001610389041904E-2</v>
      </c>
      <c r="AK377" s="318">
        <f t="shared" si="1205"/>
        <v>-3.5823001065778404E-2</v>
      </c>
      <c r="AL377" s="318">
        <f t="shared" si="1205"/>
        <v>2.6593449696018734E-2</v>
      </c>
      <c r="AM377" s="318">
        <f t="shared" ref="AM377:CC377" si="1206">AM376/AH376-1</f>
        <v>-2.6292844858616382E-3</v>
      </c>
      <c r="AN377" s="318">
        <f t="shared" si="1206"/>
        <v>4.1723887814313354E-2</v>
      </c>
      <c r="AO377" s="318">
        <f t="shared" si="1206"/>
        <v>1.8793430195830796E-2</v>
      </c>
      <c r="AP377" s="318">
        <f t="shared" si="1206"/>
        <v>2.1045108419609493E-2</v>
      </c>
      <c r="AQ377" s="318">
        <f t="shared" si="1206"/>
        <v>-4.858696621199976E-3</v>
      </c>
      <c r="AR377" s="318">
        <f t="shared" si="1206"/>
        <v>-3.4865097448556925E-2</v>
      </c>
      <c r="AS377" s="318">
        <f t="shared" si="1206"/>
        <v>-6.0206363905735194E-2</v>
      </c>
      <c r="AT377" s="318">
        <f t="shared" si="1206"/>
        <v>-7.7197333746705787E-3</v>
      </c>
      <c r="AU377" s="318">
        <f t="shared" si="1206"/>
        <v>-2.7007210862578512E-2</v>
      </c>
      <c r="AV377" s="318">
        <f t="shared" si="1206"/>
        <v>3.5567642510531572E-2</v>
      </c>
      <c r="AW377" s="318">
        <f t="shared" si="1206"/>
        <v>6.8092858707879067E-2</v>
      </c>
      <c r="AX377" s="318">
        <f t="shared" si="1206"/>
        <v>6.6886190574192206E-2</v>
      </c>
      <c r="AY377" s="318">
        <f t="shared" si="1206"/>
        <v>-1.216438584432078E-2</v>
      </c>
      <c r="AZ377" s="318">
        <f t="shared" si="1206"/>
        <v>3.881631252811002E-2</v>
      </c>
      <c r="BA377" s="318">
        <f t="shared" si="1206"/>
        <v>-5.5612770339855788E-2</v>
      </c>
      <c r="BB377" s="318">
        <f t="shared" si="1206"/>
        <v>-3.3713692946058083E-2</v>
      </c>
      <c r="BC377" s="318">
        <f t="shared" si="1206"/>
        <v>-3.4979423868312765E-2</v>
      </c>
      <c r="BD377" s="318">
        <f t="shared" si="1206"/>
        <v>5.2714812862419969E-4</v>
      </c>
      <c r="BE377" s="318">
        <f t="shared" si="1206"/>
        <v>-3.1124367786279361E-2</v>
      </c>
      <c r="BF377" s="318">
        <f t="shared" si="1206"/>
        <v>-2.0174482006543037E-2</v>
      </c>
      <c r="BG377" s="318">
        <f t="shared" si="1206"/>
        <v>-5.3676865271068186E-2</v>
      </c>
      <c r="BH377" s="318">
        <f t="shared" si="1206"/>
        <v>-5.4904051172707913E-2</v>
      </c>
      <c r="BI377" s="318">
        <f t="shared" si="1206"/>
        <v>-6.6385669125395119E-2</v>
      </c>
      <c r="BJ377" s="318">
        <f t="shared" si="1206"/>
        <v>-4.8989425779681461E-2</v>
      </c>
      <c r="BK377" s="318">
        <f t="shared" si="1206"/>
        <v>-5.5091819699499167E-2</v>
      </c>
      <c r="BL377" s="318">
        <f t="shared" si="1206"/>
        <v>-5.8423142370958581E-2</v>
      </c>
      <c r="BM377" s="318">
        <f t="shared" si="1206"/>
        <v>-5.6401579244218847E-2</v>
      </c>
      <c r="BN377" s="318">
        <f t="shared" si="1206"/>
        <v>-6.1512415349887162E-2</v>
      </c>
      <c r="BO377" s="318">
        <f t="shared" si="1206"/>
        <v>-5.7846586910626274E-2</v>
      </c>
      <c r="BP377" s="318">
        <f t="shared" si="1206"/>
        <v>-2.0023557126030656E-2</v>
      </c>
      <c r="BQ377" s="318">
        <f t="shared" si="1206"/>
        <v>1.6265060240963747E-2</v>
      </c>
      <c r="BR377" s="318">
        <f t="shared" si="1206"/>
        <v>2.5104602510460206E-2</v>
      </c>
      <c r="BS377" s="318">
        <f t="shared" si="1206"/>
        <v>6.6145520144318404E-3</v>
      </c>
      <c r="BT377" s="318">
        <f t="shared" si="1206"/>
        <v>6.8718255153870089E-3</v>
      </c>
      <c r="BU377" s="319">
        <f t="shared" si="1206"/>
        <v>2.0432692307692291E-2</v>
      </c>
      <c r="BV377" s="319">
        <f t="shared" si="1206"/>
        <v>3.6158861885003057E-2</v>
      </c>
      <c r="BW377" s="319">
        <f t="shared" si="1206"/>
        <v>3.0903790087463578E-2</v>
      </c>
      <c r="BX377" s="319">
        <f t="shared" si="1206"/>
        <v>7.1087216248506557E-2</v>
      </c>
      <c r="BY377" s="318">
        <f t="shared" si="1206"/>
        <v>3.96142433234421E-2</v>
      </c>
      <c r="BZ377" s="319">
        <f t="shared" si="1206"/>
        <v>5.0647820965842083E-2</v>
      </c>
      <c r="CA377" s="319">
        <f t="shared" si="1206"/>
        <v>1.7734553775743622E-2</v>
      </c>
      <c r="CB377" s="319">
        <f t="shared" si="1206"/>
        <v>2.1493212669683182E-2</v>
      </c>
      <c r="CC377" s="319">
        <f t="shared" si="1206"/>
        <v>2.6770775237032973E-2</v>
      </c>
      <c r="CD377" s="318">
        <f>CD376/BY376-1</f>
        <v>3.0788126159554841E-2</v>
      </c>
      <c r="CE377" s="318">
        <f t="shared" ref="CE377:CI377" si="1207">CE376/CD376-1</f>
        <v>1.1851615900156709E-2</v>
      </c>
      <c r="CF377" s="318">
        <f t="shared" si="1207"/>
        <v>1.4323557311053614E-2</v>
      </c>
      <c r="CG377" s="318">
        <f t="shared" si="1207"/>
        <v>1.3566156896905213E-2</v>
      </c>
      <c r="CH377" s="318">
        <f t="shared" si="1207"/>
        <v>1.7130556609107117E-2</v>
      </c>
      <c r="CI377" s="318">
        <f t="shared" si="1207"/>
        <v>2.0841972874425796E-2</v>
      </c>
      <c r="CJ377" s="318">
        <f t="shared" ref="CJ377" si="1208">CJ376/CI376-1</f>
        <v>1.9893156091550512E-2</v>
      </c>
      <c r="CK377" s="318">
        <f t="shared" ref="CK377" si="1209">CK376/CJ376-1</f>
        <v>1.9052630857576247E-2</v>
      </c>
      <c r="CL377" s="318">
        <f t="shared" ref="CL377:CM377" si="1210">CL376/CK376-1</f>
        <v>1.8306737934564943E-2</v>
      </c>
      <c r="CM377" s="318">
        <f t="shared" si="1210"/>
        <v>1.7643798502001262E-2</v>
      </c>
      <c r="CN377" s="195"/>
      <c r="CO377" s="195"/>
      <c r="CP377" s="195"/>
      <c r="CQ377" s="195"/>
      <c r="CR377" s="195"/>
      <c r="CS377" s="195"/>
      <c r="CT377" s="195"/>
      <c r="DT377" s="265"/>
      <c r="DU377" s="265"/>
      <c r="EG377" s="265"/>
      <c r="EH377" s="265"/>
      <c r="EI377" s="265"/>
    </row>
    <row r="378" spans="1:139" s="265" customFormat="1" hidden="1" outlineLevel="1">
      <c r="A378" s="341" t="s">
        <v>51</v>
      </c>
      <c r="B378" s="195">
        <f>B285</f>
        <v>1433.8319999999994</v>
      </c>
      <c r="C378" s="195"/>
      <c r="D378" s="195"/>
      <c r="E378" s="195"/>
      <c r="F378" s="195">
        <f t="shared" ref="F378:AK378" si="1211">F285</f>
        <v>99.43100000000004</v>
      </c>
      <c r="G378" s="195">
        <f t="shared" si="1211"/>
        <v>554.51643999999942</v>
      </c>
      <c r="H378" s="195">
        <f t="shared" si="1211"/>
        <v>63.991600000000062</v>
      </c>
      <c r="I378" s="195">
        <f t="shared" si="1211"/>
        <v>56.140799999999899</v>
      </c>
      <c r="J378" s="195">
        <f t="shared" si="1211"/>
        <v>67.744799999999714</v>
      </c>
      <c r="K378" s="195">
        <f t="shared" si="1211"/>
        <v>92.855000000000018</v>
      </c>
      <c r="L378" s="195">
        <f t="shared" si="1211"/>
        <v>134.85405000000083</v>
      </c>
      <c r="M378" s="195">
        <f t="shared" si="1211"/>
        <v>74.403999999999996</v>
      </c>
      <c r="N378" s="195">
        <f t="shared" si="1211"/>
        <v>77.856999999999971</v>
      </c>
      <c r="O378" s="195">
        <f t="shared" si="1211"/>
        <v>115.5440000000001</v>
      </c>
      <c r="P378" s="195">
        <f t="shared" si="1211"/>
        <v>132.29349999999999</v>
      </c>
      <c r="Q378" s="195">
        <f t="shared" si="1211"/>
        <v>248.02999999999975</v>
      </c>
      <c r="R378" s="195">
        <f t="shared" si="1211"/>
        <v>75.770500000000084</v>
      </c>
      <c r="S378" s="195">
        <f t="shared" si="1211"/>
        <v>124.3264999999999</v>
      </c>
      <c r="T378" s="195">
        <f t="shared" si="1211"/>
        <v>101.71199999999999</v>
      </c>
      <c r="U378" s="195">
        <f t="shared" si="1211"/>
        <v>110.41300000000001</v>
      </c>
      <c r="V378" s="195">
        <f t="shared" si="1211"/>
        <v>119.03199999999924</v>
      </c>
      <c r="W378" s="195">
        <f t="shared" si="1211"/>
        <v>8</v>
      </c>
      <c r="X378" s="195">
        <f t="shared" si="1211"/>
        <v>-15.25</v>
      </c>
      <c r="Y378" s="195">
        <f t="shared" si="1211"/>
        <v>83.119999999999891</v>
      </c>
      <c r="Z378" s="195">
        <f t="shared" si="1211"/>
        <v>93.488000000000056</v>
      </c>
      <c r="AA378" s="195">
        <f t="shared" si="1211"/>
        <v>169.35800000000017</v>
      </c>
      <c r="AB378" s="195">
        <f t="shared" si="1211"/>
        <v>118.33699999999999</v>
      </c>
      <c r="AC378" s="195">
        <f t="shared" si="1211"/>
        <v>130.37899999999991</v>
      </c>
      <c r="AD378" s="195">
        <f t="shared" si="1211"/>
        <v>100.80799999999999</v>
      </c>
      <c r="AE378" s="195">
        <f t="shared" si="1211"/>
        <v>105.20900000000006</v>
      </c>
      <c r="AF378" s="195">
        <f t="shared" si="1211"/>
        <v>398.10499999999956</v>
      </c>
      <c r="AG378" s="195">
        <f t="shared" si="1211"/>
        <v>117.3599999999999</v>
      </c>
      <c r="AH378" s="195">
        <f t="shared" si="1211"/>
        <v>79.775000000000091</v>
      </c>
      <c r="AI378" s="195">
        <f t="shared" si="1211"/>
        <v>84.799999999999955</v>
      </c>
      <c r="AJ378" s="195">
        <f t="shared" si="1211"/>
        <v>88.400000000000091</v>
      </c>
      <c r="AK378" s="195">
        <f t="shared" si="1211"/>
        <v>385.33500000000095</v>
      </c>
      <c r="AL378" s="195">
        <f t="shared" ref="AL378:BH378" si="1212">AL285</f>
        <v>134.5440000000001</v>
      </c>
      <c r="AM378" s="195">
        <f t="shared" si="1212"/>
        <v>113.70550000000003</v>
      </c>
      <c r="AN378" s="195">
        <f t="shared" si="1212"/>
        <v>107.1434999999999</v>
      </c>
      <c r="AO378" s="195">
        <f t="shared" si="1212"/>
        <v>111.70000000000005</v>
      </c>
      <c r="AP378" s="195">
        <f t="shared" si="1212"/>
        <v>467.09299999999985</v>
      </c>
      <c r="AQ378" s="195">
        <f t="shared" si="1212"/>
        <v>129.70000000000005</v>
      </c>
      <c r="AR378" s="195">
        <f t="shared" si="1212"/>
        <v>128.91350000000011</v>
      </c>
      <c r="AS378" s="195">
        <f t="shared" si="1212"/>
        <v>159.875</v>
      </c>
      <c r="AT378" s="195">
        <f t="shared" si="1212"/>
        <v>107.6400000000001</v>
      </c>
      <c r="AU378" s="195">
        <f t="shared" si="1212"/>
        <v>526.12850000000071</v>
      </c>
      <c r="AV378" s="195">
        <f t="shared" si="1212"/>
        <v>299</v>
      </c>
      <c r="AW378" s="195">
        <f t="shared" si="1212"/>
        <v>266</v>
      </c>
      <c r="AX378" s="195">
        <f t="shared" si="1212"/>
        <v>243</v>
      </c>
      <c r="AY378" s="195">
        <f t="shared" si="1212"/>
        <v>340</v>
      </c>
      <c r="AZ378" s="195">
        <f t="shared" si="1212"/>
        <v>1148</v>
      </c>
      <c r="BA378" s="195">
        <f t="shared" si="1212"/>
        <v>257</v>
      </c>
      <c r="BB378" s="195">
        <f t="shared" si="1212"/>
        <v>233</v>
      </c>
      <c r="BC378" s="195">
        <f t="shared" si="1212"/>
        <v>237</v>
      </c>
      <c r="BD378" s="195">
        <f t="shared" si="1212"/>
        <v>397</v>
      </c>
      <c r="BE378" s="195">
        <f t="shared" si="1212"/>
        <v>1124</v>
      </c>
      <c r="BF378" s="195">
        <f t="shared" si="1212"/>
        <v>285</v>
      </c>
      <c r="BG378" s="195">
        <f t="shared" si="1212"/>
        <v>288</v>
      </c>
      <c r="BH378" s="195">
        <f t="shared" si="1212"/>
        <v>345</v>
      </c>
      <c r="BI378" s="195">
        <f t="shared" ref="BI378:BV378" si="1213">BI285</f>
        <v>598</v>
      </c>
      <c r="BJ378" s="195">
        <f t="shared" si="1213"/>
        <v>1516</v>
      </c>
      <c r="BK378" s="195">
        <f t="shared" si="1213"/>
        <v>401</v>
      </c>
      <c r="BL378" s="195">
        <f t="shared" si="1213"/>
        <v>251</v>
      </c>
      <c r="BM378" s="195">
        <f t="shared" si="1213"/>
        <v>273</v>
      </c>
      <c r="BN378" s="195">
        <f t="shared" si="1213"/>
        <v>316</v>
      </c>
      <c r="BO378" s="195">
        <f t="shared" si="1213"/>
        <v>1241</v>
      </c>
      <c r="BP378" s="195">
        <f t="shared" si="1213"/>
        <v>269</v>
      </c>
      <c r="BQ378" s="195">
        <f t="shared" si="1213"/>
        <v>276</v>
      </c>
      <c r="BR378" s="195">
        <f t="shared" si="1213"/>
        <v>238</v>
      </c>
      <c r="BS378" s="195">
        <f t="shared" si="1213"/>
        <v>440</v>
      </c>
      <c r="BT378" s="195">
        <f t="shared" si="1213"/>
        <v>1223</v>
      </c>
      <c r="BU378" s="195">
        <f t="shared" si="1213"/>
        <v>376</v>
      </c>
      <c r="BV378" s="195">
        <f t="shared" si="1213"/>
        <v>340</v>
      </c>
      <c r="BW378" s="195">
        <f t="shared" ref="BW378:BZ378" si="1214">BW285</f>
        <v>297</v>
      </c>
      <c r="BX378" s="195">
        <f t="shared" si="1214"/>
        <v>440</v>
      </c>
      <c r="BY378" s="195">
        <f t="shared" si="1214"/>
        <v>1453</v>
      </c>
      <c r="BZ378" s="195">
        <f t="shared" si="1214"/>
        <v>414</v>
      </c>
      <c r="CA378" s="195">
        <f t="shared" ref="CA378:CB378" si="1215">CA285</f>
        <v>357</v>
      </c>
      <c r="CB378" s="195">
        <f t="shared" si="1215"/>
        <v>297</v>
      </c>
      <c r="CC378" s="195">
        <f t="shared" ref="CC378" si="1216">CC285</f>
        <v>540</v>
      </c>
      <c r="CD378" s="195">
        <f t="shared" ref="CD378:CI378" si="1217">CD285</f>
        <v>1952.5902055311062</v>
      </c>
      <c r="CE378" s="195">
        <f t="shared" si="1217"/>
        <v>1753.4393465232426</v>
      </c>
      <c r="CF378" s="195">
        <f t="shared" si="1217"/>
        <v>1737.8689531218001</v>
      </c>
      <c r="CG378" s="195">
        <f t="shared" si="1217"/>
        <v>1755.7791965750014</v>
      </c>
      <c r="CH378" s="195">
        <f t="shared" si="1217"/>
        <v>1772.8983954208034</v>
      </c>
      <c r="CI378" s="195">
        <f t="shared" si="1217"/>
        <v>1789.3066913374271</v>
      </c>
      <c r="CJ378" s="195">
        <f t="shared" ref="CJ378:CL378" si="1218">CJ285</f>
        <v>1805.0765954574083</v>
      </c>
      <c r="CK378" s="195">
        <f t="shared" si="1218"/>
        <v>1820.2737171996434</v>
      </c>
      <c r="CL378" s="195">
        <f t="shared" si="1218"/>
        <v>1834.9574234985378</v>
      </c>
      <c r="CM378" s="195">
        <f t="shared" ref="CM378" si="1219">CM285</f>
        <v>1849.1814350773461</v>
      </c>
      <c r="CN378" s="202"/>
      <c r="CO378" s="202"/>
      <c r="CP378" s="202"/>
      <c r="CQ378" s="202"/>
      <c r="CR378" s="202"/>
      <c r="CS378" s="195"/>
      <c r="CT378" s="195"/>
      <c r="DT378" s="200"/>
      <c r="DU378" s="200"/>
      <c r="DV378" s="200"/>
      <c r="DW378" s="200"/>
      <c r="DX378" s="200"/>
      <c r="DY378" s="200"/>
      <c r="DZ378" s="200"/>
      <c r="EA378" s="200"/>
      <c r="EB378" s="200"/>
      <c r="EC378" s="200"/>
      <c r="ED378" s="200"/>
      <c r="EE378" s="200"/>
      <c r="EF378" s="200"/>
      <c r="EG378" s="200"/>
      <c r="EH378" s="200"/>
      <c r="EI378" s="200"/>
    </row>
    <row r="379" spans="1:139" hidden="1" outlineLevel="1">
      <c r="A379" s="406" t="s">
        <v>65</v>
      </c>
      <c r="B379" s="287"/>
      <c r="C379" s="287"/>
      <c r="D379" s="287"/>
      <c r="E379" s="287"/>
      <c r="F379" s="287"/>
      <c r="G379" s="287">
        <f>G378/B378-1</f>
        <v>-0.61326261375112312</v>
      </c>
      <c r="H379" s="287"/>
      <c r="I379" s="287"/>
      <c r="J379" s="287"/>
      <c r="K379" s="287"/>
      <c r="L379" s="287">
        <f>L378/G378-1</f>
        <v>-0.75680784144109237</v>
      </c>
      <c r="M379" s="287"/>
      <c r="N379" s="287"/>
      <c r="O379" s="287"/>
      <c r="P379" s="287"/>
      <c r="Q379" s="287">
        <f>Q378/L378-1</f>
        <v>0.83924769037339431</v>
      </c>
      <c r="R379" s="287"/>
      <c r="S379" s="287"/>
      <c r="T379" s="287"/>
      <c r="U379" s="287"/>
      <c r="V379" s="287">
        <f>V378/Q378-1</f>
        <v>-0.52009031165585062</v>
      </c>
      <c r="W379" s="287"/>
      <c r="X379" s="287"/>
      <c r="Y379" s="287"/>
      <c r="Z379" s="287"/>
      <c r="AA379" s="287">
        <f>AA378/V378-1</f>
        <v>0.4227938705558274</v>
      </c>
      <c r="AB379" s="287"/>
      <c r="AC379" s="287"/>
      <c r="AD379" s="287"/>
      <c r="AE379" s="287"/>
      <c r="AF379" s="287">
        <f>AF378/AA378-1</f>
        <v>1.3506713588965336</v>
      </c>
      <c r="AG379" s="287"/>
      <c r="AH379" s="287"/>
      <c r="AI379" s="287"/>
      <c r="AJ379" s="287"/>
      <c r="AK379" s="287">
        <f>AK378/AF378-1</f>
        <v>-3.2076964619883297E-2</v>
      </c>
      <c r="AL379" s="287"/>
      <c r="AM379" s="287"/>
      <c r="AN379" s="287"/>
      <c r="AO379" s="287"/>
      <c r="AP379" s="287">
        <f t="shared" ref="AP379:CC379" si="1220">AP378/AK378-1</f>
        <v>0.21217382277757979</v>
      </c>
      <c r="AQ379" s="287">
        <f t="shared" si="1220"/>
        <v>-3.6003091925318476E-2</v>
      </c>
      <c r="AR379" s="287">
        <f t="shared" si="1220"/>
        <v>0.13374902709191794</v>
      </c>
      <c r="AS379" s="287">
        <f t="shared" si="1220"/>
        <v>0.49215771372038564</v>
      </c>
      <c r="AT379" s="287">
        <f t="shared" si="1220"/>
        <v>-3.6347358997313783E-2</v>
      </c>
      <c r="AU379" s="287">
        <f t="shared" si="1220"/>
        <v>0.1263891773158683</v>
      </c>
      <c r="AV379" s="287">
        <f t="shared" si="1220"/>
        <v>1.3053199691595982</v>
      </c>
      <c r="AW379" s="287">
        <f t="shared" si="1220"/>
        <v>1.063399100947533</v>
      </c>
      <c r="AX379" s="287">
        <f t="shared" si="1220"/>
        <v>0.51993745113369827</v>
      </c>
      <c r="AY379" s="287">
        <f t="shared" si="1220"/>
        <v>2.1586770717205472</v>
      </c>
      <c r="AZ379" s="287">
        <f t="shared" si="1220"/>
        <v>1.181976456321979</v>
      </c>
      <c r="BA379" s="287">
        <f t="shared" si="1220"/>
        <v>-0.14046822742474918</v>
      </c>
      <c r="BB379" s="287">
        <f t="shared" si="1220"/>
        <v>-0.12406015037593987</v>
      </c>
      <c r="BC379" s="287">
        <f t="shared" si="1220"/>
        <v>-2.4691358024691357E-2</v>
      </c>
      <c r="BD379" s="287">
        <f t="shared" si="1220"/>
        <v>0.16764705882352948</v>
      </c>
      <c r="BE379" s="287">
        <f t="shared" si="1220"/>
        <v>-2.0905923344947785E-2</v>
      </c>
      <c r="BF379" s="287">
        <f t="shared" si="1220"/>
        <v>0.10894941634241251</v>
      </c>
      <c r="BG379" s="287">
        <f t="shared" si="1220"/>
        <v>0.23605150214592285</v>
      </c>
      <c r="BH379" s="287">
        <f t="shared" si="1220"/>
        <v>0.45569620253164556</v>
      </c>
      <c r="BI379" s="287">
        <f t="shared" si="1220"/>
        <v>0.50629722921914366</v>
      </c>
      <c r="BJ379" s="287">
        <f t="shared" si="1220"/>
        <v>0.3487544483985765</v>
      </c>
      <c r="BK379" s="287">
        <f t="shared" si="1220"/>
        <v>0.40701754385964906</v>
      </c>
      <c r="BL379" s="287">
        <f t="shared" si="1220"/>
        <v>-0.12847222222222221</v>
      </c>
      <c r="BM379" s="287">
        <f t="shared" si="1220"/>
        <v>-0.20869565217391306</v>
      </c>
      <c r="BN379" s="287">
        <f t="shared" si="1220"/>
        <v>-0.47157190635451507</v>
      </c>
      <c r="BO379" s="287">
        <f t="shared" si="1220"/>
        <v>-0.18139841688654357</v>
      </c>
      <c r="BP379" s="287">
        <f t="shared" si="1220"/>
        <v>-0.32917705735660852</v>
      </c>
      <c r="BQ379" s="287">
        <f t="shared" si="1220"/>
        <v>9.960159362549792E-2</v>
      </c>
      <c r="BR379" s="287">
        <f t="shared" si="1220"/>
        <v>-0.12820512820512819</v>
      </c>
      <c r="BS379" s="287">
        <f t="shared" si="1220"/>
        <v>0.39240506329113933</v>
      </c>
      <c r="BT379" s="287">
        <f t="shared" si="1220"/>
        <v>-1.4504431909750148E-2</v>
      </c>
      <c r="BU379" s="288">
        <f t="shared" si="1220"/>
        <v>0.39776951672862459</v>
      </c>
      <c r="BV379" s="288">
        <f t="shared" si="1220"/>
        <v>0.23188405797101441</v>
      </c>
      <c r="BW379" s="288">
        <f t="shared" si="1220"/>
        <v>0.24789915966386555</v>
      </c>
      <c r="BX379" s="288">
        <f t="shared" si="1220"/>
        <v>0</v>
      </c>
      <c r="BY379" s="287">
        <f t="shared" si="1220"/>
        <v>0.18806214227309903</v>
      </c>
      <c r="BZ379" s="288">
        <f t="shared" si="1220"/>
        <v>0.10106382978723394</v>
      </c>
      <c r="CA379" s="288">
        <f t="shared" si="1220"/>
        <v>5.0000000000000044E-2</v>
      </c>
      <c r="CB379" s="288">
        <f t="shared" si="1220"/>
        <v>0</v>
      </c>
      <c r="CC379" s="288">
        <f t="shared" si="1220"/>
        <v>0.22727272727272729</v>
      </c>
      <c r="CD379" s="287">
        <f>CD378/BY378-1</f>
        <v>0.34383358949147014</v>
      </c>
      <c r="CE379" s="287">
        <f t="shared" ref="CE379:CI379" si="1221">CE378/CD378-1</f>
        <v>-0.10199316704740635</v>
      </c>
      <c r="CF379" s="287">
        <f t="shared" si="1221"/>
        <v>-8.8799155969185861E-3</v>
      </c>
      <c r="CG379" s="287">
        <f t="shared" si="1221"/>
        <v>1.0305865365180855E-2</v>
      </c>
      <c r="CH379" s="287">
        <f t="shared" si="1221"/>
        <v>9.7502002980764946E-3</v>
      </c>
      <c r="CI379" s="287">
        <f t="shared" si="1221"/>
        <v>9.255068400425337E-3</v>
      </c>
      <c r="CJ379" s="287">
        <f t="shared" ref="CJ379" si="1222">CJ378/CI378-1</f>
        <v>8.8134159427939451E-3</v>
      </c>
      <c r="CK379" s="287">
        <f t="shared" ref="CK379" si="1223">CK378/CJ378-1</f>
        <v>8.4191007630809445E-3</v>
      </c>
      <c r="CL379" s="287">
        <f t="shared" ref="CL379:CM379" si="1224">CL378/CK378-1</f>
        <v>8.0667573014701066E-3</v>
      </c>
      <c r="CM379" s="287">
        <f t="shared" si="1224"/>
        <v>7.7516848056826682E-3</v>
      </c>
      <c r="CN379" s="195"/>
      <c r="CO379" s="195"/>
      <c r="CP379" s="195"/>
      <c r="CQ379" s="195"/>
      <c r="CR379" s="195"/>
      <c r="CS379" s="202"/>
      <c r="CT379" s="202"/>
      <c r="CV379" s="237"/>
      <c r="CW379" s="237">
        <f>2007</f>
        <v>2007</v>
      </c>
      <c r="CX379" s="237">
        <f t="shared" ref="CX379:DE379" si="1225">CW379+1</f>
        <v>2008</v>
      </c>
      <c r="CY379" s="237">
        <f t="shared" si="1225"/>
        <v>2009</v>
      </c>
      <c r="CZ379" s="237">
        <f t="shared" si="1225"/>
        <v>2010</v>
      </c>
      <c r="DA379" s="237">
        <f t="shared" si="1225"/>
        <v>2011</v>
      </c>
      <c r="DB379" s="237">
        <f t="shared" si="1225"/>
        <v>2012</v>
      </c>
      <c r="DC379" s="237">
        <f t="shared" si="1225"/>
        <v>2013</v>
      </c>
      <c r="DD379" s="237">
        <f t="shared" si="1225"/>
        <v>2014</v>
      </c>
      <c r="DE379" s="237">
        <f t="shared" si="1225"/>
        <v>2015</v>
      </c>
    </row>
    <row r="380" spans="1:139" hidden="1" outlineLevel="1">
      <c r="A380" s="407" t="s">
        <v>81</v>
      </c>
      <c r="B380" s="351"/>
      <c r="C380" s="351"/>
      <c r="D380" s="351"/>
      <c r="E380" s="351"/>
      <c r="F380" s="351"/>
      <c r="G380" s="351"/>
      <c r="H380" s="351"/>
      <c r="I380" s="351"/>
      <c r="J380" s="351"/>
      <c r="K380" s="351"/>
      <c r="L380" s="351"/>
      <c r="M380" s="351"/>
      <c r="N380" s="351"/>
      <c r="O380" s="351"/>
      <c r="P380" s="351"/>
      <c r="Q380" s="351"/>
      <c r="R380" s="351"/>
      <c r="S380" s="351"/>
      <c r="T380" s="351"/>
      <c r="U380" s="351"/>
      <c r="V380" s="351"/>
      <c r="W380" s="351"/>
      <c r="X380" s="351"/>
      <c r="Y380" s="351"/>
      <c r="Z380" s="351"/>
      <c r="AA380" s="351"/>
      <c r="AB380" s="351"/>
      <c r="AC380" s="351"/>
      <c r="AD380" s="351"/>
      <c r="AE380" s="351"/>
      <c r="AF380" s="351"/>
      <c r="AG380" s="352">
        <v>969</v>
      </c>
      <c r="AH380" s="352">
        <v>972</v>
      </c>
      <c r="AI380" s="352">
        <v>992</v>
      </c>
      <c r="AJ380" s="352">
        <v>1007</v>
      </c>
      <c r="AK380" s="352">
        <v>3940</v>
      </c>
      <c r="AL380" s="352">
        <v>1052</v>
      </c>
      <c r="AM380" s="352">
        <v>1015</v>
      </c>
      <c r="AN380" s="352">
        <v>1076</v>
      </c>
      <c r="AO380" s="352">
        <v>1041</v>
      </c>
      <c r="AP380" s="352">
        <v>4184</v>
      </c>
      <c r="AQ380" s="352">
        <f>'[2]Domestic Mobile Operations'!S$20</f>
        <v>1008</v>
      </c>
      <c r="AR380" s="352">
        <f>'[2]Domestic Mobile Operations'!T$20</f>
        <v>956</v>
      </c>
      <c r="AS380" s="352">
        <f>'[2]Domestic Mobile Operations'!U$20</f>
        <v>1017</v>
      </c>
      <c r="AT380" s="352">
        <f>'[2]Domestic Mobile Operations'!V$20</f>
        <v>1018</v>
      </c>
      <c r="AU380" s="351">
        <f>SUM(AQ380:AT380)</f>
        <v>3999</v>
      </c>
      <c r="AV380" s="352">
        <f>'[2]Domestic Mobile Operations'!W$20</f>
        <v>1006</v>
      </c>
      <c r="AW380" s="352">
        <f>'[2]Domestic Mobile Operations'!X$20</f>
        <v>982</v>
      </c>
      <c r="AX380" s="352">
        <f>'[2]Domestic Mobile Operations'!Y$20</f>
        <v>947</v>
      </c>
      <c r="AY380" s="352">
        <f>'[2]Domestic Mobile Operations'!Z$20</f>
        <v>994</v>
      </c>
      <c r="AZ380" s="351">
        <f>SUM(AV380:AY380)</f>
        <v>3929</v>
      </c>
      <c r="BA380" s="408">
        <f>'[2]Domestic Mobile Operations'!AA$20</f>
        <v>849</v>
      </c>
      <c r="BB380" s="408">
        <f>'[2]Domestic Mobile Operations'!AB$20</f>
        <v>854</v>
      </c>
      <c r="BC380" s="408">
        <f>'[2]Domestic Mobile Operations'!AC$20</f>
        <v>851</v>
      </c>
      <c r="BD380" s="408">
        <f>'[2]Domestic Mobile Operations'!AD$20</f>
        <v>845</v>
      </c>
      <c r="BE380" s="351">
        <f>SUM(BA380:BD380)</f>
        <v>3399</v>
      </c>
      <c r="BF380" s="408">
        <f>'[2]Domestic Mobile Operations'!AE$20</f>
        <v>797</v>
      </c>
      <c r="BG380" s="408">
        <f>'[2]Domestic Mobile Operations'!AF$20</f>
        <v>791</v>
      </c>
      <c r="BH380" s="408">
        <f>'[2]Domestic Mobile Operations'!AG$20</f>
        <v>794</v>
      </c>
      <c r="BI380" s="408">
        <f>'[2]Domestic Mobile Operations'!AH$20</f>
        <v>783</v>
      </c>
      <c r="BJ380" s="351">
        <f>SUM(BF380:BI380)</f>
        <v>3165</v>
      </c>
      <c r="BK380" s="408">
        <f>'[2]Domestic Mobile Operations'!AI$20</f>
        <v>714</v>
      </c>
      <c r="BL380" s="408">
        <f>'[2]Domestic Mobile Operations'!AJ$20</f>
        <v>686</v>
      </c>
      <c r="BM380" s="408">
        <f>'[2]Domestic Mobile Operations'!AK$20</f>
        <v>717</v>
      </c>
      <c r="BN380" s="408">
        <f>'[2]Domestic Mobile Operations'!AL$20</f>
        <v>696</v>
      </c>
      <c r="BO380" s="351">
        <f>SUM(BK380:BN380)</f>
        <v>2813</v>
      </c>
      <c r="BP380" s="408">
        <f>'[2]Domestic Mobile Operations'!AM$20</f>
        <v>690</v>
      </c>
      <c r="BQ380" s="408">
        <f>'[2]Domestic Mobile Operations'!AN$20</f>
        <v>685</v>
      </c>
      <c r="BR380" s="408">
        <f>'[2]Domestic Mobile Operations'!AO$20</f>
        <v>685</v>
      </c>
      <c r="BS380" s="408">
        <f>'[2]Domestic Mobile Operations'!AP$20</f>
        <v>655</v>
      </c>
      <c r="BT380" s="351">
        <f>SUM(BP380:BS380)</f>
        <v>2715</v>
      </c>
      <c r="BU380" s="409">
        <f>'[2]Domestic Mobile Operations'!AQ$20</f>
        <v>657</v>
      </c>
      <c r="BV380" s="409">
        <f>'[2]Domestic Mobile Operations'!AR$20</f>
        <v>679</v>
      </c>
      <c r="BW380" s="409">
        <f>'[2]Domestic Mobile Operations'!AS$20</f>
        <v>676</v>
      </c>
      <c r="BX380" s="409">
        <f>'[2]Domestic Mobile Operations'!AT$20</f>
        <v>681</v>
      </c>
      <c r="BY380" s="351">
        <f>SUM(BU380:BX380)</f>
        <v>2693</v>
      </c>
      <c r="BZ380" s="409">
        <f>'[2]Domestic Mobile Operations'!AU$20</f>
        <v>661</v>
      </c>
      <c r="CA380" s="409">
        <f>'[2]Domestic Mobile Operations'!AV$20</f>
        <v>651</v>
      </c>
      <c r="CB380" s="409">
        <f>'[2]Domestic Mobile Operations'!AW$20</f>
        <v>652</v>
      </c>
      <c r="CC380" s="409">
        <f>'[2]Domestic Mobile Operations'!AX$20</f>
        <v>655</v>
      </c>
      <c r="CD380" s="351"/>
      <c r="CE380" s="351"/>
      <c r="CF380" s="351"/>
      <c r="CG380" s="351"/>
      <c r="CH380" s="351"/>
      <c r="CI380" s="351"/>
      <c r="CJ380" s="351"/>
      <c r="CK380" s="351"/>
      <c r="CL380" s="351"/>
      <c r="CM380" s="351"/>
      <c r="CN380" s="195"/>
      <c r="CO380" s="195"/>
      <c r="CP380" s="195"/>
      <c r="CQ380" s="195"/>
      <c r="CR380" s="195"/>
      <c r="DE380" s="265"/>
      <c r="DF380" s="265"/>
      <c r="DG380" s="265"/>
      <c r="DH380" s="265"/>
      <c r="DI380" s="265"/>
      <c r="EF380" s="265"/>
    </row>
    <row r="381" spans="1:139" hidden="1" outlineLevel="1">
      <c r="A381" s="410" t="s">
        <v>82</v>
      </c>
      <c r="B381" s="411"/>
      <c r="C381" s="411"/>
      <c r="D381" s="411"/>
      <c r="E381" s="411"/>
      <c r="F381" s="411"/>
      <c r="G381" s="411"/>
      <c r="H381" s="411"/>
      <c r="I381" s="411"/>
      <c r="J381" s="411"/>
      <c r="K381" s="411"/>
      <c r="L381" s="411"/>
      <c r="M381" s="411"/>
      <c r="N381" s="411"/>
      <c r="O381" s="411"/>
      <c r="P381" s="411"/>
      <c r="Q381" s="411"/>
      <c r="R381" s="411"/>
      <c r="S381" s="411"/>
      <c r="T381" s="411"/>
      <c r="U381" s="411"/>
      <c r="V381" s="411"/>
      <c r="W381" s="411"/>
      <c r="X381" s="411"/>
      <c r="Y381" s="411"/>
      <c r="Z381" s="411"/>
      <c r="AA381" s="411"/>
      <c r="AB381" s="411"/>
      <c r="AC381" s="411"/>
      <c r="AD381" s="411"/>
      <c r="AE381" s="411"/>
      <c r="AF381" s="411"/>
      <c r="AG381" s="412">
        <v>984</v>
      </c>
      <c r="AH381" s="412">
        <v>986</v>
      </c>
      <c r="AI381" s="412">
        <v>962</v>
      </c>
      <c r="AJ381" s="412">
        <v>985</v>
      </c>
      <c r="AK381" s="412">
        <v>3917</v>
      </c>
      <c r="AL381" s="412">
        <v>972</v>
      </c>
      <c r="AM381" s="412">
        <v>974</v>
      </c>
      <c r="AN381" s="412">
        <v>974</v>
      </c>
      <c r="AO381" s="412">
        <v>1011</v>
      </c>
      <c r="AP381" s="412">
        <v>3931</v>
      </c>
      <c r="AQ381" s="412">
        <f>'[2]Domestic Mobile Operations'!S$19</f>
        <v>997</v>
      </c>
      <c r="AR381" s="412">
        <f>'[2]Domestic Mobile Operations'!T$19</f>
        <v>978</v>
      </c>
      <c r="AS381" s="412">
        <f>'[2]Domestic Mobile Operations'!U$19</f>
        <v>965</v>
      </c>
      <c r="AT381" s="412">
        <f>'[2]Domestic Mobile Operations'!V$19</f>
        <v>1010</v>
      </c>
      <c r="AU381" s="411">
        <f>SUM(AQ381:AT381)</f>
        <v>3950</v>
      </c>
      <c r="AV381" s="412">
        <f>'[2]Domestic Mobile Operations'!W$19</f>
        <v>936</v>
      </c>
      <c r="AW381" s="412">
        <f>'[2]Domestic Mobile Operations'!X$19</f>
        <v>946</v>
      </c>
      <c r="AX381" s="412">
        <f>'[2]Domestic Mobile Operations'!Y$19</f>
        <v>997</v>
      </c>
      <c r="AY381" s="412">
        <f>'[2]Domestic Mobile Operations'!Z$19</f>
        <v>903</v>
      </c>
      <c r="AZ381" s="411">
        <f>SUM(AV381:AY381)</f>
        <v>3782</v>
      </c>
      <c r="BA381" s="413">
        <f>'[2]Domestic Mobile Operations'!AA$19</f>
        <v>985</v>
      </c>
      <c r="BB381" s="413">
        <f>'[2]Domestic Mobile Operations'!AB$19</f>
        <v>1009</v>
      </c>
      <c r="BC381" s="413">
        <f>'[2]Domestic Mobile Operations'!AC$19</f>
        <v>1025</v>
      </c>
      <c r="BD381" s="413">
        <f>'[2]Domestic Mobile Operations'!AD$19</f>
        <v>1053</v>
      </c>
      <c r="BE381" s="411">
        <f>SUM(BA381:BD381)</f>
        <v>4072</v>
      </c>
      <c r="BF381" s="413">
        <f>'[2]Domestic Mobile Operations'!AE$19</f>
        <v>1000</v>
      </c>
      <c r="BG381" s="413">
        <f>'[2]Domestic Mobile Operations'!AF$19</f>
        <v>972</v>
      </c>
      <c r="BH381" s="413">
        <f>'[2]Domestic Mobile Operations'!AG$19</f>
        <v>979</v>
      </c>
      <c r="BI381" s="413">
        <f>'[2]Domestic Mobile Operations'!AH$19</f>
        <v>989</v>
      </c>
      <c r="BJ381" s="411">
        <f>SUM(BF381:BI381)</f>
        <v>3940</v>
      </c>
      <c r="BK381" s="413">
        <f>'[2]Domestic Mobile Operations'!AI$19</f>
        <v>984</v>
      </c>
      <c r="BL381" s="413">
        <f>'[2]Domestic Mobile Operations'!AJ$19</f>
        <v>974</v>
      </c>
      <c r="BM381" s="413">
        <f>'[2]Domestic Mobile Operations'!AK$19</f>
        <v>956</v>
      </c>
      <c r="BN381" s="413">
        <f>'[2]Domestic Mobile Operations'!AL$19</f>
        <v>967</v>
      </c>
      <c r="BO381" s="411">
        <f>SUM(BK381:BN381)</f>
        <v>3881</v>
      </c>
      <c r="BP381" s="413">
        <f>'[2]Domestic Mobile Operations'!AM$19</f>
        <v>974</v>
      </c>
      <c r="BQ381" s="413">
        <f>'[2]Domestic Mobile Operations'!AN$19</f>
        <v>1002</v>
      </c>
      <c r="BR381" s="413">
        <f>'[2]Domestic Mobile Operations'!AO$19</f>
        <v>1030</v>
      </c>
      <c r="BS381" s="413">
        <f>'[2]Domestic Mobile Operations'!AP$19</f>
        <v>1019</v>
      </c>
      <c r="BT381" s="411">
        <f>SUM(BP381:BS381)</f>
        <v>4025</v>
      </c>
      <c r="BU381" s="413">
        <f>'[2]Domestic Mobile Operations'!AQ$19</f>
        <v>1041</v>
      </c>
      <c r="BV381" s="413">
        <f>'[2]Domestic Mobile Operations'!AR$19</f>
        <v>1069</v>
      </c>
      <c r="BW381" s="413">
        <f>'[2]Domestic Mobile Operations'!AS$19</f>
        <v>1092</v>
      </c>
      <c r="BX381" s="413">
        <f>'[2]Domestic Mobile Operations'!AT$19</f>
        <v>1112</v>
      </c>
      <c r="BY381" s="411">
        <f>SUM(BU381:BX381)</f>
        <v>4314</v>
      </c>
      <c r="BZ381" s="413">
        <f>'[2]Domestic Mobile Operations'!AU$19</f>
        <v>1123</v>
      </c>
      <c r="CA381" s="413">
        <f>'[2]Domestic Mobile Operations'!AV$19</f>
        <v>1128</v>
      </c>
      <c r="CB381" s="413">
        <f>'[2]Domestic Mobile Operations'!AW$19</f>
        <v>1154</v>
      </c>
      <c r="CC381" s="413">
        <f>'[2]Domestic Mobile Operations'!AX$19</f>
        <v>1186</v>
      </c>
      <c r="CD381" s="411"/>
      <c r="CE381" s="411"/>
      <c r="CF381" s="411"/>
      <c r="CG381" s="411"/>
      <c r="CH381" s="411"/>
      <c r="CI381" s="411"/>
      <c r="CJ381" s="411"/>
      <c r="CK381" s="411"/>
      <c r="CL381" s="411"/>
      <c r="CM381" s="411"/>
      <c r="CN381" s="195"/>
      <c r="CO381" s="195"/>
      <c r="CP381" s="195"/>
      <c r="CQ381" s="195"/>
      <c r="CR381" s="195"/>
      <c r="CS381" s="202"/>
      <c r="CT381" s="202"/>
      <c r="DT381" s="265"/>
      <c r="DU381" s="265"/>
      <c r="EG381" s="265"/>
      <c r="EH381" s="265"/>
      <c r="EI381" s="265"/>
    </row>
    <row r="382" spans="1:139" s="265" customFormat="1" hidden="1" outlineLevel="1">
      <c r="A382" s="414" t="s">
        <v>550</v>
      </c>
      <c r="B382" s="415"/>
      <c r="C382" s="415"/>
      <c r="D382" s="415"/>
      <c r="E382" s="415"/>
      <c r="F382" s="416">
        <f t="shared" ref="F382:AS382" si="1226">F376+F378</f>
        <v>2078</v>
      </c>
      <c r="G382" s="416">
        <f t="shared" si="1226"/>
        <v>7937.8</v>
      </c>
      <c r="H382" s="416">
        <f t="shared" si="1226"/>
        <v>1954</v>
      </c>
      <c r="I382" s="416">
        <f t="shared" si="1226"/>
        <v>1962</v>
      </c>
      <c r="J382" s="416">
        <f t="shared" si="1226"/>
        <v>2013</v>
      </c>
      <c r="K382" s="416">
        <f t="shared" si="1226"/>
        <v>2075</v>
      </c>
      <c r="L382" s="416">
        <f t="shared" si="1226"/>
        <v>8004</v>
      </c>
      <c r="M382" s="416">
        <f t="shared" si="1226"/>
        <v>2023</v>
      </c>
      <c r="N382" s="416">
        <f t="shared" si="1226"/>
        <v>2041</v>
      </c>
      <c r="O382" s="416">
        <f t="shared" si="1226"/>
        <v>2063</v>
      </c>
      <c r="P382" s="416">
        <f t="shared" si="1226"/>
        <v>2152</v>
      </c>
      <c r="Q382" s="416">
        <f t="shared" si="1226"/>
        <v>8279</v>
      </c>
      <c r="R382" s="416">
        <f t="shared" si="1226"/>
        <v>2038</v>
      </c>
      <c r="S382" s="416">
        <f t="shared" si="1226"/>
        <v>2075</v>
      </c>
      <c r="T382" s="416">
        <f t="shared" si="1226"/>
        <v>2163</v>
      </c>
      <c r="U382" s="416">
        <f t="shared" si="1226"/>
        <v>2170</v>
      </c>
      <c r="V382" s="416">
        <f t="shared" si="1226"/>
        <v>8446</v>
      </c>
      <c r="W382" s="416">
        <f t="shared" si="1226"/>
        <v>2036</v>
      </c>
      <c r="X382" s="416">
        <f t="shared" si="1226"/>
        <v>2081</v>
      </c>
      <c r="Y382" s="416">
        <f t="shared" si="1226"/>
        <v>2066</v>
      </c>
      <c r="Z382" s="416">
        <f t="shared" si="1226"/>
        <v>2111</v>
      </c>
      <c r="AA382" s="416">
        <f t="shared" si="1226"/>
        <v>8294</v>
      </c>
      <c r="AB382" s="416">
        <f t="shared" si="1226"/>
        <v>2066</v>
      </c>
      <c r="AC382" s="416">
        <f t="shared" si="1226"/>
        <v>2063</v>
      </c>
      <c r="AD382" s="416">
        <f t="shared" si="1226"/>
        <v>2051</v>
      </c>
      <c r="AE382" s="416">
        <f t="shared" si="1226"/>
        <v>2024</v>
      </c>
      <c r="AF382" s="416">
        <f t="shared" si="1226"/>
        <v>8147.3720000000003</v>
      </c>
      <c r="AG382" s="416">
        <f t="shared" si="1226"/>
        <v>1953</v>
      </c>
      <c r="AH382" s="416">
        <f t="shared" si="1226"/>
        <v>1955</v>
      </c>
      <c r="AI382" s="416">
        <f t="shared" si="1226"/>
        <v>1946</v>
      </c>
      <c r="AJ382" s="416">
        <f t="shared" si="1226"/>
        <v>1988</v>
      </c>
      <c r="AK382" s="416">
        <f t="shared" si="1226"/>
        <v>7857</v>
      </c>
      <c r="AL382" s="416">
        <f t="shared" si="1226"/>
        <v>2019</v>
      </c>
      <c r="AM382" s="416">
        <f t="shared" si="1226"/>
        <v>1984</v>
      </c>
      <c r="AN382" s="416">
        <f t="shared" si="1226"/>
        <v>2046</v>
      </c>
      <c r="AO382" s="416">
        <f t="shared" si="1226"/>
        <v>2047</v>
      </c>
      <c r="AP382" s="416">
        <f t="shared" si="1226"/>
        <v>8096</v>
      </c>
      <c r="AQ382" s="416">
        <f t="shared" si="1226"/>
        <v>2005</v>
      </c>
      <c r="AR382" s="416">
        <f t="shared" si="1226"/>
        <v>1934</v>
      </c>
      <c r="AS382" s="416">
        <f t="shared" si="1226"/>
        <v>1982</v>
      </c>
      <c r="AT382" s="416">
        <v>2028</v>
      </c>
      <c r="AU382" s="416">
        <f t="shared" ref="AU382:BH382" si="1227">AU376+AU378</f>
        <v>7949</v>
      </c>
      <c r="AV382" s="416">
        <f t="shared" si="1227"/>
        <v>2241</v>
      </c>
      <c r="AW382" s="416">
        <f t="shared" si="1227"/>
        <v>2194</v>
      </c>
      <c r="AX382" s="416">
        <f t="shared" si="1227"/>
        <v>2187</v>
      </c>
      <c r="AY382" s="416">
        <f t="shared" si="1227"/>
        <v>2237</v>
      </c>
      <c r="AZ382" s="416">
        <f t="shared" si="1227"/>
        <v>8859</v>
      </c>
      <c r="BA382" s="416">
        <f t="shared" si="1227"/>
        <v>2091</v>
      </c>
      <c r="BB382" s="416">
        <f t="shared" si="1227"/>
        <v>2096</v>
      </c>
      <c r="BC382" s="416">
        <f t="shared" si="1227"/>
        <v>2113</v>
      </c>
      <c r="BD382" s="416">
        <f t="shared" si="1227"/>
        <v>2295</v>
      </c>
      <c r="BE382" s="416">
        <f t="shared" si="1227"/>
        <v>8595</v>
      </c>
      <c r="BF382" s="416">
        <f t="shared" si="1227"/>
        <v>2082</v>
      </c>
      <c r="BG382" s="416">
        <f t="shared" si="1227"/>
        <v>2051</v>
      </c>
      <c r="BH382" s="416">
        <f t="shared" si="1227"/>
        <v>2118</v>
      </c>
      <c r="BI382" s="416">
        <f t="shared" ref="BI382:BV382" si="1228">BI376+BI378</f>
        <v>2370</v>
      </c>
      <c r="BJ382" s="416">
        <f t="shared" si="1228"/>
        <v>8621</v>
      </c>
      <c r="BK382" s="416">
        <f t="shared" si="1228"/>
        <v>2099</v>
      </c>
      <c r="BL382" s="416">
        <f t="shared" si="1228"/>
        <v>1911</v>
      </c>
      <c r="BM382" s="416">
        <f t="shared" si="1228"/>
        <v>1946</v>
      </c>
      <c r="BN382" s="416">
        <f t="shared" si="1228"/>
        <v>1979</v>
      </c>
      <c r="BO382" s="416">
        <f t="shared" si="1228"/>
        <v>7935</v>
      </c>
      <c r="BP382" s="416">
        <f t="shared" si="1228"/>
        <v>1933</v>
      </c>
      <c r="BQ382" s="416">
        <f t="shared" si="1228"/>
        <v>1963</v>
      </c>
      <c r="BR382" s="416">
        <f t="shared" si="1228"/>
        <v>1953</v>
      </c>
      <c r="BS382" s="416">
        <f t="shared" si="1228"/>
        <v>2114</v>
      </c>
      <c r="BT382" s="416">
        <f t="shared" si="1228"/>
        <v>7963</v>
      </c>
      <c r="BU382" s="417">
        <f t="shared" si="1228"/>
        <v>2074</v>
      </c>
      <c r="BV382" s="417">
        <f t="shared" si="1228"/>
        <v>2088</v>
      </c>
      <c r="BW382" s="417">
        <f t="shared" ref="BW382:BZ382" si="1229">BW376+BW378</f>
        <v>2065</v>
      </c>
      <c r="BX382" s="417">
        <f t="shared" si="1229"/>
        <v>2233</v>
      </c>
      <c r="BY382" s="416">
        <f t="shared" si="1229"/>
        <v>8460</v>
      </c>
      <c r="BZ382" s="417">
        <f t="shared" si="1229"/>
        <v>2198</v>
      </c>
      <c r="CA382" s="417">
        <f t="shared" ref="CA382:CB382" si="1230">CA376+CA378</f>
        <v>2136</v>
      </c>
      <c r="CB382" s="417">
        <f t="shared" si="1230"/>
        <v>2103</v>
      </c>
      <c r="CC382" s="417">
        <f t="shared" ref="CC382" si="1231">CC376+CC378</f>
        <v>2381</v>
      </c>
      <c r="CD382" s="416">
        <f t="shared" ref="CD382:CI382" si="1232">CD376+CD378</f>
        <v>9175.3226055311061</v>
      </c>
      <c r="CE382" s="416">
        <f t="shared" si="1232"/>
        <v>9061.7727966776602</v>
      </c>
      <c r="CF382" s="416">
        <f t="shared" si="1232"/>
        <v>9150.8837362977956</v>
      </c>
      <c r="CG382" s="416">
        <f t="shared" si="1232"/>
        <v>9269.360101378641</v>
      </c>
      <c r="CH382" s="416">
        <f t="shared" si="1232"/>
        <v>9415.1911232512866</v>
      </c>
      <c r="CI382" s="416">
        <f t="shared" si="1232"/>
        <v>9590.8798768997749</v>
      </c>
      <c r="CJ382" s="416">
        <f t="shared" ref="CJ382:CL382" si="1233">CJ376+CJ378</f>
        <v>9761.8476941598037</v>
      </c>
      <c r="CK382" s="416">
        <f t="shared" si="1233"/>
        <v>9928.6422384638463</v>
      </c>
      <c r="CL382" s="416">
        <f t="shared" si="1233"/>
        <v>10091.763722358401</v>
      </c>
      <c r="CM382" s="416">
        <f t="shared" ref="CM382" si="1234">CM376+CM378</f>
        <v>10251.669160544347</v>
      </c>
      <c r="CN382" s="202"/>
      <c r="CO382" s="202"/>
      <c r="CP382" s="202"/>
      <c r="CQ382" s="202"/>
      <c r="CR382" s="202"/>
      <c r="CS382" s="202"/>
      <c r="CT382" s="202"/>
    </row>
    <row r="383" spans="1:139" hidden="1" outlineLevel="1">
      <c r="A383" s="406" t="s">
        <v>65</v>
      </c>
      <c r="B383" s="351"/>
      <c r="C383" s="351"/>
      <c r="D383" s="351"/>
      <c r="E383" s="351"/>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239">
        <f t="shared" ref="AA383:CC383" si="1235">AA382/V382-1</f>
        <v>-1.799668482121719E-2</v>
      </c>
      <c r="AB383" s="239">
        <f t="shared" si="1235"/>
        <v>1.4734774066797574E-2</v>
      </c>
      <c r="AC383" s="239">
        <f t="shared" si="1235"/>
        <v>-8.6496876501681585E-3</v>
      </c>
      <c r="AD383" s="239">
        <f t="shared" si="1235"/>
        <v>-7.2604065827686082E-3</v>
      </c>
      <c r="AE383" s="239">
        <f t="shared" si="1235"/>
        <v>-4.1212695405021371E-2</v>
      </c>
      <c r="AF383" s="239">
        <f t="shared" si="1235"/>
        <v>-1.7678803954666034E-2</v>
      </c>
      <c r="AG383" s="239">
        <f t="shared" si="1235"/>
        <v>-5.4695062923523663E-2</v>
      </c>
      <c r="AH383" s="239">
        <f t="shared" si="1235"/>
        <v>-5.2350945225399848E-2</v>
      </c>
      <c r="AI383" s="239">
        <f t="shared" si="1235"/>
        <v>-5.1194539249146742E-2</v>
      </c>
      <c r="AJ383" s="239">
        <f t="shared" si="1235"/>
        <v>-1.7786561264822143E-2</v>
      </c>
      <c r="AK383" s="239">
        <f t="shared" si="1235"/>
        <v>-3.563995850441104E-2</v>
      </c>
      <c r="AL383" s="239">
        <f t="shared" si="1235"/>
        <v>3.3794162826420893E-2</v>
      </c>
      <c r="AM383" s="239">
        <f t="shared" si="1235"/>
        <v>1.4833759590792805E-2</v>
      </c>
      <c r="AN383" s="239">
        <f t="shared" si="1235"/>
        <v>5.1387461459403871E-2</v>
      </c>
      <c r="AO383" s="239">
        <f t="shared" si="1235"/>
        <v>2.9678068410462721E-2</v>
      </c>
      <c r="AP383" s="239">
        <f t="shared" si="1235"/>
        <v>3.0418734886088927E-2</v>
      </c>
      <c r="AQ383" s="239">
        <f t="shared" si="1235"/>
        <v>-6.9341258048538634E-3</v>
      </c>
      <c r="AR383" s="239">
        <f t="shared" si="1235"/>
        <v>-2.5201612903225756E-2</v>
      </c>
      <c r="AS383" s="239">
        <f t="shared" si="1235"/>
        <v>-3.128054740957964E-2</v>
      </c>
      <c r="AT383" s="239">
        <f t="shared" si="1235"/>
        <v>-9.2818759159746245E-3</v>
      </c>
      <c r="AU383" s="239">
        <f t="shared" si="1235"/>
        <v>-1.8157114624505977E-2</v>
      </c>
      <c r="AV383" s="239">
        <f t="shared" si="1235"/>
        <v>0.11770573566084797</v>
      </c>
      <c r="AW383" s="239">
        <f t="shared" si="1235"/>
        <v>0.13443640124095135</v>
      </c>
      <c r="AX383" s="239">
        <f t="shared" si="1235"/>
        <v>0.10343087790110994</v>
      </c>
      <c r="AY383" s="239">
        <f t="shared" si="1235"/>
        <v>0.10305719921104539</v>
      </c>
      <c r="AZ383" s="239">
        <f t="shared" si="1235"/>
        <v>0.11447980878097863</v>
      </c>
      <c r="BA383" s="239">
        <f t="shared" si="1235"/>
        <v>-6.6934404283801929E-2</v>
      </c>
      <c r="BB383" s="239">
        <f t="shared" si="1235"/>
        <v>-4.466727438468554E-2</v>
      </c>
      <c r="BC383" s="239">
        <f t="shared" si="1235"/>
        <v>-3.3836305441243719E-2</v>
      </c>
      <c r="BD383" s="239">
        <f t="shared" si="1235"/>
        <v>2.5927581582476433E-2</v>
      </c>
      <c r="BE383" s="239">
        <f t="shared" si="1235"/>
        <v>-2.9800203183203533E-2</v>
      </c>
      <c r="BF383" s="239">
        <f t="shared" si="1235"/>
        <v>-4.3041606886656814E-3</v>
      </c>
      <c r="BG383" s="239">
        <f t="shared" si="1235"/>
        <v>-2.1469465648854991E-2</v>
      </c>
      <c r="BH383" s="239">
        <f t="shared" si="1235"/>
        <v>2.3663038334122977E-3</v>
      </c>
      <c r="BI383" s="239">
        <f t="shared" si="1235"/>
        <v>3.2679738562091609E-2</v>
      </c>
      <c r="BJ383" s="239">
        <f t="shared" si="1235"/>
        <v>3.025014543339255E-3</v>
      </c>
      <c r="BK383" s="239">
        <f t="shared" si="1235"/>
        <v>8.1652257444764231E-3</v>
      </c>
      <c r="BL383" s="239">
        <f t="shared" si="1235"/>
        <v>-6.8259385665529027E-2</v>
      </c>
      <c r="BM383" s="239">
        <f t="shared" si="1235"/>
        <v>-8.1208687440982086E-2</v>
      </c>
      <c r="BN383" s="239">
        <f t="shared" si="1235"/>
        <v>-0.16497890295358653</v>
      </c>
      <c r="BO383" s="239">
        <f t="shared" si="1235"/>
        <v>-7.9573135367126735E-2</v>
      </c>
      <c r="BP383" s="239">
        <f t="shared" si="1235"/>
        <v>-7.9085278704144835E-2</v>
      </c>
      <c r="BQ383" s="239">
        <f t="shared" si="1235"/>
        <v>2.7210884353741527E-2</v>
      </c>
      <c r="BR383" s="239">
        <f t="shared" si="1235"/>
        <v>3.597122302158251E-3</v>
      </c>
      <c r="BS383" s="239">
        <f t="shared" si="1235"/>
        <v>6.8216270843860505E-2</v>
      </c>
      <c r="BT383" s="239">
        <f t="shared" si="1235"/>
        <v>3.5286704473849184E-3</v>
      </c>
      <c r="BU383" s="240">
        <f t="shared" si="1235"/>
        <v>7.2943610967408201E-2</v>
      </c>
      <c r="BV383" s="240">
        <f t="shared" si="1235"/>
        <v>6.3678043810494245E-2</v>
      </c>
      <c r="BW383" s="240">
        <f t="shared" si="1235"/>
        <v>5.7347670250896154E-2</v>
      </c>
      <c r="BX383" s="240">
        <f t="shared" si="1235"/>
        <v>5.6291390728476776E-2</v>
      </c>
      <c r="BY383" s="239">
        <f t="shared" si="1235"/>
        <v>6.2413663192264268E-2</v>
      </c>
      <c r="BZ383" s="240">
        <f t="shared" si="1235"/>
        <v>5.9787849566055984E-2</v>
      </c>
      <c r="CA383" s="240">
        <f t="shared" si="1235"/>
        <v>2.2988505747126409E-2</v>
      </c>
      <c r="CB383" s="240">
        <f t="shared" si="1235"/>
        <v>1.8401937046004901E-2</v>
      </c>
      <c r="CC383" s="240">
        <f t="shared" si="1235"/>
        <v>6.6278549037169787E-2</v>
      </c>
      <c r="CD383" s="239">
        <f>CD382/BY382-1</f>
        <v>8.455349947176205E-2</v>
      </c>
      <c r="CE383" s="239">
        <f t="shared" ref="CE383:CI383" si="1236">CE382/CD382-1</f>
        <v>-1.2375565823156465E-2</v>
      </c>
      <c r="CF383" s="239">
        <f t="shared" si="1236"/>
        <v>9.8337203568827913E-3</v>
      </c>
      <c r="CG383" s="239">
        <f t="shared" si="1236"/>
        <v>1.2946986159478646E-2</v>
      </c>
      <c r="CH383" s="239">
        <f t="shared" si="1236"/>
        <v>1.5732587824585309E-2</v>
      </c>
      <c r="CI383" s="239">
        <f t="shared" si="1236"/>
        <v>1.8660136724640175E-2</v>
      </c>
      <c r="CJ383" s="239">
        <f t="shared" ref="CJ383" si="1237">CJ382/CI382-1</f>
        <v>1.7826082638342289E-2</v>
      </c>
      <c r="CK383" s="239">
        <f t="shared" ref="CK383" si="1238">CK382/CJ382-1</f>
        <v>1.7086370278428964E-2</v>
      </c>
      <c r="CL383" s="239">
        <f t="shared" ref="CL383:CM383" si="1239">CL382/CK382-1</f>
        <v>1.6429384801742275E-2</v>
      </c>
      <c r="CM383" s="239">
        <f t="shared" si="1239"/>
        <v>1.5845142889312269E-2</v>
      </c>
      <c r="CN383" s="195"/>
      <c r="CO383" s="195"/>
      <c r="CP383" s="195"/>
      <c r="CQ383" s="195"/>
      <c r="CR383" s="195"/>
      <c r="CS383" s="202"/>
      <c r="CT383" s="202"/>
      <c r="DT383" s="265"/>
      <c r="DU383" s="265"/>
      <c r="EG383" s="265"/>
      <c r="EH383" s="265"/>
      <c r="EI383" s="265"/>
    </row>
    <row r="384" spans="1:139" hidden="1" outlineLevel="1">
      <c r="A384" s="342"/>
      <c r="B384" s="351"/>
      <c r="C384" s="351"/>
      <c r="D384" s="351"/>
      <c r="E384" s="351"/>
      <c r="F384" s="416"/>
      <c r="G384" s="416"/>
      <c r="H384" s="416"/>
      <c r="I384" s="416"/>
      <c r="J384" s="416"/>
      <c r="K384" s="416"/>
      <c r="L384" s="416"/>
      <c r="M384" s="416"/>
      <c r="N384" s="416"/>
      <c r="O384" s="416"/>
      <c r="P384" s="416"/>
      <c r="Q384" s="416"/>
      <c r="R384" s="416"/>
      <c r="S384" s="416"/>
      <c r="T384" s="416"/>
      <c r="U384" s="416"/>
      <c r="V384" s="416"/>
      <c r="W384" s="416"/>
      <c r="X384" s="416"/>
      <c r="Y384" s="416"/>
      <c r="Z384" s="416"/>
      <c r="AA384" s="418"/>
      <c r="AB384" s="418"/>
      <c r="AC384" s="418"/>
      <c r="AD384" s="418"/>
      <c r="AE384" s="418"/>
      <c r="AF384" s="418"/>
      <c r="AG384" s="418"/>
      <c r="AH384" s="418"/>
      <c r="AI384" s="418"/>
      <c r="AJ384" s="418"/>
      <c r="AK384" s="418"/>
      <c r="AL384" s="418"/>
      <c r="AM384" s="418"/>
      <c r="AN384" s="418"/>
      <c r="AO384" s="418"/>
      <c r="AP384" s="418"/>
      <c r="AQ384" s="418"/>
      <c r="AR384" s="418"/>
      <c r="AS384" s="418"/>
      <c r="AT384" s="418"/>
      <c r="AU384" s="418"/>
      <c r="AV384" s="418"/>
      <c r="AW384" s="418"/>
      <c r="AX384" s="418"/>
      <c r="AY384" s="418"/>
      <c r="AZ384" s="418"/>
      <c r="BA384" s="418"/>
      <c r="BB384" s="418"/>
      <c r="BC384" s="418"/>
      <c r="BD384" s="418"/>
      <c r="BE384" s="418"/>
      <c r="BF384" s="418"/>
      <c r="BG384" s="418"/>
      <c r="BH384" s="418"/>
      <c r="BI384" s="418"/>
      <c r="BJ384" s="418"/>
      <c r="BK384" s="418"/>
      <c r="BL384" s="418"/>
      <c r="BM384" s="418"/>
      <c r="BN384" s="418"/>
      <c r="BO384" s="418"/>
      <c r="BP384" s="418"/>
      <c r="BQ384" s="418"/>
      <c r="BR384" s="418"/>
      <c r="BS384" s="418"/>
      <c r="BT384" s="418"/>
      <c r="BU384" s="419"/>
      <c r="BV384" s="419"/>
      <c r="BW384" s="419"/>
      <c r="BX384" s="419"/>
      <c r="BY384" s="418"/>
      <c r="BZ384" s="419"/>
      <c r="CA384" s="419"/>
      <c r="CB384" s="419"/>
      <c r="CC384" s="419"/>
      <c r="CD384" s="418"/>
      <c r="CE384" s="418"/>
      <c r="CF384" s="418"/>
      <c r="CG384" s="418"/>
      <c r="CH384" s="418"/>
      <c r="CI384" s="418"/>
      <c r="CJ384" s="418"/>
      <c r="CK384" s="418"/>
      <c r="CL384" s="418"/>
      <c r="CM384" s="418"/>
      <c r="CN384" s="195"/>
      <c r="CO384" s="195"/>
      <c r="CP384" s="195"/>
      <c r="CQ384" s="195"/>
      <c r="CR384" s="195"/>
      <c r="CS384" s="202"/>
      <c r="CT384" s="202"/>
      <c r="DT384" s="265"/>
      <c r="DU384" s="265"/>
      <c r="EG384" s="265"/>
      <c r="EH384" s="265"/>
      <c r="EI384" s="265"/>
    </row>
    <row r="385" spans="1:142" ht="15" hidden="1" customHeight="1" outlineLevel="1">
      <c r="A385" s="342" t="s">
        <v>589</v>
      </c>
      <c r="B385" s="420">
        <v>534.20000000000005</v>
      </c>
      <c r="C385" s="318"/>
      <c r="D385" s="318"/>
      <c r="E385" s="318"/>
      <c r="F385" s="420">
        <v>126</v>
      </c>
      <c r="G385" s="420">
        <v>635</v>
      </c>
      <c r="H385" s="420">
        <v>130</v>
      </c>
      <c r="I385" s="420">
        <v>95</v>
      </c>
      <c r="J385" s="420">
        <v>103</v>
      </c>
      <c r="K385" s="420">
        <v>92</v>
      </c>
      <c r="L385" s="420">
        <v>420</v>
      </c>
      <c r="M385" s="420">
        <v>86</v>
      </c>
      <c r="N385" s="420">
        <v>105</v>
      </c>
      <c r="O385" s="420">
        <v>106</v>
      </c>
      <c r="P385" s="420">
        <v>108</v>
      </c>
      <c r="Q385" s="420">
        <v>405</v>
      </c>
      <c r="R385" s="420">
        <v>48</v>
      </c>
      <c r="S385" s="420">
        <v>30</v>
      </c>
      <c r="T385" s="420">
        <v>33</v>
      </c>
      <c r="U385" s="420">
        <v>45</v>
      </c>
      <c r="V385" s="420">
        <v>156</v>
      </c>
      <c r="W385" s="420">
        <v>46</v>
      </c>
      <c r="X385" s="420">
        <v>79</v>
      </c>
      <c r="Y385" s="420">
        <v>88</v>
      </c>
      <c r="Z385" s="420">
        <v>129</v>
      </c>
      <c r="AA385" s="420">
        <v>342</v>
      </c>
      <c r="AB385" s="420">
        <v>184</v>
      </c>
      <c r="AC385" s="420">
        <v>158</v>
      </c>
      <c r="AD385" s="420">
        <v>112</v>
      </c>
      <c r="AE385" s="420">
        <v>116</v>
      </c>
      <c r="AF385" s="420">
        <v>570</v>
      </c>
      <c r="AG385" s="420">
        <v>82</v>
      </c>
      <c r="AH385" s="420">
        <v>36</v>
      </c>
      <c r="AI385" s="420">
        <v>24</v>
      </c>
      <c r="AJ385" s="420">
        <v>33</v>
      </c>
      <c r="AK385" s="420">
        <v>175</v>
      </c>
      <c r="AL385" s="420">
        <v>27</v>
      </c>
      <c r="AM385" s="420">
        <v>21</v>
      </c>
      <c r="AN385" s="420">
        <v>12</v>
      </c>
      <c r="AO385" s="420">
        <v>21</v>
      </c>
      <c r="AP385" s="420">
        <v>81</v>
      </c>
      <c r="AQ385" s="420">
        <v>18</v>
      </c>
      <c r="AR385" s="420">
        <v>47</v>
      </c>
      <c r="AS385" s="420">
        <v>43</v>
      </c>
      <c r="AT385" s="420">
        <v>49</v>
      </c>
      <c r="AU385" s="420">
        <f>SUM(AQ385:AT385)</f>
        <v>157</v>
      </c>
      <c r="AV385" s="420">
        <f>'[2]Profit and Loss Highlights'!W$12</f>
        <v>72</v>
      </c>
      <c r="AW385" s="420">
        <f>'[2]Profit and Loss Highlights'!X$12</f>
        <v>76</v>
      </c>
      <c r="AX385" s="420">
        <f>'[2]Profit and Loss Highlights'!Y$12</f>
        <v>75</v>
      </c>
      <c r="AY385" s="420">
        <f>'[2]Profit and Loss Highlights'!Z$12</f>
        <v>69</v>
      </c>
      <c r="AZ385" s="420">
        <f>SUM(AV385:AY385)</f>
        <v>292</v>
      </c>
      <c r="BA385" s="420">
        <f>'[2]Profit and Loss Highlights'!AA$12</f>
        <v>71</v>
      </c>
      <c r="BB385" s="420">
        <f>'[2]Profit and Loss Highlights'!AB$12</f>
        <v>71</v>
      </c>
      <c r="BC385" s="420">
        <f>'[2]Profit and Loss Highlights'!AC$12</f>
        <v>71</v>
      </c>
      <c r="BD385" s="420">
        <f>'[2]Profit and Loss Highlights'!AD$12</f>
        <v>70</v>
      </c>
      <c r="BE385" s="420">
        <f>SUM(BA385:BD385)</f>
        <v>283</v>
      </c>
      <c r="BF385" s="420">
        <f>'[2]Profit and Loss Highlights'!AE$12</f>
        <v>70</v>
      </c>
      <c r="BG385" s="420">
        <f>'[2]Profit and Loss Highlights'!AF$12</f>
        <v>69</v>
      </c>
      <c r="BH385" s="420">
        <f>'[2]Profit and Loss Highlights'!AG$12</f>
        <v>72</v>
      </c>
      <c r="BI385" s="420">
        <f>'[2]Profit and Loss Highlights'!AH$12</f>
        <v>116</v>
      </c>
      <c r="BJ385" s="420">
        <f>SUM(BF385:BI385)</f>
        <v>327</v>
      </c>
      <c r="BK385" s="420">
        <f>'[2]Profit and Loss Highlights'!AI$12</f>
        <v>129</v>
      </c>
      <c r="BL385" s="420">
        <f>'[2]Profit and Loss Highlights'!AJ$12</f>
        <v>127</v>
      </c>
      <c r="BM385" s="420">
        <f>'[2]Profit and Loss Highlights'!AK$12</f>
        <v>147</v>
      </c>
      <c r="BN385" s="420">
        <f>'[2]Profit and Loss Highlights'!AL$12</f>
        <v>155</v>
      </c>
      <c r="BO385" s="420">
        <f>SUM(BK385:BN385)</f>
        <v>558</v>
      </c>
      <c r="BP385" s="420">
        <f>'[2]Profit and Loss Highlights'!AM$12</f>
        <v>136</v>
      </c>
      <c r="BQ385" s="420">
        <f>'[2]Profit and Loss Highlights'!AN$12</f>
        <v>135</v>
      </c>
      <c r="BR385" s="420">
        <f>'[2]Profit and Loss Highlights'!AO$12</f>
        <v>137</v>
      </c>
      <c r="BS385" s="420">
        <f>'[2]Profit and Loss Highlights'!AP$12</f>
        <v>151</v>
      </c>
      <c r="BT385" s="420">
        <f>SUM(BP385:BS385)</f>
        <v>559</v>
      </c>
      <c r="BU385" s="421">
        <f>'[2]Profit and Loss Highlights'!AQ$12</f>
        <v>141</v>
      </c>
      <c r="BV385" s="421">
        <f>'[2]Profit and Loss Highlights'!AR$12</f>
        <v>135</v>
      </c>
      <c r="BW385" s="421">
        <f>'[2]Profit and Loss Highlights'!AS$12</f>
        <v>131</v>
      </c>
      <c r="BX385" s="421">
        <f>'[2]Profit and Loss Highlights'!AT$12</f>
        <v>103</v>
      </c>
      <c r="BY385" s="420">
        <f>SUM(BU385:BX385)</f>
        <v>510</v>
      </c>
      <c r="BZ385" s="421">
        <f>'[2]Profit and Loss Highlights'!AU$12</f>
        <v>106</v>
      </c>
      <c r="CA385" s="421">
        <f>'[2]Profit and Loss Highlights'!AV$12</f>
        <v>106</v>
      </c>
      <c r="CB385" s="421">
        <f>'[2]Profit and Loss Highlights'!AW$12</f>
        <v>106</v>
      </c>
      <c r="CC385" s="421">
        <f>'[2]Profit and Loss Highlights'!AX$12</f>
        <v>0</v>
      </c>
      <c r="CD385" s="420">
        <f>BY385*(1+CD386)</f>
        <v>688.5</v>
      </c>
      <c r="CE385" s="420">
        <f t="shared" ref="CE385:CI385" si="1240">CD385*(1+CE386)</f>
        <v>895.05000000000007</v>
      </c>
      <c r="CF385" s="420">
        <f t="shared" si="1240"/>
        <v>1145.6640000000002</v>
      </c>
      <c r="CG385" s="420">
        <f t="shared" si="1240"/>
        <v>1432.0800000000004</v>
      </c>
      <c r="CH385" s="420">
        <f t="shared" si="1240"/>
        <v>1646.8920000000003</v>
      </c>
      <c r="CI385" s="420">
        <f t="shared" si="1240"/>
        <v>1819.8156600000002</v>
      </c>
      <c r="CJ385" s="420">
        <f t="shared" ref="CJ385" si="1241">CI385*(1+CJ386)</f>
        <v>2010.8963043000001</v>
      </c>
      <c r="CK385" s="420">
        <f t="shared" ref="CK385" si="1242">CJ385*(1+CK386)</f>
        <v>2222.0404162515001</v>
      </c>
      <c r="CL385" s="420">
        <f t="shared" ref="CL385:CM385" si="1243">CK385*(1+CL386)</f>
        <v>2455.3546599579076</v>
      </c>
      <c r="CM385" s="420">
        <f t="shared" si="1243"/>
        <v>2713.1668992534878</v>
      </c>
      <c r="CN385" s="195"/>
      <c r="CO385" s="195"/>
      <c r="CP385" s="195"/>
      <c r="CQ385" s="195"/>
      <c r="CR385" s="195"/>
      <c r="CS385" s="202"/>
      <c r="CT385" s="202"/>
      <c r="CV385" s="276"/>
      <c r="CW385" s="287"/>
      <c r="CX385" s="287"/>
      <c r="CY385" s="287"/>
      <c r="CZ385" s="287"/>
      <c r="DA385" s="287"/>
      <c r="DB385" s="287"/>
      <c r="DC385" s="287"/>
      <c r="DD385" s="287"/>
      <c r="DE385" s="287"/>
    </row>
    <row r="386" spans="1:142" ht="15" hidden="1" customHeight="1" outlineLevel="1">
      <c r="A386" s="406" t="s">
        <v>65</v>
      </c>
      <c r="B386" s="324"/>
      <c r="C386" s="287"/>
      <c r="D386" s="287"/>
      <c r="E386" s="287"/>
      <c r="F386" s="324"/>
      <c r="G386" s="324"/>
      <c r="H386" s="324"/>
      <c r="I386" s="324"/>
      <c r="J386" s="324"/>
      <c r="K386" s="324"/>
      <c r="L386" s="287">
        <f t="shared" ref="L386:BE386" si="1244">L385/G385-1</f>
        <v>-0.33858267716535428</v>
      </c>
      <c r="M386" s="287">
        <f t="shared" si="1244"/>
        <v>-0.33846153846153848</v>
      </c>
      <c r="N386" s="287">
        <f t="shared" si="1244"/>
        <v>0.10526315789473695</v>
      </c>
      <c r="O386" s="287">
        <f t="shared" si="1244"/>
        <v>2.9126213592232997E-2</v>
      </c>
      <c r="P386" s="287">
        <f t="shared" si="1244"/>
        <v>0.17391304347826098</v>
      </c>
      <c r="Q386" s="287">
        <f t="shared" si="1244"/>
        <v>-3.5714285714285698E-2</v>
      </c>
      <c r="R386" s="287">
        <f t="shared" si="1244"/>
        <v>-0.44186046511627908</v>
      </c>
      <c r="S386" s="287">
        <f t="shared" si="1244"/>
        <v>-0.7142857142857143</v>
      </c>
      <c r="T386" s="287">
        <f t="shared" si="1244"/>
        <v>-0.68867924528301883</v>
      </c>
      <c r="U386" s="287">
        <f t="shared" si="1244"/>
        <v>-0.58333333333333326</v>
      </c>
      <c r="V386" s="287">
        <f t="shared" si="1244"/>
        <v>-0.61481481481481481</v>
      </c>
      <c r="W386" s="287">
        <f t="shared" si="1244"/>
        <v>-4.166666666666663E-2</v>
      </c>
      <c r="X386" s="287">
        <f t="shared" si="1244"/>
        <v>1.6333333333333333</v>
      </c>
      <c r="Y386" s="287">
        <f t="shared" si="1244"/>
        <v>1.6666666666666665</v>
      </c>
      <c r="Z386" s="287">
        <f t="shared" si="1244"/>
        <v>1.8666666666666667</v>
      </c>
      <c r="AA386" s="287">
        <f t="shared" si="1244"/>
        <v>1.1923076923076925</v>
      </c>
      <c r="AB386" s="287">
        <f t="shared" si="1244"/>
        <v>3</v>
      </c>
      <c r="AC386" s="287">
        <f t="shared" si="1244"/>
        <v>1</v>
      </c>
      <c r="AD386" s="287">
        <f t="shared" si="1244"/>
        <v>0.27272727272727271</v>
      </c>
      <c r="AE386" s="287">
        <f t="shared" si="1244"/>
        <v>-0.10077519379844957</v>
      </c>
      <c r="AF386" s="287">
        <f t="shared" si="1244"/>
        <v>0.66666666666666674</v>
      </c>
      <c r="AG386" s="287">
        <f t="shared" si="1244"/>
        <v>-0.55434782608695654</v>
      </c>
      <c r="AH386" s="287">
        <f t="shared" si="1244"/>
        <v>-0.77215189873417722</v>
      </c>
      <c r="AI386" s="287">
        <f t="shared" si="1244"/>
        <v>-0.7857142857142857</v>
      </c>
      <c r="AJ386" s="287">
        <f t="shared" si="1244"/>
        <v>-0.71551724137931028</v>
      </c>
      <c r="AK386" s="287">
        <f t="shared" si="1244"/>
        <v>-0.69298245614035081</v>
      </c>
      <c r="AL386" s="287">
        <f t="shared" si="1244"/>
        <v>-0.6707317073170731</v>
      </c>
      <c r="AM386" s="287">
        <f t="shared" si="1244"/>
        <v>-0.41666666666666663</v>
      </c>
      <c r="AN386" s="287">
        <f t="shared" si="1244"/>
        <v>-0.5</v>
      </c>
      <c r="AO386" s="287">
        <f t="shared" si="1244"/>
        <v>-0.36363636363636365</v>
      </c>
      <c r="AP386" s="287">
        <f t="shared" si="1244"/>
        <v>-0.53714285714285714</v>
      </c>
      <c r="AQ386" s="287">
        <f t="shared" si="1244"/>
        <v>-0.33333333333333337</v>
      </c>
      <c r="AR386" s="287">
        <f t="shared" si="1244"/>
        <v>1.2380952380952381</v>
      </c>
      <c r="AS386" s="287">
        <f t="shared" si="1244"/>
        <v>2.5833333333333335</v>
      </c>
      <c r="AT386" s="287">
        <f t="shared" si="1244"/>
        <v>1.3333333333333335</v>
      </c>
      <c r="AU386" s="287">
        <f t="shared" si="1244"/>
        <v>0.93827160493827155</v>
      </c>
      <c r="AV386" s="287">
        <f t="shared" si="1244"/>
        <v>3</v>
      </c>
      <c r="AW386" s="287">
        <f t="shared" si="1244"/>
        <v>0.61702127659574457</v>
      </c>
      <c r="AX386" s="287">
        <f t="shared" si="1244"/>
        <v>0.7441860465116279</v>
      </c>
      <c r="AY386" s="287">
        <f t="shared" si="1244"/>
        <v>0.40816326530612246</v>
      </c>
      <c r="AZ386" s="287">
        <f t="shared" si="1244"/>
        <v>0.85987261146496818</v>
      </c>
      <c r="BA386" s="287">
        <f t="shared" si="1244"/>
        <v>-1.388888888888884E-2</v>
      </c>
      <c r="BB386" s="287">
        <f t="shared" si="1244"/>
        <v>-6.5789473684210509E-2</v>
      </c>
      <c r="BC386" s="287">
        <f t="shared" si="1244"/>
        <v>-5.3333333333333344E-2</v>
      </c>
      <c r="BD386" s="287">
        <f t="shared" si="1244"/>
        <v>1.449275362318847E-2</v>
      </c>
      <c r="BE386" s="287">
        <f t="shared" si="1244"/>
        <v>-3.082191780821919E-2</v>
      </c>
      <c r="BF386" s="287">
        <f t="shared" ref="BF386:CC386" si="1245">BF385/BA385-1</f>
        <v>-1.4084507042253502E-2</v>
      </c>
      <c r="BG386" s="287">
        <f t="shared" si="1245"/>
        <v>-2.8169014084507005E-2</v>
      </c>
      <c r="BH386" s="287">
        <f t="shared" si="1245"/>
        <v>1.4084507042253502E-2</v>
      </c>
      <c r="BI386" s="287">
        <f t="shared" si="1245"/>
        <v>0.65714285714285725</v>
      </c>
      <c r="BJ386" s="287">
        <f t="shared" si="1245"/>
        <v>0.15547703180212014</v>
      </c>
      <c r="BK386" s="287">
        <f t="shared" si="1245"/>
        <v>0.84285714285714275</v>
      </c>
      <c r="BL386" s="287">
        <f t="shared" si="1245"/>
        <v>0.84057971014492749</v>
      </c>
      <c r="BM386" s="287">
        <f t="shared" si="1245"/>
        <v>1.0416666666666665</v>
      </c>
      <c r="BN386" s="287">
        <f t="shared" si="1245"/>
        <v>0.3362068965517242</v>
      </c>
      <c r="BO386" s="287">
        <f t="shared" si="1245"/>
        <v>0.70642201834862384</v>
      </c>
      <c r="BP386" s="287">
        <f t="shared" si="1245"/>
        <v>5.4263565891472965E-2</v>
      </c>
      <c r="BQ386" s="287">
        <f t="shared" si="1245"/>
        <v>6.2992125984252079E-2</v>
      </c>
      <c r="BR386" s="287">
        <f t="shared" si="1245"/>
        <v>-6.8027210884353706E-2</v>
      </c>
      <c r="BS386" s="287">
        <f t="shared" si="1245"/>
        <v>-2.5806451612903181E-2</v>
      </c>
      <c r="BT386" s="287">
        <f t="shared" si="1245"/>
        <v>1.7921146953405742E-3</v>
      </c>
      <c r="BU386" s="288">
        <f t="shared" si="1245"/>
        <v>3.6764705882353033E-2</v>
      </c>
      <c r="BV386" s="288">
        <f t="shared" si="1245"/>
        <v>0</v>
      </c>
      <c r="BW386" s="288">
        <f t="shared" si="1245"/>
        <v>-4.3795620437956151E-2</v>
      </c>
      <c r="BX386" s="288">
        <f t="shared" si="1245"/>
        <v>-0.31788079470198671</v>
      </c>
      <c r="BY386" s="287">
        <f t="shared" si="1245"/>
        <v>-8.7656529516994652E-2</v>
      </c>
      <c r="BZ386" s="288">
        <f t="shared" si="1245"/>
        <v>-0.24822695035460995</v>
      </c>
      <c r="CA386" s="288">
        <f t="shared" si="1245"/>
        <v>-0.21481481481481479</v>
      </c>
      <c r="CB386" s="288">
        <f t="shared" si="1245"/>
        <v>-0.19083969465648853</v>
      </c>
      <c r="CC386" s="288">
        <f t="shared" si="1245"/>
        <v>-1</v>
      </c>
      <c r="CD386" s="298">
        <v>0.35</v>
      </c>
      <c r="CE386" s="298">
        <v>0.3</v>
      </c>
      <c r="CF386" s="298">
        <v>0.28000000000000003</v>
      </c>
      <c r="CG386" s="298">
        <v>0.25</v>
      </c>
      <c r="CH386" s="298">
        <v>0.15</v>
      </c>
      <c r="CI386" s="298">
        <v>0.105</v>
      </c>
      <c r="CJ386" s="298">
        <v>0.105</v>
      </c>
      <c r="CK386" s="298">
        <v>0.105</v>
      </c>
      <c r="CL386" s="298">
        <v>0.105</v>
      </c>
      <c r="CM386" s="298">
        <v>0.105</v>
      </c>
      <c r="CN386" s="195"/>
      <c r="CO386" s="195"/>
      <c r="CP386" s="195"/>
      <c r="CQ386" s="195"/>
      <c r="CR386" s="195"/>
      <c r="CS386" s="202"/>
      <c r="CT386" s="202"/>
      <c r="CV386" s="276"/>
      <c r="CW386" s="287"/>
      <c r="CX386" s="287"/>
      <c r="CY386" s="287"/>
      <c r="CZ386" s="287"/>
      <c r="DA386" s="287"/>
      <c r="DB386" s="287"/>
      <c r="DC386" s="287"/>
      <c r="DD386" s="287"/>
      <c r="DE386" s="287"/>
    </row>
    <row r="387" spans="1:142" ht="15" hidden="1" customHeight="1" outlineLevel="1">
      <c r="A387" s="341"/>
      <c r="B387" s="324"/>
      <c r="C387" s="287"/>
      <c r="D387" s="287"/>
      <c r="E387" s="287"/>
      <c r="F387" s="324"/>
      <c r="G387" s="324"/>
      <c r="H387" s="324"/>
      <c r="I387" s="324"/>
      <c r="J387" s="324"/>
      <c r="K387" s="324"/>
      <c r="L387" s="287"/>
      <c r="M387" s="287"/>
      <c r="N387" s="287"/>
      <c r="O387" s="287"/>
      <c r="P387" s="287"/>
      <c r="Q387" s="287"/>
      <c r="R387" s="287"/>
      <c r="S387" s="287"/>
      <c r="T387" s="287"/>
      <c r="U387" s="287"/>
      <c r="V387" s="287"/>
      <c r="W387" s="287"/>
      <c r="X387" s="287"/>
      <c r="Y387" s="287"/>
      <c r="Z387" s="287"/>
      <c r="AA387" s="287"/>
      <c r="AB387" s="287"/>
      <c r="AC387" s="287"/>
      <c r="AD387" s="287"/>
      <c r="AE387" s="287"/>
      <c r="AF387" s="287"/>
      <c r="AG387" s="287"/>
      <c r="AH387" s="287"/>
      <c r="AI387" s="287"/>
      <c r="AJ387" s="287"/>
      <c r="AK387" s="287"/>
      <c r="AL387" s="287"/>
      <c r="AM387" s="287"/>
      <c r="AN387" s="287"/>
      <c r="AO387" s="287"/>
      <c r="AP387" s="287"/>
      <c r="AQ387" s="287"/>
      <c r="AR387" s="287"/>
      <c r="AS387" s="287"/>
      <c r="AT387" s="287"/>
      <c r="AU387" s="287"/>
      <c r="AV387" s="287"/>
      <c r="AW387" s="287"/>
      <c r="AX387" s="287"/>
      <c r="AY387" s="287"/>
      <c r="AZ387" s="287"/>
      <c r="BA387" s="287"/>
      <c r="BB387" s="287"/>
      <c r="BC387" s="287"/>
      <c r="BD387" s="287"/>
      <c r="BE387" s="287"/>
      <c r="BF387" s="287"/>
      <c r="BG387" s="287"/>
      <c r="BH387" s="287"/>
      <c r="BI387" s="287"/>
      <c r="BJ387" s="287"/>
      <c r="BK387" s="287"/>
      <c r="BL387" s="287"/>
      <c r="BM387" s="287"/>
      <c r="BN387" s="287"/>
      <c r="BO387" s="287"/>
      <c r="BP387" s="287"/>
      <c r="BQ387" s="287"/>
      <c r="BR387" s="287"/>
      <c r="BS387" s="287"/>
      <c r="BT387" s="287">
        <f>BT385/BT$419</f>
        <v>6.0491288821556112E-2</v>
      </c>
      <c r="BU387" s="288"/>
      <c r="BV387" s="288"/>
      <c r="BW387" s="288"/>
      <c r="BX387" s="288"/>
      <c r="BY387" s="287">
        <f>BY385/BY$419</f>
        <v>5.2099295127183573E-2</v>
      </c>
      <c r="BZ387" s="288"/>
      <c r="CA387" s="288"/>
      <c r="CB387" s="288"/>
      <c r="CC387" s="288"/>
      <c r="CD387" s="287">
        <f t="shared" ref="CD387:CM387" si="1246">CD385/CD$419</f>
        <v>6.7632612966601183E-2</v>
      </c>
      <c r="CE387" s="287">
        <f t="shared" si="1246"/>
        <v>8.4209653028920695E-2</v>
      </c>
      <c r="CF387" s="287">
        <f t="shared" si="1246"/>
        <v>0.10506674629393188</v>
      </c>
      <c r="CG387" s="287">
        <f t="shared" si="1246"/>
        <v>0.12775380554864099</v>
      </c>
      <c r="CH387" s="287">
        <f t="shared" si="1246"/>
        <v>0.14260508073460368</v>
      </c>
      <c r="CI387" s="287">
        <f t="shared" si="1246"/>
        <v>0.15269027625444584</v>
      </c>
      <c r="CJ387" s="287">
        <f t="shared" si="1246"/>
        <v>0.16365274409468319</v>
      </c>
      <c r="CK387" s="287">
        <f t="shared" si="1246"/>
        <v>0.17555662432608701</v>
      </c>
      <c r="CL387" s="287">
        <f t="shared" si="1246"/>
        <v>0.18847155041414515</v>
      </c>
      <c r="CM387" s="287">
        <f t="shared" si="1246"/>
        <v>0.20247292534522821</v>
      </c>
      <c r="CN387" s="195"/>
      <c r="CO387" s="195"/>
      <c r="CP387" s="195"/>
      <c r="CQ387" s="195"/>
      <c r="CR387" s="195"/>
      <c r="CS387" s="202"/>
      <c r="CT387" s="202"/>
      <c r="CV387" s="276"/>
      <c r="CW387" s="287"/>
      <c r="CX387" s="287"/>
      <c r="CY387" s="287"/>
      <c r="CZ387" s="287"/>
      <c r="DA387" s="287"/>
      <c r="DB387" s="287"/>
      <c r="DC387" s="287"/>
      <c r="DD387" s="287"/>
      <c r="DE387" s="287"/>
    </row>
    <row r="388" spans="1:142" s="265" customFormat="1" ht="15" hidden="1" customHeight="1" outlineLevel="1">
      <c r="A388" s="342" t="s">
        <v>551</v>
      </c>
      <c r="B388" s="420">
        <v>224.4</v>
      </c>
      <c r="C388" s="318"/>
      <c r="D388" s="318"/>
      <c r="E388" s="318"/>
      <c r="F388" s="420"/>
      <c r="G388" s="420">
        <v>237.9</v>
      </c>
      <c r="H388" s="420"/>
      <c r="I388" s="420"/>
      <c r="J388" s="420"/>
      <c r="K388" s="420"/>
      <c r="L388" s="420">
        <v>0</v>
      </c>
      <c r="M388" s="420"/>
      <c r="N388" s="420"/>
      <c r="O388" s="420"/>
      <c r="P388" s="420"/>
      <c r="Q388" s="420">
        <v>0</v>
      </c>
      <c r="R388" s="420"/>
      <c r="S388" s="420"/>
      <c r="T388" s="420"/>
      <c r="U388" s="420"/>
      <c r="V388" s="420">
        <v>0</v>
      </c>
      <c r="W388" s="420">
        <v>8</v>
      </c>
      <c r="X388" s="420">
        <v>13</v>
      </c>
      <c r="Y388" s="420">
        <v>9</v>
      </c>
      <c r="Z388" s="420">
        <v>11</v>
      </c>
      <c r="AA388" s="420">
        <v>41</v>
      </c>
      <c r="AB388" s="420">
        <v>14</v>
      </c>
      <c r="AC388" s="420">
        <v>16</v>
      </c>
      <c r="AD388" s="420">
        <v>18</v>
      </c>
      <c r="AE388" s="420">
        <v>23</v>
      </c>
      <c r="AF388" s="420">
        <v>71</v>
      </c>
      <c r="AG388" s="420">
        <v>25</v>
      </c>
      <c r="AH388" s="420">
        <v>29</v>
      </c>
      <c r="AI388" s="420">
        <v>31</v>
      </c>
      <c r="AJ388" s="420">
        <v>34</v>
      </c>
      <c r="AK388" s="420">
        <v>119</v>
      </c>
      <c r="AL388" s="420">
        <v>38</v>
      </c>
      <c r="AM388" s="420">
        <v>41</v>
      </c>
      <c r="AN388" s="420">
        <v>45</v>
      </c>
      <c r="AO388" s="420">
        <v>47</v>
      </c>
      <c r="AP388" s="420">
        <v>171</v>
      </c>
      <c r="AQ388" s="420">
        <v>50</v>
      </c>
      <c r="AR388" s="420">
        <v>54</v>
      </c>
      <c r="AS388" s="420">
        <v>57</v>
      </c>
      <c r="AT388" s="420">
        <v>59</v>
      </c>
      <c r="AU388" s="420">
        <f>SUM(AQ388:AT388)</f>
        <v>220</v>
      </c>
      <c r="AV388" s="420">
        <f>'[2]Profit and Loss Highlights'!W$12</f>
        <v>72</v>
      </c>
      <c r="AW388" s="420">
        <f>'[2]Profit and Loss Highlights'!X$12</f>
        <v>76</v>
      </c>
      <c r="AX388" s="420">
        <f>'[2]Profit and Loss Highlights'!Y$12</f>
        <v>75</v>
      </c>
      <c r="AY388" s="420">
        <f>'[2]Profit and Loss Highlights'!Z$12</f>
        <v>69</v>
      </c>
      <c r="AZ388" s="420">
        <f>SUM(AV388:AY388)</f>
        <v>292</v>
      </c>
      <c r="BA388" s="420">
        <f>'[2]Profit and Loss Highlights'!AA$13</f>
        <v>75</v>
      </c>
      <c r="BB388" s="420">
        <f>'[2]Profit and Loss Highlights'!AB$13</f>
        <v>79</v>
      </c>
      <c r="BC388" s="420">
        <f>'[2]Profit and Loss Highlights'!AC$13</f>
        <v>80</v>
      </c>
      <c r="BD388" s="420">
        <f>'[2]Profit and Loss Highlights'!AD$13</f>
        <v>80</v>
      </c>
      <c r="BE388" s="420">
        <f>SUM(BA388:BD388)</f>
        <v>314</v>
      </c>
      <c r="BF388" s="420">
        <f>'[2]Profit and Loss Highlights'!AE$13</f>
        <v>80</v>
      </c>
      <c r="BG388" s="420">
        <f>'[2]Profit and Loss Highlights'!AF$13</f>
        <v>86</v>
      </c>
      <c r="BH388" s="420">
        <f>'[2]Profit and Loss Highlights'!AG$13</f>
        <v>95</v>
      </c>
      <c r="BI388" s="420">
        <f>'[2]Profit and Loss Highlights'!AH$13</f>
        <v>104</v>
      </c>
      <c r="BJ388" s="420">
        <f>SUM(BF388:BI388)</f>
        <v>365</v>
      </c>
      <c r="BK388" s="420">
        <f>'[2]Profit and Loss Highlights'!AI$13</f>
        <v>113</v>
      </c>
      <c r="BL388" s="420">
        <f>'[2]Profit and Loss Highlights'!AJ$13</f>
        <v>113</v>
      </c>
      <c r="BM388" s="420">
        <f>'[2]Profit and Loss Highlights'!AK$13</f>
        <v>120</v>
      </c>
      <c r="BN388" s="420">
        <f>'[2]Profit and Loss Highlights'!AL$13</f>
        <v>127</v>
      </c>
      <c r="BO388" s="420">
        <f>SUM(BK388:BN388)</f>
        <v>473</v>
      </c>
      <c r="BP388" s="420">
        <f>'[2]Profit and Loss Highlights'!AM$13</f>
        <v>135</v>
      </c>
      <c r="BQ388" s="420">
        <f>'[2]Profit and Loss Highlights'!AN$13</f>
        <v>142</v>
      </c>
      <c r="BR388" s="420">
        <f>'[2]Profit and Loss Highlights'!AO$13</f>
        <v>149</v>
      </c>
      <c r="BS388" s="420">
        <f>'[2]Profit and Loss Highlights'!AP$13</f>
        <v>159</v>
      </c>
      <c r="BT388" s="420">
        <f>SUM(BP388:BS388)</f>
        <v>585</v>
      </c>
      <c r="BU388" s="421">
        <f>'[2]Profit and Loss Highlights'!AQ$13</f>
        <v>166</v>
      </c>
      <c r="BV388" s="421">
        <f>'[2]Profit and Loss Highlights'!AR$13</f>
        <v>177</v>
      </c>
      <c r="BW388" s="421">
        <f>'[2]Profit and Loss Highlights'!AS$13</f>
        <v>184</v>
      </c>
      <c r="BX388" s="421">
        <f>'[2]Profit and Loss Highlights'!AT$13</f>
        <v>191</v>
      </c>
      <c r="BY388" s="420">
        <f>SUM(BU388:BX388)</f>
        <v>718</v>
      </c>
      <c r="BZ388" s="421">
        <f>'[2]Profit and Loss Highlights'!AU$13</f>
        <v>196</v>
      </c>
      <c r="CA388" s="421">
        <f>'[2]Profit and Loss Highlights'!AV$13</f>
        <v>205</v>
      </c>
      <c r="CB388" s="421">
        <f>'[2]Profit and Loss Highlights'!AW$13</f>
        <v>205</v>
      </c>
      <c r="CC388" s="421">
        <f>'[2]Profit and Loss Highlights'!AX$13</f>
        <v>0</v>
      </c>
      <c r="CD388" s="420">
        <f>BY388*(1+CD389)</f>
        <v>771.85</v>
      </c>
      <c r="CE388" s="420">
        <f t="shared" ref="CE388:CI388" si="1247">CD388*(1+CE389)</f>
        <v>810.44250000000011</v>
      </c>
      <c r="CF388" s="420">
        <f t="shared" si="1247"/>
        <v>850.96462500000018</v>
      </c>
      <c r="CG388" s="420">
        <f t="shared" si="1247"/>
        <v>893.51285625000025</v>
      </c>
      <c r="CH388" s="420">
        <f t="shared" si="1247"/>
        <v>938.18849906250034</v>
      </c>
      <c r="CI388" s="420">
        <f t="shared" si="1247"/>
        <v>985.09792401562538</v>
      </c>
      <c r="CJ388" s="420">
        <f t="shared" ref="CJ388" si="1248">CI388*(1+CJ389)</f>
        <v>1034.3528202164066</v>
      </c>
      <c r="CK388" s="420">
        <f t="shared" ref="CK388" si="1249">CJ388*(1+CK389)</f>
        <v>1086.070461227227</v>
      </c>
      <c r="CL388" s="420">
        <f t="shared" ref="CL388:CM388" si="1250">CK388*(1+CL389)</f>
        <v>1140.3739842885884</v>
      </c>
      <c r="CM388" s="420">
        <f t="shared" si="1250"/>
        <v>1197.3926835030179</v>
      </c>
      <c r="CN388" s="202"/>
      <c r="CO388" s="202"/>
      <c r="CP388" s="202"/>
      <c r="CQ388" s="202"/>
      <c r="CR388" s="202"/>
      <c r="CS388" s="202"/>
      <c r="CT388" s="202"/>
      <c r="CV388" s="286"/>
      <c r="CW388" s="318"/>
      <c r="CX388" s="318"/>
      <c r="CY388" s="318"/>
      <c r="CZ388" s="318"/>
      <c r="DA388" s="318"/>
      <c r="DB388" s="318"/>
      <c r="DC388" s="318"/>
      <c r="DD388" s="318"/>
      <c r="DE388" s="318"/>
    </row>
    <row r="389" spans="1:142" ht="15" hidden="1" customHeight="1" outlineLevel="1">
      <c r="A389" s="406" t="s">
        <v>65</v>
      </c>
      <c r="B389" s="287"/>
      <c r="C389" s="287"/>
      <c r="D389" s="287"/>
      <c r="E389" s="287"/>
      <c r="F389" s="287"/>
      <c r="G389" s="287"/>
      <c r="H389" s="287"/>
      <c r="I389" s="287"/>
      <c r="J389" s="287"/>
      <c r="K389" s="287"/>
      <c r="L389" s="287">
        <f t="shared" ref="L389:BE389" si="1251">L388/G388-1</f>
        <v>-1</v>
      </c>
      <c r="M389" s="287" t="e">
        <f t="shared" si="1251"/>
        <v>#DIV/0!</v>
      </c>
      <c r="N389" s="287" t="e">
        <f t="shared" si="1251"/>
        <v>#DIV/0!</v>
      </c>
      <c r="O389" s="287" t="e">
        <f t="shared" si="1251"/>
        <v>#DIV/0!</v>
      </c>
      <c r="P389" s="287" t="e">
        <f t="shared" si="1251"/>
        <v>#DIV/0!</v>
      </c>
      <c r="Q389" s="287" t="e">
        <f t="shared" si="1251"/>
        <v>#DIV/0!</v>
      </c>
      <c r="R389" s="287" t="e">
        <f t="shared" si="1251"/>
        <v>#DIV/0!</v>
      </c>
      <c r="S389" s="287" t="e">
        <f t="shared" si="1251"/>
        <v>#DIV/0!</v>
      </c>
      <c r="T389" s="287" t="e">
        <f t="shared" si="1251"/>
        <v>#DIV/0!</v>
      </c>
      <c r="U389" s="287" t="e">
        <f t="shared" si="1251"/>
        <v>#DIV/0!</v>
      </c>
      <c r="V389" s="287" t="e">
        <f t="shared" si="1251"/>
        <v>#DIV/0!</v>
      </c>
      <c r="W389" s="287" t="e">
        <f t="shared" si="1251"/>
        <v>#DIV/0!</v>
      </c>
      <c r="X389" s="287" t="e">
        <f t="shared" si="1251"/>
        <v>#DIV/0!</v>
      </c>
      <c r="Y389" s="287" t="e">
        <f t="shared" si="1251"/>
        <v>#DIV/0!</v>
      </c>
      <c r="Z389" s="287" t="e">
        <f t="shared" si="1251"/>
        <v>#DIV/0!</v>
      </c>
      <c r="AA389" s="287" t="e">
        <f t="shared" si="1251"/>
        <v>#DIV/0!</v>
      </c>
      <c r="AB389" s="287">
        <f t="shared" si="1251"/>
        <v>0.75</v>
      </c>
      <c r="AC389" s="287">
        <f t="shared" si="1251"/>
        <v>0.23076923076923084</v>
      </c>
      <c r="AD389" s="287">
        <f t="shared" si="1251"/>
        <v>1</v>
      </c>
      <c r="AE389" s="287">
        <f t="shared" si="1251"/>
        <v>1.0909090909090908</v>
      </c>
      <c r="AF389" s="287">
        <f t="shared" si="1251"/>
        <v>0.73170731707317072</v>
      </c>
      <c r="AG389" s="287">
        <f t="shared" si="1251"/>
        <v>0.78571428571428581</v>
      </c>
      <c r="AH389" s="287">
        <f t="shared" si="1251"/>
        <v>0.8125</v>
      </c>
      <c r="AI389" s="287">
        <f t="shared" si="1251"/>
        <v>0.72222222222222232</v>
      </c>
      <c r="AJ389" s="287">
        <f t="shared" si="1251"/>
        <v>0.47826086956521729</v>
      </c>
      <c r="AK389" s="287">
        <f t="shared" si="1251"/>
        <v>0.676056338028169</v>
      </c>
      <c r="AL389" s="287">
        <f t="shared" si="1251"/>
        <v>0.52</v>
      </c>
      <c r="AM389" s="287">
        <f t="shared" si="1251"/>
        <v>0.4137931034482758</v>
      </c>
      <c r="AN389" s="287">
        <f t="shared" si="1251"/>
        <v>0.45161290322580649</v>
      </c>
      <c r="AO389" s="287">
        <f t="shared" si="1251"/>
        <v>0.38235294117647056</v>
      </c>
      <c r="AP389" s="287">
        <f t="shared" si="1251"/>
        <v>0.43697478991596639</v>
      </c>
      <c r="AQ389" s="287">
        <f t="shared" si="1251"/>
        <v>0.31578947368421062</v>
      </c>
      <c r="AR389" s="287">
        <f t="shared" si="1251"/>
        <v>0.31707317073170738</v>
      </c>
      <c r="AS389" s="287">
        <f t="shared" si="1251"/>
        <v>0.26666666666666661</v>
      </c>
      <c r="AT389" s="287">
        <f t="shared" si="1251"/>
        <v>0.25531914893617014</v>
      </c>
      <c r="AU389" s="287">
        <f t="shared" si="1251"/>
        <v>0.28654970760233911</v>
      </c>
      <c r="AV389" s="287">
        <f t="shared" si="1251"/>
        <v>0.43999999999999995</v>
      </c>
      <c r="AW389" s="287">
        <f t="shared" si="1251"/>
        <v>0.40740740740740744</v>
      </c>
      <c r="AX389" s="287">
        <f t="shared" si="1251"/>
        <v>0.31578947368421062</v>
      </c>
      <c r="AY389" s="287">
        <f t="shared" si="1251"/>
        <v>0.16949152542372881</v>
      </c>
      <c r="AZ389" s="287">
        <f t="shared" si="1251"/>
        <v>0.32727272727272738</v>
      </c>
      <c r="BA389" s="287">
        <f t="shared" si="1251"/>
        <v>4.1666666666666741E-2</v>
      </c>
      <c r="BB389" s="287">
        <f t="shared" si="1251"/>
        <v>3.9473684210526327E-2</v>
      </c>
      <c r="BC389" s="287">
        <f t="shared" si="1251"/>
        <v>6.6666666666666652E-2</v>
      </c>
      <c r="BD389" s="287">
        <f t="shared" si="1251"/>
        <v>0.15942028985507251</v>
      </c>
      <c r="BE389" s="287">
        <f t="shared" si="1251"/>
        <v>7.5342465753424737E-2</v>
      </c>
      <c r="BF389" s="287">
        <f t="shared" ref="BF389:CC389" si="1252">BF388/BA388-1</f>
        <v>6.6666666666666652E-2</v>
      </c>
      <c r="BG389" s="287">
        <f t="shared" si="1252"/>
        <v>8.8607594936708889E-2</v>
      </c>
      <c r="BH389" s="287">
        <f t="shared" si="1252"/>
        <v>0.1875</v>
      </c>
      <c r="BI389" s="287">
        <f t="shared" si="1252"/>
        <v>0.30000000000000004</v>
      </c>
      <c r="BJ389" s="287">
        <f t="shared" si="1252"/>
        <v>0.16242038216560517</v>
      </c>
      <c r="BK389" s="287">
        <f t="shared" si="1252"/>
        <v>0.41250000000000009</v>
      </c>
      <c r="BL389" s="287">
        <f t="shared" si="1252"/>
        <v>0.31395348837209291</v>
      </c>
      <c r="BM389" s="287">
        <f t="shared" si="1252"/>
        <v>0.26315789473684204</v>
      </c>
      <c r="BN389" s="287">
        <f t="shared" si="1252"/>
        <v>0.22115384615384626</v>
      </c>
      <c r="BO389" s="287">
        <f t="shared" si="1252"/>
        <v>0.295890410958904</v>
      </c>
      <c r="BP389" s="287">
        <f t="shared" si="1252"/>
        <v>0.19469026548672574</v>
      </c>
      <c r="BQ389" s="287">
        <f t="shared" si="1252"/>
        <v>0.25663716814159288</v>
      </c>
      <c r="BR389" s="287">
        <f t="shared" si="1252"/>
        <v>0.2416666666666667</v>
      </c>
      <c r="BS389" s="287">
        <f t="shared" si="1252"/>
        <v>0.25196850393700787</v>
      </c>
      <c r="BT389" s="287">
        <f t="shared" si="1252"/>
        <v>0.2367864693446089</v>
      </c>
      <c r="BU389" s="288">
        <f t="shared" si="1252"/>
        <v>0.22962962962962963</v>
      </c>
      <c r="BV389" s="288">
        <f t="shared" si="1252"/>
        <v>0.24647887323943651</v>
      </c>
      <c r="BW389" s="288">
        <f t="shared" si="1252"/>
        <v>0.2348993288590604</v>
      </c>
      <c r="BX389" s="288">
        <f t="shared" si="1252"/>
        <v>0.20125786163522008</v>
      </c>
      <c r="BY389" s="287">
        <f t="shared" si="1252"/>
        <v>0.22735042735042743</v>
      </c>
      <c r="BZ389" s="288">
        <f t="shared" si="1252"/>
        <v>0.18072289156626509</v>
      </c>
      <c r="CA389" s="288">
        <f t="shared" si="1252"/>
        <v>0.15819209039548032</v>
      </c>
      <c r="CB389" s="288">
        <f t="shared" si="1252"/>
        <v>0.11413043478260865</v>
      </c>
      <c r="CC389" s="288">
        <f t="shared" si="1252"/>
        <v>-1</v>
      </c>
      <c r="CD389" s="298">
        <v>7.4999999999999997E-2</v>
      </c>
      <c r="CE389" s="298">
        <v>0.05</v>
      </c>
      <c r="CF389" s="298">
        <v>0.05</v>
      </c>
      <c r="CG389" s="298">
        <v>0.05</v>
      </c>
      <c r="CH389" s="298">
        <v>0.05</v>
      </c>
      <c r="CI389" s="298">
        <v>0.05</v>
      </c>
      <c r="CJ389" s="298">
        <v>0.05</v>
      </c>
      <c r="CK389" s="298">
        <v>0.05</v>
      </c>
      <c r="CL389" s="298">
        <v>0.05</v>
      </c>
      <c r="CM389" s="298">
        <v>0.05</v>
      </c>
      <c r="CN389" s="195"/>
      <c r="CO389" s="195"/>
      <c r="CP389" s="195"/>
      <c r="CQ389" s="195"/>
      <c r="CR389" s="195"/>
      <c r="CS389" s="202"/>
      <c r="CT389" s="202"/>
      <c r="CV389" s="276"/>
      <c r="CW389" s="287"/>
      <c r="CX389" s="287"/>
      <c r="CY389" s="287"/>
      <c r="CZ389" s="287"/>
      <c r="DA389" s="287"/>
      <c r="DB389" s="287"/>
      <c r="DC389" s="287"/>
      <c r="DD389" s="287"/>
      <c r="DE389" s="287"/>
    </row>
    <row r="390" spans="1:142" ht="15" hidden="1" customHeight="1" outlineLevel="1">
      <c r="A390" s="406" t="s">
        <v>553</v>
      </c>
      <c r="B390" s="324">
        <v>-546</v>
      </c>
      <c r="C390" s="287"/>
      <c r="D390" s="287"/>
      <c r="E390" s="287"/>
      <c r="F390" s="287"/>
      <c r="G390" s="324">
        <v>-608</v>
      </c>
      <c r="H390" s="287"/>
      <c r="I390" s="287"/>
      <c r="J390" s="287"/>
      <c r="K390" s="287"/>
      <c r="L390" s="287"/>
      <c r="M390" s="287"/>
      <c r="N390" s="287"/>
      <c r="O390" s="287"/>
      <c r="P390" s="287"/>
      <c r="Q390" s="287"/>
      <c r="R390" s="287"/>
      <c r="S390" s="287"/>
      <c r="T390" s="287"/>
      <c r="U390" s="287"/>
      <c r="V390" s="287"/>
      <c r="W390" s="287"/>
      <c r="X390" s="287"/>
      <c r="Y390" s="287"/>
      <c r="Z390" s="287"/>
      <c r="AA390" s="287"/>
      <c r="AB390" s="287"/>
      <c r="AC390" s="287"/>
      <c r="AD390" s="287"/>
      <c r="AE390" s="287"/>
      <c r="AF390" s="287"/>
      <c r="AG390" s="287"/>
      <c r="AH390" s="287"/>
      <c r="AI390" s="287"/>
      <c r="AJ390" s="287"/>
      <c r="AK390" s="287"/>
      <c r="AL390" s="287"/>
      <c r="AM390" s="287"/>
      <c r="AN390" s="287"/>
      <c r="AO390" s="287"/>
      <c r="AP390" s="287"/>
      <c r="AQ390" s="287"/>
      <c r="AR390" s="287"/>
      <c r="AS390" s="287"/>
      <c r="AT390" s="287"/>
      <c r="AU390" s="287"/>
      <c r="AV390" s="287"/>
      <c r="AW390" s="287"/>
      <c r="AX390" s="287"/>
      <c r="AY390" s="287"/>
      <c r="AZ390" s="287"/>
      <c r="BA390" s="287"/>
      <c r="BB390" s="287"/>
      <c r="BC390" s="287"/>
      <c r="BD390" s="287"/>
      <c r="BE390" s="287"/>
      <c r="BF390" s="287"/>
      <c r="BG390" s="287"/>
      <c r="BH390" s="287"/>
      <c r="BI390" s="287"/>
      <c r="BJ390" s="287"/>
      <c r="BK390" s="287"/>
      <c r="BL390" s="287"/>
      <c r="BM390" s="287"/>
      <c r="BN390" s="287"/>
      <c r="BO390" s="287"/>
      <c r="BP390" s="287"/>
      <c r="BQ390" s="287"/>
      <c r="BR390" s="287"/>
      <c r="BS390" s="287"/>
      <c r="BT390" s="287"/>
      <c r="BU390" s="288"/>
      <c r="BV390" s="288"/>
      <c r="BW390" s="288"/>
      <c r="BX390" s="288"/>
      <c r="BY390" s="287"/>
      <c r="BZ390" s="288"/>
      <c r="CA390" s="288"/>
      <c r="CB390" s="288"/>
      <c r="CC390" s="288"/>
      <c r="CD390" s="204">
        <v>0</v>
      </c>
      <c r="CE390" s="204">
        <v>0</v>
      </c>
      <c r="CF390" s="204">
        <v>0</v>
      </c>
      <c r="CG390" s="204">
        <v>0</v>
      </c>
      <c r="CH390" s="204">
        <v>0</v>
      </c>
      <c r="CI390" s="204">
        <v>0</v>
      </c>
      <c r="CJ390" s="204">
        <v>0</v>
      </c>
      <c r="CK390" s="204">
        <v>0</v>
      </c>
      <c r="CL390" s="204">
        <v>0</v>
      </c>
      <c r="CM390" s="204">
        <v>0</v>
      </c>
      <c r="CN390" s="195"/>
      <c r="CO390" s="195"/>
      <c r="CP390" s="195"/>
      <c r="CQ390" s="195"/>
      <c r="CR390" s="195"/>
      <c r="CS390" s="202"/>
      <c r="CT390" s="202"/>
      <c r="CV390" s="276"/>
      <c r="CW390" s="287"/>
      <c r="CX390" s="287"/>
      <c r="CY390" s="287"/>
      <c r="CZ390" s="287"/>
      <c r="DA390" s="287"/>
      <c r="DB390" s="287"/>
      <c r="DC390" s="287"/>
      <c r="DD390" s="287"/>
      <c r="DE390" s="287"/>
      <c r="EK390" s="353">
        <v>39972</v>
      </c>
      <c r="EL390" s="354">
        <v>0.98309999999999997</v>
      </c>
    </row>
    <row r="391" spans="1:142" ht="15" hidden="1" customHeight="1" outlineLevel="1">
      <c r="A391" s="406"/>
      <c r="B391" s="324"/>
      <c r="C391" s="287"/>
      <c r="D391" s="287"/>
      <c r="E391" s="287"/>
      <c r="F391" s="287"/>
      <c r="G391" s="324"/>
      <c r="H391" s="287"/>
      <c r="I391" s="287"/>
      <c r="J391" s="287"/>
      <c r="K391" s="287"/>
      <c r="L391" s="287"/>
      <c r="M391" s="287"/>
      <c r="N391" s="287"/>
      <c r="O391" s="287"/>
      <c r="P391" s="287"/>
      <c r="Q391" s="287"/>
      <c r="R391" s="287"/>
      <c r="S391" s="287"/>
      <c r="T391" s="287"/>
      <c r="U391" s="287"/>
      <c r="V391" s="287"/>
      <c r="W391" s="287"/>
      <c r="X391" s="287"/>
      <c r="Y391" s="287"/>
      <c r="Z391" s="287"/>
      <c r="AA391" s="287"/>
      <c r="AB391" s="287"/>
      <c r="AC391" s="287"/>
      <c r="AD391" s="287"/>
      <c r="AE391" s="287"/>
      <c r="AF391" s="287"/>
      <c r="AG391" s="287"/>
      <c r="AH391" s="287"/>
      <c r="AI391" s="287"/>
      <c r="AJ391" s="287"/>
      <c r="AK391" s="287"/>
      <c r="AL391" s="287"/>
      <c r="AM391" s="287"/>
      <c r="AN391" s="287"/>
      <c r="AO391" s="287"/>
      <c r="AP391" s="287"/>
      <c r="AQ391" s="287"/>
      <c r="AR391" s="287"/>
      <c r="AS391" s="287"/>
      <c r="AT391" s="287"/>
      <c r="AU391" s="287"/>
      <c r="AV391" s="287"/>
      <c r="AW391" s="287"/>
      <c r="AX391" s="287"/>
      <c r="AY391" s="287"/>
      <c r="AZ391" s="287"/>
      <c r="BA391" s="287"/>
      <c r="BB391" s="287"/>
      <c r="BC391" s="287"/>
      <c r="BD391" s="287"/>
      <c r="BE391" s="287"/>
      <c r="BF391" s="287"/>
      <c r="BG391" s="287"/>
      <c r="BH391" s="287"/>
      <c r="BI391" s="287"/>
      <c r="BJ391" s="287"/>
      <c r="BK391" s="287"/>
      <c r="BL391" s="287"/>
      <c r="BM391" s="287"/>
      <c r="BN391" s="287"/>
      <c r="BO391" s="287"/>
      <c r="BP391" s="287"/>
      <c r="BQ391" s="287"/>
      <c r="BR391" s="287"/>
      <c r="BS391" s="287"/>
      <c r="BT391" s="287"/>
      <c r="BU391" s="288"/>
      <c r="BV391" s="288"/>
      <c r="BW391" s="288"/>
      <c r="BX391" s="288"/>
      <c r="BY391" s="287"/>
      <c r="BZ391" s="288"/>
      <c r="CA391" s="288"/>
      <c r="CB391" s="288"/>
      <c r="CC391" s="288"/>
      <c r="CD391" s="204"/>
      <c r="CE391" s="204"/>
      <c r="CF391" s="204"/>
      <c r="CG391" s="204"/>
      <c r="CH391" s="204"/>
      <c r="CI391" s="204"/>
      <c r="CJ391" s="204"/>
      <c r="CK391" s="204"/>
      <c r="CL391" s="204"/>
      <c r="CM391" s="204"/>
      <c r="CN391" s="195"/>
      <c r="CO391" s="195"/>
      <c r="CP391" s="195"/>
      <c r="CQ391" s="195"/>
      <c r="CR391" s="195"/>
      <c r="CS391" s="202"/>
      <c r="CT391" s="202"/>
      <c r="CV391" s="276"/>
      <c r="CW391" s="287"/>
      <c r="CX391" s="287"/>
      <c r="CY391" s="287"/>
      <c r="CZ391" s="287"/>
      <c r="DA391" s="287"/>
      <c r="DB391" s="287"/>
      <c r="DC391" s="287"/>
      <c r="DD391" s="287"/>
      <c r="DE391" s="287"/>
      <c r="EK391" s="353"/>
      <c r="EL391" s="354"/>
    </row>
    <row r="392" spans="1:142" ht="15" hidden="1" customHeight="1" outlineLevel="1">
      <c r="A392" s="406" t="s">
        <v>711</v>
      </c>
      <c r="B392" s="324"/>
      <c r="C392" s="287"/>
      <c r="D392" s="287"/>
      <c r="E392" s="287"/>
      <c r="F392" s="287"/>
      <c r="G392" s="324"/>
      <c r="H392" s="287"/>
      <c r="I392" s="287"/>
      <c r="J392" s="287"/>
      <c r="K392" s="287"/>
      <c r="L392" s="287"/>
      <c r="M392" s="287"/>
      <c r="N392" s="287"/>
      <c r="O392" s="287"/>
      <c r="P392" s="287"/>
      <c r="Q392" s="287"/>
      <c r="R392" s="287"/>
      <c r="S392" s="287"/>
      <c r="T392" s="287"/>
      <c r="U392" s="287"/>
      <c r="V392" s="287"/>
      <c r="W392" s="287"/>
      <c r="X392" s="287"/>
      <c r="Y392" s="287"/>
      <c r="Z392" s="287"/>
      <c r="AA392" s="287"/>
      <c r="AB392" s="287"/>
      <c r="AC392" s="287"/>
      <c r="AD392" s="287"/>
      <c r="AE392" s="287"/>
      <c r="AF392" s="287"/>
      <c r="AG392" s="287"/>
      <c r="AH392" s="287"/>
      <c r="AI392" s="287"/>
      <c r="AJ392" s="287"/>
      <c r="AK392" s="287"/>
      <c r="AL392" s="287"/>
      <c r="AM392" s="287"/>
      <c r="AN392" s="287"/>
      <c r="AO392" s="287"/>
      <c r="AP392" s="287"/>
      <c r="AQ392" s="287"/>
      <c r="AR392" s="287"/>
      <c r="AS392" s="287"/>
      <c r="AT392" s="287"/>
      <c r="AU392" s="287"/>
      <c r="AV392" s="287"/>
      <c r="AW392" s="287"/>
      <c r="AX392" s="287"/>
      <c r="AY392" s="287"/>
      <c r="AZ392" s="287"/>
      <c r="BA392" s="287"/>
      <c r="BB392" s="287"/>
      <c r="BC392" s="287"/>
      <c r="BD392" s="287"/>
      <c r="BE392" s="287"/>
      <c r="BF392" s="287"/>
      <c r="BG392" s="287"/>
      <c r="BH392" s="287"/>
      <c r="BI392" s="287"/>
      <c r="BJ392" s="287"/>
      <c r="BK392" s="287"/>
      <c r="BL392" s="287"/>
      <c r="BM392" s="287"/>
      <c r="BN392" s="287"/>
      <c r="BO392" s="287"/>
      <c r="BP392" s="360">
        <f>'[2]Profit and Loss Highlights'!AM$26</f>
        <v>180</v>
      </c>
      <c r="BQ392" s="360">
        <f>'[2]Profit and Loss Highlights'!AN$26</f>
        <v>185</v>
      </c>
      <c r="BR392" s="360">
        <f>'[2]Profit and Loss Highlights'!AO$26</f>
        <v>186</v>
      </c>
      <c r="BS392" s="360">
        <f>'[2]Profit and Loss Highlights'!AP$26</f>
        <v>189</v>
      </c>
      <c r="BT392" s="287"/>
      <c r="BU392" s="360">
        <f>'[2]Profit and Loss Highlights'!AQ$26</f>
        <v>185</v>
      </c>
      <c r="BV392" s="360">
        <f>'[2]Profit and Loss Highlights'!AR$26</f>
        <v>185</v>
      </c>
      <c r="BW392" s="360">
        <f>'[2]Profit and Loss Highlights'!AS$26</f>
        <v>199</v>
      </c>
      <c r="BX392" s="360">
        <f>'[2]Profit and Loss Highlights'!AT$26</f>
        <v>207</v>
      </c>
      <c r="BY392" s="287"/>
      <c r="BZ392" s="360">
        <f>'[2]Profit and Loss Highlights'!AU$26</f>
        <v>200</v>
      </c>
      <c r="CA392" s="360">
        <f>'[2]Profit and Loss Highlights'!AV$26</f>
        <v>201</v>
      </c>
      <c r="CB392" s="360">
        <f>'[2]Profit and Loss Highlights'!AW$26</f>
        <v>200</v>
      </c>
      <c r="CC392" s="360">
        <f>'[2]Profit and Loss Highlights'!AX$26</f>
        <v>205</v>
      </c>
      <c r="CD392" s="204"/>
      <c r="CE392" s="204"/>
      <c r="CF392" s="204"/>
      <c r="CG392" s="204"/>
      <c r="CH392" s="204"/>
      <c r="CI392" s="204"/>
      <c r="CJ392" s="204"/>
      <c r="CK392" s="204"/>
      <c r="CL392" s="204"/>
      <c r="CM392" s="204"/>
      <c r="CN392" s="195"/>
      <c r="CO392" s="195"/>
      <c r="CP392" s="195"/>
      <c r="CQ392" s="195"/>
      <c r="CR392" s="195"/>
      <c r="CS392" s="202"/>
      <c r="CT392" s="202"/>
      <c r="CV392" s="276"/>
      <c r="CW392" s="287"/>
      <c r="CX392" s="287"/>
      <c r="CY392" s="287"/>
      <c r="CZ392" s="287"/>
      <c r="DA392" s="287"/>
      <c r="DB392" s="287"/>
      <c r="DC392" s="287"/>
      <c r="DD392" s="287"/>
      <c r="DE392" s="287"/>
      <c r="EK392" s="353"/>
      <c r="EL392" s="354"/>
    </row>
    <row r="393" spans="1:142" ht="15" hidden="1" customHeight="1" outlineLevel="1">
      <c r="A393" s="406" t="s">
        <v>712</v>
      </c>
      <c r="B393" s="324"/>
      <c r="C393" s="287"/>
      <c r="D393" s="287"/>
      <c r="E393" s="287"/>
      <c r="F393" s="287"/>
      <c r="G393" s="324"/>
      <c r="H393" s="287"/>
      <c r="I393" s="287"/>
      <c r="J393" s="287"/>
      <c r="K393" s="287"/>
      <c r="L393" s="287"/>
      <c r="M393" s="287"/>
      <c r="N393" s="287"/>
      <c r="O393" s="287"/>
      <c r="P393" s="287"/>
      <c r="Q393" s="287"/>
      <c r="R393" s="287"/>
      <c r="S393" s="287"/>
      <c r="T393" s="287"/>
      <c r="U393" s="287"/>
      <c r="V393" s="287"/>
      <c r="W393" s="287"/>
      <c r="X393" s="287"/>
      <c r="Y393" s="287"/>
      <c r="Z393" s="287"/>
      <c r="AA393" s="287"/>
      <c r="AB393" s="287"/>
      <c r="AC393" s="287"/>
      <c r="AD393" s="287"/>
      <c r="AE393" s="287"/>
      <c r="AF393" s="287"/>
      <c r="AG393" s="287"/>
      <c r="AH393" s="287"/>
      <c r="AI393" s="287"/>
      <c r="AJ393" s="287"/>
      <c r="AK393" s="287"/>
      <c r="AL393" s="287"/>
      <c r="AM393" s="287"/>
      <c r="AN393" s="287"/>
      <c r="AO393" s="287"/>
      <c r="AP393" s="287"/>
      <c r="AQ393" s="287"/>
      <c r="AR393" s="287"/>
      <c r="AS393" s="287"/>
      <c r="AT393" s="287"/>
      <c r="AU393" s="287"/>
      <c r="AV393" s="287"/>
      <c r="AW393" s="287"/>
      <c r="AX393" s="287"/>
      <c r="AY393" s="287"/>
      <c r="AZ393" s="287"/>
      <c r="BA393" s="287"/>
      <c r="BB393" s="287"/>
      <c r="BC393" s="287"/>
      <c r="BD393" s="287"/>
      <c r="BE393" s="287"/>
      <c r="BF393" s="287"/>
      <c r="BG393" s="287"/>
      <c r="BH393" s="287"/>
      <c r="BI393" s="287"/>
      <c r="BJ393" s="287"/>
      <c r="BK393" s="287"/>
      <c r="BL393" s="287"/>
      <c r="BM393" s="287"/>
      <c r="BN393" s="287"/>
      <c r="BO393" s="287"/>
      <c r="BP393" s="360">
        <f>'[2]Profit and Loss Highlights'!AM$27</f>
        <v>188</v>
      </c>
      <c r="BQ393" s="360">
        <f>'[2]Profit and Loss Highlights'!AN$27</f>
        <v>186</v>
      </c>
      <c r="BR393" s="360">
        <f>'[2]Profit and Loss Highlights'!AO$27</f>
        <v>194</v>
      </c>
      <c r="BS393" s="360">
        <f>'[2]Profit and Loss Highlights'!AP$27</f>
        <v>210</v>
      </c>
      <c r="BT393" s="287"/>
      <c r="BU393" s="360">
        <f>'[2]Profit and Loss Highlights'!AQ$27</f>
        <v>203</v>
      </c>
      <c r="BV393" s="360">
        <f>'[2]Profit and Loss Highlights'!AR$27</f>
        <v>201</v>
      </c>
      <c r="BW393" s="360">
        <f>'[2]Profit and Loss Highlights'!AS$27</f>
        <v>188</v>
      </c>
      <c r="BX393" s="360">
        <f>'[2]Profit and Loss Highlights'!AT$27</f>
        <v>157</v>
      </c>
      <c r="BY393" s="287"/>
      <c r="BZ393" s="360">
        <f>'[2]Profit and Loss Highlights'!AU$27</f>
        <v>165</v>
      </c>
      <c r="CA393" s="360">
        <f>'[2]Profit and Loss Highlights'!AV$27</f>
        <v>161</v>
      </c>
      <c r="CB393" s="360">
        <f>'[2]Profit and Loss Highlights'!AW$27</f>
        <v>180</v>
      </c>
      <c r="CC393" s="360">
        <f>'[2]Profit and Loss Highlights'!AX$27</f>
        <v>196</v>
      </c>
      <c r="CD393" s="204"/>
      <c r="CE393" s="204"/>
      <c r="CF393" s="204"/>
      <c r="CG393" s="204"/>
      <c r="CH393" s="204"/>
      <c r="CI393" s="204"/>
      <c r="CJ393" s="204"/>
      <c r="CK393" s="204"/>
      <c r="CL393" s="204"/>
      <c r="CM393" s="204"/>
      <c r="CN393" s="195"/>
      <c r="CO393" s="195"/>
      <c r="CP393" s="195"/>
      <c r="CQ393" s="195"/>
      <c r="CR393" s="195"/>
      <c r="CS393" s="202"/>
      <c r="CT393" s="202"/>
      <c r="CV393" s="276"/>
      <c r="CW393" s="287"/>
      <c r="CX393" s="287"/>
      <c r="CY393" s="287"/>
      <c r="CZ393" s="287"/>
      <c r="DA393" s="287"/>
      <c r="DB393" s="287"/>
      <c r="DC393" s="287"/>
      <c r="DD393" s="287"/>
      <c r="DE393" s="287"/>
      <c r="EK393" s="353"/>
      <c r="EL393" s="354"/>
    </row>
    <row r="394" spans="1:142" ht="15" hidden="1" customHeight="1" outlineLevel="1">
      <c r="A394" s="414" t="s">
        <v>652</v>
      </c>
      <c r="B394" s="324"/>
      <c r="C394" s="287"/>
      <c r="D394" s="287"/>
      <c r="E394" s="287"/>
      <c r="F394" s="287"/>
      <c r="G394" s="324"/>
      <c r="H394" s="287"/>
      <c r="I394" s="287"/>
      <c r="J394" s="287"/>
      <c r="K394" s="287"/>
      <c r="L394" s="287"/>
      <c r="M394" s="287"/>
      <c r="N394" s="287"/>
      <c r="O394" s="287"/>
      <c r="P394" s="287"/>
      <c r="Q394" s="287"/>
      <c r="R394" s="287"/>
      <c r="S394" s="287"/>
      <c r="T394" s="287"/>
      <c r="U394" s="287"/>
      <c r="V394" s="287"/>
      <c r="W394" s="287"/>
      <c r="X394" s="287"/>
      <c r="Y394" s="287"/>
      <c r="Z394" s="287"/>
      <c r="AA394" s="287"/>
      <c r="AB394" s="287"/>
      <c r="AC394" s="287"/>
      <c r="AD394" s="287"/>
      <c r="AE394" s="287"/>
      <c r="AF394" s="287"/>
      <c r="AG394" s="287"/>
      <c r="AH394" s="287"/>
      <c r="AI394" s="287"/>
      <c r="AJ394" s="287"/>
      <c r="AK394" s="287"/>
      <c r="AL394" s="287"/>
      <c r="AM394" s="287"/>
      <c r="AN394" s="287"/>
      <c r="AO394" s="287"/>
      <c r="AP394" s="287"/>
      <c r="AQ394" s="287"/>
      <c r="AR394" s="287"/>
      <c r="AS394" s="287"/>
      <c r="AT394" s="287"/>
      <c r="AU394" s="287"/>
      <c r="AV394" s="287"/>
      <c r="AW394" s="287"/>
      <c r="AX394" s="287"/>
      <c r="AY394" s="287"/>
      <c r="AZ394" s="287"/>
      <c r="BA394" s="287"/>
      <c r="BB394" s="287"/>
      <c r="BC394" s="287"/>
      <c r="BD394" s="287"/>
      <c r="BE394" s="287"/>
      <c r="BF394" s="287"/>
      <c r="BG394" s="287"/>
      <c r="BH394" s="287"/>
      <c r="BI394" s="287"/>
      <c r="BJ394" s="287"/>
      <c r="BK394" s="287"/>
      <c r="BL394" s="287"/>
      <c r="BM394" s="287"/>
      <c r="BN394" s="287"/>
      <c r="BO394" s="287"/>
      <c r="BP394" s="360">
        <f>'[2]Profit and Loss Highlights'!AM$28</f>
        <v>368</v>
      </c>
      <c r="BQ394" s="360">
        <f>'[2]Profit and Loss Highlights'!AN$28</f>
        <v>371</v>
      </c>
      <c r="BR394" s="360">
        <f>'[2]Profit and Loss Highlights'!AO$28</f>
        <v>380</v>
      </c>
      <c r="BS394" s="360">
        <f>'[2]Profit and Loss Highlights'!AP$28</f>
        <v>399</v>
      </c>
      <c r="BT394" s="287"/>
      <c r="BU394" s="360">
        <f>'[2]Profit and Loss Highlights'!AQ$28</f>
        <v>388</v>
      </c>
      <c r="BV394" s="360">
        <f>'[2]Profit and Loss Highlights'!AR$28</f>
        <v>386</v>
      </c>
      <c r="BW394" s="360">
        <f>'[2]Profit and Loss Highlights'!AS$28</f>
        <v>387</v>
      </c>
      <c r="BX394" s="360">
        <f>'[2]Profit and Loss Highlights'!AT$28</f>
        <v>364</v>
      </c>
      <c r="BY394" s="287"/>
      <c r="BZ394" s="360">
        <f>'[2]Profit and Loss Highlights'!AU$28</f>
        <v>365</v>
      </c>
      <c r="CA394" s="360">
        <f>'[2]Profit and Loss Highlights'!AV$28</f>
        <v>362</v>
      </c>
      <c r="CB394" s="360">
        <f>'[2]Profit and Loss Highlights'!AW$28</f>
        <v>380</v>
      </c>
      <c r="CC394" s="360">
        <f>'[2]Profit and Loss Highlights'!AX$28</f>
        <v>401</v>
      </c>
      <c r="CD394" s="204"/>
      <c r="CE394" s="204"/>
      <c r="CF394" s="204"/>
      <c r="CG394" s="204"/>
      <c r="CH394" s="204"/>
      <c r="CI394" s="204"/>
      <c r="CJ394" s="204"/>
      <c r="CK394" s="204"/>
      <c r="CL394" s="204"/>
      <c r="CM394" s="204"/>
      <c r="CN394" s="195"/>
      <c r="CO394" s="195"/>
      <c r="CP394" s="195"/>
      <c r="CQ394" s="195"/>
      <c r="CR394" s="195"/>
      <c r="CS394" s="202"/>
      <c r="CT394" s="202"/>
      <c r="CV394" s="276"/>
      <c r="CW394" s="287"/>
      <c r="CX394" s="287"/>
      <c r="CY394" s="287"/>
      <c r="CZ394" s="287"/>
      <c r="DA394" s="287"/>
      <c r="DB394" s="287"/>
      <c r="DC394" s="287"/>
      <c r="DD394" s="287"/>
      <c r="DE394" s="287"/>
      <c r="EK394" s="353"/>
      <c r="EL394" s="354"/>
    </row>
    <row r="395" spans="1:142" ht="15" hidden="1" customHeight="1" outlineLevel="1">
      <c r="A395" s="406" t="s">
        <v>65</v>
      </c>
      <c r="B395" s="324"/>
      <c r="C395" s="287"/>
      <c r="D395" s="287"/>
      <c r="E395" s="287"/>
      <c r="F395" s="287"/>
      <c r="G395" s="324"/>
      <c r="H395" s="287"/>
      <c r="I395" s="287"/>
      <c r="J395" s="287"/>
      <c r="K395" s="287"/>
      <c r="L395" s="287"/>
      <c r="M395" s="287"/>
      <c r="N395" s="287"/>
      <c r="O395" s="287"/>
      <c r="P395" s="287"/>
      <c r="Q395" s="287"/>
      <c r="R395" s="287"/>
      <c r="S395" s="287"/>
      <c r="T395" s="287"/>
      <c r="U395" s="287"/>
      <c r="V395" s="287"/>
      <c r="W395" s="287"/>
      <c r="X395" s="287"/>
      <c r="Y395" s="287"/>
      <c r="Z395" s="287"/>
      <c r="AA395" s="287"/>
      <c r="AB395" s="287"/>
      <c r="AC395" s="287"/>
      <c r="AD395" s="287"/>
      <c r="AE395" s="287"/>
      <c r="AF395" s="287"/>
      <c r="AG395" s="287"/>
      <c r="AH395" s="287"/>
      <c r="AI395" s="287"/>
      <c r="AJ395" s="287"/>
      <c r="AK395" s="287"/>
      <c r="AL395" s="287"/>
      <c r="AM395" s="287"/>
      <c r="AN395" s="287"/>
      <c r="AO395" s="287"/>
      <c r="AP395" s="287"/>
      <c r="AQ395" s="287"/>
      <c r="AR395" s="287"/>
      <c r="AS395" s="287"/>
      <c r="AT395" s="287"/>
      <c r="AU395" s="287"/>
      <c r="AV395" s="287"/>
      <c r="AW395" s="287"/>
      <c r="AX395" s="287"/>
      <c r="AY395" s="287"/>
      <c r="AZ395" s="287"/>
      <c r="BA395" s="287"/>
      <c r="BB395" s="287"/>
      <c r="BC395" s="287"/>
      <c r="BD395" s="287"/>
      <c r="BE395" s="287"/>
      <c r="BF395" s="287"/>
      <c r="BG395" s="287"/>
      <c r="BH395" s="287"/>
      <c r="BI395" s="287"/>
      <c r="BJ395" s="287"/>
      <c r="BK395" s="287"/>
      <c r="BL395" s="287"/>
      <c r="BM395" s="287"/>
      <c r="BN395" s="287"/>
      <c r="BO395" s="287"/>
      <c r="BP395" s="287"/>
      <c r="BQ395" s="287"/>
      <c r="BR395" s="287"/>
      <c r="BS395" s="287"/>
      <c r="BT395" s="287"/>
      <c r="BU395" s="288"/>
      <c r="BV395" s="288"/>
      <c r="BW395" s="288"/>
      <c r="BX395" s="288"/>
      <c r="BY395" s="287"/>
      <c r="BZ395" s="288"/>
      <c r="CA395" s="288"/>
      <c r="CB395" s="288"/>
      <c r="CC395" s="288"/>
      <c r="CD395" s="204"/>
      <c r="CE395" s="204"/>
      <c r="CF395" s="204"/>
      <c r="CG395" s="204"/>
      <c r="CH395" s="204"/>
      <c r="CI395" s="204"/>
      <c r="CJ395" s="204"/>
      <c r="CK395" s="204"/>
      <c r="CL395" s="204"/>
      <c r="CM395" s="204"/>
      <c r="CN395" s="195"/>
      <c r="CO395" s="195"/>
      <c r="CP395" s="195"/>
      <c r="CQ395" s="195"/>
      <c r="CR395" s="195"/>
      <c r="CS395" s="202"/>
      <c r="CT395" s="202"/>
      <c r="CV395" s="276"/>
      <c r="CW395" s="287"/>
      <c r="CX395" s="287"/>
      <c r="CY395" s="287"/>
      <c r="CZ395" s="287"/>
      <c r="DA395" s="287"/>
      <c r="DB395" s="287"/>
      <c r="DC395" s="287"/>
      <c r="DD395" s="287"/>
      <c r="DE395" s="287"/>
      <c r="EK395" s="353"/>
      <c r="EL395" s="354"/>
    </row>
    <row r="396" spans="1:142" ht="15" hidden="1" customHeight="1" outlineLevel="1">
      <c r="A396" s="406"/>
      <c r="B396" s="324"/>
      <c r="C396" s="287"/>
      <c r="D396" s="287"/>
      <c r="E396" s="287"/>
      <c r="F396" s="287"/>
      <c r="G396" s="324"/>
      <c r="H396" s="287"/>
      <c r="I396" s="287"/>
      <c r="J396" s="287"/>
      <c r="K396" s="287"/>
      <c r="L396" s="287"/>
      <c r="M396" s="287"/>
      <c r="N396" s="287"/>
      <c r="O396" s="287"/>
      <c r="P396" s="287"/>
      <c r="Q396" s="287"/>
      <c r="R396" s="287"/>
      <c r="S396" s="287"/>
      <c r="T396" s="287"/>
      <c r="U396" s="287"/>
      <c r="V396" s="287"/>
      <c r="W396" s="287"/>
      <c r="X396" s="287"/>
      <c r="Y396" s="287"/>
      <c r="Z396" s="287"/>
      <c r="AA396" s="287"/>
      <c r="AB396" s="287"/>
      <c r="AC396" s="287"/>
      <c r="AD396" s="287"/>
      <c r="AE396" s="287"/>
      <c r="AF396" s="287"/>
      <c r="AG396" s="287"/>
      <c r="AH396" s="287"/>
      <c r="AI396" s="287"/>
      <c r="AJ396" s="287"/>
      <c r="AK396" s="287"/>
      <c r="AL396" s="287"/>
      <c r="AM396" s="287"/>
      <c r="AN396" s="287"/>
      <c r="AO396" s="287"/>
      <c r="AP396" s="287"/>
      <c r="AQ396" s="287"/>
      <c r="AR396" s="287"/>
      <c r="AS396" s="287"/>
      <c r="AT396" s="287"/>
      <c r="AU396" s="287"/>
      <c r="AV396" s="287"/>
      <c r="AW396" s="287"/>
      <c r="AX396" s="287"/>
      <c r="AY396" s="287"/>
      <c r="AZ396" s="287"/>
      <c r="BA396" s="287"/>
      <c r="BB396" s="287"/>
      <c r="BC396" s="287"/>
      <c r="BD396" s="287"/>
      <c r="BE396" s="287"/>
      <c r="BF396" s="287"/>
      <c r="BG396" s="287"/>
      <c r="BH396" s="287"/>
      <c r="BI396" s="287"/>
      <c r="BJ396" s="287"/>
      <c r="BK396" s="287"/>
      <c r="BL396" s="287"/>
      <c r="BM396" s="287"/>
      <c r="BN396" s="287"/>
      <c r="BO396" s="287"/>
      <c r="BP396" s="287"/>
      <c r="BQ396" s="287"/>
      <c r="BR396" s="287"/>
      <c r="BS396" s="287"/>
      <c r="BT396" s="287"/>
      <c r="BU396" s="288"/>
      <c r="BV396" s="288"/>
      <c r="BW396" s="288"/>
      <c r="BX396" s="288"/>
      <c r="BY396" s="287"/>
      <c r="BZ396" s="288"/>
      <c r="CA396" s="288"/>
      <c r="CB396" s="288"/>
      <c r="CC396" s="288"/>
      <c r="CD396" s="204"/>
      <c r="CE396" s="204"/>
      <c r="CF396" s="204"/>
      <c r="CG396" s="204"/>
      <c r="CH396" s="204"/>
      <c r="CI396" s="204"/>
      <c r="CJ396" s="204"/>
      <c r="CK396" s="204"/>
      <c r="CL396" s="204"/>
      <c r="CM396" s="204"/>
      <c r="CN396" s="195"/>
      <c r="CO396" s="195"/>
      <c r="CP396" s="195"/>
      <c r="CQ396" s="195"/>
      <c r="CR396" s="195"/>
      <c r="CS396" s="202"/>
      <c r="CT396" s="202"/>
      <c r="CV396" s="276"/>
      <c r="CW396" s="287"/>
      <c r="CX396" s="287"/>
      <c r="CY396" s="287"/>
      <c r="CZ396" s="287"/>
      <c r="DA396" s="287"/>
      <c r="DB396" s="287"/>
      <c r="DC396" s="287"/>
      <c r="DD396" s="287"/>
      <c r="DE396" s="287"/>
      <c r="EK396" s="353"/>
      <c r="EL396" s="354"/>
    </row>
    <row r="397" spans="1:142" s="265" customFormat="1" hidden="1" outlineLevel="1">
      <c r="A397" s="422" t="s">
        <v>588</v>
      </c>
      <c r="B397" s="255">
        <v>254</v>
      </c>
      <c r="C397" s="255"/>
      <c r="D397" s="255"/>
      <c r="E397" s="255"/>
      <c r="F397" s="255"/>
      <c r="G397" s="255">
        <f t="shared" ref="G397:AS397" si="1253">G309</f>
        <v>247.2</v>
      </c>
      <c r="H397" s="255">
        <f t="shared" si="1253"/>
        <v>45</v>
      </c>
      <c r="I397" s="255">
        <f t="shared" si="1253"/>
        <v>59</v>
      </c>
      <c r="J397" s="255">
        <f t="shared" si="1253"/>
        <v>40</v>
      </c>
      <c r="K397" s="255">
        <f t="shared" si="1253"/>
        <v>44</v>
      </c>
      <c r="L397" s="255">
        <f t="shared" si="1253"/>
        <v>188</v>
      </c>
      <c r="M397" s="255">
        <f t="shared" si="1253"/>
        <v>43</v>
      </c>
      <c r="N397" s="255">
        <f t="shared" si="1253"/>
        <v>45</v>
      </c>
      <c r="O397" s="255">
        <f t="shared" si="1253"/>
        <v>47</v>
      </c>
      <c r="P397" s="255">
        <f t="shared" si="1253"/>
        <v>50</v>
      </c>
      <c r="Q397" s="255">
        <f t="shared" si="1253"/>
        <v>185</v>
      </c>
      <c r="R397" s="255">
        <f t="shared" si="1253"/>
        <v>47</v>
      </c>
      <c r="S397" s="255">
        <f t="shared" si="1253"/>
        <v>53</v>
      </c>
      <c r="T397" s="255">
        <f t="shared" si="1253"/>
        <v>48</v>
      </c>
      <c r="U397" s="255">
        <f t="shared" si="1253"/>
        <v>33</v>
      </c>
      <c r="V397" s="255">
        <f t="shared" si="1253"/>
        <v>181</v>
      </c>
      <c r="W397" s="255">
        <f t="shared" si="1253"/>
        <v>45</v>
      </c>
      <c r="X397" s="255">
        <f t="shared" si="1253"/>
        <v>50</v>
      </c>
      <c r="Y397" s="255">
        <f t="shared" si="1253"/>
        <v>53</v>
      </c>
      <c r="Z397" s="255">
        <f t="shared" si="1253"/>
        <v>55</v>
      </c>
      <c r="AA397" s="255">
        <f t="shared" si="1253"/>
        <v>203</v>
      </c>
      <c r="AB397" s="255">
        <f t="shared" si="1253"/>
        <v>63</v>
      </c>
      <c r="AC397" s="255">
        <f t="shared" si="1253"/>
        <v>58</v>
      </c>
      <c r="AD397" s="255">
        <f t="shared" si="1253"/>
        <v>58</v>
      </c>
      <c r="AE397" s="255">
        <f t="shared" si="1253"/>
        <v>61</v>
      </c>
      <c r="AF397" s="255">
        <f t="shared" si="1253"/>
        <v>240</v>
      </c>
      <c r="AG397" s="255">
        <f t="shared" si="1253"/>
        <v>59</v>
      </c>
      <c r="AH397" s="255">
        <f t="shared" si="1253"/>
        <v>62</v>
      </c>
      <c r="AI397" s="255">
        <f t="shared" si="1253"/>
        <v>64</v>
      </c>
      <c r="AJ397" s="255">
        <f t="shared" si="1253"/>
        <v>68</v>
      </c>
      <c r="AK397" s="255">
        <f t="shared" si="1253"/>
        <v>253</v>
      </c>
      <c r="AL397" s="255">
        <f t="shared" si="1253"/>
        <v>65</v>
      </c>
      <c r="AM397" s="255">
        <f t="shared" si="1253"/>
        <v>64</v>
      </c>
      <c r="AN397" s="255">
        <f t="shared" si="1253"/>
        <v>63</v>
      </c>
      <c r="AO397" s="255">
        <f t="shared" si="1253"/>
        <v>61</v>
      </c>
      <c r="AP397" s="255">
        <f t="shared" si="1253"/>
        <v>253</v>
      </c>
      <c r="AQ397" s="255">
        <f t="shared" si="1253"/>
        <v>67</v>
      </c>
      <c r="AR397" s="255">
        <f t="shared" si="1253"/>
        <v>67</v>
      </c>
      <c r="AS397" s="255">
        <f t="shared" si="1253"/>
        <v>74</v>
      </c>
      <c r="AT397" s="255">
        <f>AU397-AS397-AR397-AQ397</f>
        <v>78</v>
      </c>
      <c r="AU397" s="255">
        <f>AU309</f>
        <v>286</v>
      </c>
      <c r="AV397" s="255">
        <f t="shared" ref="AV397:BH397" si="1254">AV385+AV388</f>
        <v>144</v>
      </c>
      <c r="AW397" s="255">
        <f t="shared" si="1254"/>
        <v>152</v>
      </c>
      <c r="AX397" s="255">
        <f t="shared" si="1254"/>
        <v>150</v>
      </c>
      <c r="AY397" s="255">
        <f t="shared" si="1254"/>
        <v>138</v>
      </c>
      <c r="AZ397" s="255">
        <f t="shared" si="1254"/>
        <v>584</v>
      </c>
      <c r="BA397" s="255">
        <f t="shared" si="1254"/>
        <v>146</v>
      </c>
      <c r="BB397" s="255">
        <f t="shared" si="1254"/>
        <v>150</v>
      </c>
      <c r="BC397" s="255">
        <f t="shared" si="1254"/>
        <v>151</v>
      </c>
      <c r="BD397" s="255">
        <f t="shared" si="1254"/>
        <v>150</v>
      </c>
      <c r="BE397" s="255">
        <f t="shared" si="1254"/>
        <v>597</v>
      </c>
      <c r="BF397" s="255">
        <f t="shared" si="1254"/>
        <v>150</v>
      </c>
      <c r="BG397" s="255">
        <f t="shared" si="1254"/>
        <v>155</v>
      </c>
      <c r="BH397" s="255">
        <f t="shared" si="1254"/>
        <v>167</v>
      </c>
      <c r="BI397" s="255">
        <f t="shared" ref="BI397:BV397" si="1255">BI385+BI388</f>
        <v>220</v>
      </c>
      <c r="BJ397" s="255">
        <f t="shared" si="1255"/>
        <v>692</v>
      </c>
      <c r="BK397" s="255">
        <f t="shared" si="1255"/>
        <v>242</v>
      </c>
      <c r="BL397" s="255">
        <f t="shared" si="1255"/>
        <v>240</v>
      </c>
      <c r="BM397" s="255">
        <f t="shared" si="1255"/>
        <v>267</v>
      </c>
      <c r="BN397" s="255">
        <f t="shared" si="1255"/>
        <v>282</v>
      </c>
      <c r="BO397" s="255">
        <f t="shared" si="1255"/>
        <v>1031</v>
      </c>
      <c r="BP397" s="255">
        <f t="shared" si="1255"/>
        <v>271</v>
      </c>
      <c r="BQ397" s="255">
        <f t="shared" si="1255"/>
        <v>277</v>
      </c>
      <c r="BR397" s="255">
        <f t="shared" si="1255"/>
        <v>286</v>
      </c>
      <c r="BS397" s="255">
        <f t="shared" si="1255"/>
        <v>310</v>
      </c>
      <c r="BT397" s="255">
        <f t="shared" si="1255"/>
        <v>1144</v>
      </c>
      <c r="BU397" s="255">
        <f t="shared" si="1255"/>
        <v>307</v>
      </c>
      <c r="BV397" s="255">
        <f t="shared" si="1255"/>
        <v>312</v>
      </c>
      <c r="BW397" s="255">
        <f t="shared" ref="BW397:BY397" si="1256">BW385+BW388</f>
        <v>315</v>
      </c>
      <c r="BX397" s="255">
        <f t="shared" si="1256"/>
        <v>294</v>
      </c>
      <c r="BY397" s="255">
        <f t="shared" si="1256"/>
        <v>1228</v>
      </c>
      <c r="BZ397" s="255">
        <f>BZ394</f>
        <v>365</v>
      </c>
      <c r="CA397" s="255">
        <f>CA394</f>
        <v>362</v>
      </c>
      <c r="CB397" s="255">
        <f>CB394</f>
        <v>380</v>
      </c>
      <c r="CC397" s="255">
        <f>CC394</f>
        <v>401</v>
      </c>
      <c r="CD397" s="255">
        <f>CD385+CD388+CD390</f>
        <v>1460.35</v>
      </c>
      <c r="CE397" s="255">
        <f t="shared" ref="CE397:CI397" si="1257">CE385+CE388+CE390</f>
        <v>1705.4925000000003</v>
      </c>
      <c r="CF397" s="255">
        <f t="shared" si="1257"/>
        <v>1996.6286250000003</v>
      </c>
      <c r="CG397" s="255">
        <f t="shared" si="1257"/>
        <v>2325.5928562500008</v>
      </c>
      <c r="CH397" s="255">
        <f t="shared" si="1257"/>
        <v>2585.0804990625006</v>
      </c>
      <c r="CI397" s="255">
        <f t="shared" si="1257"/>
        <v>2804.9135840156255</v>
      </c>
      <c r="CJ397" s="255">
        <f t="shared" ref="CJ397:CL397" si="1258">CJ385+CJ388+CJ390</f>
        <v>3045.2491245164065</v>
      </c>
      <c r="CK397" s="255">
        <f t="shared" si="1258"/>
        <v>3308.1108774787272</v>
      </c>
      <c r="CL397" s="255">
        <f t="shared" si="1258"/>
        <v>3595.7286442464961</v>
      </c>
      <c r="CM397" s="255">
        <f t="shared" ref="CM397" si="1259">CM385+CM388+CM390</f>
        <v>3910.5595827565057</v>
      </c>
      <c r="CN397" s="202"/>
      <c r="CO397" s="202"/>
      <c r="CP397" s="202"/>
      <c r="CQ397" s="202"/>
      <c r="CR397" s="202"/>
      <c r="CS397" s="202"/>
      <c r="CT397" s="202"/>
      <c r="CV397" s="423" t="s">
        <v>80</v>
      </c>
      <c r="CW397" s="424">
        <v>1036.8</v>
      </c>
      <c r="CX397" s="424">
        <v>1079</v>
      </c>
      <c r="CY397" s="424">
        <v>1041.9897780277677</v>
      </c>
      <c r="CZ397" s="424">
        <v>1041.9262273632733</v>
      </c>
      <c r="DA397" s="424">
        <v>1045.5024199673599</v>
      </c>
      <c r="DB397" s="424">
        <v>1043.0682262055707</v>
      </c>
      <c r="DC397" s="424" t="e">
        <f>#REF!+#REF!</f>
        <v>#REF!</v>
      </c>
      <c r="DD397" s="424" t="e">
        <f>#REF!+#REF!</f>
        <v>#REF!</v>
      </c>
      <c r="DE397" s="424" t="e">
        <f>#REF!+#REF!</f>
        <v>#REF!</v>
      </c>
      <c r="EK397" s="425">
        <v>39973</v>
      </c>
      <c r="EL397" s="426">
        <v>0.99850000000000005</v>
      </c>
    </row>
    <row r="398" spans="1:142" ht="15" hidden="1" customHeight="1" outlineLevel="1">
      <c r="A398" s="406" t="s">
        <v>65</v>
      </c>
      <c r="B398" s="287"/>
      <c r="C398" s="287"/>
      <c r="D398" s="287"/>
      <c r="E398" s="287"/>
      <c r="F398" s="287"/>
      <c r="G398" s="287">
        <f>G397/B397-1</f>
        <v>-2.6771653543307128E-2</v>
      </c>
      <c r="H398" s="287"/>
      <c r="I398" s="287"/>
      <c r="J398" s="287"/>
      <c r="K398" s="287"/>
      <c r="L398" s="287">
        <f>L397/G397-1</f>
        <v>-0.23948220064724912</v>
      </c>
      <c r="M398" s="287"/>
      <c r="N398" s="287"/>
      <c r="O398" s="287"/>
      <c r="P398" s="287"/>
      <c r="Q398" s="287">
        <f>Q397/L397-1</f>
        <v>-1.5957446808510634E-2</v>
      </c>
      <c r="R398" s="287"/>
      <c r="S398" s="287"/>
      <c r="T398" s="287"/>
      <c r="U398" s="287"/>
      <c r="V398" s="287">
        <f>V397/Q397-1</f>
        <v>-2.1621621621621623E-2</v>
      </c>
      <c r="W398" s="287"/>
      <c r="X398" s="287"/>
      <c r="Y398" s="287"/>
      <c r="Z398" s="287"/>
      <c r="AA398" s="287">
        <f>AA397/V397-1</f>
        <v>0.12154696132596676</v>
      </c>
      <c r="AB398" s="287"/>
      <c r="AC398" s="287"/>
      <c r="AD398" s="287"/>
      <c r="AE398" s="287"/>
      <c r="AF398" s="287">
        <f>AF397/AA397-1</f>
        <v>0.18226600985221686</v>
      </c>
      <c r="AG398" s="287"/>
      <c r="AH398" s="287"/>
      <c r="AI398" s="287"/>
      <c r="AJ398" s="287"/>
      <c r="AK398" s="287">
        <f>AK397/AF397-1</f>
        <v>5.4166666666666696E-2</v>
      </c>
      <c r="AL398" s="287"/>
      <c r="AM398" s="287"/>
      <c r="AN398" s="287"/>
      <c r="AO398" s="287"/>
      <c r="AP398" s="287">
        <f>AP397/AK397-1</f>
        <v>0</v>
      </c>
      <c r="AQ398" s="287"/>
      <c r="AR398" s="287"/>
      <c r="AS398" s="287"/>
      <c r="AT398" s="287"/>
      <c r="AU398" s="287">
        <f>AU397/AP397-1</f>
        <v>0.13043478260869557</v>
      </c>
      <c r="AV398" s="287"/>
      <c r="AW398" s="287"/>
      <c r="AX398" s="287"/>
      <c r="AY398" s="287"/>
      <c r="AZ398" s="287">
        <f t="shared" ref="AZ398:CC398" si="1260">AZ397/AU397-1</f>
        <v>1.0419580419580421</v>
      </c>
      <c r="BA398" s="287">
        <f t="shared" si="1260"/>
        <v>1.388888888888884E-2</v>
      </c>
      <c r="BB398" s="287">
        <f t="shared" si="1260"/>
        <v>-1.3157894736842146E-2</v>
      </c>
      <c r="BC398" s="287">
        <f t="shared" si="1260"/>
        <v>6.6666666666665986E-3</v>
      </c>
      <c r="BD398" s="287">
        <f t="shared" si="1260"/>
        <v>8.6956521739130377E-2</v>
      </c>
      <c r="BE398" s="287">
        <f t="shared" si="1260"/>
        <v>2.2260273972602773E-2</v>
      </c>
      <c r="BF398" s="287">
        <f t="shared" si="1260"/>
        <v>2.7397260273972712E-2</v>
      </c>
      <c r="BG398" s="287">
        <f t="shared" si="1260"/>
        <v>3.3333333333333437E-2</v>
      </c>
      <c r="BH398" s="287">
        <f t="shared" si="1260"/>
        <v>0.10596026490066235</v>
      </c>
      <c r="BI398" s="287">
        <f t="shared" si="1260"/>
        <v>0.46666666666666656</v>
      </c>
      <c r="BJ398" s="287">
        <f t="shared" si="1260"/>
        <v>0.1591289782244556</v>
      </c>
      <c r="BK398" s="287">
        <f t="shared" si="1260"/>
        <v>0.61333333333333329</v>
      </c>
      <c r="BL398" s="287">
        <f t="shared" si="1260"/>
        <v>0.54838709677419351</v>
      </c>
      <c r="BM398" s="287">
        <f t="shared" si="1260"/>
        <v>0.5988023952095809</v>
      </c>
      <c r="BN398" s="287">
        <f t="shared" si="1260"/>
        <v>0.28181818181818175</v>
      </c>
      <c r="BO398" s="287">
        <f t="shared" si="1260"/>
        <v>0.48988439306358389</v>
      </c>
      <c r="BP398" s="287">
        <f t="shared" si="1260"/>
        <v>0.11983471074380159</v>
      </c>
      <c r="BQ398" s="287">
        <f t="shared" si="1260"/>
        <v>0.15416666666666656</v>
      </c>
      <c r="BR398" s="287">
        <f t="shared" si="1260"/>
        <v>7.1161048689138529E-2</v>
      </c>
      <c r="BS398" s="287">
        <f t="shared" si="1260"/>
        <v>9.9290780141843893E-2</v>
      </c>
      <c r="BT398" s="287">
        <f t="shared" si="1260"/>
        <v>0.10960232783705148</v>
      </c>
      <c r="BU398" s="288">
        <f t="shared" si="1260"/>
        <v>0.13284132841328411</v>
      </c>
      <c r="BV398" s="288">
        <f t="shared" si="1260"/>
        <v>0.12635379061371843</v>
      </c>
      <c r="BW398" s="288">
        <f t="shared" si="1260"/>
        <v>0.10139860139860146</v>
      </c>
      <c r="BX398" s="288">
        <f t="shared" si="1260"/>
        <v>-5.1612903225806472E-2</v>
      </c>
      <c r="BY398" s="287">
        <f t="shared" si="1260"/>
        <v>7.3426573426573327E-2</v>
      </c>
      <c r="BZ398" s="288">
        <f t="shared" si="1260"/>
        <v>0.18892508143322484</v>
      </c>
      <c r="CA398" s="288">
        <f t="shared" si="1260"/>
        <v>0.16025641025641035</v>
      </c>
      <c r="CB398" s="288">
        <f t="shared" si="1260"/>
        <v>0.20634920634920628</v>
      </c>
      <c r="CC398" s="288">
        <f t="shared" si="1260"/>
        <v>0.36394557823129259</v>
      </c>
      <c r="CD398" s="287">
        <f>CD397/BY397-1</f>
        <v>0.18921009771986963</v>
      </c>
      <c r="CE398" s="287">
        <f t="shared" ref="CE398:CI398" si="1261">CE397/CD397-1</f>
        <v>0.16786558016913777</v>
      </c>
      <c r="CF398" s="287">
        <f t="shared" si="1261"/>
        <v>0.17070501629294754</v>
      </c>
      <c r="CG398" s="287">
        <f t="shared" si="1261"/>
        <v>0.16475984924337173</v>
      </c>
      <c r="CH398" s="287">
        <f t="shared" si="1261"/>
        <v>0.11157913652646911</v>
      </c>
      <c r="CI398" s="287">
        <f t="shared" si="1261"/>
        <v>8.5039164170264359E-2</v>
      </c>
      <c r="CJ398" s="287">
        <f t="shared" ref="CJ398" si="1262">CJ397/CI397-1</f>
        <v>8.5683759339461485E-2</v>
      </c>
      <c r="CK398" s="287">
        <f t="shared" ref="CK398" si="1263">CK397/CJ397-1</f>
        <v>8.6318636740126742E-2</v>
      </c>
      <c r="CL398" s="287">
        <f t="shared" ref="CL398:CM398" si="1264">CL397/CK397-1</f>
        <v>8.694320638580777E-2</v>
      </c>
      <c r="CM398" s="287">
        <f t="shared" si="1264"/>
        <v>8.7556923688824284E-2</v>
      </c>
      <c r="CN398" s="195"/>
      <c r="CO398" s="195"/>
      <c r="CP398" s="195"/>
      <c r="CQ398" s="195"/>
      <c r="CR398" s="195"/>
      <c r="CS398" s="202"/>
      <c r="CT398" s="202"/>
      <c r="CV398" s="276" t="s">
        <v>65</v>
      </c>
      <c r="CW398" s="287">
        <v>0.1280600587531282</v>
      </c>
      <c r="CX398" s="287">
        <v>4.0702160493827133E-2</v>
      </c>
      <c r="CY398" s="287">
        <v>-3.4300483755544287E-2</v>
      </c>
      <c r="CZ398" s="287">
        <v>-6.0989719702142509E-5</v>
      </c>
      <c r="DA398" s="287">
        <v>3.4322896479308529E-3</v>
      </c>
      <c r="DB398" s="287">
        <v>-2.3282526327056408E-3</v>
      </c>
      <c r="DC398" s="287" t="e">
        <f>DC397/DB397-1</f>
        <v>#REF!</v>
      </c>
      <c r="DD398" s="287" t="e">
        <f>DD397/DC397-1</f>
        <v>#REF!</v>
      </c>
      <c r="DE398" s="287" t="e">
        <f>DE397/DD397-1</f>
        <v>#REF!</v>
      </c>
      <c r="EK398" s="353">
        <v>39974</v>
      </c>
      <c r="EL398" s="354">
        <v>0.996</v>
      </c>
    </row>
    <row r="399" spans="1:142" ht="15" customHeight="1" collapsed="1">
      <c r="A399" s="276"/>
      <c r="B399" s="324"/>
      <c r="C399" s="287"/>
      <c r="D399" s="287"/>
      <c r="E399" s="287"/>
      <c r="F399" s="287"/>
      <c r="G399" s="324"/>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287"/>
      <c r="AF399" s="287"/>
      <c r="AG399" s="287"/>
      <c r="AH399" s="287"/>
      <c r="AI399" s="287"/>
      <c r="AJ399" s="287"/>
      <c r="AK399" s="287"/>
      <c r="AL399" s="287"/>
      <c r="AM399" s="287"/>
      <c r="AN399" s="287"/>
      <c r="AO399" s="287"/>
      <c r="AP399" s="287"/>
      <c r="AQ399" s="287"/>
      <c r="AR399" s="287"/>
      <c r="AS399" s="287"/>
      <c r="AT399" s="287"/>
      <c r="AU399" s="287"/>
      <c r="AV399" s="287"/>
      <c r="AW399" s="287"/>
      <c r="AX399" s="287"/>
      <c r="AY399" s="287"/>
      <c r="AZ399" s="287"/>
      <c r="BA399" s="287"/>
      <c r="BB399" s="287"/>
      <c r="BC399" s="287"/>
      <c r="BD399" s="287"/>
      <c r="BE399" s="287"/>
      <c r="BF399" s="287"/>
      <c r="BG399" s="287"/>
      <c r="BH399" s="287"/>
      <c r="BI399" s="287"/>
      <c r="BJ399" s="287"/>
      <c r="BK399" s="287"/>
      <c r="BL399" s="287"/>
      <c r="BM399" s="287"/>
      <c r="BN399" s="287"/>
      <c r="BO399" s="287"/>
      <c r="BP399" s="287"/>
      <c r="BQ399" s="287"/>
      <c r="BR399" s="287"/>
      <c r="BS399" s="287"/>
      <c r="BT399" s="287"/>
      <c r="BU399" s="288"/>
      <c r="BV399" s="288"/>
      <c r="BW399" s="288"/>
      <c r="BX399" s="288"/>
      <c r="BY399" s="287"/>
      <c r="BZ399" s="288"/>
      <c r="CA399" s="288"/>
      <c r="CB399" s="288"/>
      <c r="CC399" s="288"/>
      <c r="CD399" s="204"/>
      <c r="CE399" s="204"/>
      <c r="CF399" s="204"/>
      <c r="CG399" s="204"/>
      <c r="CH399" s="204"/>
      <c r="CI399" s="204"/>
      <c r="CJ399" s="204"/>
      <c r="CK399" s="204"/>
      <c r="CL399" s="204"/>
      <c r="CM399" s="204"/>
      <c r="CN399" s="195"/>
      <c r="CO399" s="195"/>
      <c r="CP399" s="195"/>
      <c r="CQ399" s="195"/>
      <c r="CR399" s="195"/>
      <c r="CS399" s="202"/>
      <c r="CT399" s="202"/>
      <c r="CV399" s="276"/>
      <c r="CW399" s="287"/>
      <c r="CX399" s="287"/>
      <c r="CY399" s="287"/>
      <c r="CZ399" s="287"/>
      <c r="DA399" s="287"/>
      <c r="DB399" s="287"/>
      <c r="DC399" s="287"/>
      <c r="DD399" s="287"/>
      <c r="DE399" s="287"/>
      <c r="EK399" s="353">
        <v>39975</v>
      </c>
      <c r="EL399" s="354">
        <v>0.98899999999999999</v>
      </c>
    </row>
    <row r="400" spans="1:142" ht="15" customHeight="1">
      <c r="A400" s="343" t="s">
        <v>721</v>
      </c>
      <c r="B400" s="324"/>
      <c r="C400" s="287"/>
      <c r="D400" s="287"/>
      <c r="E400" s="287"/>
      <c r="F400" s="287"/>
      <c r="G400" s="324"/>
      <c r="H400" s="287"/>
      <c r="I400" s="287"/>
      <c r="J400" s="287"/>
      <c r="K400" s="287"/>
      <c r="L400" s="287"/>
      <c r="M400" s="287"/>
      <c r="N400" s="287"/>
      <c r="O400" s="287"/>
      <c r="P400" s="287"/>
      <c r="Q400" s="287"/>
      <c r="R400" s="287"/>
      <c r="S400" s="287"/>
      <c r="T400" s="287"/>
      <c r="U400" s="287"/>
      <c r="V400" s="287"/>
      <c r="W400" s="287"/>
      <c r="X400" s="287"/>
      <c r="Y400" s="287"/>
      <c r="Z400" s="287"/>
      <c r="AA400" s="287"/>
      <c r="AB400" s="287"/>
      <c r="AC400" s="287"/>
      <c r="AD400" s="287"/>
      <c r="AE400" s="287"/>
      <c r="AF400" s="287"/>
      <c r="AG400" s="287"/>
      <c r="AH400" s="287"/>
      <c r="AI400" s="287"/>
      <c r="AJ400" s="287"/>
      <c r="AK400" s="287"/>
      <c r="AL400" s="287"/>
      <c r="AM400" s="287"/>
      <c r="AN400" s="287"/>
      <c r="AO400" s="287"/>
      <c r="AP400" s="287"/>
      <c r="AQ400" s="287"/>
      <c r="AR400" s="287"/>
      <c r="AS400" s="287"/>
      <c r="AT400" s="287"/>
      <c r="AU400" s="287"/>
      <c r="AV400" s="287"/>
      <c r="AW400" s="287"/>
      <c r="AX400" s="287"/>
      <c r="AY400" s="287"/>
      <c r="AZ400" s="287"/>
      <c r="BA400" s="287"/>
      <c r="BB400" s="287"/>
      <c r="BC400" s="287"/>
      <c r="BD400" s="287"/>
      <c r="BE400" s="287"/>
      <c r="BF400" s="287"/>
      <c r="BG400" s="287"/>
      <c r="BH400" s="287"/>
      <c r="BI400" s="287"/>
      <c r="BJ400" s="287"/>
      <c r="BK400" s="287"/>
      <c r="BL400" s="287"/>
      <c r="BM400" s="287"/>
      <c r="BN400" s="287"/>
      <c r="BO400" s="287"/>
      <c r="BP400" s="287"/>
      <c r="BQ400" s="287"/>
      <c r="BR400" s="287"/>
      <c r="BS400" s="287"/>
      <c r="BT400" s="287"/>
      <c r="BU400" s="288"/>
      <c r="BV400" s="288"/>
      <c r="BW400" s="288"/>
      <c r="BX400" s="288"/>
      <c r="BY400" s="287"/>
      <c r="BZ400" s="288"/>
      <c r="CA400" s="288"/>
      <c r="CB400" s="288"/>
      <c r="CC400" s="288"/>
      <c r="CD400" s="204"/>
      <c r="CE400" s="204"/>
      <c r="CF400" s="204"/>
      <c r="CG400" s="204"/>
      <c r="CH400" s="204"/>
      <c r="CI400" s="204"/>
      <c r="CJ400" s="204"/>
      <c r="CK400" s="204"/>
      <c r="CL400" s="204"/>
      <c r="CM400" s="204"/>
      <c r="CN400" s="195"/>
      <c r="CO400" s="195"/>
      <c r="CP400" s="195"/>
      <c r="CQ400" s="195"/>
      <c r="CR400" s="195"/>
      <c r="CS400" s="202"/>
      <c r="CT400" s="202"/>
      <c r="CV400" s="276"/>
      <c r="CW400" s="287"/>
      <c r="CX400" s="287"/>
      <c r="CY400" s="287"/>
      <c r="CZ400" s="287"/>
      <c r="DA400" s="287"/>
      <c r="DB400" s="287"/>
      <c r="DC400" s="287"/>
      <c r="DD400" s="287"/>
      <c r="DE400" s="287"/>
      <c r="EK400" s="353"/>
      <c r="EL400" s="354"/>
    </row>
    <row r="401" spans="1:142" ht="15" customHeight="1">
      <c r="A401" s="276"/>
      <c r="B401" s="324"/>
      <c r="C401" s="287"/>
      <c r="D401" s="287"/>
      <c r="E401" s="287"/>
      <c r="F401" s="287"/>
      <c r="G401" s="324"/>
      <c r="H401" s="287"/>
      <c r="I401" s="287"/>
      <c r="J401" s="287"/>
      <c r="K401" s="287"/>
      <c r="L401" s="287"/>
      <c r="M401" s="287"/>
      <c r="N401" s="287"/>
      <c r="O401" s="287"/>
      <c r="P401" s="287"/>
      <c r="Q401" s="287"/>
      <c r="R401" s="287"/>
      <c r="S401" s="287"/>
      <c r="T401" s="287"/>
      <c r="U401" s="287"/>
      <c r="V401" s="287"/>
      <c r="W401" s="287"/>
      <c r="X401" s="287"/>
      <c r="Y401" s="287"/>
      <c r="Z401" s="287"/>
      <c r="AA401" s="287"/>
      <c r="AB401" s="287"/>
      <c r="AC401" s="287"/>
      <c r="AD401" s="287"/>
      <c r="AE401" s="287"/>
      <c r="AF401" s="287"/>
      <c r="AG401" s="287"/>
      <c r="AH401" s="287"/>
      <c r="AI401" s="287"/>
      <c r="AJ401" s="287"/>
      <c r="AK401" s="287"/>
      <c r="AL401" s="287"/>
      <c r="AM401" s="287"/>
      <c r="AN401" s="287"/>
      <c r="AO401" s="287"/>
      <c r="AP401" s="287"/>
      <c r="AQ401" s="287"/>
      <c r="AR401" s="287"/>
      <c r="AS401" s="287"/>
      <c r="AT401" s="287"/>
      <c r="AU401" s="287"/>
      <c r="AV401" s="287"/>
      <c r="AW401" s="287"/>
      <c r="AX401" s="287"/>
      <c r="AY401" s="287"/>
      <c r="AZ401" s="287"/>
      <c r="BA401" s="287"/>
      <c r="BB401" s="287"/>
      <c r="BC401" s="287"/>
      <c r="BD401" s="287"/>
      <c r="BE401" s="287"/>
      <c r="BF401" s="287"/>
      <c r="BG401" s="287"/>
      <c r="BH401" s="287"/>
      <c r="BI401" s="287"/>
      <c r="BJ401" s="287"/>
      <c r="BK401" s="287"/>
      <c r="BL401" s="287"/>
      <c r="BM401" s="287"/>
      <c r="BN401" s="287"/>
      <c r="BO401" s="287"/>
      <c r="BP401" s="287"/>
      <c r="BQ401" s="287"/>
      <c r="BR401" s="287"/>
      <c r="BS401" s="287"/>
      <c r="BT401" s="204">
        <f>SUM(BT402:BT403)</f>
        <v>5778</v>
      </c>
      <c r="BU401" s="288"/>
      <c r="BV401" s="288"/>
      <c r="BW401" s="288"/>
      <c r="BX401" s="288"/>
      <c r="BY401" s="204">
        <f>SUM(BY402:BY403)</f>
        <v>5968</v>
      </c>
      <c r="BZ401" s="288"/>
      <c r="CA401" s="288"/>
      <c r="CB401" s="288"/>
      <c r="CC401" s="288"/>
      <c r="CD401" s="204"/>
      <c r="CE401" s="204"/>
      <c r="CF401" s="204"/>
      <c r="CG401" s="204"/>
      <c r="CH401" s="204"/>
      <c r="CI401" s="204"/>
      <c r="CJ401" s="204"/>
      <c r="CK401" s="204"/>
      <c r="CL401" s="204"/>
      <c r="CM401" s="204"/>
      <c r="CN401" s="195"/>
      <c r="CO401" s="195"/>
      <c r="CP401" s="195"/>
      <c r="CQ401" s="195"/>
      <c r="CR401" s="195"/>
      <c r="CS401" s="202"/>
      <c r="CT401" s="202"/>
      <c r="CV401" s="276"/>
      <c r="CW401" s="287"/>
      <c r="CX401" s="287"/>
      <c r="CY401" s="287"/>
      <c r="CZ401" s="287"/>
      <c r="DA401" s="287"/>
      <c r="DB401" s="287"/>
      <c r="DC401" s="287"/>
      <c r="DD401" s="287"/>
      <c r="DE401" s="287"/>
      <c r="EK401" s="353"/>
      <c r="EL401" s="354"/>
    </row>
    <row r="402" spans="1:142" ht="15" customHeight="1">
      <c r="A402" s="173" t="s">
        <v>722</v>
      </c>
      <c r="B402" s="324"/>
      <c r="C402" s="287"/>
      <c r="D402" s="287"/>
      <c r="E402" s="287"/>
      <c r="F402" s="287"/>
      <c r="G402" s="324"/>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7"/>
      <c r="AP402" s="287"/>
      <c r="AQ402" s="287"/>
      <c r="AR402" s="287"/>
      <c r="AS402" s="287"/>
      <c r="AT402" s="287"/>
      <c r="AU402" s="287"/>
      <c r="AV402" s="287"/>
      <c r="AW402" s="287"/>
      <c r="AX402" s="287"/>
      <c r="AY402" s="287"/>
      <c r="AZ402" s="287"/>
      <c r="BA402" s="287"/>
      <c r="BB402" s="287"/>
      <c r="BC402" s="287"/>
      <c r="BD402" s="287"/>
      <c r="BE402" s="287"/>
      <c r="BF402" s="287"/>
      <c r="BG402" s="287"/>
      <c r="BH402" s="287"/>
      <c r="BI402" s="287"/>
      <c r="BJ402" s="287"/>
      <c r="BK402" s="287"/>
      <c r="BL402" s="287"/>
      <c r="BM402" s="287"/>
      <c r="BN402" s="287"/>
      <c r="BO402" s="287"/>
      <c r="BP402" s="360">
        <f>'[2]Profit and Loss Highlights'!AM$19</f>
        <v>748</v>
      </c>
      <c r="BQ402" s="360">
        <f>'[2]Profit and Loss Highlights'!AN$19</f>
        <v>766</v>
      </c>
      <c r="BR402" s="360">
        <f>'[2]Profit and Loss Highlights'!AO$19</f>
        <v>783</v>
      </c>
      <c r="BS402" s="360">
        <f>'[2]Profit and Loss Highlights'!AP$19</f>
        <v>766</v>
      </c>
      <c r="BT402" s="202">
        <f t="shared" ref="BT402:BT408" si="1265">SUM(BP402:BS402)</f>
        <v>3063</v>
      </c>
      <c r="BU402" s="360">
        <f>'[2]Profit and Loss Highlights'!AQ$19</f>
        <v>785</v>
      </c>
      <c r="BV402" s="360">
        <f>'[2]Profit and Loss Highlights'!AR$19</f>
        <v>810</v>
      </c>
      <c r="BW402" s="360">
        <f>'[2]Profit and Loss Highlights'!AS$19</f>
        <v>830</v>
      </c>
      <c r="BX402" s="360">
        <f>'[2]Profit and Loss Highlights'!AT$19</f>
        <v>850</v>
      </c>
      <c r="BY402" s="202">
        <f t="shared" ref="BY402:BY408" si="1266">SUM(BU402:BX402)</f>
        <v>3275</v>
      </c>
      <c r="BZ402" s="360">
        <f>'[2]Profit and Loss Highlights'!AU$19</f>
        <v>864</v>
      </c>
      <c r="CA402" s="360">
        <f>'[2]Profit and Loss Highlights'!AV$19</f>
        <v>871</v>
      </c>
      <c r="CB402" s="360">
        <f>'[2]Profit and Loss Highlights'!AW$19</f>
        <v>882</v>
      </c>
      <c r="CC402" s="360">
        <f>'[2]Profit and Loss Highlights'!AX$19</f>
        <v>903</v>
      </c>
      <c r="CD402" s="202">
        <f t="shared" ref="CD402:CD408" si="1267">SUM(BZ402:CC402)</f>
        <v>3520</v>
      </c>
      <c r="CE402" s="250">
        <f t="shared" ref="CE402:CM402" si="1268">CE247</f>
        <v>3626.5485456876986</v>
      </c>
      <c r="CF402" s="250">
        <f t="shared" si="1268"/>
        <v>3692.7273435488019</v>
      </c>
      <c r="CG402" s="250">
        <f t="shared" si="1268"/>
        <v>3764.4191434326108</v>
      </c>
      <c r="CH402" s="250">
        <f t="shared" si="1268"/>
        <v>3851.5958299619369</v>
      </c>
      <c r="CI402" s="250">
        <f t="shared" si="1268"/>
        <v>3955.7740923082774</v>
      </c>
      <c r="CJ402" s="250">
        <f t="shared" si="1268"/>
        <v>4058.4689365995832</v>
      </c>
      <c r="CK402" s="250">
        <f t="shared" si="1268"/>
        <v>4159.9050945824783</v>
      </c>
      <c r="CL402" s="250">
        <f t="shared" si="1268"/>
        <v>4260.2901078352506</v>
      </c>
      <c r="CM402" s="250">
        <f t="shared" si="1268"/>
        <v>4359.8157424302899</v>
      </c>
      <c r="CN402" s="195"/>
      <c r="CO402" s="195"/>
      <c r="CP402" s="195"/>
      <c r="CQ402" s="195"/>
      <c r="CR402" s="195"/>
      <c r="CS402" s="202"/>
      <c r="CT402" s="202"/>
      <c r="CV402" s="276"/>
      <c r="CW402" s="287"/>
      <c r="CX402" s="287"/>
      <c r="CY402" s="287"/>
      <c r="CZ402" s="287"/>
      <c r="DA402" s="287"/>
      <c r="DB402" s="287"/>
      <c r="DC402" s="287"/>
      <c r="DD402" s="287"/>
      <c r="DE402" s="287"/>
      <c r="EK402" s="353"/>
      <c r="EL402" s="354"/>
    </row>
    <row r="403" spans="1:142" ht="15" customHeight="1">
      <c r="A403" s="173" t="s">
        <v>570</v>
      </c>
      <c r="B403" s="324"/>
      <c r="C403" s="287"/>
      <c r="D403" s="287"/>
      <c r="E403" s="287"/>
      <c r="F403" s="287"/>
      <c r="G403" s="324"/>
      <c r="H403" s="287"/>
      <c r="I403" s="287"/>
      <c r="J403" s="287"/>
      <c r="K403" s="287"/>
      <c r="L403" s="287"/>
      <c r="M403" s="287"/>
      <c r="N403" s="287"/>
      <c r="O403" s="287"/>
      <c r="P403" s="287"/>
      <c r="Q403" s="287"/>
      <c r="R403" s="287"/>
      <c r="S403" s="287"/>
      <c r="T403" s="287"/>
      <c r="U403" s="287"/>
      <c r="V403" s="287"/>
      <c r="W403" s="287"/>
      <c r="X403" s="287"/>
      <c r="Y403" s="287"/>
      <c r="Z403" s="287"/>
      <c r="AA403" s="287"/>
      <c r="AB403" s="287"/>
      <c r="AC403" s="287"/>
      <c r="AD403" s="287"/>
      <c r="AE403" s="287"/>
      <c r="AF403" s="287"/>
      <c r="AG403" s="287"/>
      <c r="AH403" s="287"/>
      <c r="AI403" s="287"/>
      <c r="AJ403" s="287"/>
      <c r="AK403" s="287"/>
      <c r="AL403" s="287"/>
      <c r="AM403" s="287"/>
      <c r="AN403" s="287"/>
      <c r="AO403" s="287"/>
      <c r="AP403" s="287"/>
      <c r="AQ403" s="287"/>
      <c r="AR403" s="287"/>
      <c r="AS403" s="287"/>
      <c r="AT403" s="287"/>
      <c r="AU403" s="287"/>
      <c r="AV403" s="287"/>
      <c r="AW403" s="287"/>
      <c r="AX403" s="287"/>
      <c r="AY403" s="287"/>
      <c r="AZ403" s="287"/>
      <c r="BA403" s="287"/>
      <c r="BB403" s="287"/>
      <c r="BC403" s="287"/>
      <c r="BD403" s="287"/>
      <c r="BE403" s="287"/>
      <c r="BF403" s="287"/>
      <c r="BG403" s="287"/>
      <c r="BH403" s="287"/>
      <c r="BI403" s="287"/>
      <c r="BJ403" s="287"/>
      <c r="BK403" s="287"/>
      <c r="BL403" s="287"/>
      <c r="BM403" s="287"/>
      <c r="BN403" s="287"/>
      <c r="BO403" s="287"/>
      <c r="BP403" s="360">
        <f>'[2]Profit and Loss Highlights'!AM$20</f>
        <v>690</v>
      </c>
      <c r="BQ403" s="360">
        <f>'[2]Profit and Loss Highlights'!AN$20</f>
        <v>685</v>
      </c>
      <c r="BR403" s="360">
        <f>'[2]Profit and Loss Highlights'!AO$20</f>
        <v>685</v>
      </c>
      <c r="BS403" s="360">
        <f>'[2]Profit and Loss Highlights'!AP$20</f>
        <v>655</v>
      </c>
      <c r="BT403" s="202">
        <f t="shared" si="1265"/>
        <v>2715</v>
      </c>
      <c r="BU403" s="360">
        <f>'[2]Profit and Loss Highlights'!AQ$20</f>
        <v>657</v>
      </c>
      <c r="BV403" s="360">
        <f>'[2]Profit and Loss Highlights'!AR$20</f>
        <v>679</v>
      </c>
      <c r="BW403" s="360">
        <f>'[2]Profit and Loss Highlights'!AS$20</f>
        <v>676</v>
      </c>
      <c r="BX403" s="360">
        <f>'[2]Profit and Loss Highlights'!AT$20</f>
        <v>681</v>
      </c>
      <c r="BY403" s="202">
        <f t="shared" si="1266"/>
        <v>2693</v>
      </c>
      <c r="BZ403" s="360">
        <f>'[2]Profit and Loss Highlights'!AU$20</f>
        <v>661</v>
      </c>
      <c r="CA403" s="360">
        <f>'[2]Profit and Loss Highlights'!AV$20</f>
        <v>651</v>
      </c>
      <c r="CB403" s="360">
        <f>'[2]Profit and Loss Highlights'!AW$20</f>
        <v>652</v>
      </c>
      <c r="CC403" s="360">
        <f>'[2]Profit and Loss Highlights'!AX$20</f>
        <v>655</v>
      </c>
      <c r="CD403" s="202">
        <f t="shared" si="1267"/>
        <v>2619</v>
      </c>
      <c r="CE403" s="250">
        <f t="shared" ref="CE403:CM403" si="1269">CE242</f>
        <v>2641.5107472106656</v>
      </c>
      <c r="CF403" s="250">
        <f t="shared" si="1269"/>
        <v>2669.6694696683185</v>
      </c>
      <c r="CG403" s="250">
        <f t="shared" si="1269"/>
        <v>2687.6875996692647</v>
      </c>
      <c r="CH403" s="250">
        <f t="shared" si="1269"/>
        <v>2715.8468618584125</v>
      </c>
      <c r="CI403" s="250">
        <f t="shared" si="1269"/>
        <v>2754.8157915185375</v>
      </c>
      <c r="CJ403" s="250">
        <f t="shared" si="1269"/>
        <v>2791.4646999657825</v>
      </c>
      <c r="CK403" s="250">
        <f t="shared" si="1269"/>
        <v>2826.0123390829167</v>
      </c>
      <c r="CL403" s="250">
        <f t="shared" si="1269"/>
        <v>2858.6565108198465</v>
      </c>
      <c r="CM403" s="250">
        <f t="shared" si="1269"/>
        <v>2889.5760495667969</v>
      </c>
      <c r="CN403" s="195"/>
      <c r="CO403" s="195"/>
      <c r="CP403" s="195"/>
      <c r="CQ403" s="195"/>
      <c r="CR403" s="195"/>
      <c r="CS403" s="202"/>
      <c r="CT403" s="202"/>
      <c r="CV403" s="276"/>
      <c r="CW403" s="287"/>
      <c r="CX403" s="287"/>
      <c r="CY403" s="287"/>
      <c r="CZ403" s="287"/>
      <c r="DA403" s="287"/>
      <c r="DB403" s="287"/>
      <c r="DC403" s="287"/>
      <c r="DD403" s="287"/>
      <c r="DE403" s="287"/>
      <c r="EK403" s="353"/>
      <c r="EL403" s="354"/>
    </row>
    <row r="404" spans="1:142" ht="15" customHeight="1">
      <c r="A404" s="173" t="s">
        <v>762</v>
      </c>
      <c r="B404" s="324"/>
      <c r="C404" s="287"/>
      <c r="D404" s="287"/>
      <c r="E404" s="287"/>
      <c r="F404" s="287"/>
      <c r="G404" s="324"/>
      <c r="H404" s="287"/>
      <c r="I404" s="287"/>
      <c r="J404" s="287"/>
      <c r="K404" s="287"/>
      <c r="L404" s="287"/>
      <c r="M404" s="287"/>
      <c r="N404" s="287"/>
      <c r="O404" s="287"/>
      <c r="P404" s="287"/>
      <c r="Q404" s="287"/>
      <c r="R404" s="287"/>
      <c r="S404" s="287"/>
      <c r="T404" s="287"/>
      <c r="U404" s="287"/>
      <c r="V404" s="287"/>
      <c r="W404" s="287"/>
      <c r="X404" s="287"/>
      <c r="Y404" s="287"/>
      <c r="Z404" s="287"/>
      <c r="AA404" s="287"/>
      <c r="AB404" s="287"/>
      <c r="AC404" s="287"/>
      <c r="AD404" s="287"/>
      <c r="AE404" s="287"/>
      <c r="AF404" s="287"/>
      <c r="AG404" s="287"/>
      <c r="AH404" s="287"/>
      <c r="AI404" s="287"/>
      <c r="AJ404" s="287"/>
      <c r="AK404" s="287"/>
      <c r="AL404" s="287"/>
      <c r="AM404" s="287"/>
      <c r="AN404" s="287"/>
      <c r="AO404" s="287"/>
      <c r="AP404" s="287"/>
      <c r="AQ404" s="287"/>
      <c r="AR404" s="287"/>
      <c r="AS404" s="287"/>
      <c r="AT404" s="287"/>
      <c r="AU404" s="287"/>
      <c r="AV404" s="287"/>
      <c r="AW404" s="287"/>
      <c r="AX404" s="287"/>
      <c r="AY404" s="287"/>
      <c r="AZ404" s="287"/>
      <c r="BA404" s="287"/>
      <c r="BB404" s="287"/>
      <c r="BC404" s="287"/>
      <c r="BD404" s="287"/>
      <c r="BE404" s="287"/>
      <c r="BF404" s="287"/>
      <c r="BG404" s="287"/>
      <c r="BH404" s="287"/>
      <c r="BI404" s="287"/>
      <c r="BJ404" s="287"/>
      <c r="BK404" s="287"/>
      <c r="BL404" s="287"/>
      <c r="BM404" s="287"/>
      <c r="BN404" s="287"/>
      <c r="BO404" s="287"/>
      <c r="BP404" s="360"/>
      <c r="BQ404" s="360"/>
      <c r="BR404" s="360"/>
      <c r="BS404" s="360"/>
      <c r="BT404" s="202"/>
      <c r="BU404" s="360"/>
      <c r="BV404" s="360"/>
      <c r="BW404" s="360"/>
      <c r="BX404" s="360"/>
      <c r="BY404" s="202"/>
      <c r="BZ404" s="360"/>
      <c r="CA404" s="360"/>
      <c r="CB404" s="360"/>
      <c r="CC404" s="360"/>
      <c r="CD404" s="202"/>
      <c r="CE404" s="250"/>
      <c r="CF404" s="250"/>
      <c r="CG404" s="250"/>
      <c r="CH404" s="250"/>
      <c r="CI404" s="250"/>
      <c r="CJ404" s="250"/>
      <c r="CK404" s="250"/>
      <c r="CL404" s="250"/>
      <c r="CM404" s="250"/>
      <c r="CN404" s="195"/>
      <c r="CO404" s="195"/>
      <c r="CP404" s="195"/>
      <c r="CQ404" s="195"/>
      <c r="CR404" s="195"/>
      <c r="CS404" s="202"/>
      <c r="CT404" s="202"/>
      <c r="CV404" s="276"/>
      <c r="CW404" s="287"/>
      <c r="CX404" s="287"/>
      <c r="CY404" s="287"/>
      <c r="CZ404" s="287"/>
      <c r="DA404" s="287"/>
      <c r="DB404" s="287"/>
      <c r="DC404" s="287"/>
      <c r="DD404" s="287"/>
      <c r="DE404" s="287"/>
      <c r="EK404" s="353"/>
      <c r="EL404" s="354"/>
    </row>
    <row r="405" spans="1:142" ht="15" customHeight="1">
      <c r="A405" s="173" t="s">
        <v>723</v>
      </c>
      <c r="B405" s="324"/>
      <c r="C405" s="287"/>
      <c r="D405" s="287"/>
      <c r="E405" s="287"/>
      <c r="F405" s="287"/>
      <c r="G405" s="324"/>
      <c r="H405" s="287"/>
      <c r="I405" s="287"/>
      <c r="J405" s="287"/>
      <c r="K405" s="287"/>
      <c r="L405" s="287"/>
      <c r="M405" s="287"/>
      <c r="N405" s="287"/>
      <c r="O405" s="287"/>
      <c r="P405" s="287"/>
      <c r="Q405" s="287"/>
      <c r="R405" s="287"/>
      <c r="S405" s="287"/>
      <c r="T405" s="287"/>
      <c r="U405" s="287"/>
      <c r="V405" s="287"/>
      <c r="W405" s="287"/>
      <c r="X405" s="287"/>
      <c r="Y405" s="287"/>
      <c r="Z405" s="287"/>
      <c r="AA405" s="287"/>
      <c r="AB405" s="287"/>
      <c r="AC405" s="287"/>
      <c r="AD405" s="287"/>
      <c r="AE405" s="287"/>
      <c r="AF405" s="287"/>
      <c r="AG405" s="287"/>
      <c r="AH405" s="287"/>
      <c r="AI405" s="287"/>
      <c r="AJ405" s="287"/>
      <c r="AK405" s="287"/>
      <c r="AL405" s="287"/>
      <c r="AM405" s="287"/>
      <c r="AN405" s="287"/>
      <c r="AO405" s="287"/>
      <c r="AP405" s="287"/>
      <c r="AQ405" s="287"/>
      <c r="AR405" s="287"/>
      <c r="AS405" s="287"/>
      <c r="AT405" s="287"/>
      <c r="AU405" s="287"/>
      <c r="AV405" s="287"/>
      <c r="AW405" s="287"/>
      <c r="AX405" s="287"/>
      <c r="AY405" s="287"/>
      <c r="AZ405" s="287"/>
      <c r="BA405" s="287"/>
      <c r="BB405" s="287"/>
      <c r="BC405" s="287"/>
      <c r="BD405" s="287"/>
      <c r="BE405" s="287"/>
      <c r="BF405" s="287"/>
      <c r="BG405" s="287"/>
      <c r="BH405" s="287"/>
      <c r="BI405" s="287"/>
      <c r="BJ405" s="287"/>
      <c r="BK405" s="287"/>
      <c r="BL405" s="287"/>
      <c r="BM405" s="287"/>
      <c r="BN405" s="287"/>
      <c r="BO405" s="287"/>
      <c r="BP405" s="360">
        <f>'[2]Profit and Loss Highlights'!AM$21</f>
        <v>165</v>
      </c>
      <c r="BQ405" s="360">
        <f>'[2]Profit and Loss Highlights'!AN$21</f>
        <v>175</v>
      </c>
      <c r="BR405" s="360">
        <f>'[2]Profit and Loss Highlights'!AO$21</f>
        <v>185</v>
      </c>
      <c r="BS405" s="360">
        <f>'[2]Profit and Loss Highlights'!AP$21</f>
        <v>196</v>
      </c>
      <c r="BT405" s="202">
        <f t="shared" si="1265"/>
        <v>721</v>
      </c>
      <c r="BU405" s="360">
        <f>'[2]Profit and Loss Highlights'!AQ$21</f>
        <v>200</v>
      </c>
      <c r="BV405" s="360">
        <f>'[2]Profit and Loss Highlights'!AR$21</f>
        <v>209</v>
      </c>
      <c r="BW405" s="360">
        <f>'[2]Profit and Loss Highlights'!AS$21</f>
        <v>215</v>
      </c>
      <c r="BX405" s="360">
        <f>'[2]Profit and Loss Highlights'!AT$21</f>
        <v>219</v>
      </c>
      <c r="BY405" s="202">
        <f t="shared" si="1266"/>
        <v>843</v>
      </c>
      <c r="BZ405" s="360">
        <f>'[2]Profit and Loss Highlights'!AU$21</f>
        <v>222</v>
      </c>
      <c r="CA405" s="360">
        <f>'[2]Profit and Loss Highlights'!AV$21</f>
        <v>229</v>
      </c>
      <c r="CB405" s="360">
        <f>'[2]Profit and Loss Highlights'!AW$21</f>
        <v>231</v>
      </c>
      <c r="CC405" s="360">
        <f>'[2]Profit and Loss Highlights'!AX$21</f>
        <v>243</v>
      </c>
      <c r="CD405" s="202">
        <f t="shared" si="1267"/>
        <v>925</v>
      </c>
      <c r="CE405" s="250">
        <f t="shared" ref="CE405:CM405" si="1270">CE406+CE407</f>
        <v>1023.9303345275772</v>
      </c>
      <c r="CF405" s="250">
        <f t="shared" si="1270"/>
        <v>1141.3184062374492</v>
      </c>
      <c r="CG405" s="250">
        <f t="shared" si="1270"/>
        <v>1256.1012041276826</v>
      </c>
      <c r="CH405" s="250">
        <f t="shared" si="1270"/>
        <v>1375.2962768383172</v>
      </c>
      <c r="CI405" s="250">
        <f t="shared" si="1270"/>
        <v>1493.8175932967367</v>
      </c>
      <c r="CJ405" s="250">
        <f t="shared" si="1270"/>
        <v>1611.7062691683584</v>
      </c>
      <c r="CK405" s="250">
        <f t="shared" si="1270"/>
        <v>1729.0166005655117</v>
      </c>
      <c r="CL405" s="250">
        <f t="shared" si="1270"/>
        <v>1845.8135369816328</v>
      </c>
      <c r="CM405" s="250">
        <f t="shared" si="1270"/>
        <v>1962.1705076687817</v>
      </c>
      <c r="CN405" s="195"/>
      <c r="CO405" s="195"/>
      <c r="CP405" s="195"/>
      <c r="CQ405" s="195"/>
      <c r="CR405" s="195"/>
      <c r="CS405" s="202"/>
      <c r="CT405" s="202"/>
      <c r="CV405" s="276"/>
      <c r="CW405" s="287"/>
      <c r="CX405" s="287"/>
      <c r="CY405" s="287"/>
      <c r="CZ405" s="287"/>
      <c r="DA405" s="287"/>
      <c r="DB405" s="287"/>
      <c r="DC405" s="287"/>
      <c r="DD405" s="287"/>
      <c r="DE405" s="287"/>
      <c r="EK405" s="353"/>
      <c r="EL405" s="354"/>
    </row>
    <row r="406" spans="1:142" ht="15" hidden="1" customHeight="1" outlineLevel="1">
      <c r="A406" s="174" t="s">
        <v>692</v>
      </c>
      <c r="B406" s="324"/>
      <c r="C406" s="287"/>
      <c r="D406" s="287"/>
      <c r="E406" s="287"/>
      <c r="F406" s="287"/>
      <c r="G406" s="324"/>
      <c r="H406" s="287"/>
      <c r="I406" s="287"/>
      <c r="J406" s="287"/>
      <c r="K406" s="287"/>
      <c r="L406" s="287"/>
      <c r="M406" s="287"/>
      <c r="N406" s="287"/>
      <c r="O406" s="287"/>
      <c r="P406" s="287"/>
      <c r="Q406" s="287"/>
      <c r="R406" s="287"/>
      <c r="S406" s="287"/>
      <c r="T406" s="287"/>
      <c r="U406" s="287"/>
      <c r="V406" s="287"/>
      <c r="W406" s="287"/>
      <c r="X406" s="287"/>
      <c r="Y406" s="287"/>
      <c r="Z406" s="287"/>
      <c r="AA406" s="287"/>
      <c r="AB406" s="287"/>
      <c r="AC406" s="287"/>
      <c r="AD406" s="287"/>
      <c r="AE406" s="287"/>
      <c r="AF406" s="287"/>
      <c r="AG406" s="287"/>
      <c r="AH406" s="287"/>
      <c r="AI406" s="287"/>
      <c r="AJ406" s="287"/>
      <c r="AK406" s="287"/>
      <c r="AL406" s="287"/>
      <c r="AM406" s="287"/>
      <c r="AN406" s="287"/>
      <c r="AO406" s="287"/>
      <c r="AP406" s="287"/>
      <c r="AQ406" s="287"/>
      <c r="AR406" s="287"/>
      <c r="AS406" s="287"/>
      <c r="AT406" s="287"/>
      <c r="AU406" s="287"/>
      <c r="AV406" s="287"/>
      <c r="AW406" s="287"/>
      <c r="AX406" s="287"/>
      <c r="AY406" s="287"/>
      <c r="AZ406" s="287"/>
      <c r="BA406" s="287"/>
      <c r="BB406" s="287"/>
      <c r="BC406" s="287"/>
      <c r="BD406" s="287"/>
      <c r="BE406" s="287"/>
      <c r="BF406" s="287"/>
      <c r="BG406" s="287"/>
      <c r="BH406" s="287"/>
      <c r="BI406" s="287"/>
      <c r="BJ406" s="287"/>
      <c r="BK406" s="287"/>
      <c r="BL406" s="287"/>
      <c r="BM406" s="287"/>
      <c r="BN406" s="287"/>
      <c r="BO406" s="287"/>
      <c r="BP406" s="360">
        <f>'[2]Profit and Loss Highlights'!AM$22</f>
        <v>134</v>
      </c>
      <c r="BQ406" s="360">
        <f>'[2]Profit and Loss Highlights'!AN$22</f>
        <v>141</v>
      </c>
      <c r="BR406" s="360">
        <f>'[2]Profit and Loss Highlights'!AO$22</f>
        <v>148</v>
      </c>
      <c r="BS406" s="360">
        <f>'[2]Profit and Loss Highlights'!AP$22</f>
        <v>157</v>
      </c>
      <c r="BT406" s="202">
        <f t="shared" si="1265"/>
        <v>580</v>
      </c>
      <c r="BU406" s="360">
        <f>'[2]Profit and Loss Highlights'!AQ$22</f>
        <v>163</v>
      </c>
      <c r="BV406" s="360">
        <f>'[2]Profit and Loss Highlights'!AR$22</f>
        <v>173</v>
      </c>
      <c r="BW406" s="360">
        <f>'[2]Profit and Loss Highlights'!AS$22</f>
        <v>180</v>
      </c>
      <c r="BX406" s="360">
        <f>'[2]Profit and Loss Highlights'!AT$22</f>
        <v>187</v>
      </c>
      <c r="BY406" s="202">
        <f t="shared" si="1266"/>
        <v>703</v>
      </c>
      <c r="BZ406" s="360">
        <f>'[2]Profit and Loss Highlights'!AU$22</f>
        <v>192</v>
      </c>
      <c r="CA406" s="360">
        <f>'[2]Profit and Loss Highlights'!AV$22</f>
        <v>201</v>
      </c>
      <c r="CB406" s="360">
        <f>'[2]Profit and Loss Highlights'!AW$22</f>
        <v>201</v>
      </c>
      <c r="CC406" s="360">
        <f>'[2]Profit and Loss Highlights'!AX$22</f>
        <v>215</v>
      </c>
      <c r="CD406" s="202">
        <f t="shared" si="1267"/>
        <v>809</v>
      </c>
      <c r="CE406" s="250">
        <f t="shared" ref="CE406:CM406" si="1271">CE271</f>
        <v>909.9303345275772</v>
      </c>
      <c r="CF406" s="250">
        <f t="shared" si="1271"/>
        <v>1027.3184062374492</v>
      </c>
      <c r="CG406" s="250">
        <f t="shared" si="1271"/>
        <v>1142.1012041276826</v>
      </c>
      <c r="CH406" s="250">
        <f t="shared" si="1271"/>
        <v>1261.2962768383172</v>
      </c>
      <c r="CI406" s="250">
        <f t="shared" si="1271"/>
        <v>1379.8175932967367</v>
      </c>
      <c r="CJ406" s="250">
        <f t="shared" si="1271"/>
        <v>1497.7062691683584</v>
      </c>
      <c r="CK406" s="250">
        <f t="shared" si="1271"/>
        <v>1615.0166005655117</v>
      </c>
      <c r="CL406" s="250">
        <f t="shared" si="1271"/>
        <v>1731.8135369816328</v>
      </c>
      <c r="CM406" s="250">
        <f t="shared" si="1271"/>
        <v>1848.1705076687817</v>
      </c>
      <c r="CN406" s="195"/>
      <c r="CO406" s="195"/>
      <c r="CP406" s="195"/>
      <c r="CQ406" s="195"/>
      <c r="CR406" s="195"/>
      <c r="CS406" s="202"/>
      <c r="CT406" s="202"/>
      <c r="CV406" s="276"/>
      <c r="CW406" s="287"/>
      <c r="CX406" s="287"/>
      <c r="CY406" s="287"/>
      <c r="CZ406" s="287"/>
      <c r="DA406" s="287"/>
      <c r="DB406" s="287"/>
      <c r="DC406" s="287"/>
      <c r="DD406" s="287"/>
      <c r="DE406" s="287"/>
      <c r="EK406" s="353"/>
      <c r="EL406" s="354"/>
    </row>
    <row r="407" spans="1:142" ht="15" hidden="1" customHeight="1" outlineLevel="1">
      <c r="A407" s="174" t="s">
        <v>724</v>
      </c>
      <c r="B407" s="324"/>
      <c r="C407" s="287"/>
      <c r="D407" s="287"/>
      <c r="E407" s="287"/>
      <c r="F407" s="287"/>
      <c r="G407" s="324"/>
      <c r="H407" s="287"/>
      <c r="I407" s="287"/>
      <c r="J407" s="287"/>
      <c r="K407" s="287"/>
      <c r="L407" s="287"/>
      <c r="M407" s="287"/>
      <c r="N407" s="287"/>
      <c r="O407" s="287"/>
      <c r="P407" s="287"/>
      <c r="Q407" s="287"/>
      <c r="R407" s="287"/>
      <c r="S407" s="287"/>
      <c r="T407" s="287"/>
      <c r="U407" s="287"/>
      <c r="V407" s="287"/>
      <c r="W407" s="287"/>
      <c r="X407" s="287"/>
      <c r="Y407" s="287"/>
      <c r="Z407" s="287"/>
      <c r="AA407" s="287"/>
      <c r="AB407" s="287"/>
      <c r="AC407" s="287"/>
      <c r="AD407" s="287"/>
      <c r="AE407" s="287"/>
      <c r="AF407" s="287"/>
      <c r="AG407" s="287"/>
      <c r="AH407" s="287"/>
      <c r="AI407" s="287"/>
      <c r="AJ407" s="287"/>
      <c r="AK407" s="287"/>
      <c r="AL407" s="287"/>
      <c r="AM407" s="287"/>
      <c r="AN407" s="287"/>
      <c r="AO407" s="287"/>
      <c r="AP407" s="287"/>
      <c r="AQ407" s="287"/>
      <c r="AR407" s="287"/>
      <c r="AS407" s="287"/>
      <c r="AT407" s="287"/>
      <c r="AU407" s="287"/>
      <c r="AV407" s="287"/>
      <c r="AW407" s="287"/>
      <c r="AX407" s="287"/>
      <c r="AY407" s="287"/>
      <c r="AZ407" s="287"/>
      <c r="BA407" s="287"/>
      <c r="BB407" s="287"/>
      <c r="BC407" s="287"/>
      <c r="BD407" s="287"/>
      <c r="BE407" s="287"/>
      <c r="BF407" s="287"/>
      <c r="BG407" s="287"/>
      <c r="BH407" s="287"/>
      <c r="BI407" s="287"/>
      <c r="BJ407" s="287"/>
      <c r="BK407" s="287"/>
      <c r="BL407" s="287"/>
      <c r="BM407" s="287"/>
      <c r="BN407" s="287"/>
      <c r="BO407" s="287"/>
      <c r="BP407" s="360">
        <f>'[2]Profit and Loss Highlights'!AM$23</f>
        <v>31</v>
      </c>
      <c r="BQ407" s="360">
        <f>'[2]Profit and Loss Highlights'!AN$23</f>
        <v>34</v>
      </c>
      <c r="BR407" s="360">
        <f>'[2]Profit and Loss Highlights'!AO$23</f>
        <v>37</v>
      </c>
      <c r="BS407" s="360">
        <f>'[2]Profit and Loss Highlights'!AP$23</f>
        <v>39</v>
      </c>
      <c r="BT407" s="202">
        <f t="shared" si="1265"/>
        <v>141</v>
      </c>
      <c r="BU407" s="360">
        <f>'[2]Profit and Loss Highlights'!AQ$23</f>
        <v>37</v>
      </c>
      <c r="BV407" s="360">
        <f>'[2]Profit and Loss Highlights'!AR$23</f>
        <v>36</v>
      </c>
      <c r="BW407" s="360">
        <f>'[2]Profit and Loss Highlights'!AS$23</f>
        <v>35</v>
      </c>
      <c r="BX407" s="360">
        <f>'[2]Profit and Loss Highlights'!AT$23</f>
        <v>32</v>
      </c>
      <c r="BY407" s="202">
        <f t="shared" si="1266"/>
        <v>140</v>
      </c>
      <c r="BZ407" s="360">
        <f>'[2]Profit and Loss Highlights'!AU$23</f>
        <v>30</v>
      </c>
      <c r="CA407" s="360">
        <f>'[2]Profit and Loss Highlights'!AV$23</f>
        <v>28</v>
      </c>
      <c r="CB407" s="360">
        <f>'[2]Profit and Loss Highlights'!AW$23</f>
        <v>28</v>
      </c>
      <c r="CC407" s="360">
        <f>'[2]Profit and Loss Highlights'!AX$23</f>
        <v>28</v>
      </c>
      <c r="CD407" s="202">
        <f t="shared" si="1267"/>
        <v>114</v>
      </c>
      <c r="CE407" s="543">
        <f>CD407</f>
        <v>114</v>
      </c>
      <c r="CF407" s="543">
        <f>CE407</f>
        <v>114</v>
      </c>
      <c r="CG407" s="543">
        <f t="shared" ref="CG407:CM407" si="1272">CF407</f>
        <v>114</v>
      </c>
      <c r="CH407" s="543">
        <f t="shared" si="1272"/>
        <v>114</v>
      </c>
      <c r="CI407" s="543">
        <f t="shared" si="1272"/>
        <v>114</v>
      </c>
      <c r="CJ407" s="543">
        <f t="shared" si="1272"/>
        <v>114</v>
      </c>
      <c r="CK407" s="543">
        <f t="shared" si="1272"/>
        <v>114</v>
      </c>
      <c r="CL407" s="543">
        <f t="shared" si="1272"/>
        <v>114</v>
      </c>
      <c r="CM407" s="543">
        <f t="shared" si="1272"/>
        <v>114</v>
      </c>
      <c r="CN407" s="195"/>
      <c r="CO407" s="195"/>
      <c r="CP407" s="195"/>
      <c r="CQ407" s="195"/>
      <c r="CR407" s="195"/>
      <c r="CS407" s="202"/>
      <c r="CT407" s="202"/>
      <c r="CV407" s="276"/>
      <c r="CW407" s="287"/>
      <c r="CX407" s="287"/>
      <c r="CY407" s="287"/>
      <c r="CZ407" s="287"/>
      <c r="DA407" s="287"/>
      <c r="DB407" s="287"/>
      <c r="DC407" s="287"/>
      <c r="DD407" s="287"/>
      <c r="DE407" s="287"/>
      <c r="EK407" s="353"/>
      <c r="EL407" s="354"/>
    </row>
    <row r="408" spans="1:142" ht="15" customHeight="1" collapsed="1">
      <c r="A408" s="175" t="s">
        <v>725</v>
      </c>
      <c r="B408" s="427"/>
      <c r="C408" s="428"/>
      <c r="D408" s="428"/>
      <c r="E408" s="428"/>
      <c r="F408" s="428"/>
      <c r="G408" s="427"/>
      <c r="H408" s="428"/>
      <c r="I408" s="428"/>
      <c r="J408" s="428"/>
      <c r="K408" s="428"/>
      <c r="L408" s="428"/>
      <c r="M408" s="428"/>
      <c r="N408" s="428"/>
      <c r="O408" s="428"/>
      <c r="P408" s="428"/>
      <c r="Q408" s="428"/>
      <c r="R408" s="428"/>
      <c r="S408" s="428"/>
      <c r="T408" s="428"/>
      <c r="U408" s="428"/>
      <c r="V408" s="428"/>
      <c r="W408" s="428"/>
      <c r="X408" s="428"/>
      <c r="Y408" s="428"/>
      <c r="Z408" s="428"/>
      <c r="AA408" s="428"/>
      <c r="AB408" s="428"/>
      <c r="AC408" s="428"/>
      <c r="AD408" s="428"/>
      <c r="AE408" s="428"/>
      <c r="AF408" s="428"/>
      <c r="AG408" s="428"/>
      <c r="AH408" s="428"/>
      <c r="AI408" s="428"/>
      <c r="AJ408" s="428"/>
      <c r="AK408" s="428"/>
      <c r="AL408" s="428"/>
      <c r="AM408" s="428"/>
      <c r="AN408" s="428"/>
      <c r="AO408" s="428"/>
      <c r="AP408" s="428"/>
      <c r="AQ408" s="428"/>
      <c r="AR408" s="428"/>
      <c r="AS408" s="428"/>
      <c r="AT408" s="428"/>
      <c r="AU408" s="428"/>
      <c r="AV408" s="428"/>
      <c r="AW408" s="428"/>
      <c r="AX408" s="428"/>
      <c r="AY408" s="428"/>
      <c r="AZ408" s="428"/>
      <c r="BA408" s="428"/>
      <c r="BB408" s="428"/>
      <c r="BC408" s="428"/>
      <c r="BD408" s="428"/>
      <c r="BE408" s="428"/>
      <c r="BF408" s="428"/>
      <c r="BG408" s="428"/>
      <c r="BH408" s="428"/>
      <c r="BI408" s="428"/>
      <c r="BJ408" s="428"/>
      <c r="BK408" s="428"/>
      <c r="BL408" s="428"/>
      <c r="BM408" s="428"/>
      <c r="BN408" s="428"/>
      <c r="BO408" s="428"/>
      <c r="BP408" s="429">
        <f>'[2]Profit and Loss Highlights'!AM$24</f>
        <v>1603</v>
      </c>
      <c r="BQ408" s="429">
        <f>'[2]Profit and Loss Highlights'!AN$24</f>
        <v>1626</v>
      </c>
      <c r="BR408" s="429">
        <f>'[2]Profit and Loss Highlights'!AO$24</f>
        <v>1653</v>
      </c>
      <c r="BS408" s="429">
        <f>'[2]Profit and Loss Highlights'!AP$24</f>
        <v>1617</v>
      </c>
      <c r="BT408" s="255">
        <f t="shared" si="1265"/>
        <v>6499</v>
      </c>
      <c r="BU408" s="429">
        <f>'[2]Profit and Loss Highlights'!AQ$24</f>
        <v>1642</v>
      </c>
      <c r="BV408" s="429">
        <f>'[2]Profit and Loss Highlights'!AR$24</f>
        <v>1698</v>
      </c>
      <c r="BW408" s="429">
        <f>'[2]Profit and Loss Highlights'!AS$24</f>
        <v>1721</v>
      </c>
      <c r="BX408" s="429">
        <f>'[2]Profit and Loss Highlights'!AT$24</f>
        <v>1750</v>
      </c>
      <c r="BY408" s="255">
        <f t="shared" si="1266"/>
        <v>6811</v>
      </c>
      <c r="BZ408" s="429">
        <f>'[2]Profit and Loss Highlights'!AU$24</f>
        <v>1747</v>
      </c>
      <c r="CA408" s="429">
        <f>'[2]Profit and Loss Highlights'!AV$24</f>
        <v>1751</v>
      </c>
      <c r="CB408" s="429">
        <f>'[2]Profit and Loss Highlights'!AW$24</f>
        <v>1765</v>
      </c>
      <c r="CC408" s="429">
        <f>'[2]Profit and Loss Highlights'!AX$24</f>
        <v>1801</v>
      </c>
      <c r="CD408" s="255">
        <f t="shared" si="1267"/>
        <v>7064</v>
      </c>
      <c r="CE408" s="267">
        <f>CE402+CE403+CE404+CE405</f>
        <v>7291.9896274259418</v>
      </c>
      <c r="CF408" s="267">
        <f t="shared" ref="CF408:CM408" si="1273">CF402+CF403+CF404+CF405</f>
        <v>7503.7152194545697</v>
      </c>
      <c r="CG408" s="267">
        <f t="shared" si="1273"/>
        <v>7708.2079472295582</v>
      </c>
      <c r="CH408" s="267">
        <f t="shared" si="1273"/>
        <v>7942.7389686586666</v>
      </c>
      <c r="CI408" s="267">
        <f t="shared" si="1273"/>
        <v>8204.4074771235519</v>
      </c>
      <c r="CJ408" s="267">
        <f t="shared" si="1273"/>
        <v>8461.6399057337239</v>
      </c>
      <c r="CK408" s="267">
        <f t="shared" si="1273"/>
        <v>8714.934034230906</v>
      </c>
      <c r="CL408" s="267">
        <f t="shared" si="1273"/>
        <v>8964.7601556367299</v>
      </c>
      <c r="CM408" s="267">
        <f t="shared" si="1273"/>
        <v>9211.5622996658676</v>
      </c>
      <c r="CN408" s="195"/>
      <c r="CO408" s="195"/>
      <c r="CP408" s="195"/>
      <c r="CQ408" s="195"/>
      <c r="CR408" s="195"/>
      <c r="CS408" s="202"/>
      <c r="CT408" s="202"/>
      <c r="CV408" s="276"/>
      <c r="CW408" s="287"/>
      <c r="CX408" s="287"/>
      <c r="CY408" s="287"/>
      <c r="CZ408" s="287"/>
      <c r="DA408" s="287"/>
      <c r="DB408" s="287"/>
      <c r="DC408" s="287"/>
      <c r="DD408" s="287"/>
      <c r="DE408" s="287"/>
      <c r="EK408" s="353"/>
      <c r="EL408" s="354"/>
    </row>
    <row r="409" spans="1:142">
      <c r="A409" s="346" t="s">
        <v>65</v>
      </c>
      <c r="B409" s="287"/>
      <c r="C409" s="287"/>
      <c r="D409" s="287"/>
      <c r="E409" s="287"/>
      <c r="F409" s="287"/>
      <c r="G409" s="287" t="e">
        <f t="shared" ref="G409" si="1274">G408/B408-1</f>
        <v>#DIV/0!</v>
      </c>
      <c r="H409" s="287" t="e">
        <f t="shared" ref="H409" si="1275">H408/C408-1</f>
        <v>#DIV/0!</v>
      </c>
      <c r="I409" s="287" t="e">
        <f t="shared" ref="I409" si="1276">I408/D408-1</f>
        <v>#DIV/0!</v>
      </c>
      <c r="J409" s="287" t="e">
        <f t="shared" ref="J409" si="1277">J408/E408-1</f>
        <v>#DIV/0!</v>
      </c>
      <c r="K409" s="287" t="e">
        <f t="shared" ref="K409" si="1278">K408/F408-1</f>
        <v>#DIV/0!</v>
      </c>
      <c r="L409" s="287" t="e">
        <f t="shared" ref="L409" si="1279">L408/G408-1</f>
        <v>#DIV/0!</v>
      </c>
      <c r="M409" s="287" t="e">
        <f t="shared" ref="M409" si="1280">M408/H408-1</f>
        <v>#DIV/0!</v>
      </c>
      <c r="N409" s="287" t="e">
        <f t="shared" ref="N409" si="1281">N408/I408-1</f>
        <v>#DIV/0!</v>
      </c>
      <c r="O409" s="287" t="e">
        <f t="shared" ref="O409" si="1282">O408/J408-1</f>
        <v>#DIV/0!</v>
      </c>
      <c r="P409" s="287" t="e">
        <f t="shared" ref="P409" si="1283">P408/K408-1</f>
        <v>#DIV/0!</v>
      </c>
      <c r="Q409" s="287" t="e">
        <f t="shared" ref="Q409" si="1284">Q408/L408-1</f>
        <v>#DIV/0!</v>
      </c>
      <c r="R409" s="287" t="e">
        <f t="shared" ref="R409" si="1285">R408/M408-1</f>
        <v>#DIV/0!</v>
      </c>
      <c r="S409" s="287" t="e">
        <f t="shared" ref="S409" si="1286">S408/N408-1</f>
        <v>#DIV/0!</v>
      </c>
      <c r="T409" s="287" t="e">
        <f t="shared" ref="T409" si="1287">T408/O408-1</f>
        <v>#DIV/0!</v>
      </c>
      <c r="U409" s="287" t="e">
        <f t="shared" ref="U409" si="1288">U408/P408-1</f>
        <v>#DIV/0!</v>
      </c>
      <c r="V409" s="287" t="e">
        <f t="shared" ref="V409" si="1289">V408/Q408-1</f>
        <v>#DIV/0!</v>
      </c>
      <c r="W409" s="287" t="e">
        <f t="shared" ref="W409" si="1290">W408/R408-1</f>
        <v>#DIV/0!</v>
      </c>
      <c r="X409" s="287" t="e">
        <f t="shared" ref="X409" si="1291">X408/S408-1</f>
        <v>#DIV/0!</v>
      </c>
      <c r="Y409" s="287" t="e">
        <f t="shared" ref="Y409" si="1292">Y408/T408-1</f>
        <v>#DIV/0!</v>
      </c>
      <c r="Z409" s="287" t="e">
        <f t="shared" ref="Z409" si="1293">Z408/U408-1</f>
        <v>#DIV/0!</v>
      </c>
      <c r="AA409" s="287" t="e">
        <f t="shared" ref="AA409" si="1294">AA408/V408-1</f>
        <v>#DIV/0!</v>
      </c>
      <c r="AB409" s="287" t="e">
        <f t="shared" ref="AB409" si="1295">AB408/W408-1</f>
        <v>#DIV/0!</v>
      </c>
      <c r="AC409" s="287" t="e">
        <f t="shared" ref="AC409" si="1296">AC408/X408-1</f>
        <v>#DIV/0!</v>
      </c>
      <c r="AD409" s="287" t="e">
        <f t="shared" ref="AD409" si="1297">AD408/Y408-1</f>
        <v>#DIV/0!</v>
      </c>
      <c r="AE409" s="287" t="e">
        <f t="shared" ref="AE409" si="1298">AE408/Z408-1</f>
        <v>#DIV/0!</v>
      </c>
      <c r="AF409" s="287" t="e">
        <f t="shared" ref="AF409" si="1299">AF408/AA408-1</f>
        <v>#DIV/0!</v>
      </c>
      <c r="AG409" s="287" t="e">
        <f t="shared" ref="AG409" si="1300">AG408/AB408-1</f>
        <v>#DIV/0!</v>
      </c>
      <c r="AH409" s="287" t="e">
        <f t="shared" ref="AH409" si="1301">AH408/AC408-1</f>
        <v>#DIV/0!</v>
      </c>
      <c r="AI409" s="287" t="e">
        <f t="shared" ref="AI409" si="1302">AI408/AD408-1</f>
        <v>#DIV/0!</v>
      </c>
      <c r="AJ409" s="287" t="e">
        <f t="shared" ref="AJ409" si="1303">AJ408/AE408-1</f>
        <v>#DIV/0!</v>
      </c>
      <c r="AK409" s="287" t="e">
        <f t="shared" ref="AK409" si="1304">AK408/AF408-1</f>
        <v>#DIV/0!</v>
      </c>
      <c r="AL409" s="287" t="e">
        <f t="shared" ref="AL409" si="1305">AL408/AG408-1</f>
        <v>#DIV/0!</v>
      </c>
      <c r="AM409" s="287" t="e">
        <f t="shared" ref="AM409" si="1306">AM408/AH408-1</f>
        <v>#DIV/0!</v>
      </c>
      <c r="AN409" s="287" t="e">
        <f t="shared" ref="AN409" si="1307">AN408/AI408-1</f>
        <v>#DIV/0!</v>
      </c>
      <c r="AO409" s="287" t="e">
        <f t="shared" ref="AO409" si="1308">AO408/AJ408-1</f>
        <v>#DIV/0!</v>
      </c>
      <c r="AP409" s="287" t="e">
        <f t="shared" ref="AP409" si="1309">AP408/AK408-1</f>
        <v>#DIV/0!</v>
      </c>
      <c r="AQ409" s="287" t="e">
        <f t="shared" ref="AQ409" si="1310">AQ408/AL408-1</f>
        <v>#DIV/0!</v>
      </c>
      <c r="AR409" s="287" t="e">
        <f t="shared" ref="AR409" si="1311">AR408/AM408-1</f>
        <v>#DIV/0!</v>
      </c>
      <c r="AS409" s="287" t="e">
        <f t="shared" ref="AS409" si="1312">AS408/AN408-1</f>
        <v>#DIV/0!</v>
      </c>
      <c r="AT409" s="287" t="e">
        <f t="shared" ref="AT409" si="1313">AT408/AO408-1</f>
        <v>#DIV/0!</v>
      </c>
      <c r="AU409" s="287" t="e">
        <f t="shared" ref="AU409" si="1314">AU408/AP408-1</f>
        <v>#DIV/0!</v>
      </c>
      <c r="AV409" s="287" t="e">
        <f t="shared" ref="AV409" si="1315">AV408/AQ408-1</f>
        <v>#DIV/0!</v>
      </c>
      <c r="AW409" s="287" t="e">
        <f t="shared" ref="AW409" si="1316">AW408/AR408-1</f>
        <v>#DIV/0!</v>
      </c>
      <c r="AX409" s="287" t="e">
        <f t="shared" ref="AX409" si="1317">AX408/AS408-1</f>
        <v>#DIV/0!</v>
      </c>
      <c r="AY409" s="287" t="e">
        <f t="shared" ref="AY409" si="1318">AY408/AT408-1</f>
        <v>#DIV/0!</v>
      </c>
      <c r="AZ409" s="287" t="e">
        <f t="shared" ref="AZ409" si="1319">AZ408/AU408-1</f>
        <v>#DIV/0!</v>
      </c>
      <c r="BA409" s="287" t="e">
        <f t="shared" ref="BA409" si="1320">BA408/AV408-1</f>
        <v>#DIV/0!</v>
      </c>
      <c r="BB409" s="287" t="e">
        <f t="shared" ref="BB409" si="1321">BB408/AW408-1</f>
        <v>#DIV/0!</v>
      </c>
      <c r="BC409" s="287" t="e">
        <f t="shared" ref="BC409" si="1322">BC408/AX408-1</f>
        <v>#DIV/0!</v>
      </c>
      <c r="BD409" s="287" t="e">
        <f t="shared" ref="BD409" si="1323">BD408/AY408-1</f>
        <v>#DIV/0!</v>
      </c>
      <c r="BE409" s="287" t="e">
        <f t="shared" ref="BE409" si="1324">BE408/AZ408-1</f>
        <v>#DIV/0!</v>
      </c>
      <c r="BF409" s="287" t="e">
        <f t="shared" ref="BF409" si="1325">BF408/BA408-1</f>
        <v>#DIV/0!</v>
      </c>
      <c r="BG409" s="287" t="e">
        <f t="shared" ref="BG409" si="1326">BG408/BB408-1</f>
        <v>#DIV/0!</v>
      </c>
      <c r="BH409" s="287" t="e">
        <f t="shared" ref="BH409" si="1327">BH408/BC408-1</f>
        <v>#DIV/0!</v>
      </c>
      <c r="BI409" s="287" t="e">
        <f t="shared" ref="BI409" si="1328">BI408/BD408-1</f>
        <v>#DIV/0!</v>
      </c>
      <c r="BJ409" s="287" t="e">
        <f t="shared" ref="BJ409" si="1329">BJ408/BE408-1</f>
        <v>#DIV/0!</v>
      </c>
      <c r="BK409" s="287" t="e">
        <f t="shared" ref="BK409" si="1330">BK408/BF408-1</f>
        <v>#DIV/0!</v>
      </c>
      <c r="BL409" s="287" t="e">
        <f t="shared" ref="BL409" si="1331">BL408/BG408-1</f>
        <v>#DIV/0!</v>
      </c>
      <c r="BM409" s="287" t="e">
        <f t="shared" ref="BM409" si="1332">BM408/BH408-1</f>
        <v>#DIV/0!</v>
      </c>
      <c r="BN409" s="287" t="e">
        <f t="shared" ref="BN409" si="1333">BN408/BI408-1</f>
        <v>#DIV/0!</v>
      </c>
      <c r="BO409" s="287" t="e">
        <f t="shared" ref="BO409" si="1334">BO408/BJ408-1</f>
        <v>#DIV/0!</v>
      </c>
      <c r="BP409" s="287" t="e">
        <f t="shared" ref="BP409" si="1335">BP408/BK408-1</f>
        <v>#DIV/0!</v>
      </c>
      <c r="BQ409" s="287" t="e">
        <f t="shared" ref="BQ409" si="1336">BQ408/BL408-1</f>
        <v>#DIV/0!</v>
      </c>
      <c r="BR409" s="287" t="e">
        <f t="shared" ref="BR409" si="1337">BR408/BM408-1</f>
        <v>#DIV/0!</v>
      </c>
      <c r="BS409" s="287" t="e">
        <f t="shared" ref="BS409" si="1338">BS408/BN408-1</f>
        <v>#DIV/0!</v>
      </c>
      <c r="BT409" s="287" t="e">
        <f t="shared" ref="BT409" si="1339">BT408/BO408-1</f>
        <v>#DIV/0!</v>
      </c>
      <c r="BU409" s="288">
        <f t="shared" ref="BU409" si="1340">BU408/BP408-1</f>
        <v>2.4329382407985101E-2</v>
      </c>
      <c r="BV409" s="288">
        <f t="shared" ref="BV409" si="1341">BV408/BQ408-1</f>
        <v>4.4280442804428111E-2</v>
      </c>
      <c r="BW409" s="288">
        <f t="shared" ref="BW409" si="1342">BW408/BR408-1</f>
        <v>4.1137326073805269E-2</v>
      </c>
      <c r="BX409" s="288">
        <f t="shared" ref="BX409" si="1343">BX408/BS408-1</f>
        <v>8.2251082251082241E-2</v>
      </c>
      <c r="BY409" s="287">
        <f t="shared" ref="BY409" si="1344">BY408/BT408-1</f>
        <v>4.8007385751654086E-2</v>
      </c>
      <c r="BZ409" s="288">
        <f t="shared" ref="BZ409" si="1345">BZ408/BU408-1</f>
        <v>6.3946406820950097E-2</v>
      </c>
      <c r="CA409" s="288">
        <f t="shared" ref="CA409" si="1346">CA408/BV408-1</f>
        <v>3.1213191990577149E-2</v>
      </c>
      <c r="CB409" s="288">
        <f t="shared" ref="CB409" si="1347">CB408/BW408-1</f>
        <v>2.5566531086577582E-2</v>
      </c>
      <c r="CC409" s="288">
        <f t="shared" ref="CC409" si="1348">CC408/BX408-1</f>
        <v>2.9142857142857137E-2</v>
      </c>
      <c r="CD409" s="287">
        <f t="shared" ref="CD409" si="1349">CD408/BY408-1</f>
        <v>3.7145793569226315E-2</v>
      </c>
      <c r="CE409" s="287">
        <f t="shared" ref="CE409" si="1350">CE408/CD408-1</f>
        <v>3.2274862319640718E-2</v>
      </c>
      <c r="CF409" s="287">
        <f t="shared" ref="CF409" si="1351">CF408/CE408-1</f>
        <v>2.9035366593543444E-2</v>
      </c>
      <c r="CG409" s="287">
        <f t="shared" ref="CG409" si="1352">CG408/CF408-1</f>
        <v>2.7252197317511273E-2</v>
      </c>
      <c r="CH409" s="287">
        <f t="shared" ref="CH409" si="1353">CH408/CG408-1</f>
        <v>3.0426140944135094E-2</v>
      </c>
      <c r="CI409" s="287">
        <f t="shared" ref="CI409" si="1354">CI408/CH408-1</f>
        <v>3.2944367112831774E-2</v>
      </c>
      <c r="CJ409" s="287">
        <f t="shared" ref="CJ409" si="1355">CJ408/CI408-1</f>
        <v>3.1352956240583651E-2</v>
      </c>
      <c r="CK409" s="287">
        <f t="shared" ref="CK409" si="1356">CK408/CJ408-1</f>
        <v>2.9934401761240848E-2</v>
      </c>
      <c r="CL409" s="287">
        <f t="shared" ref="CL409" si="1357">CL408/CK408-1</f>
        <v>2.8666438601204103E-2</v>
      </c>
      <c r="CM409" s="287">
        <f t="shared" ref="CM409" si="1358">CM408/CL408-1</f>
        <v>2.7530256219287397E-2</v>
      </c>
      <c r="CN409" s="195"/>
      <c r="CO409" s="195"/>
      <c r="CP409" s="195"/>
      <c r="CQ409" s="195"/>
      <c r="CR409" s="195"/>
      <c r="CS409" s="195"/>
      <c r="CT409" s="195"/>
      <c r="CV409" s="276" t="s">
        <v>65</v>
      </c>
      <c r="CW409" s="287">
        <v>9.1954022988505857E-2</v>
      </c>
      <c r="CX409" s="287">
        <v>0.16415204678362572</v>
      </c>
      <c r="CY409" s="287">
        <v>3.5665982739420565E-2</v>
      </c>
      <c r="CZ409" s="287">
        <v>7.0293932006036286E-2</v>
      </c>
      <c r="DA409" s="287">
        <v>6.0428378239079095E-2</v>
      </c>
      <c r="DB409" s="287">
        <v>5.5600070689618919E-2</v>
      </c>
      <c r="DC409" s="287" t="e">
        <f>DC408/DB408-1</f>
        <v>#DIV/0!</v>
      </c>
      <c r="DD409" s="287" t="e">
        <f>DD408/DC408-1</f>
        <v>#DIV/0!</v>
      </c>
      <c r="DE409" s="287" t="e">
        <f>DE408/DD408-1</f>
        <v>#DIV/0!</v>
      </c>
      <c r="EK409" s="353">
        <v>39958</v>
      </c>
      <c r="EL409" s="354">
        <v>0.99239999999999995</v>
      </c>
    </row>
    <row r="410" spans="1:142">
      <c r="A410" s="346"/>
      <c r="B410" s="287"/>
      <c r="C410" s="287"/>
      <c r="D410" s="287"/>
      <c r="E410" s="287"/>
      <c r="F410" s="287"/>
      <c r="G410" s="287"/>
      <c r="H410" s="287"/>
      <c r="I410" s="287"/>
      <c r="J410" s="287"/>
      <c r="K410" s="287"/>
      <c r="L410" s="287"/>
      <c r="M410" s="287"/>
      <c r="N410" s="287"/>
      <c r="O410" s="287"/>
      <c r="P410" s="287"/>
      <c r="Q410" s="287"/>
      <c r="R410" s="287"/>
      <c r="S410" s="287"/>
      <c r="T410" s="287"/>
      <c r="U410" s="287"/>
      <c r="V410" s="287"/>
      <c r="W410" s="287"/>
      <c r="X410" s="287"/>
      <c r="Y410" s="287"/>
      <c r="Z410" s="287"/>
      <c r="AA410" s="287"/>
      <c r="AB410" s="287"/>
      <c r="AC410" s="287"/>
      <c r="AD410" s="287"/>
      <c r="AE410" s="287"/>
      <c r="AF410" s="287"/>
      <c r="AG410" s="287"/>
      <c r="AH410" s="287"/>
      <c r="AI410" s="287"/>
      <c r="AJ410" s="287"/>
      <c r="AK410" s="287"/>
      <c r="AL410" s="287"/>
      <c r="AM410" s="287"/>
      <c r="AN410" s="287"/>
      <c r="AO410" s="287"/>
      <c r="AP410" s="287"/>
      <c r="AQ410" s="287"/>
      <c r="AR410" s="287"/>
      <c r="AS410" s="287"/>
      <c r="AT410" s="287"/>
      <c r="AU410" s="287"/>
      <c r="AV410" s="287"/>
      <c r="AW410" s="287"/>
      <c r="AX410" s="287"/>
      <c r="AY410" s="287"/>
      <c r="AZ410" s="287"/>
      <c r="BA410" s="287"/>
      <c r="BB410" s="287"/>
      <c r="BC410" s="287"/>
      <c r="BD410" s="287"/>
      <c r="BE410" s="287"/>
      <c r="BF410" s="287"/>
      <c r="BG410" s="287"/>
      <c r="BH410" s="287"/>
      <c r="BI410" s="287"/>
      <c r="BJ410" s="287"/>
      <c r="BK410" s="287"/>
      <c r="BL410" s="287"/>
      <c r="BM410" s="287"/>
      <c r="BN410" s="287"/>
      <c r="BO410" s="287"/>
      <c r="BP410" s="287"/>
      <c r="BQ410" s="287"/>
      <c r="BR410" s="287"/>
      <c r="BS410" s="287"/>
      <c r="BT410" s="287"/>
      <c r="BU410" s="288"/>
      <c r="BV410" s="288"/>
      <c r="BW410" s="288"/>
      <c r="BX410" s="288"/>
      <c r="BY410" s="287"/>
      <c r="BZ410" s="288"/>
      <c r="CA410" s="288"/>
      <c r="CB410" s="288"/>
      <c r="CC410" s="288"/>
      <c r="CD410" s="287"/>
      <c r="CE410" s="287"/>
      <c r="CF410" s="287"/>
      <c r="CG410" s="287"/>
      <c r="CH410" s="287"/>
      <c r="CI410" s="287"/>
      <c r="CJ410" s="287"/>
      <c r="CK410" s="287"/>
      <c r="CL410" s="287"/>
      <c r="CM410" s="287"/>
      <c r="CN410" s="195"/>
      <c r="CO410" s="195"/>
      <c r="CP410" s="195"/>
      <c r="CQ410" s="195"/>
      <c r="CR410" s="195"/>
      <c r="CS410" s="195"/>
      <c r="CT410" s="195"/>
      <c r="CV410" s="276"/>
      <c r="CW410" s="287"/>
      <c r="CX410" s="287"/>
      <c r="CY410" s="287"/>
      <c r="CZ410" s="287"/>
      <c r="DA410" s="287"/>
      <c r="DB410" s="287"/>
      <c r="DC410" s="287"/>
      <c r="DD410" s="287"/>
      <c r="DE410" s="287"/>
      <c r="EK410" s="353"/>
      <c r="EL410" s="354"/>
    </row>
    <row r="411" spans="1:142" ht="15" customHeight="1">
      <c r="A411" s="173" t="s">
        <v>726</v>
      </c>
      <c r="B411" s="324"/>
      <c r="C411" s="287"/>
      <c r="D411" s="287"/>
      <c r="E411" s="287"/>
      <c r="F411" s="287"/>
      <c r="G411" s="324"/>
      <c r="H411" s="287"/>
      <c r="I411" s="287"/>
      <c r="J411" s="287"/>
      <c r="K411" s="287"/>
      <c r="L411" s="287"/>
      <c r="M411" s="287"/>
      <c r="N411" s="287"/>
      <c r="O411" s="287"/>
      <c r="P411" s="287"/>
      <c r="Q411" s="287"/>
      <c r="R411" s="287"/>
      <c r="S411" s="287"/>
      <c r="T411" s="287"/>
      <c r="U411" s="287"/>
      <c r="V411" s="287"/>
      <c r="W411" s="287"/>
      <c r="X411" s="287"/>
      <c r="Y411" s="287"/>
      <c r="Z411" s="287"/>
      <c r="AA411" s="287"/>
      <c r="AB411" s="287"/>
      <c r="AC411" s="287"/>
      <c r="AD411" s="287"/>
      <c r="AE411" s="287"/>
      <c r="AF411" s="287"/>
      <c r="AG411" s="287"/>
      <c r="AH411" s="287"/>
      <c r="AI411" s="287"/>
      <c r="AJ411" s="287"/>
      <c r="AK411" s="287"/>
      <c r="AL411" s="287"/>
      <c r="AM411" s="287"/>
      <c r="AN411" s="287"/>
      <c r="AO411" s="287"/>
      <c r="AP411" s="287"/>
      <c r="AQ411" s="287"/>
      <c r="AR411" s="287"/>
      <c r="AS411" s="287"/>
      <c r="AT411" s="287"/>
      <c r="AU411" s="287"/>
      <c r="AV411" s="287"/>
      <c r="AW411" s="287"/>
      <c r="AX411" s="287"/>
      <c r="AY411" s="287"/>
      <c r="AZ411" s="287"/>
      <c r="BA411" s="287"/>
      <c r="BB411" s="287"/>
      <c r="BC411" s="287"/>
      <c r="BD411" s="287"/>
      <c r="BE411" s="287"/>
      <c r="BF411" s="287"/>
      <c r="BG411" s="287"/>
      <c r="BH411" s="287"/>
      <c r="BI411" s="287"/>
      <c r="BJ411" s="287"/>
      <c r="BK411" s="287"/>
      <c r="BL411" s="287"/>
      <c r="BM411" s="287"/>
      <c r="BN411" s="287"/>
      <c r="BO411" s="287"/>
      <c r="BP411" s="360">
        <f>'[2]Profit and Loss Highlights'!AM$26</f>
        <v>180</v>
      </c>
      <c r="BQ411" s="360">
        <f>'[2]Profit and Loss Highlights'!AN$26</f>
        <v>185</v>
      </c>
      <c r="BR411" s="360">
        <f>'[2]Profit and Loss Highlights'!AO$26</f>
        <v>186</v>
      </c>
      <c r="BS411" s="360">
        <f>'[2]Profit and Loss Highlights'!AP$26</f>
        <v>189</v>
      </c>
      <c r="BT411" s="202">
        <f>SUM(BP411:BS411)</f>
        <v>740</v>
      </c>
      <c r="BU411" s="360">
        <f>'[2]Profit and Loss Highlights'!AQ$26</f>
        <v>185</v>
      </c>
      <c r="BV411" s="360">
        <f>'[2]Profit and Loss Highlights'!AR$26</f>
        <v>185</v>
      </c>
      <c r="BW411" s="360">
        <f>'[2]Profit and Loss Highlights'!AS$26</f>
        <v>199</v>
      </c>
      <c r="BX411" s="360">
        <f>'[2]Profit and Loss Highlights'!AT$26</f>
        <v>207</v>
      </c>
      <c r="BY411" s="202">
        <f>SUM(BU411:BX411)</f>
        <v>776</v>
      </c>
      <c r="BZ411" s="360">
        <f>'[2]Profit and Loss Highlights'!AU$26</f>
        <v>200</v>
      </c>
      <c r="CA411" s="360">
        <f>'[2]Profit and Loss Highlights'!AV$26</f>
        <v>201</v>
      </c>
      <c r="CB411" s="360">
        <f>'[2]Profit and Loss Highlights'!AW$26</f>
        <v>200</v>
      </c>
      <c r="CC411" s="360">
        <f>'[2]Profit and Loss Highlights'!AX$26</f>
        <v>205</v>
      </c>
      <c r="CD411" s="202">
        <f>SUM(BZ411:CC411)</f>
        <v>806</v>
      </c>
      <c r="CE411" s="250"/>
      <c r="CF411" s="250"/>
      <c r="CG411" s="250"/>
      <c r="CH411" s="250"/>
      <c r="CI411" s="250"/>
      <c r="CJ411" s="250"/>
      <c r="CK411" s="250"/>
      <c r="CL411" s="250"/>
      <c r="CM411" s="250"/>
      <c r="CN411" s="195"/>
      <c r="CO411" s="195"/>
      <c r="CP411" s="195"/>
      <c r="CQ411" s="195"/>
      <c r="CR411" s="195"/>
      <c r="CS411" s="202"/>
      <c r="CT411" s="202"/>
      <c r="CV411" s="276"/>
      <c r="CW411" s="287"/>
      <c r="CX411" s="287"/>
      <c r="CY411" s="287"/>
      <c r="CZ411" s="287"/>
      <c r="DA411" s="287"/>
      <c r="DB411" s="287"/>
      <c r="DC411" s="287"/>
      <c r="DD411" s="287"/>
      <c r="DE411" s="287"/>
      <c r="EK411" s="353"/>
      <c r="EL411" s="354"/>
    </row>
    <row r="412" spans="1:142" ht="15" customHeight="1">
      <c r="A412" s="173" t="s">
        <v>712</v>
      </c>
      <c r="B412" s="324"/>
      <c r="C412" s="287"/>
      <c r="D412" s="287"/>
      <c r="E412" s="287"/>
      <c r="F412" s="287"/>
      <c r="G412" s="324"/>
      <c r="H412" s="287"/>
      <c r="I412" s="287"/>
      <c r="J412" s="287"/>
      <c r="K412" s="287"/>
      <c r="L412" s="287"/>
      <c r="M412" s="287"/>
      <c r="N412" s="287"/>
      <c r="O412" s="287"/>
      <c r="P412" s="287"/>
      <c r="Q412" s="287"/>
      <c r="R412" s="287"/>
      <c r="S412" s="287"/>
      <c r="T412" s="287"/>
      <c r="U412" s="287"/>
      <c r="V412" s="287"/>
      <c r="W412" s="287"/>
      <c r="X412" s="287"/>
      <c r="Y412" s="287"/>
      <c r="Z412" s="287"/>
      <c r="AA412" s="287"/>
      <c r="AB412" s="287"/>
      <c r="AC412" s="287"/>
      <c r="AD412" s="287"/>
      <c r="AE412" s="287"/>
      <c r="AF412" s="287"/>
      <c r="AG412" s="287"/>
      <c r="AH412" s="287"/>
      <c r="AI412" s="287"/>
      <c r="AJ412" s="287"/>
      <c r="AK412" s="287"/>
      <c r="AL412" s="287"/>
      <c r="AM412" s="287"/>
      <c r="AN412" s="287"/>
      <c r="AO412" s="287"/>
      <c r="AP412" s="287"/>
      <c r="AQ412" s="287"/>
      <c r="AR412" s="287"/>
      <c r="AS412" s="287"/>
      <c r="AT412" s="287"/>
      <c r="AU412" s="287"/>
      <c r="AV412" s="287"/>
      <c r="AW412" s="287"/>
      <c r="AX412" s="287"/>
      <c r="AY412" s="287"/>
      <c r="AZ412" s="287"/>
      <c r="BA412" s="287"/>
      <c r="BB412" s="287"/>
      <c r="BC412" s="287"/>
      <c r="BD412" s="287"/>
      <c r="BE412" s="287"/>
      <c r="BF412" s="287"/>
      <c r="BG412" s="287"/>
      <c r="BH412" s="287"/>
      <c r="BI412" s="287"/>
      <c r="BJ412" s="287"/>
      <c r="BK412" s="287"/>
      <c r="BL412" s="287"/>
      <c r="BM412" s="287"/>
      <c r="BN412" s="287"/>
      <c r="BO412" s="287"/>
      <c r="BP412" s="360">
        <f>'[2]Profit and Loss Highlights'!AM$27</f>
        <v>188</v>
      </c>
      <c r="BQ412" s="360">
        <f>'[2]Profit and Loss Highlights'!AN$27</f>
        <v>186</v>
      </c>
      <c r="BR412" s="360">
        <f>'[2]Profit and Loss Highlights'!AO$27</f>
        <v>194</v>
      </c>
      <c r="BS412" s="360">
        <f>'[2]Profit and Loss Highlights'!AP$27</f>
        <v>210</v>
      </c>
      <c r="BT412" s="202">
        <f>SUM(BP412:BS412)</f>
        <v>778</v>
      </c>
      <c r="BU412" s="360">
        <f>'[2]Profit and Loss Highlights'!AQ$27</f>
        <v>203</v>
      </c>
      <c r="BV412" s="360">
        <f>'[2]Profit and Loss Highlights'!AR$27</f>
        <v>201</v>
      </c>
      <c r="BW412" s="360">
        <f>'[2]Profit and Loss Highlights'!AS$27</f>
        <v>188</v>
      </c>
      <c r="BX412" s="360">
        <f>'[2]Profit and Loss Highlights'!AT$27</f>
        <v>157</v>
      </c>
      <c r="BY412" s="202">
        <f>SUM(BU412:BX412)</f>
        <v>749</v>
      </c>
      <c r="BZ412" s="360">
        <f>'[2]Profit and Loss Highlights'!AU$27</f>
        <v>165</v>
      </c>
      <c r="CA412" s="360">
        <f>'[2]Profit and Loss Highlights'!AV$27</f>
        <v>161</v>
      </c>
      <c r="CB412" s="360">
        <f>'[2]Profit and Loss Highlights'!AW$27</f>
        <v>180</v>
      </c>
      <c r="CC412" s="360">
        <f>'[2]Profit and Loss Highlights'!AX$27</f>
        <v>196</v>
      </c>
      <c r="CD412" s="202">
        <f>SUM(BZ412:CC412)</f>
        <v>702</v>
      </c>
      <c r="CE412" s="250"/>
      <c r="CF412" s="250"/>
      <c r="CG412" s="250"/>
      <c r="CH412" s="250"/>
      <c r="CI412" s="250"/>
      <c r="CJ412" s="250"/>
      <c r="CK412" s="250"/>
      <c r="CL412" s="250"/>
      <c r="CM412" s="250"/>
      <c r="CN412" s="195"/>
      <c r="CO412" s="195"/>
      <c r="CP412" s="195"/>
      <c r="CQ412" s="195"/>
      <c r="CR412" s="195"/>
      <c r="CS412" s="202"/>
      <c r="CT412" s="202"/>
      <c r="CV412" s="276"/>
      <c r="CW412" s="287"/>
      <c r="CX412" s="287"/>
      <c r="CY412" s="287"/>
      <c r="CZ412" s="287"/>
      <c r="DA412" s="287"/>
      <c r="DB412" s="287"/>
      <c r="DC412" s="287"/>
      <c r="DD412" s="287"/>
      <c r="DE412" s="287"/>
      <c r="EK412" s="353"/>
      <c r="EL412" s="354"/>
    </row>
    <row r="413" spans="1:142" ht="15" customHeight="1">
      <c r="A413" s="175" t="s">
        <v>727</v>
      </c>
      <c r="B413" s="427"/>
      <c r="C413" s="428"/>
      <c r="D413" s="428"/>
      <c r="E413" s="428"/>
      <c r="F413" s="428"/>
      <c r="G413" s="427"/>
      <c r="H413" s="428"/>
      <c r="I413" s="428"/>
      <c r="J413" s="428"/>
      <c r="K413" s="428"/>
      <c r="L413" s="428"/>
      <c r="M413" s="428"/>
      <c r="N413" s="428"/>
      <c r="O413" s="428"/>
      <c r="P413" s="428"/>
      <c r="Q413" s="428"/>
      <c r="R413" s="428"/>
      <c r="S413" s="428"/>
      <c r="T413" s="428"/>
      <c r="U413" s="428"/>
      <c r="V413" s="428"/>
      <c r="W413" s="428"/>
      <c r="X413" s="428"/>
      <c r="Y413" s="428"/>
      <c r="Z413" s="428"/>
      <c r="AA413" s="428"/>
      <c r="AB413" s="428"/>
      <c r="AC413" s="428"/>
      <c r="AD413" s="428"/>
      <c r="AE413" s="428"/>
      <c r="AF413" s="428"/>
      <c r="AG413" s="428"/>
      <c r="AH413" s="428"/>
      <c r="AI413" s="428"/>
      <c r="AJ413" s="428"/>
      <c r="AK413" s="428"/>
      <c r="AL413" s="428"/>
      <c r="AM413" s="428"/>
      <c r="AN413" s="428"/>
      <c r="AO413" s="428"/>
      <c r="AP413" s="428"/>
      <c r="AQ413" s="428"/>
      <c r="AR413" s="428"/>
      <c r="AS413" s="428"/>
      <c r="AT413" s="428"/>
      <c r="AU413" s="428"/>
      <c r="AV413" s="428"/>
      <c r="AW413" s="428"/>
      <c r="AX413" s="428"/>
      <c r="AY413" s="428"/>
      <c r="AZ413" s="428"/>
      <c r="BA413" s="428"/>
      <c r="BB413" s="428"/>
      <c r="BC413" s="428"/>
      <c r="BD413" s="428"/>
      <c r="BE413" s="428"/>
      <c r="BF413" s="428"/>
      <c r="BG413" s="428"/>
      <c r="BH413" s="428"/>
      <c r="BI413" s="428"/>
      <c r="BJ413" s="428"/>
      <c r="BK413" s="428"/>
      <c r="BL413" s="428"/>
      <c r="BM413" s="428"/>
      <c r="BN413" s="428"/>
      <c r="BO413" s="428"/>
      <c r="BP413" s="429">
        <f>'[2]Profit and Loss Highlights'!AM$28</f>
        <v>368</v>
      </c>
      <c r="BQ413" s="429">
        <f>'[2]Profit and Loss Highlights'!AN$28</f>
        <v>371</v>
      </c>
      <c r="BR413" s="429">
        <f>'[2]Profit and Loss Highlights'!AO$28</f>
        <v>380</v>
      </c>
      <c r="BS413" s="429">
        <f>'[2]Profit and Loss Highlights'!AP$28</f>
        <v>399</v>
      </c>
      <c r="BT413" s="255">
        <f>SUM(BP413:BS413)</f>
        <v>1518</v>
      </c>
      <c r="BU413" s="429">
        <f>'[2]Profit and Loss Highlights'!AQ$28</f>
        <v>388</v>
      </c>
      <c r="BV413" s="429">
        <f>'[2]Profit and Loss Highlights'!AR$28</f>
        <v>386</v>
      </c>
      <c r="BW413" s="429">
        <f>'[2]Profit and Loss Highlights'!AS$28</f>
        <v>387</v>
      </c>
      <c r="BX413" s="429">
        <f>'[2]Profit and Loss Highlights'!AT$28</f>
        <v>364</v>
      </c>
      <c r="BY413" s="255">
        <f>SUM(BU413:BX413)</f>
        <v>1525</v>
      </c>
      <c r="BZ413" s="429">
        <f>'[2]Profit and Loss Highlights'!AU$28</f>
        <v>365</v>
      </c>
      <c r="CA413" s="429">
        <f>'[2]Profit and Loss Highlights'!AV$28</f>
        <v>362</v>
      </c>
      <c r="CB413" s="429">
        <f>'[2]Profit and Loss Highlights'!AW$28</f>
        <v>380</v>
      </c>
      <c r="CC413" s="429">
        <f>'[2]Profit and Loss Highlights'!AX$28</f>
        <v>401</v>
      </c>
      <c r="CD413" s="255">
        <f>SUM(BZ413:CC413)</f>
        <v>1508</v>
      </c>
      <c r="CE413" s="267">
        <f t="shared" ref="CE413:CM413" si="1359">CE274</f>
        <v>1583.4</v>
      </c>
      <c r="CF413" s="267">
        <f t="shared" si="1359"/>
        <v>1662.5700000000002</v>
      </c>
      <c r="CG413" s="267">
        <f t="shared" si="1359"/>
        <v>1745.6985000000002</v>
      </c>
      <c r="CH413" s="267">
        <f t="shared" si="1359"/>
        <v>1832.9834250000004</v>
      </c>
      <c r="CI413" s="267">
        <f t="shared" si="1359"/>
        <v>1924.6325962500005</v>
      </c>
      <c r="CJ413" s="267">
        <f t="shared" si="1359"/>
        <v>2020.8642260625006</v>
      </c>
      <c r="CK413" s="267">
        <f t="shared" si="1359"/>
        <v>2121.9074373656258</v>
      </c>
      <c r="CL413" s="267">
        <f t="shared" si="1359"/>
        <v>2228.0028092339071</v>
      </c>
      <c r="CM413" s="267">
        <f t="shared" si="1359"/>
        <v>2339.4029496956027</v>
      </c>
      <c r="CN413" s="195"/>
      <c r="CO413" s="195" t="s">
        <v>761</v>
      </c>
      <c r="CP413" s="195"/>
      <c r="CQ413" s="195"/>
      <c r="CR413" s="195"/>
      <c r="CS413" s="202"/>
      <c r="CT413" s="202"/>
      <c r="CV413" s="276"/>
      <c r="CW413" s="287"/>
      <c r="CX413" s="287"/>
      <c r="CY413" s="287"/>
      <c r="CZ413" s="287"/>
      <c r="DA413" s="287"/>
      <c r="DB413" s="287"/>
      <c r="DC413" s="287"/>
      <c r="DD413" s="287"/>
      <c r="DE413" s="287"/>
      <c r="EK413" s="353"/>
      <c r="EL413" s="354"/>
    </row>
    <row r="414" spans="1:142">
      <c r="A414" s="346" t="s">
        <v>65</v>
      </c>
      <c r="B414" s="287"/>
      <c r="C414" s="287"/>
      <c r="D414" s="287"/>
      <c r="E414" s="287"/>
      <c r="F414" s="287"/>
      <c r="G414" s="287" t="e">
        <f t="shared" ref="G414" si="1360">G413/B413-1</f>
        <v>#DIV/0!</v>
      </c>
      <c r="H414" s="287" t="e">
        <f t="shared" ref="H414" si="1361">H413/C413-1</f>
        <v>#DIV/0!</v>
      </c>
      <c r="I414" s="287" t="e">
        <f t="shared" ref="I414" si="1362">I413/D413-1</f>
        <v>#DIV/0!</v>
      </c>
      <c r="J414" s="287" t="e">
        <f t="shared" ref="J414" si="1363">J413/E413-1</f>
        <v>#DIV/0!</v>
      </c>
      <c r="K414" s="287" t="e">
        <f t="shared" ref="K414" si="1364">K413/F413-1</f>
        <v>#DIV/0!</v>
      </c>
      <c r="L414" s="287" t="e">
        <f t="shared" ref="L414" si="1365">L413/G413-1</f>
        <v>#DIV/0!</v>
      </c>
      <c r="M414" s="287" t="e">
        <f t="shared" ref="M414" si="1366">M413/H413-1</f>
        <v>#DIV/0!</v>
      </c>
      <c r="N414" s="287" t="e">
        <f t="shared" ref="N414" si="1367">N413/I413-1</f>
        <v>#DIV/0!</v>
      </c>
      <c r="O414" s="287" t="e">
        <f t="shared" ref="O414" si="1368">O413/J413-1</f>
        <v>#DIV/0!</v>
      </c>
      <c r="P414" s="287" t="e">
        <f t="shared" ref="P414" si="1369">P413/K413-1</f>
        <v>#DIV/0!</v>
      </c>
      <c r="Q414" s="287" t="e">
        <f t="shared" ref="Q414" si="1370">Q413/L413-1</f>
        <v>#DIV/0!</v>
      </c>
      <c r="R414" s="287" t="e">
        <f t="shared" ref="R414" si="1371">R413/M413-1</f>
        <v>#DIV/0!</v>
      </c>
      <c r="S414" s="287" t="e">
        <f t="shared" ref="S414" si="1372">S413/N413-1</f>
        <v>#DIV/0!</v>
      </c>
      <c r="T414" s="287" t="e">
        <f t="shared" ref="T414" si="1373">T413/O413-1</f>
        <v>#DIV/0!</v>
      </c>
      <c r="U414" s="287" t="e">
        <f t="shared" ref="U414" si="1374">U413/P413-1</f>
        <v>#DIV/0!</v>
      </c>
      <c r="V414" s="287" t="e">
        <f t="shared" ref="V414" si="1375">V413/Q413-1</f>
        <v>#DIV/0!</v>
      </c>
      <c r="W414" s="287" t="e">
        <f t="shared" ref="W414" si="1376">W413/R413-1</f>
        <v>#DIV/0!</v>
      </c>
      <c r="X414" s="287" t="e">
        <f t="shared" ref="X414" si="1377">X413/S413-1</f>
        <v>#DIV/0!</v>
      </c>
      <c r="Y414" s="287" t="e">
        <f t="shared" ref="Y414" si="1378">Y413/T413-1</f>
        <v>#DIV/0!</v>
      </c>
      <c r="Z414" s="287" t="e">
        <f t="shared" ref="Z414" si="1379">Z413/U413-1</f>
        <v>#DIV/0!</v>
      </c>
      <c r="AA414" s="287" t="e">
        <f t="shared" ref="AA414" si="1380">AA413/V413-1</f>
        <v>#DIV/0!</v>
      </c>
      <c r="AB414" s="287" t="e">
        <f t="shared" ref="AB414" si="1381">AB413/W413-1</f>
        <v>#DIV/0!</v>
      </c>
      <c r="AC414" s="287" t="e">
        <f t="shared" ref="AC414" si="1382">AC413/X413-1</f>
        <v>#DIV/0!</v>
      </c>
      <c r="AD414" s="287" t="e">
        <f t="shared" ref="AD414" si="1383">AD413/Y413-1</f>
        <v>#DIV/0!</v>
      </c>
      <c r="AE414" s="287" t="e">
        <f t="shared" ref="AE414" si="1384">AE413/Z413-1</f>
        <v>#DIV/0!</v>
      </c>
      <c r="AF414" s="287" t="e">
        <f t="shared" ref="AF414" si="1385">AF413/AA413-1</f>
        <v>#DIV/0!</v>
      </c>
      <c r="AG414" s="287" t="e">
        <f t="shared" ref="AG414" si="1386">AG413/AB413-1</f>
        <v>#DIV/0!</v>
      </c>
      <c r="AH414" s="287" t="e">
        <f t="shared" ref="AH414" si="1387">AH413/AC413-1</f>
        <v>#DIV/0!</v>
      </c>
      <c r="AI414" s="287" t="e">
        <f t="shared" ref="AI414" si="1388">AI413/AD413-1</f>
        <v>#DIV/0!</v>
      </c>
      <c r="AJ414" s="287" t="e">
        <f t="shared" ref="AJ414" si="1389">AJ413/AE413-1</f>
        <v>#DIV/0!</v>
      </c>
      <c r="AK414" s="287" t="e">
        <f t="shared" ref="AK414" si="1390">AK413/AF413-1</f>
        <v>#DIV/0!</v>
      </c>
      <c r="AL414" s="287" t="e">
        <f t="shared" ref="AL414" si="1391">AL413/AG413-1</f>
        <v>#DIV/0!</v>
      </c>
      <c r="AM414" s="287" t="e">
        <f t="shared" ref="AM414" si="1392">AM413/AH413-1</f>
        <v>#DIV/0!</v>
      </c>
      <c r="AN414" s="287" t="e">
        <f t="shared" ref="AN414" si="1393">AN413/AI413-1</f>
        <v>#DIV/0!</v>
      </c>
      <c r="AO414" s="287" t="e">
        <f t="shared" ref="AO414" si="1394">AO413/AJ413-1</f>
        <v>#DIV/0!</v>
      </c>
      <c r="AP414" s="287" t="e">
        <f t="shared" ref="AP414" si="1395">AP413/AK413-1</f>
        <v>#DIV/0!</v>
      </c>
      <c r="AQ414" s="287" t="e">
        <f t="shared" ref="AQ414" si="1396">AQ413/AL413-1</f>
        <v>#DIV/0!</v>
      </c>
      <c r="AR414" s="287" t="e">
        <f t="shared" ref="AR414" si="1397">AR413/AM413-1</f>
        <v>#DIV/0!</v>
      </c>
      <c r="AS414" s="287" t="e">
        <f t="shared" ref="AS414" si="1398">AS413/AN413-1</f>
        <v>#DIV/0!</v>
      </c>
      <c r="AT414" s="287" t="e">
        <f t="shared" ref="AT414" si="1399">AT413/AO413-1</f>
        <v>#DIV/0!</v>
      </c>
      <c r="AU414" s="287" t="e">
        <f t="shared" ref="AU414" si="1400">AU413/AP413-1</f>
        <v>#DIV/0!</v>
      </c>
      <c r="AV414" s="287" t="e">
        <f t="shared" ref="AV414" si="1401">AV413/AQ413-1</f>
        <v>#DIV/0!</v>
      </c>
      <c r="AW414" s="287" t="e">
        <f t="shared" ref="AW414" si="1402">AW413/AR413-1</f>
        <v>#DIV/0!</v>
      </c>
      <c r="AX414" s="287" t="e">
        <f t="shared" ref="AX414" si="1403">AX413/AS413-1</f>
        <v>#DIV/0!</v>
      </c>
      <c r="AY414" s="287" t="e">
        <f t="shared" ref="AY414" si="1404">AY413/AT413-1</f>
        <v>#DIV/0!</v>
      </c>
      <c r="AZ414" s="287" t="e">
        <f t="shared" ref="AZ414" si="1405">AZ413/AU413-1</f>
        <v>#DIV/0!</v>
      </c>
      <c r="BA414" s="287" t="e">
        <f t="shared" ref="BA414" si="1406">BA413/AV413-1</f>
        <v>#DIV/0!</v>
      </c>
      <c r="BB414" s="287" t="e">
        <f t="shared" ref="BB414" si="1407">BB413/AW413-1</f>
        <v>#DIV/0!</v>
      </c>
      <c r="BC414" s="287" t="e">
        <f t="shared" ref="BC414" si="1408">BC413/AX413-1</f>
        <v>#DIV/0!</v>
      </c>
      <c r="BD414" s="287" t="e">
        <f t="shared" ref="BD414" si="1409">BD413/AY413-1</f>
        <v>#DIV/0!</v>
      </c>
      <c r="BE414" s="287" t="e">
        <f t="shared" ref="BE414" si="1410">BE413/AZ413-1</f>
        <v>#DIV/0!</v>
      </c>
      <c r="BF414" s="287" t="e">
        <f t="shared" ref="BF414" si="1411">BF413/BA413-1</f>
        <v>#DIV/0!</v>
      </c>
      <c r="BG414" s="287" t="e">
        <f t="shared" ref="BG414" si="1412">BG413/BB413-1</f>
        <v>#DIV/0!</v>
      </c>
      <c r="BH414" s="287" t="e">
        <f t="shared" ref="BH414" si="1413">BH413/BC413-1</f>
        <v>#DIV/0!</v>
      </c>
      <c r="BI414" s="287" t="e">
        <f t="shared" ref="BI414" si="1414">BI413/BD413-1</f>
        <v>#DIV/0!</v>
      </c>
      <c r="BJ414" s="287" t="e">
        <f t="shared" ref="BJ414" si="1415">BJ413/BE413-1</f>
        <v>#DIV/0!</v>
      </c>
      <c r="BK414" s="287" t="e">
        <f t="shared" ref="BK414" si="1416">BK413/BF413-1</f>
        <v>#DIV/0!</v>
      </c>
      <c r="BL414" s="287" t="e">
        <f t="shared" ref="BL414" si="1417">BL413/BG413-1</f>
        <v>#DIV/0!</v>
      </c>
      <c r="BM414" s="287" t="e">
        <f t="shared" ref="BM414" si="1418">BM413/BH413-1</f>
        <v>#DIV/0!</v>
      </c>
      <c r="BN414" s="287" t="e">
        <f t="shared" ref="BN414" si="1419">BN413/BI413-1</f>
        <v>#DIV/0!</v>
      </c>
      <c r="BO414" s="287" t="e">
        <f t="shared" ref="BO414" si="1420">BO413/BJ413-1</f>
        <v>#DIV/0!</v>
      </c>
      <c r="BP414" s="287" t="e">
        <f t="shared" ref="BP414" si="1421">BP413/BK413-1</f>
        <v>#DIV/0!</v>
      </c>
      <c r="BQ414" s="287" t="e">
        <f t="shared" ref="BQ414" si="1422">BQ413/BL413-1</f>
        <v>#DIV/0!</v>
      </c>
      <c r="BR414" s="287" t="e">
        <f t="shared" ref="BR414" si="1423">BR413/BM413-1</f>
        <v>#DIV/0!</v>
      </c>
      <c r="BS414" s="287" t="e">
        <f t="shared" ref="BS414" si="1424">BS413/BN413-1</f>
        <v>#DIV/0!</v>
      </c>
      <c r="BT414" s="287" t="e">
        <f t="shared" ref="BT414" si="1425">BT413/BO413-1</f>
        <v>#DIV/0!</v>
      </c>
      <c r="BU414" s="288">
        <f t="shared" ref="BU414" si="1426">BU413/BP413-1</f>
        <v>5.4347826086956541E-2</v>
      </c>
      <c r="BV414" s="288">
        <f t="shared" ref="BV414" si="1427">BV413/BQ413-1</f>
        <v>4.0431266846361114E-2</v>
      </c>
      <c r="BW414" s="288">
        <f t="shared" ref="BW414" si="1428">BW413/BR413-1</f>
        <v>1.8421052631578894E-2</v>
      </c>
      <c r="BX414" s="288">
        <f t="shared" ref="BX414" si="1429">BX413/BS413-1</f>
        <v>-8.7719298245614086E-2</v>
      </c>
      <c r="BY414" s="287">
        <f t="shared" ref="BY414" si="1430">BY413/BT413-1</f>
        <v>4.6113306982871194E-3</v>
      </c>
      <c r="BZ414" s="288">
        <f t="shared" ref="BZ414" si="1431">BZ413/BU413-1</f>
        <v>-5.9278350515463929E-2</v>
      </c>
      <c r="CA414" s="288">
        <f t="shared" ref="CA414" si="1432">CA413/BV413-1</f>
        <v>-6.2176165803108807E-2</v>
      </c>
      <c r="CB414" s="288">
        <f t="shared" ref="CB414" si="1433">CB413/BW413-1</f>
        <v>-1.8087855297157618E-2</v>
      </c>
      <c r="CC414" s="288">
        <f t="shared" ref="CC414" si="1434">CC413/BX413-1</f>
        <v>0.10164835164835173</v>
      </c>
      <c r="CD414" s="287">
        <f t="shared" ref="CD414" si="1435">CD413/BY413-1</f>
        <v>-1.1147540983606596E-2</v>
      </c>
      <c r="CE414" s="287">
        <f t="shared" ref="CE414" si="1436">CE413/CD413-1</f>
        <v>5.0000000000000044E-2</v>
      </c>
      <c r="CF414" s="287">
        <f t="shared" ref="CF414" si="1437">CF413/CE413-1</f>
        <v>5.0000000000000044E-2</v>
      </c>
      <c r="CG414" s="287">
        <f t="shared" ref="CG414" si="1438">CG413/CF413-1</f>
        <v>5.0000000000000044E-2</v>
      </c>
      <c r="CH414" s="287">
        <f t="shared" ref="CH414" si="1439">CH413/CG413-1</f>
        <v>5.0000000000000044E-2</v>
      </c>
      <c r="CI414" s="287">
        <f t="shared" ref="CI414" si="1440">CI413/CH413-1</f>
        <v>5.0000000000000044E-2</v>
      </c>
      <c r="CJ414" s="287">
        <f t="shared" ref="CJ414" si="1441">CJ413/CI413-1</f>
        <v>5.0000000000000044E-2</v>
      </c>
      <c r="CK414" s="287">
        <f t="shared" ref="CK414" si="1442">CK413/CJ413-1</f>
        <v>5.0000000000000044E-2</v>
      </c>
      <c r="CL414" s="287">
        <f t="shared" ref="CL414" si="1443">CL413/CK413-1</f>
        <v>5.0000000000000044E-2</v>
      </c>
      <c r="CM414" s="287">
        <f t="shared" ref="CM414" si="1444">CM413/CL413-1</f>
        <v>5.0000000000000044E-2</v>
      </c>
      <c r="CN414" s="195"/>
      <c r="CO414" s="195"/>
      <c r="CP414" s="195"/>
      <c r="CQ414" s="195"/>
      <c r="CR414" s="195"/>
      <c r="CS414" s="195"/>
      <c r="CT414" s="195"/>
      <c r="CV414" s="276" t="s">
        <v>65</v>
      </c>
      <c r="CW414" s="287">
        <v>9.1954022988505857E-2</v>
      </c>
      <c r="CX414" s="287">
        <v>0.16415204678362572</v>
      </c>
      <c r="CY414" s="287">
        <v>3.5665982739420565E-2</v>
      </c>
      <c r="CZ414" s="287">
        <v>7.0293932006036286E-2</v>
      </c>
      <c r="DA414" s="287">
        <v>6.0428378239079095E-2</v>
      </c>
      <c r="DB414" s="287">
        <v>5.5600070689618919E-2</v>
      </c>
      <c r="DC414" s="287" t="e">
        <f>DC413/DB413-1</f>
        <v>#DIV/0!</v>
      </c>
      <c r="DD414" s="287" t="e">
        <f>DD413/DC413-1</f>
        <v>#DIV/0!</v>
      </c>
      <c r="DE414" s="287" t="e">
        <f>DE413/DD413-1</f>
        <v>#DIV/0!</v>
      </c>
      <c r="EK414" s="353">
        <v>39958</v>
      </c>
      <c r="EL414" s="354">
        <v>0.99239999999999995</v>
      </c>
    </row>
    <row r="415" spans="1:142" ht="15" customHeight="1">
      <c r="A415" s="276"/>
      <c r="B415" s="324"/>
      <c r="C415" s="287"/>
      <c r="D415" s="287"/>
      <c r="E415" s="287"/>
      <c r="F415" s="287"/>
      <c r="G415" s="324"/>
      <c r="H415" s="287"/>
      <c r="I415" s="287"/>
      <c r="J415" s="287"/>
      <c r="K415" s="287"/>
      <c r="L415" s="287"/>
      <c r="M415" s="287"/>
      <c r="N415" s="287"/>
      <c r="O415" s="287"/>
      <c r="P415" s="287"/>
      <c r="Q415" s="287"/>
      <c r="R415" s="287"/>
      <c r="S415" s="287"/>
      <c r="T415" s="287"/>
      <c r="U415" s="287"/>
      <c r="V415" s="287"/>
      <c r="W415" s="287"/>
      <c r="X415" s="287"/>
      <c r="Y415" s="287"/>
      <c r="Z415" s="287"/>
      <c r="AA415" s="287"/>
      <c r="AB415" s="287"/>
      <c r="AC415" s="287"/>
      <c r="AD415" s="287"/>
      <c r="AE415" s="287"/>
      <c r="AF415" s="287"/>
      <c r="AG415" s="287"/>
      <c r="AH415" s="287"/>
      <c r="AI415" s="287"/>
      <c r="AJ415" s="287"/>
      <c r="AK415" s="287"/>
      <c r="AL415" s="287"/>
      <c r="AM415" s="287"/>
      <c r="AN415" s="287"/>
      <c r="AO415" s="287"/>
      <c r="AP415" s="287"/>
      <c r="AQ415" s="287"/>
      <c r="AR415" s="287"/>
      <c r="AS415" s="287"/>
      <c r="AT415" s="287"/>
      <c r="AU415" s="287"/>
      <c r="AV415" s="287"/>
      <c r="AW415" s="287"/>
      <c r="AX415" s="287"/>
      <c r="AY415" s="287"/>
      <c r="AZ415" s="287"/>
      <c r="BA415" s="287"/>
      <c r="BB415" s="287"/>
      <c r="BC415" s="287"/>
      <c r="BD415" s="287"/>
      <c r="BE415" s="287"/>
      <c r="BF415" s="287"/>
      <c r="BG415" s="287"/>
      <c r="BH415" s="287"/>
      <c r="BI415" s="287"/>
      <c r="BJ415" s="287"/>
      <c r="BK415" s="287"/>
      <c r="BL415" s="287"/>
      <c r="BM415" s="287"/>
      <c r="BN415" s="287"/>
      <c r="BO415" s="287"/>
      <c r="BP415" s="287"/>
      <c r="BQ415" s="287"/>
      <c r="BR415" s="287"/>
      <c r="BS415" s="287"/>
      <c r="BT415" s="287"/>
      <c r="BU415" s="288"/>
      <c r="BV415" s="288"/>
      <c r="BW415" s="288"/>
      <c r="BX415" s="288"/>
      <c r="BY415" s="287"/>
      <c r="BZ415" s="288"/>
      <c r="CA415" s="288"/>
      <c r="CB415" s="288"/>
      <c r="CC415" s="288"/>
      <c r="CD415" s="287"/>
      <c r="CE415" s="204"/>
      <c r="CF415" s="204"/>
      <c r="CG415" s="204"/>
      <c r="CH415" s="204"/>
      <c r="CI415" s="204"/>
      <c r="CJ415" s="204"/>
      <c r="CK415" s="204"/>
      <c r="CL415" s="204"/>
      <c r="CM415" s="204"/>
      <c r="CN415" s="195"/>
      <c r="CO415" s="195"/>
      <c r="CP415" s="195"/>
      <c r="CQ415" s="195"/>
      <c r="CR415" s="195"/>
      <c r="CS415" s="202"/>
      <c r="CT415" s="202"/>
      <c r="CV415" s="276"/>
      <c r="CW415" s="287"/>
      <c r="CX415" s="287"/>
      <c r="CY415" s="287"/>
      <c r="CZ415" s="287"/>
      <c r="DA415" s="287"/>
      <c r="DB415" s="287"/>
      <c r="DC415" s="287"/>
      <c r="DD415" s="287"/>
      <c r="DE415" s="287"/>
      <c r="EK415" s="353"/>
      <c r="EL415" s="354"/>
    </row>
    <row r="416" spans="1:142">
      <c r="A416" s="349" t="s">
        <v>460</v>
      </c>
      <c r="B416" s="430"/>
      <c r="C416" s="430"/>
      <c r="D416" s="430"/>
      <c r="E416" s="430"/>
      <c r="F416" s="430"/>
      <c r="G416" s="430"/>
      <c r="H416" s="430"/>
      <c r="I416" s="430"/>
      <c r="J416" s="430"/>
      <c r="K416" s="430"/>
      <c r="L416" s="430"/>
      <c r="M416" s="430"/>
      <c r="N416" s="430"/>
      <c r="O416" s="430"/>
      <c r="P416" s="430"/>
      <c r="Q416" s="430"/>
      <c r="R416" s="430"/>
      <c r="S416" s="430"/>
      <c r="T416" s="430"/>
      <c r="U416" s="430"/>
      <c r="V416" s="430"/>
      <c r="W416" s="429">
        <f>'[2]Profit and Loss Highlights'!C$30</f>
        <v>2089</v>
      </c>
      <c r="X416" s="429">
        <f>'[2]Profit and Loss Highlights'!D$30</f>
        <v>2144</v>
      </c>
      <c r="Y416" s="429">
        <f>'[2]Profit and Loss Highlights'!E$30</f>
        <v>2128</v>
      </c>
      <c r="Z416" s="429">
        <f>'[2]Profit and Loss Highlights'!F$30</f>
        <v>2177</v>
      </c>
      <c r="AA416" s="255">
        <f>SUM(W416:Z416)</f>
        <v>8538</v>
      </c>
      <c r="AB416" s="429">
        <f>'[2]Profit and Loss Highlights'!G$30</f>
        <v>2143</v>
      </c>
      <c r="AC416" s="429">
        <f>'[2]Profit and Loss Highlights'!$C29</f>
        <v>0</v>
      </c>
      <c r="AD416" s="429">
        <f>'[2]Profit and Loss Highlights'!$C29</f>
        <v>0</v>
      </c>
      <c r="AE416" s="429">
        <f>'[2]Profit and Loss Highlights'!$C29</f>
        <v>0</v>
      </c>
      <c r="AF416" s="255">
        <f>SUM(AB416:AE416)</f>
        <v>2143</v>
      </c>
      <c r="AG416" s="429">
        <f>'[2]Profit and Loss Highlights'!K$30</f>
        <v>2037</v>
      </c>
      <c r="AH416" s="429">
        <f>'[2]Profit and Loss Highlights'!L$30</f>
        <v>2046</v>
      </c>
      <c r="AI416" s="429">
        <f>'[2]Profit and Loss Highlights'!M$30</f>
        <v>2041</v>
      </c>
      <c r="AJ416" s="429">
        <f>'[2]Profit and Loss Highlights'!N$30</f>
        <v>2090</v>
      </c>
      <c r="AK416" s="255">
        <f>SUM(AG416:AJ416)</f>
        <v>8214</v>
      </c>
      <c r="AL416" s="429">
        <f>'[2]Profit and Loss Highlights'!O$30</f>
        <v>2122</v>
      </c>
      <c r="AM416" s="429">
        <f>'[2]Profit and Loss Highlights'!P$30</f>
        <v>2089</v>
      </c>
      <c r="AN416" s="429">
        <f>'[2]Profit and Loss Highlights'!Q$30</f>
        <v>2154</v>
      </c>
      <c r="AO416" s="429">
        <f>'[2]Profit and Loss Highlights'!R$30</f>
        <v>2155</v>
      </c>
      <c r="AP416" s="255">
        <f>SUM(AL416:AO416)</f>
        <v>8520</v>
      </c>
      <c r="AQ416" s="429">
        <f>'[2]Profit and Loss Highlights'!S$30</f>
        <v>2122</v>
      </c>
      <c r="AR416" s="429">
        <f>'[2]Profit and Loss Highlights'!T$30</f>
        <v>2055</v>
      </c>
      <c r="AS416" s="429">
        <f>'[2]Profit and Loss Highlights'!U$30</f>
        <v>2113</v>
      </c>
      <c r="AT416" s="429">
        <f>'[2]Profit and Loss Highlights'!V$30</f>
        <v>2165</v>
      </c>
      <c r="AU416" s="255">
        <f>SUM(AQ416:AT416)</f>
        <v>8455</v>
      </c>
      <c r="AV416" s="429">
        <f>'[2]Profit and Loss Highlights'!W$30</f>
        <v>2076</v>
      </c>
      <c r="AW416" s="429">
        <f>'[2]Profit and Loss Highlights'!X$30</f>
        <v>2069</v>
      </c>
      <c r="AX416" s="429">
        <f>'[2]Profit and Loss Highlights'!Y$30</f>
        <v>2090</v>
      </c>
      <c r="AY416" s="429">
        <f>'[2]Profit and Loss Highlights'!Z$30</f>
        <v>2036</v>
      </c>
      <c r="AZ416" s="255">
        <f>SUM(AV416:AY416)</f>
        <v>8271</v>
      </c>
      <c r="BA416" s="429">
        <f>'[2]Profit and Loss Highlights'!AA$30</f>
        <v>1980</v>
      </c>
      <c r="BB416" s="429">
        <f>'[2]Profit and Loss Highlights'!AB$30</f>
        <v>2013</v>
      </c>
      <c r="BC416" s="429">
        <f>'[2]Profit and Loss Highlights'!AC$30</f>
        <v>2027</v>
      </c>
      <c r="BD416" s="429">
        <f>'[2]Profit and Loss Highlights'!AD$30</f>
        <v>2048</v>
      </c>
      <c r="BE416" s="255">
        <f>SUM(BA416:BD416)</f>
        <v>8068</v>
      </c>
      <c r="BF416" s="429">
        <f>'[2]Profit and Loss Highlights'!AE$30</f>
        <v>1947</v>
      </c>
      <c r="BG416" s="429">
        <f>'[2]Profit and Loss Highlights'!AF$30</f>
        <v>1918</v>
      </c>
      <c r="BH416" s="429">
        <f>'[2]Profit and Loss Highlights'!AG$30</f>
        <v>1940</v>
      </c>
      <c r="BI416" s="429">
        <f>'[2]Profit and Loss Highlights'!AH$30</f>
        <v>1992</v>
      </c>
      <c r="BJ416" s="255">
        <f>SUM(BF416:BI416)</f>
        <v>7797</v>
      </c>
      <c r="BK416" s="429">
        <f>'[2]Profit and Loss Highlights'!AI$30</f>
        <v>1940</v>
      </c>
      <c r="BL416" s="429">
        <f>'[2]Profit and Loss Highlights'!AJ$30</f>
        <v>1900</v>
      </c>
      <c r="BM416" s="429">
        <f>'[2]Profit and Loss Highlights'!AK$30</f>
        <v>1940</v>
      </c>
      <c r="BN416" s="429">
        <f>'[2]Profit and Loss Highlights'!AL$30</f>
        <v>1945</v>
      </c>
      <c r="BO416" s="255">
        <f>SUM(BK416:BN416)</f>
        <v>7725</v>
      </c>
      <c r="BP416" s="429">
        <f>'[2]Profit and Loss Highlights'!AM$30</f>
        <v>1971</v>
      </c>
      <c r="BQ416" s="429">
        <f>'[2]Profit and Loss Highlights'!AN$30</f>
        <v>1997</v>
      </c>
      <c r="BR416" s="429">
        <f>'[2]Profit and Loss Highlights'!AO$30</f>
        <v>2033</v>
      </c>
      <c r="BS416" s="429">
        <f>'[2]Profit and Loss Highlights'!AP$30</f>
        <v>2016</v>
      </c>
      <c r="BT416" s="255">
        <f>SUM(BP416:BS416)</f>
        <v>8017</v>
      </c>
      <c r="BU416" s="429">
        <f>'[2]Profit and Loss Highlights'!AQ$30</f>
        <v>2030</v>
      </c>
      <c r="BV416" s="429">
        <f>'[2]Profit and Loss Highlights'!AR$30</f>
        <v>2084</v>
      </c>
      <c r="BW416" s="429">
        <f>'[2]Profit and Loss Highlights'!AS$30</f>
        <v>2108</v>
      </c>
      <c r="BX416" s="429">
        <f>'[2]Profit and Loss Highlights'!AT$30</f>
        <v>2114</v>
      </c>
      <c r="BY416" s="255">
        <f>SUM(BU416:BX416)</f>
        <v>8336</v>
      </c>
      <c r="BZ416" s="429">
        <f>'[2]Profit and Loss Highlights'!AU$30</f>
        <v>2112</v>
      </c>
      <c r="CA416" s="429">
        <f>'[2]Profit and Loss Highlights'!AV$30</f>
        <v>2113</v>
      </c>
      <c r="CB416" s="429">
        <f>'[2]Profit and Loss Highlights'!AW$30</f>
        <v>2145</v>
      </c>
      <c r="CC416" s="429">
        <f>'[2]Profit and Loss Highlights'!AX$30</f>
        <v>2202</v>
      </c>
      <c r="CD416" s="255">
        <f>SUM(BZ416:CC416)</f>
        <v>8572</v>
      </c>
      <c r="CE416" s="267">
        <f t="shared" ref="CE416:CI416" si="1445">CE408+CE413</f>
        <v>8875.3896274259423</v>
      </c>
      <c r="CF416" s="267">
        <f t="shared" si="1445"/>
        <v>9166.2852194545703</v>
      </c>
      <c r="CG416" s="267">
        <f t="shared" si="1445"/>
        <v>9453.9064472295577</v>
      </c>
      <c r="CH416" s="267">
        <f t="shared" si="1445"/>
        <v>9775.722393658667</v>
      </c>
      <c r="CI416" s="267">
        <f t="shared" si="1445"/>
        <v>10129.040073373551</v>
      </c>
      <c r="CJ416" s="267">
        <f t="shared" ref="CJ416:CL416" si="1446">CJ408+CJ413</f>
        <v>10482.504131796224</v>
      </c>
      <c r="CK416" s="267">
        <f t="shared" si="1446"/>
        <v>10836.841471596532</v>
      </c>
      <c r="CL416" s="267">
        <f t="shared" si="1446"/>
        <v>11192.762964870637</v>
      </c>
      <c r="CM416" s="267">
        <f t="shared" ref="CM416" si="1447">CM408+CM413</f>
        <v>11550.96524936147</v>
      </c>
      <c r="CN416" s="195"/>
      <c r="CO416" s="195"/>
      <c r="CP416" s="195"/>
      <c r="CQ416" s="195"/>
      <c r="CR416" s="195"/>
      <c r="CS416" s="195"/>
      <c r="CT416" s="195"/>
      <c r="CV416" s="276"/>
      <c r="CW416" s="287"/>
      <c r="CX416" s="287"/>
      <c r="CY416" s="287"/>
      <c r="CZ416" s="287"/>
      <c r="DA416" s="287"/>
      <c r="DB416" s="287"/>
      <c r="DC416" s="287"/>
      <c r="DD416" s="287"/>
      <c r="DE416" s="287"/>
      <c r="EK416" s="353"/>
      <c r="EL416" s="354"/>
    </row>
    <row r="417" spans="1:142">
      <c r="A417" s="346" t="s">
        <v>65</v>
      </c>
      <c r="B417" s="431"/>
      <c r="C417" s="431"/>
      <c r="D417" s="431"/>
      <c r="E417" s="431"/>
      <c r="F417" s="431"/>
      <c r="G417" s="431"/>
      <c r="H417" s="431"/>
      <c r="I417" s="431"/>
      <c r="J417" s="431"/>
      <c r="K417" s="431"/>
      <c r="L417" s="431"/>
      <c r="M417" s="431"/>
      <c r="N417" s="431"/>
      <c r="O417" s="431"/>
      <c r="P417" s="431"/>
      <c r="Q417" s="431"/>
      <c r="R417" s="431"/>
      <c r="S417" s="431"/>
      <c r="T417" s="431"/>
      <c r="U417" s="431"/>
      <c r="V417" s="431"/>
      <c r="W417" s="431"/>
      <c r="X417" s="431"/>
      <c r="Y417" s="431"/>
      <c r="Z417" s="431"/>
      <c r="AA417" s="431"/>
      <c r="AB417" s="431"/>
      <c r="AC417" s="431"/>
      <c r="AD417" s="431"/>
      <c r="AE417" s="431"/>
      <c r="AF417" s="431"/>
      <c r="AG417" s="431"/>
      <c r="AH417" s="431"/>
      <c r="AI417" s="431"/>
      <c r="AJ417" s="431"/>
      <c r="AK417" s="431"/>
      <c r="AL417" s="431"/>
      <c r="AM417" s="431"/>
      <c r="AN417" s="431"/>
      <c r="AO417" s="431"/>
      <c r="AP417" s="431"/>
      <c r="AQ417" s="431"/>
      <c r="AR417" s="431"/>
      <c r="AS417" s="431"/>
      <c r="AT417" s="431"/>
      <c r="AU417" s="431"/>
      <c r="AV417" s="431"/>
      <c r="AW417" s="431"/>
      <c r="AX417" s="431"/>
      <c r="AY417" s="431"/>
      <c r="AZ417" s="431"/>
      <c r="BA417" s="196"/>
      <c r="BB417" s="196"/>
      <c r="BC417" s="196"/>
      <c r="BD417" s="196"/>
      <c r="BE417" s="431"/>
      <c r="BF417" s="287">
        <f t="shared" ref="BF417:CC417" si="1448">BF416/BA416-1</f>
        <v>-1.6666666666666718E-2</v>
      </c>
      <c r="BG417" s="287">
        <f t="shared" si="1448"/>
        <v>-4.7193243914555372E-2</v>
      </c>
      <c r="BH417" s="287">
        <f t="shared" si="1448"/>
        <v>-4.292057227429702E-2</v>
      </c>
      <c r="BI417" s="287">
        <f t="shared" si="1448"/>
        <v>-2.734375E-2</v>
      </c>
      <c r="BJ417" s="287">
        <f>BJ416/BE416-1</f>
        <v>-3.3589489340604906E-2</v>
      </c>
      <c r="BK417" s="287">
        <f t="shared" si="1448"/>
        <v>-3.5952747817155073E-3</v>
      </c>
      <c r="BL417" s="287">
        <f t="shared" si="1448"/>
        <v>-9.3847758081334609E-3</v>
      </c>
      <c r="BM417" s="287">
        <f t="shared" si="1448"/>
        <v>0</v>
      </c>
      <c r="BN417" s="287">
        <f t="shared" si="1448"/>
        <v>-2.3594377510040121E-2</v>
      </c>
      <c r="BO417" s="287">
        <f>BO416/BJ416-1</f>
        <v>-9.2343208926509712E-3</v>
      </c>
      <c r="BP417" s="287">
        <f t="shared" si="1448"/>
        <v>1.5979381443298912E-2</v>
      </c>
      <c r="BQ417" s="287">
        <f t="shared" si="1448"/>
        <v>5.1052631578947461E-2</v>
      </c>
      <c r="BR417" s="287">
        <f t="shared" si="1448"/>
        <v>4.7938144329896959E-2</v>
      </c>
      <c r="BS417" s="287">
        <f t="shared" si="1448"/>
        <v>3.6503856041131044E-2</v>
      </c>
      <c r="BT417" s="287">
        <f>BT416/BO416-1</f>
        <v>3.7799352750809145E-2</v>
      </c>
      <c r="BU417" s="288">
        <f t="shared" si="1448"/>
        <v>2.9934043632673824E-2</v>
      </c>
      <c r="BV417" s="288">
        <f t="shared" si="1448"/>
        <v>4.3565348022033046E-2</v>
      </c>
      <c r="BW417" s="288">
        <f t="shared" si="1448"/>
        <v>3.6891293654697455E-2</v>
      </c>
      <c r="BX417" s="288">
        <f t="shared" si="1448"/>
        <v>4.861111111111116E-2</v>
      </c>
      <c r="BY417" s="287">
        <f>BY416/BT416-1</f>
        <v>3.979044530372966E-2</v>
      </c>
      <c r="BZ417" s="288">
        <f t="shared" si="1448"/>
        <v>4.0394088669950756E-2</v>
      </c>
      <c r="CA417" s="288">
        <f t="shared" si="1448"/>
        <v>1.3915547024952124E-2</v>
      </c>
      <c r="CB417" s="288">
        <f t="shared" si="1448"/>
        <v>1.7552182163187879E-2</v>
      </c>
      <c r="CC417" s="288">
        <f t="shared" si="1448"/>
        <v>4.1627246925260097E-2</v>
      </c>
      <c r="CD417" s="287">
        <f>CD416/BY416-1</f>
        <v>2.831094049904026E-2</v>
      </c>
      <c r="CE417" s="287">
        <f t="shared" ref="CE417:CI417" si="1449">CE416/CD416-1</f>
        <v>3.5393096993227013E-2</v>
      </c>
      <c r="CF417" s="287">
        <f t="shared" si="1449"/>
        <v>3.2775529215047339E-2</v>
      </c>
      <c r="CG417" s="287">
        <f t="shared" si="1449"/>
        <v>3.1378166933376583E-2</v>
      </c>
      <c r="CH417" s="287">
        <f t="shared" si="1449"/>
        <v>3.4040525810726363E-2</v>
      </c>
      <c r="CI417" s="287">
        <f t="shared" si="1449"/>
        <v>3.6142360174228783E-2</v>
      </c>
      <c r="CJ417" s="287">
        <f t="shared" ref="CJ417" si="1450">CJ416/CI416-1</f>
        <v>3.4896106231411927E-2</v>
      </c>
      <c r="CK417" s="287">
        <f t="shared" ref="CK417" si="1451">CK416/CJ416-1</f>
        <v>3.3802737909304437E-2</v>
      </c>
      <c r="CL417" s="287">
        <f t="shared" ref="CL417:CM417" si="1452">CL416/CK416-1</f>
        <v>3.2843655986569464E-2</v>
      </c>
      <c r="CM417" s="287">
        <f t="shared" si="1452"/>
        <v>3.2003026028075476E-2</v>
      </c>
      <c r="CN417" s="195"/>
      <c r="CO417" s="195"/>
      <c r="CP417" s="195"/>
      <c r="CQ417" s="195"/>
      <c r="CR417" s="195"/>
      <c r="CS417" s="195"/>
      <c r="CT417" s="195"/>
      <c r="CV417" s="276"/>
      <c r="CW417" s="287"/>
      <c r="CX417" s="287"/>
      <c r="CY417" s="287"/>
      <c r="CZ417" s="287"/>
      <c r="DA417" s="287"/>
      <c r="DB417" s="287"/>
      <c r="DC417" s="287"/>
      <c r="DD417" s="287"/>
      <c r="DE417" s="287"/>
      <c r="EK417" s="353"/>
      <c r="EL417" s="354"/>
    </row>
    <row r="418" spans="1:142" ht="15" customHeight="1">
      <c r="A418" s="286" t="s">
        <v>720</v>
      </c>
      <c r="B418" s="324"/>
      <c r="C418" s="287"/>
      <c r="D418" s="287"/>
      <c r="E418" s="287"/>
      <c r="F418" s="287"/>
      <c r="G418" s="324"/>
      <c r="H418" s="287"/>
      <c r="I418" s="287"/>
      <c r="J418" s="287"/>
      <c r="K418" s="287"/>
      <c r="L418" s="287"/>
      <c r="M418" s="287"/>
      <c r="N418" s="287"/>
      <c r="O418" s="287"/>
      <c r="P418" s="287"/>
      <c r="Q418" s="287"/>
      <c r="R418" s="287"/>
      <c r="S418" s="287"/>
      <c r="T418" s="287"/>
      <c r="U418" s="287"/>
      <c r="V418" s="287"/>
      <c r="W418" s="287"/>
      <c r="X418" s="287"/>
      <c r="Y418" s="287"/>
      <c r="Z418" s="287"/>
      <c r="AA418" s="287"/>
      <c r="AB418" s="287"/>
      <c r="AC418" s="287"/>
      <c r="AD418" s="287"/>
      <c r="AE418" s="287"/>
      <c r="AF418" s="287"/>
      <c r="AG418" s="287"/>
      <c r="AH418" s="287"/>
      <c r="AI418" s="287"/>
      <c r="AJ418" s="287"/>
      <c r="AK418" s="287"/>
      <c r="AL418" s="287"/>
      <c r="AM418" s="287"/>
      <c r="AN418" s="287"/>
      <c r="AO418" s="287"/>
      <c r="AP418" s="287"/>
      <c r="AQ418" s="287"/>
      <c r="AR418" s="287"/>
      <c r="AS418" s="287"/>
      <c r="AT418" s="287"/>
      <c r="AU418" s="287"/>
      <c r="AV418" s="287"/>
      <c r="AW418" s="287"/>
      <c r="AX418" s="287"/>
      <c r="AY418" s="287"/>
      <c r="AZ418" s="287"/>
      <c r="BA418" s="287"/>
      <c r="BB418" s="287"/>
      <c r="BC418" s="287"/>
      <c r="BD418" s="287"/>
      <c r="BE418" s="287"/>
      <c r="BF418" s="287"/>
      <c r="BG418" s="287"/>
      <c r="BH418" s="287"/>
      <c r="BI418" s="287"/>
      <c r="BJ418" s="287"/>
      <c r="BK418" s="287"/>
      <c r="BL418" s="287"/>
      <c r="BM418" s="287"/>
      <c r="BN418" s="287"/>
      <c r="BO418" s="287"/>
      <c r="BP418" s="432">
        <f>'[2]Profit and Loss Highlights'!AM$31</f>
        <v>269</v>
      </c>
      <c r="BQ418" s="432">
        <f>'[2]Profit and Loss Highlights'!AN$31</f>
        <v>276</v>
      </c>
      <c r="BR418" s="432">
        <f>'[2]Profit and Loss Highlights'!AO$31</f>
        <v>238</v>
      </c>
      <c r="BS418" s="432">
        <f>'[2]Profit and Loss Highlights'!AP$31</f>
        <v>440</v>
      </c>
      <c r="BT418" s="433">
        <f>SUM(BP418:BS418)</f>
        <v>1223</v>
      </c>
      <c r="BU418" s="432">
        <f>'[2]Profit and Loss Highlights'!AQ$31</f>
        <v>376</v>
      </c>
      <c r="BV418" s="432">
        <f>'[2]Profit and Loss Highlights'!AR$31</f>
        <v>340</v>
      </c>
      <c r="BW418" s="432">
        <f>'[2]Profit and Loss Highlights'!AS$31</f>
        <v>297</v>
      </c>
      <c r="BX418" s="432">
        <f>'[2]Profit and Loss Highlights'!AT$31</f>
        <v>440</v>
      </c>
      <c r="BY418" s="433">
        <f>SUM(BU418:BX418)</f>
        <v>1453</v>
      </c>
      <c r="BZ418" s="432">
        <f>'[2]Profit and Loss Highlights'!AU$31</f>
        <v>414</v>
      </c>
      <c r="CA418" s="432">
        <f>'[2]Profit and Loss Highlights'!AV$31</f>
        <v>357</v>
      </c>
      <c r="CB418" s="432">
        <f>'[2]Profit and Loss Highlights'!AW$31</f>
        <v>297</v>
      </c>
      <c r="CC418" s="432">
        <f>'[2]Profit and Loss Highlights'!AX$31</f>
        <v>540</v>
      </c>
      <c r="CD418" s="433">
        <f>SUM(BZ418:CC418)</f>
        <v>1608</v>
      </c>
      <c r="CE418" s="434">
        <f t="shared" ref="CE418:CM418" si="1453">CE285</f>
        <v>1753.4393465232426</v>
      </c>
      <c r="CF418" s="434">
        <f t="shared" si="1453"/>
        <v>1737.8689531218001</v>
      </c>
      <c r="CG418" s="434">
        <f t="shared" si="1453"/>
        <v>1755.7791965750014</v>
      </c>
      <c r="CH418" s="434">
        <f t="shared" si="1453"/>
        <v>1772.8983954208034</v>
      </c>
      <c r="CI418" s="434">
        <f t="shared" si="1453"/>
        <v>1789.3066913374271</v>
      </c>
      <c r="CJ418" s="434">
        <f t="shared" si="1453"/>
        <v>1805.0765954574083</v>
      </c>
      <c r="CK418" s="434">
        <f t="shared" si="1453"/>
        <v>1820.2737171996434</v>
      </c>
      <c r="CL418" s="434">
        <f t="shared" si="1453"/>
        <v>1834.9574234985378</v>
      </c>
      <c r="CM418" s="434">
        <f t="shared" si="1453"/>
        <v>1849.1814350773461</v>
      </c>
      <c r="CN418" s="195"/>
      <c r="CO418" s="195"/>
      <c r="CP418" s="195"/>
      <c r="CQ418" s="195"/>
      <c r="CR418" s="195"/>
      <c r="CS418" s="202"/>
      <c r="CT418" s="202"/>
      <c r="CV418" s="276"/>
      <c r="CW418" s="287"/>
      <c r="CX418" s="287"/>
      <c r="CY418" s="287"/>
      <c r="CZ418" s="287"/>
      <c r="DA418" s="287"/>
      <c r="DB418" s="287"/>
      <c r="DC418" s="287"/>
      <c r="DD418" s="287"/>
      <c r="DE418" s="287"/>
      <c r="EK418" s="353"/>
      <c r="EL418" s="354"/>
    </row>
    <row r="419" spans="1:142">
      <c r="A419" s="435" t="s">
        <v>85</v>
      </c>
      <c r="B419" s="436">
        <f>B376+B378+B397+B385+B388+B390</f>
        <v>7690</v>
      </c>
      <c r="C419" s="436"/>
      <c r="D419" s="436"/>
      <c r="E419" s="436"/>
      <c r="F419" s="436">
        <f>F376+F378+F397+F385+F388</f>
        <v>2204</v>
      </c>
      <c r="G419" s="436">
        <f>G376+G378+G397+G385+G388+G390</f>
        <v>8449.9</v>
      </c>
      <c r="H419" s="436">
        <f t="shared" ref="H419:AU419" si="1454">H376+H378+H397+H385+H388</f>
        <v>2129</v>
      </c>
      <c r="I419" s="436">
        <f t="shared" si="1454"/>
        <v>2116</v>
      </c>
      <c r="J419" s="436">
        <f t="shared" si="1454"/>
        <v>2156</v>
      </c>
      <c r="K419" s="436">
        <f t="shared" si="1454"/>
        <v>2211</v>
      </c>
      <c r="L419" s="436">
        <f t="shared" si="1454"/>
        <v>8612</v>
      </c>
      <c r="M419" s="436">
        <f t="shared" si="1454"/>
        <v>2152</v>
      </c>
      <c r="N419" s="436">
        <f t="shared" si="1454"/>
        <v>2191</v>
      </c>
      <c r="O419" s="436">
        <f t="shared" si="1454"/>
        <v>2216</v>
      </c>
      <c r="P419" s="436">
        <f t="shared" si="1454"/>
        <v>2310</v>
      </c>
      <c r="Q419" s="436">
        <f t="shared" si="1454"/>
        <v>8869</v>
      </c>
      <c r="R419" s="436">
        <f t="shared" si="1454"/>
        <v>2133</v>
      </c>
      <c r="S419" s="436">
        <f t="shared" si="1454"/>
        <v>2158</v>
      </c>
      <c r="T419" s="436">
        <f t="shared" si="1454"/>
        <v>2244</v>
      </c>
      <c r="U419" s="436">
        <f t="shared" si="1454"/>
        <v>2248</v>
      </c>
      <c r="V419" s="436">
        <f t="shared" si="1454"/>
        <v>8783</v>
      </c>
      <c r="W419" s="436">
        <f t="shared" si="1454"/>
        <v>2135</v>
      </c>
      <c r="X419" s="436">
        <f t="shared" si="1454"/>
        <v>2223</v>
      </c>
      <c r="Y419" s="436">
        <f t="shared" si="1454"/>
        <v>2216</v>
      </c>
      <c r="Z419" s="436">
        <f t="shared" si="1454"/>
        <v>2306</v>
      </c>
      <c r="AA419" s="436">
        <f t="shared" si="1454"/>
        <v>8880</v>
      </c>
      <c r="AB419" s="436">
        <f t="shared" si="1454"/>
        <v>2327</v>
      </c>
      <c r="AC419" s="436">
        <f t="shared" si="1454"/>
        <v>2295</v>
      </c>
      <c r="AD419" s="436">
        <f t="shared" si="1454"/>
        <v>2239</v>
      </c>
      <c r="AE419" s="436">
        <f t="shared" si="1454"/>
        <v>2224</v>
      </c>
      <c r="AF419" s="436">
        <f t="shared" si="1454"/>
        <v>9028.3719999999994</v>
      </c>
      <c r="AG419" s="436">
        <f t="shared" si="1454"/>
        <v>2119</v>
      </c>
      <c r="AH419" s="436">
        <f t="shared" si="1454"/>
        <v>2082</v>
      </c>
      <c r="AI419" s="436">
        <f t="shared" si="1454"/>
        <v>2065</v>
      </c>
      <c r="AJ419" s="436">
        <f t="shared" si="1454"/>
        <v>2123</v>
      </c>
      <c r="AK419" s="436">
        <f t="shared" si="1454"/>
        <v>8404</v>
      </c>
      <c r="AL419" s="436">
        <f t="shared" si="1454"/>
        <v>2149</v>
      </c>
      <c r="AM419" s="436">
        <f t="shared" si="1454"/>
        <v>2110</v>
      </c>
      <c r="AN419" s="436">
        <f t="shared" si="1454"/>
        <v>2166</v>
      </c>
      <c r="AO419" s="436">
        <f t="shared" si="1454"/>
        <v>2176</v>
      </c>
      <c r="AP419" s="436">
        <f t="shared" si="1454"/>
        <v>8601</v>
      </c>
      <c r="AQ419" s="436">
        <f t="shared" si="1454"/>
        <v>2140</v>
      </c>
      <c r="AR419" s="436">
        <f t="shared" si="1454"/>
        <v>2102</v>
      </c>
      <c r="AS419" s="436">
        <f t="shared" si="1454"/>
        <v>2156</v>
      </c>
      <c r="AT419" s="436">
        <f t="shared" si="1454"/>
        <v>2214</v>
      </c>
      <c r="AU419" s="436">
        <f t="shared" si="1454"/>
        <v>8612</v>
      </c>
      <c r="AV419" s="436">
        <f>'[2]Profit and Loss Highlights'!W$32</f>
        <v>2375</v>
      </c>
      <c r="AW419" s="436">
        <f>'[2]Profit and Loss Highlights'!X$32</f>
        <v>2335</v>
      </c>
      <c r="AX419" s="436">
        <f>'[2]Profit and Loss Highlights'!Y$32</f>
        <v>2333</v>
      </c>
      <c r="AY419" s="436">
        <f>'[2]Profit and Loss Highlights'!Z$32</f>
        <v>2376</v>
      </c>
      <c r="AZ419" s="436">
        <f>SUM(AV419:AY419)</f>
        <v>9419</v>
      </c>
      <c r="BA419" s="436">
        <f>'[2]Profit and Loss Highlights'!AA$32</f>
        <v>2237</v>
      </c>
      <c r="BB419" s="436">
        <f>'[2]Profit and Loss Highlights'!AB$32</f>
        <v>2246</v>
      </c>
      <c r="BC419" s="436">
        <f>'[2]Profit and Loss Highlights'!AC$32</f>
        <v>2264</v>
      </c>
      <c r="BD419" s="436">
        <f>'[2]Profit and Loss Highlights'!AD$32</f>
        <v>2445</v>
      </c>
      <c r="BE419" s="436">
        <f>SUM(BA419:BD419)</f>
        <v>9192</v>
      </c>
      <c r="BF419" s="436">
        <f>'[2]Profit and Loss Highlights'!AE$32</f>
        <v>2232</v>
      </c>
      <c r="BG419" s="436">
        <f>'[2]Profit and Loss Highlights'!AF$32</f>
        <v>2206</v>
      </c>
      <c r="BH419" s="436">
        <f>'[2]Profit and Loss Highlights'!AG$32</f>
        <v>2285</v>
      </c>
      <c r="BI419" s="436">
        <f>'[2]Profit and Loss Highlights'!AH$32</f>
        <v>2590</v>
      </c>
      <c r="BJ419" s="436">
        <f>SUM(BF419:BI419)</f>
        <v>9313</v>
      </c>
      <c r="BK419" s="436">
        <f>'[2]Profit and Loss Highlights'!AI$32</f>
        <v>2341</v>
      </c>
      <c r="BL419" s="436">
        <f>'[2]Profit and Loss Highlights'!AJ$32</f>
        <v>2151</v>
      </c>
      <c r="BM419" s="436">
        <f>'[2]Profit and Loss Highlights'!AK$32</f>
        <v>2213</v>
      </c>
      <c r="BN419" s="436">
        <f>'[2]Profit and Loss Highlights'!AL$32</f>
        <v>2261</v>
      </c>
      <c r="BO419" s="436">
        <f>SUM(BK419:BN419)</f>
        <v>8966</v>
      </c>
      <c r="BP419" s="436">
        <f>'[2]Profit and Loss Highlights'!AM$32</f>
        <v>2240</v>
      </c>
      <c r="BQ419" s="436">
        <f>'[2]Profit and Loss Highlights'!AN$32</f>
        <v>2274</v>
      </c>
      <c r="BR419" s="436">
        <f>'[2]Profit and Loss Highlights'!AO$32</f>
        <v>2271</v>
      </c>
      <c r="BS419" s="436">
        <f>'[2]Profit and Loss Highlights'!AP$32</f>
        <v>2456</v>
      </c>
      <c r="BT419" s="436">
        <f>SUM(BP419:BS419)</f>
        <v>9241</v>
      </c>
      <c r="BU419" s="436">
        <f>'[2]Profit and Loss Highlights'!AQ$32</f>
        <v>2406</v>
      </c>
      <c r="BV419" s="436">
        <f>'[2]Profit and Loss Highlights'!AR$32</f>
        <v>2424</v>
      </c>
      <c r="BW419" s="436">
        <f>'[2]Profit and Loss Highlights'!AS$32</f>
        <v>2405</v>
      </c>
      <c r="BX419" s="436">
        <f>'[2]Profit and Loss Highlights'!AT$32</f>
        <v>2554</v>
      </c>
      <c r="BY419" s="436">
        <f>SUM(BU419:BX419)</f>
        <v>9789</v>
      </c>
      <c r="BZ419" s="436">
        <f>'[2]Profit and Loss Highlights'!AU$32</f>
        <v>2526</v>
      </c>
      <c r="CA419" s="436">
        <f>'[2]Profit and Loss Highlights'!AV$32</f>
        <v>2470</v>
      </c>
      <c r="CB419" s="436">
        <f>'[2]Profit and Loss Highlights'!AW$32</f>
        <v>2442</v>
      </c>
      <c r="CC419" s="436">
        <f>'[2]Profit and Loss Highlights'!AX$32</f>
        <v>2742</v>
      </c>
      <c r="CD419" s="436">
        <f>SUM(BZ419:CC419)</f>
        <v>10180</v>
      </c>
      <c r="CE419" s="436">
        <f t="shared" ref="CE419:CM419" si="1455">CE416+CE418</f>
        <v>10628.828973949185</v>
      </c>
      <c r="CF419" s="436">
        <f t="shared" si="1455"/>
        <v>10904.154172576371</v>
      </c>
      <c r="CG419" s="436">
        <f t="shared" si="1455"/>
        <v>11209.68564380456</v>
      </c>
      <c r="CH419" s="436">
        <f t="shared" si="1455"/>
        <v>11548.62078907947</v>
      </c>
      <c r="CI419" s="436">
        <f t="shared" si="1455"/>
        <v>11918.346764710979</v>
      </c>
      <c r="CJ419" s="436">
        <f t="shared" si="1455"/>
        <v>12287.580727253633</v>
      </c>
      <c r="CK419" s="436">
        <f t="shared" si="1455"/>
        <v>12657.115188796175</v>
      </c>
      <c r="CL419" s="436">
        <f t="shared" si="1455"/>
        <v>13027.720388369175</v>
      </c>
      <c r="CM419" s="436">
        <f t="shared" si="1455"/>
        <v>13400.146684438816</v>
      </c>
      <c r="CN419" s="195"/>
      <c r="CO419" s="195"/>
      <c r="CP419" s="195"/>
      <c r="CQ419" s="195"/>
      <c r="CR419" s="195"/>
      <c r="CS419" s="195"/>
      <c r="CT419" s="195"/>
      <c r="CV419" s="286" t="s">
        <v>83</v>
      </c>
      <c r="CW419" s="316">
        <v>342</v>
      </c>
      <c r="CX419" s="316">
        <v>398.14</v>
      </c>
      <c r="CY419" s="316">
        <v>412.34005436787288</v>
      </c>
      <c r="CZ419" s="316">
        <v>441.32505811297347</v>
      </c>
      <c r="DA419" s="316">
        <v>467.99361565100776</v>
      </c>
      <c r="DB419" s="316">
        <v>494.01409376349409</v>
      </c>
      <c r="DC419" s="316">
        <f>DG296</f>
        <v>0</v>
      </c>
      <c r="DD419" s="316">
        <f>DH296</f>
        <v>0</v>
      </c>
      <c r="DE419" s="316">
        <f>DI296</f>
        <v>0</v>
      </c>
      <c r="EK419" s="353">
        <v>39957</v>
      </c>
      <c r="EL419" s="354">
        <v>0.98850000000000005</v>
      </c>
    </row>
    <row r="420" spans="1:142">
      <c r="A420" s="346" t="s">
        <v>65</v>
      </c>
      <c r="B420" s="287"/>
      <c r="C420" s="287"/>
      <c r="D420" s="287"/>
      <c r="E420" s="287"/>
      <c r="F420" s="287"/>
      <c r="G420" s="287">
        <f t="shared" ref="G420:AL420" si="1456">G419/B419-1</f>
        <v>9.881664499349796E-2</v>
      </c>
      <c r="H420" s="287" t="e">
        <f t="shared" si="1456"/>
        <v>#DIV/0!</v>
      </c>
      <c r="I420" s="287" t="e">
        <f t="shared" si="1456"/>
        <v>#DIV/0!</v>
      </c>
      <c r="J420" s="287" t="e">
        <f t="shared" si="1456"/>
        <v>#DIV/0!</v>
      </c>
      <c r="K420" s="287">
        <f t="shared" si="1456"/>
        <v>3.1760435571688284E-3</v>
      </c>
      <c r="L420" s="287">
        <f t="shared" si="1456"/>
        <v>1.9183658978212836E-2</v>
      </c>
      <c r="M420" s="287">
        <f t="shared" si="1456"/>
        <v>1.0803193987787729E-2</v>
      </c>
      <c r="N420" s="287">
        <f t="shared" si="1456"/>
        <v>3.5444234404536923E-2</v>
      </c>
      <c r="O420" s="287">
        <f t="shared" si="1456"/>
        <v>2.7829313543599188E-2</v>
      </c>
      <c r="P420" s="287">
        <f t="shared" si="1456"/>
        <v>4.4776119402984982E-2</v>
      </c>
      <c r="Q420" s="287">
        <f t="shared" si="1456"/>
        <v>2.9842080817463978E-2</v>
      </c>
      <c r="R420" s="287">
        <f t="shared" si="1456"/>
        <v>-8.8289962825278678E-3</v>
      </c>
      <c r="S420" s="287">
        <f t="shared" si="1456"/>
        <v>-1.5061615700593389E-2</v>
      </c>
      <c r="T420" s="287">
        <f t="shared" si="1456"/>
        <v>1.2635379061371799E-2</v>
      </c>
      <c r="U420" s="287">
        <f t="shared" si="1456"/>
        <v>-2.6839826839826886E-2</v>
      </c>
      <c r="V420" s="287">
        <f t="shared" si="1456"/>
        <v>-9.69669635810122E-3</v>
      </c>
      <c r="W420" s="287">
        <f t="shared" si="1456"/>
        <v>9.3764650726679832E-4</v>
      </c>
      <c r="X420" s="287">
        <f t="shared" si="1456"/>
        <v>3.0120481927710774E-2</v>
      </c>
      <c r="Y420" s="287">
        <f t="shared" si="1456"/>
        <v>-1.2477718360071277E-2</v>
      </c>
      <c r="Z420" s="287">
        <f t="shared" si="1456"/>
        <v>2.5800711743772187E-2</v>
      </c>
      <c r="AA420" s="287">
        <f t="shared" si="1456"/>
        <v>1.1044062393259724E-2</v>
      </c>
      <c r="AB420" s="287">
        <f t="shared" si="1456"/>
        <v>8.9929742388758838E-2</v>
      </c>
      <c r="AC420" s="287">
        <f t="shared" si="1456"/>
        <v>3.238866396761142E-2</v>
      </c>
      <c r="AD420" s="287">
        <f t="shared" si="1456"/>
        <v>1.0379061371841081E-2</v>
      </c>
      <c r="AE420" s="287">
        <f t="shared" si="1456"/>
        <v>-3.5559410234171751E-2</v>
      </c>
      <c r="AF420" s="287">
        <f t="shared" si="1456"/>
        <v>1.6708558558558462E-2</v>
      </c>
      <c r="AG420" s="287">
        <f t="shared" si="1456"/>
        <v>-8.9385474860335212E-2</v>
      </c>
      <c r="AH420" s="287">
        <f t="shared" si="1456"/>
        <v>-9.2810457516339873E-2</v>
      </c>
      <c r="AI420" s="287">
        <f t="shared" si="1456"/>
        <v>-7.771326485037966E-2</v>
      </c>
      <c r="AJ420" s="287">
        <f t="shared" si="1456"/>
        <v>-4.5413669064748197E-2</v>
      </c>
      <c r="AK420" s="287">
        <f t="shared" si="1456"/>
        <v>-6.9156654156474651E-2</v>
      </c>
      <c r="AL420" s="287">
        <f t="shared" si="1456"/>
        <v>1.4157621519584662E-2</v>
      </c>
      <c r="AM420" s="287">
        <f t="shared" ref="AM420:CD420" si="1457">AM419/AH419-1</f>
        <v>1.344860710854956E-2</v>
      </c>
      <c r="AN420" s="287">
        <f t="shared" si="1457"/>
        <v>4.8910411622276051E-2</v>
      </c>
      <c r="AO420" s="287">
        <f t="shared" si="1457"/>
        <v>2.4964672633066343E-2</v>
      </c>
      <c r="AP420" s="287">
        <f t="shared" si="1457"/>
        <v>2.3441218467396441E-2</v>
      </c>
      <c r="AQ420" s="287">
        <f t="shared" si="1457"/>
        <v>-4.1879944160074789E-3</v>
      </c>
      <c r="AR420" s="287">
        <f t="shared" si="1457"/>
        <v>-3.7914691943128354E-3</v>
      </c>
      <c r="AS420" s="287">
        <f t="shared" si="1457"/>
        <v>-4.6168051708217472E-3</v>
      </c>
      <c r="AT420" s="287">
        <f t="shared" si="1457"/>
        <v>1.7463235294117752E-2</v>
      </c>
      <c r="AU420" s="287">
        <f t="shared" si="1457"/>
        <v>1.2789210556911623E-3</v>
      </c>
      <c r="AV420" s="287">
        <f t="shared" si="1457"/>
        <v>0.10981308411214963</v>
      </c>
      <c r="AW420" s="287">
        <f t="shared" si="1457"/>
        <v>0.11084681255946727</v>
      </c>
      <c r="AX420" s="287">
        <f t="shared" si="1457"/>
        <v>8.2096474953617715E-2</v>
      </c>
      <c r="AY420" s="287">
        <f t="shared" si="1457"/>
        <v>7.3170731707317138E-2</v>
      </c>
      <c r="AZ420" s="287">
        <f t="shared" si="1457"/>
        <v>9.3706456107756519E-2</v>
      </c>
      <c r="BA420" s="287">
        <f t="shared" si="1457"/>
        <v>-5.8105263157894771E-2</v>
      </c>
      <c r="BB420" s="287">
        <f t="shared" si="1457"/>
        <v>-3.8115631691648777E-2</v>
      </c>
      <c r="BC420" s="287">
        <f t="shared" si="1457"/>
        <v>-2.9575653664809298E-2</v>
      </c>
      <c r="BD420" s="287">
        <f t="shared" si="1457"/>
        <v>2.9040404040403978E-2</v>
      </c>
      <c r="BE420" s="287">
        <f t="shared" si="1457"/>
        <v>-2.4100222953604367E-2</v>
      </c>
      <c r="BF420" s="287">
        <f t="shared" si="1457"/>
        <v>-2.2351363433169569E-3</v>
      </c>
      <c r="BG420" s="287">
        <f t="shared" si="1457"/>
        <v>-1.7809439002671401E-2</v>
      </c>
      <c r="BH420" s="287">
        <f t="shared" si="1457"/>
        <v>9.2756183745583698E-3</v>
      </c>
      <c r="BI420" s="287">
        <f t="shared" si="1457"/>
        <v>5.9304703476482645E-2</v>
      </c>
      <c r="BJ420" s="287">
        <f t="shared" si="1457"/>
        <v>1.3163620539599741E-2</v>
      </c>
      <c r="BK420" s="287">
        <f t="shared" si="1457"/>
        <v>4.8835125448028593E-2</v>
      </c>
      <c r="BL420" s="287">
        <f t="shared" si="1457"/>
        <v>-2.4932003626473298E-2</v>
      </c>
      <c r="BM420" s="287">
        <f t="shared" si="1457"/>
        <v>-3.1509846827133425E-2</v>
      </c>
      <c r="BN420" s="287">
        <f t="shared" si="1457"/>
        <v>-0.12702702702702706</v>
      </c>
      <c r="BO420" s="287">
        <f t="shared" si="1457"/>
        <v>-3.7259744443251419E-2</v>
      </c>
      <c r="BP420" s="287">
        <f t="shared" si="1457"/>
        <v>-4.314395557454076E-2</v>
      </c>
      <c r="BQ420" s="287">
        <f t="shared" si="1457"/>
        <v>5.7182705718270554E-2</v>
      </c>
      <c r="BR420" s="287">
        <f t="shared" si="1457"/>
        <v>2.6208766380479087E-2</v>
      </c>
      <c r="BS420" s="287">
        <f t="shared" si="1457"/>
        <v>8.6245024325519726E-2</v>
      </c>
      <c r="BT420" s="287">
        <f t="shared" si="1457"/>
        <v>3.0671425384787065E-2</v>
      </c>
      <c r="BU420" s="288">
        <f t="shared" si="1457"/>
        <v>7.4107142857142927E-2</v>
      </c>
      <c r="BV420" s="288">
        <f t="shared" si="1457"/>
        <v>6.5963060686015762E-2</v>
      </c>
      <c r="BW420" s="288">
        <f t="shared" si="1457"/>
        <v>5.9004843681197627E-2</v>
      </c>
      <c r="BX420" s="288">
        <f t="shared" si="1457"/>
        <v>3.9902280130293066E-2</v>
      </c>
      <c r="BY420" s="287">
        <f t="shared" si="1457"/>
        <v>5.9300941456552403E-2</v>
      </c>
      <c r="BZ420" s="288">
        <f t="shared" si="1457"/>
        <v>4.9875311720698257E-2</v>
      </c>
      <c r="CA420" s="288">
        <f t="shared" si="1457"/>
        <v>1.8976897689769068E-2</v>
      </c>
      <c r="CB420" s="288">
        <f t="shared" si="1457"/>
        <v>1.538461538461533E-2</v>
      </c>
      <c r="CC420" s="288">
        <f t="shared" si="1457"/>
        <v>7.3610023492560739E-2</v>
      </c>
      <c r="CD420" s="287">
        <f t="shared" si="1457"/>
        <v>3.9942792930840687E-2</v>
      </c>
      <c r="CE420" s="287">
        <f t="shared" ref="CE420:CI420" si="1458">CE419/CD419-1</f>
        <v>4.4089290171825501E-2</v>
      </c>
      <c r="CF420" s="287">
        <f t="shared" si="1458"/>
        <v>2.5903624877396725E-2</v>
      </c>
      <c r="CG420" s="287">
        <f t="shared" si="1458"/>
        <v>2.8019731415444449E-2</v>
      </c>
      <c r="CH420" s="287">
        <f t="shared" si="1458"/>
        <v>3.0235918833480868E-2</v>
      </c>
      <c r="CI420" s="287">
        <f t="shared" si="1458"/>
        <v>3.2014729930445629E-2</v>
      </c>
      <c r="CJ420" s="287">
        <f t="shared" ref="CJ420" si="1459">CJ419/CI419-1</f>
        <v>3.0980300358093071E-2</v>
      </c>
      <c r="CK420" s="287">
        <f t="shared" ref="CK420" si="1460">CK419/CJ419-1</f>
        <v>3.0073817600475339E-2</v>
      </c>
      <c r="CL420" s="287">
        <f t="shared" ref="CL420:CM420" si="1461">CL419/CK419-1</f>
        <v>2.9280384514557722E-2</v>
      </c>
      <c r="CM420" s="287">
        <f t="shared" si="1461"/>
        <v>2.8587219019693855E-2</v>
      </c>
      <c r="CN420" s="195"/>
      <c r="CO420" s="195"/>
      <c r="CP420" s="195"/>
      <c r="CQ420" s="195"/>
      <c r="CR420" s="195"/>
      <c r="CS420" s="195"/>
      <c r="CT420" s="195"/>
      <c r="CV420" s="276" t="s">
        <v>65</v>
      </c>
      <c r="CW420" s="287">
        <v>9.1954022988505857E-2</v>
      </c>
      <c r="CX420" s="287">
        <v>0.16415204678362572</v>
      </c>
      <c r="CY420" s="287">
        <v>3.5665982739420565E-2</v>
      </c>
      <c r="CZ420" s="287">
        <v>7.0293932006036286E-2</v>
      </c>
      <c r="DA420" s="287">
        <v>6.0428378239079095E-2</v>
      </c>
      <c r="DB420" s="287">
        <v>5.5600070689618919E-2</v>
      </c>
      <c r="DC420" s="287">
        <f>DC419/DB419-1</f>
        <v>-1</v>
      </c>
      <c r="DD420" s="287" t="e">
        <f>DD419/DC419-1</f>
        <v>#DIV/0!</v>
      </c>
      <c r="DE420" s="287" t="e">
        <f>DE419/DD419-1</f>
        <v>#DIV/0!</v>
      </c>
      <c r="EK420" s="353">
        <v>39958</v>
      </c>
      <c r="EL420" s="354">
        <v>0.99239999999999995</v>
      </c>
    </row>
    <row r="421" spans="1:142">
      <c r="A421" s="437" t="s">
        <v>137</v>
      </c>
      <c r="B421" s="438"/>
      <c r="C421" s="438"/>
      <c r="D421" s="438"/>
      <c r="E421" s="438"/>
      <c r="F421" s="438"/>
      <c r="G421" s="438"/>
      <c r="H421" s="438"/>
      <c r="I421" s="438"/>
      <c r="J421" s="438"/>
      <c r="K421" s="438"/>
      <c r="L421" s="438"/>
      <c r="M421" s="438"/>
      <c r="N421" s="438"/>
      <c r="O421" s="438"/>
      <c r="P421" s="438"/>
      <c r="Q421" s="438"/>
      <c r="R421" s="438"/>
      <c r="S421" s="438"/>
      <c r="T421" s="438"/>
      <c r="U421" s="438"/>
      <c r="V421" s="438"/>
      <c r="W421" s="438"/>
      <c r="X421" s="438"/>
      <c r="Y421" s="438"/>
      <c r="Z421" s="438"/>
      <c r="AA421" s="438"/>
      <c r="AB421" s="438"/>
      <c r="AC421" s="438"/>
      <c r="AD421" s="438"/>
      <c r="AE421" s="438"/>
      <c r="AF421" s="438"/>
      <c r="AG421" s="438"/>
      <c r="AH421" s="438"/>
      <c r="AI421" s="438"/>
      <c r="AJ421" s="438"/>
      <c r="AK421" s="438"/>
      <c r="AL421" s="438"/>
      <c r="AM421" s="438"/>
      <c r="AN421" s="438"/>
      <c r="AO421" s="438"/>
      <c r="AP421" s="438"/>
      <c r="AQ421" s="438"/>
      <c r="AR421" s="438"/>
      <c r="AS421" s="438"/>
      <c r="AT421" s="438"/>
      <c r="AU421" s="438"/>
      <c r="AV421" s="439">
        <f t="shared" ref="AV421:BO421" si="1462">AV382+AV397-AV419</f>
        <v>10</v>
      </c>
      <c r="AW421" s="439">
        <f t="shared" si="1462"/>
        <v>11</v>
      </c>
      <c r="AX421" s="439">
        <f t="shared" si="1462"/>
        <v>4</v>
      </c>
      <c r="AY421" s="439">
        <f t="shared" si="1462"/>
        <v>-1</v>
      </c>
      <c r="AZ421" s="439">
        <f t="shared" si="1462"/>
        <v>24</v>
      </c>
      <c r="BA421" s="439">
        <f t="shared" si="1462"/>
        <v>0</v>
      </c>
      <c r="BB421" s="439">
        <f t="shared" si="1462"/>
        <v>0</v>
      </c>
      <c r="BC421" s="439">
        <f t="shared" si="1462"/>
        <v>0</v>
      </c>
      <c r="BD421" s="439">
        <f t="shared" si="1462"/>
        <v>0</v>
      </c>
      <c r="BE421" s="439">
        <f t="shared" si="1462"/>
        <v>0</v>
      </c>
      <c r="BF421" s="439">
        <f t="shared" si="1462"/>
        <v>0</v>
      </c>
      <c r="BG421" s="439">
        <f t="shared" si="1462"/>
        <v>0</v>
      </c>
      <c r="BH421" s="439">
        <f t="shared" si="1462"/>
        <v>0</v>
      </c>
      <c r="BI421" s="439">
        <f t="shared" si="1462"/>
        <v>0</v>
      </c>
      <c r="BJ421" s="439">
        <f t="shared" si="1462"/>
        <v>0</v>
      </c>
      <c r="BK421" s="439">
        <f t="shared" si="1462"/>
        <v>0</v>
      </c>
      <c r="BL421" s="439">
        <f t="shared" si="1462"/>
        <v>0</v>
      </c>
      <c r="BM421" s="439">
        <f t="shared" si="1462"/>
        <v>0</v>
      </c>
      <c r="BN421" s="439">
        <f t="shared" si="1462"/>
        <v>0</v>
      </c>
      <c r="BO421" s="439">
        <f t="shared" si="1462"/>
        <v>0</v>
      </c>
      <c r="BP421" s="439">
        <f t="shared" ref="BP421:BZ421" si="1463">ROUND(BP408+BP413+BP418-BP419,0)</f>
        <v>0</v>
      </c>
      <c r="BQ421" s="439">
        <f t="shared" si="1463"/>
        <v>-1</v>
      </c>
      <c r="BR421" s="439">
        <f t="shared" si="1463"/>
        <v>0</v>
      </c>
      <c r="BS421" s="439">
        <f t="shared" si="1463"/>
        <v>0</v>
      </c>
      <c r="BT421" s="439">
        <f t="shared" si="1463"/>
        <v>-1</v>
      </c>
      <c r="BU421" s="439">
        <f t="shared" si="1463"/>
        <v>0</v>
      </c>
      <c r="BV421" s="439">
        <f t="shared" si="1463"/>
        <v>0</v>
      </c>
      <c r="BW421" s="439">
        <f t="shared" si="1463"/>
        <v>0</v>
      </c>
      <c r="BX421" s="439">
        <f t="shared" si="1463"/>
        <v>0</v>
      </c>
      <c r="BY421" s="439">
        <f t="shared" si="1463"/>
        <v>0</v>
      </c>
      <c r="BZ421" s="439">
        <f t="shared" si="1463"/>
        <v>0</v>
      </c>
      <c r="CA421" s="439">
        <f t="shared" ref="CA421:CB421" si="1464">ROUND(CA408+CA413+CA418-CA419,0)</f>
        <v>0</v>
      </c>
      <c r="CB421" s="439">
        <f t="shared" si="1464"/>
        <v>0</v>
      </c>
      <c r="CC421" s="439">
        <f t="shared" ref="CC421:CD421" si="1465">ROUND(CC408+CC413+CC418-CC419,0)</f>
        <v>0</v>
      </c>
      <c r="CD421" s="439">
        <f t="shared" si="1465"/>
        <v>0</v>
      </c>
      <c r="CE421" s="439">
        <f t="shared" ref="CE421:CM421" si="1466">ROUND(CE408+CE413+CE418-CE419,0)</f>
        <v>0</v>
      </c>
      <c r="CF421" s="439">
        <f t="shared" si="1466"/>
        <v>0</v>
      </c>
      <c r="CG421" s="439">
        <f t="shared" si="1466"/>
        <v>0</v>
      </c>
      <c r="CH421" s="439">
        <f t="shared" si="1466"/>
        <v>0</v>
      </c>
      <c r="CI421" s="439">
        <f t="shared" si="1466"/>
        <v>0</v>
      </c>
      <c r="CJ421" s="439">
        <f t="shared" si="1466"/>
        <v>0</v>
      </c>
      <c r="CK421" s="439">
        <f t="shared" si="1466"/>
        <v>0</v>
      </c>
      <c r="CL421" s="439">
        <f t="shared" si="1466"/>
        <v>0</v>
      </c>
      <c r="CM421" s="439">
        <f t="shared" si="1466"/>
        <v>0</v>
      </c>
      <c r="CN421" s="195"/>
      <c r="CO421" s="195"/>
      <c r="CP421" s="195"/>
      <c r="CQ421" s="195"/>
      <c r="CR421" s="195"/>
      <c r="CS421" s="195"/>
      <c r="CT421" s="195"/>
      <c r="CV421" s="276"/>
      <c r="CW421" s="287"/>
      <c r="CX421" s="287"/>
      <c r="CY421" s="287"/>
      <c r="CZ421" s="287"/>
      <c r="DA421" s="287"/>
      <c r="DB421" s="287"/>
      <c r="DC421" s="287"/>
      <c r="DD421" s="287"/>
      <c r="DE421" s="287"/>
      <c r="EK421" s="353">
        <v>39959</v>
      </c>
      <c r="EL421" s="354">
        <v>0.99229999999999996</v>
      </c>
    </row>
    <row r="422" spans="1:142">
      <c r="A422" s="440" t="s">
        <v>644</v>
      </c>
      <c r="B422" s="441"/>
      <c r="C422" s="441"/>
      <c r="D422" s="441"/>
      <c r="E422" s="441"/>
      <c r="F422" s="441"/>
      <c r="G422" s="441"/>
      <c r="H422" s="441"/>
      <c r="I422" s="441"/>
      <c r="J422" s="441"/>
      <c r="K422" s="441"/>
      <c r="L422" s="441"/>
      <c r="M422" s="441"/>
      <c r="N422" s="441"/>
      <c r="O422" s="441"/>
      <c r="P422" s="441"/>
      <c r="Q422" s="441"/>
      <c r="R422" s="441"/>
      <c r="S422" s="441"/>
      <c r="T422" s="441"/>
      <c r="U422" s="441"/>
      <c r="V422" s="441"/>
      <c r="W422" s="441"/>
      <c r="X422" s="441"/>
      <c r="Y422" s="441"/>
      <c r="Z422" s="441"/>
      <c r="AA422" s="441"/>
      <c r="AB422" s="441"/>
      <c r="AC422" s="441"/>
      <c r="AD422" s="441"/>
      <c r="AE422" s="441"/>
      <c r="AF422" s="441"/>
      <c r="AG422" s="441"/>
      <c r="AH422" s="441"/>
      <c r="AI422" s="441"/>
      <c r="AJ422" s="441"/>
      <c r="AK422" s="441"/>
      <c r="AL422" s="441"/>
      <c r="AM422" s="441"/>
      <c r="AN422" s="441"/>
      <c r="AO422" s="441"/>
      <c r="AP422" s="441"/>
      <c r="AQ422" s="441"/>
      <c r="AR422" s="441"/>
      <c r="AS422" s="441"/>
      <c r="AT422" s="441"/>
      <c r="AU422" s="441"/>
      <c r="AV422" s="441"/>
      <c r="AW422" s="441"/>
      <c r="AX422" s="441"/>
      <c r="AY422" s="441"/>
      <c r="AZ422" s="441"/>
      <c r="BA422" s="442"/>
      <c r="BB422" s="442"/>
      <c r="BC422" s="442"/>
      <c r="BD422" s="442"/>
      <c r="BE422" s="441"/>
      <c r="BF422" s="442"/>
      <c r="BG422" s="442"/>
      <c r="BH422" s="441"/>
      <c r="BI422" s="441"/>
      <c r="BJ422" s="441"/>
      <c r="BK422" s="442"/>
      <c r="BL422" s="442"/>
      <c r="BM422" s="442"/>
      <c r="BN422" s="442"/>
      <c r="BO422" s="443">
        <v>9355.7999999999993</v>
      </c>
      <c r="BP422" s="443"/>
      <c r="BQ422" s="443"/>
      <c r="BR422" s="443"/>
      <c r="BS422" s="443"/>
      <c r="BT422" s="443">
        <v>9593.17</v>
      </c>
      <c r="BU422" s="444"/>
      <c r="BV422" s="444"/>
      <c r="BW422" s="444"/>
      <c r="BX422" s="444"/>
      <c r="BY422" s="443">
        <v>9891.11</v>
      </c>
      <c r="BZ422" s="444"/>
      <c r="CA422" s="444"/>
      <c r="CB422" s="444"/>
      <c r="CC422" s="444"/>
      <c r="CD422" s="441"/>
      <c r="CE422" s="441"/>
      <c r="CF422" s="441"/>
      <c r="CG422" s="441"/>
      <c r="CH422" s="441"/>
      <c r="CI422" s="441"/>
      <c r="CJ422" s="441"/>
      <c r="CK422" s="441"/>
      <c r="CL422" s="441"/>
      <c r="CM422" s="441"/>
      <c r="CN422" s="195"/>
      <c r="CO422" s="195"/>
      <c r="CP422" s="195"/>
      <c r="CQ422" s="195"/>
      <c r="CR422" s="195"/>
      <c r="CS422" s="195"/>
      <c r="CT422" s="195"/>
      <c r="CV422" s="276"/>
      <c r="CW422" s="287"/>
      <c r="CX422" s="287"/>
      <c r="CY422" s="287"/>
      <c r="CZ422" s="287"/>
      <c r="DA422" s="287"/>
      <c r="DB422" s="287"/>
      <c r="DC422" s="287"/>
      <c r="DD422" s="287"/>
      <c r="DE422" s="287"/>
      <c r="EK422" s="353"/>
      <c r="EL422" s="354"/>
    </row>
    <row r="423" spans="1:142">
      <c r="A423" s="440" t="s">
        <v>804</v>
      </c>
      <c r="B423" s="441"/>
      <c r="C423" s="441"/>
      <c r="D423" s="441"/>
      <c r="E423" s="441"/>
      <c r="F423" s="441"/>
      <c r="G423" s="441"/>
      <c r="H423" s="441"/>
      <c r="I423" s="441"/>
      <c r="J423" s="441"/>
      <c r="K423" s="441"/>
      <c r="L423" s="441"/>
      <c r="M423" s="441"/>
      <c r="N423" s="441"/>
      <c r="O423" s="441"/>
      <c r="P423" s="441"/>
      <c r="Q423" s="441"/>
      <c r="R423" s="441"/>
      <c r="S423" s="441"/>
      <c r="T423" s="441"/>
      <c r="U423" s="441"/>
      <c r="V423" s="441"/>
      <c r="W423" s="441"/>
      <c r="X423" s="441"/>
      <c r="Y423" s="441"/>
      <c r="Z423" s="441"/>
      <c r="AA423" s="441"/>
      <c r="AB423" s="441"/>
      <c r="AC423" s="441"/>
      <c r="AD423" s="441"/>
      <c r="AE423" s="441"/>
      <c r="AF423" s="441"/>
      <c r="AG423" s="441"/>
      <c r="AH423" s="441"/>
      <c r="AI423" s="441"/>
      <c r="AJ423" s="441"/>
      <c r="AK423" s="441"/>
      <c r="AL423" s="441"/>
      <c r="AM423" s="441"/>
      <c r="AN423" s="441"/>
      <c r="AO423" s="441"/>
      <c r="AP423" s="441"/>
      <c r="AQ423" s="441"/>
      <c r="AR423" s="441"/>
      <c r="AS423" s="441"/>
      <c r="AT423" s="441"/>
      <c r="AU423" s="441"/>
      <c r="AV423" s="441"/>
      <c r="AW423" s="441"/>
      <c r="AX423" s="441"/>
      <c r="AY423" s="441"/>
      <c r="AZ423" s="441"/>
      <c r="BA423" s="441"/>
      <c r="BB423" s="441"/>
      <c r="BC423" s="441"/>
      <c r="BD423" s="441"/>
      <c r="BE423" s="441"/>
      <c r="BF423" s="441"/>
      <c r="BG423" s="441"/>
      <c r="BH423" s="441"/>
      <c r="BI423" s="441"/>
      <c r="BJ423" s="441"/>
      <c r="BK423" s="259"/>
      <c r="BL423" s="259"/>
      <c r="BM423" s="259"/>
      <c r="BN423" s="259"/>
      <c r="BO423" s="446" t="s">
        <v>614</v>
      </c>
      <c r="BP423" s="446"/>
      <c r="BQ423" s="446"/>
      <c r="BR423" s="446"/>
      <c r="BS423" s="446"/>
      <c r="BT423" s="441"/>
      <c r="BU423" s="447"/>
      <c r="BV423" s="447"/>
      <c r="BW423" s="447"/>
      <c r="BX423" s="447"/>
      <c r="BY423" s="448" t="s">
        <v>695</v>
      </c>
      <c r="BZ423" s="447"/>
      <c r="CA423" s="447"/>
      <c r="CB423" s="447"/>
      <c r="CC423" s="447"/>
      <c r="CD423" s="447"/>
      <c r="CE423" s="447" t="s">
        <v>805</v>
      </c>
      <c r="CF423" s="447"/>
      <c r="CG423" s="447"/>
      <c r="CH423" s="447"/>
      <c r="CI423" s="447"/>
      <c r="CJ423" s="447"/>
      <c r="CK423" s="447"/>
      <c r="CL423" s="447"/>
      <c r="CM423" s="447"/>
      <c r="CN423" s="195"/>
      <c r="CO423" s="195"/>
      <c r="CP423" s="195"/>
      <c r="CQ423" s="195"/>
      <c r="CR423" s="195"/>
      <c r="CS423" s="195"/>
      <c r="CT423" s="195"/>
      <c r="CV423" s="276"/>
      <c r="CW423" s="287"/>
      <c r="CX423" s="287"/>
      <c r="CY423" s="287"/>
      <c r="CZ423" s="287"/>
      <c r="DA423" s="287"/>
      <c r="DB423" s="287"/>
      <c r="DC423" s="287"/>
      <c r="DD423" s="287"/>
      <c r="DE423" s="287"/>
      <c r="EK423" s="353"/>
      <c r="EL423" s="354"/>
    </row>
    <row r="424" spans="1:142">
      <c r="A424" s="445"/>
      <c r="B424" s="431"/>
      <c r="C424" s="431"/>
      <c r="D424" s="431"/>
      <c r="E424" s="431"/>
      <c r="F424" s="431"/>
      <c r="G424" s="431"/>
      <c r="H424" s="431"/>
      <c r="I424" s="431"/>
      <c r="J424" s="431"/>
      <c r="K424" s="431"/>
      <c r="L424" s="431"/>
      <c r="M424" s="431"/>
      <c r="N424" s="431"/>
      <c r="O424" s="431"/>
      <c r="P424" s="431"/>
      <c r="Q424" s="431"/>
      <c r="R424" s="431"/>
      <c r="S424" s="431"/>
      <c r="T424" s="431"/>
      <c r="U424" s="431"/>
      <c r="V424" s="431"/>
      <c r="W424" s="431"/>
      <c r="X424" s="431"/>
      <c r="Y424" s="431"/>
      <c r="Z424" s="431"/>
      <c r="AA424" s="431"/>
      <c r="AB424" s="431"/>
      <c r="AC424" s="431"/>
      <c r="AD424" s="431"/>
      <c r="AE424" s="431"/>
      <c r="AF424" s="431"/>
      <c r="AG424" s="431"/>
      <c r="AH424" s="431"/>
      <c r="AI424" s="431"/>
      <c r="AJ424" s="431"/>
      <c r="AK424" s="431"/>
      <c r="AL424" s="431"/>
      <c r="AM424" s="431"/>
      <c r="AN424" s="431"/>
      <c r="AO424" s="431"/>
      <c r="AP424" s="431"/>
      <c r="AQ424" s="431"/>
      <c r="AR424" s="431"/>
      <c r="AS424" s="431"/>
      <c r="AT424" s="431"/>
      <c r="AU424" s="431"/>
      <c r="AV424" s="431"/>
      <c r="AW424" s="431"/>
      <c r="AX424" s="431"/>
      <c r="AY424" s="431"/>
      <c r="AZ424" s="431"/>
      <c r="BA424" s="259"/>
      <c r="BB424" s="259"/>
      <c r="BC424" s="259"/>
      <c r="BD424" s="259"/>
      <c r="BE424" s="431"/>
      <c r="BF424" s="259"/>
      <c r="BG424" s="259"/>
      <c r="BH424" s="431"/>
      <c r="BI424" s="431"/>
      <c r="BJ424" s="431"/>
      <c r="BK424" s="259"/>
      <c r="BL424" s="259"/>
      <c r="BM424" s="259"/>
      <c r="BN424" s="259"/>
      <c r="BO424" s="431"/>
      <c r="BP424" s="431"/>
      <c r="BQ424" s="431"/>
      <c r="BR424" s="431"/>
      <c r="BS424" s="431"/>
      <c r="BT424" s="431"/>
      <c r="BU424" s="449"/>
      <c r="BV424" s="449"/>
      <c r="BW424" s="449"/>
      <c r="BX424" s="449"/>
      <c r="BY424" s="431"/>
      <c r="BZ424" s="449"/>
      <c r="CA424" s="449"/>
      <c r="CB424" s="449"/>
      <c r="CC424" s="449"/>
      <c r="CD424" s="431"/>
      <c r="CE424" s="431"/>
      <c r="CF424" s="431"/>
      <c r="CG424" s="431"/>
      <c r="CH424" s="431"/>
      <c r="CI424" s="431"/>
      <c r="CJ424" s="431"/>
      <c r="CK424" s="431"/>
      <c r="CL424" s="431"/>
      <c r="CM424" s="431"/>
      <c r="CN424" s="195"/>
      <c r="CO424" s="195"/>
      <c r="CP424" s="195"/>
      <c r="CQ424" s="195"/>
      <c r="CR424" s="195"/>
      <c r="CS424" s="195"/>
      <c r="CT424" s="195"/>
      <c r="CV424" s="276"/>
      <c r="CW424" s="287"/>
      <c r="CX424" s="287"/>
      <c r="CY424" s="287"/>
      <c r="CZ424" s="287"/>
      <c r="DA424" s="287"/>
      <c r="DB424" s="287"/>
      <c r="DC424" s="287"/>
      <c r="DD424" s="287"/>
      <c r="DE424" s="287"/>
      <c r="EK424" s="353"/>
      <c r="EL424" s="354"/>
    </row>
    <row r="425" spans="1:142" s="195" customFormat="1">
      <c r="A425" s="276" t="s">
        <v>786</v>
      </c>
      <c r="B425" s="287"/>
      <c r="C425" s="287"/>
      <c r="D425" s="287"/>
      <c r="E425" s="287"/>
      <c r="F425" s="287"/>
      <c r="G425" s="352">
        <f>G368</f>
        <v>1192.2</v>
      </c>
      <c r="H425" s="352">
        <f t="shared" ref="H425:BS425" si="1467">H368</f>
        <v>0</v>
      </c>
      <c r="I425" s="352">
        <f t="shared" si="1467"/>
        <v>0</v>
      </c>
      <c r="J425" s="352">
        <f t="shared" si="1467"/>
        <v>278</v>
      </c>
      <c r="K425" s="352">
        <f t="shared" si="1467"/>
        <v>281</v>
      </c>
      <c r="L425" s="352">
        <f t="shared" si="1467"/>
        <v>1165</v>
      </c>
      <c r="M425" s="352">
        <f t="shared" si="1467"/>
        <v>267</v>
      </c>
      <c r="N425" s="352">
        <f t="shared" si="1467"/>
        <v>253</v>
      </c>
      <c r="O425" s="352">
        <f t="shared" si="1467"/>
        <v>274</v>
      </c>
      <c r="P425" s="352">
        <f t="shared" si="1467"/>
        <v>279</v>
      </c>
      <c r="Q425" s="352">
        <f t="shared" si="1467"/>
        <v>1073</v>
      </c>
      <c r="R425" s="352">
        <f t="shared" si="1467"/>
        <v>285</v>
      </c>
      <c r="S425" s="352">
        <f t="shared" si="1467"/>
        <v>288</v>
      </c>
      <c r="T425" s="352">
        <f t="shared" si="1467"/>
        <v>309</v>
      </c>
      <c r="U425" s="352">
        <f t="shared" si="1467"/>
        <v>309</v>
      </c>
      <c r="V425" s="352">
        <f t="shared" si="1467"/>
        <v>1191</v>
      </c>
      <c r="W425" s="352">
        <f t="shared" si="1467"/>
        <v>1297.3825000000002</v>
      </c>
      <c r="X425" s="352">
        <f t="shared" si="1467"/>
        <v>1406.0575000000001</v>
      </c>
      <c r="Y425" s="352">
        <f t="shared" si="1467"/>
        <v>1450.184</v>
      </c>
      <c r="Z425" s="352">
        <f t="shared" si="1467"/>
        <v>1729.6279999999999</v>
      </c>
      <c r="AA425" s="352">
        <f t="shared" si="1467"/>
        <v>5883.2520000000004</v>
      </c>
      <c r="AB425" s="352">
        <f t="shared" si="1467"/>
        <v>1575.386</v>
      </c>
      <c r="AC425" s="352">
        <f t="shared" si="1467"/>
        <v>1469.14</v>
      </c>
      <c r="AD425" s="352">
        <f t="shared" si="1467"/>
        <v>1388.915</v>
      </c>
      <c r="AE425" s="352">
        <f t="shared" si="1467"/>
        <v>1496.136</v>
      </c>
      <c r="AF425" s="352">
        <f t="shared" si="1467"/>
        <v>5929.5770000000002</v>
      </c>
      <c r="AG425" s="352">
        <f t="shared" si="1467"/>
        <v>1378.046</v>
      </c>
      <c r="AH425" s="352">
        <f t="shared" si="1467"/>
        <v>1330.9660000000001</v>
      </c>
      <c r="AI425" s="352">
        <f t="shared" si="1467"/>
        <v>1312.04</v>
      </c>
      <c r="AJ425" s="352">
        <f t="shared" si="1467"/>
        <v>1523.0440000000001</v>
      </c>
      <c r="AK425" s="352">
        <f t="shared" si="1467"/>
        <v>5718.6694805769366</v>
      </c>
      <c r="AL425" s="352">
        <f t="shared" si="1467"/>
        <v>351.5</v>
      </c>
      <c r="AM425" s="352">
        <f t="shared" si="1467"/>
        <v>350.1</v>
      </c>
      <c r="AN425" s="352">
        <f t="shared" si="1467"/>
        <v>366</v>
      </c>
      <c r="AO425" s="352">
        <f t="shared" si="1467"/>
        <v>379</v>
      </c>
      <c r="AP425" s="352">
        <f t="shared" si="1467"/>
        <v>1542</v>
      </c>
      <c r="AQ425" s="352">
        <f t="shared" si="1467"/>
        <v>639</v>
      </c>
      <c r="AR425" s="352">
        <f t="shared" si="1467"/>
        <v>767</v>
      </c>
      <c r="AS425" s="352">
        <f t="shared" si="1467"/>
        <v>670</v>
      </c>
      <c r="AT425" s="352">
        <f t="shared" si="1467"/>
        <v>705</v>
      </c>
      <c r="AU425" s="352">
        <f t="shared" si="1467"/>
        <v>2781</v>
      </c>
      <c r="AV425" s="352">
        <f t="shared" si="1467"/>
        <v>716</v>
      </c>
      <c r="AW425" s="352">
        <f t="shared" si="1467"/>
        <v>637</v>
      </c>
      <c r="AX425" s="352">
        <f t="shared" si="1467"/>
        <v>655</v>
      </c>
      <c r="AY425" s="352">
        <f t="shared" si="1467"/>
        <v>668</v>
      </c>
      <c r="AZ425" s="352">
        <f t="shared" si="1467"/>
        <v>2676</v>
      </c>
      <c r="BA425" s="352">
        <f t="shared" si="1467"/>
        <v>660</v>
      </c>
      <c r="BB425" s="352">
        <f t="shared" si="1467"/>
        <v>683</v>
      </c>
      <c r="BC425" s="352">
        <f t="shared" si="1467"/>
        <v>713</v>
      </c>
      <c r="BD425" s="352">
        <f t="shared" si="1467"/>
        <v>1009</v>
      </c>
      <c r="BE425" s="352">
        <f t="shared" si="1467"/>
        <v>3065</v>
      </c>
      <c r="BF425" s="352">
        <f t="shared" si="1467"/>
        <v>600</v>
      </c>
      <c r="BG425" s="352">
        <f t="shared" si="1467"/>
        <v>548</v>
      </c>
      <c r="BH425" s="352">
        <f t="shared" si="1467"/>
        <v>543</v>
      </c>
      <c r="BI425" s="352">
        <f t="shared" si="1467"/>
        <v>550</v>
      </c>
      <c r="BJ425" s="352">
        <f t="shared" si="1467"/>
        <v>2241</v>
      </c>
      <c r="BK425" s="352">
        <f t="shared" si="1467"/>
        <v>525</v>
      </c>
      <c r="BL425" s="352">
        <f t="shared" si="1467"/>
        <v>559</v>
      </c>
      <c r="BM425" s="352">
        <f t="shared" si="1467"/>
        <v>542</v>
      </c>
      <c r="BN425" s="352">
        <f t="shared" si="1467"/>
        <v>585</v>
      </c>
      <c r="BO425" s="352">
        <f t="shared" si="1467"/>
        <v>2211</v>
      </c>
      <c r="BP425" s="352">
        <f t="shared" si="1467"/>
        <v>559</v>
      </c>
      <c r="BQ425" s="352">
        <f t="shared" si="1467"/>
        <v>540</v>
      </c>
      <c r="BR425" s="352">
        <f t="shared" si="1467"/>
        <v>584</v>
      </c>
      <c r="BS425" s="352">
        <f t="shared" si="1467"/>
        <v>591</v>
      </c>
      <c r="BT425" s="352">
        <f t="shared" ref="BT425:CM425" si="1468">BT368</f>
        <v>2274</v>
      </c>
      <c r="BU425" s="352">
        <f t="shared" si="1468"/>
        <v>1479</v>
      </c>
      <c r="BV425" s="352">
        <f t="shared" si="1468"/>
        <v>1412</v>
      </c>
      <c r="BW425" s="352">
        <f t="shared" si="1468"/>
        <v>1401</v>
      </c>
      <c r="BX425" s="352">
        <f t="shared" si="1468"/>
        <v>1568</v>
      </c>
      <c r="BY425" s="352">
        <f t="shared" si="1468"/>
        <v>5860</v>
      </c>
      <c r="BZ425" s="352">
        <f t="shared" si="1468"/>
        <v>1554</v>
      </c>
      <c r="CA425" s="352">
        <f t="shared" ref="CA425:CB425" si="1469">CA368</f>
        <v>1468</v>
      </c>
      <c r="CB425" s="352">
        <f t="shared" si="1469"/>
        <v>1513</v>
      </c>
      <c r="CC425" s="352">
        <f t="shared" ref="CC425" si="1470">CC368</f>
        <v>1685</v>
      </c>
      <c r="CD425" s="352">
        <f>CD368</f>
        <v>6220</v>
      </c>
      <c r="CE425" s="352">
        <f t="shared" si="1468"/>
        <v>6457.7713470437502</v>
      </c>
      <c r="CF425" s="352">
        <f t="shared" si="1468"/>
        <v>6607.6203376748617</v>
      </c>
      <c r="CG425" s="352">
        <f t="shared" si="1468"/>
        <v>6773.2916646032172</v>
      </c>
      <c r="CH425" s="352">
        <f t="shared" si="1468"/>
        <v>6958.9461067211987</v>
      </c>
      <c r="CI425" s="352">
        <f t="shared" si="1468"/>
        <v>7163.2318143666425</v>
      </c>
      <c r="CJ425" s="352">
        <f t="shared" si="1468"/>
        <v>7366.192850288041</v>
      </c>
      <c r="CK425" s="352">
        <f t="shared" si="1468"/>
        <v>7568.3025943809989</v>
      </c>
      <c r="CL425" s="352">
        <f t="shared" si="1468"/>
        <v>7770.0158830842529</v>
      </c>
      <c r="CM425" s="352">
        <f t="shared" si="1468"/>
        <v>7971.7707103530493</v>
      </c>
      <c r="CV425" s="452"/>
      <c r="CW425" s="352"/>
      <c r="CX425" s="352"/>
      <c r="CY425" s="352"/>
      <c r="CZ425" s="352"/>
      <c r="DA425" s="352"/>
      <c r="DB425" s="352"/>
      <c r="DC425" s="352"/>
      <c r="DD425" s="352"/>
      <c r="DE425" s="352"/>
    </row>
    <row r="426" spans="1:142">
      <c r="A426" s="445"/>
      <c r="B426" s="431"/>
      <c r="C426" s="431"/>
      <c r="D426" s="431"/>
      <c r="E426" s="431"/>
      <c r="F426" s="431"/>
      <c r="G426" s="431"/>
      <c r="H426" s="431"/>
      <c r="I426" s="431"/>
      <c r="J426" s="431"/>
      <c r="K426" s="431"/>
      <c r="L426" s="431"/>
      <c r="M426" s="431"/>
      <c r="N426" s="431"/>
      <c r="O426" s="431"/>
      <c r="P426" s="431"/>
      <c r="Q426" s="431"/>
      <c r="R426" s="431"/>
      <c r="S426" s="431"/>
      <c r="T426" s="431"/>
      <c r="U426" s="431"/>
      <c r="V426" s="431"/>
      <c r="W426" s="431"/>
      <c r="X426" s="431"/>
      <c r="Y426" s="431"/>
      <c r="Z426" s="431"/>
      <c r="AA426" s="431"/>
      <c r="AB426" s="431"/>
      <c r="AC426" s="431"/>
      <c r="AD426" s="431"/>
      <c r="AE426" s="431"/>
      <c r="AF426" s="431"/>
      <c r="AG426" s="431"/>
      <c r="AH426" s="431"/>
      <c r="AI426" s="431"/>
      <c r="AJ426" s="431"/>
      <c r="AK426" s="431"/>
      <c r="AL426" s="431"/>
      <c r="AM426" s="431"/>
      <c r="AN426" s="431"/>
      <c r="AO426" s="431"/>
      <c r="AP426" s="431"/>
      <c r="AQ426" s="431"/>
      <c r="AR426" s="431"/>
      <c r="AS426" s="431"/>
      <c r="AT426" s="431"/>
      <c r="AU426" s="431"/>
      <c r="AV426" s="431"/>
      <c r="AW426" s="431"/>
      <c r="AX426" s="431"/>
      <c r="AY426" s="431"/>
      <c r="AZ426" s="431"/>
      <c r="BA426" s="259"/>
      <c r="BB426" s="259"/>
      <c r="BC426" s="259"/>
      <c r="BD426" s="259"/>
      <c r="BE426" s="431"/>
      <c r="BF426" s="259"/>
      <c r="BG426" s="259"/>
      <c r="BH426" s="431"/>
      <c r="BI426" s="431"/>
      <c r="BJ426" s="431"/>
      <c r="BK426" s="259"/>
      <c r="BL426" s="259"/>
      <c r="BM426" s="259"/>
      <c r="BN426" s="259"/>
      <c r="BO426" s="431"/>
      <c r="BP426" s="259"/>
      <c r="BQ426" s="259"/>
      <c r="BR426" s="259"/>
      <c r="BS426" s="259"/>
      <c r="BT426" s="431"/>
      <c r="BU426" s="251"/>
      <c r="BV426" s="251"/>
      <c r="BW426" s="251"/>
      <c r="BX426" s="251"/>
      <c r="BY426" s="431"/>
      <c r="BZ426" s="251"/>
      <c r="CA426" s="251"/>
      <c r="CB426" s="251"/>
      <c r="CC426" s="251"/>
      <c r="CD426" s="431"/>
      <c r="CE426" s="431"/>
      <c r="CF426" s="431"/>
      <c r="CG426" s="431"/>
      <c r="CH426" s="431"/>
      <c r="CI426" s="431"/>
      <c r="CJ426" s="431"/>
      <c r="CK426" s="431"/>
      <c r="CL426" s="431"/>
      <c r="CM426" s="431"/>
      <c r="CN426" s="195"/>
      <c r="CO426" s="195"/>
      <c r="CP426" s="195"/>
      <c r="CQ426" s="195"/>
      <c r="CR426" s="195"/>
      <c r="CS426" s="195"/>
      <c r="CT426" s="195"/>
      <c r="CV426" s="276"/>
      <c r="CW426" s="287"/>
      <c r="CX426" s="287"/>
      <c r="CY426" s="287"/>
      <c r="CZ426" s="287"/>
      <c r="DA426" s="287"/>
      <c r="DB426" s="287"/>
      <c r="DC426" s="287"/>
      <c r="DD426" s="287"/>
      <c r="DE426" s="287"/>
      <c r="EK426" s="353"/>
      <c r="EL426" s="354"/>
    </row>
    <row r="427" spans="1:142" s="195" customFormat="1">
      <c r="A427" s="452"/>
      <c r="B427" s="453"/>
      <c r="C427" s="453"/>
      <c r="D427" s="453"/>
      <c r="E427" s="453"/>
      <c r="F427" s="453"/>
      <c r="G427" s="453"/>
      <c r="H427" s="453"/>
      <c r="I427" s="453"/>
      <c r="J427" s="453"/>
      <c r="K427" s="453"/>
      <c r="L427" s="453"/>
      <c r="M427" s="453"/>
      <c r="N427" s="453"/>
      <c r="O427" s="453"/>
      <c r="P427" s="453"/>
      <c r="Q427" s="453"/>
      <c r="R427" s="453"/>
      <c r="S427" s="453"/>
      <c r="T427" s="453"/>
      <c r="U427" s="453"/>
      <c r="V427" s="453"/>
      <c r="W427" s="453"/>
      <c r="X427" s="453"/>
      <c r="Y427" s="453"/>
      <c r="Z427" s="453"/>
      <c r="AA427" s="453"/>
      <c r="AB427" s="453"/>
      <c r="AC427" s="453"/>
      <c r="AD427" s="453"/>
      <c r="AE427" s="453"/>
      <c r="AF427" s="453"/>
      <c r="AG427" s="453"/>
      <c r="AH427" s="453"/>
      <c r="AI427" s="453"/>
      <c r="AJ427" s="453"/>
      <c r="AK427" s="453"/>
      <c r="AL427" s="453"/>
      <c r="AM427" s="453"/>
      <c r="AN427" s="453"/>
      <c r="AO427" s="453"/>
      <c r="AP427" s="453"/>
      <c r="AQ427" s="453"/>
      <c r="AR427" s="453"/>
      <c r="AS427" s="453"/>
      <c r="AT427" s="352"/>
      <c r="AU427" s="352"/>
      <c r="AV427" s="352"/>
      <c r="AW427" s="352"/>
      <c r="AX427" s="453"/>
      <c r="AY427" s="453"/>
      <c r="AZ427" s="352"/>
      <c r="BA427" s="454"/>
      <c r="BB427" s="454"/>
      <c r="BC427" s="454"/>
      <c r="BD427" s="454"/>
      <c r="BE427" s="455"/>
      <c r="BF427" s="454"/>
      <c r="BG427" s="454"/>
      <c r="BH427" s="455"/>
      <c r="BI427" s="455"/>
      <c r="BJ427" s="352"/>
      <c r="BK427" s="454"/>
      <c r="BL427" s="454"/>
      <c r="BM427" s="454"/>
      <c r="BN427" s="454"/>
      <c r="BO427" s="352"/>
      <c r="BP427" s="454"/>
      <c r="BQ427" s="454"/>
      <c r="BR427" s="456">
        <f>SUM(BP430:BR430)</f>
        <v>2944</v>
      </c>
      <c r="BS427" s="454"/>
      <c r="BT427" s="352"/>
      <c r="BU427" s="457"/>
      <c r="BV427" s="457"/>
      <c r="BW427" s="456">
        <f>SUM(BU430:BW430)</f>
        <v>2943</v>
      </c>
      <c r="BX427" s="456">
        <f>SUM(BV430:BX430)</f>
        <v>3002</v>
      </c>
      <c r="BY427" s="352"/>
      <c r="BZ427" s="457"/>
      <c r="CA427" s="457"/>
      <c r="CB427" s="457"/>
      <c r="CC427" s="457"/>
      <c r="CD427" s="352"/>
      <c r="CE427" s="352"/>
      <c r="CF427" s="352"/>
      <c r="CG427" s="352"/>
      <c r="CH427" s="352"/>
      <c r="CI427" s="352"/>
      <c r="CJ427" s="352"/>
      <c r="CK427" s="352"/>
      <c r="CL427" s="352"/>
      <c r="CM427" s="352"/>
      <c r="CV427" s="452"/>
      <c r="CW427" s="352"/>
      <c r="CX427" s="352"/>
      <c r="CY427" s="352"/>
      <c r="CZ427" s="352"/>
      <c r="DA427" s="352"/>
      <c r="DB427" s="352"/>
      <c r="DC427" s="352"/>
      <c r="DD427" s="352"/>
      <c r="DE427" s="352"/>
      <c r="EK427" s="195">
        <v>39960</v>
      </c>
      <c r="EL427" s="195">
        <v>0.98629999999999995</v>
      </c>
    </row>
    <row r="428" spans="1:142">
      <c r="A428" s="276" t="s">
        <v>434</v>
      </c>
      <c r="B428" s="324"/>
      <c r="C428" s="324"/>
      <c r="D428" s="324"/>
      <c r="E428" s="450">
        <v>1185</v>
      </c>
      <c r="F428" s="450">
        <v>1144</v>
      </c>
      <c r="G428" s="450">
        <v>4402.2000000000007</v>
      </c>
      <c r="H428" s="450">
        <v>1071</v>
      </c>
      <c r="I428" s="450">
        <v>1075.2475247524753</v>
      </c>
      <c r="J428" s="450">
        <v>1086</v>
      </c>
      <c r="K428" s="450">
        <v>1106</v>
      </c>
      <c r="L428" s="450">
        <v>4220</v>
      </c>
      <c r="M428" s="450">
        <v>1082</v>
      </c>
      <c r="N428" s="450">
        <v>1028</v>
      </c>
      <c r="O428" s="450">
        <v>1140</v>
      </c>
      <c r="P428" s="450">
        <v>1166</v>
      </c>
      <c r="Q428" s="450">
        <v>4416</v>
      </c>
      <c r="R428" s="450">
        <v>1090</v>
      </c>
      <c r="S428" s="450">
        <v>1106</v>
      </c>
      <c r="T428" s="450">
        <v>1123</v>
      </c>
      <c r="U428" s="450">
        <v>1104</v>
      </c>
      <c r="V428" s="450">
        <v>4423</v>
      </c>
      <c r="W428" s="450">
        <v>1133</v>
      </c>
      <c r="X428" s="450">
        <v>1106</v>
      </c>
      <c r="Y428" s="450">
        <v>1060</v>
      </c>
      <c r="Z428" s="450">
        <v>1065</v>
      </c>
      <c r="AA428" s="450">
        <v>4359</v>
      </c>
      <c r="AB428" s="450">
        <v>1133</v>
      </c>
      <c r="AC428" s="450">
        <v>1106</v>
      </c>
      <c r="AD428" s="450">
        <v>1060</v>
      </c>
      <c r="AE428" s="450">
        <v>1065</v>
      </c>
      <c r="AF428" s="450">
        <f>SUM(AB428:AE428)</f>
        <v>4364</v>
      </c>
      <c r="AG428" s="450">
        <f>'[2]Profit and Loss Highlights'!K$60</f>
        <v>1073</v>
      </c>
      <c r="AH428" s="450">
        <f>'[2]Profit and Loss Highlights'!L$60</f>
        <v>1086</v>
      </c>
      <c r="AI428" s="450">
        <f>'[2]Profit and Loss Highlights'!M$60</f>
        <v>1079</v>
      </c>
      <c r="AJ428" s="450">
        <f>'[2]Profit and Loss Highlights'!N$60</f>
        <v>1034</v>
      </c>
      <c r="AK428" s="450">
        <f>SUM(AG428:AJ428)</f>
        <v>4272</v>
      </c>
      <c r="AL428" s="450">
        <f>'[2]Profit and Loss Highlights'!O$60</f>
        <v>1047</v>
      </c>
      <c r="AM428" s="450">
        <f>'[2]Profit and Loss Highlights'!P$60</f>
        <v>1101</v>
      </c>
      <c r="AN428" s="450">
        <f>'[2]Profit and Loss Highlights'!Q$60</f>
        <v>1021</v>
      </c>
      <c r="AO428" s="450">
        <f>'[2]Profit and Loss Highlights'!R$60</f>
        <v>1162</v>
      </c>
      <c r="AP428" s="450">
        <v>4331</v>
      </c>
      <c r="AQ428" s="450">
        <f>'[2]Profit and Loss Highlights'!S$60</f>
        <v>1213</v>
      </c>
      <c r="AR428" s="450">
        <f>'[2]Profit and Loss Highlights'!T$60</f>
        <v>1050</v>
      </c>
      <c r="AS428" s="450">
        <f>'[2]Profit and Loss Highlights'!U$60</f>
        <v>1130</v>
      </c>
      <c r="AT428" s="450">
        <f>'[2]Profit and Loss Highlights'!V$60</f>
        <v>1158</v>
      </c>
      <c r="AU428" s="450">
        <f>SUM(AQ428:AT428)</f>
        <v>4551</v>
      </c>
      <c r="AV428" s="450">
        <f>'[2]Profit and Loss Highlights'!W$60</f>
        <v>1013</v>
      </c>
      <c r="AW428" s="450">
        <f>'[2]Profit and Loss Highlights'!X$60</f>
        <v>1125</v>
      </c>
      <c r="AX428" s="450">
        <f>'[2]Profit and Loss Highlights'!Y$60</f>
        <v>1109</v>
      </c>
      <c r="AY428" s="450">
        <f>'[2]Profit and Loss Highlights'!Z$60</f>
        <v>1061</v>
      </c>
      <c r="AZ428" s="450">
        <f>SUM(AV428:AY428)</f>
        <v>4308</v>
      </c>
      <c r="BA428" s="450">
        <f>'[2]Profit and Loss Highlights'!AA$60</f>
        <v>1023</v>
      </c>
      <c r="BB428" s="450">
        <f>'[2]Profit and Loss Highlights'!AB$60</f>
        <v>1007</v>
      </c>
      <c r="BC428" s="450">
        <f>'[2]Profit and Loss Highlights'!AC$60</f>
        <v>1025</v>
      </c>
      <c r="BD428" s="450">
        <f>'[2]Profit and Loss Highlights'!AD$60</f>
        <v>762</v>
      </c>
      <c r="BE428" s="324">
        <f>SUM(BA428:BD428)</f>
        <v>3817</v>
      </c>
      <c r="BF428" s="450">
        <f>'[2]Profit and Loss Highlights'!AE$60</f>
        <v>982</v>
      </c>
      <c r="BG428" s="450">
        <f>'[2]Profit and Loss Highlights'!AF$60</f>
        <v>978</v>
      </c>
      <c r="BH428" s="450">
        <f>'[2]Profit and Loss Highlights'!AG$60</f>
        <v>986</v>
      </c>
      <c r="BI428" s="450">
        <f>'[2]Profit and Loss Highlights'!AH$60</f>
        <v>945</v>
      </c>
      <c r="BJ428" s="324">
        <f>SUM(BF428:BI428)</f>
        <v>3891</v>
      </c>
      <c r="BK428" s="450">
        <f>'[2]Profit and Loss Highlights'!AI$60</f>
        <v>944</v>
      </c>
      <c r="BL428" s="450">
        <f>'[2]Profit and Loss Highlights'!AJ$60</f>
        <v>938</v>
      </c>
      <c r="BM428" s="450">
        <f>'[2]Profit and Loss Highlights'!AK$60</f>
        <v>953</v>
      </c>
      <c r="BN428" s="450">
        <f>'[2]Profit and Loss Highlights'!AL$60</f>
        <v>924</v>
      </c>
      <c r="BO428" s="324">
        <f>SUM(BK428:BN428)</f>
        <v>3759</v>
      </c>
      <c r="BP428" s="450">
        <f>'[2]Profit and Loss Highlights'!AM$60</f>
        <v>961</v>
      </c>
      <c r="BQ428" s="450">
        <f>'[2]Profit and Loss Highlights'!AN$60</f>
        <v>996</v>
      </c>
      <c r="BR428" s="450">
        <f>'[2]Profit and Loss Highlights'!AO$60</f>
        <v>969</v>
      </c>
      <c r="BS428" s="450">
        <f>'[2]Profit and Loss Highlights'!AP$60</f>
        <v>932</v>
      </c>
      <c r="BT428" s="324">
        <f>SUM(BP428:BS428)</f>
        <v>3858</v>
      </c>
      <c r="BU428" s="451">
        <f>'[2]Profit and Loss Highlights'!AQ$60</f>
        <v>927</v>
      </c>
      <c r="BV428" s="451">
        <f>'[2]Profit and Loss Highlights'!AR$60</f>
        <v>1012</v>
      </c>
      <c r="BW428" s="451">
        <f>'[2]Profit and Loss Highlights'!AS$60</f>
        <v>1004</v>
      </c>
      <c r="BX428" s="451">
        <f>'[2]Profit and Loss Highlights'!AT$60</f>
        <v>986</v>
      </c>
      <c r="BY428" s="324">
        <f>SUM(BU428:BX428)</f>
        <v>3929</v>
      </c>
      <c r="BZ428" s="451">
        <f>'[2]Profit and Loss Highlights'!AU$60</f>
        <v>972</v>
      </c>
      <c r="CA428" s="451">
        <f>'[2]Profit and Loss Highlights'!AV$60</f>
        <v>1002</v>
      </c>
      <c r="CB428" s="451">
        <f>'[2]Profit and Loss Highlights'!AW$60</f>
        <v>929</v>
      </c>
      <c r="CC428" s="451">
        <f>'[2]Profit and Loss Highlights'!AX$60</f>
        <v>1057</v>
      </c>
      <c r="CD428" s="324">
        <f>SUM(BZ428:CC428)</f>
        <v>3960</v>
      </c>
      <c r="CE428" s="324">
        <f t="shared" ref="CE428:CI428" si="1471">CE430-CE429</f>
        <v>4171.0576269054345</v>
      </c>
      <c r="CF428" s="324">
        <f t="shared" si="1471"/>
        <v>4296.5338349015092</v>
      </c>
      <c r="CG428" s="324">
        <f t="shared" si="1471"/>
        <v>4436.3939792013425</v>
      </c>
      <c r="CH428" s="324">
        <f t="shared" si="1471"/>
        <v>4589.6746823582716</v>
      </c>
      <c r="CI428" s="324">
        <f t="shared" si="1471"/>
        <v>4755.1149503443366</v>
      </c>
      <c r="CJ428" s="324">
        <f t="shared" ref="CJ428:CL428" si="1472">CJ430-CJ429</f>
        <v>4921.3878769655921</v>
      </c>
      <c r="CK428" s="324">
        <f t="shared" si="1472"/>
        <v>5088.8125944151761</v>
      </c>
      <c r="CL428" s="324">
        <f t="shared" si="1472"/>
        <v>5257.7045052849217</v>
      </c>
      <c r="CM428" s="324">
        <f t="shared" ref="CM428" si="1473">CM430-CM429</f>
        <v>5428.3759740857668</v>
      </c>
      <c r="CN428" s="195"/>
      <c r="CO428" s="195"/>
      <c r="CP428" s="195"/>
      <c r="CQ428" s="195"/>
      <c r="CR428" s="195"/>
      <c r="CS428" s="195"/>
      <c r="CT428" s="195"/>
      <c r="CV428" s="276"/>
      <c r="CW428" s="287"/>
      <c r="CX428" s="287"/>
      <c r="CY428" s="287"/>
      <c r="CZ428" s="287"/>
      <c r="DA428" s="287"/>
      <c r="DB428" s="287"/>
      <c r="DC428" s="287"/>
      <c r="DD428" s="287"/>
      <c r="DE428" s="287"/>
      <c r="EK428" s="353">
        <v>39961</v>
      </c>
      <c r="EL428" s="354">
        <v>0.97919999999999996</v>
      </c>
    </row>
    <row r="429" spans="1:142">
      <c r="A429" s="276" t="s">
        <v>552</v>
      </c>
      <c r="B429" s="324"/>
      <c r="C429" s="324"/>
      <c r="D429" s="324"/>
      <c r="E429" s="324">
        <f t="shared" ref="E429:AT429" si="1474">E430-E428</f>
        <v>0</v>
      </c>
      <c r="F429" s="324">
        <f t="shared" si="1474"/>
        <v>0</v>
      </c>
      <c r="G429" s="324">
        <f t="shared" si="1474"/>
        <v>0</v>
      </c>
      <c r="H429" s="324">
        <f t="shared" si="1474"/>
        <v>0</v>
      </c>
      <c r="I429" s="324">
        <f t="shared" si="1474"/>
        <v>0</v>
      </c>
      <c r="J429" s="324">
        <f t="shared" si="1474"/>
        <v>0</v>
      </c>
      <c r="K429" s="324">
        <f t="shared" si="1474"/>
        <v>0</v>
      </c>
      <c r="L429" s="324">
        <f t="shared" si="1474"/>
        <v>0</v>
      </c>
      <c r="M429" s="324">
        <f t="shared" si="1474"/>
        <v>0</v>
      </c>
      <c r="N429" s="324">
        <f t="shared" si="1474"/>
        <v>0</v>
      </c>
      <c r="O429" s="324">
        <f t="shared" si="1474"/>
        <v>0</v>
      </c>
      <c r="P429" s="324">
        <f t="shared" si="1474"/>
        <v>0</v>
      </c>
      <c r="Q429" s="324">
        <f t="shared" si="1474"/>
        <v>0</v>
      </c>
      <c r="R429" s="324">
        <f t="shared" si="1474"/>
        <v>0</v>
      </c>
      <c r="S429" s="324">
        <f t="shared" si="1474"/>
        <v>0</v>
      </c>
      <c r="T429" s="324">
        <f t="shared" si="1474"/>
        <v>0</v>
      </c>
      <c r="U429" s="324">
        <f t="shared" si="1474"/>
        <v>0</v>
      </c>
      <c r="V429" s="324">
        <f t="shared" si="1474"/>
        <v>0</v>
      </c>
      <c r="W429" s="324">
        <f t="shared" si="1474"/>
        <v>0</v>
      </c>
      <c r="X429" s="324">
        <f t="shared" si="1474"/>
        <v>0</v>
      </c>
      <c r="Y429" s="324">
        <f t="shared" si="1474"/>
        <v>-5</v>
      </c>
      <c r="Z429" s="324">
        <f t="shared" si="1474"/>
        <v>0</v>
      </c>
      <c r="AA429" s="324">
        <f t="shared" si="1474"/>
        <v>0</v>
      </c>
      <c r="AB429" s="324">
        <f t="shared" si="1474"/>
        <v>-11</v>
      </c>
      <c r="AC429" s="324">
        <f t="shared" si="1474"/>
        <v>59</v>
      </c>
      <c r="AD429" s="324">
        <f t="shared" si="1474"/>
        <v>94</v>
      </c>
      <c r="AE429" s="324">
        <f t="shared" si="1474"/>
        <v>16</v>
      </c>
      <c r="AF429" s="324">
        <f t="shared" si="1474"/>
        <v>158</v>
      </c>
      <c r="AG429" s="324">
        <f t="shared" si="1474"/>
        <v>-365.25399999999991</v>
      </c>
      <c r="AH429" s="324">
        <f t="shared" si="1474"/>
        <v>-434.33399999999995</v>
      </c>
      <c r="AI429" s="324">
        <f t="shared" si="1474"/>
        <v>-426.46000000000004</v>
      </c>
      <c r="AJ429" s="324">
        <f t="shared" si="1474"/>
        <v>-337.65599999999995</v>
      </c>
      <c r="AK429" s="324">
        <f t="shared" si="1474"/>
        <v>-159.66948057693662</v>
      </c>
      <c r="AL429" s="324">
        <f t="shared" si="1474"/>
        <v>-333.53199999999993</v>
      </c>
      <c r="AM429" s="324">
        <f t="shared" si="1474"/>
        <v>-451.12</v>
      </c>
      <c r="AN429" s="324">
        <f t="shared" si="1474"/>
        <v>-332</v>
      </c>
      <c r="AO429" s="324">
        <f t="shared" si="1474"/>
        <v>-486</v>
      </c>
      <c r="AP429" s="324">
        <f t="shared" si="1474"/>
        <v>95</v>
      </c>
      <c r="AQ429" s="324">
        <f t="shared" si="1474"/>
        <v>-52</v>
      </c>
      <c r="AR429" s="324">
        <f t="shared" si="1474"/>
        <v>-40</v>
      </c>
      <c r="AS429" s="324">
        <f t="shared" si="1474"/>
        <v>14</v>
      </c>
      <c r="AT429" s="324">
        <f t="shared" si="1474"/>
        <v>29</v>
      </c>
      <c r="AU429" s="324">
        <f>SUM(AQ429:AT429)</f>
        <v>-49</v>
      </c>
      <c r="AV429" s="324">
        <f>AV430-AV428</f>
        <v>11</v>
      </c>
      <c r="AW429" s="324">
        <f>AW430-AW428</f>
        <v>-119</v>
      </c>
      <c r="AX429" s="324">
        <f>AX430-AX428</f>
        <v>10</v>
      </c>
      <c r="AY429" s="324">
        <f>AY430-AY428</f>
        <v>-15</v>
      </c>
      <c r="AZ429" s="324">
        <f>SUM(AV429:AY429)</f>
        <v>-113</v>
      </c>
      <c r="BA429" s="324">
        <f>BA430-BA428</f>
        <v>-3</v>
      </c>
      <c r="BB429" s="324">
        <f>BB430-BB428</f>
        <v>0</v>
      </c>
      <c r="BC429" s="324">
        <f>BC430-BC428</f>
        <v>22</v>
      </c>
      <c r="BD429" s="324">
        <f>BD430-BD428</f>
        <v>7</v>
      </c>
      <c r="BE429" s="324">
        <f>BE430-BE428</f>
        <v>26</v>
      </c>
      <c r="BF429" s="324">
        <f t="shared" ref="BF429:BK429" si="1475">BF430-BF428</f>
        <v>9</v>
      </c>
      <c r="BG429" s="324">
        <f t="shared" si="1475"/>
        <v>7</v>
      </c>
      <c r="BH429" s="324">
        <f t="shared" si="1475"/>
        <v>19</v>
      </c>
      <c r="BI429" s="324">
        <f t="shared" si="1475"/>
        <v>0</v>
      </c>
      <c r="BJ429" s="324">
        <f t="shared" si="1475"/>
        <v>35</v>
      </c>
      <c r="BK429" s="324">
        <f t="shared" si="1475"/>
        <v>18</v>
      </c>
      <c r="BL429" s="324">
        <f t="shared" ref="BL429:BV429" si="1476">BL430-BL428</f>
        <v>8</v>
      </c>
      <c r="BM429" s="324">
        <f t="shared" si="1476"/>
        <v>14</v>
      </c>
      <c r="BN429" s="324">
        <f t="shared" si="1476"/>
        <v>15</v>
      </c>
      <c r="BO429" s="324">
        <f t="shared" si="1476"/>
        <v>55</v>
      </c>
      <c r="BP429" s="324">
        <f t="shared" si="1476"/>
        <v>0</v>
      </c>
      <c r="BQ429" s="324">
        <f t="shared" si="1476"/>
        <v>10</v>
      </c>
      <c r="BR429" s="324">
        <f t="shared" si="1476"/>
        <v>8</v>
      </c>
      <c r="BS429" s="324">
        <f t="shared" si="1476"/>
        <v>0</v>
      </c>
      <c r="BT429" s="324">
        <f t="shared" si="1476"/>
        <v>18</v>
      </c>
      <c r="BU429" s="325">
        <f t="shared" si="1476"/>
        <v>0</v>
      </c>
      <c r="BV429" s="325">
        <f t="shared" si="1476"/>
        <v>0</v>
      </c>
      <c r="BW429" s="325">
        <f t="shared" ref="BW429:BZ429" si="1477">BW430-BW428</f>
        <v>0</v>
      </c>
      <c r="BX429" s="325">
        <f t="shared" si="1477"/>
        <v>0</v>
      </c>
      <c r="BY429" s="324">
        <f t="shared" si="1477"/>
        <v>0</v>
      </c>
      <c r="BZ429" s="325">
        <f t="shared" si="1477"/>
        <v>0</v>
      </c>
      <c r="CA429" s="325">
        <f t="shared" ref="CA429:CB429" si="1478">CA430-CA428</f>
        <v>0</v>
      </c>
      <c r="CB429" s="325">
        <f t="shared" si="1478"/>
        <v>0</v>
      </c>
      <c r="CC429" s="325">
        <f t="shared" ref="CC429:CD429" si="1479">CC430-CC428</f>
        <v>0</v>
      </c>
      <c r="CD429" s="324">
        <f t="shared" si="1479"/>
        <v>0</v>
      </c>
      <c r="CE429" s="450">
        <v>0</v>
      </c>
      <c r="CF429" s="450">
        <v>0</v>
      </c>
      <c r="CG429" s="450">
        <v>0</v>
      </c>
      <c r="CH429" s="450">
        <v>0</v>
      </c>
      <c r="CI429" s="450">
        <v>0</v>
      </c>
      <c r="CJ429" s="450">
        <v>0</v>
      </c>
      <c r="CK429" s="450">
        <v>0</v>
      </c>
      <c r="CL429" s="450">
        <v>0</v>
      </c>
      <c r="CM429" s="450">
        <v>0</v>
      </c>
      <c r="CN429" s="195"/>
      <c r="CO429" s="195"/>
      <c r="CP429" s="195"/>
      <c r="CQ429" s="195"/>
      <c r="CR429" s="195"/>
      <c r="CS429" s="195"/>
      <c r="CT429" s="195"/>
      <c r="CV429" s="276"/>
      <c r="CW429" s="287"/>
      <c r="CX429" s="287"/>
      <c r="CY429" s="287"/>
      <c r="CZ429" s="287"/>
      <c r="DA429" s="287"/>
      <c r="DB429" s="287"/>
      <c r="DC429" s="287"/>
      <c r="DD429" s="287"/>
      <c r="DE429" s="287"/>
      <c r="EK429" s="353">
        <v>39962</v>
      </c>
      <c r="EL429" s="354">
        <v>0.9768</v>
      </c>
    </row>
    <row r="430" spans="1:142">
      <c r="A430" s="349" t="s">
        <v>2</v>
      </c>
      <c r="B430" s="458">
        <v>3590</v>
      </c>
      <c r="C430" s="458"/>
      <c r="D430" s="458"/>
      <c r="E430" s="458">
        <v>1185</v>
      </c>
      <c r="F430" s="458">
        <v>1144</v>
      </c>
      <c r="G430" s="458">
        <v>4402.2000000000007</v>
      </c>
      <c r="H430" s="458">
        <v>1071</v>
      </c>
      <c r="I430" s="458">
        <v>1075.2475247524753</v>
      </c>
      <c r="J430" s="458">
        <v>1086</v>
      </c>
      <c r="K430" s="458">
        <v>1106</v>
      </c>
      <c r="L430" s="458">
        <v>4220</v>
      </c>
      <c r="M430" s="458">
        <v>1082</v>
      </c>
      <c r="N430" s="458">
        <v>1028</v>
      </c>
      <c r="O430" s="458">
        <v>1140</v>
      </c>
      <c r="P430" s="458">
        <v>1166</v>
      </c>
      <c r="Q430" s="458">
        <v>4416</v>
      </c>
      <c r="R430" s="458">
        <v>1090</v>
      </c>
      <c r="S430" s="458">
        <v>1106</v>
      </c>
      <c r="T430" s="458">
        <v>1123</v>
      </c>
      <c r="U430" s="458">
        <v>1104</v>
      </c>
      <c r="V430" s="458">
        <v>4423</v>
      </c>
      <c r="W430" s="458">
        <v>1133</v>
      </c>
      <c r="X430" s="458">
        <v>1106</v>
      </c>
      <c r="Y430" s="458">
        <v>1055</v>
      </c>
      <c r="Z430" s="458">
        <v>1065</v>
      </c>
      <c r="AA430" s="458">
        <v>4359</v>
      </c>
      <c r="AB430" s="458">
        <v>1122</v>
      </c>
      <c r="AC430" s="458">
        <v>1165</v>
      </c>
      <c r="AD430" s="458">
        <v>1154</v>
      </c>
      <c r="AE430" s="458">
        <v>1081</v>
      </c>
      <c r="AF430" s="458">
        <v>4522</v>
      </c>
      <c r="AG430" s="459">
        <f>'[2]Profit and Loss Highlights'!K$50</f>
        <v>707.74600000000009</v>
      </c>
      <c r="AH430" s="459">
        <f>'[2]Profit and Loss Highlights'!L$50</f>
        <v>651.66600000000005</v>
      </c>
      <c r="AI430" s="459">
        <f>'[2]Profit and Loss Highlights'!M$50</f>
        <v>652.54</v>
      </c>
      <c r="AJ430" s="459">
        <f>'[2]Profit and Loss Highlights'!N$50</f>
        <v>696.34400000000005</v>
      </c>
      <c r="AK430" s="458">
        <v>4112.3305194230634</v>
      </c>
      <c r="AL430" s="459">
        <f>'[2]Profit and Loss Highlights'!O$50</f>
        <v>713.46800000000007</v>
      </c>
      <c r="AM430" s="459">
        <f>'[2]Profit and Loss Highlights'!P$50</f>
        <v>649.88</v>
      </c>
      <c r="AN430" s="459">
        <f>'[2]Profit and Loss Highlights'!Q$50</f>
        <v>689</v>
      </c>
      <c r="AO430" s="459">
        <f>'[2]Profit and Loss Highlights'!R$50</f>
        <v>676</v>
      </c>
      <c r="AP430" s="458">
        <v>4426</v>
      </c>
      <c r="AQ430" s="459">
        <f>'[2]Profit and Loss Highlights'!S$55</f>
        <v>1161</v>
      </c>
      <c r="AR430" s="459">
        <f>'[2]Profit and Loss Highlights'!T$55</f>
        <v>1010</v>
      </c>
      <c r="AS430" s="459">
        <f>'[2]Profit and Loss Highlights'!U$55</f>
        <v>1144</v>
      </c>
      <c r="AT430" s="459">
        <f>'[2]Profit and Loss Highlights'!V$55</f>
        <v>1187</v>
      </c>
      <c r="AU430" s="459">
        <f>SUM(AQ430:AT430)</f>
        <v>4502</v>
      </c>
      <c r="AV430" s="459">
        <f>'[2]Profit and Loss Highlights'!W$55</f>
        <v>1024</v>
      </c>
      <c r="AW430" s="459">
        <f>'[2]Profit and Loss Highlights'!X$55</f>
        <v>1006</v>
      </c>
      <c r="AX430" s="459">
        <f>'[2]Profit and Loss Highlights'!Y$55</f>
        <v>1119</v>
      </c>
      <c r="AY430" s="459">
        <f>'[2]Profit and Loss Highlights'!Z$55</f>
        <v>1046</v>
      </c>
      <c r="AZ430" s="459">
        <f>SUM(AV430:AY430)</f>
        <v>4195</v>
      </c>
      <c r="BA430" s="459">
        <f>'[2]Profit and Loss Highlights'!AA$55</f>
        <v>1020</v>
      </c>
      <c r="BB430" s="459">
        <f>'[2]Profit and Loss Highlights'!AB$55</f>
        <v>1007</v>
      </c>
      <c r="BC430" s="459">
        <f>'[2]Profit and Loss Highlights'!AC$55</f>
        <v>1047</v>
      </c>
      <c r="BD430" s="459">
        <f>'[2]Profit and Loss Highlights'!AD$55</f>
        <v>769</v>
      </c>
      <c r="BE430" s="397">
        <f>SUM(BA430:BD430)</f>
        <v>3843</v>
      </c>
      <c r="BF430" s="460">
        <f>'[2]Profit and Loss Highlights'!AE$55</f>
        <v>991</v>
      </c>
      <c r="BG430" s="460">
        <f>'[2]Profit and Loss Highlights'!AF$55</f>
        <v>985</v>
      </c>
      <c r="BH430" s="460">
        <f>'[2]Profit and Loss Highlights'!AG$55</f>
        <v>1005</v>
      </c>
      <c r="BI430" s="460">
        <f>'[2]Profit and Loss Highlights'!AH$55</f>
        <v>945</v>
      </c>
      <c r="BJ430" s="397">
        <f>SUM(BF430:BI430)</f>
        <v>3926</v>
      </c>
      <c r="BK430" s="460">
        <f>'[2]Profit and Loss Highlights'!AI$55</f>
        <v>962</v>
      </c>
      <c r="BL430" s="460">
        <f>'[2]Profit and Loss Highlights'!AJ$55</f>
        <v>946</v>
      </c>
      <c r="BM430" s="460">
        <f>'[2]Profit and Loss Highlights'!AK$55</f>
        <v>967</v>
      </c>
      <c r="BN430" s="460">
        <f>'[2]Profit and Loss Highlights'!AL$55</f>
        <v>939</v>
      </c>
      <c r="BO430" s="397">
        <f>SUM(BK430:BN430)</f>
        <v>3814</v>
      </c>
      <c r="BP430" s="460">
        <f>'[2]Profit and Loss Highlights'!AM$55</f>
        <v>961</v>
      </c>
      <c r="BQ430" s="460">
        <f>'[2]Profit and Loss Highlights'!AN$55</f>
        <v>1006</v>
      </c>
      <c r="BR430" s="460">
        <f>'[2]Profit and Loss Highlights'!AO$55</f>
        <v>977</v>
      </c>
      <c r="BS430" s="460">
        <f>'[2]Profit and Loss Highlights'!AP$55</f>
        <v>932</v>
      </c>
      <c r="BT430" s="397">
        <f>SUM(BP430:BS430)</f>
        <v>3876</v>
      </c>
      <c r="BU430" s="460">
        <f>'[2]Profit and Loss Highlights'!AQ$55</f>
        <v>927</v>
      </c>
      <c r="BV430" s="460">
        <f>'[2]Profit and Loss Highlights'!AR$55</f>
        <v>1012</v>
      </c>
      <c r="BW430" s="460">
        <f>'[2]Profit and Loss Highlights'!AS$55</f>
        <v>1004</v>
      </c>
      <c r="BX430" s="460">
        <f>'[2]Profit and Loss Highlights'!AT$55</f>
        <v>986</v>
      </c>
      <c r="BY430" s="397">
        <f>SUM(BU430:BX430)</f>
        <v>3929</v>
      </c>
      <c r="BZ430" s="460">
        <f>'[2]Profit and Loss Highlights'!AU$55</f>
        <v>972</v>
      </c>
      <c r="CA430" s="460">
        <f>'[2]Profit and Loss Highlights'!AV$55</f>
        <v>1002</v>
      </c>
      <c r="CB430" s="460">
        <f>'[2]Profit and Loss Highlights'!AW$55</f>
        <v>929</v>
      </c>
      <c r="CC430" s="460">
        <f>'[2]Profit and Loss Highlights'!AX$55</f>
        <v>1057</v>
      </c>
      <c r="CD430" s="397">
        <f>SUM(BZ430:CC430)</f>
        <v>3960</v>
      </c>
      <c r="CE430" s="397">
        <f t="shared" ref="CE430:CM430" si="1480">CE419-CE425</f>
        <v>4171.0576269054345</v>
      </c>
      <c r="CF430" s="397">
        <f t="shared" si="1480"/>
        <v>4296.5338349015092</v>
      </c>
      <c r="CG430" s="397">
        <f t="shared" si="1480"/>
        <v>4436.3939792013425</v>
      </c>
      <c r="CH430" s="397">
        <f t="shared" si="1480"/>
        <v>4589.6746823582716</v>
      </c>
      <c r="CI430" s="397">
        <f t="shared" si="1480"/>
        <v>4755.1149503443366</v>
      </c>
      <c r="CJ430" s="397">
        <f t="shared" si="1480"/>
        <v>4921.3878769655921</v>
      </c>
      <c r="CK430" s="397">
        <f t="shared" si="1480"/>
        <v>5088.8125944151761</v>
      </c>
      <c r="CL430" s="397">
        <f t="shared" si="1480"/>
        <v>5257.7045052849217</v>
      </c>
      <c r="CM430" s="397">
        <f t="shared" si="1480"/>
        <v>5428.3759740857668</v>
      </c>
      <c r="CN430" s="195"/>
      <c r="CO430" s="195"/>
      <c r="CP430" s="195"/>
      <c r="CQ430" s="195"/>
      <c r="CR430" s="195"/>
      <c r="CS430" s="195"/>
      <c r="CT430" s="195"/>
      <c r="CV430" s="276" t="s">
        <v>65</v>
      </c>
      <c r="CW430" s="287"/>
      <c r="CX430" s="287"/>
      <c r="CY430" s="287"/>
      <c r="CZ430" s="287"/>
      <c r="DA430" s="287">
        <v>5.1930164441750755</v>
      </c>
      <c r="DB430" s="287">
        <v>1.8384130777932057</v>
      </c>
      <c r="DC430" s="287" t="e">
        <f>#REF!/#REF!-1</f>
        <v>#REF!</v>
      </c>
      <c r="DD430" s="287" t="e">
        <f>#REF!/#REF!-1</f>
        <v>#REF!</v>
      </c>
      <c r="DE430" s="287" t="e">
        <f>#REF!/#REF!-1</f>
        <v>#REF!</v>
      </c>
      <c r="EK430" s="353">
        <v>39963</v>
      </c>
      <c r="EL430" s="354">
        <v>0.9829</v>
      </c>
    </row>
    <row r="431" spans="1:142">
      <c r="A431" s="276" t="s">
        <v>88</v>
      </c>
      <c r="B431" s="287"/>
      <c r="C431" s="287"/>
      <c r="D431" s="287"/>
      <c r="E431" s="287"/>
      <c r="F431" s="287"/>
      <c r="G431" s="287">
        <f>G430/B430-1</f>
        <v>0.22623955431754905</v>
      </c>
      <c r="H431" s="287"/>
      <c r="I431" s="287"/>
      <c r="J431" s="287"/>
      <c r="K431" s="287"/>
      <c r="L431" s="287">
        <f>L430/G430-1</f>
        <v>-4.1388396710735686E-2</v>
      </c>
      <c r="M431" s="287"/>
      <c r="N431" s="287"/>
      <c r="O431" s="287"/>
      <c r="P431" s="287"/>
      <c r="Q431" s="287">
        <f>Q430/L430-1</f>
        <v>4.6445497630331678E-2</v>
      </c>
      <c r="R431" s="287"/>
      <c r="S431" s="287"/>
      <c r="T431" s="287"/>
      <c r="U431" s="287"/>
      <c r="V431" s="287">
        <f>V430/Q430-1</f>
        <v>1.5851449275361418E-3</v>
      </c>
      <c r="W431" s="287"/>
      <c r="X431" s="287"/>
      <c r="Y431" s="287"/>
      <c r="Z431" s="287"/>
      <c r="AA431" s="287">
        <f>AA430/V430-1</f>
        <v>-1.446981686638027E-2</v>
      </c>
      <c r="AB431" s="287"/>
      <c r="AC431" s="287"/>
      <c r="AD431" s="287"/>
      <c r="AE431" s="287"/>
      <c r="AF431" s="287">
        <f>AF430/AA430-1</f>
        <v>3.7393897682954869E-2</v>
      </c>
      <c r="AG431" s="287"/>
      <c r="AH431" s="287"/>
      <c r="AI431" s="287"/>
      <c r="AJ431" s="287"/>
      <c r="AK431" s="287">
        <f>AK430/AF430-1</f>
        <v>-9.0594754660976662E-2</v>
      </c>
      <c r="AL431" s="287"/>
      <c r="AM431" s="287"/>
      <c r="AN431" s="287"/>
      <c r="AO431" s="287"/>
      <c r="AP431" s="287">
        <f t="shared" ref="AP431:CC431" si="1481">AP430/AK430-1</f>
        <v>7.6275357512105568E-2</v>
      </c>
      <c r="AQ431" s="287">
        <f t="shared" si="1481"/>
        <v>0.6272628905571096</v>
      </c>
      <c r="AR431" s="287">
        <f t="shared" si="1481"/>
        <v>0.55413307072074836</v>
      </c>
      <c r="AS431" s="287">
        <f t="shared" si="1481"/>
        <v>0.66037735849056611</v>
      </c>
      <c r="AT431" s="287">
        <f t="shared" si="1481"/>
        <v>0.75591715976331364</v>
      </c>
      <c r="AU431" s="287">
        <f t="shared" si="1481"/>
        <v>1.7171260732038007E-2</v>
      </c>
      <c r="AV431" s="287">
        <f t="shared" si="1481"/>
        <v>-0.11800172265288544</v>
      </c>
      <c r="AW431" s="287">
        <f t="shared" si="1481"/>
        <v>-3.9603960396039639E-3</v>
      </c>
      <c r="AX431" s="287">
        <f t="shared" si="1481"/>
        <v>-2.1853146853146876E-2</v>
      </c>
      <c r="AY431" s="287">
        <f t="shared" si="1481"/>
        <v>-0.11878685762426289</v>
      </c>
      <c r="AZ431" s="287">
        <f t="shared" si="1481"/>
        <v>-6.8191914704575751E-2</v>
      </c>
      <c r="BA431" s="287">
        <f t="shared" si="1481"/>
        <v>-3.90625E-3</v>
      </c>
      <c r="BB431" s="287">
        <f t="shared" si="1481"/>
        <v>9.9403578528822756E-4</v>
      </c>
      <c r="BC431" s="287">
        <f t="shared" si="1481"/>
        <v>-6.4343163538874037E-2</v>
      </c>
      <c r="BD431" s="287">
        <f t="shared" si="1481"/>
        <v>-0.26481835564053535</v>
      </c>
      <c r="BE431" s="287">
        <f t="shared" si="1481"/>
        <v>-8.3909415971394563E-2</v>
      </c>
      <c r="BF431" s="287">
        <f t="shared" si="1481"/>
        <v>-2.8431372549019618E-2</v>
      </c>
      <c r="BG431" s="287">
        <f t="shared" si="1481"/>
        <v>-2.1847070506454846E-2</v>
      </c>
      <c r="BH431" s="287">
        <f t="shared" si="1481"/>
        <v>-4.011461318051579E-2</v>
      </c>
      <c r="BI431" s="287">
        <f t="shared" si="1481"/>
        <v>0.22886866059817956</v>
      </c>
      <c r="BJ431" s="287">
        <f>BJ430/BE430-1</f>
        <v>2.1597710122300384E-2</v>
      </c>
      <c r="BK431" s="287">
        <f t="shared" si="1481"/>
        <v>-2.9263370332996974E-2</v>
      </c>
      <c r="BL431" s="287">
        <f t="shared" si="1481"/>
        <v>-3.9593908629441676E-2</v>
      </c>
      <c r="BM431" s="287">
        <f t="shared" si="1481"/>
        <v>-3.7810945273631824E-2</v>
      </c>
      <c r="BN431" s="287">
        <f t="shared" si="1481"/>
        <v>-6.3492063492063266E-3</v>
      </c>
      <c r="BO431" s="287">
        <f>BO430/BJ430-1</f>
        <v>-2.852776362710141E-2</v>
      </c>
      <c r="BP431" s="287">
        <f t="shared" si="1481"/>
        <v>-1.0395010395010118E-3</v>
      </c>
      <c r="BQ431" s="287">
        <f t="shared" si="1481"/>
        <v>6.3424947145877431E-2</v>
      </c>
      <c r="BR431" s="287">
        <f t="shared" si="1481"/>
        <v>1.0341261633919352E-2</v>
      </c>
      <c r="BS431" s="287">
        <f t="shared" si="1481"/>
        <v>-7.4547390841320782E-3</v>
      </c>
      <c r="BT431" s="287">
        <f>BT430/BO430-1</f>
        <v>1.625589931830107E-2</v>
      </c>
      <c r="BU431" s="288">
        <f t="shared" si="1481"/>
        <v>-3.5379812695109258E-2</v>
      </c>
      <c r="BV431" s="288">
        <f t="shared" si="1481"/>
        <v>5.9642147117295874E-3</v>
      </c>
      <c r="BW431" s="288">
        <f t="shared" si="1481"/>
        <v>2.763561924257929E-2</v>
      </c>
      <c r="BX431" s="288">
        <f t="shared" si="1481"/>
        <v>5.7939914163090078E-2</v>
      </c>
      <c r="BY431" s="287">
        <f>BY430/BT430-1</f>
        <v>1.3673890608875139E-2</v>
      </c>
      <c r="BZ431" s="288">
        <f t="shared" si="1481"/>
        <v>4.8543689320388328E-2</v>
      </c>
      <c r="CA431" s="288">
        <f t="shared" si="1481"/>
        <v>-9.8814229249012397E-3</v>
      </c>
      <c r="CB431" s="288">
        <f t="shared" si="1481"/>
        <v>-7.4701195219123551E-2</v>
      </c>
      <c r="CC431" s="288">
        <f t="shared" si="1481"/>
        <v>7.2008113590263712E-2</v>
      </c>
      <c r="CD431" s="287">
        <f>CD430/BY430-1</f>
        <v>7.8900483583608239E-3</v>
      </c>
      <c r="CE431" s="287">
        <f t="shared" ref="CE431:CI431" si="1482">CE430/CD430-1</f>
        <v>5.3297380531675431E-2</v>
      </c>
      <c r="CF431" s="287">
        <f t="shared" si="1482"/>
        <v>3.008258797161889E-2</v>
      </c>
      <c r="CG431" s="287">
        <f t="shared" si="1482"/>
        <v>3.2551854512054446E-2</v>
      </c>
      <c r="CH431" s="287">
        <f t="shared" si="1482"/>
        <v>3.4550741858261125E-2</v>
      </c>
      <c r="CI431" s="287">
        <f t="shared" si="1482"/>
        <v>3.6046186153886328E-2</v>
      </c>
      <c r="CJ431" s="287">
        <f t="shared" ref="CJ431" si="1483">CJ430/CI430-1</f>
        <v>3.4967172898567878E-2</v>
      </c>
      <c r="CK431" s="287">
        <f t="shared" ref="CK431" si="1484">CK430/CJ430-1</f>
        <v>3.4019817505791528E-2</v>
      </c>
      <c r="CL431" s="287">
        <f t="shared" ref="CL431:CM431" si="1485">CL430/CK430-1</f>
        <v>3.3188864344326552E-2</v>
      </c>
      <c r="CM431" s="287">
        <f t="shared" si="1485"/>
        <v>3.2461213563693025E-2</v>
      </c>
      <c r="CN431" s="195"/>
      <c r="CO431" s="195"/>
      <c r="CP431" s="195"/>
      <c r="CQ431" s="195"/>
      <c r="CR431" s="195"/>
      <c r="CS431" s="195"/>
      <c r="CT431" s="195"/>
      <c r="CV431" s="286" t="s">
        <v>84</v>
      </c>
      <c r="CW431" s="316">
        <v>280</v>
      </c>
      <c r="CX431" s="316">
        <v>299.89999999999998</v>
      </c>
      <c r="CY431" s="316">
        <v>313.02643648481643</v>
      </c>
      <c r="CZ431" s="316">
        <v>335.86795473263163</v>
      </c>
      <c r="DA431" s="316">
        <v>347.58602270691694</v>
      </c>
      <c r="DB431" s="316">
        <v>350.83530812125002</v>
      </c>
      <c r="DC431" s="316" t="e">
        <f>#REF!</f>
        <v>#REF!</v>
      </c>
      <c r="DD431" s="316" t="e">
        <f>#REF!</f>
        <v>#REF!</v>
      </c>
      <c r="DE431" s="316" t="e">
        <f>#REF!</f>
        <v>#REF!</v>
      </c>
      <c r="EK431" s="353">
        <v>39964</v>
      </c>
      <c r="EL431" s="354">
        <v>0.98219999999999996</v>
      </c>
    </row>
    <row r="432" spans="1:142">
      <c r="A432" s="440" t="s">
        <v>763</v>
      </c>
      <c r="B432" s="441"/>
      <c r="C432" s="441"/>
      <c r="D432" s="441"/>
      <c r="E432" s="441"/>
      <c r="F432" s="441"/>
      <c r="G432" s="441"/>
      <c r="H432" s="441"/>
      <c r="I432" s="441"/>
      <c r="J432" s="441"/>
      <c r="K432" s="441"/>
      <c r="L432" s="441"/>
      <c r="M432" s="441"/>
      <c r="N432" s="441"/>
      <c r="O432" s="441"/>
      <c r="P432" s="441"/>
      <c r="Q432" s="441"/>
      <c r="R432" s="441"/>
      <c r="S432" s="441"/>
      <c r="T432" s="441"/>
      <c r="U432" s="441"/>
      <c r="V432" s="441"/>
      <c r="W432" s="441"/>
      <c r="X432" s="441"/>
      <c r="Y432" s="441"/>
      <c r="Z432" s="441"/>
      <c r="AA432" s="441"/>
      <c r="AB432" s="441"/>
      <c r="AC432" s="441"/>
      <c r="AD432" s="441"/>
      <c r="AE432" s="441"/>
      <c r="AF432" s="441"/>
      <c r="AG432" s="441"/>
      <c r="AH432" s="441"/>
      <c r="AI432" s="441"/>
      <c r="AJ432" s="441"/>
      <c r="AK432" s="441"/>
      <c r="AL432" s="441"/>
      <c r="AM432" s="441"/>
      <c r="AN432" s="441"/>
      <c r="AO432" s="441"/>
      <c r="AP432" s="441"/>
      <c r="AQ432" s="441"/>
      <c r="AR432" s="441"/>
      <c r="AS432" s="441"/>
      <c r="AT432" s="441"/>
      <c r="AU432" s="441"/>
      <c r="AV432" s="441"/>
      <c r="AW432" s="441"/>
      <c r="AX432" s="441"/>
      <c r="AY432" s="441"/>
      <c r="AZ432" s="441"/>
      <c r="BA432" s="442"/>
      <c r="BB432" s="442"/>
      <c r="BC432" s="442"/>
      <c r="BD432" s="442"/>
      <c r="BE432" s="441"/>
      <c r="BF432" s="442"/>
      <c r="BG432" s="442"/>
      <c r="BH432" s="441"/>
      <c r="BI432" s="441"/>
      <c r="BJ432" s="441"/>
      <c r="BK432" s="442"/>
      <c r="BL432" s="442"/>
      <c r="BM432" s="442"/>
      <c r="BN432" s="442"/>
      <c r="BO432" s="461">
        <v>3671</v>
      </c>
      <c r="BP432" s="461"/>
      <c r="BQ432" s="461"/>
      <c r="BR432" s="461"/>
      <c r="BS432" s="461"/>
      <c r="BT432" s="443">
        <v>3843.22</v>
      </c>
      <c r="BU432" s="462"/>
      <c r="BV432" s="462"/>
      <c r="BW432" s="462"/>
      <c r="BX432" s="462"/>
      <c r="BY432" s="443">
        <v>3843.22</v>
      </c>
      <c r="BZ432" s="462"/>
      <c r="CA432" s="462"/>
      <c r="CB432" s="462"/>
      <c r="CC432" s="462"/>
      <c r="CD432" s="441"/>
      <c r="CE432" s="441" t="s">
        <v>803</v>
      </c>
      <c r="CF432" s="441"/>
      <c r="CG432" s="441"/>
      <c r="CH432" s="441"/>
      <c r="CI432" s="441"/>
      <c r="CJ432" s="441"/>
      <c r="CK432" s="441"/>
      <c r="CL432" s="441"/>
      <c r="CM432" s="441"/>
      <c r="CN432" s="195"/>
      <c r="CO432" s="195"/>
      <c r="CP432" s="195"/>
      <c r="CQ432" s="195"/>
      <c r="CR432" s="195"/>
      <c r="CS432" s="195"/>
      <c r="CT432" s="195"/>
      <c r="CV432" s="276"/>
      <c r="CW432" s="287"/>
      <c r="CX432" s="287"/>
      <c r="CY432" s="287"/>
      <c r="CZ432" s="287"/>
      <c r="DA432" s="287"/>
      <c r="DB432" s="287"/>
      <c r="DC432" s="287"/>
      <c r="DD432" s="287"/>
      <c r="DE432" s="287"/>
      <c r="EK432" s="353"/>
      <c r="EL432" s="354"/>
    </row>
    <row r="433" spans="1:142">
      <c r="A433" s="440" t="s">
        <v>1</v>
      </c>
      <c r="B433" s="441"/>
      <c r="C433" s="441"/>
      <c r="D433" s="441"/>
      <c r="E433" s="441"/>
      <c r="F433" s="441"/>
      <c r="G433" s="441"/>
      <c r="H433" s="441"/>
      <c r="I433" s="441"/>
      <c r="J433" s="441"/>
      <c r="K433" s="441"/>
      <c r="L433" s="441"/>
      <c r="M433" s="441"/>
      <c r="N433" s="441"/>
      <c r="O433" s="441"/>
      <c r="P433" s="441"/>
      <c r="Q433" s="441"/>
      <c r="R433" s="441"/>
      <c r="S433" s="441"/>
      <c r="T433" s="441"/>
      <c r="U433" s="441"/>
      <c r="V433" s="441"/>
      <c r="W433" s="441"/>
      <c r="X433" s="441"/>
      <c r="Y433" s="441"/>
      <c r="Z433" s="441"/>
      <c r="AA433" s="441"/>
      <c r="AB433" s="441"/>
      <c r="AC433" s="441"/>
      <c r="AD433" s="441"/>
      <c r="AE433" s="441"/>
      <c r="AF433" s="441"/>
      <c r="AG433" s="441"/>
      <c r="AH433" s="441"/>
      <c r="AI433" s="441"/>
      <c r="AJ433" s="441"/>
      <c r="AK433" s="441"/>
      <c r="AL433" s="441"/>
      <c r="AM433" s="441"/>
      <c r="AN433" s="441"/>
      <c r="AO433" s="441"/>
      <c r="AP433" s="441"/>
      <c r="AQ433" s="441"/>
      <c r="AR433" s="441"/>
      <c r="AS433" s="441"/>
      <c r="AT433" s="441"/>
      <c r="AU433" s="441"/>
      <c r="AV433" s="441"/>
      <c r="AW433" s="441"/>
      <c r="AX433" s="441"/>
      <c r="AY433" s="441"/>
      <c r="AZ433" s="441"/>
      <c r="BA433" s="442"/>
      <c r="BB433" s="442"/>
      <c r="BC433" s="442"/>
      <c r="BD433" s="442"/>
      <c r="BE433" s="441"/>
      <c r="BF433" s="442"/>
      <c r="BG433" s="442"/>
      <c r="BH433" s="441"/>
      <c r="BI433" s="441"/>
      <c r="BJ433" s="441"/>
      <c r="BK433" s="442"/>
      <c r="BL433" s="442"/>
      <c r="BM433" s="442"/>
      <c r="BN433" s="442"/>
      <c r="BO433" s="461">
        <v>3671</v>
      </c>
      <c r="BP433" s="461"/>
      <c r="BQ433" s="461"/>
      <c r="BR433" s="461"/>
      <c r="BS433" s="461"/>
      <c r="BT433" s="443">
        <v>3843.22</v>
      </c>
      <c r="BU433" s="462"/>
      <c r="BV433" s="462"/>
      <c r="BW433" s="462"/>
      <c r="BX433" s="462"/>
      <c r="BY433" s="443">
        <v>3843.22</v>
      </c>
      <c r="BZ433" s="462"/>
      <c r="CA433" s="462"/>
      <c r="CB433" s="462"/>
      <c r="CC433" s="462"/>
      <c r="CD433" s="441"/>
      <c r="CE433" s="441"/>
      <c r="CF433" s="441"/>
      <c r="CG433" s="441"/>
      <c r="CH433" s="441"/>
      <c r="CI433" s="441"/>
      <c r="CJ433" s="441"/>
      <c r="CK433" s="441"/>
      <c r="CL433" s="441"/>
      <c r="CM433" s="441"/>
      <c r="CN433" s="195"/>
      <c r="CO433" s="195"/>
      <c r="CP433" s="195"/>
      <c r="CQ433" s="195"/>
      <c r="CR433" s="195"/>
      <c r="CS433" s="195"/>
      <c r="CT433" s="195"/>
      <c r="CV433" s="276"/>
      <c r="CW433" s="287"/>
      <c r="CX433" s="287"/>
      <c r="CY433" s="287"/>
      <c r="CZ433" s="287"/>
      <c r="DA433" s="287"/>
      <c r="DB433" s="287"/>
      <c r="DC433" s="287"/>
      <c r="DD433" s="287"/>
      <c r="DE433" s="287"/>
      <c r="EK433" s="353"/>
      <c r="EL433" s="354"/>
    </row>
    <row r="434" spans="1:142">
      <c r="A434" s="440"/>
      <c r="B434" s="441"/>
      <c r="C434" s="441"/>
      <c r="D434" s="441"/>
      <c r="E434" s="441"/>
      <c r="F434" s="441"/>
      <c r="G434" s="441"/>
      <c r="H434" s="441"/>
      <c r="I434" s="441"/>
      <c r="J434" s="441"/>
      <c r="K434" s="441"/>
      <c r="L434" s="441"/>
      <c r="M434" s="441"/>
      <c r="N434" s="441"/>
      <c r="O434" s="441"/>
      <c r="P434" s="441"/>
      <c r="Q434" s="441"/>
      <c r="R434" s="441"/>
      <c r="S434" s="441"/>
      <c r="T434" s="441"/>
      <c r="U434" s="441"/>
      <c r="V434" s="441"/>
      <c r="W434" s="441"/>
      <c r="X434" s="441"/>
      <c r="Y434" s="441"/>
      <c r="Z434" s="441"/>
      <c r="AA434" s="441"/>
      <c r="AB434" s="441"/>
      <c r="AC434" s="441"/>
      <c r="AD434" s="441"/>
      <c r="AE434" s="441"/>
      <c r="AF434" s="441"/>
      <c r="AG434" s="441"/>
      <c r="AH434" s="441"/>
      <c r="AI434" s="441"/>
      <c r="AJ434" s="441"/>
      <c r="AK434" s="441"/>
      <c r="AL434" s="441"/>
      <c r="AM434" s="441"/>
      <c r="AN434" s="441"/>
      <c r="AO434" s="441"/>
      <c r="AP434" s="441"/>
      <c r="AQ434" s="441"/>
      <c r="AR434" s="441"/>
      <c r="AS434" s="441"/>
      <c r="AT434" s="441"/>
      <c r="AU434" s="441"/>
      <c r="AV434" s="441"/>
      <c r="AW434" s="441"/>
      <c r="AX434" s="441"/>
      <c r="AY434" s="441"/>
      <c r="AZ434" s="441"/>
      <c r="BA434" s="442"/>
      <c r="BB434" s="442"/>
      <c r="BC434" s="442"/>
      <c r="BD434" s="442"/>
      <c r="BE434" s="441"/>
      <c r="BF434" s="442"/>
      <c r="BG434" s="442"/>
      <c r="BH434" s="441"/>
      <c r="BI434" s="441"/>
      <c r="BJ434" s="441"/>
      <c r="BK434" s="442"/>
      <c r="BL434" s="442"/>
      <c r="BM434" s="442"/>
      <c r="BN434" s="442"/>
      <c r="BO434" s="446" t="s">
        <v>614</v>
      </c>
      <c r="BP434" s="446"/>
      <c r="BQ434" s="446"/>
      <c r="BR434" s="446"/>
      <c r="BS434" s="446"/>
      <c r="BT434" s="441"/>
      <c r="BU434" s="447"/>
      <c r="BV434" s="447"/>
      <c r="BW434" s="447"/>
      <c r="BX434" s="447"/>
      <c r="BY434" s="441"/>
      <c r="BZ434" s="447"/>
      <c r="CA434" s="447"/>
      <c r="CB434" s="447"/>
      <c r="CC434" s="447"/>
      <c r="CD434" s="441"/>
      <c r="CE434" s="441"/>
      <c r="CF434" s="441"/>
      <c r="CG434" s="441"/>
      <c r="CH434" s="441"/>
      <c r="CI434" s="441"/>
      <c r="CJ434" s="441"/>
      <c r="CK434" s="441"/>
      <c r="CL434" s="441"/>
      <c r="CM434" s="441"/>
      <c r="CN434" s="195"/>
      <c r="CO434" s="195"/>
      <c r="CP434" s="195"/>
      <c r="CQ434" s="195"/>
      <c r="CR434" s="195"/>
      <c r="CS434" s="195"/>
      <c r="CT434" s="195"/>
      <c r="CV434" s="276"/>
      <c r="CW434" s="287"/>
      <c r="CX434" s="287"/>
      <c r="CY434" s="287"/>
      <c r="CZ434" s="287"/>
      <c r="DA434" s="287"/>
      <c r="DB434" s="287"/>
      <c r="DC434" s="287"/>
      <c r="DD434" s="287"/>
      <c r="DE434" s="287"/>
      <c r="EK434" s="353"/>
      <c r="EL434" s="354"/>
    </row>
    <row r="435" spans="1:142">
      <c r="A435" s="276" t="s">
        <v>284</v>
      </c>
      <c r="B435" s="287">
        <f>B430/B419</f>
        <v>0.46684005201560469</v>
      </c>
      <c r="C435" s="287"/>
      <c r="D435" s="287"/>
      <c r="E435" s="287"/>
      <c r="F435" s="287">
        <f t="shared" ref="F435:AK435" si="1486">F430/F419</f>
        <v>0.51905626134301275</v>
      </c>
      <c r="G435" s="287">
        <f t="shared" si="1486"/>
        <v>0.52097657960449251</v>
      </c>
      <c r="H435" s="287">
        <f t="shared" si="1486"/>
        <v>0.50305307656176612</v>
      </c>
      <c r="I435" s="287">
        <f t="shared" si="1486"/>
        <v>0.50815100413633052</v>
      </c>
      <c r="J435" s="287">
        <f t="shared" si="1486"/>
        <v>0.50371057513914652</v>
      </c>
      <c r="K435" s="287">
        <f t="shared" si="1486"/>
        <v>0.50022614201718685</v>
      </c>
      <c r="L435" s="287">
        <f t="shared" si="1486"/>
        <v>0.49001393404551791</v>
      </c>
      <c r="M435" s="287">
        <f t="shared" si="1486"/>
        <v>0.50278810408921937</v>
      </c>
      <c r="N435" s="287">
        <f t="shared" si="1486"/>
        <v>0.46919214970333178</v>
      </c>
      <c r="O435" s="287">
        <f t="shared" si="1486"/>
        <v>0.51444043321299637</v>
      </c>
      <c r="P435" s="287">
        <f t="shared" si="1486"/>
        <v>0.50476190476190474</v>
      </c>
      <c r="Q435" s="287">
        <f t="shared" si="1486"/>
        <v>0.4979140827601759</v>
      </c>
      <c r="R435" s="287">
        <f t="shared" si="1486"/>
        <v>0.51101734646038444</v>
      </c>
      <c r="S435" s="287">
        <f t="shared" si="1486"/>
        <v>0.51251158480074144</v>
      </c>
      <c r="T435" s="287">
        <f t="shared" si="1486"/>
        <v>0.50044563279857401</v>
      </c>
      <c r="U435" s="287">
        <f t="shared" si="1486"/>
        <v>0.49110320284697506</v>
      </c>
      <c r="V435" s="287">
        <f t="shared" si="1486"/>
        <v>0.50358647386997613</v>
      </c>
      <c r="W435" s="287">
        <f t="shared" si="1486"/>
        <v>0.53067915690866507</v>
      </c>
      <c r="X435" s="287">
        <f t="shared" si="1486"/>
        <v>0.49752586594691856</v>
      </c>
      <c r="Y435" s="287">
        <f t="shared" si="1486"/>
        <v>0.47608303249097472</v>
      </c>
      <c r="Z435" s="287">
        <f t="shared" si="1486"/>
        <v>0.46183868169991327</v>
      </c>
      <c r="AA435" s="287">
        <f t="shared" si="1486"/>
        <v>0.49087837837837839</v>
      </c>
      <c r="AB435" s="287">
        <f t="shared" si="1486"/>
        <v>0.48216587881392353</v>
      </c>
      <c r="AC435" s="287">
        <f t="shared" si="1486"/>
        <v>0.50762527233115473</v>
      </c>
      <c r="AD435" s="287">
        <f t="shared" si="1486"/>
        <v>0.51540866458240286</v>
      </c>
      <c r="AE435" s="287">
        <f t="shared" si="1486"/>
        <v>0.48606115107913667</v>
      </c>
      <c r="AF435" s="287">
        <f t="shared" si="1486"/>
        <v>0.50086549380109724</v>
      </c>
      <c r="AG435" s="287">
        <f t="shared" si="1486"/>
        <v>0.33400000000000002</v>
      </c>
      <c r="AH435" s="287">
        <f t="shared" si="1486"/>
        <v>0.313</v>
      </c>
      <c r="AI435" s="287">
        <f t="shared" si="1486"/>
        <v>0.316</v>
      </c>
      <c r="AJ435" s="287">
        <f t="shared" si="1486"/>
        <v>0.32800000000000001</v>
      </c>
      <c r="AK435" s="287">
        <f t="shared" si="1486"/>
        <v>0.4893301427204978</v>
      </c>
      <c r="AL435" s="287">
        <f t="shared" ref="AL435:BQ435" si="1487">AL430/AL419</f>
        <v>0.33200000000000002</v>
      </c>
      <c r="AM435" s="287">
        <f t="shared" si="1487"/>
        <v>0.308</v>
      </c>
      <c r="AN435" s="287">
        <f t="shared" si="1487"/>
        <v>0.31809787626962144</v>
      </c>
      <c r="AO435" s="287">
        <f t="shared" si="1487"/>
        <v>0.31066176470588236</v>
      </c>
      <c r="AP435" s="287">
        <f t="shared" si="1487"/>
        <v>0.51459132658993145</v>
      </c>
      <c r="AQ435" s="287">
        <f t="shared" si="1487"/>
        <v>0.54252336448598126</v>
      </c>
      <c r="AR435" s="287">
        <f t="shared" si="1487"/>
        <v>0.48049476688867743</v>
      </c>
      <c r="AS435" s="287">
        <f t="shared" si="1487"/>
        <v>0.53061224489795922</v>
      </c>
      <c r="AT435" s="287">
        <f t="shared" si="1487"/>
        <v>0.53613369467028005</v>
      </c>
      <c r="AU435" s="287">
        <f t="shared" si="1487"/>
        <v>0.52275894101254061</v>
      </c>
      <c r="AV435" s="287">
        <f t="shared" si="1487"/>
        <v>0.43115789473684213</v>
      </c>
      <c r="AW435" s="287">
        <f t="shared" si="1487"/>
        <v>0.43083511777301925</v>
      </c>
      <c r="AX435" s="287">
        <f t="shared" si="1487"/>
        <v>0.4796399485640806</v>
      </c>
      <c r="AY435" s="287">
        <f t="shared" si="1487"/>
        <v>0.44023569023569026</v>
      </c>
      <c r="AZ435" s="287">
        <f t="shared" si="1487"/>
        <v>0.44537636691793187</v>
      </c>
      <c r="BA435" s="287">
        <f t="shared" si="1487"/>
        <v>0.45596781403665626</v>
      </c>
      <c r="BB435" s="287">
        <f t="shared" si="1487"/>
        <v>0.44835262689225291</v>
      </c>
      <c r="BC435" s="287">
        <f t="shared" si="1487"/>
        <v>0.46245583038869259</v>
      </c>
      <c r="BD435" s="287">
        <f t="shared" si="1487"/>
        <v>0.31451942740286298</v>
      </c>
      <c r="BE435" s="287">
        <f t="shared" si="1487"/>
        <v>0.41808093994778067</v>
      </c>
      <c r="BF435" s="287">
        <f t="shared" si="1487"/>
        <v>0.44399641577060933</v>
      </c>
      <c r="BG435" s="287">
        <f t="shared" si="1487"/>
        <v>0.44650951949229373</v>
      </c>
      <c r="BH435" s="287">
        <f t="shared" si="1487"/>
        <v>0.43982494529540483</v>
      </c>
      <c r="BI435" s="287">
        <f t="shared" si="1487"/>
        <v>0.36486486486486486</v>
      </c>
      <c r="BJ435" s="287">
        <f t="shared" si="1487"/>
        <v>0.42156125845592185</v>
      </c>
      <c r="BK435" s="287">
        <f t="shared" si="1487"/>
        <v>0.41093549765057669</v>
      </c>
      <c r="BL435" s="287">
        <f t="shared" si="1487"/>
        <v>0.4397954439795444</v>
      </c>
      <c r="BM435" s="287">
        <f t="shared" si="1487"/>
        <v>0.43696339810212381</v>
      </c>
      <c r="BN435" s="287">
        <f t="shared" si="1487"/>
        <v>0.41530296329057936</v>
      </c>
      <c r="BO435" s="287">
        <f t="shared" si="1487"/>
        <v>0.42538478697300913</v>
      </c>
      <c r="BP435" s="287">
        <f t="shared" si="1487"/>
        <v>0.42901785714285712</v>
      </c>
      <c r="BQ435" s="287">
        <f t="shared" si="1487"/>
        <v>0.44239226033421286</v>
      </c>
      <c r="BR435" s="287">
        <f t="shared" ref="BR435:CI435" si="1488">BR430/BR419</f>
        <v>0.43020695728753855</v>
      </c>
      <c r="BS435" s="287">
        <f t="shared" si="1488"/>
        <v>0.37947882736156352</v>
      </c>
      <c r="BT435" s="287">
        <f t="shared" si="1488"/>
        <v>0.41943512606860728</v>
      </c>
      <c r="BU435" s="288">
        <f t="shared" si="1488"/>
        <v>0.385286783042394</v>
      </c>
      <c r="BV435" s="288">
        <f t="shared" si="1488"/>
        <v>0.41749174917491749</v>
      </c>
      <c r="BW435" s="288">
        <f t="shared" si="1488"/>
        <v>0.41746361746361749</v>
      </c>
      <c r="BX435" s="288">
        <f t="shared" si="1488"/>
        <v>0.38606108065779171</v>
      </c>
      <c r="BY435" s="287">
        <f t="shared" si="1488"/>
        <v>0.40136888344059657</v>
      </c>
      <c r="BZ435" s="288">
        <f t="shared" si="1488"/>
        <v>0.38479809976247031</v>
      </c>
      <c r="CA435" s="288">
        <f t="shared" ref="CA435:CB435" si="1489">CA430/CA419</f>
        <v>0.40566801619433196</v>
      </c>
      <c r="CB435" s="288">
        <f t="shared" si="1489"/>
        <v>0.38042588042588044</v>
      </c>
      <c r="CC435" s="288">
        <f t="shared" ref="CC435" si="1490">CC430/CC419</f>
        <v>0.38548504741064915</v>
      </c>
      <c r="CD435" s="287">
        <f t="shared" si="1488"/>
        <v>0.38899803536345778</v>
      </c>
      <c r="CE435" s="287">
        <f t="shared" si="1488"/>
        <v>0.39242870848035305</v>
      </c>
      <c r="CF435" s="287">
        <f t="shared" si="1488"/>
        <v>0.39402724566268205</v>
      </c>
      <c r="CG435" s="287">
        <f t="shared" si="1488"/>
        <v>0.39576435237979013</v>
      </c>
      <c r="CH435" s="287">
        <f t="shared" si="1488"/>
        <v>0.39742188839539427</v>
      </c>
      <c r="CI435" s="287">
        <f t="shared" si="1488"/>
        <v>0.39897437490439125</v>
      </c>
      <c r="CJ435" s="287">
        <f t="shared" ref="CJ435:CL435" si="1491">CJ430/CJ419</f>
        <v>0.40051723656635208</v>
      </c>
      <c r="CK435" s="287">
        <f t="shared" si="1491"/>
        <v>0.40205153532296928</v>
      </c>
      <c r="CL435" s="287">
        <f t="shared" si="1491"/>
        <v>0.40357824305001738</v>
      </c>
      <c r="CM435" s="287">
        <f t="shared" ref="CM435" si="1492">CM430/CM419</f>
        <v>0.4050982501847965</v>
      </c>
      <c r="CN435" s="195"/>
      <c r="CO435" s="195"/>
      <c r="CP435" s="195"/>
      <c r="CQ435" s="195"/>
      <c r="CR435" s="195"/>
      <c r="CS435" s="195"/>
      <c r="CT435" s="195"/>
      <c r="CV435" s="286"/>
      <c r="CW435" s="316"/>
      <c r="CX435" s="316"/>
      <c r="CY435" s="316"/>
      <c r="CZ435" s="316"/>
      <c r="DA435" s="316"/>
      <c r="DB435" s="316"/>
      <c r="DC435" s="316"/>
      <c r="DD435" s="316"/>
      <c r="DE435" s="316"/>
      <c r="EK435" s="353">
        <v>39965</v>
      </c>
      <c r="EL435" s="354">
        <v>0.98909999999999998</v>
      </c>
    </row>
    <row r="436" spans="1:142">
      <c r="A436" s="276" t="s">
        <v>89</v>
      </c>
      <c r="B436" s="196">
        <f t="shared" ref="B436:AG436" si="1493">B430/(B376+B385+B388)</f>
        <v>0.54824494423478443</v>
      </c>
      <c r="C436" s="196" t="e">
        <f t="shared" si="1493"/>
        <v>#DIV/0!</v>
      </c>
      <c r="D436" s="196" t="e">
        <f t="shared" si="1493"/>
        <v>#DIV/0!</v>
      </c>
      <c r="E436" s="196" t="e">
        <f t="shared" si="1493"/>
        <v>#DIV/0!</v>
      </c>
      <c r="F436" s="196">
        <f t="shared" si="1493"/>
        <v>0.54357923166215982</v>
      </c>
      <c r="G436" s="196">
        <f t="shared" si="1493"/>
        <v>0.53320035437777991</v>
      </c>
      <c r="H436" s="196">
        <f t="shared" si="1493"/>
        <v>0.53019581502730384</v>
      </c>
      <c r="I436" s="196">
        <f t="shared" si="1493"/>
        <v>0.53739289838709059</v>
      </c>
      <c r="J436" s="196">
        <f t="shared" si="1493"/>
        <v>0.53020736869116691</v>
      </c>
      <c r="K436" s="196">
        <f t="shared" si="1493"/>
        <v>0.53323176537802319</v>
      </c>
      <c r="L436" s="196">
        <f t="shared" si="1493"/>
        <v>0.50909949293388912</v>
      </c>
      <c r="M436" s="196">
        <f t="shared" si="1493"/>
        <v>0.53180090789522838</v>
      </c>
      <c r="N436" s="196">
        <f t="shared" si="1493"/>
        <v>0.49706427456902158</v>
      </c>
      <c r="O436" s="196">
        <f t="shared" si="1493"/>
        <v>0.55516163969425203</v>
      </c>
      <c r="P436" s="196">
        <f t="shared" si="1493"/>
        <v>0.54800791368546364</v>
      </c>
      <c r="Q436" s="196">
        <f t="shared" si="1493"/>
        <v>0.52347270082752773</v>
      </c>
      <c r="R436" s="196">
        <f t="shared" si="1493"/>
        <v>0.54222664626103634</v>
      </c>
      <c r="S436" s="196">
        <f t="shared" si="1493"/>
        <v>0.55839591936783117</v>
      </c>
      <c r="T436" s="196">
        <f t="shared" si="1493"/>
        <v>0.53622042431604444</v>
      </c>
      <c r="U436" s="196">
        <f t="shared" si="1493"/>
        <v>0.52456847828101194</v>
      </c>
      <c r="V436" s="196">
        <f t="shared" si="1493"/>
        <v>0.52139769948442571</v>
      </c>
      <c r="W436" s="196">
        <f t="shared" si="1493"/>
        <v>0.54418828049951973</v>
      </c>
      <c r="X436" s="196">
        <f t="shared" si="1493"/>
        <v>0.50542671084199708</v>
      </c>
      <c r="Y436" s="196">
        <f t="shared" si="1493"/>
        <v>0.50724080235398195</v>
      </c>
      <c r="Z436" s="196">
        <f t="shared" si="1493"/>
        <v>0.49362413743237588</v>
      </c>
      <c r="AA436" s="196">
        <f t="shared" si="1493"/>
        <v>0.51236288503912131</v>
      </c>
      <c r="AB436" s="196">
        <f t="shared" si="1493"/>
        <v>0.52291529471310261</v>
      </c>
      <c r="AC436" s="196">
        <f t="shared" si="1493"/>
        <v>0.5530183170109858</v>
      </c>
      <c r="AD436" s="196">
        <f t="shared" si="1493"/>
        <v>0.55475648401685995</v>
      </c>
      <c r="AE436" s="196">
        <f t="shared" si="1493"/>
        <v>0.52532059864194169</v>
      </c>
      <c r="AF436" s="196">
        <f t="shared" si="1493"/>
        <v>0.53895781862484238</v>
      </c>
      <c r="AG436" s="196">
        <f t="shared" si="1493"/>
        <v>0.36432174772474574</v>
      </c>
      <c r="AH436" s="196">
        <f t="shared" ref="AH436:BM436" si="1494">AH430/(AH376+AH385+AH388)</f>
        <v>0.33587135512633848</v>
      </c>
      <c r="AI436" s="196">
        <f t="shared" si="1494"/>
        <v>0.34053856591170023</v>
      </c>
      <c r="AJ436" s="196">
        <f t="shared" si="1494"/>
        <v>0.35408522322790609</v>
      </c>
      <c r="AK436" s="196">
        <f t="shared" si="1494"/>
        <v>0.52955291265114623</v>
      </c>
      <c r="AL436" s="196">
        <f t="shared" si="1494"/>
        <v>0.36598312554887114</v>
      </c>
      <c r="AM436" s="196">
        <f t="shared" si="1494"/>
        <v>0.3363255445792554</v>
      </c>
      <c r="AN436" s="196">
        <f t="shared" si="1494"/>
        <v>0.34521519958975005</v>
      </c>
      <c r="AO436" s="196">
        <f t="shared" si="1494"/>
        <v>0.33744321868916288</v>
      </c>
      <c r="AP436" s="196">
        <f t="shared" si="1494"/>
        <v>0.56161048468152208</v>
      </c>
      <c r="AQ436" s="196">
        <f t="shared" si="1494"/>
        <v>0.59743734883960276</v>
      </c>
      <c r="AR436" s="196">
        <f t="shared" si="1494"/>
        <v>0.52988151377180415</v>
      </c>
      <c r="AS436" s="196">
        <f t="shared" si="1494"/>
        <v>0.59517461143265915</v>
      </c>
      <c r="AT436" s="196">
        <f t="shared" si="1494"/>
        <v>0.58520183793803859</v>
      </c>
      <c r="AU436" s="196">
        <f t="shared" si="1494"/>
        <v>0.57718899599820339</v>
      </c>
      <c r="AV436" s="196">
        <f t="shared" si="1494"/>
        <v>0.49089165867689355</v>
      </c>
      <c r="AW436" s="196">
        <f t="shared" si="1494"/>
        <v>0.48365384615384616</v>
      </c>
      <c r="AX436" s="196">
        <f t="shared" si="1494"/>
        <v>0.53438395415472784</v>
      </c>
      <c r="AY436" s="196">
        <f t="shared" si="1494"/>
        <v>0.51400491400491399</v>
      </c>
      <c r="AZ436" s="196">
        <f t="shared" si="1494"/>
        <v>0.50572634116937909</v>
      </c>
      <c r="BA436" s="196">
        <f t="shared" si="1494"/>
        <v>0.51515151515151514</v>
      </c>
      <c r="BB436" s="196">
        <f t="shared" si="1494"/>
        <v>0.50024838549428718</v>
      </c>
      <c r="BC436" s="196">
        <f t="shared" si="1494"/>
        <v>0.51652688702516036</v>
      </c>
      <c r="BD436" s="196">
        <f t="shared" si="1494"/>
        <v>0.37548828125</v>
      </c>
      <c r="BE436" s="196">
        <f t="shared" si="1494"/>
        <v>0.47632622706990579</v>
      </c>
      <c r="BF436" s="196">
        <f t="shared" si="1494"/>
        <v>0.5089881869542886</v>
      </c>
      <c r="BG436" s="196">
        <f t="shared" si="1494"/>
        <v>0.513555787278415</v>
      </c>
      <c r="BH436" s="196">
        <f t="shared" si="1494"/>
        <v>0.51804123711340211</v>
      </c>
      <c r="BI436" s="196">
        <f t="shared" si="1494"/>
        <v>0.4743975903614458</v>
      </c>
      <c r="BJ436" s="196">
        <f t="shared" si="1494"/>
        <v>0.50352699756316532</v>
      </c>
      <c r="BK436" s="196">
        <f t="shared" si="1494"/>
        <v>0.49587628865979383</v>
      </c>
      <c r="BL436" s="196">
        <f t="shared" si="1494"/>
        <v>0.49789473684210528</v>
      </c>
      <c r="BM436" s="196">
        <f t="shared" si="1494"/>
        <v>0.49845360824742269</v>
      </c>
      <c r="BN436" s="196">
        <f t="shared" ref="BN436:CM436" si="1495">BN430/(BN376+BN385+BN388)</f>
        <v>0.48277634961439586</v>
      </c>
      <c r="BO436" s="196">
        <f t="shared" si="1495"/>
        <v>0.49372168284789641</v>
      </c>
      <c r="BP436" s="196">
        <f t="shared" si="1495"/>
        <v>0.49664082687338501</v>
      </c>
      <c r="BQ436" s="196">
        <f t="shared" si="1495"/>
        <v>0.51221995926680242</v>
      </c>
      <c r="BR436" s="196">
        <f t="shared" si="1495"/>
        <v>0.48825587206396803</v>
      </c>
      <c r="BS436" s="196">
        <f t="shared" si="1495"/>
        <v>0.46975806451612906</v>
      </c>
      <c r="BT436" s="196">
        <f t="shared" si="1495"/>
        <v>0.49162861491628612</v>
      </c>
      <c r="BU436" s="197">
        <f t="shared" si="1495"/>
        <v>0.46234413965087284</v>
      </c>
      <c r="BV436" s="197">
        <f t="shared" si="1495"/>
        <v>0.49126213592233009</v>
      </c>
      <c r="BW436" s="197">
        <f t="shared" si="1495"/>
        <v>0.48199711953912627</v>
      </c>
      <c r="BX436" s="197">
        <f t="shared" si="1495"/>
        <v>0.47244849065644468</v>
      </c>
      <c r="BY436" s="196">
        <f t="shared" si="1495"/>
        <v>0.47710989678202792</v>
      </c>
      <c r="BZ436" s="197">
        <f t="shared" si="1495"/>
        <v>0.46596356663470756</v>
      </c>
      <c r="CA436" s="197">
        <f t="shared" ref="CA436:CB436" si="1496">CA430/(CA376+CA385+CA388)</f>
        <v>0.47942583732057414</v>
      </c>
      <c r="CB436" s="197">
        <f t="shared" si="1496"/>
        <v>0.43882853094000945</v>
      </c>
      <c r="CC436" s="197">
        <f t="shared" ref="CC436" si="1497">CC430/(CC376+CC385+CC388)</f>
        <v>0.57414448669201523</v>
      </c>
      <c r="CD436" s="196">
        <f t="shared" si="1495"/>
        <v>0.45605924458346719</v>
      </c>
      <c r="CE436" s="196">
        <f t="shared" si="1495"/>
        <v>0.46273997855860305</v>
      </c>
      <c r="CF436" s="196">
        <f t="shared" si="1495"/>
        <v>0.45660963423632722</v>
      </c>
      <c r="CG436" s="196">
        <f t="shared" si="1495"/>
        <v>0.45089090679157462</v>
      </c>
      <c r="CH436" s="196">
        <f t="shared" si="1495"/>
        <v>0.44876378132849154</v>
      </c>
      <c r="CI436" s="196">
        <f t="shared" si="1495"/>
        <v>0.44832139554288442</v>
      </c>
      <c r="CJ436" s="196">
        <f t="shared" si="1495"/>
        <v>0.44731674520825121</v>
      </c>
      <c r="CK436" s="196">
        <f t="shared" si="1495"/>
        <v>0.44574272126094366</v>
      </c>
      <c r="CL436" s="196">
        <f t="shared" si="1495"/>
        <v>0.44359325077062056</v>
      </c>
      <c r="CM436" s="196">
        <f t="shared" si="1495"/>
        <v>0.44086373082155872</v>
      </c>
      <c r="CN436" s="195"/>
      <c r="CO436" s="195"/>
      <c r="CP436" s="195"/>
      <c r="CQ436" s="195"/>
      <c r="CR436" s="195"/>
      <c r="CS436" s="195"/>
      <c r="CT436" s="195"/>
      <c r="CV436" s="276" t="s">
        <v>65</v>
      </c>
      <c r="CW436" s="287">
        <v>7.899807321772645E-2</v>
      </c>
      <c r="CX436" s="287">
        <v>7.1071428571428452E-2</v>
      </c>
      <c r="CY436" s="287">
        <v>4.3769378075413368E-2</v>
      </c>
      <c r="CZ436" s="287">
        <v>7.2969933480117266E-2</v>
      </c>
      <c r="DA436" s="287">
        <v>3.4888913363626761E-2</v>
      </c>
      <c r="DB436" s="287">
        <v>9.3481475147603188E-3</v>
      </c>
      <c r="DC436" s="287" t="e">
        <f>DC431/DB431-1</f>
        <v>#REF!</v>
      </c>
      <c r="DD436" s="287" t="e">
        <f>DD431/DC431-1</f>
        <v>#REF!</v>
      </c>
      <c r="DE436" s="287" t="e">
        <f>DE431/DD431-1</f>
        <v>#REF!</v>
      </c>
      <c r="DV436" s="265"/>
      <c r="EA436" s="265"/>
      <c r="EB436" s="265"/>
      <c r="EC436" s="265"/>
      <c r="ED436" s="265"/>
      <c r="EE436" s="265"/>
      <c r="EK436" s="353">
        <v>39966</v>
      </c>
      <c r="EL436" s="354">
        <v>0.98850000000000005</v>
      </c>
    </row>
    <row r="438" spans="1:142">
      <c r="A438" s="276" t="s">
        <v>90</v>
      </c>
      <c r="B438" s="463">
        <v>894</v>
      </c>
      <c r="C438" s="463"/>
      <c r="D438" s="463"/>
      <c r="E438" s="463"/>
      <c r="F438" s="463"/>
      <c r="G438" s="463">
        <v>1192.2</v>
      </c>
      <c r="H438" s="463">
        <v>0</v>
      </c>
      <c r="I438" s="463">
        <v>0</v>
      </c>
      <c r="J438" s="463">
        <v>278</v>
      </c>
      <c r="K438" s="463">
        <v>281</v>
      </c>
      <c r="L438" s="463">
        <v>1165</v>
      </c>
      <c r="M438" s="463">
        <v>267</v>
      </c>
      <c r="N438" s="463">
        <v>253</v>
      </c>
      <c r="O438" s="463">
        <v>274</v>
      </c>
      <c r="P438" s="463">
        <v>279</v>
      </c>
      <c r="Q438" s="463">
        <v>1073</v>
      </c>
      <c r="R438" s="463">
        <v>285</v>
      </c>
      <c r="S438" s="463">
        <v>288</v>
      </c>
      <c r="T438" s="463">
        <v>309</v>
      </c>
      <c r="U438" s="463">
        <v>309</v>
      </c>
      <c r="V438" s="355">
        <v>1191</v>
      </c>
      <c r="W438" s="355">
        <v>295</v>
      </c>
      <c r="X438" s="355">
        <v>289</v>
      </c>
      <c r="Y438" s="355">
        <v>289</v>
      </c>
      <c r="Z438" s="355">
        <v>489</v>
      </c>
      <c r="AA438" s="355">
        <v>1362</v>
      </c>
      <c r="AB438" s="355">
        <v>370</v>
      </c>
      <c r="AC438" s="355">
        <v>340</v>
      </c>
      <c r="AD438" s="355">
        <v>303</v>
      </c>
      <c r="AE438" s="355">
        <v>353</v>
      </c>
      <c r="AF438" s="355">
        <v>1366</v>
      </c>
      <c r="AG438" s="355">
        <v>332</v>
      </c>
      <c r="AH438" s="355">
        <v>335</v>
      </c>
      <c r="AI438" s="355">
        <v>326</v>
      </c>
      <c r="AJ438" s="355">
        <v>434</v>
      </c>
      <c r="AK438" s="355">
        <v>1427</v>
      </c>
      <c r="AL438" s="355">
        <f>237+6</f>
        <v>243</v>
      </c>
      <c r="AM438" s="355">
        <f>240+2</f>
        <v>242</v>
      </c>
      <c r="AN438" s="355">
        <f>238+9</f>
        <v>247</v>
      </c>
      <c r="AO438" s="355">
        <f>249+10</f>
        <v>259</v>
      </c>
      <c r="AP438" s="355">
        <f>SUM(AL438:AO438)</f>
        <v>991</v>
      </c>
      <c r="AQ438" s="355">
        <f>256+18</f>
        <v>274</v>
      </c>
      <c r="AR438" s="355">
        <f>254+3</f>
        <v>257</v>
      </c>
      <c r="AS438" s="355">
        <f>261+4</f>
        <v>265</v>
      </c>
      <c r="AT438" s="355">
        <f>266-10</f>
        <v>256</v>
      </c>
      <c r="AU438" s="355">
        <f>SUM(AQ438:AT438)</f>
        <v>1052</v>
      </c>
      <c r="AV438" s="355">
        <v>240</v>
      </c>
      <c r="AW438" s="355">
        <f>'[2]Profit and Loss Highlights'!X$65</f>
        <v>238</v>
      </c>
      <c r="AX438" s="355">
        <f>'[2]Profit and Loss Highlights'!Y$65</f>
        <v>264</v>
      </c>
      <c r="AY438" s="355">
        <f>'[2]Profit and Loss Highlights'!Z$65</f>
        <v>279</v>
      </c>
      <c r="AZ438" s="355">
        <f>SUM(AV438:AY438)</f>
        <v>1021</v>
      </c>
      <c r="BA438" s="355">
        <f>'[2]Profit and Loss Highlights'!AA$65</f>
        <v>235</v>
      </c>
      <c r="BB438" s="355">
        <f>'[2]Profit and Loss Highlights'!AB$65</f>
        <v>268</v>
      </c>
      <c r="BC438" s="355">
        <f>'[2]Profit and Loss Highlights'!AC$65</f>
        <v>260</v>
      </c>
      <c r="BD438" s="355">
        <f>'[2]Profit and Loss Highlights'!AD$65</f>
        <v>305</v>
      </c>
      <c r="BE438" s="548">
        <f>SUM(BA438:BD438)</f>
        <v>1068</v>
      </c>
      <c r="BF438" s="355">
        <f>'[2]Profit and Loss Highlights'!AE$65</f>
        <v>323</v>
      </c>
      <c r="BG438" s="355">
        <f>'[2]Profit and Loss Highlights'!AF$65</f>
        <v>323</v>
      </c>
      <c r="BH438" s="355">
        <f>'[2]Profit and Loss Highlights'!AG$65</f>
        <v>375</v>
      </c>
      <c r="BI438" s="355">
        <f>'[2]Profit and Loss Highlights'!AH$65</f>
        <v>358</v>
      </c>
      <c r="BJ438" s="195">
        <f>SUM(BF438:BI438)</f>
        <v>1379</v>
      </c>
      <c r="BK438" s="355">
        <f>'[2]Profit and Loss Highlights'!AI$65</f>
        <v>355</v>
      </c>
      <c r="BL438" s="355">
        <f>'[2]Profit and Loss Highlights'!AJ$65</f>
        <v>357</v>
      </c>
      <c r="BM438" s="355">
        <f>'[2]Profit and Loss Highlights'!AK$65</f>
        <v>339</v>
      </c>
      <c r="BN438" s="355">
        <f>'[2]Profit and Loss Highlights'!AL$65</f>
        <v>362</v>
      </c>
      <c r="BO438" s="195">
        <f>SUM(BK438:BN438)</f>
        <v>1413</v>
      </c>
      <c r="BP438" s="355">
        <f>'[2]Profit and Loss Highlights'!AM$65</f>
        <v>386</v>
      </c>
      <c r="BQ438" s="355">
        <f>'[2]Profit and Loss Highlights'!AN$65</f>
        <v>393</v>
      </c>
      <c r="BR438" s="355">
        <f>'[2]Profit and Loss Highlights'!AO$65</f>
        <v>369</v>
      </c>
      <c r="BS438" s="355">
        <f>'[2]Profit and Loss Highlights'!AP$65</f>
        <v>372</v>
      </c>
      <c r="BT438" s="195">
        <f>SUM(BP438:BS438)</f>
        <v>1520</v>
      </c>
      <c r="BU438" s="355">
        <f>'[2]Profit and Loss Highlights'!AQ$65</f>
        <v>350</v>
      </c>
      <c r="BV438" s="355">
        <f>'[2]Profit and Loss Highlights'!AR$65</f>
        <v>343</v>
      </c>
      <c r="BW438" s="355">
        <f>'[2]Profit and Loss Highlights'!AS$65</f>
        <v>343</v>
      </c>
      <c r="BX438" s="355">
        <f>'[2]Profit and Loss Highlights'!AT$65</f>
        <v>372</v>
      </c>
      <c r="BY438" s="195">
        <f>SUM(BU438:BX438)</f>
        <v>1408</v>
      </c>
      <c r="BZ438" s="355">
        <f>'[2]Profit and Loss Highlights'!AU$65</f>
        <v>349</v>
      </c>
      <c r="CA438" s="355">
        <f>'[2]Profit and Loss Highlights'!AV$65</f>
        <v>346</v>
      </c>
      <c r="CB438" s="355">
        <f>'[2]Profit and Loss Highlights'!AW$65</f>
        <v>350</v>
      </c>
      <c r="CC438" s="355">
        <f>'[2]Profit and Loss Highlights'!AX$65</f>
        <v>480</v>
      </c>
      <c r="CD438" s="195">
        <f>SUM(BZ438:CC438)</f>
        <v>1525</v>
      </c>
      <c r="CE438" s="195">
        <f>-'Balance Sheet and Cflow'!S93</f>
        <v>1456.0383046639474</v>
      </c>
      <c r="CF438" s="195">
        <f>-'Balance Sheet and Cflow'!T93</f>
        <v>1378.4585291306005</v>
      </c>
      <c r="CG438" s="195">
        <f>-'Balance Sheet and Cflow'!U93</f>
        <v>1330.0496987573997</v>
      </c>
      <c r="CH438" s="195">
        <f>-'Balance Sheet and Cflow'!V93</f>
        <v>1303.8214625706964</v>
      </c>
      <c r="CI438" s="195">
        <f>-'Balance Sheet and Cflow'!W93</f>
        <v>1294.7690431608307</v>
      </c>
      <c r="CJ438" s="195">
        <f>-'Balance Sheet and Cflow'!X93</f>
        <v>1299.1634178655656</v>
      </c>
      <c r="CK438" s="195">
        <f>-'Balance Sheet and Cflow'!Y93</f>
        <v>1313.3534258016905</v>
      </c>
      <c r="CL438" s="195">
        <f>-'Balance Sheet and Cflow'!Z93</f>
        <v>1334.6988946034251</v>
      </c>
      <c r="CM438" s="195">
        <f>-'Balance Sheet and Cflow'!AA93</f>
        <v>1361.2965681055894</v>
      </c>
      <c r="CN438" s="195"/>
      <c r="CO438" s="195"/>
      <c r="CP438" s="195"/>
      <c r="CQ438" s="195"/>
      <c r="CR438" s="195"/>
      <c r="CS438" s="195"/>
      <c r="CT438" s="195"/>
      <c r="CV438" s="314" t="s">
        <v>91</v>
      </c>
      <c r="CW438" s="316">
        <v>2013.6</v>
      </c>
      <c r="CX438" s="316">
        <v>2127.54</v>
      </c>
      <c r="CY438" s="316">
        <v>2109.2259618044286</v>
      </c>
      <c r="CZ438" s="316">
        <v>2149.865535098193</v>
      </c>
      <c r="DA438" s="316">
        <v>2147.8438414678644</v>
      </c>
      <c r="DB438" s="316">
        <v>2167.9511203068755</v>
      </c>
      <c r="DC438" s="316" t="e">
        <f>DC397+#REF!+DC419+#REF!+DC431+#REF!</f>
        <v>#REF!</v>
      </c>
      <c r="DD438" s="316" t="e">
        <f>DD397+#REF!+DD419+#REF!+DD431+#REF!</f>
        <v>#REF!</v>
      </c>
      <c r="DE438" s="316" t="e">
        <f>DE397+#REF!+DE419+#REF!+DE431+#REF!</f>
        <v>#REF!</v>
      </c>
      <c r="EK438" s="353">
        <v>39968</v>
      </c>
      <c r="EL438" s="354">
        <v>0.99750000000000005</v>
      </c>
    </row>
    <row r="439" spans="1:142">
      <c r="A439" s="276" t="s">
        <v>92</v>
      </c>
      <c r="B439" s="463"/>
      <c r="C439" s="463"/>
      <c r="D439" s="463"/>
      <c r="E439" s="463"/>
      <c r="F439" s="463"/>
      <c r="G439" s="463">
        <v>0</v>
      </c>
      <c r="H439" s="463">
        <v>0</v>
      </c>
      <c r="I439" s="463">
        <v>0</v>
      </c>
      <c r="J439" s="463">
        <v>0</v>
      </c>
      <c r="K439" s="463">
        <v>0</v>
      </c>
      <c r="L439" s="463">
        <v>0</v>
      </c>
      <c r="M439" s="463">
        <v>0</v>
      </c>
      <c r="N439" s="463">
        <v>0</v>
      </c>
      <c r="O439" s="463">
        <v>0</v>
      </c>
      <c r="P439" s="463">
        <v>0</v>
      </c>
      <c r="Q439" s="463">
        <v>0</v>
      </c>
      <c r="R439" s="463">
        <v>0</v>
      </c>
      <c r="S439" s="463">
        <v>0</v>
      </c>
      <c r="T439" s="463">
        <v>0</v>
      </c>
      <c r="U439" s="463">
        <v>0</v>
      </c>
      <c r="V439" s="463">
        <v>0</v>
      </c>
      <c r="W439" s="463">
        <v>0</v>
      </c>
      <c r="X439" s="463">
        <v>0</v>
      </c>
      <c r="Y439" s="463">
        <v>0</v>
      </c>
      <c r="Z439" s="463">
        <v>0</v>
      </c>
      <c r="AA439" s="355">
        <v>0</v>
      </c>
      <c r="AB439" s="355">
        <v>0</v>
      </c>
      <c r="AC439" s="355">
        <v>0</v>
      </c>
      <c r="AD439" s="355">
        <v>0</v>
      </c>
      <c r="AE439" s="355">
        <v>0</v>
      </c>
      <c r="AF439" s="355">
        <v>0</v>
      </c>
      <c r="AG439" s="355">
        <v>0</v>
      </c>
      <c r="AH439" s="355">
        <v>0</v>
      </c>
      <c r="AI439" s="355">
        <v>0</v>
      </c>
      <c r="AJ439" s="355">
        <v>0</v>
      </c>
      <c r="AK439" s="355">
        <v>0</v>
      </c>
      <c r="AL439" s="355">
        <v>62</v>
      </c>
      <c r="AM439" s="355">
        <v>67</v>
      </c>
      <c r="AN439" s="355">
        <v>71</v>
      </c>
      <c r="AO439" s="355">
        <v>79</v>
      </c>
      <c r="AP439" s="355">
        <f>SUM(AL439:AO439)</f>
        <v>279</v>
      </c>
      <c r="AQ439" s="355">
        <v>86</v>
      </c>
      <c r="AR439" s="355">
        <v>82</v>
      </c>
      <c r="AS439" s="355">
        <v>83</v>
      </c>
      <c r="AT439" s="355">
        <v>90</v>
      </c>
      <c r="AU439" s="355">
        <f>SUM(AQ439:AT439)</f>
        <v>341</v>
      </c>
      <c r="AV439" s="355">
        <f>97+2</f>
        <v>99</v>
      </c>
      <c r="AW439" s="355">
        <f>'[2]Profit and Loss Highlights'!X$66</f>
        <v>98</v>
      </c>
      <c r="AX439" s="355">
        <f>'[2]Profit and Loss Highlights'!Y$66</f>
        <v>98</v>
      </c>
      <c r="AY439" s="355">
        <f>'[2]Profit and Loss Highlights'!Z$66</f>
        <v>104</v>
      </c>
      <c r="AZ439" s="355">
        <f>SUM(AV439:AY439)</f>
        <v>399</v>
      </c>
      <c r="BA439" s="355">
        <f>'[2]Profit and Loss Highlights'!AA$66</f>
        <v>0</v>
      </c>
      <c r="BB439" s="355">
        <f>'[2]Profit and Loss Highlights'!AB$66</f>
        <v>0</v>
      </c>
      <c r="BC439" s="355">
        <f>'[2]Profit and Loss Highlights'!AC$66</f>
        <v>0</v>
      </c>
      <c r="BD439" s="355">
        <f>'[2]Profit and Loss Highlights'!AD$66</f>
        <v>0</v>
      </c>
      <c r="BE439" s="548">
        <f>SUM(BA439:BD439)</f>
        <v>0</v>
      </c>
      <c r="BF439" s="355">
        <f>'[2]Profit and Loss Highlights'!AE$66</f>
        <v>0</v>
      </c>
      <c r="BG439" s="355">
        <f>'[2]Profit and Loss Highlights'!AF$66</f>
        <v>0</v>
      </c>
      <c r="BH439" s="355">
        <f>'[2]Profit and Loss Highlights'!AG$66</f>
        <v>0</v>
      </c>
      <c r="BI439" s="355">
        <f>'[2]Profit and Loss Highlights'!AH$66</f>
        <v>0</v>
      </c>
      <c r="BJ439" s="195">
        <f>SUM(BF439:BI439)</f>
        <v>0</v>
      </c>
      <c r="BK439" s="355">
        <f>'[2]Profit and Loss Highlights'!AI$66</f>
        <v>10</v>
      </c>
      <c r="BL439" s="355">
        <f>'[2]Profit and Loss Highlights'!AJ$66</f>
        <v>17</v>
      </c>
      <c r="BM439" s="355">
        <f>'[2]Profit and Loss Highlights'!AK$66</f>
        <v>16</v>
      </c>
      <c r="BN439" s="355">
        <f>'[2]Profit and Loss Highlights'!AL$66</f>
        <v>19</v>
      </c>
      <c r="BO439" s="195">
        <f>SUM(BK439:BN439)</f>
        <v>62</v>
      </c>
      <c r="BP439" s="355">
        <f>'[2]Profit and Loss Highlights'!AM$66</f>
        <v>21</v>
      </c>
      <c r="BQ439" s="355">
        <f>'[2]Profit and Loss Highlights'!AN$66</f>
        <v>31</v>
      </c>
      <c r="BR439" s="355">
        <f>'[2]Profit and Loss Highlights'!AO$66</f>
        <v>66</v>
      </c>
      <c r="BS439" s="355">
        <f>'[2]Profit and Loss Highlights'!AP$66</f>
        <v>63</v>
      </c>
      <c r="BT439" s="195">
        <f>SUM(BP439:BS439)</f>
        <v>181</v>
      </c>
      <c r="BU439" s="355">
        <f>'[2]Profit and Loss Highlights'!AQ$66</f>
        <v>67</v>
      </c>
      <c r="BV439" s="355">
        <f>'[2]Profit and Loss Highlights'!AR$66</f>
        <v>69</v>
      </c>
      <c r="BW439" s="355">
        <f>'[2]Profit and Loss Highlights'!AS$66</f>
        <v>84</v>
      </c>
      <c r="BX439" s="355">
        <f>'[2]Profit and Loss Highlights'!AT$66</f>
        <v>93</v>
      </c>
      <c r="BY439" s="195">
        <f>SUM(BU439:BX439)</f>
        <v>313</v>
      </c>
      <c r="BZ439" s="355">
        <f>'[2]Profit and Loss Highlights'!AU$66</f>
        <v>82</v>
      </c>
      <c r="CA439" s="355">
        <f>'[2]Profit and Loss Highlights'!AV$66</f>
        <v>85</v>
      </c>
      <c r="CB439" s="355">
        <f>'[2]Profit and Loss Highlights'!AW$66</f>
        <v>82</v>
      </c>
      <c r="CC439" s="355">
        <f>'[2]Profit and Loss Highlights'!AX$66</f>
        <v>129</v>
      </c>
      <c r="CD439" s="195">
        <f>SUM(BZ439:CC439)</f>
        <v>378</v>
      </c>
      <c r="CE439" s="195">
        <f>-'Balance Sheet and Cflow'!S105</f>
        <v>367.68523507430262</v>
      </c>
      <c r="CF439" s="195">
        <f>-'Balance Sheet and Cflow'!T105</f>
        <v>357.65193675038404</v>
      </c>
      <c r="CG439" s="195">
        <f>-'Balance Sheet and Cflow'!U105</f>
        <v>347.89242444138773</v>
      </c>
      <c r="CH439" s="195">
        <f>-'Balance Sheet and Cflow'!V105</f>
        <v>338.39922714629813</v>
      </c>
      <c r="CI439" s="195">
        <f>-'Balance Sheet and Cflow'!W105</f>
        <v>329.16507773081736</v>
      </c>
      <c r="CJ439" s="195">
        <f>-'Balance Sheet and Cflow'!X105</f>
        <v>320.18290736430333</v>
      </c>
      <c r="CK439" s="195">
        <f>-'Balance Sheet and Cflow'!Y105</f>
        <v>311.44584010851196</v>
      </c>
      <c r="CL439" s="195">
        <f>-'Balance Sheet and Cflow'!Z105</f>
        <v>302.94718765399972</v>
      </c>
      <c r="CM439" s="195">
        <f>-'Balance Sheet and Cflow'!AA105</f>
        <v>294.68044420015804</v>
      </c>
      <c r="CN439" s="195"/>
      <c r="CO439" s="195"/>
      <c r="CP439" s="195"/>
      <c r="CQ439" s="195"/>
      <c r="CR439" s="195"/>
      <c r="CS439" s="195"/>
      <c r="CT439" s="195"/>
      <c r="CV439" s="445" t="s">
        <v>86</v>
      </c>
      <c r="CW439" s="431">
        <v>0.11569148936170226</v>
      </c>
      <c r="CX439" s="431">
        <v>5.658522050059589E-2</v>
      </c>
      <c r="CY439" s="431">
        <v>-8.6080817261114939E-3</v>
      </c>
      <c r="CZ439" s="431">
        <v>1.926752943008414E-2</v>
      </c>
      <c r="DA439" s="431">
        <v>-9.4038143191887968E-4</v>
      </c>
      <c r="DB439" s="431">
        <v>9.3616111426748638E-3</v>
      </c>
      <c r="DC439" s="431" t="e">
        <f>DC438/DB438-1</f>
        <v>#REF!</v>
      </c>
      <c r="DD439" s="431" t="e">
        <f>DD438/DC438-1</f>
        <v>#REF!</v>
      </c>
      <c r="DE439" s="431" t="e">
        <f>DE438/DD438-1</f>
        <v>#REF!</v>
      </c>
      <c r="EK439" s="353">
        <v>39969</v>
      </c>
      <c r="EL439" s="354">
        <v>0.99460000000000004</v>
      </c>
    </row>
    <row r="440" spans="1:142">
      <c r="A440" s="276" t="s">
        <v>95</v>
      </c>
      <c r="B440" s="196">
        <f>B438/'Balance Sheet and Cflow'!B73</f>
        <v>0.79551521623064603</v>
      </c>
      <c r="C440" s="196"/>
      <c r="D440" s="196"/>
      <c r="E440" s="196"/>
      <c r="F440" s="196"/>
      <c r="G440" s="196">
        <f>G438/'Balance Sheet and Cflow'!C73</f>
        <v>1.485052316890882</v>
      </c>
      <c r="H440" s="196"/>
      <c r="I440" s="196"/>
      <c r="J440" s="196"/>
      <c r="K440" s="196"/>
      <c r="L440" s="196">
        <f>L438/'Balance Sheet and Cflow'!D73</f>
        <v>1.9745762711864407</v>
      </c>
      <c r="M440" s="196"/>
      <c r="N440" s="196"/>
      <c r="O440" s="196"/>
      <c r="P440" s="196"/>
      <c r="Q440" s="196">
        <f>Q438/'Balance Sheet and Cflow'!E73</f>
        <v>0.74307479224376727</v>
      </c>
      <c r="R440" s="196"/>
      <c r="S440" s="196"/>
      <c r="T440" s="196"/>
      <c r="U440" s="196"/>
      <c r="V440" s="196">
        <f>V438/'Balance Sheet and Cflow'!F73</f>
        <v>1.204246713852376</v>
      </c>
      <c r="W440" s="196"/>
      <c r="X440" s="196"/>
      <c r="Y440" s="196"/>
      <c r="Z440" s="196"/>
      <c r="AA440" s="196">
        <f>AA438/'Balance Sheet and Cflow'!G73</f>
        <v>1.3757575757575757</v>
      </c>
      <c r="AB440" s="196"/>
      <c r="AC440" s="196"/>
      <c r="AD440" s="196"/>
      <c r="AE440" s="196"/>
      <c r="AF440" s="196">
        <f>AF438/'Balance Sheet and Cflow'!H73</f>
        <v>1.6760736196319019</v>
      </c>
      <c r="AG440" s="196"/>
      <c r="AH440" s="196"/>
      <c r="AI440" s="196"/>
      <c r="AJ440" s="196"/>
      <c r="AK440" s="196">
        <f>AK438/'Balance Sheet and Cflow'!I73</f>
        <v>1.2517543859649123</v>
      </c>
      <c r="AL440" s="196"/>
      <c r="AM440" s="196"/>
      <c r="AN440" s="196"/>
      <c r="AO440" s="196"/>
      <c r="AP440" s="196">
        <f>AP438/'Balance Sheet and Cflow'!J73</f>
        <v>0.75996932515337423</v>
      </c>
      <c r="AQ440" s="196"/>
      <c r="AR440" s="196"/>
      <c r="AS440" s="196"/>
      <c r="AT440" s="243"/>
      <c r="AU440" s="196">
        <f>AU438/'Balance Sheet and Cflow'!K73</f>
        <v>0.8847771236333053</v>
      </c>
      <c r="AV440" s="196"/>
      <c r="AW440" s="196"/>
      <c r="AX440" s="196"/>
      <c r="AY440" s="196"/>
      <c r="AZ440" s="196">
        <f>AZ438/'Balance Sheet and Cflow'!P73</f>
        <v>0.8601516427969671</v>
      </c>
      <c r="BA440" s="196"/>
      <c r="BB440" s="196"/>
      <c r="BC440" s="196"/>
      <c r="BD440" s="196"/>
      <c r="BE440" s="196">
        <f>BE438/'Balance Sheet and Cflow'!M73</f>
        <v>1.0289017341040463</v>
      </c>
      <c r="BF440" s="196"/>
      <c r="BG440" s="196"/>
      <c r="BH440" s="243"/>
      <c r="BI440" s="243"/>
      <c r="BJ440" s="196">
        <f>BJ438/'Balance Sheet and Cflow'!N73</f>
        <v>1.136850783182193</v>
      </c>
      <c r="BK440" s="196"/>
      <c r="BL440" s="196"/>
      <c r="BM440" s="196"/>
      <c r="BN440" s="196"/>
      <c r="BO440" s="196">
        <f>BO438/'Balance Sheet and Cflow'!S73</f>
        <v>1.2085484277654874</v>
      </c>
      <c r="BP440" s="196"/>
      <c r="BQ440" s="196"/>
      <c r="BR440" s="196"/>
      <c r="BS440" s="196"/>
      <c r="BT440" s="196">
        <f>BT438/'Balance Sheet and Cflow'!P73</f>
        <v>1.2805391743892165</v>
      </c>
      <c r="BU440" s="197"/>
      <c r="BV440" s="197"/>
      <c r="BW440" s="197"/>
      <c r="BX440" s="197"/>
      <c r="BY440" s="196">
        <f>BY438/'Balance Sheet and Cflow'!U73</f>
        <v>1.1418696658165777</v>
      </c>
      <c r="BZ440" s="197"/>
      <c r="CA440" s="197"/>
      <c r="CB440" s="197"/>
      <c r="CC440" s="197"/>
      <c r="CD440" s="196">
        <f>CD438/'Balance Sheet and Cflow'!Z73</f>
        <v>1.0641644086876068</v>
      </c>
      <c r="CE440" s="196">
        <f>CE438/'Balance Sheet and Cflow'!S73</f>
        <v>1.2453593799490017</v>
      </c>
      <c r="CF440" s="196">
        <f>CF438/'Balance Sheet and Cflow'!T73</f>
        <v>1.1492355092915649</v>
      </c>
      <c r="CG440" s="196">
        <f>CG438/'Balance Sheet and Cflow'!U73</f>
        <v>1.0786529865337726</v>
      </c>
      <c r="CH440" s="196">
        <f>CH438/'Balance Sheet and Cflow'!V73</f>
        <v>1.0263496051593115</v>
      </c>
      <c r="CI440" s="196">
        <f>CI438/'Balance Sheet and Cflow'!W73</f>
        <v>0.98760573907365234</v>
      </c>
      <c r="CJ440" s="196">
        <f>CJ438/'Balance Sheet and Cflow'!X73</f>
        <v>0.96117997417139656</v>
      </c>
      <c r="CK440" s="196">
        <f>CK438/'Balance Sheet and Cflow'!Y73</f>
        <v>0.94330946824011375</v>
      </c>
      <c r="CL440" s="196">
        <f>CL438/'Balance Sheet and Cflow'!Z73</f>
        <v>0.93136987537813531</v>
      </c>
      <c r="CM440" s="196">
        <f>CM438/'Balance Sheet and Cflow'!AA73</f>
        <v>0.84656820068396577</v>
      </c>
      <c r="CN440" s="195"/>
      <c r="CO440" s="195"/>
      <c r="CP440" s="195"/>
      <c r="CQ440" s="195"/>
      <c r="CR440" s="195"/>
      <c r="CS440" s="359"/>
      <c r="CT440" s="359"/>
      <c r="CV440" s="445" t="s">
        <v>86</v>
      </c>
      <c r="CW440" s="431"/>
      <c r="CX440" s="431">
        <v>5.658522050059589E-2</v>
      </c>
      <c r="CY440" s="431">
        <v>-8.6080817261114939E-3</v>
      </c>
      <c r="CZ440" s="431">
        <v>1.926752943008414E-2</v>
      </c>
      <c r="DA440" s="431">
        <v>-9.4038143191887968E-4</v>
      </c>
      <c r="DB440" s="431">
        <v>9.3616111426748638E-3</v>
      </c>
      <c r="DC440" s="431" t="e">
        <f>DC446/DB446-1</f>
        <v>#REF!</v>
      </c>
      <c r="DD440" s="431" t="e">
        <f>DD446/DC446-1</f>
        <v>#REF!</v>
      </c>
      <c r="DE440" s="431" t="e">
        <f>DE446/DD446-1</f>
        <v>#REF!</v>
      </c>
      <c r="EK440" s="353">
        <v>39970</v>
      </c>
      <c r="EL440" s="354">
        <v>0.98329999999999995</v>
      </c>
    </row>
    <row r="441" spans="1:142">
      <c r="A441" s="464"/>
      <c r="B441" s="359"/>
      <c r="C441" s="359"/>
      <c r="D441" s="359"/>
      <c r="E441" s="359"/>
      <c r="F441" s="359"/>
      <c r="G441" s="359"/>
      <c r="H441" s="359"/>
      <c r="I441" s="359"/>
      <c r="J441" s="359"/>
      <c r="K441" s="359"/>
      <c r="L441" s="359"/>
      <c r="M441" s="359"/>
      <c r="N441" s="359"/>
      <c r="O441" s="359"/>
      <c r="P441" s="359"/>
      <c r="Q441" s="359"/>
      <c r="R441" s="359"/>
      <c r="S441" s="359"/>
      <c r="T441" s="359"/>
      <c r="U441" s="359"/>
      <c r="V441" s="359"/>
      <c r="W441" s="359"/>
      <c r="X441" s="359"/>
      <c r="Y441" s="359"/>
      <c r="Z441" s="359"/>
      <c r="AA441" s="359"/>
      <c r="AB441" s="359"/>
      <c r="AC441" s="359"/>
      <c r="AD441" s="359"/>
      <c r="AE441" s="359"/>
      <c r="AF441" s="359"/>
      <c r="AG441" s="359"/>
      <c r="AH441" s="359"/>
      <c r="AI441" s="359"/>
      <c r="AJ441" s="359"/>
      <c r="AK441" s="359"/>
      <c r="AL441" s="359"/>
      <c r="AM441" s="359"/>
      <c r="AN441" s="359"/>
      <c r="AO441" s="359"/>
      <c r="AP441" s="465"/>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195"/>
      <c r="CO441" s="195"/>
      <c r="CP441" s="195"/>
      <c r="CQ441" s="195"/>
      <c r="CR441" s="195"/>
      <c r="CS441" s="195"/>
      <c r="CT441" s="195"/>
      <c r="CV441" s="445"/>
      <c r="CW441" s="431"/>
      <c r="CX441" s="431"/>
      <c r="CY441" s="431"/>
      <c r="CZ441" s="431"/>
      <c r="DA441" s="431"/>
      <c r="DB441" s="431"/>
      <c r="DC441" s="431"/>
      <c r="DD441" s="431"/>
      <c r="DE441" s="431"/>
      <c r="EK441" s="353">
        <v>39971</v>
      </c>
      <c r="EL441" s="354">
        <v>0.99080000000000001</v>
      </c>
    </row>
    <row r="442" spans="1:142">
      <c r="A442" s="464" t="s">
        <v>206</v>
      </c>
      <c r="B442" s="359"/>
      <c r="C442" s="359"/>
      <c r="D442" s="359"/>
      <c r="E442" s="359"/>
      <c r="F442" s="359"/>
      <c r="G442" s="359"/>
      <c r="H442" s="359"/>
      <c r="I442" s="359"/>
      <c r="J442" s="359"/>
      <c r="K442" s="359"/>
      <c r="L442" s="359"/>
      <c r="M442" s="359"/>
      <c r="N442" s="359"/>
      <c r="O442" s="359"/>
      <c r="P442" s="359"/>
      <c r="Q442" s="359"/>
      <c r="R442" s="359"/>
      <c r="S442" s="359"/>
      <c r="T442" s="359"/>
      <c r="U442" s="359"/>
      <c r="V442" s="359"/>
      <c r="W442" s="359"/>
      <c r="X442" s="359"/>
      <c r="Y442" s="359"/>
      <c r="Z442" s="359"/>
      <c r="AA442" s="359"/>
      <c r="AB442" s="359"/>
      <c r="AC442" s="359"/>
      <c r="AD442" s="359"/>
      <c r="AE442" s="359"/>
      <c r="AF442" s="359"/>
      <c r="AG442" s="359"/>
      <c r="AH442" s="359"/>
      <c r="AI442" s="359"/>
      <c r="AJ442" s="359"/>
      <c r="AK442" s="359"/>
      <c r="AL442" s="359"/>
      <c r="AM442" s="359"/>
      <c r="AN442" s="359"/>
      <c r="AO442" s="359"/>
      <c r="AP442" s="465"/>
      <c r="AQ442" s="359"/>
      <c r="AR442" s="359"/>
      <c r="AS442" s="359"/>
      <c r="AT442" s="359"/>
      <c r="AU442" s="359"/>
      <c r="AV442" s="429">
        <f>'[2]Profit and Loss Highlights'!W$67</f>
        <v>3</v>
      </c>
      <c r="AW442" s="429">
        <f>'[2]Profit and Loss Highlights'!X$67</f>
        <v>95</v>
      </c>
      <c r="AX442" s="429">
        <f>'[2]Profit and Loss Highlights'!Y$67</f>
        <v>2</v>
      </c>
      <c r="AY442" s="429">
        <f>'[2]Profit and Loss Highlights'!Z$67</f>
        <v>9</v>
      </c>
      <c r="AZ442" s="255">
        <f>SUM(AV442:AY442)</f>
        <v>109</v>
      </c>
      <c r="BA442" s="360">
        <f>'[2]Profit and Loss Highlights'!AA$67</f>
        <v>7</v>
      </c>
      <c r="BB442" s="360">
        <f>'[2]Profit and Loss Highlights'!AB$67</f>
        <v>16</v>
      </c>
      <c r="BC442" s="360">
        <f>'[2]Profit and Loss Highlights'!AC$67</f>
        <v>11</v>
      </c>
      <c r="BD442" s="360">
        <f>'[2]Profit and Loss Highlights'!AD$67</f>
        <v>30</v>
      </c>
      <c r="BE442" s="202">
        <f>SUM(BA442:BD442)</f>
        <v>64</v>
      </c>
      <c r="BF442" s="360">
        <f>'[2]Profit and Loss Highlights'!AE$67</f>
        <v>20</v>
      </c>
      <c r="BG442" s="360">
        <f>'[2]Profit and Loss Highlights'!AF$67</f>
        <v>21</v>
      </c>
      <c r="BH442" s="360">
        <f>'[2]Profit and Loss Highlights'!AG$67</f>
        <v>38</v>
      </c>
      <c r="BI442" s="360">
        <f>'[2]Profit and Loss Highlights'!AH$67</f>
        <v>14</v>
      </c>
      <c r="BJ442" s="202">
        <f>SUM(BF442:BI442)</f>
        <v>93</v>
      </c>
      <c r="BK442" s="360">
        <f>'[2]Profit and Loss Highlights'!AI$67</f>
        <v>18</v>
      </c>
      <c r="BL442" s="360">
        <f>'[2]Profit and Loss Highlights'!AJ$67</f>
        <v>19</v>
      </c>
      <c r="BM442" s="360">
        <f>'[2]Profit and Loss Highlights'!AK$67</f>
        <v>24</v>
      </c>
      <c r="BN442" s="360">
        <f>'[2]Profit and Loss Highlights'!AL$67</f>
        <v>26</v>
      </c>
      <c r="BO442" s="202">
        <f>SUM(BK442:BN442)</f>
        <v>87</v>
      </c>
      <c r="BP442" s="360">
        <f>'[2]Profit and Loss Highlights'!AM$67</f>
        <v>16</v>
      </c>
      <c r="BQ442" s="360">
        <f>'[2]Profit and Loss Highlights'!AN$67</f>
        <v>24</v>
      </c>
      <c r="BR442" s="360">
        <f>'[2]Profit and Loss Highlights'!AO$67</f>
        <v>9</v>
      </c>
      <c r="BS442" s="360">
        <f>'[2]Profit and Loss Highlights'!AP$67</f>
        <v>26</v>
      </c>
      <c r="BT442" s="202">
        <f>SUM(BP442:BS442)</f>
        <v>75</v>
      </c>
      <c r="BU442" s="360">
        <f>'[2]Profit and Loss Highlights'!AQ$67</f>
        <v>10</v>
      </c>
      <c r="BV442" s="360">
        <f>'[2]Profit and Loss Highlights'!AR$67</f>
        <v>-3</v>
      </c>
      <c r="BW442" s="360">
        <f>'[2]Profit and Loss Highlights'!AS$67</f>
        <v>-3</v>
      </c>
      <c r="BX442" s="360">
        <f>'[2]Profit and Loss Highlights'!AT$67</f>
        <v>-3</v>
      </c>
      <c r="BY442" s="202">
        <f>SUM(BU442:BX442)</f>
        <v>1</v>
      </c>
      <c r="BZ442" s="360">
        <f>'[2]Profit and Loss Highlights'!AU$67</f>
        <v>0</v>
      </c>
      <c r="CA442" s="360">
        <f>'[2]Profit and Loss Highlights'!AV$67</f>
        <v>-3</v>
      </c>
      <c r="CB442" s="360">
        <f>'[2]Profit and Loss Highlights'!AW$67</f>
        <v>-5</v>
      </c>
      <c r="CC442" s="360">
        <f>'[2]Profit and Loss Highlights'!AX$67</f>
        <v>-159</v>
      </c>
      <c r="CD442" s="202">
        <f>SUM(BZ442:CC442)</f>
        <v>-167</v>
      </c>
      <c r="CE442" s="359"/>
      <c r="CF442" s="359"/>
      <c r="CG442" s="359"/>
      <c r="CH442" s="359"/>
      <c r="CI442" s="359"/>
      <c r="CJ442" s="359"/>
      <c r="CK442" s="359"/>
      <c r="CL442" s="359"/>
      <c r="CM442" s="359"/>
      <c r="CN442" s="195"/>
      <c r="CO442" s="195"/>
      <c r="CP442" s="195"/>
      <c r="CQ442" s="195"/>
      <c r="CR442" s="195"/>
      <c r="CS442" s="195"/>
      <c r="CT442" s="195"/>
      <c r="CV442" s="445"/>
      <c r="CW442" s="431"/>
      <c r="CX442" s="431"/>
      <c r="CY442" s="431"/>
      <c r="CZ442" s="431"/>
      <c r="DA442" s="431"/>
      <c r="DB442" s="431"/>
      <c r="DC442" s="431"/>
      <c r="DD442" s="431"/>
      <c r="DE442" s="431"/>
      <c r="EK442" s="353"/>
      <c r="EL442" s="354"/>
    </row>
    <row r="443" spans="1:142">
      <c r="A443" s="464"/>
      <c r="B443" s="359"/>
      <c r="C443" s="359"/>
      <c r="D443" s="359"/>
      <c r="E443" s="359"/>
      <c r="F443" s="359"/>
      <c r="G443" s="359"/>
      <c r="H443" s="359"/>
      <c r="I443" s="359"/>
      <c r="J443" s="359"/>
      <c r="K443" s="359"/>
      <c r="L443" s="359"/>
      <c r="M443" s="359"/>
      <c r="N443" s="359"/>
      <c r="O443" s="359"/>
      <c r="P443" s="359"/>
      <c r="Q443" s="359"/>
      <c r="R443" s="359"/>
      <c r="S443" s="359"/>
      <c r="T443" s="359"/>
      <c r="U443" s="359"/>
      <c r="V443" s="359"/>
      <c r="W443" s="359"/>
      <c r="X443" s="359"/>
      <c r="Y443" s="359"/>
      <c r="Z443" s="359"/>
      <c r="AA443" s="359"/>
      <c r="AB443" s="359"/>
      <c r="AC443" s="359"/>
      <c r="AD443" s="359"/>
      <c r="AE443" s="359"/>
      <c r="AF443" s="359"/>
      <c r="AG443" s="359"/>
      <c r="AH443" s="359"/>
      <c r="AI443" s="359"/>
      <c r="AJ443" s="359"/>
      <c r="AK443" s="359"/>
      <c r="AL443" s="359"/>
      <c r="AM443" s="359"/>
      <c r="AN443" s="359"/>
      <c r="AO443" s="359"/>
      <c r="AP443" s="465"/>
      <c r="AQ443" s="359"/>
      <c r="AR443" s="359"/>
      <c r="AS443" s="359"/>
      <c r="AT443" s="359"/>
      <c r="AU443" s="359"/>
      <c r="AV443" s="359"/>
      <c r="AW443" s="359"/>
      <c r="AX443" s="359"/>
      <c r="AY443" s="359"/>
      <c r="AZ443" s="359"/>
      <c r="BA443" s="359"/>
      <c r="BB443" s="359"/>
      <c r="BC443" s="359"/>
      <c r="BD443" s="359"/>
      <c r="BE443" s="359"/>
      <c r="BF443" s="359"/>
      <c r="BG443" s="359"/>
      <c r="BH443" s="359"/>
      <c r="BI443" s="359"/>
      <c r="BJ443" s="359"/>
      <c r="BK443" s="359"/>
      <c r="BL443" s="359"/>
      <c r="BM443" s="359"/>
      <c r="BN443" s="359"/>
      <c r="BO443" s="359"/>
      <c r="BP443" s="359"/>
      <c r="BQ443" s="359"/>
      <c r="BR443" s="359"/>
      <c r="BS443" s="359"/>
      <c r="BT443" s="359"/>
      <c r="BU443" s="359"/>
      <c r="BV443" s="359"/>
      <c r="BW443" s="359"/>
      <c r="BX443" s="359"/>
      <c r="BY443" s="359"/>
      <c r="BZ443" s="359"/>
      <c r="CA443" s="359"/>
      <c r="CB443" s="359"/>
      <c r="CC443" s="359"/>
      <c r="CD443" s="359"/>
      <c r="CE443" s="359"/>
      <c r="CF443" s="359"/>
      <c r="CG443" s="359"/>
      <c r="CH443" s="359"/>
      <c r="CI443" s="359"/>
      <c r="CJ443" s="359"/>
      <c r="CK443" s="359"/>
      <c r="CL443" s="359"/>
      <c r="CM443" s="359"/>
      <c r="CN443" s="195"/>
      <c r="CO443" s="195"/>
      <c r="CP443" s="195"/>
      <c r="CQ443" s="195"/>
      <c r="CR443" s="195"/>
      <c r="CS443" s="195"/>
      <c r="CT443" s="195"/>
      <c r="CV443" s="445"/>
      <c r="CW443" s="431"/>
      <c r="CX443" s="431"/>
      <c r="CY443" s="431"/>
      <c r="CZ443" s="431"/>
      <c r="DA443" s="431"/>
      <c r="DB443" s="431"/>
      <c r="DC443" s="431"/>
      <c r="DD443" s="431"/>
      <c r="DE443" s="431"/>
      <c r="EK443" s="353"/>
      <c r="EL443" s="354"/>
    </row>
    <row r="444" spans="1:142">
      <c r="A444" s="349" t="s">
        <v>76</v>
      </c>
      <c r="B444" s="255">
        <f>B430-B438-B439</f>
        <v>2696</v>
      </c>
      <c r="C444" s="255"/>
      <c r="D444" s="255"/>
      <c r="E444" s="255"/>
      <c r="F444" s="255"/>
      <c r="G444" s="255">
        <f t="shared" ref="G444:AL444" si="1498">G430-G438-G439</f>
        <v>3210.0000000000009</v>
      </c>
      <c r="H444" s="255">
        <f t="shared" si="1498"/>
        <v>1071</v>
      </c>
      <c r="I444" s="255">
        <f t="shared" si="1498"/>
        <v>1075.2475247524753</v>
      </c>
      <c r="J444" s="255">
        <f t="shared" si="1498"/>
        <v>808</v>
      </c>
      <c r="K444" s="255">
        <f t="shared" si="1498"/>
        <v>825</v>
      </c>
      <c r="L444" s="255">
        <f t="shared" si="1498"/>
        <v>3055</v>
      </c>
      <c r="M444" s="255">
        <f t="shared" si="1498"/>
        <v>815</v>
      </c>
      <c r="N444" s="255">
        <f t="shared" si="1498"/>
        <v>775</v>
      </c>
      <c r="O444" s="255">
        <f t="shared" si="1498"/>
        <v>866</v>
      </c>
      <c r="P444" s="255">
        <f t="shared" si="1498"/>
        <v>887</v>
      </c>
      <c r="Q444" s="255">
        <f t="shared" si="1498"/>
        <v>3343</v>
      </c>
      <c r="R444" s="255">
        <f t="shared" si="1498"/>
        <v>805</v>
      </c>
      <c r="S444" s="255">
        <f t="shared" si="1498"/>
        <v>818</v>
      </c>
      <c r="T444" s="255">
        <f t="shared" si="1498"/>
        <v>814</v>
      </c>
      <c r="U444" s="255">
        <f t="shared" si="1498"/>
        <v>795</v>
      </c>
      <c r="V444" s="255">
        <f t="shared" si="1498"/>
        <v>3232</v>
      </c>
      <c r="W444" s="255">
        <f t="shared" si="1498"/>
        <v>838</v>
      </c>
      <c r="X444" s="255">
        <f t="shared" si="1498"/>
        <v>817</v>
      </c>
      <c r="Y444" s="255">
        <f t="shared" si="1498"/>
        <v>766</v>
      </c>
      <c r="Z444" s="255">
        <f t="shared" si="1498"/>
        <v>576</v>
      </c>
      <c r="AA444" s="255">
        <f t="shared" si="1498"/>
        <v>2997</v>
      </c>
      <c r="AB444" s="255">
        <f t="shared" si="1498"/>
        <v>752</v>
      </c>
      <c r="AC444" s="255">
        <f t="shared" si="1498"/>
        <v>825</v>
      </c>
      <c r="AD444" s="255">
        <f t="shared" si="1498"/>
        <v>851</v>
      </c>
      <c r="AE444" s="255">
        <f t="shared" si="1498"/>
        <v>728</v>
      </c>
      <c r="AF444" s="255">
        <f t="shared" si="1498"/>
        <v>3156</v>
      </c>
      <c r="AG444" s="255">
        <f t="shared" si="1498"/>
        <v>375.74600000000009</v>
      </c>
      <c r="AH444" s="255">
        <f t="shared" si="1498"/>
        <v>316.66600000000005</v>
      </c>
      <c r="AI444" s="255">
        <f t="shared" si="1498"/>
        <v>326.53999999999996</v>
      </c>
      <c r="AJ444" s="255">
        <f t="shared" si="1498"/>
        <v>262.34400000000005</v>
      </c>
      <c r="AK444" s="255">
        <f t="shared" si="1498"/>
        <v>2685.3305194230634</v>
      </c>
      <c r="AL444" s="255">
        <f t="shared" si="1498"/>
        <v>408.46800000000007</v>
      </c>
      <c r="AM444" s="255">
        <f t="shared" ref="AM444:BD444" si="1499">AM430-AM438-AM439</f>
        <v>340.88</v>
      </c>
      <c r="AN444" s="255">
        <f t="shared" si="1499"/>
        <v>371</v>
      </c>
      <c r="AO444" s="255">
        <f t="shared" si="1499"/>
        <v>338</v>
      </c>
      <c r="AP444" s="255">
        <f t="shared" si="1499"/>
        <v>3156</v>
      </c>
      <c r="AQ444" s="255">
        <f t="shared" si="1499"/>
        <v>801</v>
      </c>
      <c r="AR444" s="255">
        <f t="shared" si="1499"/>
        <v>671</v>
      </c>
      <c r="AS444" s="255">
        <f t="shared" si="1499"/>
        <v>796</v>
      </c>
      <c r="AT444" s="255">
        <f t="shared" si="1499"/>
        <v>841</v>
      </c>
      <c r="AU444" s="255">
        <f t="shared" si="1499"/>
        <v>3109</v>
      </c>
      <c r="AV444" s="255">
        <f t="shared" si="1499"/>
        <v>685</v>
      </c>
      <c r="AW444" s="255">
        <f t="shared" si="1499"/>
        <v>670</v>
      </c>
      <c r="AX444" s="255">
        <f t="shared" si="1499"/>
        <v>757</v>
      </c>
      <c r="AY444" s="255">
        <f t="shared" si="1499"/>
        <v>663</v>
      </c>
      <c r="AZ444" s="255">
        <f t="shared" si="1499"/>
        <v>2775</v>
      </c>
      <c r="BA444" s="255">
        <f t="shared" si="1499"/>
        <v>785</v>
      </c>
      <c r="BB444" s="255">
        <f t="shared" si="1499"/>
        <v>739</v>
      </c>
      <c r="BC444" s="255">
        <f t="shared" si="1499"/>
        <v>787</v>
      </c>
      <c r="BD444" s="255">
        <f t="shared" si="1499"/>
        <v>464</v>
      </c>
      <c r="BE444" s="255">
        <f>BE428-BE438-BE439-BE442</f>
        <v>2685</v>
      </c>
      <c r="BF444" s="255">
        <f>BF430-BF438-BF439</f>
        <v>668</v>
      </c>
      <c r="BG444" s="255">
        <f>BG430-BG438-BG439</f>
        <v>662</v>
      </c>
      <c r="BH444" s="255">
        <f>BH430-BH438-BH439</f>
        <v>630</v>
      </c>
      <c r="BI444" s="255">
        <f>BI430-BI438-BI439</f>
        <v>587</v>
      </c>
      <c r="BJ444" s="255">
        <f>BJ428-BJ438-BJ439</f>
        <v>2512</v>
      </c>
      <c r="BK444" s="255">
        <f>BK430-BK438-BK439</f>
        <v>597</v>
      </c>
      <c r="BL444" s="255">
        <f>BL430-BL438-BL439</f>
        <v>572</v>
      </c>
      <c r="BM444" s="255">
        <f>BM430-BM438-BM439</f>
        <v>612</v>
      </c>
      <c r="BN444" s="255">
        <f>BN430-BN438-BN439</f>
        <v>558</v>
      </c>
      <c r="BO444" s="255">
        <f>BO428-BO438-BO439</f>
        <v>2284</v>
      </c>
      <c r="BP444" s="255">
        <f>BP428-BP438-BP439-BP442</f>
        <v>538</v>
      </c>
      <c r="BQ444" s="255">
        <f t="shared" ref="BQ444:BT444" si="1500">BQ428-BQ438-BQ439-BQ442</f>
        <v>548</v>
      </c>
      <c r="BR444" s="255">
        <f t="shared" si="1500"/>
        <v>525</v>
      </c>
      <c r="BS444" s="255">
        <f t="shared" si="1500"/>
        <v>471</v>
      </c>
      <c r="BT444" s="255">
        <f t="shared" si="1500"/>
        <v>2082</v>
      </c>
      <c r="BU444" s="255">
        <f>BU428-BU438-BU439+BU442</f>
        <v>520</v>
      </c>
      <c r="BV444" s="255">
        <f t="shared" ref="BV444:BY444" si="1501">BV428-BV438-BV439+BV442</f>
        <v>597</v>
      </c>
      <c r="BW444" s="255">
        <f t="shared" si="1501"/>
        <v>574</v>
      </c>
      <c r="BX444" s="255">
        <f t="shared" si="1501"/>
        <v>518</v>
      </c>
      <c r="BY444" s="255">
        <f t="shared" si="1501"/>
        <v>2209</v>
      </c>
      <c r="BZ444" s="255">
        <f>BZ428-BZ438-BZ439+BZ442</f>
        <v>541</v>
      </c>
      <c r="CA444" s="255">
        <f t="shared" ref="CA444:CM444" si="1502">CA428-CA438-CA439+CA442</f>
        <v>568</v>
      </c>
      <c r="CB444" s="255">
        <f t="shared" si="1502"/>
        <v>492</v>
      </c>
      <c r="CC444" s="255">
        <f t="shared" si="1502"/>
        <v>289</v>
      </c>
      <c r="CD444" s="255">
        <f t="shared" si="1502"/>
        <v>1890</v>
      </c>
      <c r="CE444" s="255">
        <f t="shared" si="1502"/>
        <v>2347.3340871671849</v>
      </c>
      <c r="CF444" s="255">
        <f t="shared" si="1502"/>
        <v>2560.4233690205247</v>
      </c>
      <c r="CG444" s="255">
        <f t="shared" si="1502"/>
        <v>2758.4518560025549</v>
      </c>
      <c r="CH444" s="255">
        <f t="shared" si="1502"/>
        <v>2947.4539926412772</v>
      </c>
      <c r="CI444" s="255">
        <f t="shared" si="1502"/>
        <v>3131.1808294526886</v>
      </c>
      <c r="CJ444" s="255">
        <f t="shared" si="1502"/>
        <v>3302.0415517357228</v>
      </c>
      <c r="CK444" s="255">
        <f t="shared" si="1502"/>
        <v>3464.0133285049733</v>
      </c>
      <c r="CL444" s="255">
        <f t="shared" si="1502"/>
        <v>3620.0584230274967</v>
      </c>
      <c r="CM444" s="255">
        <f t="shared" si="1502"/>
        <v>3772.3989617800194</v>
      </c>
      <c r="CN444" s="195"/>
      <c r="CO444" s="195"/>
      <c r="CP444" s="195"/>
      <c r="CQ444" s="195"/>
      <c r="CR444" s="195"/>
      <c r="CS444" s="195"/>
      <c r="CT444" s="195"/>
      <c r="CV444" s="276" t="s">
        <v>93</v>
      </c>
      <c r="CW444" s="465">
        <v>0</v>
      </c>
      <c r="CX444" s="465">
        <v>0</v>
      </c>
      <c r="CY444" s="465">
        <v>0</v>
      </c>
      <c r="CZ444" s="465">
        <v>0</v>
      </c>
      <c r="DA444" s="465">
        <v>0</v>
      </c>
      <c r="DB444" s="465">
        <v>0</v>
      </c>
      <c r="DC444" s="465">
        <v>0</v>
      </c>
      <c r="DD444" s="465">
        <v>0</v>
      </c>
      <c r="DE444" s="465">
        <v>0</v>
      </c>
      <c r="EK444" s="353">
        <v>39972</v>
      </c>
      <c r="EL444" s="354">
        <v>0.98309999999999997</v>
      </c>
    </row>
    <row r="445" spans="1:142">
      <c r="A445" s="276" t="s">
        <v>793</v>
      </c>
      <c r="B445" s="196">
        <f>B444/B$419</f>
        <v>0.35058517555266577</v>
      </c>
      <c r="C445" s="196" t="e">
        <f t="shared" ref="C445:BN445" si="1503">C444/C$419</f>
        <v>#DIV/0!</v>
      </c>
      <c r="D445" s="196" t="e">
        <f t="shared" si="1503"/>
        <v>#DIV/0!</v>
      </c>
      <c r="E445" s="196" t="e">
        <f t="shared" si="1503"/>
        <v>#DIV/0!</v>
      </c>
      <c r="F445" s="196">
        <f t="shared" si="1503"/>
        <v>0</v>
      </c>
      <c r="G445" s="196">
        <f t="shared" si="1503"/>
        <v>0.37988615249884627</v>
      </c>
      <c r="H445" s="196">
        <f t="shared" si="1503"/>
        <v>0.50305307656176612</v>
      </c>
      <c r="I445" s="196">
        <f t="shared" si="1503"/>
        <v>0.50815100413633052</v>
      </c>
      <c r="J445" s="196">
        <f t="shared" si="1503"/>
        <v>0.37476808905380332</v>
      </c>
      <c r="K445" s="196">
        <f t="shared" si="1503"/>
        <v>0.37313432835820898</v>
      </c>
      <c r="L445" s="196">
        <f t="shared" si="1503"/>
        <v>0.35473757547607987</v>
      </c>
      <c r="M445" s="196">
        <f t="shared" si="1503"/>
        <v>0.37871747211895912</v>
      </c>
      <c r="N445" s="196">
        <f t="shared" si="1503"/>
        <v>0.35371976266544958</v>
      </c>
      <c r="O445" s="196">
        <f t="shared" si="1503"/>
        <v>0.3907942238267148</v>
      </c>
      <c r="P445" s="196">
        <f t="shared" si="1503"/>
        <v>0.38398268398268398</v>
      </c>
      <c r="Q445" s="196">
        <f t="shared" si="1503"/>
        <v>0.37693088285037774</v>
      </c>
      <c r="R445" s="196">
        <f t="shared" si="1503"/>
        <v>0.37740271917487106</v>
      </c>
      <c r="S445" s="196">
        <f t="shared" si="1503"/>
        <v>0.37905468025949951</v>
      </c>
      <c r="T445" s="196">
        <f t="shared" si="1503"/>
        <v>0.36274509803921567</v>
      </c>
      <c r="U445" s="196">
        <f t="shared" si="1503"/>
        <v>0.35364768683274023</v>
      </c>
      <c r="V445" s="196">
        <f t="shared" si="1503"/>
        <v>0.3679836046908801</v>
      </c>
      <c r="W445" s="196">
        <f t="shared" si="1503"/>
        <v>0.39250585480093675</v>
      </c>
      <c r="X445" s="196">
        <f t="shared" si="1503"/>
        <v>0.36752136752136755</v>
      </c>
      <c r="Y445" s="196">
        <f t="shared" si="1503"/>
        <v>0.34566787003610111</v>
      </c>
      <c r="Z445" s="196">
        <f t="shared" si="1503"/>
        <v>0.24978317432784042</v>
      </c>
      <c r="AA445" s="196">
        <f t="shared" si="1503"/>
        <v>0.33750000000000002</v>
      </c>
      <c r="AB445" s="196">
        <f t="shared" si="1503"/>
        <v>0.32316287064890414</v>
      </c>
      <c r="AC445" s="196">
        <f t="shared" si="1503"/>
        <v>0.35947712418300654</v>
      </c>
      <c r="AD445" s="196">
        <f t="shared" si="1503"/>
        <v>0.38008039303260382</v>
      </c>
      <c r="AE445" s="196">
        <f t="shared" si="1503"/>
        <v>0.3273381294964029</v>
      </c>
      <c r="AF445" s="196">
        <f t="shared" si="1503"/>
        <v>0.34956468342243763</v>
      </c>
      <c r="AG445" s="196">
        <f t="shared" si="1503"/>
        <v>0.17732232184992924</v>
      </c>
      <c r="AH445" s="196">
        <f t="shared" si="1503"/>
        <v>0.15209702209414028</v>
      </c>
      <c r="AI445" s="196">
        <f t="shared" si="1503"/>
        <v>0.15813075060532686</v>
      </c>
      <c r="AJ445" s="196">
        <f t="shared" si="1503"/>
        <v>0.12357230334432409</v>
      </c>
      <c r="AK445" s="196">
        <f t="shared" si="1503"/>
        <v>0.31953004752773245</v>
      </c>
      <c r="AL445" s="196">
        <f t="shared" si="1503"/>
        <v>0.1900735225686366</v>
      </c>
      <c r="AM445" s="196">
        <f t="shared" si="1503"/>
        <v>0.16155450236966826</v>
      </c>
      <c r="AN445" s="196">
        <f t="shared" si="1503"/>
        <v>0.17128347183748846</v>
      </c>
      <c r="AO445" s="196">
        <f t="shared" si="1503"/>
        <v>0.15533088235294118</v>
      </c>
      <c r="AP445" s="196">
        <f t="shared" si="1503"/>
        <v>0.36693407743285666</v>
      </c>
      <c r="AQ445" s="196">
        <f t="shared" si="1503"/>
        <v>0.37429906542056074</v>
      </c>
      <c r="AR445" s="196">
        <f t="shared" si="1503"/>
        <v>0.31921979067554712</v>
      </c>
      <c r="AS445" s="196">
        <f t="shared" si="1503"/>
        <v>0.36920222634508348</v>
      </c>
      <c r="AT445" s="196">
        <f t="shared" si="1503"/>
        <v>0.37985546522131886</v>
      </c>
      <c r="AU445" s="196">
        <f t="shared" si="1503"/>
        <v>0.3610078959591268</v>
      </c>
      <c r="AV445" s="196">
        <f t="shared" si="1503"/>
        <v>0.28842105263157897</v>
      </c>
      <c r="AW445" s="196">
        <f t="shared" si="1503"/>
        <v>0.28693790149892934</v>
      </c>
      <c r="AX445" s="196">
        <f t="shared" si="1503"/>
        <v>0.32447492498928421</v>
      </c>
      <c r="AY445" s="196">
        <f t="shared" si="1503"/>
        <v>0.27904040404040403</v>
      </c>
      <c r="AZ445" s="196">
        <f t="shared" si="1503"/>
        <v>0.2946172629790848</v>
      </c>
      <c r="BA445" s="196">
        <f t="shared" si="1503"/>
        <v>0.35091640590075995</v>
      </c>
      <c r="BB445" s="196">
        <f t="shared" si="1503"/>
        <v>0.3290293855743544</v>
      </c>
      <c r="BC445" s="196">
        <f t="shared" si="1503"/>
        <v>0.34761484098939932</v>
      </c>
      <c r="BD445" s="196">
        <f t="shared" si="1503"/>
        <v>0.18977505112474438</v>
      </c>
      <c r="BE445" s="196">
        <f t="shared" si="1503"/>
        <v>0.29210182767624021</v>
      </c>
      <c r="BF445" s="196">
        <f t="shared" si="1503"/>
        <v>0.29928315412186379</v>
      </c>
      <c r="BG445" s="196">
        <f t="shared" si="1503"/>
        <v>0.30009066183136901</v>
      </c>
      <c r="BH445" s="196">
        <f t="shared" si="1503"/>
        <v>0.27571115973741794</v>
      </c>
      <c r="BI445" s="196">
        <f t="shared" si="1503"/>
        <v>0.22664092664092664</v>
      </c>
      <c r="BJ445" s="196">
        <f t="shared" si="1503"/>
        <v>0.26973048426930096</v>
      </c>
      <c r="BK445" s="196">
        <f t="shared" si="1503"/>
        <v>0.25501922255446391</v>
      </c>
      <c r="BL445" s="196">
        <f t="shared" si="1503"/>
        <v>0.26592282659228267</v>
      </c>
      <c r="BM445" s="196">
        <f t="shared" si="1503"/>
        <v>0.27654767284229553</v>
      </c>
      <c r="BN445" s="196">
        <f t="shared" si="1503"/>
        <v>0.24679345422379478</v>
      </c>
      <c r="BO445" s="196">
        <f t="shared" ref="BO445:CM445" si="1504">BO444/BO$419</f>
        <v>0.25474012937764889</v>
      </c>
      <c r="BP445" s="196">
        <f t="shared" si="1504"/>
        <v>0.24017857142857144</v>
      </c>
      <c r="BQ445" s="196">
        <f t="shared" si="1504"/>
        <v>0.24098504837291118</v>
      </c>
      <c r="BR445" s="196">
        <f t="shared" si="1504"/>
        <v>0.23117569352708059</v>
      </c>
      <c r="BS445" s="196">
        <f t="shared" si="1504"/>
        <v>0.19177524429967427</v>
      </c>
      <c r="BT445" s="196">
        <f t="shared" si="1504"/>
        <v>0.22530029217617142</v>
      </c>
      <c r="BU445" s="196">
        <f t="shared" si="1504"/>
        <v>0.21612635078969245</v>
      </c>
      <c r="BV445" s="196">
        <f t="shared" si="1504"/>
        <v>0.24628712871287128</v>
      </c>
      <c r="BW445" s="196">
        <f t="shared" si="1504"/>
        <v>0.23866943866943868</v>
      </c>
      <c r="BX445" s="196">
        <f t="shared" si="1504"/>
        <v>0.20281910728269381</v>
      </c>
      <c r="BY445" s="196">
        <f t="shared" si="1504"/>
        <v>0.22566145673715396</v>
      </c>
      <c r="BZ445" s="196">
        <f t="shared" si="1504"/>
        <v>0.21417260490894696</v>
      </c>
      <c r="CA445" s="196">
        <f t="shared" ref="CA445:CB445" si="1505">CA444/CA$419</f>
        <v>0.22995951417004049</v>
      </c>
      <c r="CB445" s="196">
        <f t="shared" si="1505"/>
        <v>0.20147420147420148</v>
      </c>
      <c r="CC445" s="196">
        <f t="shared" ref="CC445" si="1506">CC444/CC$419</f>
        <v>0.10539752005835157</v>
      </c>
      <c r="CD445" s="196">
        <f t="shared" si="1504"/>
        <v>0.1856581532416503</v>
      </c>
      <c r="CE445" s="196">
        <f t="shared" si="1504"/>
        <v>0.22084597399397454</v>
      </c>
      <c r="CF445" s="196">
        <f t="shared" si="1504"/>
        <v>0.23481173582999354</v>
      </c>
      <c r="CG445" s="196">
        <f t="shared" si="1504"/>
        <v>0.24607753898318402</v>
      </c>
      <c r="CH445" s="196">
        <f t="shared" si="1504"/>
        <v>0.25522129841066638</v>
      </c>
      <c r="CI445" s="196">
        <f t="shared" si="1504"/>
        <v>0.26271939315642323</v>
      </c>
      <c r="CJ445" s="196">
        <f t="shared" si="1504"/>
        <v>0.26872999860842045</v>
      </c>
      <c r="CK445" s="196">
        <f t="shared" si="1504"/>
        <v>0.27368110954471275</v>
      </c>
      <c r="CL445" s="196">
        <f t="shared" si="1504"/>
        <v>0.27787351241122699</v>
      </c>
      <c r="CM445" s="196">
        <f t="shared" si="1504"/>
        <v>0.28151922890223224</v>
      </c>
      <c r="CN445" s="195"/>
      <c r="CO445" s="195"/>
      <c r="CP445" s="195"/>
      <c r="CQ445" s="195"/>
      <c r="CR445" s="195"/>
      <c r="CS445" s="195"/>
      <c r="CT445" s="195"/>
      <c r="CV445" s="276"/>
      <c r="CW445" s="465"/>
      <c r="CX445" s="465"/>
      <c r="CY445" s="465"/>
      <c r="CZ445" s="465"/>
      <c r="DA445" s="465"/>
      <c r="DB445" s="465"/>
      <c r="DC445" s="465"/>
      <c r="DD445" s="465"/>
      <c r="DE445" s="465"/>
      <c r="EK445" s="353"/>
      <c r="EL445" s="354"/>
    </row>
    <row r="446" spans="1:142">
      <c r="A446" s="276" t="s">
        <v>94</v>
      </c>
      <c r="B446" s="196">
        <f>B444/(B419-B378)</f>
        <v>0.43093471914437076</v>
      </c>
      <c r="C446" s="196"/>
      <c r="D446" s="196"/>
      <c r="E446" s="196"/>
      <c r="F446" s="196"/>
      <c r="G446" s="196">
        <f t="shared" ref="G446:AL446" si="1507">G444/(G419-G378)</f>
        <v>0.40656669503210313</v>
      </c>
      <c r="H446" s="196">
        <f t="shared" si="1507"/>
        <v>0.51864195806661129</v>
      </c>
      <c r="I446" s="196">
        <f t="shared" si="1507"/>
        <v>0.52200049632153278</v>
      </c>
      <c r="J446" s="196">
        <f t="shared" si="1507"/>
        <v>0.38692588913462289</v>
      </c>
      <c r="K446" s="196">
        <f t="shared" si="1507"/>
        <v>0.38949174867631819</v>
      </c>
      <c r="L446" s="196">
        <f t="shared" si="1507"/>
        <v>0.36038072459988735</v>
      </c>
      <c r="M446" s="196">
        <f t="shared" si="1507"/>
        <v>0.39228030858742508</v>
      </c>
      <c r="N446" s="196">
        <f t="shared" si="1507"/>
        <v>0.36675227374579006</v>
      </c>
      <c r="O446" s="196">
        <f t="shared" si="1507"/>
        <v>0.4122914262426825</v>
      </c>
      <c r="P446" s="196">
        <f t="shared" si="1507"/>
        <v>0.40730924943283214</v>
      </c>
      <c r="Q446" s="196">
        <f t="shared" si="1507"/>
        <v>0.38777538954433194</v>
      </c>
      <c r="R446" s="196">
        <f t="shared" si="1507"/>
        <v>0.39130296352448768</v>
      </c>
      <c r="S446" s="196">
        <f t="shared" si="1507"/>
        <v>0.40222779123590879</v>
      </c>
      <c r="T446" s="196">
        <f t="shared" si="1507"/>
        <v>0.37996758605752357</v>
      </c>
      <c r="U446" s="196">
        <f t="shared" si="1507"/>
        <v>0.37191468698116148</v>
      </c>
      <c r="V446" s="196">
        <f t="shared" si="1507"/>
        <v>0.37303923560197816</v>
      </c>
      <c r="W446" s="196">
        <f t="shared" si="1507"/>
        <v>0.39398213446168312</v>
      </c>
      <c r="X446" s="196">
        <f t="shared" si="1507"/>
        <v>0.36501731263263709</v>
      </c>
      <c r="Y446" s="196">
        <f t="shared" si="1507"/>
        <v>0.35913881699861216</v>
      </c>
      <c r="Z446" s="196">
        <f t="shared" si="1507"/>
        <v>0.26033757105046212</v>
      </c>
      <c r="AA446" s="196">
        <f t="shared" si="1507"/>
        <v>0.34406189578219376</v>
      </c>
      <c r="AB446" s="196">
        <f t="shared" si="1507"/>
        <v>0.34047747438156023</v>
      </c>
      <c r="AC446" s="196">
        <f t="shared" si="1507"/>
        <v>0.38112907525151052</v>
      </c>
      <c r="AD446" s="196">
        <f t="shared" si="1507"/>
        <v>0.39799980544310332</v>
      </c>
      <c r="AE446" s="196">
        <f t="shared" si="1507"/>
        <v>0.3435921711957432</v>
      </c>
      <c r="AF446" s="196">
        <f t="shared" si="1507"/>
        <v>0.36568972895044849</v>
      </c>
      <c r="AG446" s="196">
        <f t="shared" si="1507"/>
        <v>0.18771907036230295</v>
      </c>
      <c r="AH446" s="196">
        <f t="shared" si="1507"/>
        <v>0.1581570502815618</v>
      </c>
      <c r="AI446" s="196">
        <f t="shared" si="1507"/>
        <v>0.16490253509746489</v>
      </c>
      <c r="AJ446" s="196">
        <f t="shared" si="1507"/>
        <v>0.12894131524624008</v>
      </c>
      <c r="AK446" s="196">
        <f t="shared" si="1507"/>
        <v>0.33488498639400244</v>
      </c>
      <c r="AL446" s="196">
        <f t="shared" si="1507"/>
        <v>0.20276839007652692</v>
      </c>
      <c r="AM446" s="196">
        <f t="shared" ref="AM446:BR446" si="1508">AM444/(AM419-AM378)</f>
        <v>0.17075636886240983</v>
      </c>
      <c r="AN446" s="196">
        <f t="shared" si="1508"/>
        <v>0.18019711427192717</v>
      </c>
      <c r="AO446" s="196">
        <f t="shared" si="1508"/>
        <v>0.16373589110109962</v>
      </c>
      <c r="AP446" s="196">
        <f t="shared" si="1508"/>
        <v>0.38800541978166209</v>
      </c>
      <c r="AQ446" s="196">
        <f t="shared" si="1508"/>
        <v>0.39844799283689003</v>
      </c>
      <c r="AR446" s="196">
        <f t="shared" si="1508"/>
        <v>0.34007632204670196</v>
      </c>
      <c r="AS446" s="196">
        <f t="shared" si="1508"/>
        <v>0.39877262195503788</v>
      </c>
      <c r="AT446" s="196">
        <f t="shared" si="1508"/>
        <v>0.39926698190242887</v>
      </c>
      <c r="AU446" s="196">
        <f t="shared" si="1508"/>
        <v>0.38449782438417435</v>
      </c>
      <c r="AV446" s="196">
        <f t="shared" si="1508"/>
        <v>0.32996146435452794</v>
      </c>
      <c r="AW446" s="196">
        <f t="shared" si="1508"/>
        <v>0.32382793620106332</v>
      </c>
      <c r="AX446" s="196">
        <f t="shared" si="1508"/>
        <v>0.36220095693779902</v>
      </c>
      <c r="AY446" s="196">
        <f t="shared" si="1508"/>
        <v>0.32563850687622792</v>
      </c>
      <c r="AZ446" s="196">
        <f t="shared" si="1508"/>
        <v>0.33550961189698947</v>
      </c>
      <c r="BA446" s="196">
        <f t="shared" si="1508"/>
        <v>0.39646464646464646</v>
      </c>
      <c r="BB446" s="196">
        <f t="shared" si="1508"/>
        <v>0.36711376055638351</v>
      </c>
      <c r="BC446" s="196">
        <f t="shared" si="1508"/>
        <v>0.38825851011346818</v>
      </c>
      <c r="BD446" s="196">
        <f t="shared" si="1508"/>
        <v>0.2265625</v>
      </c>
      <c r="BE446" s="196">
        <f t="shared" si="1508"/>
        <v>0.33279623202776398</v>
      </c>
      <c r="BF446" s="196">
        <f t="shared" si="1508"/>
        <v>0.3430919363122753</v>
      </c>
      <c r="BG446" s="196">
        <f t="shared" si="1508"/>
        <v>0.34515119916579773</v>
      </c>
      <c r="BH446" s="196">
        <f t="shared" si="1508"/>
        <v>0.32474226804123713</v>
      </c>
      <c r="BI446" s="196">
        <f t="shared" si="1508"/>
        <v>0.29467871485943775</v>
      </c>
      <c r="BJ446" s="196">
        <f t="shared" si="1508"/>
        <v>0.32217519558804669</v>
      </c>
      <c r="BK446" s="196">
        <f t="shared" si="1508"/>
        <v>0.30773195876288661</v>
      </c>
      <c r="BL446" s="196">
        <f t="shared" si="1508"/>
        <v>0.30105263157894735</v>
      </c>
      <c r="BM446" s="196">
        <f t="shared" si="1508"/>
        <v>0.31546391752577319</v>
      </c>
      <c r="BN446" s="196">
        <f t="shared" si="1508"/>
        <v>0.28688946015424166</v>
      </c>
      <c r="BO446" s="196">
        <f t="shared" si="1508"/>
        <v>0.29566343042071197</v>
      </c>
      <c r="BP446" s="196">
        <f t="shared" si="1508"/>
        <v>0.27295788939624555</v>
      </c>
      <c r="BQ446" s="196">
        <f t="shared" si="1508"/>
        <v>0.27427427427427425</v>
      </c>
      <c r="BR446" s="196">
        <f t="shared" si="1508"/>
        <v>0.25823905558288246</v>
      </c>
      <c r="BS446" s="196">
        <f t="shared" ref="BS446:CM446" si="1509">BS444/(BS419-BS378)</f>
        <v>0.23363095238095238</v>
      </c>
      <c r="BT446" s="196">
        <f t="shared" si="1509"/>
        <v>0.25966575205786979</v>
      </c>
      <c r="BU446" s="197">
        <f t="shared" si="1509"/>
        <v>0.25615763546798032</v>
      </c>
      <c r="BV446" s="197">
        <f t="shared" si="1509"/>
        <v>0.28646833013435702</v>
      </c>
      <c r="BW446" s="197">
        <f t="shared" si="1509"/>
        <v>0.27229601518026564</v>
      </c>
      <c r="BX446" s="197">
        <f t="shared" si="1509"/>
        <v>0.24503311258278146</v>
      </c>
      <c r="BY446" s="196">
        <f t="shared" si="1509"/>
        <v>0.26499520153550865</v>
      </c>
      <c r="BZ446" s="197">
        <f t="shared" si="1509"/>
        <v>0.25615530303030304</v>
      </c>
      <c r="CA446" s="197">
        <f t="shared" ref="CA446:CB446" si="1510">CA444/(CA419-CA378)</f>
        <v>0.26881211547562706</v>
      </c>
      <c r="CB446" s="197">
        <f t="shared" si="1510"/>
        <v>0.22937062937062938</v>
      </c>
      <c r="CC446" s="197">
        <f t="shared" ref="CC446" si="1511">CC444/(CC419-CC378)</f>
        <v>0.13124432334241598</v>
      </c>
      <c r="CD446" s="196">
        <f t="shared" si="1509"/>
        <v>0.22971992974880201</v>
      </c>
      <c r="CE446" s="196">
        <f t="shared" si="1509"/>
        <v>0.26447673687627876</v>
      </c>
      <c r="CF446" s="196">
        <f t="shared" si="1509"/>
        <v>0.27933053660454171</v>
      </c>
      <c r="CG446" s="196">
        <f t="shared" si="1509"/>
        <v>0.29177905148521033</v>
      </c>
      <c r="CH446" s="196">
        <f t="shared" si="1509"/>
        <v>0.3015075381593525</v>
      </c>
      <c r="CI446" s="196">
        <f t="shared" si="1509"/>
        <v>0.30912907904113224</v>
      </c>
      <c r="CJ446" s="196">
        <f t="shared" si="1509"/>
        <v>0.31500503221551351</v>
      </c>
      <c r="CK446" s="196">
        <f t="shared" si="1509"/>
        <v>0.31965156430350911</v>
      </c>
      <c r="CL446" s="196">
        <f t="shared" si="1509"/>
        <v>0.32342848985450096</v>
      </c>
      <c r="CM446" s="196">
        <f t="shared" si="1509"/>
        <v>0.32658733537342732</v>
      </c>
      <c r="CN446" s="195"/>
      <c r="CO446" s="195"/>
      <c r="CP446" s="195"/>
      <c r="CQ446" s="195"/>
      <c r="CR446" s="195"/>
      <c r="CS446" s="195"/>
      <c r="CT446" s="195"/>
      <c r="CV446" s="466" t="s">
        <v>87</v>
      </c>
      <c r="CW446" s="316">
        <v>2013.6</v>
      </c>
      <c r="CX446" s="316">
        <v>2127.54</v>
      </c>
      <c r="CY446" s="316">
        <v>2109.2259618044286</v>
      </c>
      <c r="CZ446" s="316">
        <v>2149.865535098193</v>
      </c>
      <c r="DA446" s="316">
        <v>2147.8438414678644</v>
      </c>
      <c r="DB446" s="316">
        <v>2167.9511203068755</v>
      </c>
      <c r="DC446" s="316" t="e">
        <f>DC438+DC444</f>
        <v>#REF!</v>
      </c>
      <c r="DD446" s="316" t="e">
        <f>DD438+DD444</f>
        <v>#REF!</v>
      </c>
      <c r="DE446" s="316" t="e">
        <f>DE438+DE444</f>
        <v>#REF!</v>
      </c>
      <c r="EK446" s="353">
        <v>39973</v>
      </c>
      <c r="EL446" s="354">
        <v>0.99850000000000005</v>
      </c>
    </row>
    <row r="447" spans="1:142">
      <c r="A447" s="445"/>
      <c r="B447" s="196"/>
      <c r="C447" s="196"/>
      <c r="D447" s="196"/>
      <c r="E447" s="196"/>
      <c r="F447" s="196"/>
      <c r="G447" s="196"/>
      <c r="H447" s="196"/>
      <c r="I447" s="196"/>
      <c r="J447" s="196"/>
      <c r="K447" s="196"/>
      <c r="L447" s="196"/>
      <c r="M447" s="196"/>
      <c r="N447" s="196"/>
      <c r="O447" s="196"/>
      <c r="P447" s="196"/>
      <c r="Q447" s="196"/>
      <c r="R447" s="196"/>
      <c r="S447" s="196"/>
      <c r="T447" s="196"/>
      <c r="U447" s="196"/>
      <c r="V447" s="196"/>
      <c r="W447" s="196"/>
      <c r="X447" s="196"/>
      <c r="Y447" s="196"/>
      <c r="Z447" s="196"/>
      <c r="AA447" s="196"/>
      <c r="AB447" s="196"/>
      <c r="AC447" s="196"/>
      <c r="AD447" s="196"/>
      <c r="AE447" s="196"/>
      <c r="AF447" s="196"/>
      <c r="AG447" s="196"/>
      <c r="AH447" s="196"/>
      <c r="AI447" s="196"/>
      <c r="AJ447" s="196"/>
      <c r="AK447" s="196"/>
      <c r="AL447" s="196"/>
      <c r="AM447" s="196"/>
      <c r="AN447" s="196"/>
      <c r="AO447" s="196"/>
      <c r="AP447" s="196"/>
      <c r="AQ447" s="196"/>
      <c r="AR447" s="196"/>
      <c r="AS447" s="196"/>
      <c r="AT447" s="196"/>
      <c r="AU447" s="196"/>
      <c r="AV447" s="196"/>
      <c r="AW447" s="196"/>
      <c r="AX447" s="196"/>
      <c r="AY447" s="196"/>
      <c r="AZ447" s="196"/>
      <c r="BA447" s="196"/>
      <c r="BB447" s="196"/>
      <c r="BC447" s="196"/>
      <c r="BD447" s="196"/>
      <c r="BE447" s="196"/>
      <c r="BF447" s="196"/>
      <c r="BG447" s="196"/>
      <c r="BH447" s="243"/>
      <c r="BI447" s="243"/>
      <c r="BJ447" s="196"/>
      <c r="BK447" s="196"/>
      <c r="BL447" s="196"/>
      <c r="BM447" s="196"/>
      <c r="BN447" s="196"/>
      <c r="BO447" s="196"/>
      <c r="BP447" s="196"/>
      <c r="BQ447" s="196"/>
      <c r="BR447" s="196"/>
      <c r="BS447" s="196"/>
      <c r="BT447" s="196"/>
      <c r="BU447" s="197"/>
      <c r="BV447" s="197"/>
      <c r="BW447" s="197"/>
      <c r="BX447" s="197"/>
      <c r="BY447" s="196"/>
      <c r="BZ447" s="197"/>
      <c r="CA447" s="197"/>
      <c r="CB447" s="197"/>
      <c r="CC447" s="197"/>
      <c r="CD447" s="196"/>
      <c r="CE447" s="196"/>
      <c r="CF447" s="196"/>
      <c r="CG447" s="196"/>
      <c r="CH447" s="196"/>
      <c r="CI447" s="196"/>
      <c r="CJ447" s="196"/>
      <c r="CK447" s="196"/>
      <c r="CL447" s="196"/>
      <c r="CM447" s="196"/>
      <c r="CN447" s="195"/>
      <c r="CO447" s="195"/>
      <c r="CP447" s="195"/>
      <c r="CQ447" s="195"/>
      <c r="CR447" s="195"/>
      <c r="CS447" s="195"/>
      <c r="CT447" s="195"/>
      <c r="CV447" s="466"/>
      <c r="CW447" s="316"/>
      <c r="CX447" s="316"/>
      <c r="CY447" s="316"/>
      <c r="CZ447" s="316"/>
      <c r="DA447" s="316"/>
      <c r="DB447" s="316"/>
      <c r="DC447" s="316"/>
      <c r="DD447" s="316"/>
      <c r="DE447" s="316"/>
      <c r="EK447" s="353">
        <v>39974</v>
      </c>
      <c r="EL447" s="354">
        <v>0.996</v>
      </c>
    </row>
    <row r="448" spans="1:142">
      <c r="CF448" s="359"/>
      <c r="CG448" s="359"/>
      <c r="CH448" s="359"/>
      <c r="CI448" s="359"/>
      <c r="CJ448" s="359"/>
      <c r="CK448" s="359"/>
      <c r="CL448" s="359"/>
      <c r="CM448" s="359"/>
      <c r="EK448" s="353">
        <v>39975</v>
      </c>
      <c r="EL448" s="354">
        <v>0.98899999999999999</v>
      </c>
    </row>
    <row r="449" spans="1:142">
      <c r="A449" s="467" t="s">
        <v>96</v>
      </c>
      <c r="B449" s="468">
        <v>-8.6000000000000014</v>
      </c>
      <c r="C449" s="468"/>
      <c r="D449" s="468"/>
      <c r="E449" s="468"/>
      <c r="F449" s="468"/>
      <c r="G449" s="468">
        <v>17.899999999999999</v>
      </c>
      <c r="H449" s="468">
        <v>-1</v>
      </c>
      <c r="I449" s="468">
        <v>0</v>
      </c>
      <c r="J449" s="468">
        <v>-1</v>
      </c>
      <c r="K449" s="468">
        <v>-45</v>
      </c>
      <c r="L449" s="468">
        <v>-48</v>
      </c>
      <c r="M449" s="468">
        <v>-50</v>
      </c>
      <c r="N449" s="468">
        <v>-55</v>
      </c>
      <c r="O449" s="468">
        <v>-51</v>
      </c>
      <c r="P449" s="468">
        <v>-55</v>
      </c>
      <c r="Q449" s="468">
        <v>-211</v>
      </c>
      <c r="R449" s="468">
        <v>-64</v>
      </c>
      <c r="S449" s="468">
        <v>-61</v>
      </c>
      <c r="T449" s="468">
        <v>-68</v>
      </c>
      <c r="U449" s="468">
        <v>-35</v>
      </c>
      <c r="V449" s="469">
        <v>-228</v>
      </c>
      <c r="W449" s="469">
        <v>-71</v>
      </c>
      <c r="X449" s="469">
        <v>-64</v>
      </c>
      <c r="Y449" s="469">
        <v>-76</v>
      </c>
      <c r="Z449" s="469">
        <v>-77</v>
      </c>
      <c r="AA449" s="469">
        <v>-288</v>
      </c>
      <c r="AB449" s="469">
        <v>-79</v>
      </c>
      <c r="AC449" s="469">
        <v>-81</v>
      </c>
      <c r="AD449" s="469">
        <v>-82</v>
      </c>
      <c r="AE449" s="469">
        <v>-87</v>
      </c>
      <c r="AF449" s="469">
        <v>-329</v>
      </c>
      <c r="AG449" s="469">
        <v>-90</v>
      </c>
      <c r="AH449" s="469">
        <v>-100</v>
      </c>
      <c r="AI449" s="469">
        <v>-101</v>
      </c>
      <c r="AJ449" s="469">
        <v>-98</v>
      </c>
      <c r="AK449" s="469">
        <v>-389</v>
      </c>
      <c r="AL449" s="469">
        <v>-95</v>
      </c>
      <c r="AM449" s="469">
        <v>-105</v>
      </c>
      <c r="AN449" s="469">
        <v>-110</v>
      </c>
      <c r="AO449" s="469">
        <v>-101</v>
      </c>
      <c r="AP449" s="469">
        <v>-378.82078737102057</v>
      </c>
      <c r="AQ449" s="469">
        <v>-124</v>
      </c>
      <c r="AR449" s="469">
        <v>-102</v>
      </c>
      <c r="AS449" s="469">
        <f>-111+13</f>
        <v>-98</v>
      </c>
      <c r="AT449" s="469">
        <f>-123+14</f>
        <v>-109</v>
      </c>
      <c r="AU449" s="469">
        <f>'Balance Sheet and Cflow'!K126</f>
        <v>-669</v>
      </c>
      <c r="AV449" s="469">
        <f>-95</f>
        <v>-95</v>
      </c>
      <c r="AW449" s="469">
        <f>'[2]Profit and Loss Highlights'!X$71</f>
        <v>-107</v>
      </c>
      <c r="AX449" s="469">
        <f>'[2]Profit and Loss Highlights'!Y$71</f>
        <v>-100</v>
      </c>
      <c r="AY449" s="469">
        <f>'[2]Profit and Loss Highlights'!Z$71</f>
        <v>-82</v>
      </c>
      <c r="AZ449" s="469">
        <f>'Balance Sheet and Cflow'!L126</f>
        <v>-384</v>
      </c>
      <c r="BA449" s="469">
        <f>'[2]Profit and Loss Highlights'!AA$71</f>
        <v>-102</v>
      </c>
      <c r="BB449" s="469">
        <f>'[2]Profit and Loss Highlights'!AB$71</f>
        <v>-85</v>
      </c>
      <c r="BC449" s="469">
        <f>'[2]Profit and Loss Highlights'!AC$71</f>
        <v>-92</v>
      </c>
      <c r="BD449" s="469">
        <f>'[2]Profit and Loss Highlights'!AD$71</f>
        <v>-79</v>
      </c>
      <c r="BE449" s="470">
        <f>SUM(BA449:BD449)</f>
        <v>-358</v>
      </c>
      <c r="BF449" s="469">
        <f>'[2]Profit and Loss Highlights'!AE$71</f>
        <v>-112</v>
      </c>
      <c r="BG449" s="469">
        <f>'[2]Profit and Loss Highlights'!AF$71</f>
        <v>-113</v>
      </c>
      <c r="BH449" s="469">
        <f>'[2]Profit and Loss Highlights'!AG$71</f>
        <v>-108</v>
      </c>
      <c r="BI449" s="469">
        <f>'[2]Profit and Loss Highlights'!AH$71</f>
        <v>-119</v>
      </c>
      <c r="BJ449" s="470">
        <f>SUM(BF449:BI449)</f>
        <v>-452</v>
      </c>
      <c r="BK449" s="469">
        <f>'[2]Profit and Loss Highlights'!AI$71</f>
        <v>-102</v>
      </c>
      <c r="BL449" s="469">
        <f>'[2]Profit and Loss Highlights'!AJ$71</f>
        <v>-103</v>
      </c>
      <c r="BM449" s="469">
        <f>'[2]Profit and Loss Highlights'!AK$71</f>
        <v>-99</v>
      </c>
      <c r="BN449" s="469">
        <f>'[2]Profit and Loss Highlights'!AL$71</f>
        <v>-101</v>
      </c>
      <c r="BO449" s="470">
        <f>SUM(BK449:BN449)</f>
        <v>-405</v>
      </c>
      <c r="BP449" s="469">
        <f>'[2]Profit and Loss Highlights'!AM$71</f>
        <v>-109</v>
      </c>
      <c r="BQ449" s="469">
        <f>'[2]Profit and Loss Highlights'!AN$71</f>
        <v>-110</v>
      </c>
      <c r="BR449" s="469">
        <f>'[2]Profit and Loss Highlights'!AO$71</f>
        <v>-99</v>
      </c>
      <c r="BS449" s="469">
        <f>'[2]Profit and Loss Highlights'!AP$71</f>
        <v>-94</v>
      </c>
      <c r="BT449" s="470">
        <f>SUM(BP449:BS449)</f>
        <v>-412</v>
      </c>
      <c r="BU449" s="471">
        <f>'[2]Profit and Loss Highlights'!AQ$71</f>
        <v>-91</v>
      </c>
      <c r="BV449" s="471">
        <f>'[2]Profit and Loss Highlights'!AR$71</f>
        <v>-99</v>
      </c>
      <c r="BW449" s="471">
        <f>'[2]Profit and Loss Highlights'!AS$71</f>
        <v>-106</v>
      </c>
      <c r="BX449" s="471">
        <f>'[2]Profit and Loss Highlights'!AT$71</f>
        <v>-111</v>
      </c>
      <c r="BY449" s="470">
        <f>SUM(BU449:BX449)</f>
        <v>-407</v>
      </c>
      <c r="BZ449" s="471">
        <f>'[2]Profit and Loss Highlights'!AU$71</f>
        <v>-112</v>
      </c>
      <c r="CA449" s="471">
        <f>'[2]Profit and Loss Highlights'!AV$71</f>
        <v>-115</v>
      </c>
      <c r="CB449" s="471">
        <f>'[2]Profit and Loss Highlights'!AW$71</f>
        <v>-108</v>
      </c>
      <c r="CC449" s="471">
        <f>'[2]Profit and Loss Highlights'!AX$71</f>
        <v>-111</v>
      </c>
      <c r="CD449" s="470">
        <f>SUM(BZ449:CC449)</f>
        <v>-446</v>
      </c>
      <c r="CE449" s="469">
        <f>-'Balance Sheet and Cflow'!S122+'Balance Sheet and Cflow'!S118</f>
        <v>-447.33082706766919</v>
      </c>
      <c r="CF449" s="469">
        <f>-'Balance Sheet and Cflow'!T122+'Balance Sheet and Cflow'!T118</f>
        <v>-418.46273804246124</v>
      </c>
      <c r="CG449" s="469">
        <f>-'Balance Sheet and Cflow'!U122+'Balance Sheet and Cflow'!U118</f>
        <v>-396.60993733874074</v>
      </c>
      <c r="CH449" s="469">
        <f>-'Balance Sheet and Cflow'!V122+'Balance Sheet and Cflow'!V118</f>
        <v>-378.81507767052676</v>
      </c>
      <c r="CI449" s="469">
        <f>-'Balance Sheet and Cflow'!W122+'Balance Sheet and Cflow'!W118</f>
        <v>-364.19058640551424</v>
      </c>
      <c r="CJ449" s="469">
        <f>-'Balance Sheet and Cflow'!X122+'Balance Sheet and Cflow'!X118</f>
        <v>-352.11400925051061</v>
      </c>
      <c r="CK449" s="469">
        <f>-'Balance Sheet and Cflow'!Y122+'Balance Sheet and Cflow'!Y118</f>
        <v>-342.14657898294593</v>
      </c>
      <c r="CL449" s="469">
        <f>-'Balance Sheet and Cflow'!Z122+'Balance Sheet and Cflow'!Z118</f>
        <v>-333.79858411389534</v>
      </c>
      <c r="CM449" s="469">
        <f>-'Balance Sheet and Cflow'!AA122+'Balance Sheet and Cflow'!AA118</f>
        <v>-326.71178767611491</v>
      </c>
      <c r="CN449" s="359"/>
      <c r="CO449" s="359"/>
      <c r="CP449" s="359"/>
      <c r="CQ449" s="359"/>
      <c r="CR449" s="359"/>
      <c r="CS449" s="359"/>
      <c r="CT449" s="359"/>
      <c r="CV449" s="314" t="s">
        <v>2</v>
      </c>
      <c r="CW449" s="379">
        <v>642.70000000000005</v>
      </c>
      <c r="CX449" s="379">
        <v>644.44000000000005</v>
      </c>
      <c r="CY449" s="379">
        <v>647.1075369157561</v>
      </c>
      <c r="CZ449" s="379">
        <v>721.10298394231927</v>
      </c>
      <c r="DA449" s="379">
        <v>764.86978668937491</v>
      </c>
      <c r="DB449" s="379">
        <v>729.55061362235597</v>
      </c>
      <c r="DC449" s="379">
        <f>DG376</f>
        <v>0</v>
      </c>
      <c r="DD449" s="379">
        <f>DH376</f>
        <v>0</v>
      </c>
      <c r="DE449" s="379">
        <f>DI376</f>
        <v>0</v>
      </c>
      <c r="EK449" s="353">
        <v>39976</v>
      </c>
      <c r="EL449" s="354">
        <v>0.9849</v>
      </c>
    </row>
    <row r="450" spans="1:142">
      <c r="A450" s="467" t="s">
        <v>96</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3"/>
      <c r="AT450" s="373"/>
      <c r="AU450" s="373"/>
      <c r="AV450" s="373"/>
      <c r="AW450" s="373"/>
      <c r="AX450" s="373"/>
      <c r="AY450" s="373"/>
      <c r="AZ450" s="373"/>
      <c r="BA450" s="373"/>
      <c r="BB450" s="373"/>
      <c r="BC450" s="373"/>
      <c r="BD450" s="373"/>
      <c r="BE450" s="469">
        <f>BE449</f>
        <v>-358</v>
      </c>
      <c r="BF450" s="373">
        <f>BF452-BF444-BF449</f>
        <v>-20</v>
      </c>
      <c r="BG450" s="373">
        <f>BG452-BG444-BG449</f>
        <v>-21</v>
      </c>
      <c r="BH450" s="373">
        <f>BH452-BH444-BH449</f>
        <v>-38</v>
      </c>
      <c r="BI450" s="373">
        <f>BI452-BI444-BI449</f>
        <v>-14</v>
      </c>
      <c r="BJ450" s="469">
        <f>BJ449</f>
        <v>-452</v>
      </c>
      <c r="BK450" s="373">
        <f>BK452-BK444-BK449</f>
        <v>-18</v>
      </c>
      <c r="BL450" s="373">
        <f>BL452-BL444-BL449</f>
        <v>-19</v>
      </c>
      <c r="BM450" s="373">
        <f>BM452-BM444-BM449</f>
        <v>-24</v>
      </c>
      <c r="BN450" s="373">
        <f>BN452-BN444-BN449</f>
        <v>-26</v>
      </c>
      <c r="BO450" s="469">
        <f>BO449</f>
        <v>-405</v>
      </c>
      <c r="BP450" s="373">
        <f>BP452-BP444-BP449</f>
        <v>24</v>
      </c>
      <c r="BQ450" s="373">
        <f>BQ452-BQ444-BQ449</f>
        <v>46</v>
      </c>
      <c r="BR450" s="373">
        <f>BR452-BR444-BR449</f>
        <v>15</v>
      </c>
      <c r="BS450" s="373">
        <f>BS452-BS444-BS449</f>
        <v>7</v>
      </c>
      <c r="BT450" s="469">
        <f>BT449</f>
        <v>-412</v>
      </c>
      <c r="BU450" s="378">
        <f>BU452-BU444-BU449</f>
        <v>0</v>
      </c>
      <c r="BV450" s="378">
        <f>BV452-BV444-BV449</f>
        <v>0</v>
      </c>
      <c r="BW450" s="378">
        <f>BW452-BW444-BW449</f>
        <v>0</v>
      </c>
      <c r="BX450" s="378">
        <f>BX452-BX444-BX449</f>
        <v>0</v>
      </c>
      <c r="BY450" s="469">
        <f>BY449</f>
        <v>-407</v>
      </c>
      <c r="BZ450" s="378">
        <f>BZ452-BZ444-BZ449</f>
        <v>0</v>
      </c>
      <c r="CA450" s="378">
        <f>CA452-CA444-CA449</f>
        <v>0</v>
      </c>
      <c r="CB450" s="378">
        <f>CB452-CB444-CB449</f>
        <v>0</v>
      </c>
      <c r="CC450" s="378">
        <f>CC452-CC444-CC449</f>
        <v>0</v>
      </c>
      <c r="CD450" s="469">
        <f>CD449</f>
        <v>-446</v>
      </c>
      <c r="CE450" s="472">
        <f>-'Balance Sheet and Cflow'!S122+'Balance Sheet and Cflow'!S118</f>
        <v>-447.33082706766919</v>
      </c>
      <c r="CF450" s="472">
        <f>-'Balance Sheet and Cflow'!T122+'Balance Sheet and Cflow'!T118</f>
        <v>-418.46273804246124</v>
      </c>
      <c r="CG450" s="472">
        <f>-'Balance Sheet and Cflow'!U122+'Balance Sheet and Cflow'!U118</f>
        <v>-396.60993733874074</v>
      </c>
      <c r="CH450" s="472">
        <f>-'Balance Sheet and Cflow'!V122+'Balance Sheet and Cflow'!V118</f>
        <v>-378.81507767052676</v>
      </c>
      <c r="CI450" s="472">
        <f>-'Balance Sheet and Cflow'!W122+'Balance Sheet and Cflow'!W118</f>
        <v>-364.19058640551424</v>
      </c>
      <c r="CJ450" s="472">
        <f>-'Balance Sheet and Cflow'!X122+'Balance Sheet and Cflow'!X118</f>
        <v>-352.11400925051061</v>
      </c>
      <c r="CK450" s="472">
        <f>-'Balance Sheet and Cflow'!Y122+'Balance Sheet and Cflow'!Y118</f>
        <v>-342.14657898294593</v>
      </c>
      <c r="CL450" s="472">
        <f>-'Balance Sheet and Cflow'!Z122+'Balance Sheet and Cflow'!Z118</f>
        <v>-333.79858411389534</v>
      </c>
      <c r="CM450" s="472">
        <f>-'Balance Sheet and Cflow'!AA122+'Balance Sheet and Cflow'!AA118</f>
        <v>-326.71178767611491</v>
      </c>
      <c r="CN450" s="359"/>
      <c r="CO450" s="359"/>
      <c r="CP450" s="359"/>
      <c r="CQ450" s="359"/>
      <c r="CR450" s="359"/>
      <c r="CS450" s="359"/>
      <c r="CT450" s="359"/>
      <c r="CV450" s="314"/>
      <c r="CW450" s="379"/>
      <c r="CX450" s="379"/>
      <c r="CY450" s="379"/>
      <c r="CZ450" s="379"/>
      <c r="DA450" s="379"/>
      <c r="DB450" s="379"/>
      <c r="DC450" s="379"/>
      <c r="DD450" s="379"/>
      <c r="DE450" s="379"/>
      <c r="EK450" s="353">
        <v>39977</v>
      </c>
      <c r="EL450" s="354">
        <v>0.98850000000000005</v>
      </c>
    </row>
    <row r="451" spans="1:142">
      <c r="A451" s="467"/>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3"/>
      <c r="AT451" s="373"/>
      <c r="AU451" s="373"/>
      <c r="AV451" s="373"/>
      <c r="AW451" s="373"/>
      <c r="AX451" s="373"/>
      <c r="AY451" s="373"/>
      <c r="AZ451" s="373"/>
      <c r="BA451" s="373"/>
      <c r="BB451" s="373"/>
      <c r="BC451" s="373"/>
      <c r="BD451" s="373"/>
      <c r="BE451" s="470"/>
      <c r="BF451" s="373"/>
      <c r="BG451" s="373"/>
      <c r="BH451" s="373"/>
      <c r="BI451" s="373"/>
      <c r="BJ451" s="469">
        <f>2036-(BJ444+BJ449)</f>
        <v>-24</v>
      </c>
      <c r="BK451" s="373"/>
      <c r="BL451" s="373"/>
      <c r="BM451" s="373"/>
      <c r="BN451" s="373"/>
      <c r="BO451" s="469"/>
      <c r="BP451" s="373"/>
      <c r="BQ451" s="373"/>
      <c r="BR451" s="373"/>
      <c r="BS451" s="373"/>
      <c r="BT451" s="469"/>
      <c r="BU451" s="378"/>
      <c r="BV451" s="378"/>
      <c r="BW451" s="378"/>
      <c r="BX451" s="378"/>
      <c r="BY451" s="469"/>
      <c r="BZ451" s="378"/>
      <c r="CA451" s="378"/>
      <c r="CB451" s="378"/>
      <c r="CC451" s="378"/>
      <c r="CD451" s="469"/>
      <c r="CE451" s="469"/>
      <c r="CF451" s="469"/>
      <c r="CG451" s="469"/>
      <c r="CH451" s="469"/>
      <c r="CI451" s="469"/>
      <c r="CJ451" s="469"/>
      <c r="CK451" s="469"/>
      <c r="CL451" s="469"/>
      <c r="CM451" s="469"/>
      <c r="CN451" s="359"/>
      <c r="CO451" s="359"/>
      <c r="CP451" s="359"/>
      <c r="CQ451" s="359"/>
      <c r="CR451" s="359"/>
      <c r="CS451" s="359"/>
      <c r="CT451" s="359"/>
      <c r="CV451" s="314"/>
      <c r="CW451" s="379"/>
      <c r="CX451" s="379"/>
      <c r="CY451" s="379"/>
      <c r="CZ451" s="379"/>
      <c r="DA451" s="379"/>
      <c r="DB451" s="379"/>
      <c r="DC451" s="379"/>
      <c r="DD451" s="379"/>
      <c r="DE451" s="379"/>
      <c r="EK451" s="353"/>
      <c r="EL451" s="354"/>
    </row>
    <row r="452" spans="1:142">
      <c r="A452" s="473" t="s">
        <v>728</v>
      </c>
      <c r="B452" s="474">
        <f>B444+B449</f>
        <v>2687.4</v>
      </c>
      <c r="C452" s="474"/>
      <c r="D452" s="474"/>
      <c r="E452" s="474"/>
      <c r="F452" s="474"/>
      <c r="G452" s="474">
        <f t="shared" ref="G452:AP452" si="1512">G444+G449</f>
        <v>3227.900000000001</v>
      </c>
      <c r="H452" s="474">
        <f t="shared" si="1512"/>
        <v>1070</v>
      </c>
      <c r="I452" s="474">
        <f t="shared" si="1512"/>
        <v>1075.2475247524753</v>
      </c>
      <c r="J452" s="474">
        <f t="shared" si="1512"/>
        <v>807</v>
      </c>
      <c r="K452" s="474">
        <f t="shared" si="1512"/>
        <v>780</v>
      </c>
      <c r="L452" s="474">
        <f t="shared" si="1512"/>
        <v>3007</v>
      </c>
      <c r="M452" s="474">
        <f t="shared" si="1512"/>
        <v>765</v>
      </c>
      <c r="N452" s="474">
        <f t="shared" si="1512"/>
        <v>720</v>
      </c>
      <c r="O452" s="474">
        <f t="shared" si="1512"/>
        <v>815</v>
      </c>
      <c r="P452" s="474">
        <f t="shared" si="1512"/>
        <v>832</v>
      </c>
      <c r="Q452" s="474">
        <f t="shared" si="1512"/>
        <v>3132</v>
      </c>
      <c r="R452" s="474">
        <f t="shared" si="1512"/>
        <v>741</v>
      </c>
      <c r="S452" s="474">
        <f t="shared" si="1512"/>
        <v>757</v>
      </c>
      <c r="T452" s="474">
        <f t="shared" si="1512"/>
        <v>746</v>
      </c>
      <c r="U452" s="474">
        <f t="shared" si="1512"/>
        <v>760</v>
      </c>
      <c r="V452" s="474">
        <f t="shared" si="1512"/>
        <v>3004</v>
      </c>
      <c r="W452" s="474">
        <f t="shared" si="1512"/>
        <v>767</v>
      </c>
      <c r="X452" s="474">
        <f t="shared" si="1512"/>
        <v>753</v>
      </c>
      <c r="Y452" s="474">
        <f t="shared" si="1512"/>
        <v>690</v>
      </c>
      <c r="Z452" s="474">
        <f t="shared" si="1512"/>
        <v>499</v>
      </c>
      <c r="AA452" s="474">
        <f t="shared" si="1512"/>
        <v>2709</v>
      </c>
      <c r="AB452" s="474">
        <f t="shared" si="1512"/>
        <v>673</v>
      </c>
      <c r="AC452" s="474">
        <f t="shared" si="1512"/>
        <v>744</v>
      </c>
      <c r="AD452" s="474">
        <f t="shared" si="1512"/>
        <v>769</v>
      </c>
      <c r="AE452" s="474">
        <f t="shared" si="1512"/>
        <v>641</v>
      </c>
      <c r="AF452" s="474">
        <f t="shared" si="1512"/>
        <v>2827</v>
      </c>
      <c r="AG452" s="474">
        <f t="shared" si="1512"/>
        <v>285.74600000000009</v>
      </c>
      <c r="AH452" s="474">
        <f t="shared" si="1512"/>
        <v>216.66600000000005</v>
      </c>
      <c r="AI452" s="474">
        <f t="shared" si="1512"/>
        <v>225.53999999999996</v>
      </c>
      <c r="AJ452" s="474">
        <f t="shared" si="1512"/>
        <v>164.34400000000005</v>
      </c>
      <c r="AK452" s="474">
        <f t="shared" si="1512"/>
        <v>2296.3305194230634</v>
      </c>
      <c r="AL452" s="474">
        <f t="shared" si="1512"/>
        <v>313.46800000000007</v>
      </c>
      <c r="AM452" s="474">
        <f t="shared" si="1512"/>
        <v>235.88</v>
      </c>
      <c r="AN452" s="474">
        <f t="shared" si="1512"/>
        <v>261</v>
      </c>
      <c r="AO452" s="474">
        <f t="shared" si="1512"/>
        <v>237</v>
      </c>
      <c r="AP452" s="474">
        <f t="shared" si="1512"/>
        <v>2777.1792126289793</v>
      </c>
      <c r="AQ452" s="475">
        <f>'[2]Profit and Loss Highlights'!S$74</f>
        <v>686</v>
      </c>
      <c r="AR452" s="475">
        <f>'[2]Profit and Loss Highlights'!T$74</f>
        <v>568</v>
      </c>
      <c r="AS452" s="475">
        <f>'[2]Profit and Loss Highlights'!U$74</f>
        <v>698</v>
      </c>
      <c r="AT452" s="475">
        <f>'[2]Profit and Loss Highlights'!V$74</f>
        <v>732</v>
      </c>
      <c r="AU452" s="474">
        <f>AU444+AU449</f>
        <v>2440</v>
      </c>
      <c r="AV452" s="475">
        <f>'[2]Profit and Loss Highlights'!W$74</f>
        <v>684</v>
      </c>
      <c r="AW452" s="475">
        <f>'[2]Profit and Loss Highlights'!X$74</f>
        <v>658</v>
      </c>
      <c r="AX452" s="475">
        <f>'[2]Profit and Loss Highlights'!Y$74</f>
        <v>736</v>
      </c>
      <c r="AY452" s="475">
        <f>'[2]Profit and Loss Highlights'!Z$74</f>
        <v>659</v>
      </c>
      <c r="AZ452" s="474">
        <f>SUM(AV452:AY452)</f>
        <v>2737</v>
      </c>
      <c r="BA452" s="475">
        <f>'[2]Profit and Loss Highlights'!AA$74</f>
        <v>676</v>
      </c>
      <c r="BB452" s="475">
        <f>'[2]Profit and Loss Highlights'!AB$74</f>
        <v>635</v>
      </c>
      <c r="BC452" s="475">
        <f>'[2]Profit and Loss Highlights'!AC$74</f>
        <v>684</v>
      </c>
      <c r="BD452" s="475">
        <f>'[2]Profit and Loss Highlights'!AD$74</f>
        <v>355</v>
      </c>
      <c r="BE452" s="474">
        <f>SUM(BA452:BD452)</f>
        <v>2350</v>
      </c>
      <c r="BF452" s="475">
        <f>'[2]Profit and Loss Highlights'!AE$74</f>
        <v>536</v>
      </c>
      <c r="BG452" s="475">
        <f>'[2]Profit and Loss Highlights'!AF$74</f>
        <v>528</v>
      </c>
      <c r="BH452" s="475">
        <f>'[2]Profit and Loss Highlights'!AG$74</f>
        <v>484</v>
      </c>
      <c r="BI452" s="475">
        <f>'[2]Profit and Loss Highlights'!AH$74</f>
        <v>454</v>
      </c>
      <c r="BJ452" s="474">
        <f>BJ444+BJ449+BJ451</f>
        <v>2036</v>
      </c>
      <c r="BK452" s="475">
        <f>'[2]Profit and Loss Highlights'!AI$74</f>
        <v>477</v>
      </c>
      <c r="BL452" s="475">
        <f>'[2]Profit and Loss Highlights'!AJ$74</f>
        <v>450</v>
      </c>
      <c r="BM452" s="475">
        <f>'[2]Profit and Loss Highlights'!AK$74</f>
        <v>489</v>
      </c>
      <c r="BN452" s="475">
        <f>'[2]Profit and Loss Highlights'!AL$74</f>
        <v>431</v>
      </c>
      <c r="BO452" s="474">
        <f>BO444+BO449+BO451</f>
        <v>1879</v>
      </c>
      <c r="BP452" s="475">
        <f>'[2]Profit and Loss Highlights'!AM$74</f>
        <v>453</v>
      </c>
      <c r="BQ452" s="475">
        <f>'[2]Profit and Loss Highlights'!AN$74</f>
        <v>484</v>
      </c>
      <c r="BR452" s="475">
        <f>'[2]Profit and Loss Highlights'!AO$74</f>
        <v>441</v>
      </c>
      <c r="BS452" s="475">
        <f>'[2]Profit and Loss Highlights'!AP$74</f>
        <v>384</v>
      </c>
      <c r="BT452" s="474">
        <f>BT444+BT449+BT451</f>
        <v>1670</v>
      </c>
      <c r="BU452" s="475">
        <f>'[2]Profit and Loss Highlights'!AQ$74</f>
        <v>429</v>
      </c>
      <c r="BV452" s="475">
        <f>'[2]Profit and Loss Highlights'!AR$74</f>
        <v>498</v>
      </c>
      <c r="BW452" s="475">
        <f>'[2]Profit and Loss Highlights'!AS$74</f>
        <v>468</v>
      </c>
      <c r="BX452" s="475">
        <f>'[2]Profit and Loss Highlights'!AT$74</f>
        <v>407</v>
      </c>
      <c r="BY452" s="474">
        <f>BY444+BY449+BY451</f>
        <v>1802</v>
      </c>
      <c r="BZ452" s="475">
        <f>'[2]Profit and Loss Highlights'!AU$74</f>
        <v>429</v>
      </c>
      <c r="CA452" s="475">
        <f>'[2]Profit and Loss Highlights'!AV$74</f>
        <v>453</v>
      </c>
      <c r="CB452" s="475">
        <f>'[2]Profit and Loss Highlights'!AW$74</f>
        <v>384</v>
      </c>
      <c r="CC452" s="475">
        <f>'[2]Profit and Loss Highlights'!AX$74</f>
        <v>178</v>
      </c>
      <c r="CD452" s="474">
        <f t="shared" ref="CD452:CI452" si="1513">CD444+CD449</f>
        <v>1444</v>
      </c>
      <c r="CE452" s="474">
        <f t="shared" si="1513"/>
        <v>1900.0032600995157</v>
      </c>
      <c r="CF452" s="474">
        <f t="shared" si="1513"/>
        <v>2141.9606309780634</v>
      </c>
      <c r="CG452" s="474">
        <f t="shared" si="1513"/>
        <v>2361.8419186638143</v>
      </c>
      <c r="CH452" s="474">
        <f t="shared" si="1513"/>
        <v>2568.6389149707502</v>
      </c>
      <c r="CI452" s="474">
        <f t="shared" si="1513"/>
        <v>2766.9902430471743</v>
      </c>
      <c r="CJ452" s="474">
        <f t="shared" ref="CJ452:CL452" si="1514">CJ444+CJ449</f>
        <v>2949.9275424852121</v>
      </c>
      <c r="CK452" s="474">
        <f t="shared" si="1514"/>
        <v>3121.8667495220275</v>
      </c>
      <c r="CL452" s="474">
        <f t="shared" si="1514"/>
        <v>3286.2598389136015</v>
      </c>
      <c r="CM452" s="474">
        <f t="shared" ref="CM452" si="1515">CM444+CM449</f>
        <v>3445.6871741039045</v>
      </c>
      <c r="CN452" s="359"/>
      <c r="CO452" s="359"/>
      <c r="CP452" s="359"/>
      <c r="CQ452" s="359"/>
      <c r="CR452" s="359"/>
      <c r="CS452" s="359"/>
      <c r="CT452" s="359"/>
      <c r="CV452" s="273" t="s">
        <v>88</v>
      </c>
      <c r="CW452" s="287">
        <v>0.12262008733624485</v>
      </c>
      <c r="CX452" s="287">
        <v>2.7073284580676482E-3</v>
      </c>
      <c r="CY452" s="287">
        <v>4.139309967965854E-3</v>
      </c>
      <c r="CZ452" s="287">
        <v>0.1143479913388743</v>
      </c>
      <c r="DA452" s="287">
        <v>6.0694247176428906E-2</v>
      </c>
      <c r="DB452" s="287">
        <v>-4.61767135813963E-2</v>
      </c>
      <c r="DC452" s="287">
        <f>DC449/DB449-1</f>
        <v>-1</v>
      </c>
      <c r="DD452" s="287" t="e">
        <f>DD449/DC449-1</f>
        <v>#DIV/0!</v>
      </c>
      <c r="DE452" s="287" t="e">
        <f>DE449/DD449-1</f>
        <v>#DIV/0!</v>
      </c>
      <c r="EK452" s="353">
        <v>39978</v>
      </c>
      <c r="EL452" s="354">
        <v>0.99129999999999996</v>
      </c>
    </row>
    <row r="453" spans="1:142">
      <c r="A453" s="467"/>
      <c r="B453" s="378"/>
      <c r="C453" s="378"/>
      <c r="D453" s="378"/>
      <c r="E453" s="378"/>
      <c r="F453" s="378"/>
      <c r="G453" s="378"/>
      <c r="H453" s="378"/>
      <c r="I453" s="378"/>
      <c r="J453" s="378"/>
      <c r="K453" s="378"/>
      <c r="L453" s="378"/>
      <c r="M453" s="378"/>
      <c r="N453" s="378"/>
      <c r="O453" s="378"/>
      <c r="P453" s="378"/>
      <c r="Q453" s="378"/>
      <c r="R453" s="378"/>
      <c r="S453" s="378"/>
      <c r="T453" s="378"/>
      <c r="U453" s="378"/>
      <c r="V453" s="378"/>
      <c r="W453" s="378"/>
      <c r="X453" s="378"/>
      <c r="Y453" s="378"/>
      <c r="Z453" s="378"/>
      <c r="AA453" s="378"/>
      <c r="AB453" s="378"/>
      <c r="AC453" s="378"/>
      <c r="AD453" s="378"/>
      <c r="AE453" s="378"/>
      <c r="AF453" s="378"/>
      <c r="AG453" s="378"/>
      <c r="AH453" s="378"/>
      <c r="AI453" s="378"/>
      <c r="AJ453" s="378"/>
      <c r="AK453" s="378"/>
      <c r="AL453" s="378"/>
      <c r="AM453" s="378"/>
      <c r="AN453" s="378"/>
      <c r="AO453" s="378"/>
      <c r="AP453" s="378"/>
      <c r="AQ453" s="378"/>
      <c r="AR453" s="378"/>
      <c r="AS453" s="378"/>
      <c r="AT453" s="378"/>
      <c r="AU453" s="378"/>
      <c r="AV453" s="378"/>
      <c r="AW453" s="378"/>
      <c r="AX453" s="378"/>
      <c r="AY453" s="378"/>
      <c r="AZ453" s="378"/>
      <c r="BA453" s="378"/>
      <c r="BB453" s="378"/>
      <c r="BC453" s="378"/>
      <c r="BD453" s="378"/>
      <c r="BE453" s="378"/>
      <c r="BF453" s="378"/>
      <c r="BG453" s="378"/>
      <c r="BH453" s="378"/>
      <c r="BI453" s="378"/>
      <c r="BJ453" s="378"/>
      <c r="BK453" s="378"/>
      <c r="BL453" s="378"/>
      <c r="BM453" s="378"/>
      <c r="BN453" s="378"/>
      <c r="BO453" s="378"/>
      <c r="BP453" s="378"/>
      <c r="BQ453" s="378"/>
      <c r="BR453" s="378"/>
      <c r="BS453" s="378"/>
      <c r="BT453" s="378"/>
      <c r="BU453" s="378"/>
      <c r="BV453" s="378"/>
      <c r="BW453" s="378"/>
      <c r="BX453" s="378"/>
      <c r="BY453" s="378"/>
      <c r="BZ453" s="378"/>
      <c r="CA453" s="378"/>
      <c r="CB453" s="378"/>
      <c r="CC453" s="378"/>
      <c r="CD453" s="378"/>
      <c r="CE453" s="378"/>
      <c r="CF453" s="378"/>
      <c r="CG453" s="378"/>
      <c r="CH453" s="378"/>
      <c r="CI453" s="378"/>
      <c r="CJ453" s="378"/>
      <c r="CK453" s="378"/>
      <c r="CL453" s="378"/>
      <c r="CM453" s="378"/>
      <c r="CN453" s="359"/>
      <c r="CO453" s="359"/>
      <c r="CP453" s="359"/>
      <c r="CQ453" s="359"/>
      <c r="CR453" s="359"/>
      <c r="CS453" s="359"/>
      <c r="CT453" s="359"/>
      <c r="CV453" s="273"/>
      <c r="CW453" s="287"/>
      <c r="CX453" s="287"/>
      <c r="CY453" s="287"/>
      <c r="CZ453" s="287"/>
      <c r="DA453" s="287"/>
      <c r="DB453" s="287"/>
      <c r="DC453" s="287"/>
      <c r="DD453" s="287"/>
      <c r="DE453" s="287"/>
      <c r="EK453" s="353"/>
      <c r="EL453" s="354"/>
    </row>
    <row r="454" spans="1:142">
      <c r="A454" s="467" t="s">
        <v>97</v>
      </c>
      <c r="B454" s="500">
        <v>-707.5</v>
      </c>
      <c r="C454" s="500"/>
      <c r="D454" s="500"/>
      <c r="E454" s="500"/>
      <c r="F454" s="500"/>
      <c r="G454" s="500">
        <v>-827.3</v>
      </c>
      <c r="H454" s="500">
        <v>-25</v>
      </c>
      <c r="I454" s="500"/>
      <c r="J454" s="500">
        <v>-192</v>
      </c>
      <c r="K454" s="500">
        <v>-192</v>
      </c>
      <c r="L454" s="500">
        <v>-775</v>
      </c>
      <c r="M454" s="500">
        <v>-213</v>
      </c>
      <c r="N454" s="500">
        <v>-188</v>
      </c>
      <c r="O454" s="500">
        <v>-214</v>
      </c>
      <c r="P454" s="500">
        <v>-222</v>
      </c>
      <c r="Q454" s="500">
        <v>-837</v>
      </c>
      <c r="R454" s="500">
        <v>-201</v>
      </c>
      <c r="S454" s="500">
        <v>-205</v>
      </c>
      <c r="T454" s="500">
        <v>-208</v>
      </c>
      <c r="U454" s="500">
        <v>141</v>
      </c>
      <c r="V454" s="310">
        <v>-473</v>
      </c>
      <c r="W454" s="310">
        <v>-194</v>
      </c>
      <c r="X454" s="310">
        <v>-164</v>
      </c>
      <c r="Y454" s="310">
        <v>-189</v>
      </c>
      <c r="Z454" s="310">
        <v>-169</v>
      </c>
      <c r="AA454" s="310">
        <v>-716</v>
      </c>
      <c r="AB454" s="310">
        <v>-190</v>
      </c>
      <c r="AC454" s="310">
        <v>-205</v>
      </c>
      <c r="AD454" s="310">
        <v>-193</v>
      </c>
      <c r="AE454" s="310">
        <v>-136</v>
      </c>
      <c r="AF454" s="310">
        <v>-724</v>
      </c>
      <c r="AG454" s="310">
        <v>-169</v>
      </c>
      <c r="AH454" s="310">
        <v>-160.76864535768644</v>
      </c>
      <c r="AI454" s="310">
        <v>-192</v>
      </c>
      <c r="AJ454" s="310">
        <v>-167</v>
      </c>
      <c r="AK454" s="310">
        <v>-688.76864535768641</v>
      </c>
      <c r="AL454" s="310">
        <v>-178</v>
      </c>
      <c r="AM454" s="310">
        <v>-188</v>
      </c>
      <c r="AN454" s="310">
        <v>-144</v>
      </c>
      <c r="AO454" s="310">
        <v>-203</v>
      </c>
      <c r="AP454" s="310">
        <v>-713</v>
      </c>
      <c r="AQ454" s="310">
        <v>-202</v>
      </c>
      <c r="AR454" s="310">
        <v>-144</v>
      </c>
      <c r="AS454" s="310">
        <v>-179</v>
      </c>
      <c r="AT454" s="310">
        <v>-184</v>
      </c>
      <c r="AU454" s="310">
        <f>SUM(AQ454:AT454)</f>
        <v>-709</v>
      </c>
      <c r="AV454" s="310">
        <v>-174</v>
      </c>
      <c r="AW454" s="471">
        <f>'[2]Profit and Loss Highlights'!X$75</f>
        <v>-176</v>
      </c>
      <c r="AX454" s="471">
        <f>'[2]Profit and Loss Highlights'!Y$75</f>
        <v>-175</v>
      </c>
      <c r="AY454" s="471">
        <f>'[2]Profit and Loss Highlights'!Z$75</f>
        <v>-151</v>
      </c>
      <c r="AZ454" s="501">
        <f>SUM(AV454:AY454)</f>
        <v>-676</v>
      </c>
      <c r="BA454" s="471">
        <f>'[2]Profit and Loss Highlights'!AA$75</f>
        <v>-166</v>
      </c>
      <c r="BB454" s="471">
        <f>'[2]Profit and Loss Highlights'!AB$75</f>
        <v>-157</v>
      </c>
      <c r="BC454" s="471">
        <f>'[2]Profit and Loss Highlights'!AC$75</f>
        <v>-166</v>
      </c>
      <c r="BD454" s="471">
        <f>'[2]Profit and Loss Highlights'!AD$75</f>
        <v>-96</v>
      </c>
      <c r="BE454" s="501">
        <f>SUM(BA454:BD454)</f>
        <v>-585</v>
      </c>
      <c r="BF454" s="471">
        <f>'[2]Profit and Loss Highlights'!AE$75</f>
        <v>-134</v>
      </c>
      <c r="BG454" s="471">
        <f>'[2]Profit and Loss Highlights'!AF$75</f>
        <v>-139</v>
      </c>
      <c r="BH454" s="471">
        <f>'[2]Profit and Loss Highlights'!AG$75</f>
        <v>-124</v>
      </c>
      <c r="BI454" s="471">
        <f>'[2]Profit and Loss Highlights'!AH$75</f>
        <v>-112</v>
      </c>
      <c r="BJ454" s="501">
        <f>SUM(BF454:BI454)</f>
        <v>-509</v>
      </c>
      <c r="BK454" s="471">
        <f>'[2]Profit and Loss Highlights'!AI$75</f>
        <v>-118</v>
      </c>
      <c r="BL454" s="471">
        <f>'[2]Profit and Loss Highlights'!AJ$75</f>
        <v>-113</v>
      </c>
      <c r="BM454" s="471">
        <f>'[2]Profit and Loss Highlights'!AK$75</f>
        <v>-126</v>
      </c>
      <c r="BN454" s="471">
        <f>'[2]Profit and Loss Highlights'!AL$75</f>
        <v>-112</v>
      </c>
      <c r="BO454" s="501">
        <f>SUM(BK454:BN454)</f>
        <v>-469</v>
      </c>
      <c r="BP454" s="471">
        <f>'[2]Profit and Loss Highlights'!AM$75</f>
        <v>-119</v>
      </c>
      <c r="BQ454" s="471">
        <f>'[2]Profit and Loss Highlights'!AN$75</f>
        <v>-124</v>
      </c>
      <c r="BR454" s="471">
        <f>'[2]Profit and Loss Highlights'!AO$75</f>
        <v>-116</v>
      </c>
      <c r="BS454" s="471">
        <f>'[2]Profit and Loss Highlights'!AP$75</f>
        <v>-95</v>
      </c>
      <c r="BT454" s="501">
        <f>SUM(BP454:BS454)</f>
        <v>-454</v>
      </c>
      <c r="BU454" s="471">
        <f>'[2]Profit and Loss Highlights'!AQ$75</f>
        <v>-140</v>
      </c>
      <c r="BV454" s="471">
        <f>'[2]Profit and Loss Highlights'!AR$75</f>
        <v>-176</v>
      </c>
      <c r="BW454" s="471">
        <f>'[2]Profit and Loss Highlights'!AS$75</f>
        <v>-160</v>
      </c>
      <c r="BX454" s="471">
        <f>'[2]Profit and Loss Highlights'!AT$75</f>
        <v>-175</v>
      </c>
      <c r="BY454" s="501">
        <f>SUM(BU454:BX454)</f>
        <v>-651</v>
      </c>
      <c r="BZ454" s="471">
        <f>'[2]Profit and Loss Highlights'!AU$75</f>
        <v>-109</v>
      </c>
      <c r="CA454" s="471">
        <f>'[2]Profit and Loss Highlights'!AV$75</f>
        <v>-124</v>
      </c>
      <c r="CB454" s="471">
        <f>'[2]Profit and Loss Highlights'!AW$75</f>
        <v>-97</v>
      </c>
      <c r="CC454" s="471">
        <f>'[2]Profit and Loss Highlights'!AX$75</f>
        <v>-122</v>
      </c>
      <c r="CD454" s="501">
        <f>SUM(BZ454:CC454)</f>
        <v>-452</v>
      </c>
      <c r="CE454" s="205">
        <f>-'Balance Sheet and Cflow'!S194</f>
        <v>-475.00081502487893</v>
      </c>
      <c r="CF454" s="205">
        <f>-'Balance Sheet and Cflow'!T194</f>
        <v>-535.49015774451584</v>
      </c>
      <c r="CG454" s="205">
        <f>-'Balance Sheet and Cflow'!U194</f>
        <v>-590.46047966595359</v>
      </c>
      <c r="CH454" s="205">
        <f>-'Balance Sheet and Cflow'!V194</f>
        <v>-642.15972874268755</v>
      </c>
      <c r="CI454" s="205">
        <f>-'Balance Sheet and Cflow'!W194</f>
        <v>-691.74756076179358</v>
      </c>
      <c r="CJ454" s="205">
        <f>-'Balance Sheet and Cflow'!X194</f>
        <v>-737.48188562130304</v>
      </c>
      <c r="CK454" s="205">
        <f>-'Balance Sheet and Cflow'!Y194</f>
        <v>-780.46668738050687</v>
      </c>
      <c r="CL454" s="205">
        <f>-'Balance Sheet and Cflow'!Z194</f>
        <v>-821.56495972840037</v>
      </c>
      <c r="CM454" s="205">
        <f>-'Balance Sheet and Cflow'!AA194</f>
        <v>-861.42179352597611</v>
      </c>
      <c r="CN454" s="359"/>
      <c r="CO454" s="359"/>
      <c r="CP454" s="359"/>
      <c r="CQ454" s="359"/>
      <c r="CR454" s="359"/>
      <c r="CS454" s="195"/>
      <c r="CT454" s="195"/>
      <c r="CV454" s="445" t="s">
        <v>89</v>
      </c>
      <c r="CW454" s="197">
        <v>0.33725140368368584</v>
      </c>
      <c r="CX454" s="197">
        <v>0.31742060052013565</v>
      </c>
      <c r="CY454" s="197">
        <v>0.31860778094114273</v>
      </c>
      <c r="CZ454" s="197">
        <v>0.34678920835805227</v>
      </c>
      <c r="DA454" s="197">
        <v>0.36699557479568107</v>
      </c>
      <c r="DB454" s="197">
        <v>0.34612724280745438</v>
      </c>
      <c r="DC454" s="197" t="e">
        <f>DC449/(DC438-#REF!)</f>
        <v>#REF!</v>
      </c>
      <c r="DD454" s="197" t="e">
        <f>DD449/(DD438-#REF!)</f>
        <v>#REF!</v>
      </c>
      <c r="DE454" s="197" t="e">
        <f>DE449/(DE438-#REF!)</f>
        <v>#REF!</v>
      </c>
      <c r="EK454" s="353">
        <v>39979</v>
      </c>
      <c r="EL454" s="354">
        <v>1.0052000000000001</v>
      </c>
    </row>
    <row r="455" spans="1:142">
      <c r="A455" s="276" t="s">
        <v>98</v>
      </c>
      <c r="B455" s="261">
        <f>B454/B452</f>
        <v>-0.26326560988315845</v>
      </c>
      <c r="C455" s="261"/>
      <c r="D455" s="261"/>
      <c r="E455" s="261"/>
      <c r="F455" s="261"/>
      <c r="G455" s="261">
        <f t="shared" ref="G455:AL455" si="1516">G454/G452</f>
        <v>-0.25629666346541086</v>
      </c>
      <c r="H455" s="261">
        <f t="shared" si="1516"/>
        <v>-2.336448598130841E-2</v>
      </c>
      <c r="I455" s="261">
        <f t="shared" si="1516"/>
        <v>0</v>
      </c>
      <c r="J455" s="261">
        <f t="shared" si="1516"/>
        <v>-0.23791821561338289</v>
      </c>
      <c r="K455" s="261">
        <f t="shared" si="1516"/>
        <v>-0.24615384615384617</v>
      </c>
      <c r="L455" s="261">
        <f t="shared" si="1516"/>
        <v>-0.25773195876288657</v>
      </c>
      <c r="M455" s="261">
        <f t="shared" si="1516"/>
        <v>-0.27843137254901962</v>
      </c>
      <c r="N455" s="261">
        <f t="shared" si="1516"/>
        <v>-0.26111111111111113</v>
      </c>
      <c r="O455" s="261">
        <f t="shared" si="1516"/>
        <v>-0.2625766871165644</v>
      </c>
      <c r="P455" s="261">
        <f t="shared" si="1516"/>
        <v>-0.26682692307692307</v>
      </c>
      <c r="Q455" s="261">
        <f t="shared" si="1516"/>
        <v>-0.26724137931034481</v>
      </c>
      <c r="R455" s="261">
        <f t="shared" si="1516"/>
        <v>-0.27125506072874495</v>
      </c>
      <c r="S455" s="261">
        <f t="shared" si="1516"/>
        <v>-0.27080581241743723</v>
      </c>
      <c r="T455" s="261">
        <f t="shared" si="1516"/>
        <v>-0.27882037533512066</v>
      </c>
      <c r="U455" s="261">
        <f t="shared" si="1516"/>
        <v>0.18552631578947368</v>
      </c>
      <c r="V455" s="261">
        <f t="shared" si="1516"/>
        <v>-0.15745672436750999</v>
      </c>
      <c r="W455" s="261">
        <f t="shared" si="1516"/>
        <v>-0.25293350717079532</v>
      </c>
      <c r="X455" s="261">
        <f t="shared" si="1516"/>
        <v>-0.21779548472775564</v>
      </c>
      <c r="Y455" s="261">
        <f t="shared" si="1516"/>
        <v>-0.27391304347826084</v>
      </c>
      <c r="Z455" s="261">
        <f t="shared" si="1516"/>
        <v>-0.33867735470941884</v>
      </c>
      <c r="AA455" s="261">
        <f t="shared" si="1516"/>
        <v>-0.26430417128091549</v>
      </c>
      <c r="AB455" s="261">
        <f t="shared" si="1516"/>
        <v>-0.28231797919762258</v>
      </c>
      <c r="AC455" s="261">
        <f t="shared" si="1516"/>
        <v>-0.27553763440860213</v>
      </c>
      <c r="AD455" s="261">
        <f t="shared" si="1516"/>
        <v>-0.25097529258777634</v>
      </c>
      <c r="AE455" s="261">
        <f t="shared" si="1516"/>
        <v>-0.21216848673946959</v>
      </c>
      <c r="AF455" s="261">
        <f t="shared" si="1516"/>
        <v>-0.2561018747789176</v>
      </c>
      <c r="AG455" s="261">
        <f t="shared" si="1516"/>
        <v>-0.59143435078706241</v>
      </c>
      <c r="AH455" s="261">
        <f t="shared" si="1516"/>
        <v>-0.7420114155321389</v>
      </c>
      <c r="AI455" s="261">
        <f t="shared" si="1516"/>
        <v>-0.85129023676509719</v>
      </c>
      <c r="AJ455" s="261">
        <f t="shared" si="1516"/>
        <v>-1.0161612228009538</v>
      </c>
      <c r="AK455" s="261">
        <f t="shared" si="1516"/>
        <v>-0.29994316564269441</v>
      </c>
      <c r="AL455" s="261">
        <f t="shared" si="1516"/>
        <v>-0.56784105554633957</v>
      </c>
      <c r="AM455" s="261">
        <f t="shared" ref="AM455:BF455" si="1517">AM454/AM452</f>
        <v>-0.79701543157537735</v>
      </c>
      <c r="AN455" s="261">
        <f t="shared" si="1517"/>
        <v>-0.55172413793103448</v>
      </c>
      <c r="AO455" s="261">
        <f t="shared" si="1517"/>
        <v>-0.85654008438818563</v>
      </c>
      <c r="AP455" s="261">
        <f t="shared" si="1517"/>
        <v>-0.2567353222138834</v>
      </c>
      <c r="AQ455" s="261">
        <f t="shared" si="1517"/>
        <v>-0.29446064139941691</v>
      </c>
      <c r="AR455" s="261">
        <f t="shared" si="1517"/>
        <v>-0.25352112676056338</v>
      </c>
      <c r="AS455" s="261">
        <f t="shared" si="1517"/>
        <v>-0.25644699140401145</v>
      </c>
      <c r="AT455" s="277">
        <f t="shared" si="1517"/>
        <v>-0.25136612021857924</v>
      </c>
      <c r="AU455" s="261">
        <f t="shared" si="1517"/>
        <v>-0.29057377049180327</v>
      </c>
      <c r="AV455" s="277">
        <f t="shared" si="1517"/>
        <v>-0.25438596491228072</v>
      </c>
      <c r="AW455" s="277">
        <f t="shared" si="1517"/>
        <v>-0.26747720364741639</v>
      </c>
      <c r="AX455" s="277">
        <f t="shared" si="1517"/>
        <v>-0.23777173913043478</v>
      </c>
      <c r="AY455" s="277">
        <f t="shared" si="1517"/>
        <v>-0.2291350531107739</v>
      </c>
      <c r="AZ455" s="261">
        <f t="shared" si="1517"/>
        <v>-0.24698575082206795</v>
      </c>
      <c r="BA455" s="277">
        <f t="shared" si="1517"/>
        <v>-0.2455621301775148</v>
      </c>
      <c r="BB455" s="277">
        <f t="shared" si="1517"/>
        <v>-0.24724409448818899</v>
      </c>
      <c r="BC455" s="277">
        <f t="shared" si="1517"/>
        <v>-0.24269005847953215</v>
      </c>
      <c r="BD455" s="277">
        <f t="shared" si="1517"/>
        <v>-0.27042253521126758</v>
      </c>
      <c r="BE455" s="261">
        <f t="shared" si="1517"/>
        <v>-0.24893617021276596</v>
      </c>
      <c r="BF455" s="277">
        <f t="shared" si="1517"/>
        <v>-0.25</v>
      </c>
      <c r="BG455" s="277">
        <f t="shared" ref="BG455:CI455" si="1518">BG454/BG452</f>
        <v>-0.26325757575757575</v>
      </c>
      <c r="BH455" s="277">
        <f t="shared" si="1518"/>
        <v>-0.256198347107438</v>
      </c>
      <c r="BI455" s="277">
        <f t="shared" si="1518"/>
        <v>-0.24669603524229075</v>
      </c>
      <c r="BJ455" s="261">
        <f t="shared" si="1518"/>
        <v>-0.25</v>
      </c>
      <c r="BK455" s="277">
        <f t="shared" si="1518"/>
        <v>-0.24737945492662475</v>
      </c>
      <c r="BL455" s="277">
        <f t="shared" si="1518"/>
        <v>-0.25111111111111112</v>
      </c>
      <c r="BM455" s="277">
        <f t="shared" si="1518"/>
        <v>-0.25766871165644173</v>
      </c>
      <c r="BN455" s="277">
        <f t="shared" si="1518"/>
        <v>-0.25986078886310904</v>
      </c>
      <c r="BO455" s="261">
        <f t="shared" si="1518"/>
        <v>-0.24960085151676423</v>
      </c>
      <c r="BP455" s="277">
        <f t="shared" si="1518"/>
        <v>-0.26269315673289184</v>
      </c>
      <c r="BQ455" s="277">
        <f t="shared" si="1518"/>
        <v>-0.256198347107438</v>
      </c>
      <c r="BR455" s="277">
        <f t="shared" si="1518"/>
        <v>-0.26303854875283444</v>
      </c>
      <c r="BS455" s="277">
        <f t="shared" si="1518"/>
        <v>-0.24739583333333334</v>
      </c>
      <c r="BT455" s="261">
        <f t="shared" si="1518"/>
        <v>-0.27185628742514972</v>
      </c>
      <c r="BU455" s="279">
        <f t="shared" si="1518"/>
        <v>-0.32634032634032634</v>
      </c>
      <c r="BV455" s="279">
        <f t="shared" si="1518"/>
        <v>-0.3534136546184739</v>
      </c>
      <c r="BW455" s="279">
        <f t="shared" ref="BW455:BX455" si="1519">BW454/BW452</f>
        <v>-0.34188034188034189</v>
      </c>
      <c r="BX455" s="279">
        <f t="shared" si="1519"/>
        <v>-0.42997542997542998</v>
      </c>
      <c r="BY455" s="261">
        <f t="shared" si="1518"/>
        <v>-0.36126526082130966</v>
      </c>
      <c r="BZ455" s="279">
        <f t="shared" ref="BZ455:CA455" si="1520">BZ454/BZ452</f>
        <v>-0.25407925407925408</v>
      </c>
      <c r="CA455" s="279">
        <f t="shared" si="1520"/>
        <v>-0.27373068432671083</v>
      </c>
      <c r="CB455" s="279">
        <f t="shared" ref="CB455:CC455" si="1521">CB454/CB452</f>
        <v>-0.25260416666666669</v>
      </c>
      <c r="CC455" s="279">
        <f t="shared" si="1521"/>
        <v>-0.6853932584269663</v>
      </c>
      <c r="CD455" s="261">
        <f t="shared" si="1518"/>
        <v>-0.31301939058171746</v>
      </c>
      <c r="CE455" s="261">
        <f t="shared" si="1518"/>
        <v>-0.25</v>
      </c>
      <c r="CF455" s="261">
        <f t="shared" si="1518"/>
        <v>-0.25</v>
      </c>
      <c r="CG455" s="261">
        <f t="shared" si="1518"/>
        <v>-0.25</v>
      </c>
      <c r="CH455" s="261">
        <f t="shared" si="1518"/>
        <v>-0.25</v>
      </c>
      <c r="CI455" s="261">
        <f t="shared" si="1518"/>
        <v>-0.25</v>
      </c>
      <c r="CJ455" s="261">
        <f t="shared" ref="CJ455:CM455" si="1522">CJ454/CJ452</f>
        <v>-0.25</v>
      </c>
      <c r="CK455" s="261">
        <f t="shared" si="1522"/>
        <v>-0.25</v>
      </c>
      <c r="CL455" s="261">
        <f t="shared" si="1522"/>
        <v>-0.25</v>
      </c>
      <c r="CM455" s="261">
        <f t="shared" si="1522"/>
        <v>-0.25</v>
      </c>
      <c r="CN455" s="195"/>
      <c r="CO455" s="195"/>
      <c r="CP455" s="195"/>
      <c r="CQ455" s="195"/>
      <c r="CR455" s="195"/>
      <c r="CS455" s="195"/>
      <c r="CT455" s="195"/>
      <c r="CV455" s="464" t="s">
        <v>90</v>
      </c>
      <c r="CW455" s="365">
        <v>226.1</v>
      </c>
      <c r="CX455" s="365">
        <v>235.1</v>
      </c>
      <c r="CY455" s="465">
        <v>233.35558432157251</v>
      </c>
      <c r="CZ455" s="465">
        <v>242.43351863360161</v>
      </c>
      <c r="DA455" s="465">
        <v>252.5269545109947</v>
      </c>
      <c r="DB455" s="465">
        <v>262.20750672432979</v>
      </c>
      <c r="DC455" s="465" t="e">
        <f>'Balance Sheet and Cflow'!#REF!</f>
        <v>#REF!</v>
      </c>
      <c r="DD455" s="465" t="e">
        <f>'Balance Sheet and Cflow'!#REF!</f>
        <v>#REF!</v>
      </c>
      <c r="DE455" s="465" t="e">
        <f>'Balance Sheet and Cflow'!#REF!</f>
        <v>#REF!</v>
      </c>
      <c r="EF455" s="265"/>
      <c r="EK455" s="353">
        <v>39985</v>
      </c>
      <c r="EL455" s="354">
        <v>1.0521</v>
      </c>
    </row>
    <row r="456" spans="1:142">
      <c r="A456" s="276" t="s">
        <v>131</v>
      </c>
      <c r="B456" s="308">
        <v>0</v>
      </c>
      <c r="C456" s="308">
        <v>0</v>
      </c>
      <c r="D456" s="308">
        <v>0</v>
      </c>
      <c r="E456" s="308">
        <v>0</v>
      </c>
      <c r="F456" s="308">
        <v>0</v>
      </c>
      <c r="G456" s="308">
        <v>0</v>
      </c>
      <c r="H456" s="308">
        <v>0</v>
      </c>
      <c r="I456" s="308">
        <v>0</v>
      </c>
      <c r="J456" s="308">
        <v>0</v>
      </c>
      <c r="K456" s="308">
        <v>0</v>
      </c>
      <c r="L456" s="308">
        <v>0</v>
      </c>
      <c r="M456" s="308">
        <v>0</v>
      </c>
      <c r="N456" s="308">
        <v>0</v>
      </c>
      <c r="O456" s="308">
        <v>0</v>
      </c>
      <c r="P456" s="308">
        <v>0</v>
      </c>
      <c r="Q456" s="308">
        <v>0</v>
      </c>
      <c r="R456" s="308">
        <v>0</v>
      </c>
      <c r="S456" s="308">
        <v>0</v>
      </c>
      <c r="T456" s="308">
        <v>0</v>
      </c>
      <c r="U456" s="308">
        <v>0</v>
      </c>
      <c r="V456" s="308">
        <v>0</v>
      </c>
      <c r="W456" s="308">
        <v>0</v>
      </c>
      <c r="X456" s="308">
        <v>0</v>
      </c>
      <c r="Y456" s="308">
        <v>0</v>
      </c>
      <c r="Z456" s="308">
        <v>0</v>
      </c>
      <c r="AA456" s="308">
        <v>0</v>
      </c>
      <c r="AB456" s="308">
        <v>0</v>
      </c>
      <c r="AC456" s="308">
        <v>0</v>
      </c>
      <c r="AD456" s="308">
        <v>0</v>
      </c>
      <c r="AE456" s="308">
        <v>0</v>
      </c>
      <c r="AF456" s="308">
        <v>0</v>
      </c>
      <c r="AG456" s="308">
        <v>0</v>
      </c>
      <c r="AH456" s="308">
        <v>0</v>
      </c>
      <c r="AI456" s="308">
        <v>0</v>
      </c>
      <c r="AJ456" s="308">
        <v>0</v>
      </c>
      <c r="AK456" s="308">
        <v>0</v>
      </c>
      <c r="AL456" s="308">
        <v>0</v>
      </c>
      <c r="AM456" s="308">
        <v>0</v>
      </c>
      <c r="AN456" s="308">
        <v>0</v>
      </c>
      <c r="AO456" s="308">
        <v>0</v>
      </c>
      <c r="AP456" s="308">
        <v>0</v>
      </c>
      <c r="AQ456" s="228"/>
      <c r="AR456" s="228"/>
      <c r="AS456" s="228"/>
      <c r="AT456" s="228"/>
      <c r="AU456" s="204">
        <f>AP456</f>
        <v>0</v>
      </c>
      <c r="AV456" s="204"/>
      <c r="AW456" s="204"/>
      <c r="AX456" s="204"/>
      <c r="AY456" s="204"/>
      <c r="AZ456" s="204">
        <f>AU456</f>
        <v>0</v>
      </c>
      <c r="BA456" s="204"/>
      <c r="BB456" s="204"/>
      <c r="BC456" s="204"/>
      <c r="BD456" s="204"/>
      <c r="BE456" s="204">
        <f>AR456</f>
        <v>0</v>
      </c>
      <c r="BF456" s="308">
        <v>0</v>
      </c>
      <c r="BG456" s="308">
        <v>0</v>
      </c>
      <c r="BH456" s="308">
        <v>0</v>
      </c>
      <c r="BI456" s="308">
        <v>0</v>
      </c>
      <c r="BJ456" s="204">
        <f>SUM(BF456:BI456)</f>
        <v>0</v>
      </c>
      <c r="BK456" s="308">
        <v>0</v>
      </c>
      <c r="BL456" s="308">
        <v>0</v>
      </c>
      <c r="BM456" s="308">
        <v>0</v>
      </c>
      <c r="BN456" s="308">
        <v>0</v>
      </c>
      <c r="BO456" s="204">
        <f>SUM(BK456:BN456)</f>
        <v>0</v>
      </c>
      <c r="BP456" s="308">
        <v>0</v>
      </c>
      <c r="BQ456" s="308">
        <v>0</v>
      </c>
      <c r="BR456" s="308">
        <v>0</v>
      </c>
      <c r="BS456" s="308">
        <v>0</v>
      </c>
      <c r="BT456" s="204">
        <f>SUM(BP456:BS456)</f>
        <v>0</v>
      </c>
      <c r="BU456" s="310">
        <v>0</v>
      </c>
      <c r="BV456" s="310">
        <v>0</v>
      </c>
      <c r="BW456" s="310">
        <v>0</v>
      </c>
      <c r="BX456" s="310">
        <v>0</v>
      </c>
      <c r="BY456" s="308">
        <v>0</v>
      </c>
      <c r="BZ456" s="310">
        <v>0</v>
      </c>
      <c r="CA456" s="310">
        <v>0</v>
      </c>
      <c r="CB456" s="310">
        <v>0</v>
      </c>
      <c r="CC456" s="310">
        <v>0</v>
      </c>
      <c r="CD456" s="308">
        <v>0</v>
      </c>
      <c r="CE456" s="308">
        <v>0</v>
      </c>
      <c r="CF456" s="308">
        <v>0</v>
      </c>
      <c r="CG456" s="308">
        <v>0</v>
      </c>
      <c r="CH456" s="308">
        <v>0</v>
      </c>
      <c r="CI456" s="308">
        <v>0</v>
      </c>
      <c r="CJ456" s="308">
        <v>0</v>
      </c>
      <c r="CK456" s="308">
        <v>0</v>
      </c>
      <c r="CL456" s="308">
        <v>0</v>
      </c>
      <c r="CM456" s="308">
        <v>0</v>
      </c>
      <c r="CN456" s="195"/>
      <c r="CO456" s="195"/>
      <c r="CP456" s="195"/>
      <c r="CQ456" s="195"/>
      <c r="CR456" s="195"/>
      <c r="CS456" s="195"/>
      <c r="CT456" s="195"/>
      <c r="CV456" s="464"/>
      <c r="CW456" s="365"/>
      <c r="CX456" s="365"/>
      <c r="CY456" s="465"/>
      <c r="CZ456" s="465"/>
      <c r="DA456" s="465"/>
      <c r="DB456" s="465"/>
      <c r="DC456" s="465"/>
      <c r="DD456" s="465"/>
      <c r="DE456" s="465"/>
      <c r="EF456" s="265"/>
      <c r="EK456" s="353">
        <v>39986</v>
      </c>
      <c r="EL456" s="354">
        <v>1.0609</v>
      </c>
    </row>
    <row r="457" spans="1:142">
      <c r="A457" s="349" t="s">
        <v>99</v>
      </c>
      <c r="B457" s="266">
        <f>B452+B454</f>
        <v>1979.9</v>
      </c>
      <c r="C457" s="266"/>
      <c r="D457" s="266"/>
      <c r="E457" s="266"/>
      <c r="F457" s="266"/>
      <c r="G457" s="266">
        <f t="shared" ref="G457:AS457" si="1523">G452+G454</f>
        <v>2400.6000000000013</v>
      </c>
      <c r="H457" s="266">
        <f t="shared" si="1523"/>
        <v>1045</v>
      </c>
      <c r="I457" s="266">
        <f t="shared" si="1523"/>
        <v>1075.2475247524753</v>
      </c>
      <c r="J457" s="266">
        <f t="shared" si="1523"/>
        <v>615</v>
      </c>
      <c r="K457" s="266">
        <f t="shared" si="1523"/>
        <v>588</v>
      </c>
      <c r="L457" s="266">
        <f t="shared" si="1523"/>
        <v>2232</v>
      </c>
      <c r="M457" s="266">
        <f t="shared" si="1523"/>
        <v>552</v>
      </c>
      <c r="N457" s="266">
        <f t="shared" si="1523"/>
        <v>532</v>
      </c>
      <c r="O457" s="266">
        <f t="shared" si="1523"/>
        <v>601</v>
      </c>
      <c r="P457" s="266">
        <f t="shared" si="1523"/>
        <v>610</v>
      </c>
      <c r="Q457" s="266">
        <f t="shared" si="1523"/>
        <v>2295</v>
      </c>
      <c r="R457" s="266">
        <f t="shared" si="1523"/>
        <v>540</v>
      </c>
      <c r="S457" s="266">
        <f t="shared" si="1523"/>
        <v>552</v>
      </c>
      <c r="T457" s="266">
        <f t="shared" si="1523"/>
        <v>538</v>
      </c>
      <c r="U457" s="266">
        <f t="shared" si="1523"/>
        <v>901</v>
      </c>
      <c r="V457" s="266">
        <f t="shared" si="1523"/>
        <v>2531</v>
      </c>
      <c r="W457" s="266">
        <f t="shared" si="1523"/>
        <v>573</v>
      </c>
      <c r="X457" s="266">
        <f t="shared" si="1523"/>
        <v>589</v>
      </c>
      <c r="Y457" s="266">
        <f t="shared" si="1523"/>
        <v>501</v>
      </c>
      <c r="Z457" s="266">
        <f t="shared" si="1523"/>
        <v>330</v>
      </c>
      <c r="AA457" s="266">
        <f t="shared" si="1523"/>
        <v>1993</v>
      </c>
      <c r="AB457" s="266">
        <f t="shared" si="1523"/>
        <v>483</v>
      </c>
      <c r="AC457" s="266">
        <f t="shared" si="1523"/>
        <v>539</v>
      </c>
      <c r="AD457" s="266">
        <f t="shared" si="1523"/>
        <v>576</v>
      </c>
      <c r="AE457" s="266">
        <f t="shared" si="1523"/>
        <v>505</v>
      </c>
      <c r="AF457" s="266">
        <f t="shared" si="1523"/>
        <v>2103</v>
      </c>
      <c r="AG457" s="266">
        <f t="shared" si="1523"/>
        <v>116.74600000000009</v>
      </c>
      <c r="AH457" s="266">
        <f t="shared" si="1523"/>
        <v>55.897354642313616</v>
      </c>
      <c r="AI457" s="266">
        <f t="shared" si="1523"/>
        <v>33.539999999999964</v>
      </c>
      <c r="AJ457" s="266">
        <f t="shared" si="1523"/>
        <v>-2.6559999999999491</v>
      </c>
      <c r="AK457" s="266">
        <f t="shared" si="1523"/>
        <v>1607.561874065377</v>
      </c>
      <c r="AL457" s="266">
        <f t="shared" si="1523"/>
        <v>135.46800000000007</v>
      </c>
      <c r="AM457" s="266">
        <f t="shared" si="1523"/>
        <v>47.879999999999995</v>
      </c>
      <c r="AN457" s="266">
        <f t="shared" si="1523"/>
        <v>117</v>
      </c>
      <c r="AO457" s="266">
        <f t="shared" si="1523"/>
        <v>34</v>
      </c>
      <c r="AP457" s="266">
        <f t="shared" si="1523"/>
        <v>2064.1792126289793</v>
      </c>
      <c r="AQ457" s="266">
        <f t="shared" si="1523"/>
        <v>484</v>
      </c>
      <c r="AR457" s="266">
        <f t="shared" si="1523"/>
        <v>424</v>
      </c>
      <c r="AS457" s="266">
        <f t="shared" si="1523"/>
        <v>519</v>
      </c>
      <c r="AT457" s="267">
        <v>544</v>
      </c>
      <c r="AU457" s="266">
        <f>SUM(AQ457:AT457)</f>
        <v>1971</v>
      </c>
      <c r="AV457" s="266">
        <f>AV452+AV454</f>
        <v>510</v>
      </c>
      <c r="AW457" s="266">
        <f>AW452+AW454</f>
        <v>482</v>
      </c>
      <c r="AX457" s="266">
        <f>AX452+AX454</f>
        <v>561</v>
      </c>
      <c r="AY457" s="266">
        <f>AY452+AY454</f>
        <v>508</v>
      </c>
      <c r="AZ457" s="266">
        <f>SUM(AV457:AY457)</f>
        <v>2061</v>
      </c>
      <c r="BA457" s="266">
        <f t="shared" ref="BA457:BF457" si="1524">BA452+BA454</f>
        <v>510</v>
      </c>
      <c r="BB457" s="266">
        <f t="shared" si="1524"/>
        <v>478</v>
      </c>
      <c r="BC457" s="266">
        <f t="shared" si="1524"/>
        <v>518</v>
      </c>
      <c r="BD457" s="266">
        <f t="shared" si="1524"/>
        <v>259</v>
      </c>
      <c r="BE457" s="266">
        <f t="shared" si="1524"/>
        <v>1765</v>
      </c>
      <c r="BF457" s="266">
        <f t="shared" si="1524"/>
        <v>402</v>
      </c>
      <c r="BG457" s="266">
        <f>BG452+BG454</f>
        <v>389</v>
      </c>
      <c r="BH457" s="266">
        <f>BH452+BH454</f>
        <v>360</v>
      </c>
      <c r="BI457" s="266">
        <f>BI452+BI454</f>
        <v>342</v>
      </c>
      <c r="BJ457" s="266">
        <f>BJ452+BJ454+BJ456</f>
        <v>1527</v>
      </c>
      <c r="BK457" s="266">
        <f>BK452+BK454</f>
        <v>359</v>
      </c>
      <c r="BL457" s="266">
        <f>BL452+BL454</f>
        <v>337</v>
      </c>
      <c r="BM457" s="266">
        <f>BM452+BM454</f>
        <v>363</v>
      </c>
      <c r="BN457" s="266">
        <f>BN452+BN454</f>
        <v>319</v>
      </c>
      <c r="BO457" s="266">
        <f>BO452+BO454+BO456</f>
        <v>1410</v>
      </c>
      <c r="BP457" s="266">
        <f>BP452+BP454</f>
        <v>334</v>
      </c>
      <c r="BQ457" s="266">
        <f>BQ452+BQ454</f>
        <v>360</v>
      </c>
      <c r="BR457" s="266">
        <f>BR452+BR454</f>
        <v>325</v>
      </c>
      <c r="BS457" s="266">
        <f>BS452+BS454</f>
        <v>289</v>
      </c>
      <c r="BT457" s="266">
        <f>BT452+BT454+BT456</f>
        <v>1216</v>
      </c>
      <c r="BU457" s="266">
        <f>BU452+BU454</f>
        <v>289</v>
      </c>
      <c r="BV457" s="266">
        <f>BV452+BV454</f>
        <v>322</v>
      </c>
      <c r="BW457" s="266">
        <f>BW452+BW454</f>
        <v>308</v>
      </c>
      <c r="BX457" s="266">
        <f>BX452+BX454</f>
        <v>232</v>
      </c>
      <c r="BY457" s="266">
        <f t="shared" ref="BY457:CI457" si="1525">BY452+BY454+BY456</f>
        <v>1151</v>
      </c>
      <c r="BZ457" s="266">
        <f>BZ452+BZ454</f>
        <v>320</v>
      </c>
      <c r="CA457" s="266">
        <f>CA452+CA454</f>
        <v>329</v>
      </c>
      <c r="CB457" s="266">
        <f>CB452+CB454</f>
        <v>287</v>
      </c>
      <c r="CC457" s="266">
        <f>CC452+CC454</f>
        <v>56</v>
      </c>
      <c r="CD457" s="266">
        <f t="shared" si="1525"/>
        <v>992</v>
      </c>
      <c r="CE457" s="266">
        <f t="shared" si="1525"/>
        <v>1425.0024450746369</v>
      </c>
      <c r="CF457" s="266">
        <f>CF452+CF454+CF456</f>
        <v>1606.4704732335476</v>
      </c>
      <c r="CG457" s="266">
        <f t="shared" si="1525"/>
        <v>1771.3814389978606</v>
      </c>
      <c r="CH457" s="266">
        <f t="shared" si="1525"/>
        <v>1926.4791862280626</v>
      </c>
      <c r="CI457" s="266">
        <f t="shared" si="1525"/>
        <v>2075.2426822853809</v>
      </c>
      <c r="CJ457" s="266">
        <f t="shared" ref="CJ457:CM457" si="1526">CJ452+CJ454+CJ456</f>
        <v>2212.4456568639089</v>
      </c>
      <c r="CK457" s="266">
        <f t="shared" si="1526"/>
        <v>2341.4000621415207</v>
      </c>
      <c r="CL457" s="266">
        <f t="shared" si="1526"/>
        <v>2464.694879185201</v>
      </c>
      <c r="CM457" s="266">
        <f t="shared" si="1526"/>
        <v>2584.2653805779282</v>
      </c>
      <c r="CN457" s="195"/>
      <c r="CO457" s="195"/>
      <c r="CP457" s="195"/>
      <c r="CQ457" s="195"/>
      <c r="CR457" s="195"/>
      <c r="CS457" s="195"/>
      <c r="CT457" s="195"/>
      <c r="CV457" s="464" t="s">
        <v>92</v>
      </c>
      <c r="CW457" s="476">
        <v>0</v>
      </c>
      <c r="CX457" s="476">
        <v>0</v>
      </c>
      <c r="CY457" s="359">
        <v>0</v>
      </c>
      <c r="CZ457" s="359">
        <v>0</v>
      </c>
      <c r="DA457" s="359">
        <v>0</v>
      </c>
      <c r="DB457" s="359">
        <v>0</v>
      </c>
      <c r="DC457" s="359" t="e">
        <f>'Balance Sheet and Cflow'!#REF!</f>
        <v>#REF!</v>
      </c>
      <c r="DD457" s="359" t="e">
        <f>'Balance Sheet and Cflow'!#REF!</f>
        <v>#REF!</v>
      </c>
      <c r="DE457" s="359" t="e">
        <f>'Balance Sheet and Cflow'!#REF!</f>
        <v>#REF!</v>
      </c>
      <c r="DT457" s="265"/>
      <c r="DU457" s="265"/>
      <c r="EG457" s="265"/>
      <c r="EH457" s="265"/>
      <c r="EI457" s="265"/>
      <c r="EK457" s="353">
        <v>39987</v>
      </c>
      <c r="EL457" s="354">
        <v>1.0559000000000001</v>
      </c>
    </row>
    <row r="458" spans="1:142">
      <c r="A458" s="276" t="s">
        <v>605</v>
      </c>
      <c r="B458" s="203"/>
      <c r="C458" s="203"/>
      <c r="D458" s="203"/>
      <c r="E458" s="203"/>
      <c r="F458" s="203"/>
      <c r="G458" s="203"/>
      <c r="H458" s="203"/>
      <c r="I458" s="203"/>
      <c r="J458" s="203"/>
      <c r="K458" s="203"/>
      <c r="L458" s="203"/>
      <c r="M458" s="203"/>
      <c r="N458" s="203"/>
      <c r="O458" s="203"/>
      <c r="P458" s="203"/>
      <c r="Q458" s="203"/>
      <c r="R458" s="203"/>
      <c r="S458" s="203"/>
      <c r="T458" s="203"/>
      <c r="U458" s="203"/>
      <c r="V458" s="203"/>
      <c r="W458" s="203"/>
      <c r="X458" s="203"/>
      <c r="Y458" s="203"/>
      <c r="Z458" s="203"/>
      <c r="AA458" s="203"/>
      <c r="AB458" s="203"/>
      <c r="AC458" s="203"/>
      <c r="AD458" s="203"/>
      <c r="AE458" s="203"/>
      <c r="AF458" s="203"/>
      <c r="AG458" s="203"/>
      <c r="AH458" s="203"/>
      <c r="AI458" s="203"/>
      <c r="AJ458" s="203"/>
      <c r="AK458" s="203"/>
      <c r="AL458" s="203"/>
      <c r="AM458" s="203"/>
      <c r="AN458" s="203"/>
      <c r="AO458" s="203"/>
      <c r="AP458" s="203"/>
      <c r="AQ458" s="203"/>
      <c r="AR458" s="203"/>
      <c r="AS458" s="203"/>
      <c r="AT458" s="204">
        <f>1921-AS457-AR457-AQ457</f>
        <v>494</v>
      </c>
      <c r="AU458" s="207">
        <f t="shared" ref="AU458:CC458" si="1527">AU457/AP457-1</f>
        <v>-4.5141047860037475E-2</v>
      </c>
      <c r="AV458" s="207">
        <f t="shared" si="1527"/>
        <v>5.3719008264462742E-2</v>
      </c>
      <c r="AW458" s="207">
        <f t="shared" si="1527"/>
        <v>0.1367924528301887</v>
      </c>
      <c r="AX458" s="207">
        <f t="shared" si="1527"/>
        <v>8.092485549132955E-2</v>
      </c>
      <c r="AY458" s="207">
        <f t="shared" si="1527"/>
        <v>-6.6176470588235281E-2</v>
      </c>
      <c r="AZ458" s="207">
        <f t="shared" si="1527"/>
        <v>4.5662100456621113E-2</v>
      </c>
      <c r="BA458" s="207">
        <f t="shared" si="1527"/>
        <v>0</v>
      </c>
      <c r="BB458" s="207">
        <f t="shared" si="1527"/>
        <v>-8.2987551867219622E-3</v>
      </c>
      <c r="BC458" s="207">
        <f t="shared" si="1527"/>
        <v>-7.6648841354723718E-2</v>
      </c>
      <c r="BD458" s="207">
        <f t="shared" si="1527"/>
        <v>-0.49015748031496065</v>
      </c>
      <c r="BE458" s="207">
        <f t="shared" si="1527"/>
        <v>-0.143619602134886</v>
      </c>
      <c r="BF458" s="207">
        <f t="shared" si="1527"/>
        <v>-0.21176470588235297</v>
      </c>
      <c r="BG458" s="207">
        <f t="shared" si="1527"/>
        <v>-0.18619246861924688</v>
      </c>
      <c r="BH458" s="207">
        <f t="shared" si="1527"/>
        <v>-0.30501930501930496</v>
      </c>
      <c r="BI458" s="207">
        <f t="shared" si="1527"/>
        <v>0.32046332046332049</v>
      </c>
      <c r="BJ458" s="207">
        <f t="shared" si="1527"/>
        <v>-0.13484419263456093</v>
      </c>
      <c r="BK458" s="207">
        <f t="shared" si="1527"/>
        <v>-0.10696517412935325</v>
      </c>
      <c r="BL458" s="207">
        <f t="shared" si="1527"/>
        <v>-0.13367609254498714</v>
      </c>
      <c r="BM458" s="207">
        <f t="shared" si="1527"/>
        <v>8.3333333333333037E-3</v>
      </c>
      <c r="BN458" s="207">
        <f t="shared" si="1527"/>
        <v>-6.7251461988304118E-2</v>
      </c>
      <c r="BO458" s="207">
        <f t="shared" si="1527"/>
        <v>-7.6620825147347693E-2</v>
      </c>
      <c r="BP458" s="207">
        <f t="shared" si="1527"/>
        <v>-6.9637883008356494E-2</v>
      </c>
      <c r="BQ458" s="207">
        <f t="shared" si="1527"/>
        <v>6.8249258160237414E-2</v>
      </c>
      <c r="BR458" s="207">
        <f t="shared" si="1527"/>
        <v>-0.10468319559228645</v>
      </c>
      <c r="BS458" s="207">
        <f t="shared" si="1527"/>
        <v>-9.404388714733547E-2</v>
      </c>
      <c r="BT458" s="207">
        <f t="shared" si="1527"/>
        <v>-0.13758865248226948</v>
      </c>
      <c r="BU458" s="207">
        <f t="shared" si="1527"/>
        <v>-0.1347305389221557</v>
      </c>
      <c r="BV458" s="207">
        <f t="shared" si="1527"/>
        <v>-0.10555555555555551</v>
      </c>
      <c r="BW458" s="207">
        <f t="shared" si="1527"/>
        <v>-5.2307692307692277E-2</v>
      </c>
      <c r="BX458" s="207">
        <f t="shared" si="1527"/>
        <v>-0.19723183391003463</v>
      </c>
      <c r="BY458" s="207">
        <f>BY457/BT457-1</f>
        <v>-5.3453947368421018E-2</v>
      </c>
      <c r="BZ458" s="207">
        <f t="shared" si="1527"/>
        <v>0.10726643598615926</v>
      </c>
      <c r="CA458" s="207">
        <f t="shared" si="1527"/>
        <v>2.1739130434782705E-2</v>
      </c>
      <c r="CB458" s="207">
        <f t="shared" si="1527"/>
        <v>-6.8181818181818232E-2</v>
      </c>
      <c r="CC458" s="207">
        <f t="shared" si="1527"/>
        <v>-0.75862068965517238</v>
      </c>
      <c r="CD458" s="207">
        <f>CD457/BY457-1</f>
        <v>-0.13814074717636837</v>
      </c>
      <c r="CE458" s="207">
        <f t="shared" ref="CE458:CI458" si="1528">CE457/CD457-1</f>
        <v>0.4364944002768516</v>
      </c>
      <c r="CF458" s="207">
        <f t="shared" si="1528"/>
        <v>0.12734576616772486</v>
      </c>
      <c r="CG458" s="207">
        <f t="shared" si="1528"/>
        <v>0.10265421525761109</v>
      </c>
      <c r="CH458" s="207">
        <f t="shared" si="1528"/>
        <v>8.7557509532191435E-2</v>
      </c>
      <c r="CI458" s="207">
        <f t="shared" si="1528"/>
        <v>7.722040140417441E-2</v>
      </c>
      <c r="CJ458" s="207">
        <f t="shared" ref="CJ458" si="1529">CJ457/CI457-1</f>
        <v>6.6114183054211351E-2</v>
      </c>
      <c r="CK458" s="207">
        <f t="shared" ref="CK458" si="1530">CK457/CJ457-1</f>
        <v>5.8285908572507816E-2</v>
      </c>
      <c r="CL458" s="207">
        <f t="shared" ref="CL458" si="1531">CL457/CK457-1</f>
        <v>5.2658586218243597E-2</v>
      </c>
      <c r="CM458" s="207">
        <f t="shared" ref="CM458" si="1532">CM457/CL457-1</f>
        <v>4.8513307834783914E-2</v>
      </c>
      <c r="CN458" s="195"/>
      <c r="CO458" s="195"/>
      <c r="CP458" s="195"/>
      <c r="CQ458" s="195"/>
      <c r="CR458" s="195"/>
      <c r="CS458" s="195"/>
      <c r="CT458" s="195"/>
      <c r="CV458" s="464"/>
      <c r="CW458" s="476"/>
      <c r="CX458" s="476"/>
      <c r="CY458" s="359"/>
      <c r="CZ458" s="359"/>
      <c r="DA458" s="359"/>
      <c r="DB458" s="359"/>
      <c r="DC458" s="359"/>
      <c r="DD458" s="359"/>
      <c r="DE458" s="359"/>
      <c r="DT458" s="265"/>
      <c r="DU458" s="265"/>
      <c r="EG458" s="265"/>
      <c r="EH458" s="265"/>
      <c r="EI458" s="265"/>
      <c r="EK458" s="353">
        <v>39989</v>
      </c>
      <c r="EL458" s="354">
        <v>1.0542</v>
      </c>
    </row>
    <row r="459" spans="1:142">
      <c r="A459" s="286" t="s">
        <v>620</v>
      </c>
      <c r="B459" s="280"/>
      <c r="C459" s="280"/>
      <c r="D459" s="280"/>
      <c r="E459" s="280"/>
      <c r="F459" s="280"/>
      <c r="G459" s="280">
        <v>2400.6000000000013</v>
      </c>
      <c r="H459" s="280">
        <v>-42</v>
      </c>
      <c r="I459" s="280">
        <v>591.34615384615381</v>
      </c>
      <c r="J459" s="280">
        <v>615</v>
      </c>
      <c r="K459" s="280">
        <v>503</v>
      </c>
      <c r="L459" s="280">
        <v>2232</v>
      </c>
      <c r="M459" s="280">
        <v>552</v>
      </c>
      <c r="N459" s="280">
        <v>532</v>
      </c>
      <c r="O459" s="280">
        <v>601</v>
      </c>
      <c r="P459" s="280">
        <v>610</v>
      </c>
      <c r="Q459" s="280">
        <v>2295</v>
      </c>
      <c r="R459" s="280">
        <v>539</v>
      </c>
      <c r="S459" s="280">
        <v>552</v>
      </c>
      <c r="T459" s="280">
        <v>538</v>
      </c>
      <c r="U459" s="280">
        <v>901</v>
      </c>
      <c r="V459" s="280">
        <v>2527</v>
      </c>
      <c r="W459" s="280">
        <v>573</v>
      </c>
      <c r="X459" s="280">
        <v>466</v>
      </c>
      <c r="Y459" s="280">
        <v>443</v>
      </c>
      <c r="Z459" s="280">
        <v>378</v>
      </c>
      <c r="AA459" s="280">
        <v>1860</v>
      </c>
      <c r="AB459" s="280">
        <v>476</v>
      </c>
      <c r="AC459" s="280">
        <v>530</v>
      </c>
      <c r="AD459" s="280">
        <v>474</v>
      </c>
      <c r="AE459" s="280">
        <v>292</v>
      </c>
      <c r="AF459" s="280">
        <v>1984</v>
      </c>
      <c r="AG459" s="280">
        <v>488</v>
      </c>
      <c r="AH459" s="280">
        <v>451</v>
      </c>
      <c r="AI459" s="280">
        <v>451</v>
      </c>
      <c r="AJ459" s="280">
        <v>335</v>
      </c>
      <c r="AK459" s="280">
        <v>1725</v>
      </c>
      <c r="AL459" s="280">
        <v>412</v>
      </c>
      <c r="AM459" s="280">
        <v>443</v>
      </c>
      <c r="AN459" s="280">
        <v>422</v>
      </c>
      <c r="AO459" s="280">
        <v>470</v>
      </c>
      <c r="AP459" s="280">
        <v>1747</v>
      </c>
      <c r="AQ459" s="280">
        <v>520</v>
      </c>
      <c r="AR459" s="280">
        <v>483</v>
      </c>
      <c r="AS459" s="280">
        <v>505</v>
      </c>
      <c r="AT459" s="280">
        <v>505</v>
      </c>
      <c r="AU459" s="280">
        <f>SUM(AQ459:AT459)</f>
        <v>2013</v>
      </c>
      <c r="AV459" s="280">
        <v>505</v>
      </c>
      <c r="AW459" s="280">
        <v>574</v>
      </c>
      <c r="AX459" s="280">
        <v>564</v>
      </c>
      <c r="AY459" s="280">
        <v>541</v>
      </c>
      <c r="AZ459" s="280">
        <f>SUM(AV459:AY459)</f>
        <v>2184</v>
      </c>
      <c r="BA459" s="477">
        <v>523</v>
      </c>
      <c r="BB459" s="477">
        <v>478</v>
      </c>
      <c r="BC459" s="477">
        <v>513</v>
      </c>
      <c r="BD459" s="477">
        <v>266</v>
      </c>
      <c r="BE459" s="280">
        <f>SUM(BA459:BD459)</f>
        <v>1780</v>
      </c>
      <c r="BF459" s="477">
        <v>409</v>
      </c>
      <c r="BG459" s="477">
        <v>397</v>
      </c>
      <c r="BH459" s="477">
        <v>358</v>
      </c>
      <c r="BI459" s="477">
        <v>355</v>
      </c>
      <c r="BJ459" s="284">
        <f>SUM(BF459:BI459)</f>
        <v>1519</v>
      </c>
      <c r="BK459" s="477">
        <v>358</v>
      </c>
      <c r="BL459" s="477">
        <v>343</v>
      </c>
      <c r="BM459" s="477">
        <v>365</v>
      </c>
      <c r="BN459" s="478">
        <v>319</v>
      </c>
      <c r="BO459" s="284">
        <f>SUM(BK459:BN459)</f>
        <v>1385</v>
      </c>
      <c r="BP459" s="477">
        <f>BP457</f>
        <v>334</v>
      </c>
      <c r="BQ459" s="477">
        <f t="shared" ref="BQ459:CM459" si="1533">BQ457</f>
        <v>360</v>
      </c>
      <c r="BR459" s="477">
        <f t="shared" si="1533"/>
        <v>325</v>
      </c>
      <c r="BS459" s="477">
        <f t="shared" si="1533"/>
        <v>289</v>
      </c>
      <c r="BT459" s="477">
        <f t="shared" si="1533"/>
        <v>1216</v>
      </c>
      <c r="BU459" s="477">
        <f t="shared" si="1533"/>
        <v>289</v>
      </c>
      <c r="BV459" s="477">
        <f t="shared" si="1533"/>
        <v>322</v>
      </c>
      <c r="BW459" s="477">
        <f t="shared" si="1533"/>
        <v>308</v>
      </c>
      <c r="BX459" s="477">
        <f t="shared" si="1533"/>
        <v>232</v>
      </c>
      <c r="BY459" s="477">
        <f t="shared" si="1533"/>
        <v>1151</v>
      </c>
      <c r="BZ459" s="477">
        <f t="shared" si="1533"/>
        <v>320</v>
      </c>
      <c r="CA459" s="477">
        <f t="shared" ref="CA459:CB459" si="1534">CA457</f>
        <v>329</v>
      </c>
      <c r="CB459" s="477">
        <f t="shared" si="1534"/>
        <v>287</v>
      </c>
      <c r="CC459" s="477">
        <f t="shared" ref="CC459" si="1535">CC457</f>
        <v>56</v>
      </c>
      <c r="CD459" s="477">
        <f t="shared" si="1533"/>
        <v>992</v>
      </c>
      <c r="CE459" s="281">
        <f t="shared" si="1533"/>
        <v>1425.0024450746369</v>
      </c>
      <c r="CF459" s="281">
        <f t="shared" si="1533"/>
        <v>1606.4704732335476</v>
      </c>
      <c r="CG459" s="281">
        <f t="shared" si="1533"/>
        <v>1771.3814389978606</v>
      </c>
      <c r="CH459" s="281">
        <f t="shared" si="1533"/>
        <v>1926.4791862280626</v>
      </c>
      <c r="CI459" s="281">
        <f t="shared" si="1533"/>
        <v>2075.2426822853809</v>
      </c>
      <c r="CJ459" s="281">
        <f t="shared" si="1533"/>
        <v>2212.4456568639089</v>
      </c>
      <c r="CK459" s="281">
        <f t="shared" si="1533"/>
        <v>2341.4000621415207</v>
      </c>
      <c r="CL459" s="281">
        <f t="shared" si="1533"/>
        <v>2464.694879185201</v>
      </c>
      <c r="CM459" s="281">
        <f t="shared" si="1533"/>
        <v>2584.2653805779282</v>
      </c>
      <c r="CN459" s="195"/>
      <c r="CO459" s="195"/>
      <c r="CP459" s="195"/>
      <c r="CQ459" s="195"/>
      <c r="CR459" s="195"/>
      <c r="CS459" s="195"/>
      <c r="CT459" s="195"/>
      <c r="CV459" s="464"/>
      <c r="CW459" s="476"/>
      <c r="CX459" s="476"/>
      <c r="CY459" s="359"/>
      <c r="CZ459" s="359"/>
      <c r="DA459" s="359"/>
      <c r="DB459" s="359"/>
      <c r="DC459" s="359"/>
      <c r="DD459" s="359"/>
      <c r="DE459" s="359"/>
      <c r="DT459" s="265"/>
      <c r="DU459" s="265"/>
      <c r="EG459" s="265"/>
      <c r="EH459" s="265"/>
      <c r="EI459" s="265"/>
      <c r="EK459" s="353">
        <v>39988</v>
      </c>
      <c r="EL459" s="354">
        <v>1.0542</v>
      </c>
    </row>
    <row r="460" spans="1:142">
      <c r="A460" s="200" t="s">
        <v>1</v>
      </c>
      <c r="BY460" s="203">
        <v>1654.9</v>
      </c>
    </row>
    <row r="461" spans="1:142">
      <c r="A461" s="276"/>
      <c r="B461" s="470"/>
      <c r="C461" s="470"/>
      <c r="D461" s="470"/>
      <c r="E461" s="470"/>
      <c r="F461" s="470"/>
      <c r="G461" s="203"/>
      <c r="H461" s="203"/>
      <c r="I461" s="203"/>
      <c r="J461" s="203"/>
      <c r="K461" s="203"/>
      <c r="L461" s="203"/>
      <c r="M461" s="203"/>
      <c r="N461" s="203"/>
      <c r="O461" s="203"/>
      <c r="P461" s="203"/>
      <c r="Q461" s="203"/>
      <c r="R461" s="203"/>
      <c r="S461" s="203"/>
      <c r="T461" s="203"/>
      <c r="U461" s="203"/>
      <c r="V461" s="203"/>
      <c r="W461" s="203"/>
      <c r="X461" s="203"/>
      <c r="Y461" s="203"/>
      <c r="Z461" s="203"/>
      <c r="AA461" s="203"/>
      <c r="AB461" s="203"/>
      <c r="AC461" s="203"/>
      <c r="AD461" s="203"/>
      <c r="AE461" s="203"/>
      <c r="AF461" s="203"/>
      <c r="AG461" s="203"/>
      <c r="AH461" s="203"/>
      <c r="AI461" s="203"/>
      <c r="AJ461" s="203"/>
      <c r="AK461" s="203"/>
      <c r="AL461" s="203"/>
      <c r="AM461" s="203"/>
      <c r="AN461" s="203"/>
      <c r="AO461" s="203"/>
      <c r="AP461" s="203"/>
      <c r="AQ461" s="203"/>
      <c r="AR461" s="203"/>
      <c r="AS461" s="203"/>
      <c r="AT461" s="373"/>
      <c r="AU461" s="470"/>
      <c r="AV461" s="470"/>
      <c r="AW461" s="470"/>
      <c r="AX461" s="470"/>
      <c r="AY461" s="470"/>
      <c r="AZ461" s="470"/>
      <c r="BA461" s="470"/>
      <c r="BB461" s="470"/>
      <c r="BC461" s="470"/>
      <c r="BD461" s="470"/>
      <c r="BE461" s="470"/>
      <c r="BF461" s="470"/>
      <c r="BG461" s="470"/>
      <c r="BH461" s="373"/>
      <c r="BI461" s="373"/>
      <c r="BJ461" s="470"/>
      <c r="BK461" s="470"/>
      <c r="BL461" s="470"/>
      <c r="BM461" s="470"/>
      <c r="BN461" s="373"/>
      <c r="BO461" s="470"/>
      <c r="BP461" s="373"/>
      <c r="BQ461" s="373"/>
      <c r="BR461" s="373"/>
      <c r="BS461" s="373"/>
      <c r="BT461" s="470"/>
      <c r="BU461" s="378"/>
      <c r="BV461" s="378"/>
      <c r="BW461" s="378"/>
      <c r="BX461" s="378"/>
      <c r="BY461" s="470"/>
      <c r="BZ461" s="378"/>
      <c r="CA461" s="378"/>
      <c r="CB461" s="378"/>
      <c r="CC461" s="378"/>
      <c r="CD461" s="470"/>
      <c r="CE461" s="470"/>
      <c r="CF461" s="470"/>
      <c r="CG461" s="470"/>
      <c r="CH461" s="470"/>
      <c r="CI461" s="470"/>
      <c r="CJ461" s="470"/>
      <c r="CK461" s="470"/>
      <c r="CL461" s="470"/>
      <c r="CM461" s="470"/>
      <c r="CN461" s="195"/>
      <c r="CO461" s="195"/>
      <c r="CP461" s="195"/>
      <c r="CQ461" s="195"/>
      <c r="CR461" s="195"/>
      <c r="CS461" s="195"/>
      <c r="CT461" s="195"/>
      <c r="CV461" s="464"/>
      <c r="CW461" s="476"/>
      <c r="CX461" s="476"/>
      <c r="CY461" s="359"/>
      <c r="CZ461" s="359"/>
      <c r="DA461" s="359"/>
      <c r="DB461" s="359"/>
      <c r="DC461" s="359"/>
      <c r="DD461" s="359"/>
      <c r="DE461" s="359"/>
      <c r="DT461" s="265"/>
      <c r="DU461" s="265"/>
      <c r="EG461" s="265"/>
      <c r="EH461" s="265"/>
      <c r="EI461" s="265"/>
      <c r="EK461" s="353">
        <v>39990</v>
      </c>
      <c r="EL461" s="354">
        <v>1.0397000000000001</v>
      </c>
    </row>
    <row r="462" spans="1:142">
      <c r="A462" s="286" t="s">
        <v>768</v>
      </c>
      <c r="B462" s="470"/>
      <c r="C462" s="470"/>
      <c r="D462" s="470"/>
      <c r="E462" s="470"/>
      <c r="F462" s="470"/>
      <c r="G462" s="470"/>
      <c r="H462" s="470"/>
      <c r="I462" s="470"/>
      <c r="J462" s="470"/>
      <c r="K462" s="470"/>
      <c r="L462" s="470"/>
      <c r="M462" s="470"/>
      <c r="N462" s="470"/>
      <c r="O462" s="470"/>
      <c r="P462" s="470"/>
      <c r="Q462" s="470"/>
      <c r="R462" s="470"/>
      <c r="S462" s="470"/>
      <c r="T462" s="470"/>
      <c r="U462" s="470"/>
      <c r="V462" s="470"/>
      <c r="W462" s="470"/>
      <c r="X462" s="470"/>
      <c r="Y462" s="470"/>
      <c r="Z462" s="470"/>
      <c r="AA462" s="470"/>
      <c r="AB462" s="470"/>
      <c r="AC462" s="470"/>
      <c r="AD462" s="470"/>
      <c r="AE462" s="470"/>
      <c r="AF462" s="470"/>
      <c r="AG462" s="470"/>
      <c r="AH462" s="470"/>
      <c r="AI462" s="470"/>
      <c r="AJ462" s="470"/>
      <c r="AK462" s="470"/>
      <c r="AL462" s="470"/>
      <c r="AM462" s="470"/>
      <c r="AN462" s="470"/>
      <c r="AO462" s="470"/>
      <c r="AP462" s="470"/>
      <c r="AQ462" s="470"/>
      <c r="AR462" s="470"/>
      <c r="AS462" s="470"/>
      <c r="AT462" s="373"/>
      <c r="AU462" s="261"/>
      <c r="AV462" s="261"/>
      <c r="AW462" s="261"/>
      <c r="AX462" s="261"/>
      <c r="AY462" s="261"/>
      <c r="AZ462" s="261"/>
      <c r="BA462" s="261"/>
      <c r="BB462" s="261"/>
      <c r="BC462" s="261"/>
      <c r="BD462" s="261"/>
      <c r="BE462" s="261"/>
      <c r="BF462" s="261"/>
      <c r="BG462" s="261"/>
      <c r="BH462" s="277"/>
      <c r="BI462" s="277"/>
      <c r="BJ462" s="261"/>
      <c r="BK462" s="261"/>
      <c r="BL462" s="261"/>
      <c r="BM462" s="261"/>
      <c r="BN462" s="277"/>
      <c r="BO462" s="261"/>
      <c r="BP462" s="277"/>
      <c r="BQ462" s="277"/>
      <c r="BR462" s="277"/>
      <c r="BS462" s="277"/>
      <c r="BT462" s="261"/>
      <c r="BU462" s="279"/>
      <c r="BV462" s="279"/>
      <c r="BW462" s="279"/>
      <c r="BX462" s="279"/>
      <c r="BY462" s="195"/>
      <c r="BZ462" s="279"/>
      <c r="CA462" s="279"/>
      <c r="CB462" s="279"/>
      <c r="CC462" s="279"/>
      <c r="CD462" s="195"/>
      <c r="CE462" s="195"/>
      <c r="CF462" s="195"/>
      <c r="CG462" s="195"/>
      <c r="CH462" s="195"/>
      <c r="CI462" s="195"/>
      <c r="CJ462" s="195"/>
      <c r="CK462" s="195"/>
      <c r="CL462" s="195"/>
      <c r="CM462" s="195"/>
      <c r="CN462" s="195"/>
      <c r="CO462" s="195"/>
      <c r="CP462" s="195"/>
      <c r="CQ462" s="195"/>
      <c r="CR462" s="195"/>
      <c r="CS462" s="195"/>
      <c r="CT462" s="195"/>
      <c r="CV462" s="235" t="s">
        <v>76</v>
      </c>
      <c r="CW462" s="316">
        <v>416.6</v>
      </c>
      <c r="CX462" s="316">
        <v>409.34</v>
      </c>
      <c r="CY462" s="316">
        <v>413.75195259418359</v>
      </c>
      <c r="CZ462" s="316">
        <v>478.66946530871769</v>
      </c>
      <c r="DA462" s="316">
        <v>512.34283217838015</v>
      </c>
      <c r="DB462" s="316">
        <v>467.34310689802618</v>
      </c>
      <c r="DC462" s="316" t="e">
        <f>DC449-DC455-DC457</f>
        <v>#REF!</v>
      </c>
      <c r="DD462" s="316" t="e">
        <f>DD449-DD455-DD457</f>
        <v>#REF!</v>
      </c>
      <c r="DE462" s="316" t="e">
        <f>DE449-DE455-DE457</f>
        <v>#REF!</v>
      </c>
      <c r="EK462" s="353">
        <v>39991</v>
      </c>
      <c r="EL462" s="354">
        <v>1.0441</v>
      </c>
    </row>
    <row r="463" spans="1:142">
      <c r="A463" s="276" t="s">
        <v>560</v>
      </c>
      <c r="B463" s="479"/>
      <c r="C463" s="479"/>
      <c r="D463" s="479"/>
      <c r="E463" s="479"/>
      <c r="F463" s="479"/>
      <c r="G463" s="479"/>
      <c r="H463" s="479" t="e">
        <f>H457/'Balance Sheet and Cflow'!$C215</f>
        <v>#DIV/0!</v>
      </c>
      <c r="I463" s="479" t="e">
        <f>I457/'Balance Sheet and Cflow'!$C215</f>
        <v>#DIV/0!</v>
      </c>
      <c r="J463" s="479" t="e">
        <f>J457/'Balance Sheet and Cflow'!$C215</f>
        <v>#DIV/0!</v>
      </c>
      <c r="K463" s="479" t="e">
        <f>K457/'Balance Sheet and Cflow'!$C215</f>
        <v>#DIV/0!</v>
      </c>
      <c r="L463" s="479">
        <f>L457/'Balance Sheet and Cflow'!$D215</f>
        <v>0.29759999999999998</v>
      </c>
      <c r="M463" s="479">
        <f>M457/'Balance Sheet and Cflow'!$D215</f>
        <v>7.3599999999999999E-2</v>
      </c>
      <c r="N463" s="479">
        <f>N457/'Balance Sheet and Cflow'!$D215</f>
        <v>7.0933333333333334E-2</v>
      </c>
      <c r="O463" s="479">
        <f>O457/'Balance Sheet and Cflow'!$D215</f>
        <v>8.0133333333333334E-2</v>
      </c>
      <c r="P463" s="479">
        <f>P457/'Balance Sheet and Cflow'!$D215</f>
        <v>8.1333333333333327E-2</v>
      </c>
      <c r="Q463" s="479">
        <f>Q457/'Balance Sheet and Cflow'!$E215</f>
        <v>0.30599999999999999</v>
      </c>
      <c r="R463" s="479">
        <f>R457/'Balance Sheet and Cflow'!$E215</f>
        <v>7.1999999999999995E-2</v>
      </c>
      <c r="S463" s="479">
        <f>S457/'Balance Sheet and Cflow'!$E215</f>
        <v>7.3599999999999999E-2</v>
      </c>
      <c r="T463" s="479">
        <f>T457/'Balance Sheet and Cflow'!$E215</f>
        <v>7.173333333333333E-2</v>
      </c>
      <c r="U463" s="479">
        <f>U457/'Balance Sheet and Cflow'!$E215</f>
        <v>0.12013333333333333</v>
      </c>
      <c r="V463" s="479">
        <f>V457/'Balance Sheet and Cflow'!$F215</f>
        <v>0.33746666666666669</v>
      </c>
      <c r="W463" s="479">
        <f>W457/'Balance Sheet and Cflow'!$F215</f>
        <v>7.6399999999999996E-2</v>
      </c>
      <c r="X463" s="479">
        <f>X457/'Balance Sheet and Cflow'!$F215</f>
        <v>7.853333333333333E-2</v>
      </c>
      <c r="Y463" s="479">
        <f>Y457/'Balance Sheet and Cflow'!$F215</f>
        <v>6.6799999999999998E-2</v>
      </c>
      <c r="Z463" s="479">
        <f>Z457/'Balance Sheet and Cflow'!$F215</f>
        <v>4.3999999999999997E-2</v>
      </c>
      <c r="AA463" s="479">
        <f>AA457/'Balance Sheet and Cflow'!$G215</f>
        <v>0.26573333333333332</v>
      </c>
      <c r="AB463" s="479">
        <f>AB457/'Balance Sheet and Cflow'!$G215</f>
        <v>6.4399999999999999E-2</v>
      </c>
      <c r="AC463" s="479">
        <f>AC457/'Balance Sheet and Cflow'!$G215</f>
        <v>7.1866666666666662E-2</v>
      </c>
      <c r="AD463" s="479">
        <f>AD457/'Balance Sheet and Cflow'!$G215</f>
        <v>7.6799999999999993E-2</v>
      </c>
      <c r="AE463" s="479">
        <f>AE457/'Balance Sheet and Cflow'!$G215</f>
        <v>6.7333333333333328E-2</v>
      </c>
      <c r="AF463" s="479">
        <f>AF457/'Balance Sheet and Cflow'!$H215</f>
        <v>0.28039999999999998</v>
      </c>
      <c r="AG463" s="479">
        <f>AG457/'Balance Sheet and Cflow'!$H215</f>
        <v>1.5566133333333346E-2</v>
      </c>
      <c r="AH463" s="479">
        <f>AH457/'Balance Sheet and Cflow'!$H215</f>
        <v>7.4529806189751486E-3</v>
      </c>
      <c r="AI463" s="479">
        <f>AI457/'Balance Sheet and Cflow'!$H215</f>
        <v>4.4719999999999951E-3</v>
      </c>
      <c r="AJ463" s="479">
        <f>AJ457/'Balance Sheet and Cflow'!$H215</f>
        <v>-3.5413333333332656E-4</v>
      </c>
      <c r="AK463" s="479">
        <f>AK457/'Balance Sheet and Cflow'!I215</f>
        <v>0.21434158320871693</v>
      </c>
      <c r="AL463" s="479">
        <f>AL457/'Balance Sheet and Cflow'!$J215</f>
        <v>1.806240000000001E-2</v>
      </c>
      <c r="AM463" s="479">
        <f>AM457/'Balance Sheet and Cflow'!$J215</f>
        <v>6.3839999999999991E-3</v>
      </c>
      <c r="AN463" s="479">
        <f>AN457/'Balance Sheet and Cflow'!$J215</f>
        <v>1.5599999999999999E-2</v>
      </c>
      <c r="AO463" s="479">
        <f>AO457/'Balance Sheet and Cflow'!$J215</f>
        <v>4.5333333333333337E-3</v>
      </c>
      <c r="AP463" s="479">
        <f>AP457/'Balance Sheet and Cflow'!J215</f>
        <v>0.27522389501719724</v>
      </c>
      <c r="AQ463" s="479">
        <f>AQ457/'Balance Sheet and Cflow'!$J215</f>
        <v>6.4533333333333331E-2</v>
      </c>
      <c r="AR463" s="479">
        <f>AR457/'Balance Sheet and Cflow'!$J215</f>
        <v>5.6533333333333331E-2</v>
      </c>
      <c r="AS463" s="479">
        <f>AS457/'Balance Sheet and Cflow'!$J215</f>
        <v>6.9199999999999998E-2</v>
      </c>
      <c r="AT463" s="479">
        <f>AT457/'Balance Sheet and Cflow'!$J215</f>
        <v>7.2533333333333339E-2</v>
      </c>
      <c r="AU463" s="480">
        <f>AU457/'Balance Sheet and Cflow'!K215</f>
        <v>0.26279999999999998</v>
      </c>
      <c r="AV463" s="480">
        <f>AV457/'Balance Sheet and Cflow'!L215</f>
        <v>6.6666666666666666E-2</v>
      </c>
      <c r="AW463" s="480">
        <f>AW457/'Balance Sheet and Cflow'!M215</f>
        <v>6.1755285073670722E-2</v>
      </c>
      <c r="AX463" s="480">
        <f>AX457/'Balance Sheet and Cflow'!N215</f>
        <v>7.1785028790786951E-2</v>
      </c>
      <c r="AY463" s="480">
        <f>AY457/'Balance Sheet and Cflow'!O215</f>
        <v>6.4940875679130719E-2</v>
      </c>
      <c r="AZ463" s="480">
        <f>AZ457/'Balance Sheet and Cflow'!P215</f>
        <v>0.26338658146964855</v>
      </c>
      <c r="BA463" s="480">
        <f>'[2]Profit and Loss Highlights'!AA79</f>
        <v>6.8000000000000005E-2</v>
      </c>
      <c r="BB463" s="480">
        <f>'[2]Profit and Loss Highlights'!AB79</f>
        <v>6.3733333333333336E-2</v>
      </c>
      <c r="BC463" s="480">
        <f>'[2]Profit and Loss Highlights'!AC79</f>
        <v>6.9066666666666665E-2</v>
      </c>
      <c r="BD463" s="480">
        <f>'[2]Profit and Loss Highlights'!AD79</f>
        <v>3.4533333333333333E-2</v>
      </c>
      <c r="BE463" s="358">
        <f>SUM(BA463:BD463)</f>
        <v>0.23533333333333334</v>
      </c>
      <c r="BF463" s="481">
        <f>'[2]Profit and Loss Highlights'!AE79</f>
        <v>5.1406649616368288E-2</v>
      </c>
      <c r="BG463" s="481">
        <f>'[2]Profit and Loss Highlights'!AF79</f>
        <v>4.9744245524296675E-2</v>
      </c>
      <c r="BH463" s="481">
        <f>'[2]Profit and Loss Highlights'!AG79</f>
        <v>4.6035805626598467E-2</v>
      </c>
      <c r="BI463" s="481">
        <f>'[2]Profit and Loss Highlights'!AH79</f>
        <v>4.3734015345268544E-2</v>
      </c>
      <c r="BJ463" s="358">
        <f>SUM(BF463:BI463)</f>
        <v>0.19092071611253197</v>
      </c>
      <c r="BK463" s="481">
        <f>'[2]Profit and Loss Highlights'!AI79</f>
        <v>4.5907928388746806E-2</v>
      </c>
      <c r="BL463" s="481">
        <f>'[2]Profit and Loss Highlights'!AJ79</f>
        <v>4.3094629156010228E-2</v>
      </c>
      <c r="BM463" s="481">
        <f>'[2]Profit and Loss Highlights'!AK79</f>
        <v>4.6419437340153455E-2</v>
      </c>
      <c r="BN463" s="481">
        <f>'[2]Profit and Loss Highlights'!AL79</f>
        <v>4.0792838874680305E-2</v>
      </c>
      <c r="BO463" s="358">
        <f>SUM(BK463:BN463)</f>
        <v>0.17621483375959077</v>
      </c>
      <c r="BP463" s="481">
        <f>'[2]Profit and Loss Highlights'!AM79</f>
        <v>4.271099744245524E-2</v>
      </c>
      <c r="BQ463" s="481">
        <f>'[2]Profit and Loss Highlights'!AN79</f>
        <v>4.6035805626598467E-2</v>
      </c>
      <c r="BR463" s="481">
        <f>'[2]Profit and Loss Highlights'!AO79</f>
        <v>4.1560102301790282E-2</v>
      </c>
      <c r="BS463" s="481">
        <f>'[2]Profit and Loss Highlights'!AP79</f>
        <v>3.6956521739130437E-2</v>
      </c>
      <c r="BT463" s="358">
        <f>SUM(BP463:BS463)</f>
        <v>0.16726342710997444</v>
      </c>
      <c r="BU463" s="482">
        <f>'[2]Profit and Loss Highlights'!AQ79</f>
        <v>3.6928188090978788E-2</v>
      </c>
      <c r="BV463" s="482">
        <f>'[2]Profit and Loss Highlights'!AR79</f>
        <v>4.1176470588235294E-2</v>
      </c>
      <c r="BW463" s="482">
        <f>'[2]Profit and Loss Highlights'!AS79</f>
        <v>3.938618925831202E-2</v>
      </c>
      <c r="BX463" s="482">
        <f>'[2]Profit and Loss Highlights'!AT79</f>
        <v>2.9667519181585677E-2</v>
      </c>
      <c r="BY463" s="358">
        <f>SUM(BU463:BX463)</f>
        <v>0.14715836711911176</v>
      </c>
      <c r="BZ463" s="482">
        <f>'[2]Profit and Loss Highlights'!AU79</f>
        <v>4.0920716112531973E-2</v>
      </c>
      <c r="CA463" s="482">
        <f>'[2]Profit and Loss Highlights'!AV79</f>
        <v>4.2071611253196931E-2</v>
      </c>
      <c r="CB463" s="482">
        <f>'[2]Profit and Loss Highlights'!AW79</f>
        <v>3.6700767263427109E-2</v>
      </c>
      <c r="CC463" s="482">
        <f>'[2]Profit and Loss Highlights'!AX79</f>
        <v>7.1611253196930949E-3</v>
      </c>
      <c r="CD463" s="358">
        <f>SUM(BZ463:CC463)</f>
        <v>0.1268542199488491</v>
      </c>
      <c r="CE463" s="358">
        <f t="shared" ref="CE463:CI463" si="1536">CE457/CE469</f>
        <v>0.18194617531596488</v>
      </c>
      <c r="CF463" s="358">
        <f t="shared" si="1536"/>
        <v>0.20511625041286358</v>
      </c>
      <c r="CG463" s="358">
        <f t="shared" si="1536"/>
        <v>0.22617229813557976</v>
      </c>
      <c r="CH463" s="358">
        <f t="shared" si="1536"/>
        <v>0.24597538128550339</v>
      </c>
      <c r="CI463" s="358">
        <f t="shared" si="1536"/>
        <v>0.26496969896391481</v>
      </c>
      <c r="CJ463" s="358">
        <f t="shared" ref="CJ463:CM463" si="1537">CJ457/CJ469</f>
        <v>0.2824879541450343</v>
      </c>
      <c r="CK463" s="358">
        <f t="shared" si="1537"/>
        <v>0.29895302121316658</v>
      </c>
      <c r="CL463" s="358">
        <f t="shared" si="1537"/>
        <v>0.31469546465592452</v>
      </c>
      <c r="CM463" s="358">
        <f t="shared" si="1537"/>
        <v>0.32996238260698779</v>
      </c>
      <c r="CN463" s="195"/>
      <c r="CO463" s="195"/>
      <c r="CP463" s="195"/>
      <c r="CQ463" s="195"/>
      <c r="CR463" s="195"/>
      <c r="CS463" s="195"/>
      <c r="CT463" s="195"/>
      <c r="CV463" s="445" t="s">
        <v>94</v>
      </c>
      <c r="CW463" s="196">
        <v>0.21860733588707568</v>
      </c>
      <c r="CX463" s="196">
        <v>0.20162148317440309</v>
      </c>
      <c r="CY463" s="196">
        <v>0.2037135776603686</v>
      </c>
      <c r="CZ463" s="196">
        <v>0.23019930389424159</v>
      </c>
      <c r="DA463" s="196">
        <v>0.24582949341168392</v>
      </c>
      <c r="DB463" s="196">
        <v>0.22172578298922058</v>
      </c>
      <c r="DC463" s="196" t="e">
        <f>DC462/(DC438-#REF!)</f>
        <v>#REF!</v>
      </c>
      <c r="DD463" s="196" t="e">
        <f>DD462/(DD438-#REF!)</f>
        <v>#REF!</v>
      </c>
      <c r="DE463" s="196" t="e">
        <f>DE462/(DE438-#REF!)</f>
        <v>#REF!</v>
      </c>
      <c r="EK463" s="353">
        <v>39992</v>
      </c>
      <c r="EL463" s="354">
        <v>1.0481</v>
      </c>
    </row>
    <row r="464" spans="1:142">
      <c r="A464" s="276" t="s">
        <v>100</v>
      </c>
      <c r="B464" s="479"/>
      <c r="C464" s="479"/>
      <c r="D464" s="479"/>
      <c r="E464" s="479"/>
      <c r="F464" s="479"/>
      <c r="G464" s="479"/>
      <c r="H464" s="479"/>
      <c r="I464" s="479"/>
      <c r="J464" s="479"/>
      <c r="K464" s="479"/>
      <c r="L464" s="479">
        <f t="shared" ref="L464:BD464" si="1538">L459/L469</f>
        <v>0.29759999999999998</v>
      </c>
      <c r="M464" s="479">
        <f t="shared" si="1538"/>
        <v>7.3599999999999999E-2</v>
      </c>
      <c r="N464" s="479">
        <f t="shared" si="1538"/>
        <v>7.0933333333333334E-2</v>
      </c>
      <c r="O464" s="479">
        <f t="shared" si="1538"/>
        <v>8.0133333333333334E-2</v>
      </c>
      <c r="P464" s="479">
        <f t="shared" si="1538"/>
        <v>8.1333333333333327E-2</v>
      </c>
      <c r="Q464" s="479">
        <f t="shared" si="1538"/>
        <v>0.30599999999999999</v>
      </c>
      <c r="R464" s="479">
        <f t="shared" si="1538"/>
        <v>7.1866666666666662E-2</v>
      </c>
      <c r="S464" s="479">
        <f t="shared" si="1538"/>
        <v>7.3599999999999999E-2</v>
      </c>
      <c r="T464" s="479">
        <f t="shared" si="1538"/>
        <v>7.173333333333333E-2</v>
      </c>
      <c r="U464" s="479">
        <f t="shared" si="1538"/>
        <v>0.12013333333333333</v>
      </c>
      <c r="V464" s="479">
        <f t="shared" si="1538"/>
        <v>0.33693333333333331</v>
      </c>
      <c r="W464" s="479">
        <f t="shared" si="1538"/>
        <v>7.6399999999999996E-2</v>
      </c>
      <c r="X464" s="479">
        <f t="shared" si="1538"/>
        <v>6.2133333333333332E-2</v>
      </c>
      <c r="Y464" s="479">
        <f t="shared" si="1538"/>
        <v>5.906666666666667E-2</v>
      </c>
      <c r="Z464" s="479">
        <f t="shared" si="1538"/>
        <v>5.04E-2</v>
      </c>
      <c r="AA464" s="479">
        <f t="shared" si="1538"/>
        <v>0.248</v>
      </c>
      <c r="AB464" s="479">
        <f t="shared" si="1538"/>
        <v>6.3466666666666671E-2</v>
      </c>
      <c r="AC464" s="479">
        <f t="shared" si="1538"/>
        <v>7.0666666666666669E-2</v>
      </c>
      <c r="AD464" s="479">
        <f t="shared" si="1538"/>
        <v>6.3200000000000006E-2</v>
      </c>
      <c r="AE464" s="479">
        <f t="shared" si="1538"/>
        <v>3.8933333333333334E-2</v>
      </c>
      <c r="AF464" s="479">
        <f t="shared" si="1538"/>
        <v>0.26453333333333334</v>
      </c>
      <c r="AG464" s="479">
        <f t="shared" si="1538"/>
        <v>6.5066666666666662E-2</v>
      </c>
      <c r="AH464" s="479">
        <f t="shared" si="1538"/>
        <v>6.013333333333333E-2</v>
      </c>
      <c r="AI464" s="479">
        <f t="shared" si="1538"/>
        <v>6.013333333333333E-2</v>
      </c>
      <c r="AJ464" s="479">
        <f t="shared" si="1538"/>
        <v>4.4666666666666667E-2</v>
      </c>
      <c r="AK464" s="479">
        <f t="shared" si="1538"/>
        <v>0.23</v>
      </c>
      <c r="AL464" s="479">
        <f t="shared" si="1538"/>
        <v>5.4933333333333334E-2</v>
      </c>
      <c r="AM464" s="479">
        <f t="shared" si="1538"/>
        <v>5.906666666666667E-2</v>
      </c>
      <c r="AN464" s="479">
        <f t="shared" si="1538"/>
        <v>5.6266666666666666E-2</v>
      </c>
      <c r="AO464" s="479">
        <f t="shared" si="1538"/>
        <v>6.2666666666666662E-2</v>
      </c>
      <c r="AP464" s="479">
        <f t="shared" si="1538"/>
        <v>0.23293333333333333</v>
      </c>
      <c r="AQ464" s="479">
        <f t="shared" si="1538"/>
        <v>6.933333333333333E-2</v>
      </c>
      <c r="AR464" s="479">
        <f t="shared" si="1538"/>
        <v>6.4399999999999999E-2</v>
      </c>
      <c r="AS464" s="479">
        <f t="shared" si="1538"/>
        <v>6.7333333333333328E-2</v>
      </c>
      <c r="AT464" s="479">
        <f t="shared" si="1538"/>
        <v>6.7333333333333328E-2</v>
      </c>
      <c r="AU464" s="479">
        <f t="shared" si="1538"/>
        <v>0.26840000000000003</v>
      </c>
      <c r="AV464" s="479">
        <f t="shared" si="1538"/>
        <v>6.7333333333333328E-2</v>
      </c>
      <c r="AW464" s="479">
        <f t="shared" si="1538"/>
        <v>7.6533333333333328E-2</v>
      </c>
      <c r="AX464" s="479">
        <f t="shared" si="1538"/>
        <v>7.2307692307692309E-2</v>
      </c>
      <c r="AY464" s="479">
        <f t="shared" si="1538"/>
        <v>6.9358974358974354E-2</v>
      </c>
      <c r="AZ464" s="479">
        <f t="shared" si="1538"/>
        <v>0.28000000000000003</v>
      </c>
      <c r="BA464" s="479">
        <f t="shared" si="1538"/>
        <v>6.7051282051282052E-2</v>
      </c>
      <c r="BB464" s="479">
        <f t="shared" si="1538"/>
        <v>6.1282051282051282E-2</v>
      </c>
      <c r="BC464" s="479">
        <f t="shared" si="1538"/>
        <v>6.5769230769230774E-2</v>
      </c>
      <c r="BD464" s="479">
        <f t="shared" si="1538"/>
        <v>3.405889884763124E-2</v>
      </c>
      <c r="BE464" s="358">
        <f>BE463</f>
        <v>0.23533333333333334</v>
      </c>
      <c r="BF464" s="483">
        <f t="shared" ref="BF464:BV464" si="1539">BF459/BF469</f>
        <v>5.2368758002560821E-2</v>
      </c>
      <c r="BG464" s="483">
        <f t="shared" si="1539"/>
        <v>5.0832266325224071E-2</v>
      </c>
      <c r="BH464" s="483">
        <f t="shared" si="1539"/>
        <v>4.5838668373879642E-2</v>
      </c>
      <c r="BI464" s="483">
        <f t="shared" si="1539"/>
        <v>4.5396419437340151E-2</v>
      </c>
      <c r="BJ464" s="484">
        <f t="shared" si="1539"/>
        <v>0.19424552429667519</v>
      </c>
      <c r="BK464" s="483">
        <f t="shared" si="1539"/>
        <v>4.5838668373879642E-2</v>
      </c>
      <c r="BL464" s="483">
        <f t="shared" si="1539"/>
        <v>4.3918053777208706E-2</v>
      </c>
      <c r="BM464" s="483">
        <f t="shared" si="1539"/>
        <v>4.6734955185659413E-2</v>
      </c>
      <c r="BN464" s="483">
        <f t="shared" si="1539"/>
        <v>4.0845070422535212E-2</v>
      </c>
      <c r="BO464" s="484">
        <f t="shared" si="1539"/>
        <v>0.17699680511182109</v>
      </c>
      <c r="BP464" s="483">
        <f t="shared" si="1539"/>
        <v>4.2765685019206148E-2</v>
      </c>
      <c r="BQ464" s="483">
        <f t="shared" si="1539"/>
        <v>4.6094750320102434E-2</v>
      </c>
      <c r="BR464" s="483">
        <f t="shared" si="1539"/>
        <v>4.1613316261203584E-2</v>
      </c>
      <c r="BS464" s="483">
        <f t="shared" si="1539"/>
        <v>3.7003841229193341E-2</v>
      </c>
      <c r="BT464" s="484">
        <f t="shared" si="1539"/>
        <v>0.15539936102236421</v>
      </c>
      <c r="BU464" s="485">
        <f t="shared" si="1539"/>
        <v>3.6909323116219667E-2</v>
      </c>
      <c r="BV464" s="485">
        <f t="shared" si="1539"/>
        <v>4.1123882503192849E-2</v>
      </c>
      <c r="BW464" s="485">
        <f t="shared" ref="BW464:BX464" si="1540">BW459/BW469</f>
        <v>3.9335887611749679E-2</v>
      </c>
      <c r="BX464" s="485">
        <f t="shared" si="1540"/>
        <v>2.9629629629629631E-2</v>
      </c>
      <c r="BY464" s="358">
        <f t="shared" ref="BY464:CI464" si="1541">BY463</f>
        <v>0.14715836711911176</v>
      </c>
      <c r="BZ464" s="485">
        <f t="shared" ref="BZ464:CA464" si="1542">BZ459/BZ469</f>
        <v>4.0868454661558112E-2</v>
      </c>
      <c r="CA464" s="485">
        <f t="shared" si="1542"/>
        <v>4.2017879948914434E-2</v>
      </c>
      <c r="CB464" s="485">
        <f t="shared" ref="CB464:CC464" si="1543">CB459/CB469</f>
        <v>3.6644535240040861E-2</v>
      </c>
      <c r="CC464" s="485">
        <f t="shared" si="1543"/>
        <v>7.1501532175689483E-3</v>
      </c>
      <c r="CD464" s="358">
        <f t="shared" ref="CD464" si="1544">CD463</f>
        <v>0.1268542199488491</v>
      </c>
      <c r="CE464" s="358">
        <f t="shared" si="1541"/>
        <v>0.18194617531596488</v>
      </c>
      <c r="CF464" s="358">
        <f t="shared" si="1541"/>
        <v>0.20511625041286358</v>
      </c>
      <c r="CG464" s="358">
        <f t="shared" si="1541"/>
        <v>0.22617229813557976</v>
      </c>
      <c r="CH464" s="358">
        <f t="shared" si="1541"/>
        <v>0.24597538128550339</v>
      </c>
      <c r="CI464" s="358">
        <f t="shared" si="1541"/>
        <v>0.26496969896391481</v>
      </c>
      <c r="CJ464" s="358">
        <f t="shared" ref="CJ464:CM464" si="1545">CJ463</f>
        <v>0.2824879541450343</v>
      </c>
      <c r="CK464" s="358">
        <f t="shared" si="1545"/>
        <v>0.29895302121316658</v>
      </c>
      <c r="CL464" s="358">
        <f t="shared" si="1545"/>
        <v>0.31469546465592452</v>
      </c>
      <c r="CM464" s="358">
        <f t="shared" si="1545"/>
        <v>0.32996238260698779</v>
      </c>
      <c r="CN464" s="195"/>
      <c r="CO464" s="195"/>
      <c r="CP464" s="195"/>
      <c r="CQ464" s="195"/>
      <c r="CR464" s="195"/>
      <c r="CS464" s="195"/>
      <c r="CT464" s="195"/>
      <c r="CV464" s="445"/>
      <c r="CW464" s="243"/>
      <c r="CX464" s="243"/>
      <c r="CY464" s="243"/>
      <c r="CZ464" s="243"/>
      <c r="DA464" s="243"/>
      <c r="DB464" s="243"/>
      <c r="DC464" s="243"/>
      <c r="DD464" s="243"/>
      <c r="DE464" s="243"/>
      <c r="EK464" s="353">
        <v>39995</v>
      </c>
      <c r="EL464" s="354">
        <v>1.0772999999999999</v>
      </c>
    </row>
    <row r="465" spans="1:142">
      <c r="A465" s="276"/>
      <c r="B465" s="484"/>
      <c r="C465" s="484"/>
      <c r="D465" s="484"/>
      <c r="E465" s="484"/>
      <c r="F465" s="484"/>
      <c r="G465" s="484"/>
      <c r="H465" s="484"/>
      <c r="I465" s="484"/>
      <c r="J465" s="484"/>
      <c r="K465" s="484"/>
      <c r="L465" s="484"/>
      <c r="M465" s="484"/>
      <c r="N465" s="484"/>
      <c r="O465" s="484"/>
      <c r="P465" s="484"/>
      <c r="Q465" s="484"/>
      <c r="R465" s="484"/>
      <c r="S465" s="484"/>
      <c r="T465" s="484"/>
      <c r="U465" s="484"/>
      <c r="V465" s="484"/>
      <c r="W465" s="484"/>
      <c r="X465" s="484"/>
      <c r="Y465" s="484"/>
      <c r="Z465" s="484"/>
      <c r="AA465" s="484"/>
      <c r="AB465" s="484"/>
      <c r="AC465" s="484"/>
      <c r="AD465" s="484"/>
      <c r="AE465" s="484"/>
      <c r="AF465" s="243">
        <f t="shared" ref="AF465:BD465" si="1546">AF463/AA463-1</f>
        <v>5.5193176116407505E-2</v>
      </c>
      <c r="AG465" s="243">
        <f t="shared" si="1546"/>
        <v>-0.75828985507246349</v>
      </c>
      <c r="AH465" s="243">
        <f t="shared" si="1546"/>
        <v>-0.89629433276008608</v>
      </c>
      <c r="AI465" s="243">
        <f t="shared" si="1546"/>
        <v>-0.94177083333333345</v>
      </c>
      <c r="AJ465" s="243">
        <f t="shared" si="1546"/>
        <v>-1.0052594059405939</v>
      </c>
      <c r="AK465" s="243">
        <f t="shared" si="1546"/>
        <v>-0.23558636516149445</v>
      </c>
      <c r="AL465" s="243">
        <f t="shared" si="1546"/>
        <v>0.16036523735288544</v>
      </c>
      <c r="AM465" s="243">
        <f t="shared" si="1546"/>
        <v>-0.143429947510335</v>
      </c>
      <c r="AN465" s="243">
        <f t="shared" si="1546"/>
        <v>2.4883720930232593</v>
      </c>
      <c r="AO465" s="243">
        <f t="shared" si="1546"/>
        <v>-13.801204819277354</v>
      </c>
      <c r="AP465" s="243">
        <f t="shared" si="1546"/>
        <v>0.28404339884527041</v>
      </c>
      <c r="AQ465" s="243">
        <f t="shared" si="1546"/>
        <v>2.5727994803200738</v>
      </c>
      <c r="AR465" s="243">
        <f t="shared" si="1546"/>
        <v>7.8554720133667519</v>
      </c>
      <c r="AS465" s="243">
        <f t="shared" si="1546"/>
        <v>3.4358974358974361</v>
      </c>
      <c r="AT465" s="243">
        <f t="shared" si="1546"/>
        <v>15</v>
      </c>
      <c r="AU465" s="243">
        <f t="shared" si="1546"/>
        <v>-4.5141047860037586E-2</v>
      </c>
      <c r="AV465" s="243">
        <f t="shared" si="1546"/>
        <v>3.3057851239669533E-2</v>
      </c>
      <c r="AW465" s="243">
        <f t="shared" si="1546"/>
        <v>9.2369429369175471E-2</v>
      </c>
      <c r="AX465" s="243">
        <f t="shared" si="1546"/>
        <v>3.7355907381314335E-2</v>
      </c>
      <c r="AY465" s="243">
        <f t="shared" si="1546"/>
        <v>-0.10467542721786693</v>
      </c>
      <c r="AZ465" s="243">
        <f t="shared" si="1546"/>
        <v>2.232045166090435E-3</v>
      </c>
      <c r="BA465" s="243">
        <f t="shared" si="1546"/>
        <v>2.0000000000000018E-2</v>
      </c>
      <c r="BB465" s="243">
        <f t="shared" si="1546"/>
        <v>3.2030428769018071E-2</v>
      </c>
      <c r="BC465" s="243">
        <f t="shared" si="1546"/>
        <v>-3.7868092691622168E-2</v>
      </c>
      <c r="BD465" s="243">
        <f t="shared" si="1546"/>
        <v>-0.46823425196850399</v>
      </c>
      <c r="BE465" s="484"/>
      <c r="BF465" s="243">
        <f t="shared" ref="BF465:CC465" si="1547">BF463/BA463-1</f>
        <v>-0.24401985858281938</v>
      </c>
      <c r="BG465" s="243">
        <f t="shared" si="1547"/>
        <v>-0.21949405558111912</v>
      </c>
      <c r="BH465" s="243">
        <f t="shared" si="1547"/>
        <v>-0.33345841274230015</v>
      </c>
      <c r="BI465" s="243">
        <f t="shared" si="1547"/>
        <v>0.26642901578962963</v>
      </c>
      <c r="BJ465" s="243">
        <f t="shared" si="1547"/>
        <v>-0.18872216949349019</v>
      </c>
      <c r="BK465" s="243">
        <f t="shared" si="1547"/>
        <v>-0.10696517412935325</v>
      </c>
      <c r="BL465" s="243">
        <f t="shared" si="1547"/>
        <v>-0.13367609254498714</v>
      </c>
      <c r="BM465" s="243">
        <f t="shared" si="1547"/>
        <v>8.3333333333333037E-3</v>
      </c>
      <c r="BN465" s="243">
        <f t="shared" si="1547"/>
        <v>-6.7251461988304118E-2</v>
      </c>
      <c r="BO465" s="243">
        <f t="shared" si="1547"/>
        <v>-7.7026121902210476E-2</v>
      </c>
      <c r="BP465" s="243">
        <f t="shared" si="1547"/>
        <v>-6.9637883008356716E-2</v>
      </c>
      <c r="BQ465" s="243">
        <f t="shared" si="1547"/>
        <v>6.8249258160237414E-2</v>
      </c>
      <c r="BR465" s="243">
        <f t="shared" si="1547"/>
        <v>-0.10468319559228656</v>
      </c>
      <c r="BS465" s="243">
        <f t="shared" si="1547"/>
        <v>-9.4043887147335359E-2</v>
      </c>
      <c r="BT465" s="243">
        <f t="shared" si="1547"/>
        <v>-5.0798258345427949E-2</v>
      </c>
      <c r="BU465" s="222">
        <f t="shared" si="1547"/>
        <v>-0.13539391954654445</v>
      </c>
      <c r="BV465" s="222">
        <f t="shared" si="1547"/>
        <v>-0.10555555555555562</v>
      </c>
      <c r="BW465" s="222">
        <f t="shared" si="1547"/>
        <v>-5.2307692307692388E-2</v>
      </c>
      <c r="BX465" s="222">
        <f t="shared" si="1547"/>
        <v>-0.19723183391003463</v>
      </c>
      <c r="BY465" s="484"/>
      <c r="BZ465" s="222">
        <f t="shared" si="1547"/>
        <v>0.10811600102655783</v>
      </c>
      <c r="CA465" s="222">
        <f t="shared" si="1547"/>
        <v>2.1739130434782705E-2</v>
      </c>
      <c r="CB465" s="222">
        <f t="shared" si="1547"/>
        <v>-6.8181818181818232E-2</v>
      </c>
      <c r="CC465" s="222">
        <f t="shared" si="1547"/>
        <v>-0.75862068965517238</v>
      </c>
      <c r="CD465" s="484"/>
      <c r="CE465" s="484"/>
      <c r="CF465" s="484"/>
      <c r="CG465" s="484"/>
      <c r="CH465" s="484"/>
      <c r="CI465" s="484"/>
      <c r="CJ465" s="484"/>
      <c r="CK465" s="484"/>
      <c r="CL465" s="484"/>
      <c r="CM465" s="484"/>
      <c r="CN465" s="195"/>
      <c r="CO465" s="195"/>
      <c r="CP465" s="195"/>
      <c r="CQ465" s="195"/>
      <c r="CR465" s="195"/>
      <c r="CS465" s="195"/>
      <c r="CT465" s="195"/>
      <c r="CV465" s="445"/>
      <c r="CW465" s="243"/>
      <c r="CX465" s="243"/>
      <c r="CY465" s="243"/>
      <c r="CZ465" s="243"/>
      <c r="DA465" s="243"/>
      <c r="DB465" s="243"/>
      <c r="DC465" s="243"/>
      <c r="DD465" s="243"/>
      <c r="DE465" s="243"/>
      <c r="EK465" s="353">
        <v>39996</v>
      </c>
      <c r="EL465" s="354">
        <v>1.075</v>
      </c>
    </row>
    <row r="466" spans="1:142" s="283" customFormat="1">
      <c r="A466" s="486" t="s">
        <v>101</v>
      </c>
      <c r="B466" s="479"/>
      <c r="C466" s="479"/>
      <c r="D466" s="479"/>
      <c r="E466" s="479"/>
      <c r="F466" s="479"/>
      <c r="G466" s="479"/>
      <c r="H466" s="479"/>
      <c r="I466" s="479"/>
      <c r="J466" s="479"/>
      <c r="K466" s="479"/>
      <c r="L466" s="479">
        <v>0.09</v>
      </c>
      <c r="M466" s="479"/>
      <c r="N466" s="479"/>
      <c r="O466" s="479"/>
      <c r="P466" s="479"/>
      <c r="Q466" s="479">
        <v>0.4</v>
      </c>
      <c r="R466" s="479"/>
      <c r="S466" s="479"/>
      <c r="T466" s="479"/>
      <c r="U466" s="479"/>
      <c r="V466" s="479">
        <v>0.4</v>
      </c>
      <c r="W466" s="479"/>
      <c r="X466" s="479"/>
      <c r="Y466" s="479"/>
      <c r="Z466" s="479"/>
      <c r="AA466" s="479">
        <v>0.4</v>
      </c>
      <c r="AB466" s="479">
        <v>0.08</v>
      </c>
      <c r="AC466" s="479">
        <v>0.08</v>
      </c>
      <c r="AD466" s="479">
        <v>0.08</v>
      </c>
      <c r="AE466" s="479">
        <v>0.15999999999999998</v>
      </c>
      <c r="AF466" s="479">
        <v>0.4</v>
      </c>
      <c r="AG466" s="479">
        <v>0.08</v>
      </c>
      <c r="AH466" s="479">
        <v>0.08</v>
      </c>
      <c r="AI466" s="479">
        <v>8.0000000000000029E-2</v>
      </c>
      <c r="AJ466" s="479">
        <v>0.16</v>
      </c>
      <c r="AK466" s="479">
        <v>0.4</v>
      </c>
      <c r="AL466" s="479">
        <v>0.05</v>
      </c>
      <c r="AM466" s="479">
        <v>0.05</v>
      </c>
      <c r="AN466" s="479">
        <v>0.05</v>
      </c>
      <c r="AO466" s="479">
        <v>0.05</v>
      </c>
      <c r="AP466" s="479">
        <v>0.2</v>
      </c>
      <c r="AQ466" s="479">
        <v>0.05</v>
      </c>
      <c r="AR466" s="479">
        <v>0.05</v>
      </c>
      <c r="AS466" s="479">
        <v>0.05</v>
      </c>
      <c r="AT466" s="479">
        <v>0.05</v>
      </c>
      <c r="AU466" s="479">
        <f>0.2</f>
        <v>0.2</v>
      </c>
      <c r="AV466" s="479">
        <v>0.05</v>
      </c>
      <c r="AW466" s="479">
        <v>0.05</v>
      </c>
      <c r="AX466" s="479">
        <f>'[2]Profit and Loss Highlights'!Y76</f>
        <v>561</v>
      </c>
      <c r="AY466" s="479">
        <f>'[2]Profit and Loss Highlights'!Z76</f>
        <v>520</v>
      </c>
      <c r="AZ466" s="479">
        <f>0.2</f>
        <v>0.2</v>
      </c>
      <c r="BA466" s="479">
        <f>'[2]Profit and Loss Highlights'!AA80</f>
        <v>0.05</v>
      </c>
      <c r="BB466" s="479">
        <f>'[2]Profit and Loss Highlights'!AB80</f>
        <v>0.05</v>
      </c>
      <c r="BC466" s="479">
        <f>'[2]Profit and Loss Highlights'!AC80</f>
        <v>0.05</v>
      </c>
      <c r="BD466" s="479">
        <f>'[2]Profit and Loss Highlights'!AD80</f>
        <v>0.05</v>
      </c>
      <c r="BE466" s="487">
        <f>SUM(BA466:BD466)</f>
        <v>0.2</v>
      </c>
      <c r="BF466" s="479">
        <f>'[2]Profit and Loss Highlights'!AE80</f>
        <v>0.05</v>
      </c>
      <c r="BG466" s="479">
        <f>'[2]Profit and Loss Highlights'!AF80</f>
        <v>0.05</v>
      </c>
      <c r="BH466" s="479">
        <f>'[2]Profit and Loss Highlights'!AG80</f>
        <v>0.05</v>
      </c>
      <c r="BI466" s="479">
        <f>'[2]Profit and Loss Highlights'!AH80</f>
        <v>0.05</v>
      </c>
      <c r="BJ466" s="487">
        <f>SUM(BF466:BI466)</f>
        <v>0.2</v>
      </c>
      <c r="BK466" s="479">
        <f>'[2]Profit and Loss Highlights'!AI80</f>
        <v>0.04</v>
      </c>
      <c r="BL466" s="479">
        <f>'[2]Profit and Loss Highlights'!AJ80</f>
        <v>0.04</v>
      </c>
      <c r="BM466" s="479">
        <f>'[2]Profit and Loss Highlights'!AK80</f>
        <v>0.04</v>
      </c>
      <c r="BN466" s="479">
        <f>'[2]Profit and Loss Highlights'!AL80</f>
        <v>0.05</v>
      </c>
      <c r="BO466" s="487">
        <f>SUM(BK466:BN466)</f>
        <v>0.16999999999999998</v>
      </c>
      <c r="BP466" s="479">
        <f>'[2]Profit and Loss Highlights'!AM80</f>
        <v>0.04</v>
      </c>
      <c r="BQ466" s="479">
        <f>'[2]Profit and Loss Highlights'!AN80</f>
        <v>0.04</v>
      </c>
      <c r="BR466" s="479">
        <f>'[2]Profit and Loss Highlights'!AO80</f>
        <v>0.04</v>
      </c>
      <c r="BS466" s="479">
        <f>'[2]Profit and Loss Highlights'!AP80</f>
        <v>0.05</v>
      </c>
      <c r="BT466" s="487">
        <f>SUM(BP466:BS466)</f>
        <v>0.16999999999999998</v>
      </c>
      <c r="BU466" s="488">
        <f>'[2]Profit and Loss Highlights'!AQ80</f>
        <v>0.05</v>
      </c>
      <c r="BV466" s="488">
        <f>'[2]Profit and Loss Highlights'!AR80</f>
        <v>0.05</v>
      </c>
      <c r="BW466" s="488">
        <f>'[2]Profit and Loss Highlights'!AS80</f>
        <v>0.05</v>
      </c>
      <c r="BX466" s="488">
        <f>'[2]Profit and Loss Highlights'!AT80</f>
        <v>0.05</v>
      </c>
      <c r="BY466" s="487">
        <f>SUM(BU466:BX466)</f>
        <v>0.2</v>
      </c>
      <c r="BZ466" s="488">
        <f>'[2]Profit and Loss Highlights'!AU80</f>
        <v>0.04</v>
      </c>
      <c r="CA466" s="488">
        <f>'[2]Profit and Loss Highlights'!AV80</f>
        <v>0.04</v>
      </c>
      <c r="CB466" s="488">
        <f>'[2]Profit and Loss Highlights'!AW80</f>
        <v>0.04</v>
      </c>
      <c r="CC466" s="488">
        <f>'[2]Profit and Loss Highlights'!AX80</f>
        <v>0.04</v>
      </c>
      <c r="CD466" s="487">
        <f>SUM(BZ466:CC466)</f>
        <v>0.16</v>
      </c>
      <c r="CE466" s="479">
        <f t="shared" ref="CE466:CI466" si="1548">CE467*CE463</f>
        <v>0.17830725180964557</v>
      </c>
      <c r="CF466" s="479">
        <f t="shared" si="1548"/>
        <v>0.2010139254046063</v>
      </c>
      <c r="CG466" s="479">
        <f t="shared" si="1548"/>
        <v>0.22164885217286817</v>
      </c>
      <c r="CH466" s="479">
        <f t="shared" si="1548"/>
        <v>0.24105587365979331</v>
      </c>
      <c r="CI466" s="479">
        <f t="shared" si="1548"/>
        <v>0.2596703049846365</v>
      </c>
      <c r="CJ466" s="479">
        <f t="shared" ref="CJ466:CL466" si="1549">CJ467*CJ463</f>
        <v>0.27683819506213359</v>
      </c>
      <c r="CK466" s="479">
        <f t="shared" si="1549"/>
        <v>0.29297396078890325</v>
      </c>
      <c r="CL466" s="479">
        <f t="shared" si="1549"/>
        <v>0.308401555362806</v>
      </c>
      <c r="CM466" s="479">
        <f t="shared" ref="CM466" si="1550">CM467*CM463</f>
        <v>0.32336313495484803</v>
      </c>
      <c r="CV466" s="489" t="s">
        <v>95</v>
      </c>
      <c r="CW466" s="490">
        <v>1.0620009394081729</v>
      </c>
      <c r="CX466" s="490">
        <v>1.0696087352138306</v>
      </c>
      <c r="CY466" s="490">
        <v>1.106356495450769</v>
      </c>
      <c r="CZ466" s="490">
        <v>1.1276682875077053</v>
      </c>
      <c r="DA466" s="490">
        <v>1.0688391502869581</v>
      </c>
      <c r="DB466" s="490">
        <v>1.0995195344844308</v>
      </c>
      <c r="DC466" s="490" t="e">
        <f>DC455/'Balance Sheet and Cflow'!AV78</f>
        <v>#REF!</v>
      </c>
      <c r="DD466" s="490" t="e">
        <f>DD455/'Balance Sheet and Cflow'!AW78</f>
        <v>#REF!</v>
      </c>
      <c r="DE466" s="490" t="e">
        <f>DE455/'Balance Sheet and Cflow'!AX78</f>
        <v>#REF!</v>
      </c>
      <c r="EK466" s="353">
        <v>39997</v>
      </c>
      <c r="EL466" s="354">
        <v>1.0735999999999999</v>
      </c>
    </row>
    <row r="467" spans="1:142">
      <c r="A467" s="276" t="s">
        <v>285</v>
      </c>
      <c r="B467" s="261"/>
      <c r="C467" s="261"/>
      <c r="D467" s="261"/>
      <c r="E467" s="261"/>
      <c r="F467" s="261"/>
      <c r="G467" s="261"/>
      <c r="H467" s="261" t="e">
        <f>H463/H466</f>
        <v>#DIV/0!</v>
      </c>
      <c r="I467" s="261" t="e">
        <f>I463/I466</f>
        <v>#DIV/0!</v>
      </c>
      <c r="J467" s="261" t="e">
        <f>J463/J466</f>
        <v>#DIV/0!</v>
      </c>
      <c r="K467" s="261" t="e">
        <f>K463/K466</f>
        <v>#DIV/0!</v>
      </c>
      <c r="L467" s="261">
        <f t="shared" ref="L467:BF467" si="1551">L466/L463</f>
        <v>0.30241935483870969</v>
      </c>
      <c r="M467" s="261">
        <f t="shared" si="1551"/>
        <v>0</v>
      </c>
      <c r="N467" s="261">
        <f t="shared" si="1551"/>
        <v>0</v>
      </c>
      <c r="O467" s="261">
        <f t="shared" si="1551"/>
        <v>0</v>
      </c>
      <c r="P467" s="261">
        <f t="shared" si="1551"/>
        <v>0</v>
      </c>
      <c r="Q467" s="261">
        <f t="shared" si="1551"/>
        <v>1.3071895424836601</v>
      </c>
      <c r="R467" s="261">
        <f t="shared" si="1551"/>
        <v>0</v>
      </c>
      <c r="S467" s="261">
        <f t="shared" si="1551"/>
        <v>0</v>
      </c>
      <c r="T467" s="261">
        <f t="shared" si="1551"/>
        <v>0</v>
      </c>
      <c r="U467" s="261">
        <f t="shared" si="1551"/>
        <v>0</v>
      </c>
      <c r="V467" s="261">
        <f t="shared" si="1551"/>
        <v>1.1853022520742789</v>
      </c>
      <c r="W467" s="261">
        <f t="shared" si="1551"/>
        <v>0</v>
      </c>
      <c r="X467" s="261">
        <f t="shared" si="1551"/>
        <v>0</v>
      </c>
      <c r="Y467" s="261">
        <f t="shared" si="1551"/>
        <v>0</v>
      </c>
      <c r="Z467" s="261">
        <f t="shared" si="1551"/>
        <v>0</v>
      </c>
      <c r="AA467" s="261">
        <f t="shared" si="1551"/>
        <v>1.5052684395383844</v>
      </c>
      <c r="AB467" s="261">
        <f t="shared" si="1551"/>
        <v>1.2422360248447206</v>
      </c>
      <c r="AC467" s="261">
        <f t="shared" si="1551"/>
        <v>1.1131725417439704</v>
      </c>
      <c r="AD467" s="261">
        <f t="shared" si="1551"/>
        <v>1.0416666666666667</v>
      </c>
      <c r="AE467" s="261">
        <f t="shared" si="1551"/>
        <v>2.3762376237623761</v>
      </c>
      <c r="AF467" s="261">
        <f t="shared" si="1551"/>
        <v>1.4265335235378034</v>
      </c>
      <c r="AG467" s="261">
        <f t="shared" si="1551"/>
        <v>5.1393623764411585</v>
      </c>
      <c r="AH467" s="261">
        <f t="shared" si="1551"/>
        <v>10.733960557514601</v>
      </c>
      <c r="AI467" s="261">
        <f t="shared" si="1551"/>
        <v>17.889087656529544</v>
      </c>
      <c r="AJ467" s="261">
        <f t="shared" si="1551"/>
        <v>-451.80722891567132</v>
      </c>
      <c r="AK467" s="261">
        <f t="shared" si="1551"/>
        <v>1.86618011312577</v>
      </c>
      <c r="AL467" s="261">
        <f t="shared" si="1551"/>
        <v>2.7681814155372475</v>
      </c>
      <c r="AM467" s="261">
        <f t="shared" si="1551"/>
        <v>7.8320802005012551</v>
      </c>
      <c r="AN467" s="261">
        <f t="shared" si="1551"/>
        <v>3.2051282051282053</v>
      </c>
      <c r="AO467" s="261">
        <f t="shared" si="1551"/>
        <v>11.029411764705882</v>
      </c>
      <c r="AP467" s="261">
        <f t="shared" si="1551"/>
        <v>0.72668108990864733</v>
      </c>
      <c r="AQ467" s="261">
        <f t="shared" si="1551"/>
        <v>0.77479338842975209</v>
      </c>
      <c r="AR467" s="261">
        <f t="shared" si="1551"/>
        <v>0.88443396226415105</v>
      </c>
      <c r="AS467" s="261">
        <f t="shared" si="1551"/>
        <v>0.7225433526011561</v>
      </c>
      <c r="AT467" s="261">
        <f t="shared" si="1551"/>
        <v>0.68933823529411764</v>
      </c>
      <c r="AU467" s="491">
        <f t="shared" si="1551"/>
        <v>0.76103500761035014</v>
      </c>
      <c r="AV467" s="491">
        <f t="shared" si="1551"/>
        <v>0.75</v>
      </c>
      <c r="AW467" s="491">
        <f t="shared" si="1551"/>
        <v>0.80964730290456433</v>
      </c>
      <c r="AX467" s="491">
        <f t="shared" si="1551"/>
        <v>7815</v>
      </c>
      <c r="AY467" s="491">
        <f t="shared" si="1551"/>
        <v>8007.2834645669282</v>
      </c>
      <c r="AZ467" s="491">
        <f t="shared" si="1551"/>
        <v>0.75934012615235336</v>
      </c>
      <c r="BA467" s="491">
        <f t="shared" si="1551"/>
        <v>0.73529411764705876</v>
      </c>
      <c r="BB467" s="491">
        <f t="shared" si="1551"/>
        <v>0.78451882845188281</v>
      </c>
      <c r="BC467" s="491">
        <f t="shared" si="1551"/>
        <v>0.72393822393822405</v>
      </c>
      <c r="BD467" s="491">
        <f t="shared" si="1551"/>
        <v>1.4478764478764481</v>
      </c>
      <c r="BE467" s="491">
        <f t="shared" si="1551"/>
        <v>0.84985835694050993</v>
      </c>
      <c r="BF467" s="261">
        <f t="shared" si="1551"/>
        <v>0.97263681592039808</v>
      </c>
      <c r="BG467" s="261">
        <f t="shared" ref="BG467:BV467" si="1552">BG466/BG463</f>
        <v>1.0051413881748072</v>
      </c>
      <c r="BH467" s="261">
        <f t="shared" si="1552"/>
        <v>1.0861111111111112</v>
      </c>
      <c r="BI467" s="261">
        <f t="shared" si="1552"/>
        <v>1.1432748538011697</v>
      </c>
      <c r="BJ467" s="261">
        <f t="shared" si="1552"/>
        <v>1.0475552578700602</v>
      </c>
      <c r="BK467" s="261">
        <f t="shared" si="1552"/>
        <v>0.87130919220055703</v>
      </c>
      <c r="BL467" s="261">
        <f t="shared" si="1552"/>
        <v>0.92818991097922854</v>
      </c>
      <c r="BM467" s="261">
        <f t="shared" si="1552"/>
        <v>0.86170798898071621</v>
      </c>
      <c r="BN467" s="261">
        <f t="shared" si="1552"/>
        <v>1.2257053291536051</v>
      </c>
      <c r="BO467" s="261">
        <f t="shared" si="1552"/>
        <v>0.96473149492017418</v>
      </c>
      <c r="BP467" s="261">
        <f t="shared" si="1552"/>
        <v>0.93652694610778453</v>
      </c>
      <c r="BQ467" s="261">
        <f t="shared" si="1552"/>
        <v>0.86888888888888893</v>
      </c>
      <c r="BR467" s="261">
        <f t="shared" si="1552"/>
        <v>0.96246153846153848</v>
      </c>
      <c r="BS467" s="261">
        <f t="shared" si="1552"/>
        <v>1.3529411764705883</v>
      </c>
      <c r="BT467" s="261">
        <f t="shared" si="1552"/>
        <v>1.0163608562691129</v>
      </c>
      <c r="BU467" s="492">
        <f t="shared" si="1552"/>
        <v>1.3539792387543255</v>
      </c>
      <c r="BV467" s="492">
        <f t="shared" si="1552"/>
        <v>1.2142857142857144</v>
      </c>
      <c r="BW467" s="492">
        <f t="shared" ref="BW467:BY467" si="1553">BW466/BW463</f>
        <v>1.2694805194805197</v>
      </c>
      <c r="BX467" s="492">
        <f t="shared" si="1553"/>
        <v>1.6853448275862071</v>
      </c>
      <c r="BY467" s="492">
        <f t="shared" si="1553"/>
        <v>1.3590800435976407</v>
      </c>
      <c r="BZ467" s="492">
        <f t="shared" ref="BZ467:CA467" si="1554">BZ466/BZ463</f>
        <v>0.97749999999999992</v>
      </c>
      <c r="CA467" s="492">
        <f t="shared" si="1554"/>
        <v>0.95075987841945286</v>
      </c>
      <c r="CB467" s="492">
        <f t="shared" ref="CB467:CD467" si="1555">CB466/CB463</f>
        <v>1.0898954703832753</v>
      </c>
      <c r="CC467" s="492">
        <f t="shared" si="1555"/>
        <v>5.5857142857142854</v>
      </c>
      <c r="CD467" s="492">
        <f t="shared" si="1555"/>
        <v>1.2612903225806453</v>
      </c>
      <c r="CE467" s="493">
        <v>0.98</v>
      </c>
      <c r="CF467" s="493">
        <v>0.98</v>
      </c>
      <c r="CG467" s="493">
        <v>0.98</v>
      </c>
      <c r="CH467" s="493">
        <v>0.98</v>
      </c>
      <c r="CI467" s="493">
        <v>0.98</v>
      </c>
      <c r="CJ467" s="493">
        <v>0.98</v>
      </c>
      <c r="CK467" s="493">
        <v>0.98</v>
      </c>
      <c r="CL467" s="493">
        <v>0.98</v>
      </c>
      <c r="CM467" s="493">
        <v>0.98</v>
      </c>
      <c r="CN467" s="195"/>
      <c r="CO467" s="195"/>
      <c r="CP467" s="195"/>
      <c r="CQ467" s="195"/>
      <c r="CR467" s="195"/>
      <c r="CS467" s="195"/>
      <c r="CT467" s="195"/>
      <c r="CV467" s="467" t="s">
        <v>96</v>
      </c>
      <c r="CW467" s="468">
        <v>23.2</v>
      </c>
      <c r="CX467" s="468">
        <v>26.5</v>
      </c>
      <c r="CY467" s="470">
        <v>26.350842499206184</v>
      </c>
      <c r="CZ467" s="470">
        <v>25.090190805913036</v>
      </c>
      <c r="DA467" s="470">
        <v>22.915051486445734</v>
      </c>
      <c r="DB467" s="470">
        <v>21.395565794611922</v>
      </c>
      <c r="DC467" s="470">
        <f>-1*'Balance Sheet and Cflow'!AV134</f>
        <v>0</v>
      </c>
      <c r="DD467" s="470">
        <f>-1*'Balance Sheet and Cflow'!AW134</f>
        <v>0</v>
      </c>
      <c r="DE467" s="470">
        <f>-1*'Balance Sheet and Cflow'!AX134</f>
        <v>0</v>
      </c>
      <c r="EK467" s="353">
        <v>39998</v>
      </c>
      <c r="EL467" s="354">
        <v>1.0765</v>
      </c>
    </row>
    <row r="468" spans="1:142">
      <c r="A468" s="200" t="s">
        <v>1</v>
      </c>
      <c r="BE468" s="200">
        <v>0.2</v>
      </c>
      <c r="EK468" s="353">
        <v>39999</v>
      </c>
      <c r="EL468" s="354">
        <v>1.0926</v>
      </c>
    </row>
    <row r="469" spans="1:142">
      <c r="A469" s="265" t="s">
        <v>611</v>
      </c>
      <c r="B469" s="202"/>
      <c r="C469" s="202"/>
      <c r="D469" s="202"/>
      <c r="E469" s="202"/>
      <c r="F469" s="202"/>
      <c r="G469" s="202"/>
      <c r="H469" s="202">
        <v>7500</v>
      </c>
      <c r="I469" s="202">
        <v>7500</v>
      </c>
      <c r="J469" s="202">
        <v>7500</v>
      </c>
      <c r="K469" s="202">
        <v>7500</v>
      </c>
      <c r="L469" s="202">
        <v>7500</v>
      </c>
      <c r="M469" s="202">
        <v>7500</v>
      </c>
      <c r="N469" s="202">
        <v>7500</v>
      </c>
      <c r="O469" s="202">
        <v>7500</v>
      </c>
      <c r="P469" s="202">
        <v>7500</v>
      </c>
      <c r="Q469" s="202">
        <v>7500</v>
      </c>
      <c r="R469" s="202">
        <v>7500</v>
      </c>
      <c r="S469" s="202">
        <v>7500</v>
      </c>
      <c r="T469" s="202">
        <v>7500</v>
      </c>
      <c r="U469" s="202">
        <v>7500</v>
      </c>
      <c r="V469" s="202">
        <v>7500</v>
      </c>
      <c r="W469" s="202">
        <v>7500</v>
      </c>
      <c r="X469" s="202">
        <v>7500</v>
      </c>
      <c r="Y469" s="202">
        <v>7500</v>
      </c>
      <c r="Z469" s="202">
        <v>7500</v>
      </c>
      <c r="AA469" s="202">
        <v>7500</v>
      </c>
      <c r="AB469" s="202">
        <v>7500</v>
      </c>
      <c r="AC469" s="202">
        <v>7500</v>
      </c>
      <c r="AD469" s="202">
        <v>7500</v>
      </c>
      <c r="AE469" s="202">
        <v>7500</v>
      </c>
      <c r="AF469" s="202">
        <v>7500</v>
      </c>
      <c r="AG469" s="202">
        <v>7500</v>
      </c>
      <c r="AH469" s="202">
        <v>7500</v>
      </c>
      <c r="AI469" s="202">
        <v>7500</v>
      </c>
      <c r="AJ469" s="202">
        <v>7500</v>
      </c>
      <c r="AK469" s="202">
        <v>7500</v>
      </c>
      <c r="AL469" s="202">
        <v>7500</v>
      </c>
      <c r="AM469" s="202">
        <v>7500</v>
      </c>
      <c r="AN469" s="202">
        <v>7500</v>
      </c>
      <c r="AO469" s="202">
        <v>7500</v>
      </c>
      <c r="AP469" s="202">
        <v>7500</v>
      </c>
      <c r="AQ469" s="202">
        <f t="shared" ref="AQ469:AW469" si="1556">AP469</f>
        <v>7500</v>
      </c>
      <c r="AR469" s="202">
        <f t="shared" si="1556"/>
        <v>7500</v>
      </c>
      <c r="AS469" s="202">
        <f t="shared" si="1556"/>
        <v>7500</v>
      </c>
      <c r="AT469" s="202">
        <f t="shared" si="1556"/>
        <v>7500</v>
      </c>
      <c r="AU469" s="202">
        <f t="shared" si="1556"/>
        <v>7500</v>
      </c>
      <c r="AV469" s="202">
        <f t="shared" si="1556"/>
        <v>7500</v>
      </c>
      <c r="AW469" s="202">
        <f t="shared" si="1556"/>
        <v>7500</v>
      </c>
      <c r="AX469" s="202">
        <v>7800</v>
      </c>
      <c r="AY469" s="360">
        <v>7800</v>
      </c>
      <c r="AZ469" s="202">
        <f>AY469</f>
        <v>7800</v>
      </c>
      <c r="BA469" s="360">
        <v>7800</v>
      </c>
      <c r="BB469" s="360">
        <v>7800</v>
      </c>
      <c r="BC469" s="360">
        <v>7800</v>
      </c>
      <c r="BD469" s="360">
        <v>7810</v>
      </c>
      <c r="BE469" s="202">
        <f>BD469</f>
        <v>7810</v>
      </c>
      <c r="BF469" s="360">
        <v>7810</v>
      </c>
      <c r="BG469" s="360">
        <v>7810</v>
      </c>
      <c r="BH469" s="360">
        <v>7810</v>
      </c>
      <c r="BI469" s="360">
        <v>7820</v>
      </c>
      <c r="BJ469" s="202">
        <f>BI469</f>
        <v>7820</v>
      </c>
      <c r="BK469" s="360">
        <v>7810</v>
      </c>
      <c r="BL469" s="360">
        <v>7810</v>
      </c>
      <c r="BM469" s="360">
        <v>7810</v>
      </c>
      <c r="BN469" s="360">
        <v>7810</v>
      </c>
      <c r="BO469" s="202">
        <v>7825</v>
      </c>
      <c r="BP469" s="360">
        <v>7810</v>
      </c>
      <c r="BQ469" s="360">
        <v>7810</v>
      </c>
      <c r="BR469" s="360">
        <v>7810</v>
      </c>
      <c r="BS469" s="360">
        <v>7810</v>
      </c>
      <c r="BT469" s="202">
        <v>7825</v>
      </c>
      <c r="BU469" s="360">
        <v>7830</v>
      </c>
      <c r="BV469" s="360">
        <v>7830</v>
      </c>
      <c r="BW469" s="360">
        <v>7830</v>
      </c>
      <c r="BX469" s="360">
        <v>7830</v>
      </c>
      <c r="BY469" s="202">
        <v>7828</v>
      </c>
      <c r="BZ469" s="360">
        <v>7830</v>
      </c>
      <c r="CA469" s="360">
        <v>7830</v>
      </c>
      <c r="CB469" s="360">
        <v>7832</v>
      </c>
      <c r="CC469" s="360">
        <v>7832</v>
      </c>
      <c r="CD469" s="202">
        <f>CC469</f>
        <v>7832</v>
      </c>
      <c r="CE469" s="360">
        <f t="shared" ref="CE469:CI469" si="1557">CD469</f>
        <v>7832</v>
      </c>
      <c r="CF469" s="360">
        <f t="shared" si="1557"/>
        <v>7832</v>
      </c>
      <c r="CG469" s="360">
        <f t="shared" si="1557"/>
        <v>7832</v>
      </c>
      <c r="CH469" s="360">
        <f t="shared" si="1557"/>
        <v>7832</v>
      </c>
      <c r="CI469" s="360">
        <f t="shared" si="1557"/>
        <v>7832</v>
      </c>
      <c r="CJ469" s="360">
        <f t="shared" ref="CJ469" si="1558">CI469</f>
        <v>7832</v>
      </c>
      <c r="CK469" s="360">
        <f t="shared" ref="CK469" si="1559">CJ469</f>
        <v>7832</v>
      </c>
      <c r="CL469" s="360">
        <f t="shared" ref="CL469:CM469" si="1560">CK469</f>
        <v>7832</v>
      </c>
      <c r="CM469" s="360">
        <f t="shared" si="1560"/>
        <v>7832</v>
      </c>
      <c r="EK469" s="353">
        <v>40000</v>
      </c>
      <c r="EL469" s="354">
        <v>1.0791999999999999</v>
      </c>
    </row>
    <row r="470" spans="1:142">
      <c r="B470" s="465"/>
      <c r="C470" s="465"/>
      <c r="D470" s="465"/>
      <c r="E470" s="465"/>
      <c r="F470" s="465"/>
      <c r="G470" s="465"/>
      <c r="H470" s="465"/>
      <c r="I470" s="465"/>
      <c r="J470" s="465"/>
      <c r="K470" s="465"/>
      <c r="L470" s="465"/>
      <c r="M470" s="465"/>
      <c r="N470" s="465"/>
      <c r="O470" s="465"/>
      <c r="P470" s="465"/>
      <c r="Q470" s="465"/>
      <c r="R470" s="465"/>
      <c r="S470" s="465"/>
      <c r="T470" s="465"/>
      <c r="U470" s="465"/>
      <c r="V470" s="465"/>
      <c r="W470" s="465"/>
      <c r="X470" s="465"/>
      <c r="Y470" s="465"/>
      <c r="Z470" s="465"/>
      <c r="AA470" s="465"/>
      <c r="AB470" s="465"/>
      <c r="AC470" s="465"/>
      <c r="AD470" s="465"/>
      <c r="AE470" s="465"/>
      <c r="AF470" s="465"/>
      <c r="AG470" s="465"/>
      <c r="AH470" s="465"/>
      <c r="AI470" s="465"/>
      <c r="AJ470" s="465"/>
      <c r="AK470" s="465"/>
      <c r="AL470" s="465"/>
      <c r="AM470" s="465"/>
      <c r="AN470" s="465"/>
      <c r="AO470" s="465"/>
      <c r="AP470" s="465"/>
      <c r="AQ470" s="465"/>
      <c r="AR470" s="465"/>
      <c r="AS470" s="465"/>
      <c r="EK470" s="353">
        <v>40001</v>
      </c>
      <c r="EL470" s="354">
        <v>1.0871</v>
      </c>
    </row>
    <row r="471" spans="1:142">
      <c r="EK471" s="353">
        <v>40004</v>
      </c>
      <c r="EL471" s="354">
        <v>1.0596000000000001</v>
      </c>
    </row>
    <row r="472" spans="1:142">
      <c r="EK472" s="425">
        <v>40005</v>
      </c>
      <c r="EL472" s="426">
        <v>1.0631999999999999</v>
      </c>
    </row>
    <row r="473" spans="1:142">
      <c r="A473" s="202" t="s">
        <v>248</v>
      </c>
      <c r="B473" s="280">
        <v>1124</v>
      </c>
      <c r="C473" s="280">
        <v>129.79999999999995</v>
      </c>
      <c r="D473" s="280">
        <v>171</v>
      </c>
      <c r="E473" s="280">
        <v>195</v>
      </c>
      <c r="F473" s="280">
        <v>401</v>
      </c>
      <c r="G473" s="280">
        <v>802.8</v>
      </c>
      <c r="H473" s="280">
        <v>158</v>
      </c>
      <c r="I473" s="280">
        <v>199</v>
      </c>
      <c r="J473" s="280">
        <v>291</v>
      </c>
      <c r="K473" s="280">
        <v>596</v>
      </c>
      <c r="L473" s="280">
        <v>590</v>
      </c>
      <c r="M473" s="280">
        <v>135</v>
      </c>
      <c r="N473" s="280">
        <v>307</v>
      </c>
      <c r="O473" s="280">
        <v>489</v>
      </c>
      <c r="P473" s="280">
        <v>513</v>
      </c>
      <c r="Q473" s="280">
        <v>1444</v>
      </c>
      <c r="R473" s="280">
        <v>257</v>
      </c>
      <c r="S473" s="280">
        <v>225</v>
      </c>
      <c r="T473" s="280">
        <v>225</v>
      </c>
      <c r="U473" s="280">
        <v>282</v>
      </c>
      <c r="V473" s="280">
        <v>989</v>
      </c>
      <c r="W473" s="280">
        <v>78</v>
      </c>
      <c r="X473" s="280">
        <v>176</v>
      </c>
      <c r="Y473" s="280">
        <v>145</v>
      </c>
      <c r="Z473" s="280">
        <v>591</v>
      </c>
      <c r="AA473" s="280">
        <v>990</v>
      </c>
      <c r="AB473" s="280">
        <v>191</v>
      </c>
      <c r="AC473" s="280">
        <v>216</v>
      </c>
      <c r="AD473" s="280">
        <v>141</v>
      </c>
      <c r="AE473" s="280">
        <v>267</v>
      </c>
      <c r="AF473" s="280">
        <v>815</v>
      </c>
      <c r="AG473" s="280">
        <v>118</v>
      </c>
      <c r="AH473" s="280">
        <v>155</v>
      </c>
      <c r="AI473" s="280">
        <v>337</v>
      </c>
      <c r="AJ473" s="280">
        <v>530</v>
      </c>
      <c r="AK473" s="280">
        <v>1140</v>
      </c>
      <c r="AL473" s="280">
        <v>146</v>
      </c>
      <c r="AM473" s="280">
        <v>260</v>
      </c>
      <c r="AN473" s="280">
        <v>359</v>
      </c>
      <c r="AO473" s="280">
        <v>539</v>
      </c>
      <c r="AP473" s="280">
        <v>1304</v>
      </c>
      <c r="AQ473" s="280">
        <v>159</v>
      </c>
      <c r="AR473" s="280">
        <v>333</v>
      </c>
      <c r="AS473" s="280">
        <v>249</v>
      </c>
      <c r="AT473" s="280">
        <v>448</v>
      </c>
      <c r="AU473" s="280">
        <f>SUM(AQ473:AT473)</f>
        <v>1189</v>
      </c>
      <c r="AV473" s="280">
        <v>162</v>
      </c>
      <c r="AW473" s="280">
        <f>'[2]Key Balance Sheet &amp; CFlow Items'!X$5</f>
        <v>211</v>
      </c>
      <c r="AX473" s="280">
        <f>'[2]Key Balance Sheet &amp; CFlow Items'!Y$5</f>
        <v>273</v>
      </c>
      <c r="AY473" s="280">
        <f>'[2]Key Balance Sheet &amp; CFlow Items'!Z$5</f>
        <v>382</v>
      </c>
      <c r="AZ473" s="281">
        <f>SUM(AV473:AY473)</f>
        <v>1028</v>
      </c>
      <c r="BA473" s="280">
        <f>'[2]Key Balance Sheet &amp; CFlow Items'!AA$5</f>
        <v>107</v>
      </c>
      <c r="BB473" s="280">
        <f>'[2]Key Balance Sheet &amp; CFlow Items'!AB$5</f>
        <v>212</v>
      </c>
      <c r="BC473" s="280">
        <f>'[2]Key Balance Sheet &amp; CFlow Items'!AC$5</f>
        <v>195</v>
      </c>
      <c r="BD473" s="280">
        <f>'[2]Key Balance Sheet &amp; CFlow Items'!AD$5</f>
        <v>524</v>
      </c>
      <c r="BE473" s="281">
        <f>SUM(BA473:BD473)</f>
        <v>1038</v>
      </c>
      <c r="BF473" s="280">
        <f>'[2]Key Balance Sheet &amp; CFlow Items'!AE$5</f>
        <v>127</v>
      </c>
      <c r="BG473" s="280">
        <f>'[2]Key Balance Sheet &amp; CFlow Items'!AF$5</f>
        <v>267</v>
      </c>
      <c r="BH473" s="280">
        <f>'[2]Key Balance Sheet &amp; CFlow Items'!AG$5</f>
        <v>242</v>
      </c>
      <c r="BI473" s="280">
        <f>'[2]Key Balance Sheet &amp; CFlow Items'!AH$5</f>
        <v>577</v>
      </c>
      <c r="BJ473" s="281">
        <f>SUM(BF473:BI473)</f>
        <v>1213</v>
      </c>
      <c r="BK473" s="280">
        <f>'[2]Key Balance Sheet &amp; CFlow Items'!AI$5</f>
        <v>163</v>
      </c>
      <c r="BL473" s="280">
        <f>'[2]Key Balance Sheet &amp; CFlow Items'!AJ$5</f>
        <v>259</v>
      </c>
      <c r="BM473" s="280">
        <f>'[2]Key Balance Sheet &amp; CFlow Items'!AK$5</f>
        <v>319</v>
      </c>
      <c r="BN473" s="280">
        <f>'[2]Key Balance Sheet &amp; CFlow Items'!AL$5</f>
        <v>504</v>
      </c>
      <c r="BO473" s="281">
        <f>SUM(BK473:BN473)</f>
        <v>1245</v>
      </c>
      <c r="BP473" s="280">
        <f>'[2]Key Balance Sheet &amp; CFlow Items'!AM$5</f>
        <v>136</v>
      </c>
      <c r="BQ473" s="280">
        <f>'[2]Key Balance Sheet &amp; CFlow Items'!AN$5</f>
        <v>180</v>
      </c>
      <c r="BR473" s="280">
        <f>'[2]Key Balance Sheet &amp; CFlow Items'!AO$5</f>
        <v>274</v>
      </c>
      <c r="BS473" s="280">
        <f>'[2]Key Balance Sheet &amp; CFlow Items'!AP$5</f>
        <v>597</v>
      </c>
      <c r="BT473" s="281">
        <f>SUM(BP473:BS473)</f>
        <v>1187</v>
      </c>
      <c r="BU473" s="282">
        <f>'[2]Key Balance Sheet &amp; CFlow Items'!AQ$5</f>
        <v>171</v>
      </c>
      <c r="BV473" s="282">
        <f>'[2]Key Balance Sheet &amp; CFlow Items'!AR$5</f>
        <v>241</v>
      </c>
      <c r="BW473" s="282">
        <f>'[2]Key Balance Sheet &amp; CFlow Items'!AS$5</f>
        <v>272</v>
      </c>
      <c r="BX473" s="282">
        <f>'[2]Key Balance Sheet &amp; CFlow Items'!AT$5</f>
        <v>430</v>
      </c>
      <c r="BY473" s="281">
        <f>SUM(BU473:BX473)</f>
        <v>1114</v>
      </c>
      <c r="BZ473" s="282">
        <f>'[2]Key Balance Sheet &amp; CFlow Items'!AU$5</f>
        <v>130</v>
      </c>
      <c r="CA473" s="282">
        <f>'[2]Key Balance Sheet &amp; CFlow Items'!AV$5</f>
        <v>166</v>
      </c>
      <c r="CB473" s="282">
        <f>'[2]Key Balance Sheet &amp; CFlow Items'!AW$5</f>
        <v>215</v>
      </c>
      <c r="CC473" s="282">
        <f>'[2]Key Balance Sheet &amp; CFlow Items'!AX$5</f>
        <v>302</v>
      </c>
      <c r="CD473" s="281">
        <f>SUM(BZ473:CC473)</f>
        <v>813</v>
      </c>
      <c r="CE473" s="284">
        <f>'Balance Sheet and Cflow'!S311</f>
        <v>1169.1711871344103</v>
      </c>
      <c r="CF473" s="284">
        <f>'Balance Sheet and Cflow'!T311</f>
        <v>1199.4569589834009</v>
      </c>
      <c r="CG473" s="284">
        <f>'Balance Sheet and Cflow'!U311</f>
        <v>1233.0654208185015</v>
      </c>
      <c r="CH473" s="284">
        <f>'Balance Sheet and Cflow'!V311</f>
        <v>1270.3482867987418</v>
      </c>
      <c r="CI473" s="284">
        <f>'Balance Sheet and Cflow'!W311</f>
        <v>1311.0181441182078</v>
      </c>
      <c r="CJ473" s="284">
        <f>'Balance Sheet and Cflow'!X311</f>
        <v>1351.6338799978996</v>
      </c>
      <c r="CK473" s="284">
        <f>'Balance Sheet and Cflow'!Y311</f>
        <v>1392.2826707675792</v>
      </c>
      <c r="CL473" s="284">
        <f>'Balance Sheet and Cflow'!Z311</f>
        <v>1433.0492427206093</v>
      </c>
      <c r="CM473" s="284">
        <f>'Balance Sheet and Cflow'!AA311</f>
        <v>1608.0176021326579</v>
      </c>
      <c r="CN473" s="195"/>
      <c r="CO473" s="195"/>
      <c r="CP473" s="195"/>
      <c r="CQ473" s="195"/>
      <c r="CR473" s="195"/>
      <c r="CS473" s="196"/>
      <c r="CT473" s="196"/>
      <c r="CU473" s="196"/>
      <c r="CV473" s="196"/>
      <c r="DE473" s="195"/>
      <c r="DF473" s="196"/>
      <c r="DG473" s="196"/>
      <c r="DH473" s="196"/>
      <c r="DI473" s="196"/>
      <c r="DJ473" s="207"/>
      <c r="EK473" s="353">
        <v>40006</v>
      </c>
      <c r="EL473" s="354">
        <v>1.0662</v>
      </c>
    </row>
    <row r="474" spans="1:142">
      <c r="A474" s="200" t="s">
        <v>195</v>
      </c>
      <c r="AV474" s="207">
        <f t="shared" ref="AV474:BZ474" si="1561">AV473/AV419</f>
        <v>6.8210526315789471E-2</v>
      </c>
      <c r="AW474" s="207">
        <f t="shared" si="1561"/>
        <v>9.036402569593148E-2</v>
      </c>
      <c r="AX474" s="207">
        <f t="shared" si="1561"/>
        <v>0.11701671667381054</v>
      </c>
      <c r="AY474" s="207">
        <f t="shared" si="1561"/>
        <v>0.16077441077441076</v>
      </c>
      <c r="AZ474" s="207">
        <f t="shared" si="1561"/>
        <v>0.10914109778108079</v>
      </c>
      <c r="BA474" s="207">
        <f t="shared" si="1561"/>
        <v>4.7831917746982568E-2</v>
      </c>
      <c r="BB474" s="207">
        <f t="shared" si="1561"/>
        <v>9.4390026714158498E-2</v>
      </c>
      <c r="BC474" s="207">
        <f t="shared" si="1561"/>
        <v>8.6130742049469966E-2</v>
      </c>
      <c r="BD474" s="207">
        <f t="shared" si="1561"/>
        <v>0.21431492842535788</v>
      </c>
      <c r="BE474" s="207">
        <f t="shared" si="1561"/>
        <v>0.1129242819843342</v>
      </c>
      <c r="BF474" s="207">
        <f t="shared" si="1561"/>
        <v>5.6899641577060935E-2</v>
      </c>
      <c r="BG474" s="207">
        <f t="shared" si="1561"/>
        <v>0.12103354487760652</v>
      </c>
      <c r="BH474" s="207">
        <f t="shared" si="1561"/>
        <v>0.10590809628008753</v>
      </c>
      <c r="BI474" s="207">
        <f t="shared" si="1561"/>
        <v>0.22277992277992278</v>
      </c>
      <c r="BJ474" s="207">
        <f t="shared" si="1561"/>
        <v>0.13024804037367121</v>
      </c>
      <c r="BK474" s="207">
        <f t="shared" si="1561"/>
        <v>6.9628363947031188E-2</v>
      </c>
      <c r="BL474" s="207">
        <f t="shared" si="1561"/>
        <v>0.1204091120409112</v>
      </c>
      <c r="BM474" s="207">
        <f t="shared" si="1561"/>
        <v>0.14414821509263442</v>
      </c>
      <c r="BN474" s="207">
        <f t="shared" si="1561"/>
        <v>0.22291021671826625</v>
      </c>
      <c r="BO474" s="207">
        <f t="shared" si="1561"/>
        <v>0.13885790765112649</v>
      </c>
      <c r="BP474" s="207">
        <f t="shared" si="1561"/>
        <v>6.0714285714285714E-2</v>
      </c>
      <c r="BQ474" s="207">
        <f t="shared" si="1561"/>
        <v>7.9155672823219003E-2</v>
      </c>
      <c r="BR474" s="207">
        <f t="shared" si="1561"/>
        <v>0.12065169528841919</v>
      </c>
      <c r="BS474" s="207">
        <f t="shared" si="1561"/>
        <v>0.24307817589576547</v>
      </c>
      <c r="BT474" s="207">
        <f t="shared" si="1561"/>
        <v>0.12844930202359053</v>
      </c>
      <c r="BU474" s="207">
        <f t="shared" si="1561"/>
        <v>7.1072319201995013E-2</v>
      </c>
      <c r="BV474" s="207">
        <f t="shared" si="1561"/>
        <v>9.9422442244224418E-2</v>
      </c>
      <c r="BW474" s="207">
        <f t="shared" si="1561"/>
        <v>0.1130977130977131</v>
      </c>
      <c r="BX474" s="207">
        <f t="shared" si="1561"/>
        <v>0.16836335160532498</v>
      </c>
      <c r="BY474" s="207">
        <f t="shared" si="1561"/>
        <v>0.11380120543467157</v>
      </c>
      <c r="BZ474" s="207">
        <f t="shared" si="1561"/>
        <v>5.1464766429136978E-2</v>
      </c>
      <c r="CA474" s="207">
        <f t="shared" ref="CA474:CB474" si="1562">CA473/CA419</f>
        <v>6.7206477732793521E-2</v>
      </c>
      <c r="CB474" s="207">
        <f t="shared" si="1562"/>
        <v>8.8042588042588049E-2</v>
      </c>
      <c r="CC474" s="207">
        <f t="shared" ref="CC474:CD474" si="1563">CC473/CC419</f>
        <v>0.11013858497447118</v>
      </c>
      <c r="CD474" s="207">
        <f t="shared" si="1563"/>
        <v>7.9862475442043224E-2</v>
      </c>
      <c r="CE474" s="207">
        <f>CE473/CE419</f>
        <v>0.11</v>
      </c>
      <c r="CF474" s="207">
        <f>CF473/CF419</f>
        <v>0.11000000000000001</v>
      </c>
      <c r="CG474" s="207">
        <f>CG473/CG419</f>
        <v>0.10999999999999999</v>
      </c>
      <c r="CH474" s="207">
        <f>CH473/CH419</f>
        <v>0.11</v>
      </c>
      <c r="CI474" s="207">
        <f>CI473/CI419</f>
        <v>0.11000000000000001</v>
      </c>
      <c r="CJ474" s="207">
        <f t="shared" ref="CJ474:CL474" si="1564">CJ473/CJ419</f>
        <v>0.11</v>
      </c>
      <c r="CK474" s="207">
        <f t="shared" si="1564"/>
        <v>0.11</v>
      </c>
      <c r="CL474" s="207">
        <f t="shared" si="1564"/>
        <v>0.11000000000000001</v>
      </c>
      <c r="CM474" s="207">
        <f t="shared" ref="CM474" si="1565">CM473/CM419</f>
        <v>0.12</v>
      </c>
      <c r="EK474" s="425">
        <v>40009</v>
      </c>
      <c r="EL474" s="426">
        <v>1.0531999999999999</v>
      </c>
    </row>
    <row r="475" spans="1:142">
      <c r="A475" s="440" t="s">
        <v>802</v>
      </c>
      <c r="B475" s="441"/>
      <c r="C475" s="441"/>
      <c r="D475" s="441"/>
      <c r="E475" s="441"/>
      <c r="F475" s="441"/>
      <c r="G475" s="441"/>
      <c r="H475" s="441"/>
      <c r="I475" s="441"/>
      <c r="J475" s="441"/>
      <c r="K475" s="441"/>
      <c r="L475" s="441"/>
      <c r="M475" s="441"/>
      <c r="N475" s="441"/>
      <c r="O475" s="441"/>
      <c r="P475" s="441"/>
      <c r="Q475" s="441"/>
      <c r="R475" s="441"/>
      <c r="S475" s="441"/>
      <c r="T475" s="441"/>
      <c r="U475" s="441"/>
      <c r="V475" s="441"/>
      <c r="W475" s="441"/>
      <c r="X475" s="441"/>
      <c r="Y475" s="441"/>
      <c r="Z475" s="441"/>
      <c r="AA475" s="441"/>
      <c r="AB475" s="441"/>
      <c r="AC475" s="441"/>
      <c r="AD475" s="441"/>
      <c r="AE475" s="441"/>
      <c r="AF475" s="441"/>
      <c r="AG475" s="441"/>
      <c r="AH475" s="441"/>
      <c r="AI475" s="441"/>
      <c r="AJ475" s="441"/>
      <c r="AK475" s="441"/>
      <c r="AL475" s="441"/>
      <c r="AM475" s="441"/>
      <c r="AN475" s="441"/>
      <c r="AO475" s="441"/>
      <c r="AP475" s="441"/>
      <c r="AQ475" s="441"/>
      <c r="AR475" s="441"/>
      <c r="AS475" s="441"/>
      <c r="AT475" s="441"/>
      <c r="AU475" s="441"/>
      <c r="AV475" s="441"/>
      <c r="AW475" s="441"/>
      <c r="AX475" s="441"/>
      <c r="AY475" s="441"/>
      <c r="AZ475" s="441"/>
      <c r="BA475" s="442"/>
      <c r="BB475" s="442"/>
      <c r="BC475" s="442"/>
      <c r="BD475" s="442"/>
      <c r="BE475" s="441"/>
      <c r="BF475" s="442"/>
      <c r="BG475" s="442"/>
      <c r="BH475" s="441"/>
      <c r="BI475" s="441"/>
      <c r="BJ475" s="441"/>
      <c r="BK475" s="442"/>
      <c r="BL475" s="442"/>
      <c r="BM475" s="442"/>
      <c r="BN475" s="442"/>
      <c r="BO475" s="446"/>
      <c r="BP475" s="446"/>
      <c r="BQ475" s="446"/>
      <c r="BR475" s="446"/>
      <c r="BS475" s="446"/>
      <c r="BT475" s="441"/>
      <c r="BU475" s="447"/>
      <c r="BV475" s="447"/>
      <c r="BW475" s="447"/>
      <c r="BX475" s="447"/>
      <c r="BY475" s="441"/>
      <c r="BZ475" s="447"/>
      <c r="CA475" s="447"/>
      <c r="CB475" s="447"/>
      <c r="CC475" s="447"/>
      <c r="CD475" s="441"/>
      <c r="CE475" s="441" t="s">
        <v>831</v>
      </c>
      <c r="CF475" s="441"/>
      <c r="CG475" s="441"/>
      <c r="CH475" s="441"/>
      <c r="CI475" s="441"/>
      <c r="CJ475" s="441"/>
      <c r="CK475" s="441"/>
      <c r="CL475" s="441"/>
      <c r="CM475" s="441"/>
      <c r="CN475" s="195"/>
      <c r="CO475" s="195"/>
      <c r="CP475" s="195"/>
      <c r="CQ475" s="195"/>
      <c r="CR475" s="195"/>
      <c r="CS475" s="195"/>
      <c r="CT475" s="195"/>
      <c r="CV475" s="276"/>
      <c r="CW475" s="287"/>
      <c r="CX475" s="287"/>
      <c r="CY475" s="287"/>
      <c r="CZ475" s="287"/>
      <c r="DA475" s="287"/>
      <c r="DB475" s="287"/>
      <c r="DC475" s="287"/>
      <c r="DD475" s="287"/>
      <c r="DE475" s="287"/>
      <c r="EK475" s="353"/>
      <c r="EL475" s="354"/>
    </row>
    <row r="476" spans="1:142">
      <c r="A476" s="440" t="s">
        <v>1</v>
      </c>
      <c r="B476" s="441"/>
      <c r="C476" s="441"/>
      <c r="D476" s="441"/>
      <c r="E476" s="441"/>
      <c r="F476" s="441"/>
      <c r="G476" s="441"/>
      <c r="H476" s="441"/>
      <c r="I476" s="441"/>
      <c r="J476" s="441"/>
      <c r="K476" s="441"/>
      <c r="L476" s="441"/>
      <c r="M476" s="441"/>
      <c r="N476" s="441"/>
      <c r="O476" s="441"/>
      <c r="P476" s="441"/>
      <c r="Q476" s="441"/>
      <c r="R476" s="441"/>
      <c r="S476" s="441"/>
      <c r="T476" s="441"/>
      <c r="U476" s="441"/>
      <c r="V476" s="441"/>
      <c r="W476" s="441"/>
      <c r="X476" s="441"/>
      <c r="Y476" s="441"/>
      <c r="Z476" s="441"/>
      <c r="AA476" s="441"/>
      <c r="AB476" s="441"/>
      <c r="AC476" s="441"/>
      <c r="AD476" s="441"/>
      <c r="AE476" s="441"/>
      <c r="AF476" s="441"/>
      <c r="AG476" s="441"/>
      <c r="AH476" s="441"/>
      <c r="AI476" s="441"/>
      <c r="AJ476" s="441"/>
      <c r="AK476" s="441"/>
      <c r="AL476" s="441"/>
      <c r="AM476" s="441"/>
      <c r="AN476" s="441"/>
      <c r="AO476" s="441"/>
      <c r="AP476" s="441"/>
      <c r="AQ476" s="441"/>
      <c r="AR476" s="441"/>
      <c r="AS476" s="441"/>
      <c r="AT476" s="441"/>
      <c r="AU476" s="441"/>
      <c r="AV476" s="441"/>
      <c r="AW476" s="441"/>
      <c r="AX476" s="441"/>
      <c r="AY476" s="441"/>
      <c r="AZ476" s="441"/>
      <c r="BA476" s="442"/>
      <c r="BB476" s="442"/>
      <c r="BC476" s="442"/>
      <c r="BD476" s="442"/>
      <c r="BE476" s="441"/>
      <c r="BF476" s="442"/>
      <c r="BG476" s="442"/>
      <c r="BH476" s="441"/>
      <c r="BI476" s="441"/>
      <c r="BJ476" s="441"/>
      <c r="BK476" s="442"/>
      <c r="BL476" s="442"/>
      <c r="BM476" s="442"/>
      <c r="BN476" s="442"/>
      <c r="BO476" s="446"/>
      <c r="BP476" s="446"/>
      <c r="BQ476" s="446"/>
      <c r="BR476" s="446"/>
      <c r="BS476" s="446"/>
      <c r="BT476" s="441"/>
      <c r="BU476" s="447"/>
      <c r="BV476" s="447"/>
      <c r="BW476" s="447"/>
      <c r="BX476" s="447"/>
      <c r="BY476" s="441"/>
      <c r="BZ476" s="447"/>
      <c r="CA476" s="447"/>
      <c r="CB476" s="447"/>
      <c r="CC476" s="447"/>
      <c r="CD476" s="441"/>
      <c r="CE476" s="441"/>
      <c r="CF476" s="441"/>
      <c r="CG476" s="441"/>
      <c r="CH476" s="441"/>
      <c r="CI476" s="441"/>
      <c r="CJ476" s="441"/>
      <c r="CK476" s="441"/>
      <c r="CL476" s="441"/>
      <c r="CM476" s="441"/>
      <c r="CN476" s="195"/>
      <c r="CO476" s="195"/>
      <c r="CP476" s="195"/>
      <c r="CQ476" s="195"/>
      <c r="CR476" s="195"/>
      <c r="CS476" s="195"/>
      <c r="CT476" s="195"/>
      <c r="CV476" s="276"/>
      <c r="CW476" s="287"/>
      <c r="CX476" s="287"/>
      <c r="CY476" s="287"/>
      <c r="CZ476" s="287"/>
      <c r="DA476" s="287"/>
      <c r="DB476" s="287"/>
      <c r="DC476" s="287"/>
      <c r="DD476" s="287"/>
      <c r="DE476" s="287"/>
      <c r="EK476" s="353"/>
      <c r="EL476" s="354"/>
    </row>
    <row r="477" spans="1:142">
      <c r="EK477" s="353">
        <v>40012</v>
      </c>
      <c r="EL477" s="354">
        <v>1.0767</v>
      </c>
    </row>
    <row r="478" spans="1:142">
      <c r="EK478" s="353">
        <v>40007</v>
      </c>
      <c r="EL478" s="354">
        <v>1.0652999999999999</v>
      </c>
    </row>
    <row r="479" spans="1:142">
      <c r="A479" s="265" t="s">
        <v>141</v>
      </c>
      <c r="B479" s="494">
        <f>B430-B473</f>
        <v>2466</v>
      </c>
      <c r="C479" s="265"/>
      <c r="D479" s="265"/>
      <c r="E479" s="265"/>
      <c r="F479" s="265"/>
      <c r="G479" s="494">
        <f>G430-G473</f>
        <v>3599.4000000000005</v>
      </c>
      <c r="H479" s="265"/>
      <c r="I479" s="265"/>
      <c r="J479" s="265"/>
      <c r="K479" s="265"/>
      <c r="L479" s="494">
        <f>L430-L473</f>
        <v>3630</v>
      </c>
      <c r="M479" s="265"/>
      <c r="N479" s="265"/>
      <c r="O479" s="265"/>
      <c r="P479" s="265"/>
      <c r="Q479" s="494">
        <f>Q430-Q473</f>
        <v>2972</v>
      </c>
      <c r="R479" s="265"/>
      <c r="S479" s="265"/>
      <c r="T479" s="265"/>
      <c r="U479" s="265"/>
      <c r="V479" s="494">
        <f>V430-V473</f>
        <v>3434</v>
      </c>
      <c r="W479" s="265"/>
      <c r="X479" s="265"/>
      <c r="Y479" s="265"/>
      <c r="Z479" s="265"/>
      <c r="AA479" s="494">
        <f>AA430-AA473</f>
        <v>3369</v>
      </c>
      <c r="AB479" s="265"/>
      <c r="AC479" s="265"/>
      <c r="AD479" s="265"/>
      <c r="AE479" s="265"/>
      <c r="AF479" s="494">
        <f>AF430-AF473</f>
        <v>3707</v>
      </c>
      <c r="AG479" s="265"/>
      <c r="AH479" s="265"/>
      <c r="AI479" s="265"/>
      <c r="AJ479" s="265"/>
      <c r="AK479" s="494">
        <f>AK430-AK473</f>
        <v>2972.3305194230634</v>
      </c>
      <c r="AL479" s="265"/>
      <c r="AM479" s="265"/>
      <c r="AN479" s="265"/>
      <c r="AO479" s="265"/>
      <c r="AP479" s="494">
        <f>AP430-AP473</f>
        <v>3122</v>
      </c>
      <c r="AQ479" s="265"/>
      <c r="AR479" s="265"/>
      <c r="AS479" s="265"/>
      <c r="AT479" s="265"/>
      <c r="AU479" s="494">
        <f>AU430-AU473</f>
        <v>3313</v>
      </c>
      <c r="AV479" s="265"/>
      <c r="AW479" s="265"/>
      <c r="AX479" s="265"/>
      <c r="AY479" s="265"/>
      <c r="AZ479" s="494">
        <f>AZ430-AZ473</f>
        <v>3167</v>
      </c>
      <c r="BA479" s="265"/>
      <c r="BB479" s="265"/>
      <c r="BC479" s="265"/>
      <c r="BD479" s="265"/>
      <c r="BE479" s="494">
        <f>BE430-BE473</f>
        <v>2805</v>
      </c>
      <c r="BF479" s="265"/>
      <c r="BG479" s="265"/>
      <c r="BH479" s="265"/>
      <c r="BI479" s="265"/>
      <c r="BJ479" s="494">
        <f>BJ430-BJ473</f>
        <v>2713</v>
      </c>
      <c r="BK479" s="265"/>
      <c r="BL479" s="265"/>
      <c r="BM479" s="265"/>
      <c r="BN479" s="265"/>
      <c r="BO479" s="494">
        <f>BO430-BO473</f>
        <v>2569</v>
      </c>
      <c r="BP479" s="494"/>
      <c r="BQ479" s="494"/>
      <c r="BR479" s="494"/>
      <c r="BS479" s="494"/>
      <c r="BT479" s="494">
        <f t="shared" ref="BT479:CI479" si="1566">BT430-BT473</f>
        <v>2689</v>
      </c>
      <c r="BU479" s="494"/>
      <c r="BV479" s="494"/>
      <c r="BW479" s="494"/>
      <c r="BX479" s="494"/>
      <c r="BY479" s="494">
        <f t="shared" si="1566"/>
        <v>2815</v>
      </c>
      <c r="BZ479" s="494"/>
      <c r="CA479" s="494"/>
      <c r="CB479" s="494"/>
      <c r="CC479" s="494"/>
      <c r="CD479" s="494">
        <f t="shared" si="1566"/>
        <v>3147</v>
      </c>
      <c r="CE479" s="494">
        <f t="shared" si="1566"/>
        <v>3001.886439771024</v>
      </c>
      <c r="CF479" s="494">
        <f t="shared" si="1566"/>
        <v>3097.0768759181083</v>
      </c>
      <c r="CG479" s="494">
        <f t="shared" si="1566"/>
        <v>3203.328558382841</v>
      </c>
      <c r="CH479" s="494">
        <f t="shared" si="1566"/>
        <v>3319.3263955595298</v>
      </c>
      <c r="CI479" s="494">
        <f t="shared" si="1566"/>
        <v>3444.096806226129</v>
      </c>
      <c r="CJ479" s="494">
        <f t="shared" ref="CJ479:CL479" si="1567">CJ430-CJ473</f>
        <v>3569.7539969676927</v>
      </c>
      <c r="CK479" s="494">
        <f t="shared" si="1567"/>
        <v>3696.5299236475967</v>
      </c>
      <c r="CL479" s="494">
        <f t="shared" si="1567"/>
        <v>3824.6552625643126</v>
      </c>
      <c r="CM479" s="494">
        <f t="shared" ref="CM479" si="1568">CM430-CM473</f>
        <v>3820.3583719531089</v>
      </c>
      <c r="EK479" s="353"/>
      <c r="EL479" s="354"/>
    </row>
    <row r="480" spans="1:142">
      <c r="A480" s="265"/>
      <c r="B480" s="494"/>
      <c r="C480" s="265"/>
      <c r="D480" s="265"/>
      <c r="E480" s="265"/>
      <c r="F480" s="265"/>
      <c r="G480" s="494"/>
      <c r="H480" s="265"/>
      <c r="I480" s="265"/>
      <c r="J480" s="265"/>
      <c r="K480" s="265"/>
      <c r="L480" s="494"/>
      <c r="M480" s="265"/>
      <c r="N480" s="265"/>
      <c r="O480" s="265"/>
      <c r="P480" s="265"/>
      <c r="Q480" s="494"/>
      <c r="R480" s="265"/>
      <c r="S480" s="265"/>
      <c r="T480" s="265"/>
      <c r="U480" s="265"/>
      <c r="V480" s="494"/>
      <c r="W480" s="265"/>
      <c r="X480" s="265"/>
      <c r="Y480" s="265"/>
      <c r="Z480" s="265"/>
      <c r="AA480" s="494"/>
      <c r="AB480" s="265"/>
      <c r="AC480" s="265"/>
      <c r="AD480" s="265"/>
      <c r="AE480" s="265"/>
      <c r="AF480" s="494"/>
      <c r="AG480" s="265"/>
      <c r="AH480" s="265"/>
      <c r="AI480" s="265"/>
      <c r="AJ480" s="265"/>
      <c r="AK480" s="494"/>
      <c r="AL480" s="265"/>
      <c r="AM480" s="265"/>
      <c r="AN480" s="265"/>
      <c r="AO480" s="265"/>
      <c r="AP480" s="494"/>
      <c r="AQ480" s="265"/>
      <c r="AR480" s="265"/>
      <c r="AS480" s="265"/>
      <c r="AT480" s="265"/>
      <c r="AU480" s="494"/>
      <c r="AV480" s="265"/>
      <c r="AW480" s="265"/>
      <c r="AX480" s="265"/>
      <c r="AY480" s="265"/>
      <c r="AZ480" s="494"/>
      <c r="BA480" s="265"/>
      <c r="BB480" s="265"/>
      <c r="BC480" s="265"/>
      <c r="BD480" s="265"/>
      <c r="BE480" s="494"/>
      <c r="BF480" s="265"/>
      <c r="BG480" s="265"/>
      <c r="BH480" s="265"/>
      <c r="BI480" s="265"/>
      <c r="BJ480" s="494"/>
      <c r="BK480" s="265"/>
      <c r="BL480" s="265"/>
      <c r="BM480" s="265"/>
      <c r="BN480" s="265"/>
      <c r="BO480" s="196">
        <f>BO479/BJ479-1</f>
        <v>-5.3077773682270513E-2</v>
      </c>
      <c r="BP480" s="494"/>
      <c r="BQ480" s="494"/>
      <c r="BR480" s="494"/>
      <c r="BS480" s="494"/>
      <c r="BT480" s="196">
        <f>BT479/BO479-1</f>
        <v>4.6710782405605222E-2</v>
      </c>
      <c r="BU480" s="494"/>
      <c r="BV480" s="494"/>
      <c r="BW480" s="494"/>
      <c r="BX480" s="494"/>
      <c r="BY480" s="196">
        <f>BY479/BT479-1</f>
        <v>4.6857567869096339E-2</v>
      </c>
      <c r="BZ480" s="494"/>
      <c r="CA480" s="494"/>
      <c r="CB480" s="494"/>
      <c r="CC480" s="494"/>
      <c r="CD480" s="196">
        <f>CD479/BY479-1</f>
        <v>0.11793960923623437</v>
      </c>
      <c r="CE480" s="196">
        <f>CE479/CD479-1</f>
        <v>-4.6111712815054329E-2</v>
      </c>
      <c r="CF480" s="196">
        <f t="shared" ref="CF480:CM480" si="1569">CF479/CE479-1</f>
        <v>3.1710205584707385E-2</v>
      </c>
      <c r="CG480" s="196">
        <f t="shared" si="1569"/>
        <v>3.4307085914112134E-2</v>
      </c>
      <c r="CH480" s="196">
        <f t="shared" si="1569"/>
        <v>3.6211657674993125E-2</v>
      </c>
      <c r="CI480" s="196">
        <f t="shared" si="1569"/>
        <v>3.7589075552652007E-2</v>
      </c>
      <c r="CJ480" s="196">
        <f t="shared" si="1569"/>
        <v>3.6484802202541022E-2</v>
      </c>
      <c r="CK480" s="196">
        <f t="shared" si="1569"/>
        <v>3.5513911263239217E-2</v>
      </c>
      <c r="CL480" s="196">
        <f t="shared" si="1569"/>
        <v>3.4660977068538656E-2</v>
      </c>
      <c r="CM480" s="196">
        <f t="shared" si="1569"/>
        <v>-1.1234713500224425E-3</v>
      </c>
      <c r="EK480" s="353"/>
      <c r="EL480" s="354"/>
    </row>
    <row r="481" spans="1:142">
      <c r="A481" s="440" t="s">
        <v>1</v>
      </c>
      <c r="B481" s="441"/>
      <c r="C481" s="441"/>
      <c r="D481" s="441"/>
      <c r="E481" s="441"/>
      <c r="F481" s="441"/>
      <c r="G481" s="441"/>
      <c r="H481" s="441"/>
      <c r="I481" s="441"/>
      <c r="J481" s="441"/>
      <c r="K481" s="441"/>
      <c r="L481" s="441"/>
      <c r="M481" s="441"/>
      <c r="N481" s="441"/>
      <c r="O481" s="441"/>
      <c r="P481" s="441"/>
      <c r="Q481" s="441"/>
      <c r="R481" s="441"/>
      <c r="S481" s="441"/>
      <c r="T481" s="441"/>
      <c r="U481" s="441"/>
      <c r="V481" s="441"/>
      <c r="W481" s="441"/>
      <c r="X481" s="441"/>
      <c r="Y481" s="441"/>
      <c r="Z481" s="441"/>
      <c r="AA481" s="441"/>
      <c r="AB481" s="441"/>
      <c r="AC481" s="441"/>
      <c r="AD481" s="441"/>
      <c r="AE481" s="441"/>
      <c r="AF481" s="441"/>
      <c r="AG481" s="441"/>
      <c r="AH481" s="441"/>
      <c r="AI481" s="441"/>
      <c r="AJ481" s="441"/>
      <c r="AK481" s="441"/>
      <c r="AL481" s="441"/>
      <c r="AM481" s="441"/>
      <c r="AN481" s="441"/>
      <c r="AO481" s="441"/>
      <c r="AP481" s="441"/>
      <c r="AQ481" s="441"/>
      <c r="AR481" s="441"/>
      <c r="AS481" s="441"/>
      <c r="AT481" s="441"/>
      <c r="AU481" s="441"/>
      <c r="AV481" s="441"/>
      <c r="AW481" s="441"/>
      <c r="AX481" s="441"/>
      <c r="AY481" s="441"/>
      <c r="AZ481" s="441"/>
      <c r="BA481" s="442"/>
      <c r="BB481" s="442"/>
      <c r="BC481" s="442"/>
      <c r="BD481" s="442"/>
      <c r="BE481" s="441"/>
      <c r="BF481" s="442"/>
      <c r="BG481" s="442"/>
      <c r="BH481" s="441"/>
      <c r="BI481" s="441"/>
      <c r="BJ481" s="441"/>
      <c r="BK481" s="442"/>
      <c r="BL481" s="442"/>
      <c r="BM481" s="442"/>
      <c r="BN481" s="442"/>
      <c r="BO481" s="446" t="s">
        <v>613</v>
      </c>
      <c r="BP481" s="446"/>
      <c r="BQ481" s="446"/>
      <c r="BR481" s="446"/>
      <c r="BS481" s="446"/>
      <c r="BT481" s="441"/>
      <c r="BU481" s="447"/>
      <c r="BV481" s="447"/>
      <c r="BW481" s="447"/>
      <c r="BX481" s="447"/>
      <c r="BY481" s="441"/>
      <c r="BZ481" s="447"/>
      <c r="CA481" s="447"/>
      <c r="CB481" s="447"/>
      <c r="CC481" s="447"/>
      <c r="CD481" s="441"/>
      <c r="CE481" s="441"/>
      <c r="CF481" s="441"/>
      <c r="CG481" s="441"/>
      <c r="CH481" s="441"/>
      <c r="CI481" s="441"/>
      <c r="CJ481" s="441"/>
      <c r="CK481" s="441"/>
      <c r="CL481" s="441"/>
      <c r="CM481" s="441"/>
      <c r="CN481" s="195"/>
      <c r="CO481" s="195"/>
      <c r="CP481" s="195"/>
      <c r="CQ481" s="195"/>
      <c r="CR481" s="195"/>
      <c r="CS481" s="195"/>
      <c r="CT481" s="195"/>
      <c r="CV481" s="276"/>
      <c r="CW481" s="287"/>
      <c r="CX481" s="287"/>
      <c r="CY481" s="287"/>
      <c r="CZ481" s="287"/>
      <c r="DA481" s="287"/>
      <c r="DB481" s="287"/>
      <c r="DC481" s="287"/>
      <c r="DD481" s="287"/>
      <c r="DE481" s="287"/>
      <c r="EK481" s="353"/>
      <c r="EL481" s="354"/>
    </row>
    <row r="482" spans="1:142">
      <c r="EK482" s="353"/>
      <c r="EL482" s="354"/>
    </row>
    <row r="483" spans="1:142">
      <c r="EK483" s="353"/>
      <c r="EL483" s="354"/>
    </row>
    <row r="484" spans="1:142">
      <c r="EK484" s="353"/>
      <c r="EL484" s="354"/>
    </row>
    <row r="485" spans="1:142">
      <c r="EK485" s="353"/>
      <c r="EL485" s="354"/>
    </row>
    <row r="486" spans="1:142">
      <c r="EK486" s="353"/>
      <c r="EL486" s="354"/>
    </row>
    <row r="487" spans="1:142">
      <c r="EK487" s="353"/>
      <c r="EL487" s="354"/>
    </row>
    <row r="488" spans="1:142">
      <c r="A488" s="237" t="s">
        <v>265</v>
      </c>
      <c r="B488" s="237">
        <f>B2</f>
        <v>2007</v>
      </c>
      <c r="C488" s="237"/>
      <c r="D488" s="237"/>
      <c r="E488" s="237"/>
      <c r="F488" s="237"/>
      <c r="G488" s="237">
        <f>B488+1</f>
        <v>2008</v>
      </c>
      <c r="H488" s="237"/>
      <c r="I488" s="237"/>
      <c r="J488" s="237"/>
      <c r="K488" s="237"/>
      <c r="L488" s="237">
        <f>G488+1</f>
        <v>2009</v>
      </c>
      <c r="M488" s="237"/>
      <c r="N488" s="237"/>
      <c r="O488" s="237"/>
      <c r="P488" s="237"/>
      <c r="Q488" s="237">
        <f>L488+1</f>
        <v>2010</v>
      </c>
      <c r="R488" s="237"/>
      <c r="S488" s="237"/>
      <c r="T488" s="237"/>
      <c r="U488" s="237"/>
      <c r="V488" s="237">
        <f>Q488+1</f>
        <v>2011</v>
      </c>
      <c r="W488" s="237"/>
      <c r="X488" s="237"/>
      <c r="Y488" s="237"/>
      <c r="Z488" s="237"/>
      <c r="AA488" s="237">
        <f>V488+1</f>
        <v>2012</v>
      </c>
      <c r="AB488" s="237"/>
      <c r="AC488" s="237"/>
      <c r="AD488" s="237"/>
      <c r="AE488" s="237"/>
      <c r="AF488" s="237">
        <f>AA488+1</f>
        <v>2013</v>
      </c>
      <c r="AG488" s="237"/>
      <c r="AH488" s="237"/>
      <c r="AI488" s="237"/>
      <c r="AJ488" s="237"/>
      <c r="AK488" s="237">
        <f>AF488+1</f>
        <v>2014</v>
      </c>
      <c r="AL488" s="237"/>
      <c r="AM488" s="237"/>
      <c r="AN488" s="237"/>
      <c r="AO488" s="237"/>
      <c r="AP488" s="237">
        <f>AK488+1</f>
        <v>2015</v>
      </c>
      <c r="AQ488" s="237"/>
      <c r="AR488" s="237"/>
      <c r="AS488" s="237"/>
      <c r="AT488" s="237"/>
      <c r="AU488" s="237">
        <f>AP488+1</f>
        <v>2016</v>
      </c>
      <c r="AV488" s="237"/>
      <c r="AW488" s="237"/>
      <c r="AX488" s="237"/>
      <c r="AY488" s="237"/>
      <c r="AZ488" s="237">
        <f>AU488+1</f>
        <v>2017</v>
      </c>
      <c r="BA488" s="237"/>
      <c r="BB488" s="237"/>
      <c r="BC488" s="237"/>
      <c r="BD488" s="237"/>
      <c r="BE488" s="237">
        <f>AZ488+1</f>
        <v>2018</v>
      </c>
      <c r="BF488" s="237"/>
      <c r="BG488" s="237"/>
      <c r="BH488" s="237"/>
      <c r="BI488" s="237"/>
      <c r="BJ488" s="237">
        <f>BE488+1</f>
        <v>2019</v>
      </c>
      <c r="BK488" s="237"/>
      <c r="BL488" s="237"/>
      <c r="BM488" s="237"/>
      <c r="BN488" s="237"/>
      <c r="BO488" s="237">
        <f>BJ488+1</f>
        <v>2020</v>
      </c>
      <c r="BP488" s="237"/>
      <c r="BQ488" s="237"/>
      <c r="BR488" s="237"/>
      <c r="BS488" s="237"/>
      <c r="BT488" s="237">
        <f>BO488+1</f>
        <v>2021</v>
      </c>
      <c r="BU488" s="237"/>
      <c r="BV488" s="237"/>
      <c r="BW488" s="237"/>
      <c r="BX488" s="237"/>
      <c r="BY488" s="237">
        <f>BT488+1</f>
        <v>2022</v>
      </c>
      <c r="BZ488" s="237"/>
      <c r="CA488" s="237"/>
      <c r="CB488" s="237"/>
      <c r="CC488" s="237"/>
      <c r="CD488" s="237">
        <f>BY488+1</f>
        <v>2023</v>
      </c>
      <c r="CE488" s="237">
        <f t="shared" ref="CE488:CI488" si="1570">CD488+1</f>
        <v>2024</v>
      </c>
      <c r="CF488" s="237">
        <f t="shared" si="1570"/>
        <v>2025</v>
      </c>
      <c r="CG488" s="237">
        <f t="shared" si="1570"/>
        <v>2026</v>
      </c>
      <c r="CH488" s="237">
        <f t="shared" si="1570"/>
        <v>2027</v>
      </c>
      <c r="CI488" s="237">
        <f t="shared" si="1570"/>
        <v>2028</v>
      </c>
      <c r="CJ488" s="237">
        <f t="shared" ref="CJ488" si="1571">CI488+1</f>
        <v>2029</v>
      </c>
      <c r="CK488" s="237">
        <f t="shared" ref="CK488" si="1572">CJ488+1</f>
        <v>2030</v>
      </c>
      <c r="CL488" s="237">
        <f t="shared" ref="CL488:CM488" si="1573">CK488+1</f>
        <v>2031</v>
      </c>
      <c r="CM488" s="237">
        <f t="shared" si="1573"/>
        <v>2032</v>
      </c>
      <c r="CN488" s="195"/>
      <c r="CO488" s="195"/>
      <c r="CP488" s="195"/>
      <c r="CQ488" s="195"/>
      <c r="CR488" s="195"/>
      <c r="CS488" s="195"/>
      <c r="CT488" s="195"/>
      <c r="DE488" s="241"/>
      <c r="DF488" s="241"/>
      <c r="EK488" s="353">
        <v>40008</v>
      </c>
      <c r="EL488" s="354">
        <v>1.0652999999999999</v>
      </c>
    </row>
    <row r="489" spans="1:142">
      <c r="A489" s="202" t="s">
        <v>4</v>
      </c>
      <c r="B489" s="204">
        <f t="shared" ref="B489:AG489" si="1574">B419</f>
        <v>7690</v>
      </c>
      <c r="C489" s="204">
        <f t="shared" si="1574"/>
        <v>0</v>
      </c>
      <c r="D489" s="204">
        <f t="shared" si="1574"/>
        <v>0</v>
      </c>
      <c r="E489" s="204">
        <f t="shared" si="1574"/>
        <v>0</v>
      </c>
      <c r="F489" s="204">
        <f t="shared" si="1574"/>
        <v>2204</v>
      </c>
      <c r="G489" s="204">
        <f t="shared" si="1574"/>
        <v>8449.9</v>
      </c>
      <c r="H489" s="204">
        <f t="shared" si="1574"/>
        <v>2129</v>
      </c>
      <c r="I489" s="204">
        <f t="shared" si="1574"/>
        <v>2116</v>
      </c>
      <c r="J489" s="204">
        <f t="shared" si="1574"/>
        <v>2156</v>
      </c>
      <c r="K489" s="204">
        <f t="shared" si="1574"/>
        <v>2211</v>
      </c>
      <c r="L489" s="204">
        <f t="shared" si="1574"/>
        <v>8612</v>
      </c>
      <c r="M489" s="204">
        <f t="shared" si="1574"/>
        <v>2152</v>
      </c>
      <c r="N489" s="204">
        <f t="shared" si="1574"/>
        <v>2191</v>
      </c>
      <c r="O489" s="204">
        <f t="shared" si="1574"/>
        <v>2216</v>
      </c>
      <c r="P489" s="204">
        <f t="shared" si="1574"/>
        <v>2310</v>
      </c>
      <c r="Q489" s="204">
        <f t="shared" si="1574"/>
        <v>8869</v>
      </c>
      <c r="R489" s="204">
        <f t="shared" si="1574"/>
        <v>2133</v>
      </c>
      <c r="S489" s="204">
        <f t="shared" si="1574"/>
        <v>2158</v>
      </c>
      <c r="T489" s="204">
        <f t="shared" si="1574"/>
        <v>2244</v>
      </c>
      <c r="U489" s="204">
        <f t="shared" si="1574"/>
        <v>2248</v>
      </c>
      <c r="V489" s="204">
        <f t="shared" si="1574"/>
        <v>8783</v>
      </c>
      <c r="W489" s="204">
        <f t="shared" si="1574"/>
        <v>2135</v>
      </c>
      <c r="X489" s="204">
        <f t="shared" si="1574"/>
        <v>2223</v>
      </c>
      <c r="Y489" s="204">
        <f t="shared" si="1574"/>
        <v>2216</v>
      </c>
      <c r="Z489" s="204">
        <f t="shared" si="1574"/>
        <v>2306</v>
      </c>
      <c r="AA489" s="204">
        <f t="shared" si="1574"/>
        <v>8880</v>
      </c>
      <c r="AB489" s="204">
        <f t="shared" si="1574"/>
        <v>2327</v>
      </c>
      <c r="AC489" s="204">
        <f t="shared" si="1574"/>
        <v>2295</v>
      </c>
      <c r="AD489" s="204">
        <f t="shared" si="1574"/>
        <v>2239</v>
      </c>
      <c r="AE489" s="204">
        <f t="shared" si="1574"/>
        <v>2224</v>
      </c>
      <c r="AF489" s="204">
        <f t="shared" si="1574"/>
        <v>9028.3719999999994</v>
      </c>
      <c r="AG489" s="204">
        <f t="shared" si="1574"/>
        <v>2119</v>
      </c>
      <c r="AH489" s="204">
        <f t="shared" ref="AH489:BM489" si="1575">AH419</f>
        <v>2082</v>
      </c>
      <c r="AI489" s="204">
        <f t="shared" si="1575"/>
        <v>2065</v>
      </c>
      <c r="AJ489" s="204">
        <f t="shared" si="1575"/>
        <v>2123</v>
      </c>
      <c r="AK489" s="204">
        <f t="shared" si="1575"/>
        <v>8404</v>
      </c>
      <c r="AL489" s="204">
        <f t="shared" si="1575"/>
        <v>2149</v>
      </c>
      <c r="AM489" s="204">
        <f t="shared" si="1575"/>
        <v>2110</v>
      </c>
      <c r="AN489" s="204">
        <f t="shared" si="1575"/>
        <v>2166</v>
      </c>
      <c r="AO489" s="204">
        <f t="shared" si="1575"/>
        <v>2176</v>
      </c>
      <c r="AP489" s="204">
        <f t="shared" si="1575"/>
        <v>8601</v>
      </c>
      <c r="AQ489" s="204">
        <f t="shared" si="1575"/>
        <v>2140</v>
      </c>
      <c r="AR489" s="204">
        <f t="shared" si="1575"/>
        <v>2102</v>
      </c>
      <c r="AS489" s="204">
        <f t="shared" si="1575"/>
        <v>2156</v>
      </c>
      <c r="AT489" s="204">
        <f t="shared" si="1575"/>
        <v>2214</v>
      </c>
      <c r="AU489" s="204">
        <f t="shared" si="1575"/>
        <v>8612</v>
      </c>
      <c r="AV489" s="204">
        <f t="shared" si="1575"/>
        <v>2375</v>
      </c>
      <c r="AW489" s="204">
        <f t="shared" si="1575"/>
        <v>2335</v>
      </c>
      <c r="AX489" s="204">
        <f t="shared" si="1575"/>
        <v>2333</v>
      </c>
      <c r="AY489" s="204">
        <f t="shared" si="1575"/>
        <v>2376</v>
      </c>
      <c r="AZ489" s="204">
        <f t="shared" si="1575"/>
        <v>9419</v>
      </c>
      <c r="BA489" s="204">
        <f t="shared" si="1575"/>
        <v>2237</v>
      </c>
      <c r="BB489" s="204">
        <f t="shared" si="1575"/>
        <v>2246</v>
      </c>
      <c r="BC489" s="204">
        <f t="shared" si="1575"/>
        <v>2264</v>
      </c>
      <c r="BD489" s="204">
        <f t="shared" si="1575"/>
        <v>2445</v>
      </c>
      <c r="BE489" s="204">
        <f t="shared" si="1575"/>
        <v>9192</v>
      </c>
      <c r="BF489" s="204">
        <f t="shared" si="1575"/>
        <v>2232</v>
      </c>
      <c r="BG489" s="204">
        <f t="shared" si="1575"/>
        <v>2206</v>
      </c>
      <c r="BH489" s="204">
        <f t="shared" si="1575"/>
        <v>2285</v>
      </c>
      <c r="BI489" s="204">
        <f t="shared" si="1575"/>
        <v>2590</v>
      </c>
      <c r="BJ489" s="204">
        <f t="shared" si="1575"/>
        <v>9313</v>
      </c>
      <c r="BK489" s="204">
        <f t="shared" si="1575"/>
        <v>2341</v>
      </c>
      <c r="BL489" s="204">
        <f t="shared" si="1575"/>
        <v>2151</v>
      </c>
      <c r="BM489" s="204">
        <f t="shared" si="1575"/>
        <v>2213</v>
      </c>
      <c r="BN489" s="204">
        <f t="shared" ref="BN489:CI489" si="1576">BN419</f>
        <v>2261</v>
      </c>
      <c r="BO489" s="204">
        <f t="shared" si="1576"/>
        <v>8966</v>
      </c>
      <c r="BP489" s="204">
        <f t="shared" si="1576"/>
        <v>2240</v>
      </c>
      <c r="BQ489" s="204">
        <f t="shared" si="1576"/>
        <v>2274</v>
      </c>
      <c r="BR489" s="204">
        <f t="shared" si="1576"/>
        <v>2271</v>
      </c>
      <c r="BS489" s="204">
        <f t="shared" si="1576"/>
        <v>2456</v>
      </c>
      <c r="BT489" s="204">
        <f t="shared" si="1576"/>
        <v>9241</v>
      </c>
      <c r="BU489" s="254">
        <f t="shared" si="1576"/>
        <v>2406</v>
      </c>
      <c r="BV489" s="254">
        <f t="shared" si="1576"/>
        <v>2424</v>
      </c>
      <c r="BW489" s="254">
        <f t="shared" si="1576"/>
        <v>2405</v>
      </c>
      <c r="BX489" s="254">
        <f t="shared" si="1576"/>
        <v>2554</v>
      </c>
      <c r="BY489" s="204">
        <f t="shared" si="1576"/>
        <v>9789</v>
      </c>
      <c r="BZ489" s="254">
        <f t="shared" si="1576"/>
        <v>2526</v>
      </c>
      <c r="CA489" s="254">
        <f t="shared" ref="CA489:CB489" si="1577">CA419</f>
        <v>2470</v>
      </c>
      <c r="CB489" s="254">
        <f t="shared" si="1577"/>
        <v>2442</v>
      </c>
      <c r="CC489" s="254">
        <f t="shared" ref="CC489" si="1578">CC419</f>
        <v>2742</v>
      </c>
      <c r="CD489" s="204">
        <f t="shared" si="1576"/>
        <v>10180</v>
      </c>
      <c r="CE489" s="204">
        <f t="shared" si="1576"/>
        <v>10628.828973949185</v>
      </c>
      <c r="CF489" s="204">
        <f t="shared" si="1576"/>
        <v>10904.154172576371</v>
      </c>
      <c r="CG489" s="204">
        <f t="shared" si="1576"/>
        <v>11209.68564380456</v>
      </c>
      <c r="CH489" s="204">
        <f t="shared" si="1576"/>
        <v>11548.62078907947</v>
      </c>
      <c r="CI489" s="204">
        <f t="shared" si="1576"/>
        <v>11918.346764710979</v>
      </c>
      <c r="CJ489" s="204">
        <f t="shared" ref="CJ489:CL489" si="1579">CJ419</f>
        <v>12287.580727253633</v>
      </c>
      <c r="CK489" s="204">
        <f t="shared" si="1579"/>
        <v>12657.115188796175</v>
      </c>
      <c r="CL489" s="204">
        <f t="shared" si="1579"/>
        <v>13027.720388369175</v>
      </c>
      <c r="CM489" s="204">
        <f t="shared" ref="CM489" si="1580">CM419</f>
        <v>13400.146684438816</v>
      </c>
      <c r="CN489" s="195"/>
      <c r="CO489" s="195"/>
      <c r="CP489" s="195"/>
      <c r="CQ489" s="195"/>
      <c r="CR489" s="195"/>
      <c r="CS489" s="222"/>
      <c r="CT489" s="222"/>
      <c r="CU489" s="222"/>
      <c r="CV489" s="222"/>
      <c r="DE489" s="195"/>
      <c r="DF489" s="229"/>
      <c r="EK489" s="353">
        <v>40027</v>
      </c>
      <c r="EL489" s="354">
        <v>1.1259000000000001</v>
      </c>
    </row>
    <row r="490" spans="1:142">
      <c r="A490" s="195" t="s">
        <v>0</v>
      </c>
      <c r="B490" s="228"/>
      <c r="C490" s="228"/>
      <c r="D490" s="228"/>
      <c r="E490" s="228"/>
      <c r="F490" s="228"/>
      <c r="G490" s="228">
        <f t="shared" ref="G490:AL490" si="1581">G489/B489-1</f>
        <v>9.881664499349796E-2</v>
      </c>
      <c r="H490" s="228" t="e">
        <f t="shared" si="1581"/>
        <v>#DIV/0!</v>
      </c>
      <c r="I490" s="228" t="e">
        <f t="shared" si="1581"/>
        <v>#DIV/0!</v>
      </c>
      <c r="J490" s="228" t="e">
        <f t="shared" si="1581"/>
        <v>#DIV/0!</v>
      </c>
      <c r="K490" s="228">
        <f t="shared" si="1581"/>
        <v>3.1760435571688284E-3</v>
      </c>
      <c r="L490" s="228">
        <f t="shared" si="1581"/>
        <v>1.9183658978212836E-2</v>
      </c>
      <c r="M490" s="228">
        <f t="shared" si="1581"/>
        <v>1.0803193987787729E-2</v>
      </c>
      <c r="N490" s="228">
        <f t="shared" si="1581"/>
        <v>3.5444234404536923E-2</v>
      </c>
      <c r="O490" s="228">
        <f t="shared" si="1581"/>
        <v>2.7829313543599188E-2</v>
      </c>
      <c r="P490" s="228">
        <f t="shared" si="1581"/>
        <v>4.4776119402984982E-2</v>
      </c>
      <c r="Q490" s="228">
        <f t="shared" si="1581"/>
        <v>2.9842080817463978E-2</v>
      </c>
      <c r="R490" s="228">
        <f t="shared" si="1581"/>
        <v>-8.8289962825278678E-3</v>
      </c>
      <c r="S490" s="228">
        <f t="shared" si="1581"/>
        <v>-1.5061615700593389E-2</v>
      </c>
      <c r="T490" s="228">
        <f t="shared" si="1581"/>
        <v>1.2635379061371799E-2</v>
      </c>
      <c r="U490" s="228">
        <f t="shared" si="1581"/>
        <v>-2.6839826839826886E-2</v>
      </c>
      <c r="V490" s="228">
        <f t="shared" si="1581"/>
        <v>-9.69669635810122E-3</v>
      </c>
      <c r="W490" s="228">
        <f t="shared" si="1581"/>
        <v>9.3764650726679832E-4</v>
      </c>
      <c r="X490" s="228">
        <f t="shared" si="1581"/>
        <v>3.0120481927710774E-2</v>
      </c>
      <c r="Y490" s="228">
        <f t="shared" si="1581"/>
        <v>-1.2477718360071277E-2</v>
      </c>
      <c r="Z490" s="228">
        <f t="shared" si="1581"/>
        <v>2.5800711743772187E-2</v>
      </c>
      <c r="AA490" s="228">
        <f t="shared" si="1581"/>
        <v>1.1044062393259724E-2</v>
      </c>
      <c r="AB490" s="228">
        <f t="shared" si="1581"/>
        <v>8.9929742388758838E-2</v>
      </c>
      <c r="AC490" s="228">
        <f t="shared" si="1581"/>
        <v>3.238866396761142E-2</v>
      </c>
      <c r="AD490" s="228">
        <f t="shared" si="1581"/>
        <v>1.0379061371841081E-2</v>
      </c>
      <c r="AE490" s="228">
        <f t="shared" si="1581"/>
        <v>-3.5559410234171751E-2</v>
      </c>
      <c r="AF490" s="228">
        <f t="shared" si="1581"/>
        <v>1.6708558558558462E-2</v>
      </c>
      <c r="AG490" s="228">
        <f t="shared" si="1581"/>
        <v>-8.9385474860335212E-2</v>
      </c>
      <c r="AH490" s="228">
        <f t="shared" si="1581"/>
        <v>-9.2810457516339873E-2</v>
      </c>
      <c r="AI490" s="228">
        <f t="shared" si="1581"/>
        <v>-7.771326485037966E-2</v>
      </c>
      <c r="AJ490" s="228">
        <f t="shared" si="1581"/>
        <v>-4.5413669064748197E-2</v>
      </c>
      <c r="AK490" s="228">
        <f t="shared" si="1581"/>
        <v>-6.9156654156474651E-2</v>
      </c>
      <c r="AL490" s="228">
        <f t="shared" si="1581"/>
        <v>1.4157621519584662E-2</v>
      </c>
      <c r="AM490" s="228">
        <f t="shared" ref="AM490:CC490" si="1582">AM489/AH489-1</f>
        <v>1.344860710854956E-2</v>
      </c>
      <c r="AN490" s="228">
        <f t="shared" si="1582"/>
        <v>4.8910411622276051E-2</v>
      </c>
      <c r="AO490" s="228">
        <f t="shared" si="1582"/>
        <v>2.4964672633066343E-2</v>
      </c>
      <c r="AP490" s="228">
        <f t="shared" si="1582"/>
        <v>2.3441218467396441E-2</v>
      </c>
      <c r="AQ490" s="228">
        <f t="shared" si="1582"/>
        <v>-4.1879944160074789E-3</v>
      </c>
      <c r="AR490" s="228">
        <f t="shared" si="1582"/>
        <v>-3.7914691943128354E-3</v>
      </c>
      <c r="AS490" s="228">
        <f t="shared" si="1582"/>
        <v>-4.6168051708217472E-3</v>
      </c>
      <c r="AT490" s="228">
        <f t="shared" si="1582"/>
        <v>1.7463235294117752E-2</v>
      </c>
      <c r="AU490" s="228">
        <f t="shared" si="1582"/>
        <v>1.2789210556911623E-3</v>
      </c>
      <c r="AV490" s="228">
        <f t="shared" si="1582"/>
        <v>0.10981308411214963</v>
      </c>
      <c r="AW490" s="228">
        <f t="shared" si="1582"/>
        <v>0.11084681255946727</v>
      </c>
      <c r="AX490" s="228">
        <f t="shared" si="1582"/>
        <v>8.2096474953617715E-2</v>
      </c>
      <c r="AY490" s="228">
        <f t="shared" si="1582"/>
        <v>7.3170731707317138E-2</v>
      </c>
      <c r="AZ490" s="228">
        <f t="shared" si="1582"/>
        <v>9.3706456107756519E-2</v>
      </c>
      <c r="BA490" s="228">
        <f t="shared" si="1582"/>
        <v>-5.8105263157894771E-2</v>
      </c>
      <c r="BB490" s="228">
        <f t="shared" si="1582"/>
        <v>-3.8115631691648777E-2</v>
      </c>
      <c r="BC490" s="228">
        <f t="shared" si="1582"/>
        <v>-2.9575653664809298E-2</v>
      </c>
      <c r="BD490" s="228">
        <f t="shared" si="1582"/>
        <v>2.9040404040403978E-2</v>
      </c>
      <c r="BE490" s="228">
        <f t="shared" si="1582"/>
        <v>-2.4100222953604367E-2</v>
      </c>
      <c r="BF490" s="228">
        <f t="shared" si="1582"/>
        <v>-2.2351363433169569E-3</v>
      </c>
      <c r="BG490" s="228">
        <f t="shared" si="1582"/>
        <v>-1.7809439002671401E-2</v>
      </c>
      <c r="BH490" s="228">
        <f t="shared" si="1582"/>
        <v>9.2756183745583698E-3</v>
      </c>
      <c r="BI490" s="228">
        <f t="shared" si="1582"/>
        <v>5.9304703476482645E-2</v>
      </c>
      <c r="BJ490" s="228">
        <f>BJ489/BE489-1</f>
        <v>1.3163620539599741E-2</v>
      </c>
      <c r="BK490" s="228">
        <f t="shared" si="1582"/>
        <v>4.8835125448028593E-2</v>
      </c>
      <c r="BL490" s="228">
        <f t="shared" si="1582"/>
        <v>-2.4932003626473298E-2</v>
      </c>
      <c r="BM490" s="228">
        <f t="shared" si="1582"/>
        <v>-3.1509846827133425E-2</v>
      </c>
      <c r="BN490" s="228">
        <f t="shared" si="1582"/>
        <v>-0.12702702702702706</v>
      </c>
      <c r="BO490" s="228">
        <f>BO489/BJ489-1</f>
        <v>-3.7259744443251419E-2</v>
      </c>
      <c r="BP490" s="228">
        <f t="shared" si="1582"/>
        <v>-4.314395557454076E-2</v>
      </c>
      <c r="BQ490" s="228">
        <f t="shared" si="1582"/>
        <v>5.7182705718270554E-2</v>
      </c>
      <c r="BR490" s="228">
        <f t="shared" si="1582"/>
        <v>2.6208766380479087E-2</v>
      </c>
      <c r="BS490" s="228">
        <f t="shared" si="1582"/>
        <v>8.6245024325519726E-2</v>
      </c>
      <c r="BT490" s="228">
        <f>BT489/BO489-1</f>
        <v>3.0671425384787065E-2</v>
      </c>
      <c r="BU490" s="228">
        <f t="shared" si="1582"/>
        <v>7.4107142857142927E-2</v>
      </c>
      <c r="BV490" s="228">
        <f t="shared" si="1582"/>
        <v>6.5963060686015762E-2</v>
      </c>
      <c r="BW490" s="228">
        <f t="shared" si="1582"/>
        <v>5.9004843681197627E-2</v>
      </c>
      <c r="BX490" s="228">
        <f t="shared" si="1582"/>
        <v>3.9902280130293066E-2</v>
      </c>
      <c r="BY490" s="228">
        <f>BY489/BT489-1</f>
        <v>5.9300941456552403E-2</v>
      </c>
      <c r="BZ490" s="228">
        <f t="shared" si="1582"/>
        <v>4.9875311720698257E-2</v>
      </c>
      <c r="CA490" s="228">
        <f t="shared" si="1582"/>
        <v>1.8976897689769068E-2</v>
      </c>
      <c r="CB490" s="228">
        <f t="shared" si="1582"/>
        <v>1.538461538461533E-2</v>
      </c>
      <c r="CC490" s="228">
        <f t="shared" si="1582"/>
        <v>7.3610023492560739E-2</v>
      </c>
      <c r="CD490" s="228">
        <f>CD489/BY489-1</f>
        <v>3.9942792930840687E-2</v>
      </c>
      <c r="CE490" s="228">
        <f t="shared" ref="CE490:CI490" si="1583">CE489/CD489-1</f>
        <v>4.4089290171825501E-2</v>
      </c>
      <c r="CF490" s="228">
        <f t="shared" si="1583"/>
        <v>2.5903624877396725E-2</v>
      </c>
      <c r="CG490" s="228">
        <f t="shared" si="1583"/>
        <v>2.8019731415444449E-2</v>
      </c>
      <c r="CH490" s="228">
        <f t="shared" si="1583"/>
        <v>3.0235918833480868E-2</v>
      </c>
      <c r="CI490" s="228">
        <f t="shared" si="1583"/>
        <v>3.2014729930445629E-2</v>
      </c>
      <c r="CJ490" s="228">
        <f t="shared" ref="CJ490" si="1584">CJ489/CI489-1</f>
        <v>3.0980300358093071E-2</v>
      </c>
      <c r="CK490" s="228">
        <f t="shared" ref="CK490" si="1585">CK489/CJ489-1</f>
        <v>3.0073817600475339E-2</v>
      </c>
      <c r="CL490" s="228">
        <f t="shared" ref="CL490:CM490" si="1586">CL489/CK489-1</f>
        <v>2.9280384514557722E-2</v>
      </c>
      <c r="CM490" s="228">
        <f t="shared" si="1586"/>
        <v>2.8587219019693855E-2</v>
      </c>
      <c r="CN490" s="195"/>
      <c r="CO490" s="195"/>
      <c r="CP490" s="195"/>
      <c r="CQ490" s="195"/>
      <c r="CR490" s="195"/>
      <c r="CS490" s="222"/>
      <c r="CT490" s="222"/>
      <c r="CU490" s="222"/>
      <c r="CV490" s="222"/>
      <c r="DE490" s="195"/>
      <c r="DF490" s="229"/>
      <c r="EK490" s="353">
        <v>40028</v>
      </c>
      <c r="EL490" s="354">
        <v>1.1289</v>
      </c>
    </row>
    <row r="491" spans="1:142">
      <c r="A491" s="195"/>
      <c r="B491" s="228"/>
      <c r="C491" s="228"/>
      <c r="D491" s="228"/>
      <c r="E491" s="228"/>
      <c r="F491" s="228"/>
      <c r="G491" s="228"/>
      <c r="H491" s="228"/>
      <c r="I491" s="228"/>
      <c r="J491" s="228"/>
      <c r="K491" s="228"/>
      <c r="L491" s="228"/>
      <c r="M491" s="228"/>
      <c r="N491" s="228"/>
      <c r="O491" s="228"/>
      <c r="P491" s="228"/>
      <c r="Q491" s="228"/>
      <c r="R491" s="228"/>
      <c r="S491" s="228"/>
      <c r="T491" s="228"/>
      <c r="U491" s="228"/>
      <c r="V491" s="228"/>
      <c r="W491" s="228"/>
      <c r="X491" s="228"/>
      <c r="Y491" s="228"/>
      <c r="Z491" s="228"/>
      <c r="AA491" s="228"/>
      <c r="AB491" s="228"/>
      <c r="AC491" s="228"/>
      <c r="AD491" s="228"/>
      <c r="AE491" s="228"/>
      <c r="AF491" s="226"/>
      <c r="AG491" s="226"/>
      <c r="AH491" s="226"/>
      <c r="AI491" s="226"/>
      <c r="AJ491" s="226"/>
      <c r="AK491" s="227"/>
      <c r="AL491" s="227"/>
      <c r="AM491" s="227"/>
      <c r="AN491" s="227"/>
      <c r="AO491" s="227"/>
      <c r="AP491" s="195"/>
      <c r="AQ491" s="195"/>
      <c r="AR491" s="195"/>
      <c r="AS491" s="195"/>
      <c r="AT491" s="195"/>
      <c r="AU491" s="195"/>
      <c r="AV491" s="195"/>
      <c r="AW491" s="195"/>
      <c r="AX491" s="195"/>
      <c r="AY491" s="195"/>
      <c r="AZ491" s="195"/>
      <c r="BA491" s="195"/>
      <c r="BB491" s="195"/>
      <c r="BC491" s="195"/>
      <c r="BD491" s="195"/>
      <c r="BE491" s="195"/>
      <c r="BF491" s="195"/>
      <c r="BG491" s="195"/>
      <c r="BH491" s="195"/>
      <c r="BI491" s="195"/>
      <c r="BJ491" s="195"/>
      <c r="BK491" s="195"/>
      <c r="BL491" s="195"/>
      <c r="BM491" s="195"/>
      <c r="BN491" s="195"/>
      <c r="BO491" s="195"/>
      <c r="BP491" s="195"/>
      <c r="BQ491" s="195"/>
      <c r="BR491" s="195"/>
      <c r="BS491" s="195"/>
      <c r="BT491" s="195"/>
      <c r="BU491" s="195"/>
      <c r="BV491" s="195"/>
      <c r="BW491" s="195"/>
      <c r="BX491" s="195"/>
      <c r="BY491" s="195"/>
      <c r="BZ491" s="195"/>
      <c r="CA491" s="195"/>
      <c r="CB491" s="195"/>
      <c r="CC491" s="195"/>
      <c r="CD491" s="195"/>
      <c r="CE491" s="195"/>
      <c r="CF491" s="195"/>
      <c r="CG491" s="195"/>
      <c r="CH491" s="195"/>
      <c r="CI491" s="195"/>
      <c r="CJ491" s="195"/>
      <c r="CK491" s="195"/>
      <c r="CL491" s="195"/>
      <c r="CM491" s="195"/>
      <c r="CN491" s="195"/>
      <c r="CO491" s="195"/>
      <c r="CP491" s="195"/>
      <c r="CQ491" s="195"/>
      <c r="CR491" s="195"/>
      <c r="CS491" s="195"/>
      <c r="CT491" s="195"/>
      <c r="DE491" s="195"/>
      <c r="DF491" s="229"/>
      <c r="EK491" s="353">
        <v>40031</v>
      </c>
      <c r="EL491" s="354">
        <v>1.1320000000000001</v>
      </c>
    </row>
    <row r="492" spans="1:142">
      <c r="A492" s="286" t="s">
        <v>2</v>
      </c>
      <c r="B492" s="309">
        <f>B419-B368+B438+B439</f>
        <v>7690</v>
      </c>
      <c r="C492" s="309"/>
      <c r="D492" s="309"/>
      <c r="E492" s="309"/>
      <c r="F492" s="309">
        <f t="shared" ref="F492:V492" si="1587">F430</f>
        <v>1144</v>
      </c>
      <c r="G492" s="309">
        <f t="shared" si="1587"/>
        <v>4402.2000000000007</v>
      </c>
      <c r="H492" s="309">
        <f t="shared" si="1587"/>
        <v>1071</v>
      </c>
      <c r="I492" s="309">
        <f t="shared" si="1587"/>
        <v>1075.2475247524753</v>
      </c>
      <c r="J492" s="309">
        <f t="shared" si="1587"/>
        <v>1086</v>
      </c>
      <c r="K492" s="309">
        <f t="shared" si="1587"/>
        <v>1106</v>
      </c>
      <c r="L492" s="309">
        <f t="shared" si="1587"/>
        <v>4220</v>
      </c>
      <c r="M492" s="309">
        <f t="shared" si="1587"/>
        <v>1082</v>
      </c>
      <c r="N492" s="309">
        <f t="shared" si="1587"/>
        <v>1028</v>
      </c>
      <c r="O492" s="309">
        <f t="shared" si="1587"/>
        <v>1140</v>
      </c>
      <c r="P492" s="309">
        <f t="shared" si="1587"/>
        <v>1166</v>
      </c>
      <c r="Q492" s="309">
        <f t="shared" si="1587"/>
        <v>4416</v>
      </c>
      <c r="R492" s="309">
        <f t="shared" si="1587"/>
        <v>1090</v>
      </c>
      <c r="S492" s="309">
        <f t="shared" si="1587"/>
        <v>1106</v>
      </c>
      <c r="T492" s="309">
        <f t="shared" si="1587"/>
        <v>1123</v>
      </c>
      <c r="U492" s="309">
        <f t="shared" si="1587"/>
        <v>1104</v>
      </c>
      <c r="V492" s="309">
        <f t="shared" si="1587"/>
        <v>4423</v>
      </c>
      <c r="W492" s="309">
        <f t="shared" ref="W492:BG492" si="1588">W419-W368+W438+W439</f>
        <v>1132.6174999999998</v>
      </c>
      <c r="X492" s="309">
        <f t="shared" si="1588"/>
        <v>1105.9424999999999</v>
      </c>
      <c r="Y492" s="309">
        <f t="shared" si="1588"/>
        <v>1054.816</v>
      </c>
      <c r="Z492" s="309">
        <f t="shared" si="1588"/>
        <v>1065.3720000000001</v>
      </c>
      <c r="AA492" s="309">
        <f t="shared" si="1588"/>
        <v>4358.7479999999996</v>
      </c>
      <c r="AB492" s="309">
        <f t="shared" si="1588"/>
        <v>1121.614</v>
      </c>
      <c r="AC492" s="309">
        <f t="shared" si="1588"/>
        <v>1165.8599999999999</v>
      </c>
      <c r="AD492" s="309">
        <f t="shared" si="1588"/>
        <v>1153.085</v>
      </c>
      <c r="AE492" s="309">
        <f t="shared" si="1588"/>
        <v>1080.864</v>
      </c>
      <c r="AF492" s="309">
        <f t="shared" si="1588"/>
        <v>4464.7949999999992</v>
      </c>
      <c r="AG492" s="309">
        <f t="shared" si="1588"/>
        <v>1072.954</v>
      </c>
      <c r="AH492" s="309">
        <f t="shared" si="1588"/>
        <v>1086.0339999999999</v>
      </c>
      <c r="AI492" s="309">
        <f t="shared" si="1588"/>
        <v>1078.96</v>
      </c>
      <c r="AJ492" s="309">
        <f t="shared" si="1588"/>
        <v>1033.9559999999999</v>
      </c>
      <c r="AK492" s="309">
        <f t="shared" si="1588"/>
        <v>4112.3305194230634</v>
      </c>
      <c r="AL492" s="309">
        <f t="shared" si="1588"/>
        <v>2102.5</v>
      </c>
      <c r="AM492" s="309">
        <f t="shared" si="1588"/>
        <v>2068.9</v>
      </c>
      <c r="AN492" s="309">
        <f t="shared" si="1588"/>
        <v>2118</v>
      </c>
      <c r="AO492" s="309">
        <f t="shared" si="1588"/>
        <v>2135</v>
      </c>
      <c r="AP492" s="309">
        <f t="shared" si="1588"/>
        <v>8329</v>
      </c>
      <c r="AQ492" s="309">
        <f t="shared" si="1588"/>
        <v>1861</v>
      </c>
      <c r="AR492" s="309">
        <f t="shared" si="1588"/>
        <v>1674</v>
      </c>
      <c r="AS492" s="309">
        <f t="shared" si="1588"/>
        <v>1834</v>
      </c>
      <c r="AT492" s="309">
        <f t="shared" si="1588"/>
        <v>1855</v>
      </c>
      <c r="AU492" s="309">
        <f t="shared" si="1588"/>
        <v>7224</v>
      </c>
      <c r="AV492" s="309">
        <f t="shared" si="1588"/>
        <v>1998</v>
      </c>
      <c r="AW492" s="309">
        <f t="shared" si="1588"/>
        <v>2034</v>
      </c>
      <c r="AX492" s="309">
        <f t="shared" si="1588"/>
        <v>2040</v>
      </c>
      <c r="AY492" s="309">
        <f t="shared" si="1588"/>
        <v>2091</v>
      </c>
      <c r="AZ492" s="309">
        <f t="shared" si="1588"/>
        <v>8163</v>
      </c>
      <c r="BA492" s="309">
        <f t="shared" si="1588"/>
        <v>1812</v>
      </c>
      <c r="BB492" s="309">
        <f t="shared" si="1588"/>
        <v>1831</v>
      </c>
      <c r="BC492" s="309">
        <f t="shared" si="1588"/>
        <v>1811</v>
      </c>
      <c r="BD492" s="309">
        <f t="shared" si="1588"/>
        <v>1741</v>
      </c>
      <c r="BE492" s="309">
        <f t="shared" si="1588"/>
        <v>7195</v>
      </c>
      <c r="BF492" s="309">
        <f t="shared" si="1588"/>
        <v>1955</v>
      </c>
      <c r="BG492" s="309">
        <f t="shared" si="1588"/>
        <v>1981</v>
      </c>
      <c r="BH492" s="309"/>
      <c r="BI492" s="309"/>
      <c r="BJ492" s="309">
        <f t="shared" ref="BJ492:CM492" si="1589">BJ419-BJ368+BJ438+BJ439</f>
        <v>8451</v>
      </c>
      <c r="BK492" s="309">
        <f t="shared" si="1589"/>
        <v>2181</v>
      </c>
      <c r="BL492" s="309">
        <f t="shared" si="1589"/>
        <v>1966</v>
      </c>
      <c r="BM492" s="309">
        <f t="shared" si="1589"/>
        <v>2026</v>
      </c>
      <c r="BN492" s="309">
        <f t="shared" si="1589"/>
        <v>2057</v>
      </c>
      <c r="BO492" s="309">
        <f t="shared" si="1589"/>
        <v>8230</v>
      </c>
      <c r="BP492" s="309">
        <f t="shared" si="1589"/>
        <v>2088</v>
      </c>
      <c r="BQ492" s="309">
        <f t="shared" si="1589"/>
        <v>2158</v>
      </c>
      <c r="BR492" s="309">
        <f t="shared" si="1589"/>
        <v>2122</v>
      </c>
      <c r="BS492" s="309">
        <f t="shared" si="1589"/>
        <v>2300</v>
      </c>
      <c r="BT492" s="309">
        <f t="shared" si="1589"/>
        <v>8668</v>
      </c>
      <c r="BU492" s="347">
        <f t="shared" si="1589"/>
        <v>1344</v>
      </c>
      <c r="BV492" s="347">
        <f t="shared" si="1589"/>
        <v>1424</v>
      </c>
      <c r="BW492" s="347">
        <f t="shared" si="1589"/>
        <v>1431</v>
      </c>
      <c r="BX492" s="347">
        <f t="shared" si="1589"/>
        <v>1451</v>
      </c>
      <c r="BY492" s="309">
        <f t="shared" si="1589"/>
        <v>5650</v>
      </c>
      <c r="BZ492" s="347">
        <f t="shared" si="1589"/>
        <v>1403</v>
      </c>
      <c r="CA492" s="347">
        <f t="shared" ref="CA492:CB492" si="1590">CA419-CA368+CA438+CA439</f>
        <v>1433</v>
      </c>
      <c r="CB492" s="347">
        <f t="shared" si="1590"/>
        <v>1361</v>
      </c>
      <c r="CC492" s="347">
        <f t="shared" ref="CC492" si="1591">CC419-CC368+CC438+CC439</f>
        <v>1666</v>
      </c>
      <c r="CD492" s="309">
        <f t="shared" si="1589"/>
        <v>5863</v>
      </c>
      <c r="CE492" s="309">
        <f t="shared" si="1589"/>
        <v>5994.7811666436846</v>
      </c>
      <c r="CF492" s="309">
        <f t="shared" si="1589"/>
        <v>6032.6443007824937</v>
      </c>
      <c r="CG492" s="309">
        <f t="shared" si="1589"/>
        <v>6114.3361024001297</v>
      </c>
      <c r="CH492" s="309">
        <f t="shared" si="1589"/>
        <v>6231.8953720752661</v>
      </c>
      <c r="CI492" s="309">
        <f t="shared" si="1589"/>
        <v>6379.0490712359851</v>
      </c>
      <c r="CJ492" s="309">
        <f t="shared" si="1589"/>
        <v>6540.734202195461</v>
      </c>
      <c r="CK492" s="309">
        <f t="shared" si="1589"/>
        <v>6713.611860325379</v>
      </c>
      <c r="CL492" s="309">
        <f t="shared" si="1589"/>
        <v>6895.3505875423471</v>
      </c>
      <c r="CM492" s="309">
        <f t="shared" si="1589"/>
        <v>7084.3529863915137</v>
      </c>
      <c r="CN492" s="195"/>
      <c r="CO492" s="195"/>
      <c r="CP492" s="195"/>
      <c r="CQ492" s="195"/>
      <c r="CR492" s="195"/>
      <c r="CS492" s="195"/>
      <c r="CT492" s="195"/>
      <c r="EK492" s="353"/>
      <c r="EL492" s="354"/>
    </row>
    <row r="493" spans="1:142">
      <c r="A493" s="276" t="s">
        <v>75</v>
      </c>
      <c r="B493" s="243">
        <f>B436</f>
        <v>0.54824494423478443</v>
      </c>
      <c r="C493" s="243"/>
      <c r="D493" s="243"/>
      <c r="E493" s="243"/>
      <c r="F493" s="243"/>
      <c r="G493" s="243">
        <f>G436</f>
        <v>0.53320035437777991</v>
      </c>
      <c r="H493" s="243"/>
      <c r="I493" s="243"/>
      <c r="J493" s="243"/>
      <c r="K493" s="243"/>
      <c r="L493" s="243">
        <f>L436</f>
        <v>0.50909949293388912</v>
      </c>
      <c r="M493" s="243"/>
      <c r="N493" s="243"/>
      <c r="O493" s="243"/>
      <c r="P493" s="243"/>
      <c r="Q493" s="243">
        <f>Q436</f>
        <v>0.52347270082752773</v>
      </c>
      <c r="R493" s="243"/>
      <c r="S493" s="243"/>
      <c r="T493" s="243"/>
      <c r="U493" s="243"/>
      <c r="V493" s="243">
        <f>V436</f>
        <v>0.52139769948442571</v>
      </c>
      <c r="W493" s="243"/>
      <c r="X493" s="243"/>
      <c r="Y493" s="243"/>
      <c r="Z493" s="243"/>
      <c r="AA493" s="243">
        <f>AA436</f>
        <v>0.51236288503912131</v>
      </c>
      <c r="AB493" s="243"/>
      <c r="AC493" s="243"/>
      <c r="AD493" s="243"/>
      <c r="AE493" s="243"/>
      <c r="AF493" s="243">
        <f>AF436</f>
        <v>0.53895781862484238</v>
      </c>
      <c r="AG493" s="243"/>
      <c r="AH493" s="243"/>
      <c r="AI493" s="243"/>
      <c r="AJ493" s="243"/>
      <c r="AK493" s="243">
        <f>AK436</f>
        <v>0.52955291265114623</v>
      </c>
      <c r="AL493" s="243"/>
      <c r="AM493" s="243"/>
      <c r="AN493" s="243"/>
      <c r="AO493" s="243"/>
      <c r="AP493" s="243">
        <f>AP436</f>
        <v>0.56161048468152208</v>
      </c>
      <c r="AQ493" s="243"/>
      <c r="AR493" s="243"/>
      <c r="AS493" s="243"/>
      <c r="AT493" s="243"/>
      <c r="AU493" s="243">
        <f>AU436</f>
        <v>0.57718899599820339</v>
      </c>
      <c r="AV493" s="243"/>
      <c r="AW493" s="243"/>
      <c r="AX493" s="243"/>
      <c r="AY493" s="243"/>
      <c r="AZ493" s="243">
        <f t="shared" ref="AZ493:BG493" si="1592">AZ436</f>
        <v>0.50572634116937909</v>
      </c>
      <c r="BA493" s="243">
        <f t="shared" si="1592"/>
        <v>0.51515151515151514</v>
      </c>
      <c r="BB493" s="243">
        <f t="shared" si="1592"/>
        <v>0.50024838549428718</v>
      </c>
      <c r="BC493" s="243">
        <f t="shared" si="1592"/>
        <v>0.51652688702516036</v>
      </c>
      <c r="BD493" s="243">
        <f t="shared" si="1592"/>
        <v>0.37548828125</v>
      </c>
      <c r="BE493" s="243">
        <f t="shared" si="1592"/>
        <v>0.47632622706990579</v>
      </c>
      <c r="BF493" s="243">
        <f t="shared" si="1592"/>
        <v>0.5089881869542886</v>
      </c>
      <c r="BG493" s="243">
        <f t="shared" si="1592"/>
        <v>0.513555787278415</v>
      </c>
      <c r="BH493" s="243"/>
      <c r="BI493" s="243"/>
      <c r="BJ493" s="243">
        <f t="shared" ref="BJ493:CI493" si="1593">BJ436</f>
        <v>0.50352699756316532</v>
      </c>
      <c r="BK493" s="243">
        <f t="shared" si="1593"/>
        <v>0.49587628865979383</v>
      </c>
      <c r="BL493" s="243">
        <f t="shared" si="1593"/>
        <v>0.49789473684210528</v>
      </c>
      <c r="BM493" s="243">
        <f t="shared" si="1593"/>
        <v>0.49845360824742269</v>
      </c>
      <c r="BN493" s="243">
        <f t="shared" si="1593"/>
        <v>0.48277634961439586</v>
      </c>
      <c r="BO493" s="243">
        <f t="shared" si="1593"/>
        <v>0.49372168284789641</v>
      </c>
      <c r="BP493" s="243">
        <f t="shared" si="1593"/>
        <v>0.49664082687338501</v>
      </c>
      <c r="BQ493" s="243">
        <f t="shared" si="1593"/>
        <v>0.51221995926680242</v>
      </c>
      <c r="BR493" s="243">
        <f t="shared" si="1593"/>
        <v>0.48825587206396803</v>
      </c>
      <c r="BS493" s="243">
        <f t="shared" si="1593"/>
        <v>0.46975806451612906</v>
      </c>
      <c r="BT493" s="243">
        <f t="shared" si="1593"/>
        <v>0.49162861491628612</v>
      </c>
      <c r="BU493" s="222">
        <f t="shared" si="1593"/>
        <v>0.46234413965087284</v>
      </c>
      <c r="BV493" s="222">
        <f t="shared" si="1593"/>
        <v>0.49126213592233009</v>
      </c>
      <c r="BW493" s="222">
        <f t="shared" ref="BW493:BX493" si="1594">BW436</f>
        <v>0.48199711953912627</v>
      </c>
      <c r="BX493" s="222">
        <f t="shared" si="1594"/>
        <v>0.47244849065644468</v>
      </c>
      <c r="BY493" s="243">
        <f t="shared" si="1593"/>
        <v>0.47710989678202792</v>
      </c>
      <c r="BZ493" s="222">
        <f t="shared" ref="BZ493:CA493" si="1595">BZ436</f>
        <v>0.46596356663470756</v>
      </c>
      <c r="CA493" s="222">
        <f t="shared" si="1595"/>
        <v>0.47942583732057414</v>
      </c>
      <c r="CB493" s="222">
        <f t="shared" ref="CB493:CC493" si="1596">CB436</f>
        <v>0.43882853094000945</v>
      </c>
      <c r="CC493" s="222">
        <f t="shared" si="1596"/>
        <v>0.57414448669201523</v>
      </c>
      <c r="CD493" s="243">
        <f t="shared" si="1593"/>
        <v>0.45605924458346719</v>
      </c>
      <c r="CE493" s="243">
        <f t="shared" si="1593"/>
        <v>0.46273997855860305</v>
      </c>
      <c r="CF493" s="243">
        <f t="shared" si="1593"/>
        <v>0.45660963423632722</v>
      </c>
      <c r="CG493" s="243">
        <f t="shared" si="1593"/>
        <v>0.45089090679157462</v>
      </c>
      <c r="CH493" s="243">
        <f t="shared" si="1593"/>
        <v>0.44876378132849154</v>
      </c>
      <c r="CI493" s="243">
        <f t="shared" si="1593"/>
        <v>0.44832139554288442</v>
      </c>
      <c r="CJ493" s="243">
        <f t="shared" ref="CJ493:CL493" si="1597">CJ436</f>
        <v>0.44731674520825121</v>
      </c>
      <c r="CK493" s="243">
        <f t="shared" si="1597"/>
        <v>0.44574272126094366</v>
      </c>
      <c r="CL493" s="243">
        <f t="shared" si="1597"/>
        <v>0.44359325077062056</v>
      </c>
      <c r="CM493" s="243">
        <f t="shared" ref="CM493" si="1598">CM436</f>
        <v>0.44086373082155872</v>
      </c>
      <c r="CN493" s="195"/>
      <c r="CO493" s="195"/>
      <c r="CP493" s="195"/>
      <c r="CQ493" s="195"/>
      <c r="CR493" s="195"/>
      <c r="CS493" s="195"/>
      <c r="CT493" s="195"/>
      <c r="DV493" s="265"/>
      <c r="EA493" s="265"/>
      <c r="EB493" s="265"/>
      <c r="EC493" s="265"/>
      <c r="ED493" s="265"/>
      <c r="EE493" s="265"/>
      <c r="EK493" s="353">
        <v>40029</v>
      </c>
      <c r="EL493" s="354">
        <v>1.1313</v>
      </c>
    </row>
    <row r="494" spans="1:142">
      <c r="A494" s="276"/>
      <c r="B494" s="243"/>
      <c r="C494" s="306"/>
      <c r="D494" s="306"/>
      <c r="E494" s="306"/>
      <c r="F494" s="306">
        <f>F430-F492</f>
        <v>0</v>
      </c>
      <c r="G494" s="306"/>
      <c r="H494" s="306"/>
      <c r="I494" s="306"/>
      <c r="J494" s="306"/>
      <c r="K494" s="306"/>
      <c r="L494" s="306"/>
      <c r="M494" s="306">
        <f t="shared" ref="M494:AZ494" si="1599">M430-M492</f>
        <v>0</v>
      </c>
      <c r="N494" s="306">
        <f t="shared" si="1599"/>
        <v>0</v>
      </c>
      <c r="O494" s="306">
        <f t="shared" si="1599"/>
        <v>0</v>
      </c>
      <c r="P494" s="306">
        <f t="shared" si="1599"/>
        <v>0</v>
      </c>
      <c r="Q494" s="306">
        <f t="shared" si="1599"/>
        <v>0</v>
      </c>
      <c r="R494" s="306">
        <f t="shared" si="1599"/>
        <v>0</v>
      </c>
      <c r="S494" s="306">
        <f t="shared" si="1599"/>
        <v>0</v>
      </c>
      <c r="T494" s="306">
        <f t="shared" si="1599"/>
        <v>0</v>
      </c>
      <c r="U494" s="306">
        <f t="shared" si="1599"/>
        <v>0</v>
      </c>
      <c r="V494" s="306">
        <f t="shared" si="1599"/>
        <v>0</v>
      </c>
      <c r="W494" s="306">
        <f t="shared" si="1599"/>
        <v>0.38250000000016371</v>
      </c>
      <c r="X494" s="306">
        <f t="shared" si="1599"/>
        <v>5.7500000000118234E-2</v>
      </c>
      <c r="Y494" s="306">
        <f t="shared" si="1599"/>
        <v>0.18399999999996908</v>
      </c>
      <c r="Z494" s="306">
        <f t="shared" si="1599"/>
        <v>-0.37200000000007094</v>
      </c>
      <c r="AA494" s="306">
        <f t="shared" si="1599"/>
        <v>0.25200000000040745</v>
      </c>
      <c r="AB494" s="306">
        <f t="shared" si="1599"/>
        <v>0.38599999999996726</v>
      </c>
      <c r="AC494" s="306">
        <f t="shared" si="1599"/>
        <v>-0.85999999999989996</v>
      </c>
      <c r="AD494" s="306">
        <f t="shared" si="1599"/>
        <v>0.91499999999996362</v>
      </c>
      <c r="AE494" s="306">
        <f t="shared" si="1599"/>
        <v>0.13599999999996726</v>
      </c>
      <c r="AF494" s="306">
        <f t="shared" si="1599"/>
        <v>57.205000000000837</v>
      </c>
      <c r="AG494" s="306">
        <f t="shared" si="1599"/>
        <v>-365.20799999999986</v>
      </c>
      <c r="AH494" s="306">
        <f t="shared" si="1599"/>
        <v>-434.36799999999982</v>
      </c>
      <c r="AI494" s="306">
        <f t="shared" si="1599"/>
        <v>-426.42000000000007</v>
      </c>
      <c r="AJ494" s="306">
        <f t="shared" si="1599"/>
        <v>-337.61199999999985</v>
      </c>
      <c r="AK494" s="306">
        <f t="shared" si="1599"/>
        <v>0</v>
      </c>
      <c r="AL494" s="306">
        <f t="shared" si="1599"/>
        <v>-1389.0319999999999</v>
      </c>
      <c r="AM494" s="306">
        <f t="shared" si="1599"/>
        <v>-1419.02</v>
      </c>
      <c r="AN494" s="306">
        <f t="shared" si="1599"/>
        <v>-1429</v>
      </c>
      <c r="AO494" s="306">
        <f t="shared" si="1599"/>
        <v>-1459</v>
      </c>
      <c r="AP494" s="306">
        <f t="shared" si="1599"/>
        <v>-3903</v>
      </c>
      <c r="AQ494" s="306">
        <f t="shared" si="1599"/>
        <v>-700</v>
      </c>
      <c r="AR494" s="306">
        <f t="shared" si="1599"/>
        <v>-664</v>
      </c>
      <c r="AS494" s="306">
        <f t="shared" si="1599"/>
        <v>-690</v>
      </c>
      <c r="AT494" s="306">
        <f t="shared" si="1599"/>
        <v>-668</v>
      </c>
      <c r="AU494" s="306">
        <f t="shared" si="1599"/>
        <v>-2722</v>
      </c>
      <c r="AV494" s="306">
        <f t="shared" si="1599"/>
        <v>-974</v>
      </c>
      <c r="AW494" s="306">
        <f t="shared" si="1599"/>
        <v>-1028</v>
      </c>
      <c r="AX494" s="306">
        <f t="shared" si="1599"/>
        <v>-921</v>
      </c>
      <c r="AY494" s="306">
        <f t="shared" si="1599"/>
        <v>-1045</v>
      </c>
      <c r="AZ494" s="306">
        <f t="shared" si="1599"/>
        <v>-3968</v>
      </c>
      <c r="BA494" s="195"/>
      <c r="BB494" s="195"/>
      <c r="BC494" s="195"/>
      <c r="BD494" s="195"/>
      <c r="BE494" s="195"/>
      <c r="BF494" s="195"/>
      <c r="BG494" s="195"/>
      <c r="BH494" s="195"/>
      <c r="BI494" s="195"/>
      <c r="BJ494" s="195"/>
      <c r="BK494" s="195"/>
      <c r="BL494" s="195"/>
      <c r="BM494" s="195"/>
      <c r="BN494" s="195"/>
      <c r="BO494" s="195"/>
      <c r="BP494" s="195"/>
      <c r="BQ494" s="195"/>
      <c r="BR494" s="195"/>
      <c r="BS494" s="195"/>
      <c r="BT494" s="195"/>
      <c r="BU494" s="195"/>
      <c r="BV494" s="195"/>
      <c r="BW494" s="195"/>
      <c r="BX494" s="195"/>
      <c r="BY494" s="195"/>
      <c r="BZ494" s="195"/>
      <c r="CA494" s="195"/>
      <c r="CB494" s="195"/>
      <c r="CC494" s="195"/>
      <c r="CD494" s="195"/>
      <c r="CE494" s="195"/>
      <c r="CF494" s="195"/>
      <c r="CG494" s="195"/>
      <c r="CH494" s="195"/>
      <c r="CI494" s="195"/>
      <c r="CJ494" s="195"/>
      <c r="CK494" s="195"/>
      <c r="CL494" s="195"/>
      <c r="CM494" s="195"/>
      <c r="CN494" s="195"/>
      <c r="CO494" s="195"/>
      <c r="CP494" s="195"/>
      <c r="CQ494" s="195"/>
      <c r="CR494" s="195"/>
      <c r="CS494" s="195"/>
      <c r="CT494" s="195"/>
      <c r="EF494" s="265"/>
      <c r="EK494" s="353">
        <v>40030</v>
      </c>
      <c r="EL494" s="354">
        <v>1.1368</v>
      </c>
    </row>
    <row r="495" spans="1:142">
      <c r="A495" s="286" t="s">
        <v>76</v>
      </c>
      <c r="B495" s="309">
        <f>B492-B438</f>
        <v>6796</v>
      </c>
      <c r="C495" s="309"/>
      <c r="D495" s="309"/>
      <c r="E495" s="309"/>
      <c r="F495" s="309"/>
      <c r="G495" s="309">
        <f>G492-G438</f>
        <v>3210.0000000000009</v>
      </c>
      <c r="H495" s="309"/>
      <c r="I495" s="309"/>
      <c r="J495" s="309"/>
      <c r="K495" s="309"/>
      <c r="L495" s="309">
        <f>L492-L438</f>
        <v>3055</v>
      </c>
      <c r="M495" s="309"/>
      <c r="N495" s="309"/>
      <c r="O495" s="309"/>
      <c r="P495" s="309"/>
      <c r="Q495" s="309">
        <f>Q492-Q438</f>
        <v>3343</v>
      </c>
      <c r="R495" s="309"/>
      <c r="S495" s="309"/>
      <c r="T495" s="309"/>
      <c r="U495" s="309"/>
      <c r="V495" s="309">
        <f>V492-V438</f>
        <v>3232</v>
      </c>
      <c r="W495" s="309"/>
      <c r="X495" s="309"/>
      <c r="Y495" s="309"/>
      <c r="Z495" s="309"/>
      <c r="AA495" s="309">
        <f>AA492-AA438</f>
        <v>2996.7479999999996</v>
      </c>
      <c r="AB495" s="309"/>
      <c r="AC495" s="309"/>
      <c r="AD495" s="309"/>
      <c r="AE495" s="309"/>
      <c r="AF495" s="309">
        <f>AF492-AF438</f>
        <v>3098.7949999999992</v>
      </c>
      <c r="AG495" s="309"/>
      <c r="AH495" s="309"/>
      <c r="AI495" s="309"/>
      <c r="AJ495" s="309"/>
      <c r="AK495" s="309">
        <f>AK492-AK438</f>
        <v>2685.3305194230634</v>
      </c>
      <c r="AL495" s="309"/>
      <c r="AM495" s="309"/>
      <c r="AN495" s="309"/>
      <c r="AO495" s="309"/>
      <c r="AP495" s="309">
        <f>AP492-AP438</f>
        <v>7338</v>
      </c>
      <c r="AQ495" s="309"/>
      <c r="AR495" s="309"/>
      <c r="AS495" s="309"/>
      <c r="AT495" s="309"/>
      <c r="AU495" s="309">
        <f>AU492-AU438</f>
        <v>6172</v>
      </c>
      <c r="AV495" s="309"/>
      <c r="AW495" s="309"/>
      <c r="AX495" s="309"/>
      <c r="AY495" s="309"/>
      <c r="AZ495" s="309">
        <f>AZ492-AZ438</f>
        <v>7142</v>
      </c>
      <c r="BA495" s="309"/>
      <c r="BB495" s="309"/>
      <c r="BC495" s="309"/>
      <c r="BD495" s="309"/>
      <c r="BE495" s="309">
        <f>BE492-BE438</f>
        <v>6127</v>
      </c>
      <c r="BF495" s="309"/>
      <c r="BG495" s="309"/>
      <c r="BH495" s="309"/>
      <c r="BI495" s="309"/>
      <c r="BJ495" s="309">
        <f>BJ492-BJ438</f>
        <v>7072</v>
      </c>
      <c r="BK495" s="309"/>
      <c r="BL495" s="309"/>
      <c r="BM495" s="309"/>
      <c r="BN495" s="309"/>
      <c r="BO495" s="309">
        <f>BO492-BO438</f>
        <v>6817</v>
      </c>
      <c r="BP495" s="309"/>
      <c r="BQ495" s="309"/>
      <c r="BR495" s="309"/>
      <c r="BS495" s="309"/>
      <c r="BT495" s="309">
        <f>BT492-BT438</f>
        <v>7148</v>
      </c>
      <c r="BU495" s="347"/>
      <c r="BV495" s="347"/>
      <c r="BW495" s="347"/>
      <c r="BX495" s="347"/>
      <c r="BY495" s="309">
        <f t="shared" ref="BY495:CI495" si="1600">BY492-BY438</f>
        <v>4242</v>
      </c>
      <c r="BZ495" s="347"/>
      <c r="CA495" s="347"/>
      <c r="CB495" s="347"/>
      <c r="CC495" s="347"/>
      <c r="CD495" s="309">
        <f t="shared" si="1600"/>
        <v>4338</v>
      </c>
      <c r="CE495" s="309">
        <f t="shared" si="1600"/>
        <v>4538.7428619797374</v>
      </c>
      <c r="CF495" s="309">
        <f t="shared" si="1600"/>
        <v>4654.1857716518934</v>
      </c>
      <c r="CG495" s="309">
        <f t="shared" si="1600"/>
        <v>4784.28640364273</v>
      </c>
      <c r="CH495" s="309">
        <f t="shared" si="1600"/>
        <v>4928.0739095045701</v>
      </c>
      <c r="CI495" s="309">
        <f t="shared" si="1600"/>
        <v>5084.2800280751544</v>
      </c>
      <c r="CJ495" s="309">
        <f t="shared" ref="CJ495:CL495" si="1601">CJ492-CJ438</f>
        <v>5241.5707843298951</v>
      </c>
      <c r="CK495" s="309">
        <f t="shared" si="1601"/>
        <v>5400.2584345236883</v>
      </c>
      <c r="CL495" s="309">
        <f t="shared" si="1601"/>
        <v>5560.6516929389218</v>
      </c>
      <c r="CM495" s="309">
        <f t="shared" ref="CM495" si="1602">CM492-CM438</f>
        <v>5723.0564182859243</v>
      </c>
      <c r="CN495" s="195"/>
      <c r="CO495" s="195"/>
      <c r="CP495" s="195"/>
      <c r="CQ495" s="195"/>
      <c r="CR495" s="195"/>
      <c r="CS495" s="195"/>
      <c r="CT495" s="195"/>
      <c r="DT495" s="265"/>
      <c r="DU495" s="265"/>
      <c r="EG495" s="265"/>
      <c r="EH495" s="265"/>
      <c r="EI495" s="265"/>
      <c r="EK495" s="353"/>
      <c r="EL495" s="354"/>
    </row>
    <row r="496" spans="1:142">
      <c r="A496" s="276" t="s">
        <v>77</v>
      </c>
      <c r="B496" s="243">
        <f>B446</f>
        <v>0.43093471914437076</v>
      </c>
      <c r="C496" s="243"/>
      <c r="D496" s="243"/>
      <c r="E496" s="243"/>
      <c r="F496" s="243"/>
      <c r="G496" s="243">
        <f>G446</f>
        <v>0.40656669503210313</v>
      </c>
      <c r="H496" s="243"/>
      <c r="I496" s="243"/>
      <c r="J496" s="243"/>
      <c r="K496" s="243"/>
      <c r="L496" s="243">
        <f>L446</f>
        <v>0.36038072459988735</v>
      </c>
      <c r="M496" s="243"/>
      <c r="N496" s="243"/>
      <c r="O496" s="243"/>
      <c r="P496" s="243"/>
      <c r="Q496" s="243">
        <f>Q446</f>
        <v>0.38777538954433194</v>
      </c>
      <c r="R496" s="243"/>
      <c r="S496" s="243"/>
      <c r="T496" s="243"/>
      <c r="U496" s="243"/>
      <c r="V496" s="243">
        <f>V446</f>
        <v>0.37303923560197816</v>
      </c>
      <c r="W496" s="243"/>
      <c r="X496" s="243"/>
      <c r="Y496" s="243"/>
      <c r="Z496" s="243"/>
      <c r="AA496" s="243">
        <f>AA446</f>
        <v>0.34406189578219376</v>
      </c>
      <c r="AB496" s="243"/>
      <c r="AC496" s="243"/>
      <c r="AD496" s="243"/>
      <c r="AE496" s="243"/>
      <c r="AF496" s="243">
        <f>AF446</f>
        <v>0.36568972895044849</v>
      </c>
      <c r="AG496" s="243"/>
      <c r="AH496" s="243"/>
      <c r="AI496" s="243"/>
      <c r="AJ496" s="243"/>
      <c r="AK496" s="243">
        <f>AK446</f>
        <v>0.33488498639400244</v>
      </c>
      <c r="AL496" s="243"/>
      <c r="AM496" s="243"/>
      <c r="AN496" s="243"/>
      <c r="AO496" s="243"/>
      <c r="AP496" s="243">
        <f>AP446</f>
        <v>0.38800541978166209</v>
      </c>
      <c r="AQ496" s="243"/>
      <c r="AR496" s="243"/>
      <c r="AS496" s="243"/>
      <c r="AT496" s="243"/>
      <c r="AU496" s="243">
        <f>AU446</f>
        <v>0.38449782438417435</v>
      </c>
      <c r="AV496" s="243"/>
      <c r="AW496" s="243"/>
      <c r="AX496" s="243"/>
      <c r="AY496" s="243"/>
      <c r="AZ496" s="243">
        <f>AZ446</f>
        <v>0.33550961189698947</v>
      </c>
      <c r="BA496" s="243"/>
      <c r="BB496" s="243"/>
      <c r="BC496" s="243"/>
      <c r="BD496" s="243"/>
      <c r="BE496" s="243">
        <f>BE446</f>
        <v>0.33279623202776398</v>
      </c>
      <c r="BF496" s="243"/>
      <c r="BG496" s="243"/>
      <c r="BH496" s="243"/>
      <c r="BI496" s="243"/>
      <c r="BJ496" s="243">
        <f>BJ446</f>
        <v>0.32217519558804669</v>
      </c>
      <c r="BK496" s="243"/>
      <c r="BL496" s="243"/>
      <c r="BM496" s="243"/>
      <c r="BN496" s="243"/>
      <c r="BO496" s="243">
        <f>BO446</f>
        <v>0.29566343042071197</v>
      </c>
      <c r="BP496" s="243"/>
      <c r="BQ496" s="243"/>
      <c r="BR496" s="243"/>
      <c r="BS496" s="243"/>
      <c r="BT496" s="243">
        <f>BT446</f>
        <v>0.25966575205786979</v>
      </c>
      <c r="BU496" s="222"/>
      <c r="BV496" s="222"/>
      <c r="BW496" s="222"/>
      <c r="BX496" s="222"/>
      <c r="BY496" s="243">
        <f t="shared" ref="BY496:CI496" si="1603">BY446</f>
        <v>0.26499520153550865</v>
      </c>
      <c r="BZ496" s="222"/>
      <c r="CA496" s="222"/>
      <c r="CB496" s="222"/>
      <c r="CC496" s="222"/>
      <c r="CD496" s="243">
        <f t="shared" si="1603"/>
        <v>0.22971992974880201</v>
      </c>
      <c r="CE496" s="243">
        <f t="shared" si="1603"/>
        <v>0.26447673687627876</v>
      </c>
      <c r="CF496" s="243">
        <f t="shared" si="1603"/>
        <v>0.27933053660454171</v>
      </c>
      <c r="CG496" s="243">
        <f t="shared" si="1603"/>
        <v>0.29177905148521033</v>
      </c>
      <c r="CH496" s="243">
        <f t="shared" si="1603"/>
        <v>0.3015075381593525</v>
      </c>
      <c r="CI496" s="243">
        <f t="shared" si="1603"/>
        <v>0.30912907904113224</v>
      </c>
      <c r="CJ496" s="243">
        <f t="shared" ref="CJ496:CL496" si="1604">CJ446</f>
        <v>0.31500503221551351</v>
      </c>
      <c r="CK496" s="243">
        <f t="shared" si="1604"/>
        <v>0.31965156430350911</v>
      </c>
      <c r="CL496" s="243">
        <f t="shared" si="1604"/>
        <v>0.32342848985450096</v>
      </c>
      <c r="CM496" s="243">
        <f t="shared" ref="CM496" si="1605">CM446</f>
        <v>0.32658733537342732</v>
      </c>
      <c r="CN496" s="195"/>
      <c r="CO496" s="195"/>
      <c r="CP496" s="195"/>
      <c r="CQ496" s="195"/>
      <c r="CR496" s="195"/>
      <c r="CS496" s="195"/>
      <c r="CT496" s="195"/>
      <c r="EF496" s="265"/>
    </row>
    <row r="497" spans="1:142">
      <c r="EK497" s="353">
        <v>40032</v>
      </c>
      <c r="EL497" s="354">
        <v>1.1461000000000001</v>
      </c>
    </row>
    <row r="498" spans="1:142">
      <c r="EK498" s="353"/>
      <c r="EL498" s="354"/>
    </row>
    <row r="499" spans="1:142">
      <c r="A499" s="276" t="s">
        <v>78</v>
      </c>
      <c r="B499" s="222"/>
      <c r="C499" s="222"/>
      <c r="D499" s="222"/>
      <c r="E499" s="222"/>
      <c r="F499" s="222"/>
      <c r="G499" s="222"/>
      <c r="H499" s="222"/>
      <c r="I499" s="222"/>
      <c r="J499" s="222"/>
      <c r="K499" s="222"/>
      <c r="L499" s="222"/>
      <c r="M499" s="222"/>
      <c r="N499" s="222"/>
      <c r="O499" s="222"/>
      <c r="P499" s="222"/>
      <c r="Q499" s="222">
        <v>0.3</v>
      </c>
      <c r="R499" s="222"/>
      <c r="S499" s="222"/>
      <c r="T499" s="222"/>
      <c r="U499" s="222"/>
      <c r="V499" s="222">
        <f>Q499+3%</f>
        <v>0.32999999999999996</v>
      </c>
      <c r="W499" s="222"/>
      <c r="X499" s="222"/>
      <c r="Y499" s="222"/>
      <c r="Z499" s="222"/>
      <c r="AA499" s="222">
        <f>V499+3%</f>
        <v>0.36</v>
      </c>
      <c r="AB499" s="222"/>
      <c r="AC499" s="222"/>
      <c r="AD499" s="222"/>
      <c r="AE499" s="222"/>
      <c r="AF499" s="222">
        <f>AA499+2%</f>
        <v>0.38</v>
      </c>
      <c r="AG499" s="222"/>
      <c r="AH499" s="222"/>
      <c r="AI499" s="222"/>
      <c r="AJ499" s="222"/>
      <c r="AK499" s="330">
        <f>AF499+2%</f>
        <v>0.4</v>
      </c>
      <c r="AL499" s="222"/>
      <c r="AM499" s="222"/>
      <c r="AN499" s="222"/>
      <c r="AO499" s="222"/>
      <c r="AP499" s="330">
        <f>AK499+2%</f>
        <v>0.42000000000000004</v>
      </c>
      <c r="AQ499" s="222"/>
      <c r="AR499" s="222"/>
      <c r="AS499" s="222"/>
      <c r="AT499" s="222">
        <f>AT381/AS381-1</f>
        <v>4.663212435233155E-2</v>
      </c>
      <c r="AU499" s="330">
        <f>AP499+2%</f>
        <v>0.44000000000000006</v>
      </c>
      <c r="AV499" s="222"/>
      <c r="AW499" s="222"/>
      <c r="AX499" s="222"/>
      <c r="AY499" s="222"/>
      <c r="AZ499" s="330">
        <f>AU499+2%</f>
        <v>0.46000000000000008</v>
      </c>
      <c r="BA499" s="222"/>
      <c r="BB499" s="222"/>
      <c r="BC499" s="222"/>
      <c r="BD499" s="222"/>
      <c r="BE499" s="330">
        <f>AZ499+2%</f>
        <v>0.48000000000000009</v>
      </c>
      <c r="BF499" s="222"/>
      <c r="BG499" s="222"/>
      <c r="BH499" s="222"/>
      <c r="BI499" s="222"/>
      <c r="BJ499" s="330">
        <f>BE499+2%</f>
        <v>0.50000000000000011</v>
      </c>
      <c r="BK499" s="222"/>
      <c r="BL499" s="222"/>
      <c r="BM499" s="222"/>
      <c r="BN499" s="222"/>
      <c r="BO499" s="330">
        <f>BJ499+2%</f>
        <v>0.52000000000000013</v>
      </c>
      <c r="BP499" s="222"/>
      <c r="BQ499" s="222"/>
      <c r="BR499" s="222"/>
      <c r="BS499" s="222"/>
      <c r="BT499" s="330">
        <f>BO499+2%</f>
        <v>0.54000000000000015</v>
      </c>
      <c r="BU499" s="222"/>
      <c r="BV499" s="222"/>
      <c r="BW499" s="222"/>
      <c r="BX499" s="222"/>
      <c r="BY499" s="330">
        <f>BT499+2%</f>
        <v>0.56000000000000016</v>
      </c>
      <c r="BZ499" s="222"/>
      <c r="CA499" s="222"/>
      <c r="CB499" s="222"/>
      <c r="CC499" s="222"/>
      <c r="CD499" s="330">
        <f>BY499+2%</f>
        <v>0.58000000000000018</v>
      </c>
      <c r="CE499" s="330">
        <f t="shared" ref="CE499:CI499" si="1606">CD499+2%</f>
        <v>0.6000000000000002</v>
      </c>
      <c r="CF499" s="330">
        <f t="shared" si="1606"/>
        <v>0.62000000000000022</v>
      </c>
      <c r="CG499" s="330">
        <f t="shared" si="1606"/>
        <v>0.64000000000000024</v>
      </c>
      <c r="CH499" s="330">
        <f t="shared" si="1606"/>
        <v>0.66000000000000025</v>
      </c>
      <c r="CI499" s="330">
        <f t="shared" si="1606"/>
        <v>0.68000000000000027</v>
      </c>
      <c r="CJ499" s="330">
        <f t="shared" ref="CJ499" si="1607">CI499+2%</f>
        <v>0.70000000000000029</v>
      </c>
      <c r="CK499" s="330">
        <f t="shared" ref="CK499" si="1608">CJ499+2%</f>
        <v>0.72000000000000031</v>
      </c>
      <c r="CL499" s="330">
        <f t="shared" ref="CL499:CM499" si="1609">CK499+2%</f>
        <v>0.74000000000000032</v>
      </c>
      <c r="CM499" s="330">
        <f t="shared" si="1609"/>
        <v>0.76000000000000034</v>
      </c>
      <c r="CN499" s="195"/>
      <c r="CO499" s="195"/>
      <c r="CP499" s="195"/>
      <c r="CQ499" s="195"/>
      <c r="CR499" s="195"/>
      <c r="CS499" s="195"/>
      <c r="CT499" s="195"/>
      <c r="EF499" s="265"/>
      <c r="EK499" s="353">
        <v>40033</v>
      </c>
      <c r="EL499" s="354">
        <v>1.1602000000000001</v>
      </c>
    </row>
    <row r="500" spans="1:142">
      <c r="A500" s="276" t="s">
        <v>79</v>
      </c>
      <c r="B500" s="195"/>
      <c r="C500" s="195"/>
      <c r="D500" s="195"/>
      <c r="E500" s="195"/>
      <c r="F500" s="195"/>
      <c r="G500" s="364"/>
      <c r="H500" s="364"/>
      <c r="I500" s="364"/>
      <c r="J500" s="364"/>
      <c r="K500" s="364"/>
      <c r="L500" s="364"/>
      <c r="M500" s="364"/>
      <c r="N500" s="364"/>
      <c r="O500" s="364"/>
      <c r="P500" s="364"/>
      <c r="Q500" s="364">
        <f>Q499*Q376</f>
        <v>2409.2910000000002</v>
      </c>
      <c r="R500" s="364"/>
      <c r="S500" s="364"/>
      <c r="T500" s="364"/>
      <c r="U500" s="364"/>
      <c r="V500" s="364">
        <f>V499*V376</f>
        <v>2747.8994400000001</v>
      </c>
      <c r="W500" s="364"/>
      <c r="X500" s="364"/>
      <c r="Y500" s="364"/>
      <c r="Z500" s="364"/>
      <c r="AA500" s="364">
        <f>AA499*AA376</f>
        <v>2924.8711199999998</v>
      </c>
      <c r="AB500" s="364"/>
      <c r="AC500" s="364"/>
      <c r="AD500" s="364"/>
      <c r="AE500" s="364"/>
      <c r="AF500" s="364">
        <f>AF499*AF376</f>
        <v>2944.7214600000002</v>
      </c>
      <c r="AG500" s="364"/>
      <c r="AH500" s="364"/>
      <c r="AI500" s="364"/>
      <c r="AJ500" s="364"/>
      <c r="AK500" s="364">
        <f>AK499*AK376</f>
        <v>2988.6659999999997</v>
      </c>
      <c r="AL500" s="364"/>
      <c r="AM500" s="364"/>
      <c r="AN500" s="364"/>
      <c r="AO500" s="364"/>
      <c r="AP500" s="364">
        <f>AP499*AP376</f>
        <v>3204.1409400000002</v>
      </c>
      <c r="AQ500" s="364"/>
      <c r="AR500" s="401">
        <f>AR380/AM380-1</f>
        <v>-5.8128078817733964E-2</v>
      </c>
      <c r="AS500" s="401">
        <f>AS380/AN380-1</f>
        <v>-5.4832713754646822E-2</v>
      </c>
      <c r="AT500" s="401">
        <f>AT380/AO380-1</f>
        <v>-2.2094140249759864E-2</v>
      </c>
      <c r="AU500" s="364">
        <f>AU499*AU376</f>
        <v>3266.0634600000003</v>
      </c>
      <c r="AV500" s="364"/>
      <c r="AW500" s="364"/>
      <c r="AX500" s="364"/>
      <c r="AY500" s="364"/>
      <c r="AZ500" s="364">
        <f>AZ499*AZ376</f>
        <v>3547.0600000000004</v>
      </c>
      <c r="BA500" s="364"/>
      <c r="BB500" s="364"/>
      <c r="BC500" s="364"/>
      <c r="BD500" s="364"/>
      <c r="BE500" s="364">
        <f>BE499*BE376</f>
        <v>3586.0800000000008</v>
      </c>
      <c r="BF500" s="364"/>
      <c r="BG500" s="364"/>
      <c r="BH500" s="364"/>
      <c r="BI500" s="364"/>
      <c r="BJ500" s="364">
        <f>BJ499*BJ376</f>
        <v>3552.5000000000009</v>
      </c>
      <c r="BK500" s="364"/>
      <c r="BL500" s="364"/>
      <c r="BM500" s="364"/>
      <c r="BN500" s="364"/>
      <c r="BO500" s="364">
        <f>BO499*BO376</f>
        <v>3480.880000000001</v>
      </c>
      <c r="BP500" s="364"/>
      <c r="BQ500" s="364"/>
      <c r="BR500" s="364"/>
      <c r="BS500" s="364"/>
      <c r="BT500" s="364">
        <f>BT499*BT376</f>
        <v>3639.6000000000008</v>
      </c>
      <c r="BU500" s="332"/>
      <c r="BV500" s="332"/>
      <c r="BW500" s="332"/>
      <c r="BX500" s="332"/>
      <c r="BY500" s="364">
        <f>BY499*BY376</f>
        <v>3923.920000000001</v>
      </c>
      <c r="BZ500" s="332"/>
      <c r="CA500" s="332"/>
      <c r="CB500" s="332"/>
      <c r="CC500" s="332"/>
      <c r="CD500" s="364">
        <f t="shared" ref="CD500:CM500" si="1610">CD499*CD376</f>
        <v>4189.1847920000018</v>
      </c>
      <c r="CE500" s="364">
        <f t="shared" si="1610"/>
        <v>4385.0000700926521</v>
      </c>
      <c r="CF500" s="364">
        <f t="shared" si="1610"/>
        <v>4596.0691655691189</v>
      </c>
      <c r="CG500" s="364">
        <f t="shared" si="1610"/>
        <v>4808.691779074331</v>
      </c>
      <c r="CH500" s="364">
        <f t="shared" si="1610"/>
        <v>5043.9132003681207</v>
      </c>
      <c r="CI500" s="364">
        <f t="shared" si="1610"/>
        <v>5305.0697661823979</v>
      </c>
      <c r="CJ500" s="364">
        <f t="shared" si="1610"/>
        <v>5569.7397690916787</v>
      </c>
      <c r="CK500" s="364">
        <f t="shared" si="1610"/>
        <v>5838.0253353102289</v>
      </c>
      <c r="CL500" s="364">
        <f t="shared" si="1610"/>
        <v>6110.0366611563013</v>
      </c>
      <c r="CM500" s="364">
        <f t="shared" si="1610"/>
        <v>6385.8906713549231</v>
      </c>
      <c r="CN500" s="195"/>
      <c r="CO500" s="195"/>
      <c r="CP500" s="195"/>
      <c r="CQ500" s="195"/>
      <c r="CR500" s="195"/>
      <c r="CS500" s="195"/>
      <c r="CT500" s="195"/>
      <c r="DT500" s="265"/>
      <c r="DU500" s="265"/>
      <c r="EG500" s="265"/>
      <c r="EH500" s="265"/>
      <c r="EI500" s="265"/>
      <c r="EK500" s="353">
        <v>40034</v>
      </c>
      <c r="EL500" s="354">
        <v>1.1657999999999999</v>
      </c>
    </row>
    <row r="501" spans="1:142">
      <c r="EK501" s="353">
        <v>40035</v>
      </c>
      <c r="EL501" s="354">
        <v>1.1861999999999999</v>
      </c>
    </row>
    <row r="502" spans="1:142">
      <c r="EK502" s="353"/>
      <c r="EL502" s="354"/>
    </row>
    <row r="503" spans="1:142">
      <c r="A503" s="502" t="s">
        <v>767</v>
      </c>
      <c r="B503" s="502">
        <f>B$2</f>
        <v>2007</v>
      </c>
      <c r="C503" s="502" t="str">
        <f t="shared" ref="C503:BN503" si="1611">C$2</f>
        <v>Q1</v>
      </c>
      <c r="D503" s="502" t="str">
        <f t="shared" si="1611"/>
        <v>Q2</v>
      </c>
      <c r="E503" s="502" t="str">
        <f t="shared" si="1611"/>
        <v>Q3</v>
      </c>
      <c r="F503" s="502" t="str">
        <f t="shared" si="1611"/>
        <v>Q4</v>
      </c>
      <c r="G503" s="502">
        <f t="shared" si="1611"/>
        <v>2008</v>
      </c>
      <c r="H503" s="502" t="str">
        <f t="shared" si="1611"/>
        <v>Q1</v>
      </c>
      <c r="I503" s="502" t="str">
        <f t="shared" si="1611"/>
        <v>Q2</v>
      </c>
      <c r="J503" s="502" t="str">
        <f t="shared" si="1611"/>
        <v>Q3</v>
      </c>
      <c r="K503" s="502" t="str">
        <f t="shared" si="1611"/>
        <v>Q4</v>
      </c>
      <c r="L503" s="502">
        <f t="shared" si="1611"/>
        <v>2009</v>
      </c>
      <c r="M503" s="502" t="str">
        <f t="shared" si="1611"/>
        <v>Q1</v>
      </c>
      <c r="N503" s="502" t="str">
        <f t="shared" si="1611"/>
        <v>Q2</v>
      </c>
      <c r="O503" s="502" t="str">
        <f t="shared" si="1611"/>
        <v>Q3</v>
      </c>
      <c r="P503" s="502" t="str">
        <f t="shared" si="1611"/>
        <v>Q4</v>
      </c>
      <c r="Q503" s="502">
        <f t="shared" si="1611"/>
        <v>2010</v>
      </c>
      <c r="R503" s="502" t="str">
        <f t="shared" si="1611"/>
        <v>Q1</v>
      </c>
      <c r="S503" s="502" t="str">
        <f t="shared" si="1611"/>
        <v>Q2</v>
      </c>
      <c r="T503" s="502" t="str">
        <f t="shared" si="1611"/>
        <v>Q3</v>
      </c>
      <c r="U503" s="502" t="str">
        <f t="shared" si="1611"/>
        <v>Q4</v>
      </c>
      <c r="V503" s="502">
        <f t="shared" si="1611"/>
        <v>2011</v>
      </c>
      <c r="W503" s="502" t="str">
        <f t="shared" si="1611"/>
        <v>Q1</v>
      </c>
      <c r="X503" s="502" t="str">
        <f t="shared" si="1611"/>
        <v>Q2</v>
      </c>
      <c r="Y503" s="502" t="str">
        <f t="shared" si="1611"/>
        <v>Q3</v>
      </c>
      <c r="Z503" s="502" t="str">
        <f t="shared" si="1611"/>
        <v>Q4</v>
      </c>
      <c r="AA503" s="502">
        <f t="shared" si="1611"/>
        <v>2012</v>
      </c>
      <c r="AB503" s="502" t="str">
        <f t="shared" si="1611"/>
        <v>Q1</v>
      </c>
      <c r="AC503" s="502" t="str">
        <f t="shared" si="1611"/>
        <v>Q2</v>
      </c>
      <c r="AD503" s="502" t="str">
        <f t="shared" si="1611"/>
        <v>Q3</v>
      </c>
      <c r="AE503" s="502" t="str">
        <f t="shared" si="1611"/>
        <v>Q4</v>
      </c>
      <c r="AF503" s="502">
        <f t="shared" si="1611"/>
        <v>2013</v>
      </c>
      <c r="AG503" s="502" t="str">
        <f t="shared" si="1611"/>
        <v>Q1</v>
      </c>
      <c r="AH503" s="502" t="str">
        <f t="shared" si="1611"/>
        <v>Q2</v>
      </c>
      <c r="AI503" s="502" t="str">
        <f t="shared" si="1611"/>
        <v>Q3</v>
      </c>
      <c r="AJ503" s="502" t="str">
        <f t="shared" si="1611"/>
        <v>Q4</v>
      </c>
      <c r="AK503" s="502">
        <f t="shared" si="1611"/>
        <v>2014</v>
      </c>
      <c r="AL503" s="502" t="str">
        <f t="shared" si="1611"/>
        <v>Q1</v>
      </c>
      <c r="AM503" s="502" t="str">
        <f t="shared" si="1611"/>
        <v>Q2</v>
      </c>
      <c r="AN503" s="502" t="str">
        <f t="shared" si="1611"/>
        <v>Q3</v>
      </c>
      <c r="AO503" s="502" t="str">
        <f t="shared" si="1611"/>
        <v>Q4</v>
      </c>
      <c r="AP503" s="502">
        <f t="shared" si="1611"/>
        <v>2015</v>
      </c>
      <c r="AQ503" s="502" t="str">
        <f t="shared" si="1611"/>
        <v>Q1</v>
      </c>
      <c r="AR503" s="502" t="str">
        <f t="shared" si="1611"/>
        <v>Q2</v>
      </c>
      <c r="AS503" s="502" t="str">
        <f t="shared" si="1611"/>
        <v>Q3</v>
      </c>
      <c r="AT503" s="502" t="str">
        <f t="shared" si="1611"/>
        <v>Q4</v>
      </c>
      <c r="AU503" s="502">
        <f t="shared" si="1611"/>
        <v>2016</v>
      </c>
      <c r="AV503" s="502" t="str">
        <f t="shared" si="1611"/>
        <v>Q1</v>
      </c>
      <c r="AW503" s="502" t="str">
        <f t="shared" si="1611"/>
        <v>Q2</v>
      </c>
      <c r="AX503" s="502" t="str">
        <f t="shared" si="1611"/>
        <v>Q3</v>
      </c>
      <c r="AY503" s="502" t="str">
        <f t="shared" si="1611"/>
        <v>Q4</v>
      </c>
      <c r="AZ503" s="502">
        <f t="shared" si="1611"/>
        <v>2017</v>
      </c>
      <c r="BA503" s="502" t="str">
        <f t="shared" si="1611"/>
        <v>Q1</v>
      </c>
      <c r="BB503" s="502" t="str">
        <f t="shared" si="1611"/>
        <v>Q2</v>
      </c>
      <c r="BC503" s="502" t="str">
        <f t="shared" si="1611"/>
        <v>Q3</v>
      </c>
      <c r="BD503" s="502" t="str">
        <f t="shared" si="1611"/>
        <v>Q4</v>
      </c>
      <c r="BE503" s="502">
        <f t="shared" si="1611"/>
        <v>2018</v>
      </c>
      <c r="BF503" s="502" t="str">
        <f t="shared" si="1611"/>
        <v>Q1</v>
      </c>
      <c r="BG503" s="502" t="str">
        <f t="shared" si="1611"/>
        <v>Q2</v>
      </c>
      <c r="BH503" s="502" t="str">
        <f t="shared" si="1611"/>
        <v>Q3</v>
      </c>
      <c r="BI503" s="502" t="str">
        <f t="shared" si="1611"/>
        <v>Q4</v>
      </c>
      <c r="BJ503" s="502">
        <f t="shared" si="1611"/>
        <v>2019</v>
      </c>
      <c r="BK503" s="502" t="str">
        <f t="shared" si="1611"/>
        <v>Q1</v>
      </c>
      <c r="BL503" s="502" t="str">
        <f t="shared" si="1611"/>
        <v>Q2</v>
      </c>
      <c r="BM503" s="502" t="str">
        <f t="shared" si="1611"/>
        <v>Q3</v>
      </c>
      <c r="BN503" s="502" t="str">
        <f t="shared" si="1611"/>
        <v>Q4</v>
      </c>
      <c r="BO503" s="502">
        <f t="shared" ref="BO503:CM503" si="1612">BO$2</f>
        <v>2020</v>
      </c>
      <c r="BP503" s="502" t="str">
        <f t="shared" si="1612"/>
        <v>Q1</v>
      </c>
      <c r="BQ503" s="502" t="str">
        <f t="shared" si="1612"/>
        <v>Q2</v>
      </c>
      <c r="BR503" s="502" t="str">
        <f t="shared" si="1612"/>
        <v>Q3</v>
      </c>
      <c r="BS503" s="502" t="str">
        <f t="shared" si="1612"/>
        <v>Q4</v>
      </c>
      <c r="BT503" s="502">
        <f t="shared" si="1612"/>
        <v>2021</v>
      </c>
      <c r="BU503" s="502" t="str">
        <f t="shared" si="1612"/>
        <v>Q1</v>
      </c>
      <c r="BV503" s="502" t="str">
        <f t="shared" si="1612"/>
        <v>Q2</v>
      </c>
      <c r="BW503" s="502" t="str">
        <f t="shared" si="1612"/>
        <v>Q3</v>
      </c>
      <c r="BX503" s="502" t="str">
        <f t="shared" si="1612"/>
        <v>Q4</v>
      </c>
      <c r="BY503" s="502">
        <f t="shared" si="1612"/>
        <v>2022</v>
      </c>
      <c r="BZ503" s="502" t="str">
        <f t="shared" si="1612"/>
        <v>Q1</v>
      </c>
      <c r="CA503" s="502" t="str">
        <f t="shared" si="1612"/>
        <v>Q2</v>
      </c>
      <c r="CB503" s="502" t="str">
        <f t="shared" si="1612"/>
        <v>Q3</v>
      </c>
      <c r="CC503" s="502" t="str">
        <f t="shared" si="1612"/>
        <v>Q4</v>
      </c>
      <c r="CD503" s="502">
        <f t="shared" si="1612"/>
        <v>2023</v>
      </c>
      <c r="CE503" s="502">
        <f t="shared" si="1612"/>
        <v>2024</v>
      </c>
      <c r="CF503" s="502">
        <f t="shared" si="1612"/>
        <v>2025</v>
      </c>
      <c r="CG503" s="502">
        <f t="shared" si="1612"/>
        <v>2026</v>
      </c>
      <c r="CH503" s="502">
        <f t="shared" si="1612"/>
        <v>2027</v>
      </c>
      <c r="CI503" s="502">
        <f t="shared" si="1612"/>
        <v>2028</v>
      </c>
      <c r="CJ503" s="502">
        <f t="shared" si="1612"/>
        <v>2029</v>
      </c>
      <c r="CK503" s="502">
        <f t="shared" si="1612"/>
        <v>2030</v>
      </c>
      <c r="CL503" s="502">
        <f t="shared" si="1612"/>
        <v>2031</v>
      </c>
      <c r="CM503" s="502">
        <f t="shared" si="1612"/>
        <v>2032</v>
      </c>
      <c r="EK503" s="353">
        <v>40036</v>
      </c>
      <c r="EL503" s="354">
        <v>1.1567000000000001</v>
      </c>
    </row>
    <row r="504" spans="1:142">
      <c r="A504" s="265"/>
      <c r="EK504" s="353"/>
      <c r="EL504" s="354"/>
    </row>
    <row r="505" spans="1:142">
      <c r="A505" s="265" t="s">
        <v>8</v>
      </c>
      <c r="AF505" s="495">
        <f>AF419-AF378</f>
        <v>8630.2669999999998</v>
      </c>
      <c r="AG505" s="495"/>
      <c r="AH505" s="495"/>
      <c r="AI505" s="495"/>
      <c r="AJ505" s="495"/>
      <c r="AK505" s="495">
        <f>AK419-AK378</f>
        <v>8018.6649999999991</v>
      </c>
    </row>
    <row r="506" spans="1:142">
      <c r="A506" s="173" t="s">
        <v>722</v>
      </c>
      <c r="AA506" s="240" t="e">
        <f>AA402/V402-1</f>
        <v>#DIV/0!</v>
      </c>
      <c r="AB506" s="240" t="e">
        <f t="shared" ref="AB506:BU506" si="1613">AB402/W402-1</f>
        <v>#DIV/0!</v>
      </c>
      <c r="AC506" s="240" t="e">
        <f t="shared" si="1613"/>
        <v>#DIV/0!</v>
      </c>
      <c r="AD506" s="240" t="e">
        <f t="shared" si="1613"/>
        <v>#DIV/0!</v>
      </c>
      <c r="AE506" s="240" t="e">
        <f t="shared" si="1613"/>
        <v>#DIV/0!</v>
      </c>
      <c r="AF506" s="240" t="e">
        <f t="shared" si="1613"/>
        <v>#DIV/0!</v>
      </c>
      <c r="AG506" s="240" t="e">
        <f t="shared" si="1613"/>
        <v>#DIV/0!</v>
      </c>
      <c r="AH506" s="240" t="e">
        <f t="shared" si="1613"/>
        <v>#DIV/0!</v>
      </c>
      <c r="AI506" s="240" t="e">
        <f t="shared" si="1613"/>
        <v>#DIV/0!</v>
      </c>
      <c r="AJ506" s="240" t="e">
        <f t="shared" si="1613"/>
        <v>#DIV/0!</v>
      </c>
      <c r="AK506" s="240" t="e">
        <f t="shared" si="1613"/>
        <v>#DIV/0!</v>
      </c>
      <c r="AL506" s="240" t="e">
        <f t="shared" si="1613"/>
        <v>#DIV/0!</v>
      </c>
      <c r="AM506" s="240" t="e">
        <f t="shared" si="1613"/>
        <v>#DIV/0!</v>
      </c>
      <c r="AN506" s="240" t="e">
        <f t="shared" si="1613"/>
        <v>#DIV/0!</v>
      </c>
      <c r="AO506" s="240" t="e">
        <f t="shared" si="1613"/>
        <v>#DIV/0!</v>
      </c>
      <c r="AP506" s="240" t="e">
        <f t="shared" si="1613"/>
        <v>#DIV/0!</v>
      </c>
      <c r="AQ506" s="240" t="e">
        <f t="shared" si="1613"/>
        <v>#DIV/0!</v>
      </c>
      <c r="AR506" s="240" t="e">
        <f t="shared" si="1613"/>
        <v>#DIV/0!</v>
      </c>
      <c r="AS506" s="240" t="e">
        <f t="shared" si="1613"/>
        <v>#DIV/0!</v>
      </c>
      <c r="AT506" s="240" t="e">
        <f t="shared" si="1613"/>
        <v>#DIV/0!</v>
      </c>
      <c r="AU506" s="240" t="e">
        <f t="shared" si="1613"/>
        <v>#DIV/0!</v>
      </c>
      <c r="AV506" s="240" t="e">
        <f t="shared" si="1613"/>
        <v>#DIV/0!</v>
      </c>
      <c r="AW506" s="240" t="e">
        <f t="shared" si="1613"/>
        <v>#DIV/0!</v>
      </c>
      <c r="AX506" s="240" t="e">
        <f t="shared" si="1613"/>
        <v>#DIV/0!</v>
      </c>
      <c r="AY506" s="240" t="e">
        <f t="shared" si="1613"/>
        <v>#DIV/0!</v>
      </c>
      <c r="AZ506" s="240" t="e">
        <f t="shared" si="1613"/>
        <v>#DIV/0!</v>
      </c>
      <c r="BA506" s="240" t="e">
        <f t="shared" si="1613"/>
        <v>#DIV/0!</v>
      </c>
      <c r="BB506" s="240" t="e">
        <f t="shared" si="1613"/>
        <v>#DIV/0!</v>
      </c>
      <c r="BC506" s="240" t="e">
        <f t="shared" si="1613"/>
        <v>#DIV/0!</v>
      </c>
      <c r="BD506" s="240" t="e">
        <f t="shared" si="1613"/>
        <v>#DIV/0!</v>
      </c>
      <c r="BE506" s="240" t="e">
        <f t="shared" si="1613"/>
        <v>#DIV/0!</v>
      </c>
      <c r="BF506" s="240" t="e">
        <f t="shared" si="1613"/>
        <v>#DIV/0!</v>
      </c>
      <c r="BG506" s="240" t="e">
        <f t="shared" si="1613"/>
        <v>#DIV/0!</v>
      </c>
      <c r="BH506" s="240" t="e">
        <f t="shared" si="1613"/>
        <v>#DIV/0!</v>
      </c>
      <c r="BI506" s="240" t="e">
        <f t="shared" si="1613"/>
        <v>#DIV/0!</v>
      </c>
      <c r="BJ506" s="240" t="e">
        <f t="shared" si="1613"/>
        <v>#DIV/0!</v>
      </c>
      <c r="BK506" s="240" t="e">
        <f t="shared" si="1613"/>
        <v>#DIV/0!</v>
      </c>
      <c r="BL506" s="240" t="e">
        <f t="shared" si="1613"/>
        <v>#DIV/0!</v>
      </c>
      <c r="BM506" s="240" t="e">
        <f t="shared" si="1613"/>
        <v>#DIV/0!</v>
      </c>
      <c r="BN506" s="240" t="e">
        <f t="shared" si="1613"/>
        <v>#DIV/0!</v>
      </c>
      <c r="BO506" s="240" t="e">
        <f t="shared" si="1613"/>
        <v>#DIV/0!</v>
      </c>
      <c r="BP506" s="240" t="e">
        <f t="shared" si="1613"/>
        <v>#DIV/0!</v>
      </c>
      <c r="BQ506" s="240" t="e">
        <f t="shared" si="1613"/>
        <v>#DIV/0!</v>
      </c>
      <c r="BR506" s="240" t="e">
        <f t="shared" si="1613"/>
        <v>#DIV/0!</v>
      </c>
      <c r="BS506" s="240" t="e">
        <f t="shared" si="1613"/>
        <v>#DIV/0!</v>
      </c>
      <c r="BT506" s="240" t="e">
        <f t="shared" si="1613"/>
        <v>#DIV/0!</v>
      </c>
      <c r="BU506" s="240">
        <f t="shared" si="1613"/>
        <v>4.9465240641711317E-2</v>
      </c>
      <c r="BV506" s="240">
        <f>BV402/BQ402-1</f>
        <v>5.7441253263707637E-2</v>
      </c>
      <c r="BW506" s="240">
        <f t="shared" ref="BW506:CC506" si="1614">BW402/BR402-1</f>
        <v>6.0025542784163388E-2</v>
      </c>
      <c r="BX506" s="240">
        <f t="shared" si="1614"/>
        <v>0.10966057441253274</v>
      </c>
      <c r="BY506" s="240">
        <f t="shared" si="1614"/>
        <v>6.9213189683317022E-2</v>
      </c>
      <c r="BZ506" s="240">
        <f t="shared" si="1614"/>
        <v>0.10063694267515921</v>
      </c>
      <c r="CA506" s="240">
        <f t="shared" si="1614"/>
        <v>7.5308641975308621E-2</v>
      </c>
      <c r="CB506" s="240">
        <f t="shared" si="1614"/>
        <v>6.2650602409638489E-2</v>
      </c>
      <c r="CC506" s="240">
        <f t="shared" si="1614"/>
        <v>6.23529411764705E-2</v>
      </c>
      <c r="CD506" s="240">
        <f>CD402/BY402-1</f>
        <v>7.4809160305343569E-2</v>
      </c>
      <c r="CE506" s="240">
        <f>CE402/CD402-1</f>
        <v>3.0269473206732567E-2</v>
      </c>
      <c r="CF506" s="240">
        <f t="shared" ref="CF506:CM506" si="1615">CF402/CE402-1</f>
        <v>1.8248424646016614E-2</v>
      </c>
      <c r="CG506" s="240">
        <f t="shared" si="1615"/>
        <v>1.9414322589793809E-2</v>
      </c>
      <c r="CH506" s="240">
        <f t="shared" si="1615"/>
        <v>2.3158071194440355E-2</v>
      </c>
      <c r="CI506" s="240">
        <f t="shared" si="1615"/>
        <v>2.7048077458160957E-2</v>
      </c>
      <c r="CJ506" s="240">
        <f t="shared" si="1615"/>
        <v>2.5960745455861245E-2</v>
      </c>
      <c r="CK506" s="240">
        <f t="shared" si="1615"/>
        <v>2.4993700720026713E-2</v>
      </c>
      <c r="CL506" s="240">
        <f t="shared" si="1615"/>
        <v>2.4131563333861905E-2</v>
      </c>
      <c r="CM506" s="240">
        <f t="shared" si="1615"/>
        <v>2.3361234112202478E-2</v>
      </c>
    </row>
    <row r="507" spans="1:142">
      <c r="A507" s="173" t="s">
        <v>570</v>
      </c>
      <c r="AA507" s="240" t="e">
        <f>AA403/V403-1</f>
        <v>#DIV/0!</v>
      </c>
      <c r="AB507" s="240" t="e">
        <f t="shared" ref="AB507:BU507" si="1616">AB403/W403-1</f>
        <v>#DIV/0!</v>
      </c>
      <c r="AC507" s="240" t="e">
        <f t="shared" si="1616"/>
        <v>#DIV/0!</v>
      </c>
      <c r="AD507" s="240" t="e">
        <f t="shared" si="1616"/>
        <v>#DIV/0!</v>
      </c>
      <c r="AE507" s="240" t="e">
        <f t="shared" si="1616"/>
        <v>#DIV/0!</v>
      </c>
      <c r="AF507" s="240" t="e">
        <f t="shared" si="1616"/>
        <v>#DIV/0!</v>
      </c>
      <c r="AG507" s="240" t="e">
        <f t="shared" si="1616"/>
        <v>#DIV/0!</v>
      </c>
      <c r="AH507" s="240" t="e">
        <f t="shared" si="1616"/>
        <v>#DIV/0!</v>
      </c>
      <c r="AI507" s="240" t="e">
        <f t="shared" si="1616"/>
        <v>#DIV/0!</v>
      </c>
      <c r="AJ507" s="240" t="e">
        <f t="shared" si="1616"/>
        <v>#DIV/0!</v>
      </c>
      <c r="AK507" s="240" t="e">
        <f t="shared" si="1616"/>
        <v>#DIV/0!</v>
      </c>
      <c r="AL507" s="240" t="e">
        <f t="shared" si="1616"/>
        <v>#DIV/0!</v>
      </c>
      <c r="AM507" s="240" t="e">
        <f t="shared" si="1616"/>
        <v>#DIV/0!</v>
      </c>
      <c r="AN507" s="240" t="e">
        <f t="shared" si="1616"/>
        <v>#DIV/0!</v>
      </c>
      <c r="AO507" s="240" t="e">
        <f t="shared" si="1616"/>
        <v>#DIV/0!</v>
      </c>
      <c r="AP507" s="240" t="e">
        <f t="shared" si="1616"/>
        <v>#DIV/0!</v>
      </c>
      <c r="AQ507" s="240" t="e">
        <f t="shared" si="1616"/>
        <v>#DIV/0!</v>
      </c>
      <c r="AR507" s="240" t="e">
        <f t="shared" si="1616"/>
        <v>#DIV/0!</v>
      </c>
      <c r="AS507" s="240" t="e">
        <f t="shared" si="1616"/>
        <v>#DIV/0!</v>
      </c>
      <c r="AT507" s="240" t="e">
        <f t="shared" si="1616"/>
        <v>#DIV/0!</v>
      </c>
      <c r="AU507" s="240" t="e">
        <f t="shared" si="1616"/>
        <v>#DIV/0!</v>
      </c>
      <c r="AV507" s="240" t="e">
        <f t="shared" si="1616"/>
        <v>#DIV/0!</v>
      </c>
      <c r="AW507" s="240" t="e">
        <f t="shared" si="1616"/>
        <v>#DIV/0!</v>
      </c>
      <c r="AX507" s="240" t="e">
        <f t="shared" si="1616"/>
        <v>#DIV/0!</v>
      </c>
      <c r="AY507" s="240" t="e">
        <f t="shared" si="1616"/>
        <v>#DIV/0!</v>
      </c>
      <c r="AZ507" s="240" t="e">
        <f t="shared" si="1616"/>
        <v>#DIV/0!</v>
      </c>
      <c r="BA507" s="240" t="e">
        <f t="shared" si="1616"/>
        <v>#DIV/0!</v>
      </c>
      <c r="BB507" s="240" t="e">
        <f t="shared" si="1616"/>
        <v>#DIV/0!</v>
      </c>
      <c r="BC507" s="240" t="e">
        <f t="shared" si="1616"/>
        <v>#DIV/0!</v>
      </c>
      <c r="BD507" s="240" t="e">
        <f t="shared" si="1616"/>
        <v>#DIV/0!</v>
      </c>
      <c r="BE507" s="240" t="e">
        <f t="shared" si="1616"/>
        <v>#DIV/0!</v>
      </c>
      <c r="BF507" s="240" t="e">
        <f t="shared" si="1616"/>
        <v>#DIV/0!</v>
      </c>
      <c r="BG507" s="240" t="e">
        <f t="shared" si="1616"/>
        <v>#DIV/0!</v>
      </c>
      <c r="BH507" s="240" t="e">
        <f t="shared" si="1616"/>
        <v>#DIV/0!</v>
      </c>
      <c r="BI507" s="240" t="e">
        <f t="shared" si="1616"/>
        <v>#DIV/0!</v>
      </c>
      <c r="BJ507" s="240" t="e">
        <f t="shared" si="1616"/>
        <v>#DIV/0!</v>
      </c>
      <c r="BK507" s="240" t="e">
        <f t="shared" si="1616"/>
        <v>#DIV/0!</v>
      </c>
      <c r="BL507" s="240" t="e">
        <f t="shared" si="1616"/>
        <v>#DIV/0!</v>
      </c>
      <c r="BM507" s="240" t="e">
        <f t="shared" si="1616"/>
        <v>#DIV/0!</v>
      </c>
      <c r="BN507" s="240" t="e">
        <f t="shared" si="1616"/>
        <v>#DIV/0!</v>
      </c>
      <c r="BO507" s="240" t="e">
        <f t="shared" si="1616"/>
        <v>#DIV/0!</v>
      </c>
      <c r="BP507" s="240" t="e">
        <f t="shared" si="1616"/>
        <v>#DIV/0!</v>
      </c>
      <c r="BQ507" s="240" t="e">
        <f t="shared" si="1616"/>
        <v>#DIV/0!</v>
      </c>
      <c r="BR507" s="240" t="e">
        <f t="shared" si="1616"/>
        <v>#DIV/0!</v>
      </c>
      <c r="BS507" s="240" t="e">
        <f t="shared" si="1616"/>
        <v>#DIV/0!</v>
      </c>
      <c r="BT507" s="240" t="e">
        <f t="shared" si="1616"/>
        <v>#DIV/0!</v>
      </c>
      <c r="BU507" s="240">
        <f t="shared" si="1616"/>
        <v>-4.7826086956521685E-2</v>
      </c>
      <c r="BV507" s="240">
        <f>BV403/BQ403-1</f>
        <v>-8.7591240875912746E-3</v>
      </c>
      <c r="BW507" s="240">
        <f t="shared" ref="BW507:CC507" si="1617">BW403/BR403-1</f>
        <v>-1.3138686131386912E-2</v>
      </c>
      <c r="BX507" s="240">
        <f t="shared" si="1617"/>
        <v>3.969465648854964E-2</v>
      </c>
      <c r="BY507" s="240">
        <f t="shared" si="1617"/>
        <v>-8.1031307550644138E-3</v>
      </c>
      <c r="BZ507" s="240">
        <f t="shared" si="1617"/>
        <v>6.0882800608828003E-3</v>
      </c>
      <c r="CA507" s="240">
        <f t="shared" si="1617"/>
        <v>-4.123711340206182E-2</v>
      </c>
      <c r="CB507" s="240">
        <f t="shared" si="1617"/>
        <v>-3.5502958579881616E-2</v>
      </c>
      <c r="CC507" s="240">
        <f t="shared" si="1617"/>
        <v>-3.8179148311306865E-2</v>
      </c>
      <c r="CD507" s="240">
        <f>CD403/BY403-1</f>
        <v>-2.7478648347567747E-2</v>
      </c>
      <c r="CE507" s="240">
        <f>CE403/CD403-1</f>
        <v>8.5951688471421761E-3</v>
      </c>
      <c r="CF507" s="240">
        <f t="shared" ref="CF507:CM507" si="1618">CF403/CE403-1</f>
        <v>1.0660082487791378E-2</v>
      </c>
      <c r="CG507" s="240">
        <f t="shared" si="1618"/>
        <v>6.7491988074406262E-3</v>
      </c>
      <c r="CH507" s="240">
        <f t="shared" si="1618"/>
        <v>1.0477133649242854E-2</v>
      </c>
      <c r="CI507" s="240">
        <f t="shared" si="1618"/>
        <v>1.4348721280057486E-2</v>
      </c>
      <c r="CJ507" s="240">
        <f t="shared" si="1618"/>
        <v>1.3303578613161227E-2</v>
      </c>
      <c r="CK507" s="240">
        <f t="shared" si="1618"/>
        <v>1.2376169083405442E-2</v>
      </c>
      <c r="CL507" s="240">
        <f t="shared" si="1618"/>
        <v>1.1551319605180188E-2</v>
      </c>
      <c r="CM507" s="240">
        <f t="shared" si="1618"/>
        <v>1.0816108416636272E-2</v>
      </c>
    </row>
    <row r="508" spans="1:142">
      <c r="A508" s="173" t="s">
        <v>762</v>
      </c>
      <c r="AA508" s="240" t="e">
        <f>AA404/V404-1</f>
        <v>#DIV/0!</v>
      </c>
      <c r="AB508" s="240" t="e">
        <f t="shared" ref="AB508:BU508" si="1619">AB404/W404-1</f>
        <v>#DIV/0!</v>
      </c>
      <c r="AC508" s="240" t="e">
        <f t="shared" si="1619"/>
        <v>#DIV/0!</v>
      </c>
      <c r="AD508" s="240" t="e">
        <f t="shared" si="1619"/>
        <v>#DIV/0!</v>
      </c>
      <c r="AE508" s="240" t="e">
        <f t="shared" si="1619"/>
        <v>#DIV/0!</v>
      </c>
      <c r="AF508" s="240" t="e">
        <f t="shared" si="1619"/>
        <v>#DIV/0!</v>
      </c>
      <c r="AG508" s="240" t="e">
        <f t="shared" si="1619"/>
        <v>#DIV/0!</v>
      </c>
      <c r="AH508" s="240" t="e">
        <f t="shared" si="1619"/>
        <v>#DIV/0!</v>
      </c>
      <c r="AI508" s="240" t="e">
        <f t="shared" si="1619"/>
        <v>#DIV/0!</v>
      </c>
      <c r="AJ508" s="240" t="e">
        <f t="shared" si="1619"/>
        <v>#DIV/0!</v>
      </c>
      <c r="AK508" s="240" t="e">
        <f t="shared" si="1619"/>
        <v>#DIV/0!</v>
      </c>
      <c r="AL508" s="240" t="e">
        <f t="shared" si="1619"/>
        <v>#DIV/0!</v>
      </c>
      <c r="AM508" s="240" t="e">
        <f t="shared" si="1619"/>
        <v>#DIV/0!</v>
      </c>
      <c r="AN508" s="240" t="e">
        <f t="shared" si="1619"/>
        <v>#DIV/0!</v>
      </c>
      <c r="AO508" s="240" t="e">
        <f t="shared" si="1619"/>
        <v>#DIV/0!</v>
      </c>
      <c r="AP508" s="240" t="e">
        <f t="shared" si="1619"/>
        <v>#DIV/0!</v>
      </c>
      <c r="AQ508" s="240" t="e">
        <f t="shared" si="1619"/>
        <v>#DIV/0!</v>
      </c>
      <c r="AR508" s="240" t="e">
        <f t="shared" si="1619"/>
        <v>#DIV/0!</v>
      </c>
      <c r="AS508" s="240" t="e">
        <f t="shared" si="1619"/>
        <v>#DIV/0!</v>
      </c>
      <c r="AT508" s="240" t="e">
        <f t="shared" si="1619"/>
        <v>#DIV/0!</v>
      </c>
      <c r="AU508" s="240" t="e">
        <f t="shared" si="1619"/>
        <v>#DIV/0!</v>
      </c>
      <c r="AV508" s="240" t="e">
        <f t="shared" si="1619"/>
        <v>#DIV/0!</v>
      </c>
      <c r="AW508" s="240" t="e">
        <f t="shared" si="1619"/>
        <v>#DIV/0!</v>
      </c>
      <c r="AX508" s="240" t="e">
        <f t="shared" si="1619"/>
        <v>#DIV/0!</v>
      </c>
      <c r="AY508" s="240" t="e">
        <f t="shared" si="1619"/>
        <v>#DIV/0!</v>
      </c>
      <c r="AZ508" s="240" t="e">
        <f t="shared" si="1619"/>
        <v>#DIV/0!</v>
      </c>
      <c r="BA508" s="240" t="e">
        <f t="shared" si="1619"/>
        <v>#DIV/0!</v>
      </c>
      <c r="BB508" s="240" t="e">
        <f t="shared" si="1619"/>
        <v>#DIV/0!</v>
      </c>
      <c r="BC508" s="240" t="e">
        <f t="shared" si="1619"/>
        <v>#DIV/0!</v>
      </c>
      <c r="BD508" s="240" t="e">
        <f t="shared" si="1619"/>
        <v>#DIV/0!</v>
      </c>
      <c r="BE508" s="240" t="e">
        <f t="shared" si="1619"/>
        <v>#DIV/0!</v>
      </c>
      <c r="BF508" s="240" t="e">
        <f t="shared" si="1619"/>
        <v>#DIV/0!</v>
      </c>
      <c r="BG508" s="240" t="e">
        <f t="shared" si="1619"/>
        <v>#DIV/0!</v>
      </c>
      <c r="BH508" s="240" t="e">
        <f t="shared" si="1619"/>
        <v>#DIV/0!</v>
      </c>
      <c r="BI508" s="240" t="e">
        <f t="shared" si="1619"/>
        <v>#DIV/0!</v>
      </c>
      <c r="BJ508" s="240" t="e">
        <f t="shared" si="1619"/>
        <v>#DIV/0!</v>
      </c>
      <c r="BK508" s="240" t="e">
        <f t="shared" si="1619"/>
        <v>#DIV/0!</v>
      </c>
      <c r="BL508" s="240" t="e">
        <f t="shared" si="1619"/>
        <v>#DIV/0!</v>
      </c>
      <c r="BM508" s="240" t="e">
        <f t="shared" si="1619"/>
        <v>#DIV/0!</v>
      </c>
      <c r="BN508" s="240" t="e">
        <f t="shared" si="1619"/>
        <v>#DIV/0!</v>
      </c>
      <c r="BO508" s="240" t="e">
        <f t="shared" si="1619"/>
        <v>#DIV/0!</v>
      </c>
      <c r="BP508" s="240" t="e">
        <f t="shared" si="1619"/>
        <v>#DIV/0!</v>
      </c>
      <c r="BQ508" s="240" t="e">
        <f t="shared" si="1619"/>
        <v>#DIV/0!</v>
      </c>
      <c r="BR508" s="240" t="e">
        <f t="shared" si="1619"/>
        <v>#DIV/0!</v>
      </c>
      <c r="BS508" s="240" t="e">
        <f t="shared" si="1619"/>
        <v>#DIV/0!</v>
      </c>
      <c r="BT508" s="240" t="e">
        <f t="shared" si="1619"/>
        <v>#DIV/0!</v>
      </c>
      <c r="BU508" s="240" t="e">
        <f t="shared" si="1619"/>
        <v>#DIV/0!</v>
      </c>
      <c r="BV508" s="240" t="e">
        <f>BV404/BQ404-1</f>
        <v>#DIV/0!</v>
      </c>
      <c r="BW508" s="240" t="e">
        <f t="shared" ref="BW508:CC508" si="1620">BW404/BR404-1</f>
        <v>#DIV/0!</v>
      </c>
      <c r="BX508" s="240" t="e">
        <f t="shared" si="1620"/>
        <v>#DIV/0!</v>
      </c>
      <c r="BY508" s="240" t="e">
        <f t="shared" si="1620"/>
        <v>#DIV/0!</v>
      </c>
      <c r="BZ508" s="240" t="e">
        <f t="shared" si="1620"/>
        <v>#DIV/0!</v>
      </c>
      <c r="CA508" s="240" t="e">
        <f t="shared" si="1620"/>
        <v>#DIV/0!</v>
      </c>
      <c r="CB508" s="240" t="e">
        <f t="shared" si="1620"/>
        <v>#DIV/0!</v>
      </c>
      <c r="CC508" s="240" t="e">
        <f t="shared" si="1620"/>
        <v>#DIV/0!</v>
      </c>
      <c r="CD508" s="240" t="e">
        <f>CD404/BY404-1</f>
        <v>#DIV/0!</v>
      </c>
      <c r="CE508" s="240" t="e">
        <f>CE404/CD404-1</f>
        <v>#DIV/0!</v>
      </c>
      <c r="CF508" s="240" t="e">
        <f t="shared" ref="CF508:CM508" si="1621">CF404/CE404-1</f>
        <v>#DIV/0!</v>
      </c>
      <c r="CG508" s="240" t="e">
        <f t="shared" si="1621"/>
        <v>#DIV/0!</v>
      </c>
      <c r="CH508" s="240" t="e">
        <f t="shared" si="1621"/>
        <v>#DIV/0!</v>
      </c>
      <c r="CI508" s="240" t="e">
        <f t="shared" si="1621"/>
        <v>#DIV/0!</v>
      </c>
      <c r="CJ508" s="240" t="e">
        <f t="shared" si="1621"/>
        <v>#DIV/0!</v>
      </c>
      <c r="CK508" s="240" t="e">
        <f t="shared" si="1621"/>
        <v>#DIV/0!</v>
      </c>
      <c r="CL508" s="240" t="e">
        <f t="shared" si="1621"/>
        <v>#DIV/0!</v>
      </c>
      <c r="CM508" s="240" t="e">
        <f t="shared" si="1621"/>
        <v>#DIV/0!</v>
      </c>
    </row>
    <row r="509" spans="1:142">
      <c r="A509" s="173" t="s">
        <v>723</v>
      </c>
      <c r="AA509" s="240" t="e">
        <f>AA405/V405-1</f>
        <v>#DIV/0!</v>
      </c>
      <c r="AB509" s="240" t="e">
        <f t="shared" ref="AB509:BU509" si="1622">AB405/W405-1</f>
        <v>#DIV/0!</v>
      </c>
      <c r="AC509" s="240" t="e">
        <f t="shared" si="1622"/>
        <v>#DIV/0!</v>
      </c>
      <c r="AD509" s="240" t="e">
        <f t="shared" si="1622"/>
        <v>#DIV/0!</v>
      </c>
      <c r="AE509" s="240" t="e">
        <f t="shared" si="1622"/>
        <v>#DIV/0!</v>
      </c>
      <c r="AF509" s="240" t="e">
        <f t="shared" si="1622"/>
        <v>#DIV/0!</v>
      </c>
      <c r="AG509" s="240" t="e">
        <f t="shared" si="1622"/>
        <v>#DIV/0!</v>
      </c>
      <c r="AH509" s="240" t="e">
        <f t="shared" si="1622"/>
        <v>#DIV/0!</v>
      </c>
      <c r="AI509" s="240" t="e">
        <f t="shared" si="1622"/>
        <v>#DIV/0!</v>
      </c>
      <c r="AJ509" s="240" t="e">
        <f t="shared" si="1622"/>
        <v>#DIV/0!</v>
      </c>
      <c r="AK509" s="240" t="e">
        <f t="shared" si="1622"/>
        <v>#DIV/0!</v>
      </c>
      <c r="AL509" s="240" t="e">
        <f t="shared" si="1622"/>
        <v>#DIV/0!</v>
      </c>
      <c r="AM509" s="240" t="e">
        <f t="shared" si="1622"/>
        <v>#DIV/0!</v>
      </c>
      <c r="AN509" s="240" t="e">
        <f t="shared" si="1622"/>
        <v>#DIV/0!</v>
      </c>
      <c r="AO509" s="240" t="e">
        <f t="shared" si="1622"/>
        <v>#DIV/0!</v>
      </c>
      <c r="AP509" s="240" t="e">
        <f t="shared" si="1622"/>
        <v>#DIV/0!</v>
      </c>
      <c r="AQ509" s="240" t="e">
        <f t="shared" si="1622"/>
        <v>#DIV/0!</v>
      </c>
      <c r="AR509" s="240" t="e">
        <f t="shared" si="1622"/>
        <v>#DIV/0!</v>
      </c>
      <c r="AS509" s="240" t="e">
        <f t="shared" si="1622"/>
        <v>#DIV/0!</v>
      </c>
      <c r="AT509" s="240" t="e">
        <f t="shared" si="1622"/>
        <v>#DIV/0!</v>
      </c>
      <c r="AU509" s="240" t="e">
        <f t="shared" si="1622"/>
        <v>#DIV/0!</v>
      </c>
      <c r="AV509" s="240" t="e">
        <f t="shared" si="1622"/>
        <v>#DIV/0!</v>
      </c>
      <c r="AW509" s="240" t="e">
        <f t="shared" si="1622"/>
        <v>#DIV/0!</v>
      </c>
      <c r="AX509" s="240" t="e">
        <f t="shared" si="1622"/>
        <v>#DIV/0!</v>
      </c>
      <c r="AY509" s="240" t="e">
        <f t="shared" si="1622"/>
        <v>#DIV/0!</v>
      </c>
      <c r="AZ509" s="240" t="e">
        <f t="shared" si="1622"/>
        <v>#DIV/0!</v>
      </c>
      <c r="BA509" s="240" t="e">
        <f t="shared" si="1622"/>
        <v>#DIV/0!</v>
      </c>
      <c r="BB509" s="240" t="e">
        <f t="shared" si="1622"/>
        <v>#DIV/0!</v>
      </c>
      <c r="BC509" s="240" t="e">
        <f t="shared" si="1622"/>
        <v>#DIV/0!</v>
      </c>
      <c r="BD509" s="240" t="e">
        <f t="shared" si="1622"/>
        <v>#DIV/0!</v>
      </c>
      <c r="BE509" s="240" t="e">
        <f t="shared" si="1622"/>
        <v>#DIV/0!</v>
      </c>
      <c r="BF509" s="240" t="e">
        <f t="shared" si="1622"/>
        <v>#DIV/0!</v>
      </c>
      <c r="BG509" s="240" t="e">
        <f t="shared" si="1622"/>
        <v>#DIV/0!</v>
      </c>
      <c r="BH509" s="240" t="e">
        <f t="shared" si="1622"/>
        <v>#DIV/0!</v>
      </c>
      <c r="BI509" s="240" t="e">
        <f t="shared" si="1622"/>
        <v>#DIV/0!</v>
      </c>
      <c r="BJ509" s="240" t="e">
        <f t="shared" si="1622"/>
        <v>#DIV/0!</v>
      </c>
      <c r="BK509" s="240" t="e">
        <f t="shared" si="1622"/>
        <v>#DIV/0!</v>
      </c>
      <c r="BL509" s="240" t="e">
        <f t="shared" si="1622"/>
        <v>#DIV/0!</v>
      </c>
      <c r="BM509" s="240" t="e">
        <f t="shared" si="1622"/>
        <v>#DIV/0!</v>
      </c>
      <c r="BN509" s="240" t="e">
        <f t="shared" si="1622"/>
        <v>#DIV/0!</v>
      </c>
      <c r="BO509" s="240" t="e">
        <f t="shared" si="1622"/>
        <v>#DIV/0!</v>
      </c>
      <c r="BP509" s="240" t="e">
        <f t="shared" si="1622"/>
        <v>#DIV/0!</v>
      </c>
      <c r="BQ509" s="240" t="e">
        <f t="shared" si="1622"/>
        <v>#DIV/0!</v>
      </c>
      <c r="BR509" s="240" t="e">
        <f t="shared" si="1622"/>
        <v>#DIV/0!</v>
      </c>
      <c r="BS509" s="240" t="e">
        <f t="shared" si="1622"/>
        <v>#DIV/0!</v>
      </c>
      <c r="BT509" s="240" t="e">
        <f t="shared" si="1622"/>
        <v>#DIV/0!</v>
      </c>
      <c r="BU509" s="240">
        <f t="shared" si="1622"/>
        <v>0.21212121212121215</v>
      </c>
      <c r="BV509" s="240">
        <f>BV405/BQ405-1</f>
        <v>0.19428571428571439</v>
      </c>
      <c r="BW509" s="240">
        <f t="shared" ref="BW509:CC509" si="1623">BW405/BR405-1</f>
        <v>0.16216216216216206</v>
      </c>
      <c r="BX509" s="240">
        <f t="shared" si="1623"/>
        <v>0.11734693877551017</v>
      </c>
      <c r="BY509" s="240">
        <f t="shared" si="1623"/>
        <v>0.1692094313453536</v>
      </c>
      <c r="BZ509" s="240">
        <f t="shared" si="1623"/>
        <v>0.1100000000000001</v>
      </c>
      <c r="CA509" s="240">
        <f t="shared" si="1623"/>
        <v>9.5693779904306275E-2</v>
      </c>
      <c r="CB509" s="240">
        <f t="shared" si="1623"/>
        <v>7.441860465116279E-2</v>
      </c>
      <c r="CC509" s="240">
        <f t="shared" si="1623"/>
        <v>0.1095890410958904</v>
      </c>
      <c r="CD509" s="240">
        <f>CD405/BY405-1</f>
        <v>9.7271648873072269E-2</v>
      </c>
      <c r="CE509" s="240">
        <f>CE405/CD405-1</f>
        <v>0.10695171300278616</v>
      </c>
      <c r="CF509" s="240">
        <f t="shared" ref="CF509:CM509" si="1624">CF405/CE405-1</f>
        <v>0.11464458835867264</v>
      </c>
      <c r="CG509" s="240">
        <f t="shared" si="1624"/>
        <v>0.10057035553175253</v>
      </c>
      <c r="CH509" s="240">
        <f t="shared" si="1624"/>
        <v>9.489288945743124E-2</v>
      </c>
      <c r="CI509" s="240">
        <f t="shared" si="1624"/>
        <v>8.617875177477341E-2</v>
      </c>
      <c r="CJ509" s="240">
        <f t="shared" si="1624"/>
        <v>7.8917718201089615E-2</v>
      </c>
      <c r="CK509" s="240">
        <f t="shared" si="1624"/>
        <v>7.2786421224064313E-2</v>
      </c>
      <c r="CL509" s="240">
        <f t="shared" si="1624"/>
        <v>6.7551078675543108E-2</v>
      </c>
      <c r="CM509" s="240">
        <f t="shared" si="1624"/>
        <v>6.3038312568354904E-2</v>
      </c>
    </row>
    <row r="510" spans="1:142">
      <c r="A510" s="175" t="s">
        <v>725</v>
      </c>
      <c r="B510" s="503"/>
      <c r="C510" s="503"/>
      <c r="D510" s="503"/>
      <c r="E510" s="503"/>
      <c r="F510" s="503"/>
      <c r="G510" s="503"/>
      <c r="H510" s="503"/>
      <c r="I510" s="503"/>
      <c r="J510" s="503"/>
      <c r="K510" s="503"/>
      <c r="L510" s="503"/>
      <c r="M510" s="503"/>
      <c r="N510" s="503"/>
      <c r="O510" s="503"/>
      <c r="P510" s="503"/>
      <c r="Q510" s="503"/>
      <c r="R510" s="503"/>
      <c r="S510" s="503"/>
      <c r="T510" s="503"/>
      <c r="U510" s="503"/>
      <c r="V510" s="503"/>
      <c r="W510" s="503"/>
      <c r="X510" s="503"/>
      <c r="Y510" s="503"/>
      <c r="Z510" s="503"/>
      <c r="AA510" s="504" t="e">
        <f>AA408/V408-1</f>
        <v>#DIV/0!</v>
      </c>
      <c r="AB510" s="504" t="e">
        <f t="shared" ref="AB510:BU510" si="1625">AB408/W408-1</f>
        <v>#DIV/0!</v>
      </c>
      <c r="AC510" s="504" t="e">
        <f t="shared" si="1625"/>
        <v>#DIV/0!</v>
      </c>
      <c r="AD510" s="504" t="e">
        <f t="shared" si="1625"/>
        <v>#DIV/0!</v>
      </c>
      <c r="AE510" s="504" t="e">
        <f t="shared" si="1625"/>
        <v>#DIV/0!</v>
      </c>
      <c r="AF510" s="504" t="e">
        <f t="shared" si="1625"/>
        <v>#DIV/0!</v>
      </c>
      <c r="AG510" s="504" t="e">
        <f t="shared" si="1625"/>
        <v>#DIV/0!</v>
      </c>
      <c r="AH510" s="504" t="e">
        <f t="shared" si="1625"/>
        <v>#DIV/0!</v>
      </c>
      <c r="AI510" s="504" t="e">
        <f t="shared" si="1625"/>
        <v>#DIV/0!</v>
      </c>
      <c r="AJ510" s="504" t="e">
        <f t="shared" si="1625"/>
        <v>#DIV/0!</v>
      </c>
      <c r="AK510" s="504" t="e">
        <f t="shared" si="1625"/>
        <v>#DIV/0!</v>
      </c>
      <c r="AL510" s="504" t="e">
        <f t="shared" si="1625"/>
        <v>#DIV/0!</v>
      </c>
      <c r="AM510" s="504" t="e">
        <f t="shared" si="1625"/>
        <v>#DIV/0!</v>
      </c>
      <c r="AN510" s="504" t="e">
        <f t="shared" si="1625"/>
        <v>#DIV/0!</v>
      </c>
      <c r="AO510" s="504" t="e">
        <f t="shared" si="1625"/>
        <v>#DIV/0!</v>
      </c>
      <c r="AP510" s="504" t="e">
        <f t="shared" si="1625"/>
        <v>#DIV/0!</v>
      </c>
      <c r="AQ510" s="504" t="e">
        <f t="shared" si="1625"/>
        <v>#DIV/0!</v>
      </c>
      <c r="AR510" s="504" t="e">
        <f t="shared" si="1625"/>
        <v>#DIV/0!</v>
      </c>
      <c r="AS510" s="504" t="e">
        <f t="shared" si="1625"/>
        <v>#DIV/0!</v>
      </c>
      <c r="AT510" s="504" t="e">
        <f t="shared" si="1625"/>
        <v>#DIV/0!</v>
      </c>
      <c r="AU510" s="504" t="e">
        <f t="shared" si="1625"/>
        <v>#DIV/0!</v>
      </c>
      <c r="AV510" s="504" t="e">
        <f t="shared" si="1625"/>
        <v>#DIV/0!</v>
      </c>
      <c r="AW510" s="504" t="e">
        <f t="shared" si="1625"/>
        <v>#DIV/0!</v>
      </c>
      <c r="AX510" s="504" t="e">
        <f t="shared" si="1625"/>
        <v>#DIV/0!</v>
      </c>
      <c r="AY510" s="504" t="e">
        <f t="shared" si="1625"/>
        <v>#DIV/0!</v>
      </c>
      <c r="AZ510" s="504" t="e">
        <f t="shared" si="1625"/>
        <v>#DIV/0!</v>
      </c>
      <c r="BA510" s="504" t="e">
        <f t="shared" si="1625"/>
        <v>#DIV/0!</v>
      </c>
      <c r="BB510" s="504" t="e">
        <f t="shared" si="1625"/>
        <v>#DIV/0!</v>
      </c>
      <c r="BC510" s="504" t="e">
        <f t="shared" si="1625"/>
        <v>#DIV/0!</v>
      </c>
      <c r="BD510" s="504" t="e">
        <f t="shared" si="1625"/>
        <v>#DIV/0!</v>
      </c>
      <c r="BE510" s="504" t="e">
        <f t="shared" si="1625"/>
        <v>#DIV/0!</v>
      </c>
      <c r="BF510" s="504" t="e">
        <f t="shared" si="1625"/>
        <v>#DIV/0!</v>
      </c>
      <c r="BG510" s="504" t="e">
        <f t="shared" si="1625"/>
        <v>#DIV/0!</v>
      </c>
      <c r="BH510" s="504" t="e">
        <f t="shared" si="1625"/>
        <v>#DIV/0!</v>
      </c>
      <c r="BI510" s="504" t="e">
        <f t="shared" si="1625"/>
        <v>#DIV/0!</v>
      </c>
      <c r="BJ510" s="504" t="e">
        <f t="shared" si="1625"/>
        <v>#DIV/0!</v>
      </c>
      <c r="BK510" s="504" t="e">
        <f t="shared" si="1625"/>
        <v>#DIV/0!</v>
      </c>
      <c r="BL510" s="504" t="e">
        <f t="shared" si="1625"/>
        <v>#DIV/0!</v>
      </c>
      <c r="BM510" s="504" t="e">
        <f t="shared" si="1625"/>
        <v>#DIV/0!</v>
      </c>
      <c r="BN510" s="504" t="e">
        <f t="shared" si="1625"/>
        <v>#DIV/0!</v>
      </c>
      <c r="BO510" s="504" t="e">
        <f t="shared" si="1625"/>
        <v>#DIV/0!</v>
      </c>
      <c r="BP510" s="504" t="e">
        <f t="shared" si="1625"/>
        <v>#DIV/0!</v>
      </c>
      <c r="BQ510" s="504" t="e">
        <f t="shared" si="1625"/>
        <v>#DIV/0!</v>
      </c>
      <c r="BR510" s="504" t="e">
        <f t="shared" si="1625"/>
        <v>#DIV/0!</v>
      </c>
      <c r="BS510" s="504" t="e">
        <f t="shared" si="1625"/>
        <v>#DIV/0!</v>
      </c>
      <c r="BT510" s="504" t="e">
        <f t="shared" si="1625"/>
        <v>#DIV/0!</v>
      </c>
      <c r="BU510" s="504">
        <f t="shared" si="1625"/>
        <v>2.4329382407985101E-2</v>
      </c>
      <c r="BV510" s="504">
        <f>BV408/BQ408-1</f>
        <v>4.4280442804428111E-2</v>
      </c>
      <c r="BW510" s="504">
        <f t="shared" ref="BW510:CC510" si="1626">BW408/BR408-1</f>
        <v>4.1137326073805269E-2</v>
      </c>
      <c r="BX510" s="504">
        <f t="shared" si="1626"/>
        <v>8.2251082251082241E-2</v>
      </c>
      <c r="BY510" s="504">
        <f t="shared" si="1626"/>
        <v>4.8007385751654086E-2</v>
      </c>
      <c r="BZ510" s="504">
        <f t="shared" si="1626"/>
        <v>6.3946406820950097E-2</v>
      </c>
      <c r="CA510" s="504">
        <f t="shared" si="1626"/>
        <v>3.1213191990577149E-2</v>
      </c>
      <c r="CB510" s="504">
        <f t="shared" si="1626"/>
        <v>2.5566531086577582E-2</v>
      </c>
      <c r="CC510" s="504">
        <f t="shared" si="1626"/>
        <v>2.9142857142857137E-2</v>
      </c>
      <c r="CD510" s="504">
        <f>CD408/BY408-1</f>
        <v>3.7145793569226315E-2</v>
      </c>
      <c r="CE510" s="504">
        <f>CE408/CD408-1</f>
        <v>3.2274862319640718E-2</v>
      </c>
      <c r="CF510" s="504">
        <f t="shared" ref="CF510:CM510" si="1627">CF408/CE408-1</f>
        <v>2.9035366593543444E-2</v>
      </c>
      <c r="CG510" s="504">
        <f t="shared" si="1627"/>
        <v>2.7252197317511273E-2</v>
      </c>
      <c r="CH510" s="504">
        <f t="shared" si="1627"/>
        <v>3.0426140944135094E-2</v>
      </c>
      <c r="CI510" s="504">
        <f t="shared" si="1627"/>
        <v>3.2944367112831774E-2</v>
      </c>
      <c r="CJ510" s="504">
        <f t="shared" si="1627"/>
        <v>3.1352956240583651E-2</v>
      </c>
      <c r="CK510" s="504">
        <f t="shared" si="1627"/>
        <v>2.9934401761240848E-2</v>
      </c>
      <c r="CL510" s="504">
        <f t="shared" si="1627"/>
        <v>2.8666438601204103E-2</v>
      </c>
      <c r="CM510" s="504">
        <f t="shared" si="1627"/>
        <v>2.7530256219287397E-2</v>
      </c>
    </row>
    <row r="511" spans="1:142">
      <c r="A511" s="173" t="s">
        <v>726</v>
      </c>
    </row>
    <row r="512" spans="1:142">
      <c r="A512" s="173" t="s">
        <v>712</v>
      </c>
    </row>
    <row r="513" spans="1:91">
      <c r="A513" s="175" t="s">
        <v>727</v>
      </c>
      <c r="B513" s="503"/>
      <c r="C513" s="503"/>
      <c r="D513" s="503"/>
      <c r="E513" s="503"/>
      <c r="F513" s="503"/>
      <c r="G513" s="503"/>
      <c r="H513" s="503"/>
      <c r="I513" s="503"/>
      <c r="J513" s="503"/>
      <c r="K513" s="503"/>
      <c r="L513" s="503"/>
      <c r="M513" s="503"/>
      <c r="N513" s="503"/>
      <c r="O513" s="503"/>
      <c r="P513" s="503"/>
      <c r="Q513" s="503"/>
      <c r="R513" s="503"/>
      <c r="S513" s="503"/>
      <c r="T513" s="503"/>
      <c r="U513" s="503"/>
      <c r="V513" s="503"/>
      <c r="W513" s="503"/>
      <c r="X513" s="503"/>
      <c r="Y513" s="503"/>
      <c r="Z513" s="503"/>
      <c r="AA513" s="504" t="e">
        <f>AA413/V413-1</f>
        <v>#DIV/0!</v>
      </c>
      <c r="AB513" s="504" t="e">
        <f t="shared" ref="AB513:BU513" si="1628">AB413/W413-1</f>
        <v>#DIV/0!</v>
      </c>
      <c r="AC513" s="504" t="e">
        <f t="shared" si="1628"/>
        <v>#DIV/0!</v>
      </c>
      <c r="AD513" s="504" t="e">
        <f t="shared" si="1628"/>
        <v>#DIV/0!</v>
      </c>
      <c r="AE513" s="504" t="e">
        <f t="shared" si="1628"/>
        <v>#DIV/0!</v>
      </c>
      <c r="AF513" s="504" t="e">
        <f t="shared" si="1628"/>
        <v>#DIV/0!</v>
      </c>
      <c r="AG513" s="504" t="e">
        <f t="shared" si="1628"/>
        <v>#DIV/0!</v>
      </c>
      <c r="AH513" s="504" t="e">
        <f t="shared" si="1628"/>
        <v>#DIV/0!</v>
      </c>
      <c r="AI513" s="504" t="e">
        <f t="shared" si="1628"/>
        <v>#DIV/0!</v>
      </c>
      <c r="AJ513" s="504" t="e">
        <f t="shared" si="1628"/>
        <v>#DIV/0!</v>
      </c>
      <c r="AK513" s="504" t="e">
        <f t="shared" si="1628"/>
        <v>#DIV/0!</v>
      </c>
      <c r="AL513" s="504" t="e">
        <f t="shared" si="1628"/>
        <v>#DIV/0!</v>
      </c>
      <c r="AM513" s="504" t="e">
        <f t="shared" si="1628"/>
        <v>#DIV/0!</v>
      </c>
      <c r="AN513" s="504" t="e">
        <f t="shared" si="1628"/>
        <v>#DIV/0!</v>
      </c>
      <c r="AO513" s="504" t="e">
        <f t="shared" si="1628"/>
        <v>#DIV/0!</v>
      </c>
      <c r="AP513" s="504" t="e">
        <f t="shared" si="1628"/>
        <v>#DIV/0!</v>
      </c>
      <c r="AQ513" s="504" t="e">
        <f t="shared" si="1628"/>
        <v>#DIV/0!</v>
      </c>
      <c r="AR513" s="504" t="e">
        <f t="shared" si="1628"/>
        <v>#DIV/0!</v>
      </c>
      <c r="AS513" s="504" t="e">
        <f t="shared" si="1628"/>
        <v>#DIV/0!</v>
      </c>
      <c r="AT513" s="504" t="e">
        <f t="shared" si="1628"/>
        <v>#DIV/0!</v>
      </c>
      <c r="AU513" s="504" t="e">
        <f t="shared" si="1628"/>
        <v>#DIV/0!</v>
      </c>
      <c r="AV513" s="504" t="e">
        <f t="shared" si="1628"/>
        <v>#DIV/0!</v>
      </c>
      <c r="AW513" s="504" t="e">
        <f t="shared" si="1628"/>
        <v>#DIV/0!</v>
      </c>
      <c r="AX513" s="504" t="e">
        <f t="shared" si="1628"/>
        <v>#DIV/0!</v>
      </c>
      <c r="AY513" s="504" t="e">
        <f t="shared" si="1628"/>
        <v>#DIV/0!</v>
      </c>
      <c r="AZ513" s="504" t="e">
        <f t="shared" si="1628"/>
        <v>#DIV/0!</v>
      </c>
      <c r="BA513" s="504" t="e">
        <f t="shared" si="1628"/>
        <v>#DIV/0!</v>
      </c>
      <c r="BB513" s="504" t="e">
        <f t="shared" si="1628"/>
        <v>#DIV/0!</v>
      </c>
      <c r="BC513" s="504" t="e">
        <f t="shared" si="1628"/>
        <v>#DIV/0!</v>
      </c>
      <c r="BD513" s="504" t="e">
        <f t="shared" si="1628"/>
        <v>#DIV/0!</v>
      </c>
      <c r="BE513" s="504" t="e">
        <f t="shared" si="1628"/>
        <v>#DIV/0!</v>
      </c>
      <c r="BF513" s="504" t="e">
        <f t="shared" si="1628"/>
        <v>#DIV/0!</v>
      </c>
      <c r="BG513" s="504" t="e">
        <f t="shared" si="1628"/>
        <v>#DIV/0!</v>
      </c>
      <c r="BH513" s="504" t="e">
        <f t="shared" si="1628"/>
        <v>#DIV/0!</v>
      </c>
      <c r="BI513" s="504" t="e">
        <f t="shared" si="1628"/>
        <v>#DIV/0!</v>
      </c>
      <c r="BJ513" s="504" t="e">
        <f t="shared" si="1628"/>
        <v>#DIV/0!</v>
      </c>
      <c r="BK513" s="504" t="e">
        <f t="shared" si="1628"/>
        <v>#DIV/0!</v>
      </c>
      <c r="BL513" s="504" t="e">
        <f t="shared" si="1628"/>
        <v>#DIV/0!</v>
      </c>
      <c r="BM513" s="504" t="e">
        <f t="shared" si="1628"/>
        <v>#DIV/0!</v>
      </c>
      <c r="BN513" s="504" t="e">
        <f t="shared" si="1628"/>
        <v>#DIV/0!</v>
      </c>
      <c r="BO513" s="504" t="e">
        <f t="shared" si="1628"/>
        <v>#DIV/0!</v>
      </c>
      <c r="BP513" s="504" t="e">
        <f t="shared" si="1628"/>
        <v>#DIV/0!</v>
      </c>
      <c r="BQ513" s="504" t="e">
        <f t="shared" si="1628"/>
        <v>#DIV/0!</v>
      </c>
      <c r="BR513" s="504" t="e">
        <f t="shared" si="1628"/>
        <v>#DIV/0!</v>
      </c>
      <c r="BS513" s="504" t="e">
        <f t="shared" si="1628"/>
        <v>#DIV/0!</v>
      </c>
      <c r="BT513" s="504" t="e">
        <f t="shared" si="1628"/>
        <v>#DIV/0!</v>
      </c>
      <c r="BU513" s="504">
        <f t="shared" si="1628"/>
        <v>5.4347826086956541E-2</v>
      </c>
      <c r="BV513" s="504">
        <f>BV413/BQ413-1</f>
        <v>4.0431266846361114E-2</v>
      </c>
      <c r="BW513" s="504">
        <f t="shared" ref="BW513:CC513" si="1629">BW413/BR413-1</f>
        <v>1.8421052631578894E-2</v>
      </c>
      <c r="BX513" s="504">
        <f t="shared" si="1629"/>
        <v>-8.7719298245614086E-2</v>
      </c>
      <c r="BY513" s="504">
        <f t="shared" si="1629"/>
        <v>4.6113306982871194E-3</v>
      </c>
      <c r="BZ513" s="504">
        <f t="shared" si="1629"/>
        <v>-5.9278350515463929E-2</v>
      </c>
      <c r="CA513" s="504">
        <f t="shared" si="1629"/>
        <v>-6.2176165803108807E-2</v>
      </c>
      <c r="CB513" s="504">
        <f t="shared" si="1629"/>
        <v>-1.8087855297157618E-2</v>
      </c>
      <c r="CC513" s="504">
        <f t="shared" si="1629"/>
        <v>0.10164835164835173</v>
      </c>
      <c r="CD513" s="504">
        <f>CD413/BY413-1</f>
        <v>-1.1147540983606596E-2</v>
      </c>
      <c r="CE513" s="504">
        <f>CE413/CD413-1</f>
        <v>5.0000000000000044E-2</v>
      </c>
      <c r="CF513" s="504">
        <f t="shared" ref="CF513:CM513" si="1630">CF413/CE413-1</f>
        <v>5.0000000000000044E-2</v>
      </c>
      <c r="CG513" s="504">
        <f t="shared" si="1630"/>
        <v>5.0000000000000044E-2</v>
      </c>
      <c r="CH513" s="504">
        <f t="shared" si="1630"/>
        <v>5.0000000000000044E-2</v>
      </c>
      <c r="CI513" s="504">
        <f t="shared" si="1630"/>
        <v>5.0000000000000044E-2</v>
      </c>
      <c r="CJ513" s="504">
        <f t="shared" si="1630"/>
        <v>5.0000000000000044E-2</v>
      </c>
      <c r="CK513" s="504">
        <f t="shared" si="1630"/>
        <v>5.0000000000000044E-2</v>
      </c>
      <c r="CL513" s="504">
        <f t="shared" si="1630"/>
        <v>5.0000000000000044E-2</v>
      </c>
      <c r="CM513" s="504">
        <f t="shared" si="1630"/>
        <v>5.0000000000000044E-2</v>
      </c>
    </row>
    <row r="514" spans="1:91" s="265" customFormat="1">
      <c r="A514" s="286" t="s">
        <v>460</v>
      </c>
      <c r="AA514" s="419" t="e">
        <f>AA416/V416-1</f>
        <v>#DIV/0!</v>
      </c>
      <c r="AB514" s="419">
        <f t="shared" ref="AB514:BU514" si="1631">AB416/W416-1</f>
        <v>2.5849688846337981E-2</v>
      </c>
      <c r="AC514" s="419">
        <f t="shared" si="1631"/>
        <v>-1</v>
      </c>
      <c r="AD514" s="419">
        <f t="shared" si="1631"/>
        <v>-1</v>
      </c>
      <c r="AE514" s="419">
        <f t="shared" si="1631"/>
        <v>-1</v>
      </c>
      <c r="AF514" s="419">
        <f t="shared" si="1631"/>
        <v>-0.74900445069102828</v>
      </c>
      <c r="AG514" s="419">
        <f t="shared" si="1631"/>
        <v>-4.9463369108726063E-2</v>
      </c>
      <c r="AH514" s="419" t="e">
        <f t="shared" si="1631"/>
        <v>#DIV/0!</v>
      </c>
      <c r="AI514" s="419" t="e">
        <f t="shared" si="1631"/>
        <v>#DIV/0!</v>
      </c>
      <c r="AJ514" s="419" t="e">
        <f t="shared" si="1631"/>
        <v>#DIV/0!</v>
      </c>
      <c r="AK514" s="419">
        <f t="shared" si="1631"/>
        <v>2.8329444703686422</v>
      </c>
      <c r="AL514" s="419">
        <f t="shared" si="1631"/>
        <v>4.1728031418753142E-2</v>
      </c>
      <c r="AM514" s="419">
        <f t="shared" si="1631"/>
        <v>2.1016617790811321E-2</v>
      </c>
      <c r="AN514" s="419">
        <f t="shared" si="1631"/>
        <v>5.5365017148456541E-2</v>
      </c>
      <c r="AO514" s="419">
        <f t="shared" si="1631"/>
        <v>3.1100478468899517E-2</v>
      </c>
      <c r="AP514" s="419">
        <f t="shared" si="1631"/>
        <v>3.7253469685902152E-2</v>
      </c>
      <c r="AQ514" s="419">
        <f t="shared" si="1631"/>
        <v>0</v>
      </c>
      <c r="AR514" s="419">
        <f t="shared" si="1631"/>
        <v>-1.627573001436089E-2</v>
      </c>
      <c r="AS514" s="419">
        <f t="shared" si="1631"/>
        <v>-1.9034354688950761E-2</v>
      </c>
      <c r="AT514" s="419">
        <f t="shared" si="1631"/>
        <v>4.6403712296982924E-3</v>
      </c>
      <c r="AU514" s="419">
        <f t="shared" si="1631"/>
        <v>-7.6291079812206286E-3</v>
      </c>
      <c r="AV514" s="419">
        <f t="shared" si="1631"/>
        <v>-2.1677662582469392E-2</v>
      </c>
      <c r="AW514" s="419">
        <f t="shared" si="1631"/>
        <v>6.8126520681264235E-3</v>
      </c>
      <c r="AX514" s="419">
        <f t="shared" si="1631"/>
        <v>-1.0884997633696214E-2</v>
      </c>
      <c r="AY514" s="419">
        <f t="shared" si="1631"/>
        <v>-5.9584295612009286E-2</v>
      </c>
      <c r="AZ514" s="419">
        <f t="shared" si="1631"/>
        <v>-2.1762270845653409E-2</v>
      </c>
      <c r="BA514" s="419">
        <f t="shared" si="1631"/>
        <v>-4.6242774566473965E-2</v>
      </c>
      <c r="BB514" s="419">
        <f t="shared" si="1631"/>
        <v>-2.7066215563073981E-2</v>
      </c>
      <c r="BC514" s="419">
        <f t="shared" si="1631"/>
        <v>-3.0143540669856472E-2</v>
      </c>
      <c r="BD514" s="419">
        <f t="shared" si="1631"/>
        <v>5.893909626718985E-3</v>
      </c>
      <c r="BE514" s="419">
        <f t="shared" si="1631"/>
        <v>-2.454358602345541E-2</v>
      </c>
      <c r="BF514" s="419">
        <f t="shared" si="1631"/>
        <v>-1.6666666666666718E-2</v>
      </c>
      <c r="BG514" s="419">
        <f t="shared" si="1631"/>
        <v>-4.7193243914555372E-2</v>
      </c>
      <c r="BH514" s="419">
        <f t="shared" si="1631"/>
        <v>-4.292057227429702E-2</v>
      </c>
      <c r="BI514" s="419">
        <f t="shared" si="1631"/>
        <v>-2.734375E-2</v>
      </c>
      <c r="BJ514" s="419">
        <f t="shared" si="1631"/>
        <v>-3.3589489340604906E-2</v>
      </c>
      <c r="BK514" s="419">
        <f t="shared" si="1631"/>
        <v>-3.5952747817155073E-3</v>
      </c>
      <c r="BL514" s="419">
        <f t="shared" si="1631"/>
        <v>-9.3847758081334609E-3</v>
      </c>
      <c r="BM514" s="419">
        <f t="shared" si="1631"/>
        <v>0</v>
      </c>
      <c r="BN514" s="419">
        <f t="shared" si="1631"/>
        <v>-2.3594377510040121E-2</v>
      </c>
      <c r="BO514" s="419">
        <f t="shared" si="1631"/>
        <v>-9.2343208926509712E-3</v>
      </c>
      <c r="BP514" s="419">
        <f t="shared" si="1631"/>
        <v>1.5979381443298912E-2</v>
      </c>
      <c r="BQ514" s="419">
        <f t="shared" si="1631"/>
        <v>5.1052631578947461E-2</v>
      </c>
      <c r="BR514" s="419">
        <f t="shared" si="1631"/>
        <v>4.7938144329896959E-2</v>
      </c>
      <c r="BS514" s="419">
        <f t="shared" si="1631"/>
        <v>3.6503856041131044E-2</v>
      </c>
      <c r="BT514" s="419">
        <f t="shared" si="1631"/>
        <v>3.7799352750809145E-2</v>
      </c>
      <c r="BU514" s="419">
        <f t="shared" si="1631"/>
        <v>2.9934043632673824E-2</v>
      </c>
      <c r="BV514" s="419">
        <f>BV416/BQ416-1</f>
        <v>4.3565348022033046E-2</v>
      </c>
      <c r="BW514" s="419">
        <f t="shared" ref="BW514:CC514" si="1632">BW416/BR416-1</f>
        <v>3.6891293654697455E-2</v>
      </c>
      <c r="BX514" s="419">
        <f t="shared" si="1632"/>
        <v>4.861111111111116E-2</v>
      </c>
      <c r="BY514" s="419">
        <f t="shared" si="1632"/>
        <v>3.979044530372966E-2</v>
      </c>
      <c r="BZ514" s="419">
        <f t="shared" si="1632"/>
        <v>4.0394088669950756E-2</v>
      </c>
      <c r="CA514" s="419">
        <f t="shared" si="1632"/>
        <v>1.3915547024952124E-2</v>
      </c>
      <c r="CB514" s="419">
        <f t="shared" si="1632"/>
        <v>1.7552182163187879E-2</v>
      </c>
      <c r="CC514" s="419">
        <f t="shared" si="1632"/>
        <v>4.1627246925260097E-2</v>
      </c>
      <c r="CD514" s="419">
        <f>CD416/BY416-1</f>
        <v>2.831094049904026E-2</v>
      </c>
      <c r="CE514" s="419">
        <f>CE416/CD416-1</f>
        <v>3.5393096993227013E-2</v>
      </c>
      <c r="CF514" s="419">
        <f t="shared" ref="CF514:CM514" si="1633">CF416/CE416-1</f>
        <v>3.2775529215047339E-2</v>
      </c>
      <c r="CG514" s="419">
        <f t="shared" si="1633"/>
        <v>3.1378166933376583E-2</v>
      </c>
      <c r="CH514" s="419">
        <f t="shared" si="1633"/>
        <v>3.4040525810726363E-2</v>
      </c>
      <c r="CI514" s="419">
        <f t="shared" si="1633"/>
        <v>3.6142360174228783E-2</v>
      </c>
      <c r="CJ514" s="419">
        <f t="shared" si="1633"/>
        <v>3.4896106231411927E-2</v>
      </c>
      <c r="CK514" s="419">
        <f t="shared" si="1633"/>
        <v>3.3802737909304437E-2</v>
      </c>
      <c r="CL514" s="419">
        <f t="shared" si="1633"/>
        <v>3.2843655986569464E-2</v>
      </c>
      <c r="CM514" s="419">
        <f t="shared" si="1633"/>
        <v>3.2003026028075476E-2</v>
      </c>
    </row>
    <row r="515" spans="1:91">
      <c r="A515" s="286" t="s">
        <v>720</v>
      </c>
      <c r="AA515" s="240" t="e">
        <f>AA418/V418-1</f>
        <v>#DIV/0!</v>
      </c>
      <c r="AB515" s="240" t="e">
        <f t="shared" ref="AB515:BU515" si="1634">AB418/W418-1</f>
        <v>#DIV/0!</v>
      </c>
      <c r="AC515" s="240" t="e">
        <f t="shared" si="1634"/>
        <v>#DIV/0!</v>
      </c>
      <c r="AD515" s="240" t="e">
        <f t="shared" si="1634"/>
        <v>#DIV/0!</v>
      </c>
      <c r="AE515" s="240" t="e">
        <f t="shared" si="1634"/>
        <v>#DIV/0!</v>
      </c>
      <c r="AF515" s="240" t="e">
        <f t="shared" si="1634"/>
        <v>#DIV/0!</v>
      </c>
      <c r="AG515" s="240" t="e">
        <f t="shared" si="1634"/>
        <v>#DIV/0!</v>
      </c>
      <c r="AH515" s="240" t="e">
        <f t="shared" si="1634"/>
        <v>#DIV/0!</v>
      </c>
      <c r="AI515" s="240" t="e">
        <f t="shared" si="1634"/>
        <v>#DIV/0!</v>
      </c>
      <c r="AJ515" s="240" t="e">
        <f t="shared" si="1634"/>
        <v>#DIV/0!</v>
      </c>
      <c r="AK515" s="240" t="e">
        <f t="shared" si="1634"/>
        <v>#DIV/0!</v>
      </c>
      <c r="AL515" s="240" t="e">
        <f t="shared" si="1634"/>
        <v>#DIV/0!</v>
      </c>
      <c r="AM515" s="240" t="e">
        <f t="shared" si="1634"/>
        <v>#DIV/0!</v>
      </c>
      <c r="AN515" s="240" t="e">
        <f t="shared" si="1634"/>
        <v>#DIV/0!</v>
      </c>
      <c r="AO515" s="240" t="e">
        <f t="shared" si="1634"/>
        <v>#DIV/0!</v>
      </c>
      <c r="AP515" s="240" t="e">
        <f t="shared" si="1634"/>
        <v>#DIV/0!</v>
      </c>
      <c r="AQ515" s="240" t="e">
        <f t="shared" si="1634"/>
        <v>#DIV/0!</v>
      </c>
      <c r="AR515" s="240" t="e">
        <f t="shared" si="1634"/>
        <v>#DIV/0!</v>
      </c>
      <c r="AS515" s="240" t="e">
        <f t="shared" si="1634"/>
        <v>#DIV/0!</v>
      </c>
      <c r="AT515" s="240" t="e">
        <f t="shared" si="1634"/>
        <v>#DIV/0!</v>
      </c>
      <c r="AU515" s="240" t="e">
        <f t="shared" si="1634"/>
        <v>#DIV/0!</v>
      </c>
      <c r="AV515" s="240" t="e">
        <f t="shared" si="1634"/>
        <v>#DIV/0!</v>
      </c>
      <c r="AW515" s="240" t="e">
        <f t="shared" si="1634"/>
        <v>#DIV/0!</v>
      </c>
      <c r="AX515" s="240" t="e">
        <f t="shared" si="1634"/>
        <v>#DIV/0!</v>
      </c>
      <c r="AY515" s="240" t="e">
        <f t="shared" si="1634"/>
        <v>#DIV/0!</v>
      </c>
      <c r="AZ515" s="240" t="e">
        <f t="shared" si="1634"/>
        <v>#DIV/0!</v>
      </c>
      <c r="BA515" s="240" t="e">
        <f t="shared" si="1634"/>
        <v>#DIV/0!</v>
      </c>
      <c r="BB515" s="240" t="e">
        <f t="shared" si="1634"/>
        <v>#DIV/0!</v>
      </c>
      <c r="BC515" s="240" t="e">
        <f t="shared" si="1634"/>
        <v>#DIV/0!</v>
      </c>
      <c r="BD515" s="240" t="e">
        <f t="shared" si="1634"/>
        <v>#DIV/0!</v>
      </c>
      <c r="BE515" s="240" t="e">
        <f t="shared" si="1634"/>
        <v>#DIV/0!</v>
      </c>
      <c r="BF515" s="240" t="e">
        <f t="shared" si="1634"/>
        <v>#DIV/0!</v>
      </c>
      <c r="BG515" s="240" t="e">
        <f t="shared" si="1634"/>
        <v>#DIV/0!</v>
      </c>
      <c r="BH515" s="240" t="e">
        <f t="shared" si="1634"/>
        <v>#DIV/0!</v>
      </c>
      <c r="BI515" s="240" t="e">
        <f t="shared" si="1634"/>
        <v>#DIV/0!</v>
      </c>
      <c r="BJ515" s="240" t="e">
        <f t="shared" si="1634"/>
        <v>#DIV/0!</v>
      </c>
      <c r="BK515" s="240" t="e">
        <f t="shared" si="1634"/>
        <v>#DIV/0!</v>
      </c>
      <c r="BL515" s="240" t="e">
        <f t="shared" si="1634"/>
        <v>#DIV/0!</v>
      </c>
      <c r="BM515" s="240" t="e">
        <f t="shared" si="1634"/>
        <v>#DIV/0!</v>
      </c>
      <c r="BN515" s="240" t="e">
        <f t="shared" si="1634"/>
        <v>#DIV/0!</v>
      </c>
      <c r="BO515" s="240" t="e">
        <f t="shared" si="1634"/>
        <v>#DIV/0!</v>
      </c>
      <c r="BP515" s="240" t="e">
        <f t="shared" si="1634"/>
        <v>#DIV/0!</v>
      </c>
      <c r="BQ515" s="240" t="e">
        <f t="shared" si="1634"/>
        <v>#DIV/0!</v>
      </c>
      <c r="BR515" s="240" t="e">
        <f t="shared" si="1634"/>
        <v>#DIV/0!</v>
      </c>
      <c r="BS515" s="240" t="e">
        <f t="shared" si="1634"/>
        <v>#DIV/0!</v>
      </c>
      <c r="BT515" s="240" t="e">
        <f t="shared" si="1634"/>
        <v>#DIV/0!</v>
      </c>
      <c r="BU515" s="240">
        <f t="shared" si="1634"/>
        <v>0.39776951672862459</v>
      </c>
      <c r="BV515" s="240">
        <f>BV418/BQ418-1</f>
        <v>0.23188405797101441</v>
      </c>
      <c r="BW515" s="240">
        <f t="shared" ref="BW515:CC515" si="1635">BW418/BR418-1</f>
        <v>0.24789915966386555</v>
      </c>
      <c r="BX515" s="240">
        <f t="shared" si="1635"/>
        <v>0</v>
      </c>
      <c r="BY515" s="240">
        <f t="shared" si="1635"/>
        <v>0.18806214227309903</v>
      </c>
      <c r="BZ515" s="240">
        <f t="shared" si="1635"/>
        <v>0.10106382978723394</v>
      </c>
      <c r="CA515" s="240">
        <f t="shared" si="1635"/>
        <v>5.0000000000000044E-2</v>
      </c>
      <c r="CB515" s="240">
        <f t="shared" si="1635"/>
        <v>0</v>
      </c>
      <c r="CC515" s="240">
        <f t="shared" si="1635"/>
        <v>0.22727272727272729</v>
      </c>
      <c r="CD515" s="240">
        <f>CD418/BY418-1</f>
        <v>0.10667584308327593</v>
      </c>
      <c r="CE515" s="240">
        <f>CE418/CD418-1</f>
        <v>9.0447354803011581E-2</v>
      </c>
      <c r="CF515" s="240">
        <f t="shared" ref="CF515:CM515" si="1636">CF418/CE418-1</f>
        <v>-8.8799155969185861E-3</v>
      </c>
      <c r="CG515" s="240">
        <f t="shared" si="1636"/>
        <v>1.0305865365180855E-2</v>
      </c>
      <c r="CH515" s="240">
        <f t="shared" si="1636"/>
        <v>9.7502002980764946E-3</v>
      </c>
      <c r="CI515" s="240">
        <f t="shared" si="1636"/>
        <v>9.255068400425337E-3</v>
      </c>
      <c r="CJ515" s="240">
        <f t="shared" si="1636"/>
        <v>8.8134159427939451E-3</v>
      </c>
      <c r="CK515" s="240">
        <f t="shared" si="1636"/>
        <v>8.4191007630809445E-3</v>
      </c>
      <c r="CL515" s="240">
        <f t="shared" si="1636"/>
        <v>8.0667573014701066E-3</v>
      </c>
      <c r="CM515" s="240">
        <f t="shared" si="1636"/>
        <v>7.7516848056826682E-3</v>
      </c>
    </row>
    <row r="516" spans="1:91">
      <c r="A516" s="383" t="s">
        <v>85</v>
      </c>
      <c r="B516" s="505"/>
      <c r="C516" s="505"/>
      <c r="D516" s="505"/>
      <c r="E516" s="505"/>
      <c r="F516" s="505"/>
      <c r="G516" s="505"/>
      <c r="H516" s="505"/>
      <c r="I516" s="505"/>
      <c r="J516" s="505"/>
      <c r="K516" s="505"/>
      <c r="L516" s="505"/>
      <c r="M516" s="505"/>
      <c r="N516" s="505"/>
      <c r="O516" s="505"/>
      <c r="P516" s="505"/>
      <c r="Q516" s="505"/>
      <c r="R516" s="505"/>
      <c r="S516" s="505"/>
      <c r="T516" s="505"/>
      <c r="U516" s="505"/>
      <c r="V516" s="505"/>
      <c r="W516" s="505"/>
      <c r="X516" s="505"/>
      <c r="Y516" s="505"/>
      <c r="Z516" s="505"/>
      <c r="AA516" s="506">
        <f>AA419/V419-1</f>
        <v>1.1044062393259724E-2</v>
      </c>
      <c r="AB516" s="506">
        <f t="shared" ref="AB516:BU516" si="1637">AB419/W419-1</f>
        <v>8.9929742388758838E-2</v>
      </c>
      <c r="AC516" s="506">
        <f t="shared" si="1637"/>
        <v>3.238866396761142E-2</v>
      </c>
      <c r="AD516" s="506">
        <f t="shared" si="1637"/>
        <v>1.0379061371841081E-2</v>
      </c>
      <c r="AE516" s="506">
        <f t="shared" si="1637"/>
        <v>-3.5559410234171751E-2</v>
      </c>
      <c r="AF516" s="506">
        <f t="shared" si="1637"/>
        <v>1.6708558558558462E-2</v>
      </c>
      <c r="AG516" s="506">
        <f t="shared" si="1637"/>
        <v>-8.9385474860335212E-2</v>
      </c>
      <c r="AH516" s="506">
        <f t="shared" si="1637"/>
        <v>-9.2810457516339873E-2</v>
      </c>
      <c r="AI516" s="506">
        <f t="shared" si="1637"/>
        <v>-7.771326485037966E-2</v>
      </c>
      <c r="AJ516" s="506">
        <f t="shared" si="1637"/>
        <v>-4.5413669064748197E-2</v>
      </c>
      <c r="AK516" s="506">
        <f t="shared" si="1637"/>
        <v>-6.9156654156474651E-2</v>
      </c>
      <c r="AL516" s="506">
        <f t="shared" si="1637"/>
        <v>1.4157621519584662E-2</v>
      </c>
      <c r="AM516" s="506">
        <f t="shared" si="1637"/>
        <v>1.344860710854956E-2</v>
      </c>
      <c r="AN516" s="506">
        <f t="shared" si="1637"/>
        <v>4.8910411622276051E-2</v>
      </c>
      <c r="AO516" s="506">
        <f t="shared" si="1637"/>
        <v>2.4964672633066343E-2</v>
      </c>
      <c r="AP516" s="506">
        <f t="shared" si="1637"/>
        <v>2.3441218467396441E-2</v>
      </c>
      <c r="AQ516" s="506">
        <f t="shared" si="1637"/>
        <v>-4.1879944160074789E-3</v>
      </c>
      <c r="AR516" s="506">
        <f t="shared" si="1637"/>
        <v>-3.7914691943128354E-3</v>
      </c>
      <c r="AS516" s="506">
        <f t="shared" si="1637"/>
        <v>-4.6168051708217472E-3</v>
      </c>
      <c r="AT516" s="506">
        <f t="shared" si="1637"/>
        <v>1.7463235294117752E-2</v>
      </c>
      <c r="AU516" s="506">
        <f t="shared" si="1637"/>
        <v>1.2789210556911623E-3</v>
      </c>
      <c r="AV516" s="506">
        <f t="shared" si="1637"/>
        <v>0.10981308411214963</v>
      </c>
      <c r="AW516" s="506">
        <f t="shared" si="1637"/>
        <v>0.11084681255946727</v>
      </c>
      <c r="AX516" s="506">
        <f t="shared" si="1637"/>
        <v>8.2096474953617715E-2</v>
      </c>
      <c r="AY516" s="506">
        <f t="shared" si="1637"/>
        <v>7.3170731707317138E-2</v>
      </c>
      <c r="AZ516" s="506">
        <f t="shared" si="1637"/>
        <v>9.3706456107756519E-2</v>
      </c>
      <c r="BA516" s="506">
        <f t="shared" si="1637"/>
        <v>-5.8105263157894771E-2</v>
      </c>
      <c r="BB516" s="506">
        <f t="shared" si="1637"/>
        <v>-3.8115631691648777E-2</v>
      </c>
      <c r="BC516" s="506">
        <f t="shared" si="1637"/>
        <v>-2.9575653664809298E-2</v>
      </c>
      <c r="BD516" s="506">
        <f t="shared" si="1637"/>
        <v>2.9040404040403978E-2</v>
      </c>
      <c r="BE516" s="506">
        <f t="shared" si="1637"/>
        <v>-2.4100222953604367E-2</v>
      </c>
      <c r="BF516" s="506">
        <f t="shared" si="1637"/>
        <v>-2.2351363433169569E-3</v>
      </c>
      <c r="BG516" s="506">
        <f t="shared" si="1637"/>
        <v>-1.7809439002671401E-2</v>
      </c>
      <c r="BH516" s="506">
        <f t="shared" si="1637"/>
        <v>9.2756183745583698E-3</v>
      </c>
      <c r="BI516" s="506">
        <f t="shared" si="1637"/>
        <v>5.9304703476482645E-2</v>
      </c>
      <c r="BJ516" s="506">
        <f t="shared" si="1637"/>
        <v>1.3163620539599741E-2</v>
      </c>
      <c r="BK516" s="506">
        <f t="shared" si="1637"/>
        <v>4.8835125448028593E-2</v>
      </c>
      <c r="BL516" s="506">
        <f t="shared" si="1637"/>
        <v>-2.4932003626473298E-2</v>
      </c>
      <c r="BM516" s="506">
        <f t="shared" si="1637"/>
        <v>-3.1509846827133425E-2</v>
      </c>
      <c r="BN516" s="506">
        <f t="shared" si="1637"/>
        <v>-0.12702702702702706</v>
      </c>
      <c r="BO516" s="506">
        <f t="shared" si="1637"/>
        <v>-3.7259744443251419E-2</v>
      </c>
      <c r="BP516" s="506">
        <f t="shared" si="1637"/>
        <v>-4.314395557454076E-2</v>
      </c>
      <c r="BQ516" s="506">
        <f t="shared" si="1637"/>
        <v>5.7182705718270554E-2</v>
      </c>
      <c r="BR516" s="506">
        <f t="shared" si="1637"/>
        <v>2.6208766380479087E-2</v>
      </c>
      <c r="BS516" s="506">
        <f t="shared" si="1637"/>
        <v>8.6245024325519726E-2</v>
      </c>
      <c r="BT516" s="506">
        <f t="shared" si="1637"/>
        <v>3.0671425384787065E-2</v>
      </c>
      <c r="BU516" s="506">
        <f t="shared" si="1637"/>
        <v>7.4107142857142927E-2</v>
      </c>
      <c r="BV516" s="506">
        <f>BV419/BQ419-1</f>
        <v>6.5963060686015762E-2</v>
      </c>
      <c r="BW516" s="506">
        <f t="shared" ref="BW516:CC516" si="1638">BW419/BR419-1</f>
        <v>5.9004843681197627E-2</v>
      </c>
      <c r="BX516" s="506">
        <f t="shared" si="1638"/>
        <v>3.9902280130293066E-2</v>
      </c>
      <c r="BY516" s="506">
        <f t="shared" si="1638"/>
        <v>5.9300941456552403E-2</v>
      </c>
      <c r="BZ516" s="506">
        <f t="shared" si="1638"/>
        <v>4.9875311720698257E-2</v>
      </c>
      <c r="CA516" s="506">
        <f t="shared" si="1638"/>
        <v>1.8976897689769068E-2</v>
      </c>
      <c r="CB516" s="506">
        <f t="shared" si="1638"/>
        <v>1.538461538461533E-2</v>
      </c>
      <c r="CC516" s="506">
        <f t="shared" si="1638"/>
        <v>7.3610023492560739E-2</v>
      </c>
      <c r="CD516" s="506">
        <f>CD419/BY419-1</f>
        <v>3.9942792930840687E-2</v>
      </c>
      <c r="CE516" s="506">
        <f>CE419/CD419-1</f>
        <v>4.4089290171825501E-2</v>
      </c>
      <c r="CF516" s="506">
        <f t="shared" ref="CF516:CM516" si="1639">CF419/CE419-1</f>
        <v>2.5903624877396725E-2</v>
      </c>
      <c r="CG516" s="506">
        <f t="shared" si="1639"/>
        <v>2.8019731415444449E-2</v>
      </c>
      <c r="CH516" s="506">
        <f t="shared" si="1639"/>
        <v>3.0235918833480868E-2</v>
      </c>
      <c r="CI516" s="506">
        <f t="shared" si="1639"/>
        <v>3.2014729930445629E-2</v>
      </c>
      <c r="CJ516" s="506">
        <f t="shared" si="1639"/>
        <v>3.0980300358093071E-2</v>
      </c>
      <c r="CK516" s="506">
        <f t="shared" si="1639"/>
        <v>3.0073817600475339E-2</v>
      </c>
      <c r="CL516" s="506">
        <f t="shared" si="1639"/>
        <v>2.9280384514557722E-2</v>
      </c>
      <c r="CM516" s="506">
        <f t="shared" si="1639"/>
        <v>2.8587219019693855E-2</v>
      </c>
    </row>
    <row r="518" spans="1:91">
      <c r="A518" s="520" t="s">
        <v>770</v>
      </c>
      <c r="B518" s="517"/>
      <c r="C518" s="517"/>
      <c r="D518" s="517"/>
      <c r="E518" s="517"/>
      <c r="F518" s="517"/>
      <c r="G518" s="517"/>
      <c r="H518" s="517"/>
      <c r="I518" s="517"/>
      <c r="J518" s="517"/>
      <c r="K518" s="517"/>
      <c r="L518" s="517"/>
      <c r="M518" s="517"/>
      <c r="N518" s="517"/>
      <c r="O518" s="517"/>
      <c r="P518" s="517"/>
      <c r="Q518" s="517"/>
      <c r="R518" s="517"/>
      <c r="S518" s="517"/>
      <c r="T518" s="517"/>
      <c r="U518" s="517"/>
      <c r="V518" s="517"/>
      <c r="W518" s="517"/>
      <c r="X518" s="517"/>
      <c r="Y518" s="517"/>
      <c r="Z518" s="517"/>
      <c r="AA518" s="517"/>
      <c r="AB518" s="517"/>
      <c r="AC518" s="517"/>
      <c r="AD518" s="517"/>
      <c r="AE518" s="517"/>
      <c r="AF518" s="517"/>
      <c r="AG518" s="517"/>
      <c r="AH518" s="517"/>
      <c r="AI518" s="517"/>
      <c r="AJ518" s="517"/>
      <c r="AK518" s="517"/>
      <c r="AL518" s="517"/>
      <c r="AM518" s="517"/>
      <c r="AN518" s="517"/>
      <c r="AO518" s="517"/>
      <c r="AP518" s="517"/>
      <c r="AQ518" s="517"/>
      <c r="AR518" s="517"/>
      <c r="AS518" s="517"/>
      <c r="AT518" s="517"/>
      <c r="AU518" s="517"/>
      <c r="AV518" s="517"/>
      <c r="AW518" s="517"/>
      <c r="AX518" s="517"/>
      <c r="AY518" s="517"/>
      <c r="AZ518" s="517"/>
      <c r="BA518" s="517"/>
      <c r="BB518" s="517"/>
      <c r="BC518" s="517"/>
      <c r="BD518" s="517"/>
      <c r="BE518" s="517"/>
      <c r="BF518" s="517"/>
      <c r="BG518" s="517"/>
      <c r="BH518" s="517"/>
      <c r="BI518" s="517"/>
      <c r="BJ518" s="517"/>
      <c r="BK518" s="517"/>
      <c r="BL518" s="517"/>
      <c r="BM518" s="517"/>
      <c r="BN518" s="517"/>
      <c r="BO518" s="517"/>
      <c r="BP518" s="517"/>
      <c r="BQ518" s="517"/>
      <c r="BR518" s="517"/>
      <c r="BS518" s="517"/>
      <c r="BT518" s="517"/>
      <c r="BU518" s="517"/>
      <c r="BV518" s="517"/>
      <c r="BW518" s="517"/>
      <c r="BX518" s="517"/>
      <c r="BY518" s="517"/>
      <c r="BZ518" s="517"/>
      <c r="CA518" s="517"/>
      <c r="CB518" s="517"/>
      <c r="CC518" s="517"/>
      <c r="CD518" s="517"/>
      <c r="CE518" s="517"/>
      <c r="CF518" s="517"/>
      <c r="CG518" s="517"/>
      <c r="CH518" s="517"/>
      <c r="CI518" s="517"/>
      <c r="CJ518" s="517"/>
      <c r="CK518" s="517"/>
      <c r="CL518" s="517"/>
      <c r="CM518" s="517"/>
    </row>
    <row r="519" spans="1:91">
      <c r="A519" s="523" t="s">
        <v>726</v>
      </c>
      <c r="B519" s="517"/>
      <c r="C519" s="517"/>
      <c r="D519" s="517"/>
      <c r="E519" s="517"/>
      <c r="F519" s="517"/>
      <c r="G519" s="517"/>
      <c r="H519" s="517"/>
      <c r="I519" s="517"/>
      <c r="J519" s="517"/>
      <c r="K519" s="517"/>
      <c r="L519" s="517"/>
      <c r="M519" s="517"/>
      <c r="N519" s="517"/>
      <c r="O519" s="517"/>
      <c r="P519" s="517"/>
      <c r="Q519" s="517"/>
      <c r="R519" s="517"/>
      <c r="S519" s="517"/>
      <c r="T519" s="517"/>
      <c r="U519" s="517"/>
      <c r="V519" s="517"/>
      <c r="W519" s="517"/>
      <c r="X519" s="517"/>
      <c r="Y519" s="517"/>
      <c r="Z519" s="517"/>
      <c r="AA519" s="517"/>
      <c r="AB519" s="517"/>
      <c r="AC519" s="517"/>
      <c r="AD519" s="517"/>
      <c r="AE519" s="517"/>
      <c r="AF519" s="517"/>
      <c r="AG519" s="517"/>
      <c r="AH519" s="517"/>
      <c r="AI519" s="517"/>
      <c r="AJ519" s="517"/>
      <c r="AK519" s="517"/>
      <c r="AL519" s="517"/>
      <c r="AM519" s="517"/>
      <c r="AN519" s="517"/>
      <c r="AO519" s="517"/>
      <c r="AP519" s="517"/>
      <c r="AQ519" s="517"/>
      <c r="AR519" s="517"/>
      <c r="AS519" s="517"/>
      <c r="AT519" s="517"/>
      <c r="AU519" s="517"/>
      <c r="AV519" s="517"/>
      <c r="AW519" s="517"/>
      <c r="AX519" s="517"/>
      <c r="AY519" s="517"/>
      <c r="AZ519" s="517"/>
      <c r="BA519" s="517"/>
      <c r="BB519" s="517"/>
      <c r="BC519" s="517"/>
      <c r="BD519" s="517"/>
      <c r="BE519" s="517"/>
      <c r="BF519" s="517"/>
      <c r="BG519" s="517"/>
      <c r="BH519" s="517"/>
      <c r="BI519" s="517"/>
      <c r="BJ519" s="517"/>
      <c r="BK519" s="517"/>
      <c r="BL519" s="517"/>
      <c r="BM519" s="517"/>
      <c r="BN519" s="517"/>
      <c r="BO519" s="517"/>
      <c r="BP519" s="518">
        <f>SUM(BP402:BP404)/BP$416</f>
        <v>0.72957889396245557</v>
      </c>
      <c r="BQ519" s="518">
        <f t="shared" ref="BQ519:BZ519" si="1640">SUM(BQ402:BQ404)/BQ$416</f>
        <v>0.72658988482724085</v>
      </c>
      <c r="BR519" s="518">
        <f t="shared" si="1640"/>
        <v>0.72208558780127885</v>
      </c>
      <c r="BS519" s="518">
        <f t="shared" si="1640"/>
        <v>0.70486111111111116</v>
      </c>
      <c r="BT519" s="518">
        <f t="shared" si="1640"/>
        <v>0.72071847324435578</v>
      </c>
      <c r="BU519" s="518">
        <f t="shared" si="1640"/>
        <v>0.71034482758620687</v>
      </c>
      <c r="BV519" s="518">
        <f t="shared" si="1640"/>
        <v>0.71449136276391556</v>
      </c>
      <c r="BW519" s="518">
        <f t="shared" si="1640"/>
        <v>0.71442125237191656</v>
      </c>
      <c r="BX519" s="518">
        <f t="shared" si="1640"/>
        <v>0.72421948912015133</v>
      </c>
      <c r="BY519" s="518">
        <f t="shared" si="1640"/>
        <v>0.71593090211132437</v>
      </c>
      <c r="BZ519" s="518">
        <f t="shared" si="1640"/>
        <v>0.72206439393939392</v>
      </c>
      <c r="CA519" s="518">
        <f t="shared" ref="CA519:CB519" si="1641">SUM(CA402:CA404)/CA$416</f>
        <v>0.72030288689067679</v>
      </c>
      <c r="CB519" s="518">
        <f t="shared" si="1641"/>
        <v>0.7151515151515152</v>
      </c>
      <c r="CC519" s="518">
        <f t="shared" ref="CC519" si="1642">SUM(CC402:CC404)/CC$416</f>
        <v>0.70753860127157131</v>
      </c>
      <c r="CD519" s="518">
        <f>SUM(CD402:CD404)/CD$416</f>
        <v>0.71616892207186189</v>
      </c>
      <c r="CE519" s="518">
        <f t="shared" ref="CE519:CM519" si="1643">SUM(CE402:CE404)/CE$416</f>
        <v>0.70622919736721901</v>
      </c>
      <c r="CF519" s="518">
        <f t="shared" si="1643"/>
        <v>0.69410853588905752</v>
      </c>
      <c r="CG519" s="518">
        <f t="shared" si="1643"/>
        <v>0.68248049408111588</v>
      </c>
      <c r="CH519" s="518">
        <f t="shared" si="1643"/>
        <v>0.67181149661947548</v>
      </c>
      <c r="CI519" s="518">
        <f t="shared" si="1643"/>
        <v>0.66250995506149712</v>
      </c>
      <c r="CJ519" s="518">
        <f t="shared" si="1643"/>
        <v>0.6534634807142784</v>
      </c>
      <c r="CK519" s="518">
        <f t="shared" si="1643"/>
        <v>0.64464516270497763</v>
      </c>
      <c r="CL519" s="518">
        <f t="shared" si="1643"/>
        <v>0.63603121418710185</v>
      </c>
      <c r="CM519" s="518">
        <f t="shared" si="1643"/>
        <v>0.62760051956678065</v>
      </c>
    </row>
    <row r="520" spans="1:91">
      <c r="A520" s="523" t="s">
        <v>692</v>
      </c>
      <c r="B520" s="517"/>
      <c r="C520" s="517"/>
      <c r="D520" s="517"/>
      <c r="E520" s="517"/>
      <c r="F520" s="517"/>
      <c r="G520" s="517"/>
      <c r="H520" s="517"/>
      <c r="I520" s="517"/>
      <c r="J520" s="517"/>
      <c r="K520" s="517"/>
      <c r="L520" s="517"/>
      <c r="M520" s="517"/>
      <c r="N520" s="517"/>
      <c r="O520" s="517"/>
      <c r="P520" s="517"/>
      <c r="Q520" s="517"/>
      <c r="R520" s="517"/>
      <c r="S520" s="517"/>
      <c r="T520" s="517"/>
      <c r="U520" s="517"/>
      <c r="V520" s="517"/>
      <c r="W520" s="517"/>
      <c r="X520" s="517"/>
      <c r="Y520" s="517"/>
      <c r="Z520" s="517"/>
      <c r="AA520" s="517"/>
      <c r="AB520" s="517"/>
      <c r="AC520" s="517"/>
      <c r="AD520" s="517"/>
      <c r="AE520" s="517"/>
      <c r="AF520" s="517"/>
      <c r="AG520" s="517"/>
      <c r="AH520" s="517"/>
      <c r="AI520" s="517"/>
      <c r="AJ520" s="517"/>
      <c r="AK520" s="517"/>
      <c r="AL520" s="517"/>
      <c r="AM520" s="517"/>
      <c r="AN520" s="517"/>
      <c r="AO520" s="517"/>
      <c r="AP520" s="517"/>
      <c r="AQ520" s="517"/>
      <c r="AR520" s="517"/>
      <c r="AS520" s="517"/>
      <c r="AT520" s="517"/>
      <c r="AU520" s="517"/>
      <c r="AV520" s="517"/>
      <c r="AW520" s="517"/>
      <c r="AX520" s="517"/>
      <c r="AY520" s="517"/>
      <c r="AZ520" s="517"/>
      <c r="BA520" s="517"/>
      <c r="BB520" s="517"/>
      <c r="BC520" s="517"/>
      <c r="BD520" s="517"/>
      <c r="BE520" s="517"/>
      <c r="BF520" s="517"/>
      <c r="BG520" s="517"/>
      <c r="BH520" s="517"/>
      <c r="BI520" s="517"/>
      <c r="BJ520" s="517"/>
      <c r="BK520" s="517"/>
      <c r="BL520" s="517"/>
      <c r="BM520" s="517"/>
      <c r="BN520" s="517"/>
      <c r="BO520" s="517"/>
      <c r="BP520" s="518">
        <f>BP406/BP$416</f>
        <v>6.798579401319127E-2</v>
      </c>
      <c r="BQ520" s="518">
        <f t="shared" ref="BQ520:BZ520" si="1644">BQ406/BQ$416</f>
        <v>7.0605908863294944E-2</v>
      </c>
      <c r="BR520" s="518">
        <f t="shared" si="1644"/>
        <v>7.2798819478603047E-2</v>
      </c>
      <c r="BS520" s="518">
        <f t="shared" si="1644"/>
        <v>7.7876984126984128E-2</v>
      </c>
      <c r="BT520" s="518">
        <f t="shared" si="1644"/>
        <v>7.2346264188599227E-2</v>
      </c>
      <c r="BU520" s="518">
        <f t="shared" si="1644"/>
        <v>8.0295566502463056E-2</v>
      </c>
      <c r="BV520" s="518">
        <f t="shared" si="1644"/>
        <v>8.3013435700575816E-2</v>
      </c>
      <c r="BW520" s="518">
        <f t="shared" si="1644"/>
        <v>8.5388994307400379E-2</v>
      </c>
      <c r="BX520" s="518">
        <f t="shared" si="1644"/>
        <v>8.845789971617786E-2</v>
      </c>
      <c r="BY520" s="518">
        <f t="shared" si="1644"/>
        <v>8.4333013435700571E-2</v>
      </c>
      <c r="BZ520" s="518">
        <f t="shared" si="1644"/>
        <v>9.0909090909090912E-2</v>
      </c>
      <c r="CA520" s="518">
        <f t="shared" ref="CA520:CB520" si="1645">CA406/CA$416</f>
        <v>9.5125414103170852E-2</v>
      </c>
      <c r="CB520" s="518">
        <f t="shared" si="1645"/>
        <v>9.37062937062937E-2</v>
      </c>
      <c r="CC520" s="518">
        <f t="shared" ref="CC520" si="1646">CC406/CC$416</f>
        <v>9.7638510445049953E-2</v>
      </c>
      <c r="CD520" s="518">
        <f>CD406/CD$416</f>
        <v>9.4377041530564629E-2</v>
      </c>
      <c r="CE520" s="518">
        <f t="shared" ref="CE520:CM520" si="1647">CE406/CE$416</f>
        <v>0.10252286071090233</v>
      </c>
      <c r="CF520" s="518">
        <f t="shared" si="1647"/>
        <v>0.11207576260632425</v>
      </c>
      <c r="CG520" s="518">
        <f t="shared" si="1647"/>
        <v>0.1208073308639914</v>
      </c>
      <c r="CH520" s="518">
        <f t="shared" si="1647"/>
        <v>0.1290233320922142</v>
      </c>
      <c r="CI520" s="518">
        <f t="shared" si="1647"/>
        <v>0.13622392480447343</v>
      </c>
      <c r="CJ520" s="518">
        <f t="shared" si="1647"/>
        <v>0.1428767640191447</v>
      </c>
      <c r="CK520" s="518">
        <f t="shared" si="1647"/>
        <v>0.14903019526478137</v>
      </c>
      <c r="CL520" s="518">
        <f t="shared" si="1647"/>
        <v>0.15472618712797415</v>
      </c>
      <c r="CM520" s="518">
        <f t="shared" si="1647"/>
        <v>0.16000139103274919</v>
      </c>
    </row>
    <row r="521" spans="1:91">
      <c r="A521" s="520" t="s">
        <v>771</v>
      </c>
      <c r="B521" s="517"/>
      <c r="C521" s="517"/>
      <c r="D521" s="517"/>
      <c r="E521" s="517"/>
      <c r="F521" s="517"/>
      <c r="G521" s="517"/>
      <c r="H521" s="517"/>
      <c r="I521" s="517"/>
      <c r="J521" s="517"/>
      <c r="K521" s="517"/>
      <c r="L521" s="517"/>
      <c r="M521" s="517"/>
      <c r="N521" s="517"/>
      <c r="O521" s="517"/>
      <c r="P521" s="517"/>
      <c r="Q521" s="517"/>
      <c r="R521" s="517"/>
      <c r="S521" s="517"/>
      <c r="T521" s="517"/>
      <c r="U521" s="517"/>
      <c r="V521" s="517"/>
      <c r="W521" s="517"/>
      <c r="X521" s="517"/>
      <c r="Y521" s="517"/>
      <c r="Z521" s="517"/>
      <c r="AA521" s="517"/>
      <c r="AB521" s="517"/>
      <c r="AC521" s="517"/>
      <c r="AD521" s="517"/>
      <c r="AE521" s="517"/>
      <c r="AF521" s="517"/>
      <c r="AG521" s="517"/>
      <c r="AH521" s="517"/>
      <c r="AI521" s="517"/>
      <c r="AJ521" s="517"/>
      <c r="AK521" s="517"/>
      <c r="AL521" s="517"/>
      <c r="AM521" s="517"/>
      <c r="AN521" s="517"/>
      <c r="AO521" s="517"/>
      <c r="AP521" s="517"/>
      <c r="AQ521" s="517"/>
      <c r="AR521" s="517"/>
      <c r="AS521" s="517"/>
      <c r="AT521" s="517"/>
      <c r="AU521" s="517"/>
      <c r="AV521" s="517"/>
      <c r="AW521" s="517"/>
      <c r="AX521" s="517"/>
      <c r="AY521" s="517"/>
      <c r="AZ521" s="517"/>
      <c r="BA521" s="517"/>
      <c r="BB521" s="517"/>
      <c r="BC521" s="517"/>
      <c r="BD521" s="517"/>
      <c r="BE521" s="517"/>
      <c r="BF521" s="517"/>
      <c r="BG521" s="517"/>
      <c r="BH521" s="517"/>
      <c r="BI521" s="517"/>
      <c r="BJ521" s="517"/>
      <c r="BK521" s="517"/>
      <c r="BL521" s="517"/>
      <c r="BM521" s="517"/>
      <c r="BN521" s="517"/>
      <c r="BO521" s="517"/>
      <c r="BP521" s="521">
        <f>BP408/BP$416</f>
        <v>0.81329274479959413</v>
      </c>
      <c r="BQ521" s="521">
        <f t="shared" ref="BQ521:BZ521" si="1648">BQ408/BQ$416</f>
        <v>0.81422133199799696</v>
      </c>
      <c r="BR521" s="521">
        <f t="shared" si="1648"/>
        <v>0.81308411214953269</v>
      </c>
      <c r="BS521" s="521">
        <f t="shared" si="1648"/>
        <v>0.80208333333333337</v>
      </c>
      <c r="BT521" s="521">
        <f t="shared" si="1648"/>
        <v>0.81065236372707994</v>
      </c>
      <c r="BU521" s="521">
        <f t="shared" si="1648"/>
        <v>0.80886699507389159</v>
      </c>
      <c r="BV521" s="521">
        <f t="shared" si="1648"/>
        <v>0.81477927063339728</v>
      </c>
      <c r="BW521" s="521">
        <f t="shared" si="1648"/>
        <v>0.81641366223908918</v>
      </c>
      <c r="BX521" s="521">
        <f t="shared" si="1648"/>
        <v>0.82781456953642385</v>
      </c>
      <c r="BY521" s="521">
        <f t="shared" si="1648"/>
        <v>0.81705854126679467</v>
      </c>
      <c r="BZ521" s="521">
        <f t="shared" si="1648"/>
        <v>0.82717803030303028</v>
      </c>
      <c r="CA521" s="521">
        <f t="shared" ref="CA521:CB521" si="1649">CA408/CA$416</f>
        <v>0.82867960246095596</v>
      </c>
      <c r="CB521" s="521">
        <f t="shared" si="1649"/>
        <v>0.82284382284382285</v>
      </c>
      <c r="CC521" s="521">
        <f t="shared" ref="CC521" si="1650">CC408/CC$416</f>
        <v>0.81789282470481384</v>
      </c>
      <c r="CD521" s="521">
        <f>CD408/CD$416</f>
        <v>0.82407839477368172</v>
      </c>
      <c r="CE521" s="521">
        <f t="shared" ref="CE521:CM521" si="1651">CE408/CE$416</f>
        <v>0.82159656460521824</v>
      </c>
      <c r="CF521" s="521">
        <f t="shared" si="1651"/>
        <v>0.81862117966050696</v>
      </c>
      <c r="CG521" s="521">
        <f t="shared" si="1651"/>
        <v>0.8153463322548985</v>
      </c>
      <c r="CH521" s="521">
        <f t="shared" si="1651"/>
        <v>0.81249637099054461</v>
      </c>
      <c r="CI521" s="521">
        <f t="shared" si="1651"/>
        <v>0.80998864825213523</v>
      </c>
      <c r="CJ521" s="521">
        <f t="shared" si="1651"/>
        <v>0.80721550875113124</v>
      </c>
      <c r="CK521" s="521">
        <f t="shared" si="1651"/>
        <v>0.80419502832747292</v>
      </c>
      <c r="CL521" s="521">
        <f t="shared" si="1651"/>
        <v>0.80094255402114134</v>
      </c>
      <c r="CM521" s="521">
        <f t="shared" si="1651"/>
        <v>0.79747121567828083</v>
      </c>
    </row>
    <row r="522" spans="1:91">
      <c r="A522" s="520" t="s">
        <v>772</v>
      </c>
      <c r="B522" s="517"/>
      <c r="C522" s="517"/>
      <c r="D522" s="517"/>
      <c r="E522" s="517"/>
      <c r="F522" s="517"/>
      <c r="G522" s="517"/>
      <c r="H522" s="517"/>
      <c r="I522" s="517"/>
      <c r="J522" s="517"/>
      <c r="K522" s="517"/>
      <c r="L522" s="517"/>
      <c r="M522" s="517"/>
      <c r="N522" s="517"/>
      <c r="O522" s="517"/>
      <c r="P522" s="517"/>
      <c r="Q522" s="517"/>
      <c r="R522" s="517"/>
      <c r="S522" s="517"/>
      <c r="T522" s="517"/>
      <c r="U522" s="517"/>
      <c r="V522" s="517"/>
      <c r="W522" s="517"/>
      <c r="X522" s="517"/>
      <c r="Y522" s="517"/>
      <c r="Z522" s="517"/>
      <c r="AA522" s="517"/>
      <c r="AB522" s="517"/>
      <c r="AC522" s="517"/>
      <c r="AD522" s="517"/>
      <c r="AE522" s="517"/>
      <c r="AF522" s="517"/>
      <c r="AG522" s="517"/>
      <c r="AH522" s="517"/>
      <c r="AI522" s="517"/>
      <c r="AJ522" s="517"/>
      <c r="AK522" s="517"/>
      <c r="AL522" s="517"/>
      <c r="AM522" s="517"/>
      <c r="AN522" s="517"/>
      <c r="AO522" s="517"/>
      <c r="AP522" s="517"/>
      <c r="AQ522" s="517"/>
      <c r="AR522" s="517"/>
      <c r="AS522" s="517"/>
      <c r="AT522" s="517"/>
      <c r="AU522" s="517"/>
      <c r="AV522" s="517"/>
      <c r="AW522" s="517"/>
      <c r="AX522" s="517"/>
      <c r="AY522" s="517"/>
      <c r="AZ522" s="517"/>
      <c r="BA522" s="517"/>
      <c r="BB522" s="517"/>
      <c r="BC522" s="517"/>
      <c r="BD522" s="517"/>
      <c r="BE522" s="517"/>
      <c r="BF522" s="517"/>
      <c r="BG522" s="517"/>
      <c r="BH522" s="517"/>
      <c r="BI522" s="517"/>
      <c r="BJ522" s="517"/>
      <c r="BK522" s="517"/>
      <c r="BL522" s="517"/>
      <c r="BM522" s="517"/>
      <c r="BN522" s="517"/>
      <c r="BO522" s="517"/>
      <c r="BP522" s="521">
        <f>BP413/BP$416</f>
        <v>0.18670725520040587</v>
      </c>
      <c r="BQ522" s="521">
        <f t="shared" ref="BQ522:BZ522" si="1652">BQ413/BQ$416</f>
        <v>0.18577866800200302</v>
      </c>
      <c r="BR522" s="521">
        <f t="shared" si="1652"/>
        <v>0.18691588785046728</v>
      </c>
      <c r="BS522" s="521">
        <f t="shared" si="1652"/>
        <v>0.19791666666666666</v>
      </c>
      <c r="BT522" s="521">
        <f t="shared" si="1652"/>
        <v>0.18934763627292003</v>
      </c>
      <c r="BU522" s="521">
        <f t="shared" si="1652"/>
        <v>0.19113300492610838</v>
      </c>
      <c r="BV522" s="521">
        <f t="shared" si="1652"/>
        <v>0.18522072936660269</v>
      </c>
      <c r="BW522" s="521">
        <f t="shared" si="1652"/>
        <v>0.18358633776091082</v>
      </c>
      <c r="BX522" s="521">
        <f t="shared" si="1652"/>
        <v>0.17218543046357615</v>
      </c>
      <c r="BY522" s="521">
        <f t="shared" si="1652"/>
        <v>0.18294145873320539</v>
      </c>
      <c r="BZ522" s="521">
        <f t="shared" si="1652"/>
        <v>0.1728219696969697</v>
      </c>
      <c r="CA522" s="521">
        <f t="shared" ref="CA522:CB522" si="1653">CA413/CA$416</f>
        <v>0.17132039753904402</v>
      </c>
      <c r="CB522" s="521">
        <f t="shared" si="1653"/>
        <v>0.17715617715617715</v>
      </c>
      <c r="CC522" s="521">
        <f t="shared" ref="CC522" si="1654">CC413/CC$416</f>
        <v>0.18210717529518619</v>
      </c>
      <c r="CD522" s="521">
        <f>CD413/CD$416</f>
        <v>0.17592160522631825</v>
      </c>
      <c r="CE522" s="521">
        <f t="shared" ref="CE522:CM522" si="1655">CE413/CE$416</f>
        <v>0.17840343539478173</v>
      </c>
      <c r="CF522" s="521">
        <f t="shared" si="1655"/>
        <v>0.18137882033949296</v>
      </c>
      <c r="CG522" s="521">
        <f t="shared" si="1655"/>
        <v>0.18465366774510156</v>
      </c>
      <c r="CH522" s="521">
        <f t="shared" si="1655"/>
        <v>0.18750362900945544</v>
      </c>
      <c r="CI522" s="521">
        <f t="shared" si="1655"/>
        <v>0.19001135174786482</v>
      </c>
      <c r="CJ522" s="521">
        <f t="shared" si="1655"/>
        <v>0.19278449124886884</v>
      </c>
      <c r="CK522" s="521">
        <f t="shared" si="1655"/>
        <v>0.19580497167252711</v>
      </c>
      <c r="CL522" s="521">
        <f t="shared" si="1655"/>
        <v>0.19905744597885869</v>
      </c>
      <c r="CM522" s="521">
        <f t="shared" si="1655"/>
        <v>0.2025287843217192</v>
      </c>
    </row>
    <row r="525" spans="1:91">
      <c r="A525" s="520" t="s">
        <v>769</v>
      </c>
      <c r="B525" s="517"/>
      <c r="C525" s="517"/>
      <c r="D525" s="517"/>
      <c r="E525" s="517"/>
      <c r="F525" s="517"/>
      <c r="G525" s="517"/>
      <c r="H525" s="517"/>
      <c r="I525" s="517"/>
      <c r="J525" s="517"/>
      <c r="K525" s="517"/>
      <c r="L525" s="517"/>
      <c r="M525" s="517"/>
      <c r="N525" s="517"/>
      <c r="O525" s="517"/>
      <c r="P525" s="517"/>
      <c r="Q525" s="517"/>
      <c r="R525" s="517"/>
      <c r="S525" s="517"/>
      <c r="T525" s="517"/>
      <c r="U525" s="517"/>
      <c r="V525" s="517"/>
      <c r="W525" s="517"/>
      <c r="X525" s="517"/>
      <c r="Y525" s="517"/>
      <c r="Z525" s="517"/>
      <c r="AA525" s="517"/>
      <c r="AB525" s="517"/>
      <c r="AC525" s="517"/>
      <c r="AD525" s="517"/>
      <c r="AE525" s="517"/>
      <c r="AF525" s="517"/>
      <c r="AG525" s="517"/>
      <c r="AH525" s="517"/>
      <c r="AI525" s="517"/>
      <c r="AJ525" s="517"/>
      <c r="AK525" s="517"/>
      <c r="AL525" s="517"/>
      <c r="AM525" s="517"/>
      <c r="AN525" s="517"/>
      <c r="AO525" s="517"/>
      <c r="AP525" s="517"/>
      <c r="AQ525" s="517"/>
      <c r="AR525" s="517"/>
      <c r="AS525" s="517"/>
      <c r="AT525" s="517"/>
      <c r="AU525" s="517"/>
      <c r="AV525" s="517"/>
      <c r="AW525" s="517"/>
      <c r="AX525" s="517"/>
      <c r="AY525" s="517"/>
      <c r="AZ525" s="517"/>
      <c r="BA525" s="517"/>
      <c r="BB525" s="517"/>
      <c r="BC525" s="517"/>
      <c r="BD525" s="517"/>
      <c r="BE525" s="517"/>
      <c r="BF525" s="517"/>
      <c r="BG525" s="517"/>
      <c r="BH525" s="517"/>
      <c r="BI525" s="517"/>
      <c r="BJ525" s="517"/>
      <c r="BK525" s="517"/>
      <c r="BL525" s="517"/>
      <c r="BM525" s="517"/>
      <c r="BN525" s="517"/>
      <c r="BO525" s="517"/>
      <c r="BP525" s="517"/>
      <c r="BQ525" s="517"/>
      <c r="BR525" s="517"/>
      <c r="BS525" s="517"/>
      <c r="BT525" s="517"/>
      <c r="BU525" s="517"/>
      <c r="BV525" s="517"/>
      <c r="BW525" s="517"/>
      <c r="BX525" s="517"/>
      <c r="BY525" s="517"/>
      <c r="BZ525" s="517"/>
      <c r="CA525" s="517"/>
      <c r="CB525" s="517"/>
      <c r="CC525" s="517"/>
      <c r="CD525" s="517"/>
      <c r="CE525" s="517"/>
      <c r="CF525" s="517"/>
      <c r="CG525" s="517"/>
      <c r="CH525" s="517"/>
      <c r="CI525" s="517"/>
      <c r="CJ525" s="517"/>
      <c r="CK525" s="517"/>
      <c r="CL525" s="517"/>
      <c r="CM525" s="517"/>
    </row>
    <row r="526" spans="1:91">
      <c r="A526" s="516" t="s">
        <v>722</v>
      </c>
      <c r="B526" s="517"/>
      <c r="C526" s="517"/>
      <c r="D526" s="517"/>
      <c r="E526" s="517"/>
      <c r="F526" s="517"/>
      <c r="G526" s="517"/>
      <c r="H526" s="517"/>
      <c r="I526" s="517"/>
      <c r="J526" s="517"/>
      <c r="K526" s="517"/>
      <c r="L526" s="517"/>
      <c r="M526" s="517"/>
      <c r="N526" s="517"/>
      <c r="O526" s="517"/>
      <c r="P526" s="517"/>
      <c r="Q526" s="517"/>
      <c r="R526" s="517"/>
      <c r="S526" s="517"/>
      <c r="T526" s="517"/>
      <c r="U526" s="517"/>
      <c r="V526" s="517"/>
      <c r="W526" s="517"/>
      <c r="X526" s="517"/>
      <c r="Y526" s="517"/>
      <c r="Z526" s="517"/>
      <c r="AA526" s="517"/>
      <c r="AB526" s="517"/>
      <c r="AC526" s="517"/>
      <c r="AD526" s="517"/>
      <c r="AE526" s="517"/>
      <c r="AF526" s="517"/>
      <c r="AG526" s="517"/>
      <c r="AH526" s="517"/>
      <c r="AI526" s="517"/>
      <c r="AJ526" s="517"/>
      <c r="AK526" s="517"/>
      <c r="AL526" s="517"/>
      <c r="AM526" s="517"/>
      <c r="AN526" s="517"/>
      <c r="AO526" s="517"/>
      <c r="AP526" s="517"/>
      <c r="AQ526" s="517"/>
      <c r="AR526" s="517"/>
      <c r="AS526" s="517"/>
      <c r="AT526" s="517"/>
      <c r="AU526" s="517"/>
      <c r="AV526" s="517"/>
      <c r="AW526" s="517"/>
      <c r="AX526" s="517"/>
      <c r="AY526" s="517"/>
      <c r="AZ526" s="517"/>
      <c r="BA526" s="517"/>
      <c r="BB526" s="517"/>
      <c r="BC526" s="517"/>
      <c r="BD526" s="517"/>
      <c r="BE526" s="517"/>
      <c r="BF526" s="517"/>
      <c r="BG526" s="517"/>
      <c r="BH526" s="517"/>
      <c r="BI526" s="517"/>
      <c r="BJ526" s="517"/>
      <c r="BK526" s="517"/>
      <c r="BL526" s="517"/>
      <c r="BM526" s="517"/>
      <c r="BN526" s="517"/>
      <c r="BO526" s="517"/>
      <c r="BP526" s="517"/>
      <c r="BQ526" s="517"/>
      <c r="BR526" s="517"/>
      <c r="BS526" s="517"/>
      <c r="BT526" s="517"/>
      <c r="BU526" s="518">
        <f>(BU402-BP402)/(BU$416-BP$416)</f>
        <v>0.6271186440677966</v>
      </c>
      <c r="BV526" s="518">
        <f t="shared" ref="BV526:CC526" si="1656">(BV402-BQ402)/(BV$416-BQ$416)</f>
        <v>0.50574712643678166</v>
      </c>
      <c r="BW526" s="518">
        <f t="shared" si="1656"/>
        <v>0.62666666666666671</v>
      </c>
      <c r="BX526" s="518">
        <f t="shared" si="1656"/>
        <v>0.8571428571428571</v>
      </c>
      <c r="BY526" s="518">
        <f t="shared" si="1656"/>
        <v>0.66457680250783702</v>
      </c>
      <c r="BZ526" s="518">
        <f t="shared" si="1656"/>
        <v>0.96341463414634143</v>
      </c>
      <c r="CA526" s="518">
        <f t="shared" si="1656"/>
        <v>2.103448275862069</v>
      </c>
      <c r="CB526" s="518">
        <f t="shared" si="1656"/>
        <v>1.4054054054054055</v>
      </c>
      <c r="CC526" s="518">
        <f t="shared" si="1656"/>
        <v>0.60227272727272729</v>
      </c>
      <c r="CD526" s="518">
        <f>(CD402-BY402)/(CD$416-BY$416)</f>
        <v>1.0381355932203389</v>
      </c>
      <c r="CE526" s="518">
        <f>(CE402-CD402)/(CE$416-CD$416)</f>
        <v>0.35119376556044984</v>
      </c>
      <c r="CF526" s="518">
        <f t="shared" ref="CF526:CM526" si="1657">(CF402-CE402)/(CF$416-CE$416)</f>
        <v>0.22750017420198781</v>
      </c>
      <c r="CG526" s="518">
        <f t="shared" si="1657"/>
        <v>0.24925767975615157</v>
      </c>
      <c r="CH526" s="518">
        <f t="shared" si="1657"/>
        <v>0.27088989062426627</v>
      </c>
      <c r="CI526" s="518">
        <f t="shared" si="1657"/>
        <v>0.29485720168435631</v>
      </c>
      <c r="CJ526" s="518">
        <f t="shared" si="1657"/>
        <v>0.29053829334043124</v>
      </c>
      <c r="CK526" s="518">
        <f t="shared" si="1657"/>
        <v>0.28627002178224009</v>
      </c>
      <c r="CL526" s="518">
        <f t="shared" si="1657"/>
        <v>0.28204257160570795</v>
      </c>
      <c r="CM526" s="518">
        <f t="shared" si="1657"/>
        <v>0.27784757078394962</v>
      </c>
    </row>
    <row r="527" spans="1:91">
      <c r="A527" s="516" t="s">
        <v>570</v>
      </c>
      <c r="B527" s="517"/>
      <c r="C527" s="517"/>
      <c r="D527" s="517"/>
      <c r="E527" s="517"/>
      <c r="F527" s="517"/>
      <c r="G527" s="517"/>
      <c r="H527" s="517"/>
      <c r="I527" s="517"/>
      <c r="J527" s="517"/>
      <c r="K527" s="517"/>
      <c r="L527" s="517"/>
      <c r="M527" s="517"/>
      <c r="N527" s="517"/>
      <c r="O527" s="517"/>
      <c r="P527" s="517"/>
      <c r="Q527" s="517"/>
      <c r="R527" s="517"/>
      <c r="S527" s="517"/>
      <c r="T527" s="517"/>
      <c r="U527" s="517"/>
      <c r="V527" s="517"/>
      <c r="W527" s="517"/>
      <c r="X527" s="517"/>
      <c r="Y527" s="517"/>
      <c r="Z527" s="517"/>
      <c r="AA527" s="517"/>
      <c r="AB527" s="517"/>
      <c r="AC527" s="517"/>
      <c r="AD527" s="517"/>
      <c r="AE527" s="517"/>
      <c r="AF527" s="517"/>
      <c r="AG527" s="517"/>
      <c r="AH527" s="517"/>
      <c r="AI527" s="517"/>
      <c r="AJ527" s="517"/>
      <c r="AK527" s="517"/>
      <c r="AL527" s="517"/>
      <c r="AM527" s="517"/>
      <c r="AN527" s="517"/>
      <c r="AO527" s="517"/>
      <c r="AP527" s="517"/>
      <c r="AQ527" s="517"/>
      <c r="AR527" s="517"/>
      <c r="AS527" s="517"/>
      <c r="AT527" s="517"/>
      <c r="AU527" s="517"/>
      <c r="AV527" s="517"/>
      <c r="AW527" s="517"/>
      <c r="AX527" s="517"/>
      <c r="AY527" s="517"/>
      <c r="AZ527" s="517"/>
      <c r="BA527" s="517"/>
      <c r="BB527" s="517"/>
      <c r="BC527" s="517"/>
      <c r="BD527" s="517"/>
      <c r="BE527" s="517"/>
      <c r="BF527" s="517"/>
      <c r="BG527" s="517"/>
      <c r="BH527" s="517"/>
      <c r="BI527" s="517"/>
      <c r="BJ527" s="517"/>
      <c r="BK527" s="517"/>
      <c r="BL527" s="517"/>
      <c r="BM527" s="517"/>
      <c r="BN527" s="517"/>
      <c r="BO527" s="517"/>
      <c r="BP527" s="517"/>
      <c r="BQ527" s="517"/>
      <c r="BR527" s="517"/>
      <c r="BS527" s="517"/>
      <c r="BT527" s="517"/>
      <c r="BU527" s="518">
        <f>(BU403-BP403)/(BU$416-BP$416)</f>
        <v>-0.55932203389830504</v>
      </c>
      <c r="BV527" s="518">
        <f t="shared" ref="BV527:CC527" si="1658">(BV403-BQ403)/(BV$416-BQ$416)</f>
        <v>-6.8965517241379309E-2</v>
      </c>
      <c r="BW527" s="518">
        <f t="shared" si="1658"/>
        <v>-0.12</v>
      </c>
      <c r="BX527" s="518">
        <f t="shared" si="1658"/>
        <v>0.26530612244897961</v>
      </c>
      <c r="BY527" s="518">
        <f t="shared" si="1658"/>
        <v>-6.8965517241379309E-2</v>
      </c>
      <c r="BZ527" s="518">
        <f t="shared" si="1658"/>
        <v>4.878048780487805E-2</v>
      </c>
      <c r="CA527" s="518">
        <f t="shared" si="1658"/>
        <v>-0.96551724137931039</v>
      </c>
      <c r="CB527" s="518">
        <f t="shared" si="1658"/>
        <v>-0.64864864864864868</v>
      </c>
      <c r="CC527" s="518">
        <f t="shared" si="1658"/>
        <v>-0.29545454545454547</v>
      </c>
      <c r="CD527" s="518">
        <f>(CD403-BY403)/(CD$416-BY$416)</f>
        <v>-0.3135593220338983</v>
      </c>
      <c r="CE527" s="518">
        <f>(CE403-CD403)/(CE$416-CD$416)</f>
        <v>7.4197484606359873E-2</v>
      </c>
      <c r="CF527" s="518">
        <f t="shared" ref="CF527:CM527" si="1659">(CF403-CE403)/(CF$416-CE$416)</f>
        <v>9.6800100205305495E-2</v>
      </c>
      <c r="CG527" s="518">
        <f t="shared" si="1659"/>
        <v>6.2645341375992772E-2</v>
      </c>
      <c r="CH527" s="518">
        <f t="shared" si="1659"/>
        <v>8.750114001995471E-2</v>
      </c>
      <c r="CI527" s="518">
        <f t="shared" si="1659"/>
        <v>0.11029430990142253</v>
      </c>
      <c r="CJ527" s="518">
        <f t="shared" si="1659"/>
        <v>0.10368496477630619</v>
      </c>
      <c r="CK527" s="518">
        <f t="shared" si="1659"/>
        <v>9.7499290186588913E-2</v>
      </c>
      <c r="CL527" s="518">
        <f t="shared" si="1659"/>
        <v>9.1717337541595514E-2</v>
      </c>
      <c r="CM527" s="518">
        <f t="shared" si="1659"/>
        <v>8.6318653134501766E-2</v>
      </c>
    </row>
    <row r="528" spans="1:91">
      <c r="A528" s="516" t="s">
        <v>762</v>
      </c>
      <c r="B528" s="517"/>
      <c r="C528" s="517"/>
      <c r="D528" s="517"/>
      <c r="E528" s="517"/>
      <c r="F528" s="517"/>
      <c r="G528" s="517"/>
      <c r="H528" s="517"/>
      <c r="I528" s="517"/>
      <c r="J528" s="517"/>
      <c r="K528" s="517"/>
      <c r="L528" s="517"/>
      <c r="M528" s="517"/>
      <c r="N528" s="517"/>
      <c r="O528" s="517"/>
      <c r="P528" s="517"/>
      <c r="Q528" s="517"/>
      <c r="R528" s="517"/>
      <c r="S528" s="517"/>
      <c r="T528" s="517"/>
      <c r="U528" s="517"/>
      <c r="V528" s="517"/>
      <c r="W528" s="517"/>
      <c r="X528" s="517"/>
      <c r="Y528" s="517"/>
      <c r="Z528" s="517"/>
      <c r="AA528" s="517"/>
      <c r="AB528" s="517"/>
      <c r="AC528" s="517"/>
      <c r="AD528" s="517"/>
      <c r="AE528" s="517"/>
      <c r="AF528" s="517"/>
      <c r="AG528" s="517"/>
      <c r="AH528" s="517"/>
      <c r="AI528" s="517"/>
      <c r="AJ528" s="517"/>
      <c r="AK528" s="517"/>
      <c r="AL528" s="517"/>
      <c r="AM528" s="517"/>
      <c r="AN528" s="517"/>
      <c r="AO528" s="517"/>
      <c r="AP528" s="517"/>
      <c r="AQ528" s="517"/>
      <c r="AR528" s="517"/>
      <c r="AS528" s="517"/>
      <c r="AT528" s="517"/>
      <c r="AU528" s="517"/>
      <c r="AV528" s="517"/>
      <c r="AW528" s="517"/>
      <c r="AX528" s="517"/>
      <c r="AY528" s="517"/>
      <c r="AZ528" s="517"/>
      <c r="BA528" s="517"/>
      <c r="BB528" s="517"/>
      <c r="BC528" s="517"/>
      <c r="BD528" s="517"/>
      <c r="BE528" s="517"/>
      <c r="BF528" s="517"/>
      <c r="BG528" s="517"/>
      <c r="BH528" s="517"/>
      <c r="BI528" s="517"/>
      <c r="BJ528" s="517"/>
      <c r="BK528" s="517"/>
      <c r="BL528" s="517"/>
      <c r="BM528" s="517"/>
      <c r="BN528" s="517"/>
      <c r="BO528" s="517"/>
      <c r="BP528" s="517"/>
      <c r="BQ528" s="517"/>
      <c r="BR528" s="517"/>
      <c r="BS528" s="517"/>
      <c r="BT528" s="517"/>
      <c r="BU528" s="518">
        <f>(BU404-BP404)/(BU$416-BP$416)</f>
        <v>0</v>
      </c>
      <c r="BV528" s="518">
        <f t="shared" ref="BV528:CC528" si="1660">(BV404-BQ404)/(BV$416-BQ$416)</f>
        <v>0</v>
      </c>
      <c r="BW528" s="518">
        <f t="shared" si="1660"/>
        <v>0</v>
      </c>
      <c r="BX528" s="518">
        <f t="shared" si="1660"/>
        <v>0</v>
      </c>
      <c r="BY528" s="518">
        <f t="shared" si="1660"/>
        <v>0</v>
      </c>
      <c r="BZ528" s="518">
        <f t="shared" si="1660"/>
        <v>0</v>
      </c>
      <c r="CA528" s="518">
        <f t="shared" si="1660"/>
        <v>0</v>
      </c>
      <c r="CB528" s="518">
        <f t="shared" si="1660"/>
        <v>0</v>
      </c>
      <c r="CC528" s="518">
        <f t="shared" si="1660"/>
        <v>0</v>
      </c>
      <c r="CD528" s="518">
        <f>(CD404-BY404)/(CD$416-BY$416)</f>
        <v>0</v>
      </c>
      <c r="CE528" s="518">
        <f>(CE404-CD404)/(CE$416-CD$416)</f>
        <v>0</v>
      </c>
      <c r="CF528" s="518">
        <f t="shared" ref="CF528:CM528" si="1661">(CF404-CE404)/(CF$416-CE$416)</f>
        <v>0</v>
      </c>
      <c r="CG528" s="518">
        <f t="shared" si="1661"/>
        <v>0</v>
      </c>
      <c r="CH528" s="518">
        <f t="shared" si="1661"/>
        <v>0</v>
      </c>
      <c r="CI528" s="518">
        <f t="shared" si="1661"/>
        <v>0</v>
      </c>
      <c r="CJ528" s="518">
        <f t="shared" si="1661"/>
        <v>0</v>
      </c>
      <c r="CK528" s="518">
        <f t="shared" si="1661"/>
        <v>0</v>
      </c>
      <c r="CL528" s="518">
        <f t="shared" si="1661"/>
        <v>0</v>
      </c>
      <c r="CM528" s="518">
        <f t="shared" si="1661"/>
        <v>0</v>
      </c>
    </row>
    <row r="529" spans="1:91">
      <c r="A529" s="516" t="s">
        <v>723</v>
      </c>
      <c r="B529" s="517"/>
      <c r="C529" s="517"/>
      <c r="D529" s="517"/>
      <c r="E529" s="517"/>
      <c r="F529" s="517"/>
      <c r="G529" s="517"/>
      <c r="H529" s="517"/>
      <c r="I529" s="517"/>
      <c r="J529" s="517"/>
      <c r="K529" s="517"/>
      <c r="L529" s="517"/>
      <c r="M529" s="517"/>
      <c r="N529" s="517"/>
      <c r="O529" s="517"/>
      <c r="P529" s="517"/>
      <c r="Q529" s="517"/>
      <c r="R529" s="517"/>
      <c r="S529" s="517"/>
      <c r="T529" s="517"/>
      <c r="U529" s="517"/>
      <c r="V529" s="517"/>
      <c r="W529" s="517"/>
      <c r="X529" s="517"/>
      <c r="Y529" s="517"/>
      <c r="Z529" s="517"/>
      <c r="AA529" s="517"/>
      <c r="AB529" s="517"/>
      <c r="AC529" s="517"/>
      <c r="AD529" s="517"/>
      <c r="AE529" s="517"/>
      <c r="AF529" s="517"/>
      <c r="AG529" s="517"/>
      <c r="AH529" s="517"/>
      <c r="AI529" s="517"/>
      <c r="AJ529" s="517"/>
      <c r="AK529" s="517"/>
      <c r="AL529" s="517"/>
      <c r="AM529" s="517"/>
      <c r="AN529" s="517"/>
      <c r="AO529" s="517"/>
      <c r="AP529" s="517"/>
      <c r="AQ529" s="517"/>
      <c r="AR529" s="517"/>
      <c r="AS529" s="517"/>
      <c r="AT529" s="517"/>
      <c r="AU529" s="517"/>
      <c r="AV529" s="517"/>
      <c r="AW529" s="517"/>
      <c r="AX529" s="517"/>
      <c r="AY529" s="517"/>
      <c r="AZ529" s="517"/>
      <c r="BA529" s="517"/>
      <c r="BB529" s="517"/>
      <c r="BC529" s="517"/>
      <c r="BD529" s="517"/>
      <c r="BE529" s="517"/>
      <c r="BF529" s="517"/>
      <c r="BG529" s="517"/>
      <c r="BH529" s="517"/>
      <c r="BI529" s="517"/>
      <c r="BJ529" s="517"/>
      <c r="BK529" s="517"/>
      <c r="BL529" s="517"/>
      <c r="BM529" s="517"/>
      <c r="BN529" s="517"/>
      <c r="BO529" s="517"/>
      <c r="BP529" s="517"/>
      <c r="BQ529" s="517"/>
      <c r="BR529" s="517"/>
      <c r="BS529" s="517"/>
      <c r="BT529" s="517"/>
      <c r="BU529" s="518">
        <f>(BU405-BP405)/(BU$416-BP$416)</f>
        <v>0.59322033898305082</v>
      </c>
      <c r="BV529" s="518">
        <f t="shared" ref="BV529:CC529" si="1662">(BV405-BQ405)/(BV$416-BQ$416)</f>
        <v>0.39080459770114945</v>
      </c>
      <c r="BW529" s="518">
        <f t="shared" si="1662"/>
        <v>0.4</v>
      </c>
      <c r="BX529" s="518">
        <f t="shared" si="1662"/>
        <v>0.23469387755102042</v>
      </c>
      <c r="BY529" s="518">
        <f t="shared" si="1662"/>
        <v>0.38244514106583072</v>
      </c>
      <c r="BZ529" s="518">
        <f t="shared" si="1662"/>
        <v>0.26829268292682928</v>
      </c>
      <c r="CA529" s="518">
        <f t="shared" si="1662"/>
        <v>0.68965517241379315</v>
      </c>
      <c r="CB529" s="518">
        <f t="shared" si="1662"/>
        <v>0.43243243243243246</v>
      </c>
      <c r="CC529" s="518">
        <f t="shared" si="1662"/>
        <v>0.27272727272727271</v>
      </c>
      <c r="CD529" s="518">
        <f>(CD405-BY405)/(CD$416-BY$416)</f>
        <v>0.34745762711864409</v>
      </c>
      <c r="CE529" s="518">
        <f>(CE405-CD405)/(CE$416-CD$416)</f>
        <v>0.3260834438109661</v>
      </c>
      <c r="CF529" s="518">
        <f t="shared" ref="CF529:CM529" si="1663">(CF405-CE405)/(CF$416-CE$416)</f>
        <v>0.4035402217381121</v>
      </c>
      <c r="CG529" s="518">
        <f t="shared" si="1663"/>
        <v>0.39907623918506702</v>
      </c>
      <c r="CH529" s="518">
        <f t="shared" si="1663"/>
        <v>0.37038274216436712</v>
      </c>
      <c r="CI529" s="518">
        <f t="shared" si="1663"/>
        <v>0.33545254954142756</v>
      </c>
      <c r="CJ529" s="518">
        <f t="shared" si="1663"/>
        <v>0.3335237998389366</v>
      </c>
      <c r="CK529" s="518">
        <f t="shared" si="1663"/>
        <v>0.3310696283470021</v>
      </c>
      <c r="CL529" s="518">
        <f t="shared" si="1663"/>
        <v>0.32815364799049229</v>
      </c>
      <c r="CM529" s="518">
        <f t="shared" si="1663"/>
        <v>0.32483592574666187</v>
      </c>
    </row>
    <row r="530" spans="1:91" s="265" customFormat="1">
      <c r="A530" s="519" t="s">
        <v>725</v>
      </c>
      <c r="B530" s="520"/>
      <c r="C530" s="520"/>
      <c r="D530" s="520"/>
      <c r="E530" s="520"/>
      <c r="F530" s="520"/>
      <c r="G530" s="520"/>
      <c r="H530" s="520"/>
      <c r="I530" s="520"/>
      <c r="J530" s="520"/>
      <c r="K530" s="520"/>
      <c r="L530" s="520"/>
      <c r="M530" s="520"/>
      <c r="N530" s="520"/>
      <c r="O530" s="520"/>
      <c r="P530" s="520"/>
      <c r="Q530" s="520"/>
      <c r="R530" s="520"/>
      <c r="S530" s="520"/>
      <c r="T530" s="520"/>
      <c r="U530" s="520"/>
      <c r="V530" s="520"/>
      <c r="W530" s="520"/>
      <c r="X530" s="520"/>
      <c r="Y530" s="520"/>
      <c r="Z530" s="520"/>
      <c r="AA530" s="520"/>
      <c r="AB530" s="520"/>
      <c r="AC530" s="520"/>
      <c r="AD530" s="520"/>
      <c r="AE530" s="520"/>
      <c r="AF530" s="520"/>
      <c r="AG530" s="520"/>
      <c r="AH530" s="520"/>
      <c r="AI530" s="520"/>
      <c r="AJ530" s="520"/>
      <c r="AK530" s="520"/>
      <c r="AL530" s="520"/>
      <c r="AM530" s="520"/>
      <c r="AN530" s="520"/>
      <c r="AO530" s="520"/>
      <c r="AP530" s="520"/>
      <c r="AQ530" s="520"/>
      <c r="AR530" s="520"/>
      <c r="AS530" s="520"/>
      <c r="AT530" s="520"/>
      <c r="AU530" s="520"/>
      <c r="AV530" s="520"/>
      <c r="AW530" s="520"/>
      <c r="AX530" s="520"/>
      <c r="AY530" s="520"/>
      <c r="AZ530" s="520"/>
      <c r="BA530" s="520"/>
      <c r="BB530" s="520"/>
      <c r="BC530" s="520"/>
      <c r="BD530" s="520"/>
      <c r="BE530" s="520"/>
      <c r="BF530" s="520"/>
      <c r="BG530" s="520"/>
      <c r="BH530" s="520"/>
      <c r="BI530" s="520"/>
      <c r="BJ530" s="520"/>
      <c r="BK530" s="520"/>
      <c r="BL530" s="520"/>
      <c r="BM530" s="520"/>
      <c r="BN530" s="520"/>
      <c r="BO530" s="520"/>
      <c r="BP530" s="520"/>
      <c r="BQ530" s="520"/>
      <c r="BR530" s="520"/>
      <c r="BS530" s="520"/>
      <c r="BT530" s="520"/>
      <c r="BU530" s="521">
        <f>(BU408-BP408)/(BU$416-BP$416)</f>
        <v>0.66101694915254239</v>
      </c>
      <c r="BV530" s="521">
        <f t="shared" ref="BV530:CC530" si="1664">(BV408-BQ408)/(BV$416-BQ$416)</f>
        <v>0.82758620689655171</v>
      </c>
      <c r="BW530" s="521">
        <f t="shared" si="1664"/>
        <v>0.90666666666666662</v>
      </c>
      <c r="BX530" s="521">
        <f t="shared" si="1664"/>
        <v>1.3571428571428572</v>
      </c>
      <c r="BY530" s="521">
        <f t="shared" si="1664"/>
        <v>0.9780564263322884</v>
      </c>
      <c r="BZ530" s="521">
        <f t="shared" si="1664"/>
        <v>1.2804878048780488</v>
      </c>
      <c r="CA530" s="521">
        <f t="shared" si="1664"/>
        <v>1.8275862068965518</v>
      </c>
      <c r="CB530" s="521">
        <f t="shared" si="1664"/>
        <v>1.1891891891891893</v>
      </c>
      <c r="CC530" s="521">
        <f t="shared" si="1664"/>
        <v>0.57954545454545459</v>
      </c>
      <c r="CD530" s="521">
        <f>(CD408-BY408)/(CD$416-BY$416)</f>
        <v>1.0720338983050848</v>
      </c>
      <c r="CE530" s="521">
        <f>(CE408-CD408)/(CE$416-CD$416)</f>
        <v>0.751474693977777</v>
      </c>
      <c r="CF530" s="521">
        <f t="shared" ref="CF530:CM530" si="1665">(CF408-CE408)/(CF$416-CE$416)</f>
        <v>0.72784049614540502</v>
      </c>
      <c r="CG530" s="521">
        <f t="shared" si="1665"/>
        <v>0.71097926031721059</v>
      </c>
      <c r="CH530" s="521">
        <f t="shared" si="1665"/>
        <v>0.72877377280858813</v>
      </c>
      <c r="CI530" s="521">
        <f t="shared" si="1665"/>
        <v>0.740604061127207</v>
      </c>
      <c r="CJ530" s="521">
        <f t="shared" si="1665"/>
        <v>0.72774705795567274</v>
      </c>
      <c r="CK530" s="521">
        <f t="shared" si="1665"/>
        <v>0.71483894031582984</v>
      </c>
      <c r="CL530" s="521">
        <f t="shared" si="1665"/>
        <v>0.70191355713779768</v>
      </c>
      <c r="CM530" s="521">
        <f t="shared" si="1665"/>
        <v>0.68900214966511064</v>
      </c>
    </row>
    <row r="531" spans="1:91" s="265" customFormat="1">
      <c r="A531" s="522" t="s">
        <v>727</v>
      </c>
      <c r="B531" s="520"/>
      <c r="C531" s="520"/>
      <c r="D531" s="520"/>
      <c r="E531" s="520"/>
      <c r="F531" s="520"/>
      <c r="G531" s="520"/>
      <c r="H531" s="520"/>
      <c r="I531" s="520"/>
      <c r="J531" s="520"/>
      <c r="K531" s="520"/>
      <c r="L531" s="520"/>
      <c r="M531" s="520"/>
      <c r="N531" s="520"/>
      <c r="O531" s="520"/>
      <c r="P531" s="520"/>
      <c r="Q531" s="520"/>
      <c r="R531" s="520"/>
      <c r="S531" s="520"/>
      <c r="T531" s="520"/>
      <c r="U531" s="520"/>
      <c r="V531" s="520"/>
      <c r="W531" s="520"/>
      <c r="X531" s="520"/>
      <c r="Y531" s="520"/>
      <c r="Z531" s="520"/>
      <c r="AA531" s="520"/>
      <c r="AB531" s="520"/>
      <c r="AC531" s="520"/>
      <c r="AD531" s="520"/>
      <c r="AE531" s="520"/>
      <c r="AF531" s="520"/>
      <c r="AG531" s="520"/>
      <c r="AH531" s="520"/>
      <c r="AI531" s="520"/>
      <c r="AJ531" s="520"/>
      <c r="AK531" s="520"/>
      <c r="AL531" s="520"/>
      <c r="AM531" s="520"/>
      <c r="AN531" s="520"/>
      <c r="AO531" s="520"/>
      <c r="AP531" s="520"/>
      <c r="AQ531" s="520"/>
      <c r="AR531" s="520"/>
      <c r="AS531" s="520"/>
      <c r="AT531" s="520"/>
      <c r="AU531" s="520"/>
      <c r="AV531" s="520"/>
      <c r="AW531" s="520"/>
      <c r="AX531" s="520"/>
      <c r="AY531" s="520"/>
      <c r="AZ531" s="520"/>
      <c r="BA531" s="520"/>
      <c r="BB531" s="520"/>
      <c r="BC531" s="520"/>
      <c r="BD531" s="520"/>
      <c r="BE531" s="520"/>
      <c r="BF531" s="520"/>
      <c r="BG531" s="520"/>
      <c r="BH531" s="520"/>
      <c r="BI531" s="520"/>
      <c r="BJ531" s="520"/>
      <c r="BK531" s="520"/>
      <c r="BL531" s="520"/>
      <c r="BM531" s="520"/>
      <c r="BN531" s="520"/>
      <c r="BO531" s="520"/>
      <c r="BP531" s="520"/>
      <c r="BQ531" s="520"/>
      <c r="BR531" s="520"/>
      <c r="BS531" s="520"/>
      <c r="BT531" s="520"/>
      <c r="BU531" s="521">
        <f>(BU413-BP413)/(BU$416-BP$416)</f>
        <v>0.33898305084745761</v>
      </c>
      <c r="BV531" s="521">
        <f t="shared" ref="BV531:CC531" si="1666">(BV413-BQ413)/(BV$416-BQ$416)</f>
        <v>0.17241379310344829</v>
      </c>
      <c r="BW531" s="521">
        <f t="shared" si="1666"/>
        <v>9.3333333333333338E-2</v>
      </c>
      <c r="BX531" s="521">
        <f t="shared" si="1666"/>
        <v>-0.35714285714285715</v>
      </c>
      <c r="BY531" s="521">
        <f t="shared" si="1666"/>
        <v>2.1943573667711599E-2</v>
      </c>
      <c r="BZ531" s="521">
        <f t="shared" si="1666"/>
        <v>-0.28048780487804881</v>
      </c>
      <c r="CA531" s="521">
        <f t="shared" si="1666"/>
        <v>-0.82758620689655171</v>
      </c>
      <c r="CB531" s="521">
        <f t="shared" si="1666"/>
        <v>-0.1891891891891892</v>
      </c>
      <c r="CC531" s="521">
        <f t="shared" si="1666"/>
        <v>0.42045454545454547</v>
      </c>
      <c r="CD531" s="521">
        <f>(CD413-BY413)/(CD$416-BY$416)</f>
        <v>-7.2033898305084748E-2</v>
      </c>
      <c r="CE531" s="521">
        <f>(CE413-CD413)/(CE$416-CD$416)</f>
        <v>0.24852530602222156</v>
      </c>
      <c r="CF531" s="521">
        <f t="shared" ref="CF531:CM531" si="1667">(CF413-CE413)/(CF$416-CE$416)</f>
        <v>0.27215950385459498</v>
      </c>
      <c r="CG531" s="521">
        <f t="shared" si="1667"/>
        <v>0.28902073968279335</v>
      </c>
      <c r="CH531" s="521">
        <f t="shared" si="1667"/>
        <v>0.27122622719140976</v>
      </c>
      <c r="CI531" s="521">
        <f t="shared" si="1667"/>
        <v>0.2593959388727955</v>
      </c>
      <c r="CJ531" s="521">
        <f t="shared" si="1667"/>
        <v>0.27225294204432599</v>
      </c>
      <c r="CK531" s="521">
        <f t="shared" si="1667"/>
        <v>0.28516105968416888</v>
      </c>
      <c r="CL531" s="521">
        <f t="shared" si="1667"/>
        <v>0.29808644286220237</v>
      </c>
      <c r="CM531" s="521">
        <f t="shared" si="1667"/>
        <v>0.3109978503348893</v>
      </c>
    </row>
    <row r="532" spans="1:91">
      <c r="A532" s="286"/>
    </row>
    <row r="533" spans="1:91">
      <c r="A533" s="286"/>
    </row>
  </sheetData>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263238"/>
  </sheetPr>
  <dimension ref="A1:CA317"/>
  <sheetViews>
    <sheetView tabSelected="1" zoomScale="85" zoomScaleNormal="85" workbookViewId="0">
      <pane xSplit="1" ySplit="2" topLeftCell="L3" activePane="bottomRight" state="frozen"/>
      <selection activeCell="A5" sqref="A5"/>
      <selection pane="topRight" activeCell="A5" sqref="A5"/>
      <selection pane="bottomLeft" activeCell="A5" sqref="A5"/>
      <selection pane="bottomRight" activeCell="L84" sqref="L84"/>
    </sheetView>
  </sheetViews>
  <sheetFormatPr defaultRowHeight="14.4"/>
  <cols>
    <col min="1" max="1" width="33.21875" style="551" customWidth="1"/>
    <col min="2" max="3" width="10.77734375" style="551" customWidth="1"/>
    <col min="4" max="10" width="11.77734375" style="551" customWidth="1"/>
    <col min="11" max="12" width="12.21875" style="551" customWidth="1"/>
    <col min="13" max="27" width="12.44140625" style="551" customWidth="1"/>
    <col min="28" max="28" width="12.44140625" style="762" customWidth="1"/>
    <col min="29" max="16384" width="8.88671875" style="762"/>
  </cols>
  <sheetData>
    <row r="1" spans="1:79" s="633" customFormat="1" ht="13.2">
      <c r="A1" s="628">
        <f>'DCF and Valuation'!$B$34</f>
        <v>5.7057150396192924</v>
      </c>
      <c r="B1" s="465"/>
      <c r="C1" s="465"/>
      <c r="D1" s="465"/>
      <c r="E1" s="465"/>
      <c r="F1" s="465"/>
      <c r="G1" s="465"/>
      <c r="H1" s="465"/>
      <c r="I1" s="465"/>
      <c r="J1" s="465"/>
      <c r="K1" s="465"/>
      <c r="L1" s="465"/>
      <c r="M1" s="465"/>
      <c r="N1" s="465"/>
      <c r="O1" s="465"/>
      <c r="P1" s="465"/>
      <c r="Q1" s="465"/>
      <c r="R1" s="465"/>
      <c r="S1" s="465">
        <f>S40</f>
        <v>0</v>
      </c>
      <c r="T1" s="465">
        <f t="shared" ref="T1:AA1" si="0">T40</f>
        <v>0</v>
      </c>
      <c r="U1" s="465">
        <f t="shared" si="0"/>
        <v>0</v>
      </c>
      <c r="V1" s="465">
        <f t="shared" si="0"/>
        <v>0</v>
      </c>
      <c r="W1" s="465">
        <f t="shared" si="0"/>
        <v>0</v>
      </c>
      <c r="X1" s="465">
        <f t="shared" si="0"/>
        <v>0</v>
      </c>
      <c r="Y1" s="465">
        <f t="shared" si="0"/>
        <v>0</v>
      </c>
      <c r="Z1" s="465">
        <f t="shared" si="0"/>
        <v>0</v>
      </c>
      <c r="AA1" s="465">
        <f t="shared" si="0"/>
        <v>0</v>
      </c>
      <c r="AB1" s="629"/>
      <c r="AC1" s="630"/>
      <c r="AD1" s="630"/>
      <c r="AE1" s="630"/>
      <c r="AF1" s="630"/>
      <c r="AG1" s="631"/>
      <c r="AH1" s="632"/>
      <c r="AI1" s="632"/>
      <c r="BZ1" s="634"/>
      <c r="CA1" s="635"/>
    </row>
    <row r="2" spans="1:79" s="633" customFormat="1" ht="13.2">
      <c r="A2" s="636" t="s">
        <v>828</v>
      </c>
      <c r="B2" s="637">
        <v>2007</v>
      </c>
      <c r="C2" s="637">
        <f t="shared" ref="C2:R2" si="1">B2+1</f>
        <v>2008</v>
      </c>
      <c r="D2" s="637">
        <f t="shared" si="1"/>
        <v>2009</v>
      </c>
      <c r="E2" s="637">
        <f t="shared" si="1"/>
        <v>2010</v>
      </c>
      <c r="F2" s="637">
        <f t="shared" si="1"/>
        <v>2011</v>
      </c>
      <c r="G2" s="637">
        <f t="shared" si="1"/>
        <v>2012</v>
      </c>
      <c r="H2" s="637">
        <f t="shared" si="1"/>
        <v>2013</v>
      </c>
      <c r="I2" s="637">
        <f t="shared" si="1"/>
        <v>2014</v>
      </c>
      <c r="J2" s="637">
        <f t="shared" si="1"/>
        <v>2015</v>
      </c>
      <c r="K2" s="637">
        <f t="shared" si="1"/>
        <v>2016</v>
      </c>
      <c r="L2" s="637">
        <f t="shared" si="1"/>
        <v>2017</v>
      </c>
      <c r="M2" s="637">
        <f t="shared" si="1"/>
        <v>2018</v>
      </c>
      <c r="N2" s="637">
        <f t="shared" si="1"/>
        <v>2019</v>
      </c>
      <c r="O2" s="637">
        <f t="shared" si="1"/>
        <v>2020</v>
      </c>
      <c r="P2" s="637">
        <f t="shared" si="1"/>
        <v>2021</v>
      </c>
      <c r="Q2" s="637">
        <f t="shared" si="1"/>
        <v>2022</v>
      </c>
      <c r="R2" s="637">
        <f t="shared" si="1"/>
        <v>2023</v>
      </c>
      <c r="S2" s="638">
        <f t="shared" ref="S2:W2" si="2">R2+1</f>
        <v>2024</v>
      </c>
      <c r="T2" s="638">
        <f t="shared" si="2"/>
        <v>2025</v>
      </c>
      <c r="U2" s="638">
        <f t="shared" si="2"/>
        <v>2026</v>
      </c>
      <c r="V2" s="638">
        <f t="shared" si="2"/>
        <v>2027</v>
      </c>
      <c r="W2" s="638">
        <f t="shared" si="2"/>
        <v>2028</v>
      </c>
      <c r="X2" s="638">
        <f t="shared" ref="X2" si="3">W2+1</f>
        <v>2029</v>
      </c>
      <c r="Y2" s="638">
        <f>X2+1</f>
        <v>2030</v>
      </c>
      <c r="Z2" s="638">
        <f t="shared" ref="Z2" si="4">Y2+1</f>
        <v>2031</v>
      </c>
      <c r="AA2" s="638">
        <f t="shared" ref="AA2" si="5">Z2+1</f>
        <v>2032</v>
      </c>
      <c r="AB2" s="639"/>
      <c r="AC2" s="632"/>
      <c r="AD2" s="632"/>
      <c r="AE2" s="632"/>
      <c r="AF2" s="632"/>
      <c r="AG2" s="632"/>
      <c r="AH2" s="631"/>
      <c r="AI2" s="631"/>
      <c r="BZ2" s="634"/>
      <c r="CA2" s="635"/>
    </row>
    <row r="3" spans="1:79" s="633" customFormat="1" ht="13.2">
      <c r="A3" s="276"/>
      <c r="B3" s="200"/>
      <c r="C3" s="200"/>
      <c r="D3" s="200"/>
      <c r="E3" s="200"/>
      <c r="F3" s="200"/>
      <c r="G3" s="200"/>
      <c r="H3" s="195"/>
      <c r="I3" s="195"/>
      <c r="J3" s="465"/>
      <c r="K3" s="465"/>
      <c r="L3" s="465"/>
      <c r="M3" s="195"/>
      <c r="N3" s="195"/>
      <c r="O3" s="195"/>
      <c r="P3" s="195"/>
      <c r="Q3" s="195"/>
      <c r="R3" s="195"/>
      <c r="S3" s="195"/>
      <c r="T3" s="195"/>
      <c r="U3" s="195"/>
      <c r="V3" s="195"/>
      <c r="W3" s="195"/>
      <c r="X3" s="195"/>
      <c r="Y3" s="195"/>
      <c r="Z3" s="195"/>
      <c r="AA3" s="195"/>
      <c r="AB3" s="631"/>
      <c r="AC3" s="631"/>
      <c r="AD3" s="629"/>
      <c r="AE3" s="629"/>
      <c r="AF3" s="629"/>
      <c r="AG3" s="631"/>
      <c r="AH3" s="631"/>
      <c r="AI3" s="631"/>
      <c r="BZ3" s="634"/>
      <c r="CA3" s="635"/>
    </row>
    <row r="4" spans="1:79" s="633" customFormat="1" ht="13.2">
      <c r="A4" s="276" t="s">
        <v>110</v>
      </c>
      <c r="B4" s="640"/>
      <c r="C4" s="640"/>
      <c r="D4" s="730">
        <f>D141</f>
        <v>1192</v>
      </c>
      <c r="E4" s="730">
        <f>E141</f>
        <v>898</v>
      </c>
      <c r="F4" s="730">
        <f>F141</f>
        <v>838</v>
      </c>
      <c r="G4" s="730">
        <f>G141</f>
        <v>688</v>
      </c>
      <c r="H4" s="730">
        <f>H141</f>
        <v>808</v>
      </c>
      <c r="I4" s="730">
        <f>I141</f>
        <v>1531</v>
      </c>
      <c r="J4" s="730">
        <f>J141</f>
        <v>1296</v>
      </c>
      <c r="K4" s="730">
        <f>K141</f>
        <v>682</v>
      </c>
      <c r="L4" s="730">
        <f>L141</f>
        <v>602</v>
      </c>
      <c r="M4" s="730">
        <f>M141</f>
        <v>560.45699999999999</v>
      </c>
      <c r="N4" s="730">
        <f>N141</f>
        <v>582</v>
      </c>
      <c r="O4" s="730">
        <f>O141</f>
        <v>735</v>
      </c>
      <c r="P4" s="730">
        <f>P141</f>
        <v>1191</v>
      </c>
      <c r="Q4" s="730">
        <f t="shared" ref="Q4" si="6">Q141</f>
        <v>628</v>
      </c>
      <c r="R4" s="730">
        <f t="shared" ref="R4:W4" si="7">R141</f>
        <v>569</v>
      </c>
      <c r="S4" s="730">
        <f t="shared" si="7"/>
        <v>594.08680610776878</v>
      </c>
      <c r="T4" s="730">
        <f t="shared" si="7"/>
        <v>609.47580787779521</v>
      </c>
      <c r="U4" s="730">
        <f t="shared" si="7"/>
        <v>626.55315631874214</v>
      </c>
      <c r="V4" s="730">
        <f t="shared" si="7"/>
        <v>645.49756669805686</v>
      </c>
      <c r="W4" s="730">
        <f t="shared" si="7"/>
        <v>666.16299696665487</v>
      </c>
      <c r="X4" s="730">
        <f t="shared" ref="X4:AA4" si="8">X141</f>
        <v>686.80092670012937</v>
      </c>
      <c r="Y4" s="730">
        <f t="shared" si="8"/>
        <v>707.45565249754657</v>
      </c>
      <c r="Z4" s="730">
        <f t="shared" si="8"/>
        <v>728.17022602967199</v>
      </c>
      <c r="AA4" s="730">
        <f t="shared" si="8"/>
        <v>748.98658776480215</v>
      </c>
      <c r="AB4" s="641"/>
      <c r="AC4" s="631"/>
      <c r="AD4" s="629"/>
      <c r="AE4" s="629"/>
      <c r="AF4" s="629"/>
      <c r="AG4" s="631"/>
      <c r="AH4" s="631"/>
      <c r="AI4" s="631"/>
      <c r="BZ4" s="634"/>
      <c r="CA4" s="635"/>
    </row>
    <row r="5" spans="1:79" s="633" customFormat="1" ht="13.2">
      <c r="A5" s="276" t="s">
        <v>111</v>
      </c>
      <c r="B5" s="640"/>
      <c r="C5" s="640"/>
      <c r="D5" s="730">
        <f>D152</f>
        <v>134</v>
      </c>
      <c r="E5" s="730">
        <f>E152</f>
        <v>214</v>
      </c>
      <c r="F5" s="730">
        <f>F152</f>
        <v>110</v>
      </c>
      <c r="G5" s="730">
        <f>G152</f>
        <v>112.08750000000001</v>
      </c>
      <c r="H5" s="730">
        <f>H152</f>
        <v>70</v>
      </c>
      <c r="I5" s="730">
        <f>I152</f>
        <v>12</v>
      </c>
      <c r="J5" s="730">
        <f>J152</f>
        <v>13</v>
      </c>
      <c r="K5" s="730">
        <f>K152</f>
        <v>6</v>
      </c>
      <c r="L5" s="730">
        <f>L152</f>
        <v>5</v>
      </c>
      <c r="M5" s="730">
        <f>M152</f>
        <v>16</v>
      </c>
      <c r="N5" s="730">
        <f>N152</f>
        <v>3</v>
      </c>
      <c r="O5" s="730">
        <f>O152</f>
        <v>3</v>
      </c>
      <c r="P5" s="730">
        <f>P152</f>
        <v>5</v>
      </c>
      <c r="Q5" s="730">
        <f t="shared" ref="Q5" si="9">Q152</f>
        <v>8</v>
      </c>
      <c r="R5" s="730">
        <f t="shared" ref="R5:W5" si="10">R152</f>
        <v>22</v>
      </c>
      <c r="S5" s="730">
        <f t="shared" si="10"/>
        <v>22.969964383780166</v>
      </c>
      <c r="T5" s="730">
        <f t="shared" si="10"/>
        <v>23.56496972462477</v>
      </c>
      <c r="U5" s="730">
        <f t="shared" si="10"/>
        <v>24.225253847121841</v>
      </c>
      <c r="V5" s="730">
        <f t="shared" si="10"/>
        <v>24.957726656163885</v>
      </c>
      <c r="W5" s="730">
        <f t="shared" si="10"/>
        <v>25.756741534738858</v>
      </c>
      <c r="X5" s="730">
        <f t="shared" ref="X5:AA5" si="11">X152</f>
        <v>26.554693123730839</v>
      </c>
      <c r="Y5" s="730">
        <f t="shared" si="11"/>
        <v>27.353294121170517</v>
      </c>
      <c r="Z5" s="730">
        <f t="shared" si="11"/>
        <v>28.154209090778178</v>
      </c>
      <c r="AA5" s="730">
        <f t="shared" si="11"/>
        <v>28.959059632382512</v>
      </c>
      <c r="AB5" s="641"/>
      <c r="AC5" s="631" t="s">
        <v>817</v>
      </c>
      <c r="AD5" s="631"/>
      <c r="AE5" s="631"/>
      <c r="AF5" s="631"/>
      <c r="AG5" s="631"/>
      <c r="AH5" s="631"/>
      <c r="AI5" s="631"/>
      <c r="BZ5" s="634"/>
      <c r="CA5" s="635"/>
    </row>
    <row r="6" spans="1:79" s="633" customFormat="1" ht="13.2">
      <c r="A6" s="276" t="s">
        <v>112</v>
      </c>
      <c r="B6" s="640"/>
      <c r="C6" s="640"/>
      <c r="D6" s="730">
        <f>D155</f>
        <v>806</v>
      </c>
      <c r="E6" s="730">
        <f>E155</f>
        <v>991</v>
      </c>
      <c r="F6" s="730">
        <f>F155</f>
        <v>888</v>
      </c>
      <c r="G6" s="730">
        <f>G155</f>
        <v>904.8518181818182</v>
      </c>
      <c r="H6" s="730">
        <f>H155</f>
        <v>974</v>
      </c>
      <c r="I6" s="730">
        <f>I155</f>
        <v>1036</v>
      </c>
      <c r="J6" s="730">
        <f>J155</f>
        <v>1218</v>
      </c>
      <c r="K6" s="730">
        <f>K155</f>
        <v>1582</v>
      </c>
      <c r="L6" s="730">
        <f>L155</f>
        <v>1582</v>
      </c>
      <c r="M6" s="730">
        <f>M155</f>
        <v>2056</v>
      </c>
      <c r="N6" s="730">
        <f>N155</f>
        <v>2390</v>
      </c>
      <c r="O6" s="730">
        <f>O155</f>
        <v>2073</v>
      </c>
      <c r="P6" s="730">
        <f>P155</f>
        <v>1807</v>
      </c>
      <c r="Q6" s="730">
        <f t="shared" ref="Q6" si="12">Q155</f>
        <v>2136</v>
      </c>
      <c r="R6" s="730">
        <f t="shared" ref="R6:W6" si="13">R155</f>
        <v>2435</v>
      </c>
      <c r="S6" s="730">
        <f t="shared" si="13"/>
        <v>2516.9338473527114</v>
      </c>
      <c r="T6" s="730">
        <f t="shared" si="13"/>
        <v>2556.3102420000018</v>
      </c>
      <c r="U6" s="730">
        <f t="shared" si="13"/>
        <v>2601.6579947114378</v>
      </c>
      <c r="V6" s="730">
        <f t="shared" si="13"/>
        <v>2653.5182995252894</v>
      </c>
      <c r="W6" s="730">
        <f t="shared" si="13"/>
        <v>2711.0852715375859</v>
      </c>
      <c r="X6" s="730">
        <f t="shared" ref="X6:AA6" si="14">X155</f>
        <v>2767.124752470761</v>
      </c>
      <c r="Y6" s="730">
        <f t="shared" si="14"/>
        <v>2821.8393299787836</v>
      </c>
      <c r="Z6" s="730">
        <f t="shared" si="14"/>
        <v>2875.4192318928754</v>
      </c>
      <c r="AA6" s="730">
        <f t="shared" si="14"/>
        <v>2928.0432765359528</v>
      </c>
      <c r="AB6" s="641"/>
      <c r="AC6" s="631" t="s">
        <v>817</v>
      </c>
      <c r="AD6" s="631"/>
      <c r="AE6" s="631"/>
      <c r="AF6" s="631"/>
      <c r="AG6" s="631"/>
      <c r="AH6" s="631"/>
      <c r="AI6" s="631"/>
      <c r="BZ6" s="634"/>
      <c r="CA6" s="635"/>
    </row>
    <row r="7" spans="1:79" s="633" customFormat="1" ht="13.2">
      <c r="A7" s="276" t="s">
        <v>113</v>
      </c>
      <c r="B7" s="640"/>
      <c r="C7" s="640"/>
      <c r="D7" s="730">
        <f>D176</f>
        <v>0</v>
      </c>
      <c r="E7" s="730">
        <f>E176</f>
        <v>0</v>
      </c>
      <c r="F7" s="730">
        <f>F176</f>
        <v>0</v>
      </c>
      <c r="G7" s="730">
        <f>G176</f>
        <v>0</v>
      </c>
      <c r="H7" s="730">
        <f>H176</f>
        <v>0</v>
      </c>
      <c r="I7" s="730">
        <f>I176</f>
        <v>0</v>
      </c>
      <c r="J7" s="730">
        <f>J176</f>
        <v>0</v>
      </c>
      <c r="K7" s="730">
        <f>K176</f>
        <v>0</v>
      </c>
      <c r="L7" s="730">
        <f>L176</f>
        <v>0</v>
      </c>
      <c r="M7" s="730">
        <f>M176</f>
        <v>0</v>
      </c>
      <c r="N7" s="730">
        <f>N176</f>
        <v>0</v>
      </c>
      <c r="O7" s="730">
        <f>O176</f>
        <v>0</v>
      </c>
      <c r="P7" s="730">
        <f>P176</f>
        <v>0</v>
      </c>
      <c r="Q7" s="730">
        <f t="shared" ref="Q7" si="15">Q176</f>
        <v>0</v>
      </c>
      <c r="R7" s="730">
        <f t="shared" ref="R7:W7" si="16">R176</f>
        <v>0</v>
      </c>
      <c r="S7" s="730"/>
      <c r="T7" s="730"/>
      <c r="U7" s="730"/>
      <c r="V7" s="730"/>
      <c r="W7" s="730"/>
      <c r="X7" s="730"/>
      <c r="Y7" s="730"/>
      <c r="Z7" s="730"/>
      <c r="AA7" s="730"/>
      <c r="AB7" s="641"/>
      <c r="AC7" s="631"/>
      <c r="AD7" s="631"/>
      <c r="AE7" s="631"/>
      <c r="AF7" s="631"/>
      <c r="AG7" s="631"/>
      <c r="AH7" s="631"/>
      <c r="AI7" s="631"/>
      <c r="BZ7" s="634"/>
      <c r="CA7" s="635"/>
    </row>
    <row r="8" spans="1:79" s="633" customFormat="1" ht="13.2">
      <c r="A8" s="276" t="s">
        <v>114</v>
      </c>
      <c r="B8" s="640"/>
      <c r="C8" s="640"/>
      <c r="D8" s="730">
        <f>D172</f>
        <v>0</v>
      </c>
      <c r="E8" s="730">
        <f>E172</f>
        <v>0</v>
      </c>
      <c r="F8" s="730">
        <f>F172</f>
        <v>0</v>
      </c>
      <c r="G8" s="730">
        <f>G172</f>
        <v>0</v>
      </c>
      <c r="H8" s="730">
        <f>H172</f>
        <v>0</v>
      </c>
      <c r="I8" s="730">
        <f>I172</f>
        <v>0</v>
      </c>
      <c r="J8" s="730">
        <f>J172</f>
        <v>291</v>
      </c>
      <c r="K8" s="730">
        <f>K172</f>
        <v>188</v>
      </c>
      <c r="L8" s="730">
        <f>L172</f>
        <v>53</v>
      </c>
      <c r="M8" s="730">
        <f>M172</f>
        <v>30</v>
      </c>
      <c r="N8" s="730">
        <f>N172</f>
        <v>10</v>
      </c>
      <c r="O8" s="730">
        <f>O172</f>
        <v>11</v>
      </c>
      <c r="P8" s="730">
        <f>P172</f>
        <v>0</v>
      </c>
      <c r="Q8" s="730">
        <f t="shared" ref="Q8" si="17">Q172</f>
        <v>0</v>
      </c>
      <c r="R8" s="730">
        <f t="shared" ref="R8:W8" si="18">R172</f>
        <v>0</v>
      </c>
      <c r="S8" s="730"/>
      <c r="T8" s="730"/>
      <c r="U8" s="730"/>
      <c r="V8" s="730"/>
      <c r="W8" s="730"/>
      <c r="X8" s="730"/>
      <c r="Y8" s="730"/>
      <c r="Z8" s="730"/>
      <c r="AA8" s="730"/>
      <c r="AB8" s="641"/>
      <c r="AC8" s="631"/>
      <c r="AD8" s="631"/>
      <c r="AE8" s="631"/>
      <c r="AF8" s="631"/>
      <c r="AG8" s="631"/>
      <c r="AH8" s="631"/>
      <c r="AI8" s="631"/>
      <c r="BZ8" s="634"/>
      <c r="CA8" s="635"/>
    </row>
    <row r="9" spans="1:79" s="633" customFormat="1" ht="13.2">
      <c r="A9" s="276" t="s">
        <v>115</v>
      </c>
      <c r="B9" s="640"/>
      <c r="C9" s="640"/>
      <c r="D9" s="763"/>
      <c r="E9" s="763"/>
      <c r="F9" s="763"/>
      <c r="G9" s="763"/>
      <c r="H9" s="763"/>
      <c r="I9" s="763"/>
      <c r="J9" s="763"/>
      <c r="K9" s="763"/>
      <c r="L9" s="763"/>
      <c r="M9" s="763">
        <v>4</v>
      </c>
      <c r="N9" s="763">
        <v>1</v>
      </c>
      <c r="O9" s="763">
        <v>0</v>
      </c>
      <c r="P9" s="763">
        <f t="shared" ref="P9:W9" si="19">O9</f>
        <v>0</v>
      </c>
      <c r="Q9" s="763">
        <f>2781-SUM(Q4:Q8)</f>
        <v>9</v>
      </c>
      <c r="R9" s="763">
        <f>3041-SUM(R4:R8)</f>
        <v>15</v>
      </c>
      <c r="S9" s="763">
        <f t="shared" si="19"/>
        <v>15</v>
      </c>
      <c r="T9" s="763">
        <f t="shared" si="19"/>
        <v>15</v>
      </c>
      <c r="U9" s="763">
        <f t="shared" si="19"/>
        <v>15</v>
      </c>
      <c r="V9" s="763">
        <f t="shared" si="19"/>
        <v>15</v>
      </c>
      <c r="W9" s="763">
        <f t="shared" si="19"/>
        <v>15</v>
      </c>
      <c r="X9" s="763">
        <f t="shared" ref="X9" si="20">W9</f>
        <v>15</v>
      </c>
      <c r="Y9" s="763">
        <f t="shared" ref="Y9" si="21">X9</f>
        <v>15</v>
      </c>
      <c r="Z9" s="763">
        <f t="shared" ref="Z9" si="22">Y9</f>
        <v>15</v>
      </c>
      <c r="AA9" s="763">
        <f t="shared" ref="AA9" si="23">Z9</f>
        <v>15</v>
      </c>
      <c r="AB9" s="641"/>
      <c r="AC9" s="631" t="s">
        <v>818</v>
      </c>
      <c r="AD9" s="631"/>
      <c r="AE9" s="631"/>
      <c r="AF9" s="631"/>
      <c r="AG9" s="631"/>
      <c r="AH9" s="632"/>
      <c r="AI9" s="632"/>
      <c r="BZ9" s="634"/>
      <c r="CA9" s="635"/>
    </row>
    <row r="10" spans="1:79" s="633" customFormat="1" ht="13.2">
      <c r="A10" s="286" t="s">
        <v>116</v>
      </c>
      <c r="B10" s="642"/>
      <c r="C10" s="642"/>
      <c r="D10" s="764">
        <f t="shared" ref="D10:P10" si="24">SUM(D4:D9)</f>
        <v>2132</v>
      </c>
      <c r="E10" s="764">
        <f t="shared" si="24"/>
        <v>2103</v>
      </c>
      <c r="F10" s="764">
        <f t="shared" si="24"/>
        <v>1836</v>
      </c>
      <c r="G10" s="764">
        <f t="shared" si="24"/>
        <v>1704.9393181818182</v>
      </c>
      <c r="H10" s="764">
        <f t="shared" si="24"/>
        <v>1852</v>
      </c>
      <c r="I10" s="764">
        <f t="shared" si="24"/>
        <v>2579</v>
      </c>
      <c r="J10" s="764">
        <f t="shared" si="24"/>
        <v>2818</v>
      </c>
      <c r="K10" s="764">
        <f t="shared" si="24"/>
        <v>2458</v>
      </c>
      <c r="L10" s="764">
        <f t="shared" si="24"/>
        <v>2242</v>
      </c>
      <c r="M10" s="764">
        <f t="shared" si="24"/>
        <v>2666.4569999999999</v>
      </c>
      <c r="N10" s="764">
        <f t="shared" si="24"/>
        <v>2986</v>
      </c>
      <c r="O10" s="764">
        <f t="shared" si="24"/>
        <v>2822</v>
      </c>
      <c r="P10" s="764">
        <f t="shared" si="24"/>
        <v>3003</v>
      </c>
      <c r="Q10" s="764">
        <f t="shared" ref="Q10" si="25">SUM(Q4:Q9)</f>
        <v>2781</v>
      </c>
      <c r="R10" s="764">
        <f>SUM(R4:R9)</f>
        <v>3041</v>
      </c>
      <c r="S10" s="764">
        <f t="shared" ref="S10:W10" si="26">SUM(S4:S9)</f>
        <v>3148.9906178442602</v>
      </c>
      <c r="T10" s="764">
        <f>SUM(T4:T9)</f>
        <v>3204.3510196024217</v>
      </c>
      <c r="U10" s="764">
        <f t="shared" si="26"/>
        <v>3267.4364048773018</v>
      </c>
      <c r="V10" s="764">
        <f>SUM(V4:V9)</f>
        <v>3338.9735928795103</v>
      </c>
      <c r="W10" s="764">
        <f t="shared" si="26"/>
        <v>3418.0050100389794</v>
      </c>
      <c r="X10" s="764">
        <f t="shared" ref="X10:AA10" si="27">SUM(X4:X9)</f>
        <v>3495.4803722946212</v>
      </c>
      <c r="Y10" s="764">
        <f t="shared" si="27"/>
        <v>3571.6482765975006</v>
      </c>
      <c r="Z10" s="764">
        <f t="shared" si="27"/>
        <v>3646.7436670133256</v>
      </c>
      <c r="AA10" s="764">
        <f t="shared" si="27"/>
        <v>3720.9889239331374</v>
      </c>
      <c r="AB10" s="643"/>
      <c r="AC10" s="632"/>
      <c r="AD10" s="631"/>
      <c r="AE10" s="631"/>
      <c r="AF10" s="631"/>
      <c r="AG10" s="632"/>
      <c r="AH10" s="631"/>
      <c r="AI10" s="631"/>
      <c r="BZ10" s="634"/>
      <c r="CA10" s="635"/>
    </row>
    <row r="11" spans="1:79" s="633" customFormat="1" ht="13.2">
      <c r="A11" s="276"/>
      <c r="B11" s="640"/>
      <c r="C11" s="640"/>
      <c r="D11" s="730"/>
      <c r="E11" s="730"/>
      <c r="F11" s="730"/>
      <c r="G11" s="730"/>
      <c r="H11" s="730"/>
      <c r="I11" s="730"/>
      <c r="J11" s="730"/>
      <c r="K11" s="730"/>
      <c r="L11" s="730"/>
      <c r="M11" s="730"/>
      <c r="N11" s="730"/>
      <c r="O11" s="730"/>
      <c r="P11" s="730"/>
      <c r="Q11" s="730"/>
      <c r="R11" s="730"/>
      <c r="S11" s="730"/>
      <c r="T11" s="730"/>
      <c r="U11" s="730"/>
      <c r="V11" s="730"/>
      <c r="W11" s="730"/>
      <c r="X11" s="730"/>
      <c r="Y11" s="730"/>
      <c r="Z11" s="730"/>
      <c r="AA11" s="730"/>
      <c r="AB11" s="641"/>
      <c r="AC11" s="631"/>
      <c r="AD11" s="631"/>
      <c r="AE11" s="631"/>
      <c r="AF11" s="631"/>
      <c r="AG11" s="631"/>
      <c r="AH11" s="631"/>
      <c r="AI11" s="631"/>
      <c r="BZ11" s="634"/>
      <c r="CA11" s="635"/>
    </row>
    <row r="12" spans="1:79" s="633" customFormat="1" ht="13.2">
      <c r="A12" s="276" t="s">
        <v>117</v>
      </c>
      <c r="B12" s="640"/>
      <c r="C12" s="640"/>
      <c r="D12" s="730">
        <f>D95</f>
        <v>4555</v>
      </c>
      <c r="E12" s="730">
        <f t="shared" ref="E12:W12" si="28">E95</f>
        <v>5007</v>
      </c>
      <c r="F12" s="730">
        <f t="shared" si="28"/>
        <v>4971</v>
      </c>
      <c r="G12" s="730">
        <f t="shared" si="28"/>
        <v>4849</v>
      </c>
      <c r="H12" s="730">
        <f t="shared" si="28"/>
        <v>4038</v>
      </c>
      <c r="I12" s="730">
        <f t="shared" si="28"/>
        <v>4008</v>
      </c>
      <c r="J12" s="730">
        <f t="shared" si="28"/>
        <v>4227</v>
      </c>
      <c r="K12" s="730">
        <f t="shared" si="28"/>
        <v>4502</v>
      </c>
      <c r="L12" s="730">
        <f t="shared" si="28"/>
        <v>4841</v>
      </c>
      <c r="M12" s="730">
        <f t="shared" si="28"/>
        <v>5190</v>
      </c>
      <c r="N12" s="730">
        <f t="shared" si="28"/>
        <v>4922</v>
      </c>
      <c r="O12" s="730">
        <f t="shared" si="28"/>
        <v>4931</v>
      </c>
      <c r="P12" s="730">
        <f t="shared" si="28"/>
        <v>5193</v>
      </c>
      <c r="Q12" s="730">
        <f t="shared" ref="Q12" si="29">Q95</f>
        <v>5639</v>
      </c>
      <c r="R12" s="730">
        <f t="shared" si="28"/>
        <v>5384</v>
      </c>
      <c r="S12" s="730">
        <f t="shared" si="28"/>
        <v>5097.1328824704633</v>
      </c>
      <c r="T12" s="730">
        <f t="shared" si="28"/>
        <v>4918.131312323264</v>
      </c>
      <c r="U12" s="730">
        <f t="shared" si="28"/>
        <v>4821.1470343843657</v>
      </c>
      <c r="V12" s="730">
        <f t="shared" si="28"/>
        <v>4787.6738586124102</v>
      </c>
      <c r="W12" s="730">
        <f t="shared" si="28"/>
        <v>4803.9229595697871</v>
      </c>
      <c r="X12" s="730">
        <f t="shared" ref="X12:AA12" si="30">X95</f>
        <v>4856.3934217021206</v>
      </c>
      <c r="Y12" s="730">
        <f t="shared" si="30"/>
        <v>4935.3226666680093</v>
      </c>
      <c r="Z12" s="730">
        <f t="shared" si="30"/>
        <v>5033.6730147851931</v>
      </c>
      <c r="AA12" s="730">
        <f t="shared" si="30"/>
        <v>5280.3940488122616</v>
      </c>
      <c r="AB12" s="641"/>
      <c r="AC12" s="631" t="s">
        <v>816</v>
      </c>
      <c r="AD12" s="631"/>
      <c r="AE12" s="631"/>
      <c r="AF12" s="631"/>
      <c r="AG12" s="631"/>
      <c r="AH12" s="631"/>
      <c r="AI12" s="631"/>
      <c r="BZ12" s="634"/>
      <c r="CA12" s="635"/>
    </row>
    <row r="13" spans="1:79" s="633" customFormat="1" ht="13.2">
      <c r="A13" s="276" t="s">
        <v>118</v>
      </c>
      <c r="B13" s="640"/>
      <c r="C13" s="640"/>
      <c r="D13" s="730"/>
      <c r="E13" s="730"/>
      <c r="F13" s="730"/>
      <c r="G13" s="730"/>
      <c r="H13" s="730"/>
      <c r="I13" s="730"/>
      <c r="J13" s="730"/>
      <c r="K13" s="730"/>
      <c r="L13" s="730"/>
      <c r="M13" s="730"/>
      <c r="N13" s="730"/>
      <c r="O13" s="730"/>
      <c r="P13" s="730"/>
      <c r="Q13" s="730"/>
      <c r="R13" s="730"/>
      <c r="S13" s="730"/>
      <c r="T13" s="730"/>
      <c r="U13" s="730"/>
      <c r="V13" s="730"/>
      <c r="W13" s="730"/>
      <c r="X13" s="730"/>
      <c r="Y13" s="730"/>
      <c r="Z13" s="730"/>
      <c r="AA13" s="730"/>
      <c r="AB13" s="641"/>
      <c r="AC13" s="631"/>
      <c r="AD13" s="631"/>
      <c r="AE13" s="631"/>
      <c r="AF13" s="631"/>
      <c r="AG13" s="631"/>
      <c r="AH13" s="631"/>
      <c r="AI13" s="631"/>
      <c r="BZ13" s="634"/>
      <c r="CA13" s="635"/>
    </row>
    <row r="14" spans="1:79" s="633" customFormat="1" ht="13.2">
      <c r="A14" s="276" t="s">
        <v>119</v>
      </c>
      <c r="B14" s="640"/>
      <c r="C14" s="640"/>
      <c r="D14" s="730">
        <f>D107</f>
        <v>11019</v>
      </c>
      <c r="E14" s="730">
        <f t="shared" ref="E14:W14" si="31">E107</f>
        <v>11019</v>
      </c>
      <c r="F14" s="730">
        <f t="shared" si="31"/>
        <v>11060</v>
      </c>
      <c r="G14" s="730">
        <f t="shared" si="31"/>
        <v>10810</v>
      </c>
      <c r="H14" s="730">
        <f t="shared" si="31"/>
        <v>11167</v>
      </c>
      <c r="I14" s="730">
        <f t="shared" si="31"/>
        <v>11176</v>
      </c>
      <c r="J14" s="730">
        <f t="shared" si="31"/>
        <v>11267</v>
      </c>
      <c r="K14" s="730">
        <f t="shared" si="31"/>
        <v>11297</v>
      </c>
      <c r="L14" s="730">
        <f t="shared" si="31"/>
        <v>11353.75</v>
      </c>
      <c r="M14" s="730">
        <f t="shared" si="31"/>
        <v>10926</v>
      </c>
      <c r="N14" s="730">
        <f t="shared" si="31"/>
        <v>11310</v>
      </c>
      <c r="O14" s="730">
        <f t="shared" si="31"/>
        <v>11461</v>
      </c>
      <c r="P14" s="730">
        <f t="shared" si="31"/>
        <v>11474</v>
      </c>
      <c r="Q14" s="730">
        <f t="shared" ref="Q14" si="32">Q107</f>
        <v>11507</v>
      </c>
      <c r="R14" s="730">
        <f t="shared" si="31"/>
        <v>11193</v>
      </c>
      <c r="S14" s="730">
        <f t="shared" si="31"/>
        <v>10887.568349700183</v>
      </c>
      <c r="T14" s="730">
        <f t="shared" si="31"/>
        <v>10590.471238219705</v>
      </c>
      <c r="U14" s="730">
        <f t="shared" si="31"/>
        <v>10301.481234847757</v>
      </c>
      <c r="V14" s="730">
        <f t="shared" si="31"/>
        <v>10020.377114943161</v>
      </c>
      <c r="W14" s="730">
        <f t="shared" si="31"/>
        <v>9746.9436905847579</v>
      </c>
      <c r="X14" s="730">
        <f t="shared" ref="X14:AA14" si="33">X107</f>
        <v>9480.9716458429812</v>
      </c>
      <c r="Y14" s="730">
        <f t="shared" si="33"/>
        <v>9222.2573765464931</v>
      </c>
      <c r="Z14" s="730">
        <f t="shared" si="33"/>
        <v>8970.6028344212136</v>
      </c>
      <c r="AA14" s="730">
        <f t="shared" si="33"/>
        <v>8725.815375482458</v>
      </c>
      <c r="AB14" s="641"/>
      <c r="AC14" s="631" t="s">
        <v>816</v>
      </c>
      <c r="AD14" s="631"/>
      <c r="AE14" s="631"/>
      <c r="AF14" s="631"/>
      <c r="AG14" s="631"/>
      <c r="AH14" s="631"/>
      <c r="AI14" s="631"/>
      <c r="BZ14" s="634"/>
      <c r="CA14" s="635"/>
    </row>
    <row r="15" spans="1:79" s="633" customFormat="1" ht="13.2">
      <c r="A15" s="276" t="s">
        <v>651</v>
      </c>
      <c r="B15" s="640"/>
      <c r="C15" s="640"/>
      <c r="D15" s="730"/>
      <c r="E15" s="730"/>
      <c r="F15" s="730"/>
      <c r="G15" s="730"/>
      <c r="H15" s="730"/>
      <c r="I15" s="730"/>
      <c r="J15" s="730"/>
      <c r="K15" s="730"/>
      <c r="L15" s="730"/>
      <c r="M15" s="730"/>
      <c r="N15" s="730"/>
      <c r="O15" s="763">
        <v>1767</v>
      </c>
      <c r="P15" s="765">
        <v>1854</v>
      </c>
      <c r="Q15" s="765">
        <v>1887</v>
      </c>
      <c r="R15" s="765">
        <v>1826</v>
      </c>
      <c r="S15" s="763">
        <f t="shared" ref="S15:W15" si="34">R15</f>
        <v>1826</v>
      </c>
      <c r="T15" s="763">
        <f t="shared" si="34"/>
        <v>1826</v>
      </c>
      <c r="U15" s="763">
        <f t="shared" si="34"/>
        <v>1826</v>
      </c>
      <c r="V15" s="763">
        <f t="shared" si="34"/>
        <v>1826</v>
      </c>
      <c r="W15" s="763">
        <f t="shared" si="34"/>
        <v>1826</v>
      </c>
      <c r="X15" s="763">
        <f t="shared" ref="X15" si="35">W15</f>
        <v>1826</v>
      </c>
      <c r="Y15" s="763">
        <f t="shared" ref="Y15" si="36">X15</f>
        <v>1826</v>
      </c>
      <c r="Z15" s="763">
        <f t="shared" ref="Z15" si="37">Y15</f>
        <v>1826</v>
      </c>
      <c r="AA15" s="763">
        <f t="shared" ref="AA15" si="38">Z15</f>
        <v>1826</v>
      </c>
      <c r="AB15" s="641"/>
      <c r="AC15" s="631" t="s">
        <v>818</v>
      </c>
      <c r="AD15" s="631"/>
      <c r="AE15" s="631"/>
      <c r="AF15" s="631"/>
      <c r="AG15" s="631"/>
      <c r="AH15" s="631"/>
      <c r="AI15" s="631"/>
      <c r="BZ15" s="634"/>
      <c r="CA15" s="635"/>
    </row>
    <row r="16" spans="1:79" s="633" customFormat="1" ht="13.2">
      <c r="A16" s="276" t="s">
        <v>115</v>
      </c>
      <c r="B16" s="640"/>
      <c r="C16" s="640"/>
      <c r="D16" s="730">
        <f>D179</f>
        <v>6</v>
      </c>
      <c r="E16" s="730">
        <f>E179</f>
        <v>0</v>
      </c>
      <c r="F16" s="730">
        <f>F179</f>
        <v>3</v>
      </c>
      <c r="G16" s="730">
        <f>G179</f>
        <v>3</v>
      </c>
      <c r="H16" s="730">
        <f>H179</f>
        <v>145</v>
      </c>
      <c r="I16" s="730">
        <f>I179</f>
        <v>245</v>
      </c>
      <c r="J16" s="730">
        <f>J179</f>
        <v>617</v>
      </c>
      <c r="K16" s="730">
        <f>K179</f>
        <v>1341</v>
      </c>
      <c r="L16" s="730">
        <f>L179</f>
        <v>804</v>
      </c>
      <c r="M16" s="730">
        <f>M179</f>
        <v>1023</v>
      </c>
      <c r="N16" s="730">
        <f>N179</f>
        <v>2219</v>
      </c>
      <c r="O16" s="730">
        <f>O179</f>
        <v>951</v>
      </c>
      <c r="P16" s="730">
        <f>P179</f>
        <v>919</v>
      </c>
      <c r="Q16" s="730">
        <f t="shared" ref="Q16:R16" si="39">Q179</f>
        <v>1231</v>
      </c>
      <c r="R16" s="730">
        <f t="shared" si="39"/>
        <v>1337</v>
      </c>
      <c r="S16" s="730">
        <f>S179</f>
        <v>1337</v>
      </c>
      <c r="T16" s="730">
        <f t="shared" ref="T16:AA16" si="40">T179</f>
        <v>1337</v>
      </c>
      <c r="U16" s="730">
        <f t="shared" si="40"/>
        <v>1337</v>
      </c>
      <c r="V16" s="730">
        <f t="shared" si="40"/>
        <v>1337</v>
      </c>
      <c r="W16" s="730">
        <f t="shared" si="40"/>
        <v>1337</v>
      </c>
      <c r="X16" s="730">
        <f t="shared" si="40"/>
        <v>1337</v>
      </c>
      <c r="Y16" s="730">
        <f t="shared" si="40"/>
        <v>1337</v>
      </c>
      <c r="Z16" s="730">
        <f t="shared" si="40"/>
        <v>1337</v>
      </c>
      <c r="AA16" s="730">
        <f t="shared" si="40"/>
        <v>1337</v>
      </c>
      <c r="AB16" s="641"/>
      <c r="AC16" s="631" t="s">
        <v>818</v>
      </c>
      <c r="AD16" s="631"/>
      <c r="AE16" s="631"/>
      <c r="AF16" s="631"/>
      <c r="AG16" s="631"/>
      <c r="AH16" s="631"/>
      <c r="AI16" s="631"/>
      <c r="BZ16" s="634"/>
      <c r="CA16" s="635"/>
    </row>
    <row r="17" spans="1:79" s="633" customFormat="1" ht="13.2">
      <c r="A17" s="276" t="s">
        <v>554</v>
      </c>
      <c r="B17" s="640"/>
      <c r="C17" s="640"/>
      <c r="D17" s="730">
        <f>D182</f>
        <v>86</v>
      </c>
      <c r="E17" s="730">
        <f>E182</f>
        <v>96</v>
      </c>
      <c r="F17" s="730">
        <f>F182</f>
        <v>121</v>
      </c>
      <c r="G17" s="730">
        <f>G182</f>
        <v>121</v>
      </c>
      <c r="H17" s="730">
        <f>H182</f>
        <v>128</v>
      </c>
      <c r="I17" s="730">
        <f>I182</f>
        <v>102</v>
      </c>
      <c r="J17" s="730">
        <f>J182</f>
        <v>55</v>
      </c>
      <c r="K17" s="730">
        <f>K182</f>
        <v>45</v>
      </c>
      <c r="L17" s="730">
        <f>L182</f>
        <v>8</v>
      </c>
      <c r="M17" s="730">
        <f>M182</f>
        <v>0</v>
      </c>
      <c r="N17" s="730">
        <f>N182</f>
        <v>0</v>
      </c>
      <c r="O17" s="730">
        <f>O182</f>
        <v>0</v>
      </c>
      <c r="P17" s="730">
        <f>P182</f>
        <v>0</v>
      </c>
      <c r="Q17" s="730">
        <f t="shared" ref="Q17" si="41">Q182</f>
        <v>0</v>
      </c>
      <c r="R17" s="730">
        <f t="shared" ref="R17:W17" si="42">R182</f>
        <v>0</v>
      </c>
      <c r="S17" s="730"/>
      <c r="T17" s="730"/>
      <c r="U17" s="730"/>
      <c r="V17" s="730"/>
      <c r="W17" s="730"/>
      <c r="X17" s="730"/>
      <c r="Y17" s="730"/>
      <c r="Z17" s="730"/>
      <c r="AA17" s="730"/>
      <c r="AB17" s="641"/>
      <c r="AC17" s="631"/>
      <c r="AD17" s="631"/>
      <c r="AE17" s="631"/>
      <c r="AF17" s="631"/>
      <c r="AG17" s="631"/>
      <c r="AH17" s="631"/>
      <c r="AI17" s="631"/>
      <c r="BZ17" s="634"/>
      <c r="CA17" s="635"/>
    </row>
    <row r="18" spans="1:79" s="633" customFormat="1" ht="13.2">
      <c r="A18" s="286" t="s">
        <v>120</v>
      </c>
      <c r="B18" s="642"/>
      <c r="C18" s="642"/>
      <c r="D18" s="764">
        <f t="shared" ref="D18:P18" si="43">SUM(D12:D17)</f>
        <v>15666</v>
      </c>
      <c r="E18" s="764">
        <f t="shared" si="43"/>
        <v>16122</v>
      </c>
      <c r="F18" s="764">
        <f t="shared" si="43"/>
        <v>16155</v>
      </c>
      <c r="G18" s="764">
        <f t="shared" si="43"/>
        <v>15783</v>
      </c>
      <c r="H18" s="764">
        <f t="shared" si="43"/>
        <v>15478</v>
      </c>
      <c r="I18" s="764">
        <f t="shared" si="43"/>
        <v>15531</v>
      </c>
      <c r="J18" s="764">
        <f t="shared" si="43"/>
        <v>16166</v>
      </c>
      <c r="K18" s="764">
        <f t="shared" si="43"/>
        <v>17185</v>
      </c>
      <c r="L18" s="764">
        <f t="shared" si="43"/>
        <v>17006.75</v>
      </c>
      <c r="M18" s="764">
        <f t="shared" si="43"/>
        <v>17139</v>
      </c>
      <c r="N18" s="764">
        <f t="shared" si="43"/>
        <v>18451</v>
      </c>
      <c r="O18" s="764">
        <f t="shared" si="43"/>
        <v>19110</v>
      </c>
      <c r="P18" s="764">
        <f t="shared" si="43"/>
        <v>19440</v>
      </c>
      <c r="Q18" s="764">
        <f t="shared" ref="Q18" si="44">SUM(Q12:Q17)</f>
        <v>20264</v>
      </c>
      <c r="R18" s="764">
        <f t="shared" ref="R18:W18" si="45">SUM(R12:R17)</f>
        <v>19740</v>
      </c>
      <c r="S18" s="764">
        <f t="shared" si="45"/>
        <v>19147.701232170646</v>
      </c>
      <c r="T18" s="764">
        <f t="shared" si="45"/>
        <v>18671.602550542968</v>
      </c>
      <c r="U18" s="764">
        <f t="shared" si="45"/>
        <v>18285.628269232122</v>
      </c>
      <c r="V18" s="764">
        <f t="shared" si="45"/>
        <v>17971.050973555572</v>
      </c>
      <c r="W18" s="764">
        <f t="shared" si="45"/>
        <v>17713.866650154545</v>
      </c>
      <c r="X18" s="764">
        <f t="shared" ref="X18:AA18" si="46">SUM(X12:X17)</f>
        <v>17500.365067545103</v>
      </c>
      <c r="Y18" s="764">
        <f t="shared" si="46"/>
        <v>17320.580043214504</v>
      </c>
      <c r="Z18" s="764">
        <f t="shared" si="46"/>
        <v>17167.275849206406</v>
      </c>
      <c r="AA18" s="764">
        <f t="shared" si="46"/>
        <v>17169.209424294721</v>
      </c>
      <c r="AB18" s="643"/>
      <c r="AC18" s="632"/>
      <c r="AD18" s="632"/>
      <c r="AE18" s="632"/>
      <c r="AF18" s="632"/>
      <c r="AG18" s="632"/>
      <c r="AH18" s="631"/>
      <c r="AI18" s="631"/>
      <c r="BZ18" s="634"/>
      <c r="CA18" s="635"/>
    </row>
    <row r="19" spans="1:79" s="633" customFormat="1" ht="13.2">
      <c r="A19" s="276"/>
      <c r="B19" s="640"/>
      <c r="C19" s="640"/>
      <c r="D19" s="730"/>
      <c r="E19" s="730"/>
      <c r="F19" s="730"/>
      <c r="G19" s="730"/>
      <c r="H19" s="730"/>
      <c r="I19" s="730"/>
      <c r="J19" s="730"/>
      <c r="K19" s="730"/>
      <c r="L19" s="730"/>
      <c r="M19" s="730"/>
      <c r="N19" s="730"/>
      <c r="O19" s="730"/>
      <c r="P19" s="730"/>
      <c r="Q19" s="730"/>
      <c r="R19" s="730"/>
      <c r="S19" s="730"/>
      <c r="T19" s="730"/>
      <c r="U19" s="730"/>
      <c r="V19" s="730"/>
      <c r="W19" s="730"/>
      <c r="X19" s="730"/>
      <c r="Y19" s="730"/>
      <c r="Z19" s="730"/>
      <c r="AA19" s="730"/>
      <c r="AB19" s="641"/>
      <c r="AC19" s="631"/>
      <c r="AD19" s="631"/>
      <c r="AE19" s="631"/>
      <c r="AF19" s="631"/>
      <c r="AG19" s="631"/>
      <c r="AH19" s="632"/>
      <c r="AI19" s="632"/>
      <c r="BZ19" s="634"/>
      <c r="CA19" s="635"/>
    </row>
    <row r="20" spans="1:79" s="633" customFormat="1" ht="13.8" thickBot="1">
      <c r="A20" s="644" t="s">
        <v>121</v>
      </c>
      <c r="B20" s="645"/>
      <c r="C20" s="645"/>
      <c r="D20" s="766">
        <f t="shared" ref="D20:P20" si="47">D18+D10</f>
        <v>17798</v>
      </c>
      <c r="E20" s="766">
        <f t="shared" si="47"/>
        <v>18225</v>
      </c>
      <c r="F20" s="766">
        <f t="shared" si="47"/>
        <v>17991</v>
      </c>
      <c r="G20" s="766">
        <f t="shared" si="47"/>
        <v>17487.93931818182</v>
      </c>
      <c r="H20" s="766">
        <f t="shared" si="47"/>
        <v>17330</v>
      </c>
      <c r="I20" s="766">
        <f t="shared" si="47"/>
        <v>18110</v>
      </c>
      <c r="J20" s="766">
        <f t="shared" si="47"/>
        <v>18984</v>
      </c>
      <c r="K20" s="766">
        <f t="shared" si="47"/>
        <v>19643</v>
      </c>
      <c r="L20" s="766">
        <f t="shared" si="47"/>
        <v>19248.75</v>
      </c>
      <c r="M20" s="766">
        <f t="shared" si="47"/>
        <v>19805.456999999999</v>
      </c>
      <c r="N20" s="766">
        <f t="shared" si="47"/>
        <v>21437</v>
      </c>
      <c r="O20" s="766">
        <f t="shared" si="47"/>
        <v>21932</v>
      </c>
      <c r="P20" s="766">
        <f t="shared" si="47"/>
        <v>22443</v>
      </c>
      <c r="Q20" s="766">
        <f t="shared" ref="Q20" si="48">Q18+Q10</f>
        <v>23045</v>
      </c>
      <c r="R20" s="766">
        <f t="shared" ref="R20:W20" si="49">R18+R10</f>
        <v>22781</v>
      </c>
      <c r="S20" s="766">
        <f t="shared" si="49"/>
        <v>22296.691850014908</v>
      </c>
      <c r="T20" s="766">
        <f t="shared" si="49"/>
        <v>21875.95357014539</v>
      </c>
      <c r="U20" s="766">
        <f t="shared" si="49"/>
        <v>21553.064674109424</v>
      </c>
      <c r="V20" s="766">
        <f t="shared" si="49"/>
        <v>21310.02456643508</v>
      </c>
      <c r="W20" s="766">
        <f t="shared" si="49"/>
        <v>21131.871660193523</v>
      </c>
      <c r="X20" s="766">
        <f t="shared" ref="X20:AA20" si="50">X18+X10</f>
        <v>20995.845439839723</v>
      </c>
      <c r="Y20" s="766">
        <f t="shared" si="50"/>
        <v>20892.228319812006</v>
      </c>
      <c r="Z20" s="766">
        <f t="shared" si="50"/>
        <v>20814.019516219731</v>
      </c>
      <c r="AA20" s="766">
        <f t="shared" si="50"/>
        <v>20890.198348227859</v>
      </c>
      <c r="AB20" s="643"/>
      <c r="AC20" s="632"/>
      <c r="AD20" s="632"/>
      <c r="AE20" s="632"/>
      <c r="AF20" s="632"/>
      <c r="AG20" s="632"/>
      <c r="AH20" s="631"/>
      <c r="AI20" s="631"/>
      <c r="BZ20" s="634"/>
      <c r="CA20" s="635"/>
    </row>
    <row r="21" spans="1:79" s="633" customFormat="1" ht="13.8" thickTop="1">
      <c r="A21" s="276"/>
      <c r="B21" s="640"/>
      <c r="C21" s="640"/>
      <c r="D21" s="730"/>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641"/>
      <c r="AC21" s="631"/>
      <c r="AD21" s="631"/>
      <c r="AE21" s="631"/>
      <c r="AF21" s="631"/>
      <c r="AG21" s="631"/>
      <c r="AH21" s="631"/>
      <c r="AI21" s="631"/>
      <c r="BZ21" s="634"/>
      <c r="CA21" s="635"/>
    </row>
    <row r="22" spans="1:79" s="633" customFormat="1" ht="13.2">
      <c r="A22" s="276" t="s">
        <v>122</v>
      </c>
      <c r="B22" s="640"/>
      <c r="C22" s="640"/>
      <c r="D22" s="730">
        <f>D159</f>
        <v>3258</v>
      </c>
      <c r="E22" s="730">
        <f>E159</f>
        <v>3298</v>
      </c>
      <c r="F22" s="730">
        <f>F159</f>
        <v>2922</v>
      </c>
      <c r="G22" s="730">
        <f>G159</f>
        <v>2977.451590909091</v>
      </c>
      <c r="H22" s="730">
        <f>H159</f>
        <v>2751</v>
      </c>
      <c r="I22" s="730">
        <f>I159</f>
        <v>3303</v>
      </c>
      <c r="J22" s="730">
        <f>J159</f>
        <v>3467</v>
      </c>
      <c r="K22" s="730">
        <f>K159</f>
        <v>3633</v>
      </c>
      <c r="L22" s="730">
        <f>L159</f>
        <v>3299</v>
      </c>
      <c r="M22" s="730">
        <f>M159</f>
        <v>4020</v>
      </c>
      <c r="N22" s="730">
        <f>N159</f>
        <v>4323</v>
      </c>
      <c r="O22" s="730">
        <f>O159</f>
        <v>3997</v>
      </c>
      <c r="P22" s="730">
        <f>P159</f>
        <v>4055</v>
      </c>
      <c r="Q22" s="730">
        <f t="shared" ref="Q22" si="51">Q159</f>
        <v>3807</v>
      </c>
      <c r="R22" s="730">
        <f t="shared" ref="R22:W22" si="52">R159</f>
        <v>4126</v>
      </c>
      <c r="S22" s="730">
        <f t="shared" si="52"/>
        <v>4178.6750389114841</v>
      </c>
      <c r="T22" s="730">
        <f t="shared" si="52"/>
        <v>4158.3103335158685</v>
      </c>
      <c r="U22" s="730">
        <f t="shared" si="52"/>
        <v>4146.5803200369592</v>
      </c>
      <c r="V22" s="730">
        <f t="shared" si="52"/>
        <v>4143.7973064492026</v>
      </c>
      <c r="W22" s="730">
        <f t="shared" si="52"/>
        <v>4148.1660623586313</v>
      </c>
      <c r="X22" s="730">
        <f t="shared" ref="X22:AA22" si="53">X159</f>
        <v>4148.3771681185772</v>
      </c>
      <c r="Y22" s="730">
        <f t="shared" si="53"/>
        <v>4144.9406652182352</v>
      </c>
      <c r="Z22" s="730">
        <f t="shared" si="53"/>
        <v>4138.3169380352756</v>
      </c>
      <c r="AA22" s="730">
        <f t="shared" si="53"/>
        <v>4128.9213133943249</v>
      </c>
      <c r="AB22" s="641"/>
      <c r="AC22" s="631" t="s">
        <v>817</v>
      </c>
      <c r="AD22" s="631"/>
      <c r="AE22" s="631"/>
      <c r="AF22" s="631"/>
      <c r="AG22" s="631"/>
      <c r="AH22" s="631"/>
      <c r="AI22" s="631"/>
      <c r="BZ22" s="634"/>
      <c r="CA22" s="635"/>
    </row>
    <row r="23" spans="1:79" s="633" customFormat="1" ht="13.2">
      <c r="A23" s="276" t="s">
        <v>123</v>
      </c>
      <c r="B23" s="640"/>
      <c r="C23" s="640"/>
      <c r="D23" s="730">
        <f>D185</f>
        <v>0</v>
      </c>
      <c r="E23" s="730">
        <f>E185</f>
        <v>12</v>
      </c>
      <c r="F23" s="730">
        <f>F185</f>
        <v>0</v>
      </c>
      <c r="G23" s="730">
        <f>G185</f>
        <v>0</v>
      </c>
      <c r="H23" s="730">
        <f>H185</f>
        <v>0</v>
      </c>
      <c r="I23" s="730">
        <f>I185</f>
        <v>0</v>
      </c>
      <c r="J23" s="730">
        <f>J185</f>
        <v>320</v>
      </c>
      <c r="K23" s="730">
        <f>K185</f>
        <v>263</v>
      </c>
      <c r="L23" s="730">
        <f>L185</f>
        <v>428</v>
      </c>
      <c r="M23" s="730">
        <f>M185</f>
        <v>315</v>
      </c>
      <c r="N23" s="730">
        <f>N185</f>
        <v>129</v>
      </c>
      <c r="O23" s="730">
        <f>O185</f>
        <v>62</v>
      </c>
      <c r="P23" s="730">
        <f>P185</f>
        <v>28</v>
      </c>
      <c r="Q23" s="730">
        <f t="shared" ref="Q23" si="54">Q185</f>
        <v>177</v>
      </c>
      <c r="R23" s="730">
        <f t="shared" ref="R23:W23" si="55">R185</f>
        <v>268</v>
      </c>
      <c r="S23" s="730">
        <f t="shared" si="55"/>
        <v>268</v>
      </c>
      <c r="T23" s="730">
        <f t="shared" si="55"/>
        <v>268</v>
      </c>
      <c r="U23" s="730">
        <f t="shared" si="55"/>
        <v>268</v>
      </c>
      <c r="V23" s="730">
        <f t="shared" si="55"/>
        <v>268</v>
      </c>
      <c r="W23" s="730">
        <f t="shared" si="55"/>
        <v>268</v>
      </c>
      <c r="X23" s="730">
        <f t="shared" ref="X23:AA23" si="56">X185</f>
        <v>268</v>
      </c>
      <c r="Y23" s="730">
        <f t="shared" si="56"/>
        <v>268</v>
      </c>
      <c r="Z23" s="730">
        <f t="shared" si="56"/>
        <v>268</v>
      </c>
      <c r="AA23" s="730">
        <f t="shared" si="56"/>
        <v>268</v>
      </c>
      <c r="AB23" s="641"/>
      <c r="AC23" s="631" t="s">
        <v>818</v>
      </c>
      <c r="AD23" s="631"/>
      <c r="AE23" s="631"/>
      <c r="AF23" s="631"/>
      <c r="AG23" s="631"/>
      <c r="AH23" s="631"/>
      <c r="AI23" s="631"/>
      <c r="BZ23" s="634"/>
      <c r="CA23" s="635"/>
    </row>
    <row r="24" spans="1:79" s="633" customFormat="1" ht="13.2">
      <c r="A24" s="276" t="s">
        <v>124</v>
      </c>
      <c r="B24" s="640"/>
      <c r="C24" s="640"/>
      <c r="D24" s="730">
        <f>D165</f>
        <v>0</v>
      </c>
      <c r="E24" s="730">
        <f>E165</f>
        <v>0</v>
      </c>
      <c r="F24" s="730">
        <f>F165</f>
        <v>0</v>
      </c>
      <c r="G24" s="730">
        <f>G165</f>
        <v>0</v>
      </c>
      <c r="H24" s="730">
        <f>H165</f>
        <v>0</v>
      </c>
      <c r="I24" s="730">
        <f>I165</f>
        <v>0</v>
      </c>
      <c r="J24" s="730">
        <f>J165</f>
        <v>29</v>
      </c>
      <c r="K24" s="730">
        <f>K165</f>
        <v>0</v>
      </c>
      <c r="L24" s="730">
        <f>L165</f>
        <v>0</v>
      </c>
      <c r="M24" s="730">
        <f>M165</f>
        <v>5</v>
      </c>
      <c r="N24" s="730">
        <f>N165</f>
        <v>25</v>
      </c>
      <c r="O24" s="730">
        <f>O165</f>
        <v>17</v>
      </c>
      <c r="P24" s="730">
        <f>P165</f>
        <v>20</v>
      </c>
      <c r="Q24" s="730">
        <f t="shared" ref="Q24" si="57">Q165</f>
        <v>32</v>
      </c>
      <c r="R24" s="730">
        <f t="shared" ref="R24:W24" si="58">R165</f>
        <v>11</v>
      </c>
      <c r="S24" s="730">
        <f t="shared" si="58"/>
        <v>11.484982191890083</v>
      </c>
      <c r="T24" s="730">
        <f t="shared" si="58"/>
        <v>11.782484862312385</v>
      </c>
      <c r="U24" s="730">
        <f t="shared" si="58"/>
        <v>12.112626923560921</v>
      </c>
      <c r="V24" s="730">
        <f t="shared" si="58"/>
        <v>12.478863328081943</v>
      </c>
      <c r="W24" s="730">
        <f t="shared" si="58"/>
        <v>12.878370767369429</v>
      </c>
      <c r="X24" s="730">
        <f t="shared" ref="X24:AA24" si="59">X165</f>
        <v>13.27734656186542</v>
      </c>
      <c r="Y24" s="730">
        <f t="shared" si="59"/>
        <v>13.676647060585259</v>
      </c>
      <c r="Z24" s="730">
        <f t="shared" si="59"/>
        <v>14.077104545389089</v>
      </c>
      <c r="AA24" s="730">
        <f t="shared" si="59"/>
        <v>14.479529816191256</v>
      </c>
      <c r="AB24" s="641"/>
      <c r="AC24" s="631" t="s">
        <v>817</v>
      </c>
      <c r="AD24" s="629"/>
      <c r="AE24" s="629"/>
      <c r="AF24" s="629"/>
      <c r="AG24" s="631"/>
      <c r="AH24" s="631"/>
      <c r="AI24" s="631"/>
      <c r="BZ24" s="634"/>
      <c r="CA24" s="635"/>
    </row>
    <row r="25" spans="1:79" s="633" customFormat="1" ht="13.2">
      <c r="A25" s="276" t="s">
        <v>125</v>
      </c>
      <c r="B25" s="640"/>
      <c r="C25" s="640"/>
      <c r="D25" s="730">
        <f>D138</f>
        <v>53</v>
      </c>
      <c r="E25" s="730">
        <f>E138</f>
        <v>13</v>
      </c>
      <c r="F25" s="730">
        <f>F138</f>
        <v>1464</v>
      </c>
      <c r="G25" s="730">
        <f>G138</f>
        <v>1912.8657954545454</v>
      </c>
      <c r="H25" s="730">
        <f>H138</f>
        <v>910</v>
      </c>
      <c r="I25" s="730">
        <f>I138</f>
        <v>880</v>
      </c>
      <c r="J25" s="730">
        <f>J138</f>
        <v>1077</v>
      </c>
      <c r="K25" s="730">
        <f>K138</f>
        <v>1101</v>
      </c>
      <c r="L25" s="730">
        <f>L138</f>
        <v>206</v>
      </c>
      <c r="M25" s="730">
        <f>M138</f>
        <v>201.09700000000001</v>
      </c>
      <c r="N25" s="730">
        <f>N138</f>
        <v>1053</v>
      </c>
      <c r="O25" s="730">
        <f>O138</f>
        <v>255</v>
      </c>
      <c r="P25" s="730">
        <f>P138</f>
        <v>2034</v>
      </c>
      <c r="Q25" s="730">
        <f t="shared" ref="Q25" si="60">Q138</f>
        <v>283</v>
      </c>
      <c r="R25" s="730">
        <f t="shared" ref="R25:W25" si="61">R138</f>
        <v>857</v>
      </c>
      <c r="S25" s="730">
        <f t="shared" si="61"/>
        <v>857</v>
      </c>
      <c r="T25" s="730">
        <f t="shared" si="61"/>
        <v>857</v>
      </c>
      <c r="U25" s="730">
        <f t="shared" si="61"/>
        <v>857</v>
      </c>
      <c r="V25" s="730">
        <f t="shared" si="61"/>
        <v>857</v>
      </c>
      <c r="W25" s="730">
        <f t="shared" si="61"/>
        <v>857</v>
      </c>
      <c r="X25" s="730">
        <f t="shared" ref="X25:AA25" si="62">X138</f>
        <v>857</v>
      </c>
      <c r="Y25" s="730">
        <f t="shared" si="62"/>
        <v>857</v>
      </c>
      <c r="Z25" s="730">
        <f t="shared" si="62"/>
        <v>857</v>
      </c>
      <c r="AA25" s="730">
        <f t="shared" si="62"/>
        <v>857</v>
      </c>
      <c r="AB25" s="641"/>
      <c r="AC25" s="631" t="s">
        <v>818</v>
      </c>
      <c r="AD25" s="631"/>
      <c r="AE25" s="631"/>
      <c r="AF25" s="631"/>
      <c r="AG25" s="631"/>
      <c r="AH25" s="631"/>
      <c r="AI25" s="631"/>
      <c r="BZ25" s="634"/>
      <c r="CA25" s="635"/>
    </row>
    <row r="26" spans="1:79" s="633" customFormat="1" ht="13.2">
      <c r="A26" s="276" t="s">
        <v>126</v>
      </c>
      <c r="B26" s="640"/>
      <c r="C26" s="640"/>
      <c r="D26" s="730"/>
      <c r="E26" s="730"/>
      <c r="F26" s="730"/>
      <c r="G26" s="730"/>
      <c r="H26" s="730"/>
      <c r="I26" s="730"/>
      <c r="J26" s="730"/>
      <c r="K26" s="730">
        <f t="shared" ref="K26:M26" si="63">J26</f>
        <v>0</v>
      </c>
      <c r="L26" s="730">
        <f t="shared" si="63"/>
        <v>0</v>
      </c>
      <c r="M26" s="767">
        <f t="shared" si="63"/>
        <v>0</v>
      </c>
      <c r="N26" s="767">
        <f>N162</f>
        <v>127</v>
      </c>
      <c r="O26" s="767">
        <f>O162</f>
        <v>130</v>
      </c>
      <c r="P26" s="767">
        <f>P162</f>
        <v>137</v>
      </c>
      <c r="Q26" s="767">
        <f>Q162</f>
        <v>144</v>
      </c>
      <c r="R26" s="767">
        <f>R162</f>
        <v>160</v>
      </c>
      <c r="S26" s="767">
        <f>S162</f>
        <v>167.05428642749209</v>
      </c>
      <c r="T26" s="767">
        <f t="shared" ref="T26:AA26" si="64">T162</f>
        <v>171.38159799727103</v>
      </c>
      <c r="U26" s="767">
        <f t="shared" si="64"/>
        <v>176.18366434270428</v>
      </c>
      <c r="V26" s="767">
        <f t="shared" si="64"/>
        <v>181.5107393175555</v>
      </c>
      <c r="W26" s="767">
        <f t="shared" si="64"/>
        <v>187.32175661628256</v>
      </c>
      <c r="X26" s="767">
        <f t="shared" si="64"/>
        <v>193.12504089986064</v>
      </c>
      <c r="Y26" s="767">
        <f t="shared" si="64"/>
        <v>198.93304815396738</v>
      </c>
      <c r="Z26" s="767">
        <f t="shared" si="64"/>
        <v>204.75788429656853</v>
      </c>
      <c r="AA26" s="767">
        <f t="shared" si="64"/>
        <v>210.6113427809637</v>
      </c>
      <c r="AB26" s="641"/>
      <c r="AC26" s="631" t="s">
        <v>817</v>
      </c>
      <c r="AD26" s="631"/>
      <c r="AE26" s="631"/>
      <c r="AF26" s="631"/>
      <c r="AG26" s="631"/>
      <c r="AH26" s="632"/>
      <c r="AI26" s="632"/>
      <c r="BZ26" s="634"/>
      <c r="CA26" s="635"/>
    </row>
    <row r="27" spans="1:79" s="633" customFormat="1" ht="13.2">
      <c r="A27" s="286" t="s">
        <v>127</v>
      </c>
      <c r="B27" s="642"/>
      <c r="C27" s="642"/>
      <c r="D27" s="764">
        <f t="shared" ref="D27:P27" si="65">SUM(D22:D26)</f>
        <v>3311</v>
      </c>
      <c r="E27" s="764">
        <f t="shared" si="65"/>
        <v>3323</v>
      </c>
      <c r="F27" s="764">
        <f t="shared" si="65"/>
        <v>4386</v>
      </c>
      <c r="G27" s="764">
        <f t="shared" si="65"/>
        <v>4890.3173863636366</v>
      </c>
      <c r="H27" s="764">
        <f t="shared" si="65"/>
        <v>3661</v>
      </c>
      <c r="I27" s="764">
        <f t="shared" si="65"/>
        <v>4183</v>
      </c>
      <c r="J27" s="764">
        <f t="shared" si="65"/>
        <v>4893</v>
      </c>
      <c r="K27" s="764">
        <f t="shared" si="65"/>
        <v>4997</v>
      </c>
      <c r="L27" s="764">
        <f t="shared" si="65"/>
        <v>3933</v>
      </c>
      <c r="M27" s="764">
        <f t="shared" si="65"/>
        <v>4541.0969999999998</v>
      </c>
      <c r="N27" s="764">
        <f t="shared" si="65"/>
        <v>5657</v>
      </c>
      <c r="O27" s="764">
        <f t="shared" si="65"/>
        <v>4461</v>
      </c>
      <c r="P27" s="764">
        <f t="shared" si="65"/>
        <v>6274</v>
      </c>
      <c r="Q27" s="764">
        <f t="shared" ref="Q27" si="66">SUM(Q22:Q26)</f>
        <v>4443</v>
      </c>
      <c r="R27" s="764">
        <f t="shared" ref="R27:W27" si="67">SUM(R22:R26)</f>
        <v>5422</v>
      </c>
      <c r="S27" s="764">
        <f t="shared" si="67"/>
        <v>5482.2143075308659</v>
      </c>
      <c r="T27" s="764">
        <f t="shared" si="67"/>
        <v>5466.4744163754522</v>
      </c>
      <c r="U27" s="764">
        <f t="shared" si="67"/>
        <v>5459.8766113032243</v>
      </c>
      <c r="V27" s="764">
        <f t="shared" si="67"/>
        <v>5462.7869090948407</v>
      </c>
      <c r="W27" s="764">
        <f t="shared" si="67"/>
        <v>5473.3661897422835</v>
      </c>
      <c r="X27" s="764">
        <f t="shared" ref="X27:AA27" si="68">SUM(X22:X26)</f>
        <v>5479.7795555803032</v>
      </c>
      <c r="Y27" s="764">
        <f t="shared" si="68"/>
        <v>5482.5503604327878</v>
      </c>
      <c r="Z27" s="764">
        <f t="shared" si="68"/>
        <v>5482.1519268772336</v>
      </c>
      <c r="AA27" s="764">
        <f t="shared" si="68"/>
        <v>5479.0121859914798</v>
      </c>
      <c r="AB27" s="643"/>
      <c r="AC27" s="632"/>
      <c r="AD27" s="631"/>
      <c r="AE27" s="631"/>
      <c r="AF27" s="631"/>
      <c r="AG27" s="632"/>
      <c r="AH27" s="631"/>
      <c r="AI27" s="631"/>
      <c r="BZ27" s="634"/>
      <c r="CA27" s="635"/>
    </row>
    <row r="28" spans="1:79" s="633" customFormat="1" ht="13.2">
      <c r="A28" s="276"/>
      <c r="B28" s="640"/>
      <c r="C28" s="640"/>
      <c r="D28" s="730"/>
      <c r="E28" s="730"/>
      <c r="F28" s="730"/>
      <c r="G28" s="730"/>
      <c r="H28" s="730"/>
      <c r="I28" s="730"/>
      <c r="J28" s="730"/>
      <c r="K28" s="730"/>
      <c r="L28" s="730"/>
      <c r="M28" s="730"/>
      <c r="N28" s="730"/>
      <c r="O28" s="730"/>
      <c r="P28" s="730"/>
      <c r="Q28" s="730"/>
      <c r="R28" s="730"/>
      <c r="S28" s="730"/>
      <c r="T28" s="730"/>
      <c r="U28" s="730"/>
      <c r="V28" s="730"/>
      <c r="W28" s="730"/>
      <c r="X28" s="730"/>
      <c r="Y28" s="730"/>
      <c r="Z28" s="730"/>
      <c r="AA28" s="730"/>
      <c r="AB28" s="641"/>
      <c r="AC28" s="631"/>
      <c r="AD28" s="631"/>
      <c r="AE28" s="631"/>
      <c r="AF28" s="631"/>
      <c r="AG28" s="631"/>
      <c r="AH28" s="631"/>
      <c r="AI28" s="631"/>
      <c r="BZ28" s="634"/>
      <c r="CA28" s="635"/>
    </row>
    <row r="29" spans="1:79" s="633" customFormat="1" ht="13.2">
      <c r="A29" s="276" t="s">
        <v>128</v>
      </c>
      <c r="B29" s="640"/>
      <c r="C29" s="640"/>
      <c r="D29" s="730">
        <f>D139</f>
        <v>5013</v>
      </c>
      <c r="E29" s="730">
        <f>E139</f>
        <v>5442</v>
      </c>
      <c r="F29" s="730">
        <f>F139</f>
        <v>4811</v>
      </c>
      <c r="G29" s="730">
        <f>G139</f>
        <v>4811</v>
      </c>
      <c r="H29" s="730">
        <f>H139</f>
        <v>6613</v>
      </c>
      <c r="I29" s="730">
        <f>I139</f>
        <v>8118</v>
      </c>
      <c r="J29" s="730">
        <f>J139</f>
        <v>8801</v>
      </c>
      <c r="K29" s="730">
        <f>K139</f>
        <v>8763</v>
      </c>
      <c r="L29" s="730">
        <f>L139</f>
        <v>7440</v>
      </c>
      <c r="M29" s="730">
        <f>M139</f>
        <v>7439.1210000000001</v>
      </c>
      <c r="N29" s="730">
        <f>N139</f>
        <v>7894</v>
      </c>
      <c r="O29" s="730">
        <f>O139</f>
        <v>9508</v>
      </c>
      <c r="P29" s="730">
        <f>P139</f>
        <v>8056</v>
      </c>
      <c r="Q29" s="730">
        <f t="shared" ref="Q29" si="69">Q139</f>
        <v>9582</v>
      </c>
      <c r="R29" s="730">
        <f t="shared" ref="R29:W29" si="70">R139</f>
        <v>8915</v>
      </c>
      <c r="S29" s="730">
        <f t="shared" si="70"/>
        <v>8341.977493582548</v>
      </c>
      <c r="T29" s="730">
        <f t="shared" si="70"/>
        <v>7904.8496954037746</v>
      </c>
      <c r="U29" s="730">
        <f t="shared" si="70"/>
        <v>7553.1309756600804</v>
      </c>
      <c r="V29" s="730">
        <f t="shared" si="70"/>
        <v>7268.6509864695599</v>
      </c>
      <c r="W29" s="730">
        <f t="shared" si="70"/>
        <v>7038.4139459348507</v>
      </c>
      <c r="X29" s="730">
        <f t="shared" ref="X29:AA29" si="71">X139</f>
        <v>6851.7254466057511</v>
      </c>
      <c r="Y29" s="730">
        <f t="shared" si="71"/>
        <v>6698.5095204827157</v>
      </c>
      <c r="Z29" s="730">
        <f t="shared" si="71"/>
        <v>6571.4052528622942</v>
      </c>
      <c r="AA29" s="730">
        <f t="shared" si="71"/>
        <v>6599.0385181446145</v>
      </c>
      <c r="AB29" s="641"/>
      <c r="AC29" s="631"/>
      <c r="AD29" s="631"/>
      <c r="AE29" s="631"/>
      <c r="AF29" s="631"/>
      <c r="AG29" s="631"/>
      <c r="AH29" s="631"/>
      <c r="AI29" s="631"/>
      <c r="BZ29" s="634"/>
      <c r="CA29" s="635"/>
    </row>
    <row r="30" spans="1:79" s="633" customFormat="1" ht="13.2">
      <c r="A30" s="276" t="s">
        <v>558</v>
      </c>
      <c r="B30" s="640"/>
      <c r="C30" s="640"/>
      <c r="D30" s="730">
        <f>D188</f>
        <v>0</v>
      </c>
      <c r="E30" s="730">
        <f>E188</f>
        <v>693</v>
      </c>
      <c r="F30" s="730">
        <f>F188</f>
        <v>0</v>
      </c>
      <c r="G30" s="730">
        <f>G188</f>
        <v>0</v>
      </c>
      <c r="H30" s="730">
        <f>H188</f>
        <v>0</v>
      </c>
      <c r="I30" s="730">
        <f>I188</f>
        <v>0</v>
      </c>
      <c r="J30" s="730">
        <f>J188</f>
        <v>0</v>
      </c>
      <c r="K30" s="730">
        <f>K188</f>
        <v>0</v>
      </c>
      <c r="L30" s="767">
        <f>L188</f>
        <v>0</v>
      </c>
      <c r="M30" s="767">
        <f>312+168</f>
        <v>480</v>
      </c>
      <c r="N30" s="767">
        <f>311+278+6</f>
        <v>595</v>
      </c>
      <c r="O30" s="767">
        <f>326+188+17+382</f>
        <v>913</v>
      </c>
      <c r="P30" s="767">
        <f>335+145+908</f>
        <v>1388</v>
      </c>
      <c r="Q30" s="730">
        <f>12231-Q29</f>
        <v>2649</v>
      </c>
      <c r="R30" s="730">
        <f>11615-R29</f>
        <v>2700</v>
      </c>
      <c r="S30" s="763">
        <f t="shared" ref="S30:W30" si="72">R30</f>
        <v>2700</v>
      </c>
      <c r="T30" s="763">
        <f t="shared" si="72"/>
        <v>2700</v>
      </c>
      <c r="U30" s="763">
        <f t="shared" si="72"/>
        <v>2700</v>
      </c>
      <c r="V30" s="763">
        <f t="shared" si="72"/>
        <v>2700</v>
      </c>
      <c r="W30" s="763">
        <f t="shared" si="72"/>
        <v>2700</v>
      </c>
      <c r="X30" s="763">
        <f t="shared" ref="X30" si="73">W30</f>
        <v>2700</v>
      </c>
      <c r="Y30" s="763">
        <f t="shared" ref="Y30" si="74">X30</f>
        <v>2700</v>
      </c>
      <c r="Z30" s="763">
        <f t="shared" ref="Z30" si="75">Y30</f>
        <v>2700</v>
      </c>
      <c r="AA30" s="763">
        <f t="shared" ref="AA30" si="76">Z30</f>
        <v>2700</v>
      </c>
      <c r="AB30" s="641"/>
      <c r="AC30" s="631" t="s">
        <v>818</v>
      </c>
      <c r="AD30" s="631"/>
      <c r="AE30" s="631"/>
      <c r="AF30" s="631"/>
      <c r="AG30" s="631"/>
      <c r="AH30" s="631"/>
      <c r="AI30" s="631"/>
      <c r="BZ30" s="634"/>
      <c r="CA30" s="635"/>
    </row>
    <row r="31" spans="1:79" s="633" customFormat="1" ht="13.2">
      <c r="A31" s="276" t="s">
        <v>129</v>
      </c>
      <c r="B31" s="640"/>
      <c r="C31" s="646"/>
      <c r="D31" s="767">
        <v>529</v>
      </c>
      <c r="E31" s="767">
        <v>100</v>
      </c>
      <c r="F31" s="767">
        <v>706</v>
      </c>
      <c r="G31" s="767">
        <v>706</v>
      </c>
      <c r="H31" s="767">
        <v>1040</v>
      </c>
      <c r="I31" s="767">
        <v>1070</v>
      </c>
      <c r="J31" s="767">
        <v>1070</v>
      </c>
      <c r="K31" s="767">
        <f>164+418+580</f>
        <v>1162</v>
      </c>
      <c r="L31" s="767">
        <f>170+227+437</f>
        <v>834</v>
      </c>
      <c r="M31" s="767">
        <v>196</v>
      </c>
      <c r="N31" s="767">
        <v>221</v>
      </c>
      <c r="O31" s="767">
        <v>0</v>
      </c>
      <c r="P31" s="767">
        <v>0</v>
      </c>
      <c r="Q31" s="767">
        <v>0</v>
      </c>
      <c r="R31" s="767"/>
      <c r="S31" s="767"/>
      <c r="T31" s="767"/>
      <c r="U31" s="767"/>
      <c r="V31" s="767"/>
      <c r="W31" s="767"/>
      <c r="X31" s="767"/>
      <c r="Y31" s="767"/>
      <c r="Z31" s="767"/>
      <c r="AA31" s="767"/>
      <c r="AB31" s="641"/>
      <c r="AC31" s="631"/>
      <c r="AD31" s="631"/>
      <c r="AE31" s="631"/>
      <c r="AF31" s="631"/>
      <c r="AG31" s="631"/>
      <c r="AH31" s="632"/>
      <c r="AI31" s="632"/>
      <c r="BZ31" s="634"/>
      <c r="CA31" s="635"/>
    </row>
    <row r="32" spans="1:79" s="633" customFormat="1" ht="13.2">
      <c r="A32" s="286" t="s">
        <v>130</v>
      </c>
      <c r="B32" s="642"/>
      <c r="C32" s="642"/>
      <c r="D32" s="764">
        <f t="shared" ref="D32:P32" si="77">SUM(D27:D31)</f>
        <v>8853</v>
      </c>
      <c r="E32" s="764">
        <f t="shared" si="77"/>
        <v>9558</v>
      </c>
      <c r="F32" s="764">
        <f t="shared" si="77"/>
        <v>9903</v>
      </c>
      <c r="G32" s="764">
        <f t="shared" si="77"/>
        <v>10407.317386363637</v>
      </c>
      <c r="H32" s="764">
        <f t="shared" si="77"/>
        <v>11314</v>
      </c>
      <c r="I32" s="764">
        <f t="shared" si="77"/>
        <v>13371</v>
      </c>
      <c r="J32" s="764">
        <f t="shared" si="77"/>
        <v>14764</v>
      </c>
      <c r="K32" s="764">
        <f t="shared" si="77"/>
        <v>14922</v>
      </c>
      <c r="L32" s="764">
        <f t="shared" si="77"/>
        <v>12207</v>
      </c>
      <c r="M32" s="764">
        <f t="shared" si="77"/>
        <v>12656.218000000001</v>
      </c>
      <c r="N32" s="764">
        <f t="shared" si="77"/>
        <v>14367</v>
      </c>
      <c r="O32" s="764">
        <f t="shared" si="77"/>
        <v>14882</v>
      </c>
      <c r="P32" s="764">
        <f t="shared" si="77"/>
        <v>15718</v>
      </c>
      <c r="Q32" s="764">
        <f t="shared" ref="Q32" si="78">SUM(Q27:Q31)</f>
        <v>16674</v>
      </c>
      <c r="R32" s="764">
        <f t="shared" ref="R32:W32" si="79">SUM(R27:R31)</f>
        <v>17037</v>
      </c>
      <c r="S32" s="764">
        <f t="shared" si="79"/>
        <v>16524.191801113415</v>
      </c>
      <c r="T32" s="764">
        <f t="shared" si="79"/>
        <v>16071.324111779228</v>
      </c>
      <c r="U32" s="764">
        <f t="shared" si="79"/>
        <v>15713.007586963304</v>
      </c>
      <c r="V32" s="764">
        <f t="shared" si="79"/>
        <v>15431.437895564401</v>
      </c>
      <c r="W32" s="764">
        <f t="shared" si="79"/>
        <v>15211.780135677134</v>
      </c>
      <c r="X32" s="764">
        <f t="shared" ref="X32:AA32" si="80">SUM(X27:X31)</f>
        <v>15031.505002186055</v>
      </c>
      <c r="Y32" s="764">
        <f t="shared" si="80"/>
        <v>14881.059880915504</v>
      </c>
      <c r="Z32" s="764">
        <f t="shared" si="80"/>
        <v>14753.557179739528</v>
      </c>
      <c r="AA32" s="764">
        <f t="shared" si="80"/>
        <v>14778.050704136094</v>
      </c>
      <c r="AB32" s="643"/>
      <c r="AC32" s="632"/>
      <c r="AD32" s="631"/>
      <c r="AE32" s="631"/>
      <c r="AF32" s="631"/>
      <c r="AG32" s="632"/>
      <c r="AH32" s="631"/>
      <c r="AI32" s="631"/>
      <c r="BZ32" s="634"/>
      <c r="CA32" s="635"/>
    </row>
    <row r="33" spans="1:79" s="633" customFormat="1" ht="13.2">
      <c r="A33" s="276" t="s">
        <v>131</v>
      </c>
      <c r="B33" s="640"/>
      <c r="C33" s="640"/>
      <c r="D33" s="730">
        <f>D205</f>
        <v>0</v>
      </c>
      <c r="E33" s="730">
        <f t="shared" ref="E33:P33" si="81">E205</f>
        <v>0</v>
      </c>
      <c r="F33" s="730">
        <f t="shared" si="81"/>
        <v>4</v>
      </c>
      <c r="G33" s="730">
        <f t="shared" si="81"/>
        <v>4</v>
      </c>
      <c r="H33" s="730">
        <f t="shared" si="81"/>
        <v>15</v>
      </c>
      <c r="I33" s="730">
        <f t="shared" si="81"/>
        <v>22</v>
      </c>
      <c r="J33" s="730">
        <f t="shared" si="81"/>
        <v>30</v>
      </c>
      <c r="K33" s="730">
        <f>K205</f>
        <v>0</v>
      </c>
      <c r="L33" s="730">
        <f t="shared" si="81"/>
        <v>0</v>
      </c>
      <c r="M33" s="730">
        <f t="shared" si="81"/>
        <v>0</v>
      </c>
      <c r="N33" s="730">
        <f t="shared" si="81"/>
        <v>0</v>
      </c>
      <c r="O33" s="730">
        <f t="shared" si="81"/>
        <v>0</v>
      </c>
      <c r="P33" s="730">
        <f t="shared" si="81"/>
        <v>0</v>
      </c>
      <c r="Q33" s="730">
        <f t="shared" ref="Q33" si="82">Q205</f>
        <v>0</v>
      </c>
      <c r="R33" s="730">
        <f t="shared" ref="R33:W33" si="83">R205</f>
        <v>0</v>
      </c>
      <c r="S33" s="730"/>
      <c r="T33" s="730"/>
      <c r="U33" s="730"/>
      <c r="V33" s="730"/>
      <c r="W33" s="730"/>
      <c r="X33" s="730"/>
      <c r="Y33" s="730"/>
      <c r="Z33" s="730"/>
      <c r="AA33" s="730"/>
      <c r="AB33" s="641"/>
      <c r="AC33" s="631"/>
      <c r="AD33" s="631"/>
      <c r="AE33" s="631"/>
      <c r="AF33" s="631"/>
      <c r="AG33" s="631"/>
      <c r="AH33" s="631"/>
      <c r="AI33" s="631"/>
      <c r="BZ33" s="634"/>
      <c r="CA33" s="635"/>
    </row>
    <row r="34" spans="1:79" s="633" customFormat="1" ht="13.2">
      <c r="A34" s="276" t="s">
        <v>132</v>
      </c>
      <c r="B34" s="640"/>
      <c r="C34" s="640"/>
      <c r="D34" s="730">
        <f>D212</f>
        <v>7500</v>
      </c>
      <c r="E34" s="730">
        <f>E212</f>
        <v>7500</v>
      </c>
      <c r="F34" s="730">
        <f>F212</f>
        <v>7500</v>
      </c>
      <c r="G34" s="730">
        <f t="shared" ref="G34:P34" si="84">G212</f>
        <v>7500</v>
      </c>
      <c r="H34" s="730">
        <f t="shared" si="84"/>
        <v>7500</v>
      </c>
      <c r="I34" s="730">
        <f t="shared" si="84"/>
        <v>7500</v>
      </c>
      <c r="J34" s="730">
        <f t="shared" si="84"/>
        <v>7500</v>
      </c>
      <c r="K34" s="730">
        <f t="shared" si="84"/>
        <v>7500</v>
      </c>
      <c r="L34" s="730">
        <f t="shared" si="84"/>
        <v>7800</v>
      </c>
      <c r="M34" s="763">
        <v>2509</v>
      </c>
      <c r="N34" s="763">
        <v>2532</v>
      </c>
      <c r="O34" s="763">
        <v>2547</v>
      </c>
      <c r="P34" s="730">
        <f t="shared" si="84"/>
        <v>2564</v>
      </c>
      <c r="Q34" s="730">
        <f t="shared" ref="Q34" si="85">Q212</f>
        <v>2585</v>
      </c>
      <c r="R34" s="730">
        <f t="shared" ref="R34:W34" si="86">R212</f>
        <v>2593</v>
      </c>
      <c r="S34" s="730">
        <f t="shared" si="86"/>
        <v>2593</v>
      </c>
      <c r="T34" s="730">
        <f t="shared" si="86"/>
        <v>2593</v>
      </c>
      <c r="U34" s="730">
        <f t="shared" si="86"/>
        <v>2593</v>
      </c>
      <c r="V34" s="730">
        <f t="shared" si="86"/>
        <v>2593</v>
      </c>
      <c r="W34" s="730">
        <f t="shared" si="86"/>
        <v>2593</v>
      </c>
      <c r="X34" s="730">
        <f t="shared" ref="X34:AA34" si="87">X212</f>
        <v>2593</v>
      </c>
      <c r="Y34" s="730">
        <f t="shared" si="87"/>
        <v>2593</v>
      </c>
      <c r="Z34" s="730">
        <f t="shared" si="87"/>
        <v>2593</v>
      </c>
      <c r="AA34" s="730">
        <f t="shared" si="87"/>
        <v>2593</v>
      </c>
      <c r="AB34" s="641"/>
      <c r="AC34" s="631" t="s">
        <v>818</v>
      </c>
      <c r="AD34" s="631"/>
      <c r="AE34" s="631"/>
      <c r="AF34" s="631"/>
      <c r="AG34" s="631"/>
      <c r="AH34" s="631"/>
      <c r="AI34" s="631"/>
      <c r="BZ34" s="634"/>
      <c r="CA34" s="635"/>
    </row>
    <row r="35" spans="1:79" s="633" customFormat="1" ht="13.2">
      <c r="A35" s="276" t="s">
        <v>133</v>
      </c>
      <c r="B35" s="640"/>
      <c r="C35" s="640"/>
      <c r="D35" s="730">
        <f>D217</f>
        <v>0</v>
      </c>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641"/>
      <c r="AC35" s="631"/>
      <c r="AD35" s="631"/>
      <c r="AE35" s="631"/>
      <c r="AF35" s="631"/>
      <c r="AG35" s="631"/>
      <c r="AH35" s="631"/>
      <c r="AI35" s="631"/>
      <c r="BZ35" s="634"/>
      <c r="CA35" s="635"/>
    </row>
    <row r="36" spans="1:79" s="633" customFormat="1" ht="13.2">
      <c r="A36" s="276" t="s">
        <v>134</v>
      </c>
      <c r="B36" s="640"/>
      <c r="C36" s="640"/>
      <c r="D36" s="730">
        <f>D221</f>
        <v>1445</v>
      </c>
      <c r="E36" s="730">
        <f>E221</f>
        <v>1167</v>
      </c>
      <c r="F36" s="730">
        <f>F221</f>
        <v>584</v>
      </c>
      <c r="G36" s="730">
        <f>G221</f>
        <v>-423</v>
      </c>
      <c r="H36" s="730">
        <f>H221</f>
        <v>-1499</v>
      </c>
      <c r="I36" s="730">
        <f>I221</f>
        <v>-2783</v>
      </c>
      <c r="J36" s="730">
        <f>J221</f>
        <v>-3310</v>
      </c>
      <c r="K36" s="730">
        <f>K221</f>
        <v>-2779</v>
      </c>
      <c r="L36" s="730">
        <f>L221</f>
        <v>-759</v>
      </c>
      <c r="M36" s="763">
        <v>4640</v>
      </c>
      <c r="N36" s="763">
        <v>4538</v>
      </c>
      <c r="O36" s="763">
        <v>4503</v>
      </c>
      <c r="P36" s="730">
        <f>P230</f>
        <v>4161</v>
      </c>
      <c r="Q36" s="730">
        <f>Q230</f>
        <v>3786</v>
      </c>
      <c r="R36" s="730">
        <f t="shared" ref="R36:W36" si="88">R230</f>
        <v>3151</v>
      </c>
      <c r="S36" s="730">
        <f t="shared" si="88"/>
        <v>3179.5000489014928</v>
      </c>
      <c r="T36" s="730">
        <f t="shared" si="88"/>
        <v>3211.6294583661638</v>
      </c>
      <c r="U36" s="730">
        <f t="shared" si="88"/>
        <v>3247.0570871461209</v>
      </c>
      <c r="V36" s="730">
        <f t="shared" si="88"/>
        <v>3285.5866708706826</v>
      </c>
      <c r="W36" s="730">
        <f t="shared" si="88"/>
        <v>3327.0915245163897</v>
      </c>
      <c r="X36" s="730">
        <f t="shared" ref="X36:AA36" si="89">X230</f>
        <v>3371.3404376536682</v>
      </c>
      <c r="Y36" s="730">
        <f t="shared" si="89"/>
        <v>3418.1684388964986</v>
      </c>
      <c r="Z36" s="730">
        <f t="shared" si="89"/>
        <v>3467.4623364802028</v>
      </c>
      <c r="AA36" s="730">
        <f t="shared" si="89"/>
        <v>3519.1476440917613</v>
      </c>
      <c r="AB36" s="641"/>
      <c r="AC36" s="631" t="s">
        <v>816</v>
      </c>
      <c r="AD36" s="631"/>
      <c r="AE36" s="631"/>
      <c r="AF36" s="631"/>
      <c r="AG36" s="631"/>
      <c r="AH36" s="632"/>
      <c r="AI36" s="632"/>
      <c r="BZ36" s="634"/>
      <c r="CA36" s="635"/>
    </row>
    <row r="37" spans="1:79" s="633" customFormat="1" ht="13.2">
      <c r="A37" s="286" t="s">
        <v>135</v>
      </c>
      <c r="B37" s="642"/>
      <c r="C37" s="642"/>
      <c r="D37" s="764">
        <f t="shared" ref="D37:P37" si="90">SUM(D33:D36)</f>
        <v>8945</v>
      </c>
      <c r="E37" s="764">
        <f t="shared" si="90"/>
        <v>8667</v>
      </c>
      <c r="F37" s="764">
        <f t="shared" si="90"/>
        <v>8088</v>
      </c>
      <c r="G37" s="764">
        <f t="shared" si="90"/>
        <v>7081</v>
      </c>
      <c r="H37" s="764">
        <f t="shared" si="90"/>
        <v>6016</v>
      </c>
      <c r="I37" s="764">
        <f t="shared" si="90"/>
        <v>4739</v>
      </c>
      <c r="J37" s="764">
        <f t="shared" si="90"/>
        <v>4220</v>
      </c>
      <c r="K37" s="764">
        <f>SUM(K33:K36)</f>
        <v>4721</v>
      </c>
      <c r="L37" s="764">
        <f t="shared" si="90"/>
        <v>7041</v>
      </c>
      <c r="M37" s="764">
        <f t="shared" si="90"/>
        <v>7149</v>
      </c>
      <c r="N37" s="764">
        <f t="shared" si="90"/>
        <v>7070</v>
      </c>
      <c r="O37" s="764">
        <f t="shared" si="90"/>
        <v>7050</v>
      </c>
      <c r="P37" s="764">
        <f t="shared" si="90"/>
        <v>6725</v>
      </c>
      <c r="Q37" s="764">
        <f t="shared" ref="Q37" si="91">SUM(Q33:Q36)</f>
        <v>6371</v>
      </c>
      <c r="R37" s="764">
        <f t="shared" ref="R37:W37" si="92">SUM(R33:R36)</f>
        <v>5744</v>
      </c>
      <c r="S37" s="764">
        <f t="shared" si="92"/>
        <v>5772.5000489014928</v>
      </c>
      <c r="T37" s="764">
        <f t="shared" si="92"/>
        <v>5804.6294583661638</v>
      </c>
      <c r="U37" s="764">
        <f t="shared" si="92"/>
        <v>5840.0570871461205</v>
      </c>
      <c r="V37" s="764">
        <f t="shared" si="92"/>
        <v>5878.5866708706826</v>
      </c>
      <c r="W37" s="764">
        <f t="shared" si="92"/>
        <v>5920.0915245163897</v>
      </c>
      <c r="X37" s="764">
        <f t="shared" ref="X37:AA37" si="93">SUM(X33:X36)</f>
        <v>5964.3404376536682</v>
      </c>
      <c r="Y37" s="764">
        <f t="shared" si="93"/>
        <v>6011.1684388964986</v>
      </c>
      <c r="Z37" s="764">
        <f t="shared" si="93"/>
        <v>6060.4623364802028</v>
      </c>
      <c r="AA37" s="764">
        <f t="shared" si="93"/>
        <v>6112.1476440917613</v>
      </c>
      <c r="AB37" s="643"/>
      <c r="AC37" s="632"/>
      <c r="AD37" s="631"/>
      <c r="AE37" s="631"/>
      <c r="AF37" s="631"/>
      <c r="AG37" s="632"/>
      <c r="AH37" s="631"/>
      <c r="AI37" s="631"/>
      <c r="BZ37" s="634"/>
      <c r="CA37" s="635"/>
    </row>
    <row r="38" spans="1:79" s="633" customFormat="1" ht="13.2">
      <c r="A38" s="276"/>
      <c r="B38" s="640"/>
      <c r="C38" s="640"/>
      <c r="D38" s="730"/>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631"/>
      <c r="AC38" s="631"/>
      <c r="AD38" s="631"/>
      <c r="AE38" s="631"/>
      <c r="AF38" s="631"/>
      <c r="AG38" s="631"/>
      <c r="AH38" s="631"/>
      <c r="AI38" s="631"/>
      <c r="BZ38" s="634"/>
      <c r="CA38" s="635"/>
    </row>
    <row r="39" spans="1:79" s="647" customFormat="1" ht="13.8" thickBot="1">
      <c r="A39" s="644" t="s">
        <v>136</v>
      </c>
      <c r="B39" s="645"/>
      <c r="C39" s="645"/>
      <c r="D39" s="766">
        <f t="shared" ref="D39:P39" si="94">D37+D32</f>
        <v>17798</v>
      </c>
      <c r="E39" s="766">
        <f t="shared" si="94"/>
        <v>18225</v>
      </c>
      <c r="F39" s="766">
        <f t="shared" si="94"/>
        <v>17991</v>
      </c>
      <c r="G39" s="766">
        <f t="shared" si="94"/>
        <v>17488.317386363637</v>
      </c>
      <c r="H39" s="766">
        <f t="shared" si="94"/>
        <v>17330</v>
      </c>
      <c r="I39" s="766">
        <f t="shared" si="94"/>
        <v>18110</v>
      </c>
      <c r="J39" s="766">
        <f t="shared" si="94"/>
        <v>18984</v>
      </c>
      <c r="K39" s="766">
        <f t="shared" si="94"/>
        <v>19643</v>
      </c>
      <c r="L39" s="766">
        <f t="shared" si="94"/>
        <v>19248</v>
      </c>
      <c r="M39" s="766">
        <f t="shared" si="94"/>
        <v>19805.218000000001</v>
      </c>
      <c r="N39" s="766">
        <f t="shared" si="94"/>
        <v>21437</v>
      </c>
      <c r="O39" s="766">
        <f t="shared" si="94"/>
        <v>21932</v>
      </c>
      <c r="P39" s="766">
        <f t="shared" si="94"/>
        <v>22443</v>
      </c>
      <c r="Q39" s="766">
        <f t="shared" ref="Q39" si="95">Q37+Q32</f>
        <v>23045</v>
      </c>
      <c r="R39" s="766">
        <f t="shared" ref="R39:W39" si="96">R37+R32</f>
        <v>22781</v>
      </c>
      <c r="S39" s="766">
        <f t="shared" si="96"/>
        <v>22296.691850014908</v>
      </c>
      <c r="T39" s="766">
        <f t="shared" si="96"/>
        <v>21875.953570145393</v>
      </c>
      <c r="U39" s="766">
        <f t="shared" si="96"/>
        <v>21553.064674109424</v>
      </c>
      <c r="V39" s="766">
        <f t="shared" si="96"/>
        <v>21310.024566435084</v>
      </c>
      <c r="W39" s="766">
        <f t="shared" si="96"/>
        <v>21131.871660193523</v>
      </c>
      <c r="X39" s="766">
        <f t="shared" ref="X39:AA39" si="97">X37+X32</f>
        <v>20995.845439839723</v>
      </c>
      <c r="Y39" s="766">
        <f t="shared" si="97"/>
        <v>20892.228319812002</v>
      </c>
      <c r="Z39" s="766">
        <f t="shared" si="97"/>
        <v>20814.019516219731</v>
      </c>
      <c r="AA39" s="766">
        <f t="shared" si="97"/>
        <v>20890.198348227856</v>
      </c>
      <c r="AB39" s="643"/>
      <c r="AC39" s="632"/>
      <c r="AD39" s="632"/>
      <c r="AE39" s="632"/>
      <c r="AF39" s="632"/>
      <c r="AG39" s="632"/>
      <c r="AH39" s="632"/>
      <c r="AI39" s="632"/>
      <c r="BZ39" s="648"/>
      <c r="CA39" s="649"/>
    </row>
    <row r="40" spans="1:79" s="633" customFormat="1" ht="13.8" thickTop="1">
      <c r="A40" s="650" t="s">
        <v>137</v>
      </c>
      <c r="B40" s="651"/>
      <c r="C40" s="651"/>
      <c r="D40" s="651">
        <f>D39-D20</f>
        <v>0</v>
      </c>
      <c r="E40" s="651">
        <f t="shared" ref="E40:P40" si="98">E39-E20</f>
        <v>0</v>
      </c>
      <c r="F40" s="651">
        <f t="shared" si="98"/>
        <v>0</v>
      </c>
      <c r="G40" s="651">
        <f t="shared" si="98"/>
        <v>0.37806818181707058</v>
      </c>
      <c r="H40" s="651">
        <f t="shared" si="98"/>
        <v>0</v>
      </c>
      <c r="I40" s="651">
        <f t="shared" si="98"/>
        <v>0</v>
      </c>
      <c r="J40" s="651">
        <f t="shared" si="98"/>
        <v>0</v>
      </c>
      <c r="K40" s="651">
        <f>K39-K20</f>
        <v>0</v>
      </c>
      <c r="L40" s="651">
        <f t="shared" si="98"/>
        <v>-0.75</v>
      </c>
      <c r="M40" s="651">
        <f t="shared" si="98"/>
        <v>-0.23899999999775901</v>
      </c>
      <c r="N40" s="651">
        <f t="shared" si="98"/>
        <v>0</v>
      </c>
      <c r="O40" s="651">
        <f t="shared" si="98"/>
        <v>0</v>
      </c>
      <c r="P40" s="651">
        <f t="shared" si="98"/>
        <v>0</v>
      </c>
      <c r="Q40" s="651">
        <f t="shared" ref="Q40" si="99">Q39-Q20</f>
        <v>0</v>
      </c>
      <c r="R40" s="651">
        <f t="shared" ref="R40:W40" si="100">R39-R20</f>
        <v>0</v>
      </c>
      <c r="S40" s="651">
        <f t="shared" si="100"/>
        <v>0</v>
      </c>
      <c r="T40" s="651">
        <f t="shared" si="100"/>
        <v>0</v>
      </c>
      <c r="U40" s="651">
        <f t="shared" si="100"/>
        <v>0</v>
      </c>
      <c r="V40" s="651">
        <f t="shared" si="100"/>
        <v>0</v>
      </c>
      <c r="W40" s="651">
        <f t="shared" si="100"/>
        <v>0</v>
      </c>
      <c r="X40" s="651">
        <f t="shared" ref="X40:AA40" si="101">X39-X20</f>
        <v>0</v>
      </c>
      <c r="Y40" s="651">
        <f t="shared" si="101"/>
        <v>0</v>
      </c>
      <c r="Z40" s="651">
        <f t="shared" si="101"/>
        <v>0</v>
      </c>
      <c r="AA40" s="651">
        <f t="shared" si="101"/>
        <v>0</v>
      </c>
      <c r="AB40" s="652"/>
      <c r="AC40" s="631"/>
      <c r="AD40" s="631"/>
      <c r="AE40" s="631"/>
      <c r="AF40" s="631"/>
      <c r="AG40" s="631"/>
      <c r="AH40" s="631"/>
      <c r="AI40" s="631"/>
      <c r="BZ40" s="634"/>
      <c r="CA40" s="635"/>
    </row>
    <row r="41" spans="1:79" s="633" customFormat="1" ht="13.2">
      <c r="A41" s="276"/>
      <c r="B41" s="640"/>
      <c r="C41" s="640"/>
      <c r="D41" s="730"/>
      <c r="E41" s="730"/>
      <c r="F41" s="730"/>
      <c r="G41" s="730"/>
      <c r="H41" s="730"/>
      <c r="I41" s="730"/>
      <c r="J41" s="730"/>
      <c r="K41" s="730"/>
      <c r="L41" s="730">
        <f t="shared" ref="L41:W41" si="102">L40-K40</f>
        <v>-0.75</v>
      </c>
      <c r="M41" s="730">
        <f t="shared" si="102"/>
        <v>0.51100000000224099</v>
      </c>
      <c r="N41" s="730">
        <f t="shared" si="102"/>
        <v>0.23899999999775901</v>
      </c>
      <c r="O41" s="730">
        <f t="shared" si="102"/>
        <v>0</v>
      </c>
      <c r="P41" s="730">
        <f t="shared" si="102"/>
        <v>0</v>
      </c>
      <c r="Q41" s="730">
        <f t="shared" si="102"/>
        <v>0</v>
      </c>
      <c r="R41" s="730">
        <f t="shared" si="102"/>
        <v>0</v>
      </c>
      <c r="S41" s="730">
        <f t="shared" si="102"/>
        <v>0</v>
      </c>
      <c r="T41" s="730">
        <f t="shared" si="102"/>
        <v>0</v>
      </c>
      <c r="U41" s="730">
        <f t="shared" si="102"/>
        <v>0</v>
      </c>
      <c r="V41" s="730">
        <f t="shared" si="102"/>
        <v>0</v>
      </c>
      <c r="W41" s="730">
        <f t="shared" si="102"/>
        <v>0</v>
      </c>
      <c r="X41" s="730">
        <f t="shared" ref="X41" si="103">X40-W40</f>
        <v>0</v>
      </c>
      <c r="Y41" s="730">
        <f t="shared" ref="Y41" si="104">Y40-X40</f>
        <v>0</v>
      </c>
      <c r="Z41" s="730">
        <f t="shared" ref="Z41" si="105">Z40-Y40</f>
        <v>0</v>
      </c>
      <c r="AA41" s="730">
        <f t="shared" ref="AA41" si="106">AA40-Z40</f>
        <v>0</v>
      </c>
      <c r="AB41" s="641"/>
      <c r="AC41" s="631"/>
      <c r="AD41" s="631"/>
      <c r="AE41" s="631"/>
      <c r="AF41" s="631"/>
      <c r="AG41" s="631"/>
      <c r="AH41" s="631"/>
      <c r="AI41" s="631"/>
      <c r="BZ41" s="634"/>
      <c r="CA41" s="635"/>
    </row>
    <row r="42" spans="1:79" s="633" customFormat="1" ht="13.2">
      <c r="A42" s="276"/>
      <c r="B42" s="640"/>
      <c r="C42" s="640"/>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641"/>
      <c r="AC42" s="631"/>
      <c r="AD42" s="631"/>
      <c r="AE42" s="631"/>
      <c r="AF42" s="631"/>
      <c r="AG42" s="631"/>
      <c r="AH42" s="631"/>
      <c r="AI42" s="631"/>
      <c r="BZ42" s="634"/>
      <c r="CA42" s="635"/>
    </row>
    <row r="43" spans="1:79" s="633" customFormat="1" ht="13.2">
      <c r="A43" s="276" t="s">
        <v>138</v>
      </c>
      <c r="B43" s="640">
        <f t="shared" ref="B43:P43" si="107">B29+B25-B4</f>
        <v>0</v>
      </c>
      <c r="C43" s="640">
        <f t="shared" si="107"/>
        <v>0</v>
      </c>
      <c r="D43" s="730">
        <f t="shared" si="107"/>
        <v>3874</v>
      </c>
      <c r="E43" s="730">
        <f t="shared" si="107"/>
        <v>4557</v>
      </c>
      <c r="F43" s="730">
        <f t="shared" si="107"/>
        <v>5437</v>
      </c>
      <c r="G43" s="730">
        <f t="shared" si="107"/>
        <v>6035.8657954545452</v>
      </c>
      <c r="H43" s="730">
        <f t="shared" si="107"/>
        <v>6715</v>
      </c>
      <c r="I43" s="730">
        <f t="shared" si="107"/>
        <v>7467</v>
      </c>
      <c r="J43" s="730">
        <f t="shared" si="107"/>
        <v>8582</v>
      </c>
      <c r="K43" s="730">
        <f t="shared" si="107"/>
        <v>9182</v>
      </c>
      <c r="L43" s="730">
        <f t="shared" si="107"/>
        <v>7044</v>
      </c>
      <c r="M43" s="730">
        <f>M29+M25-M4</f>
        <v>7079.7609999999995</v>
      </c>
      <c r="N43" s="730">
        <f t="shared" si="107"/>
        <v>8365</v>
      </c>
      <c r="O43" s="730">
        <f t="shared" si="107"/>
        <v>9028</v>
      </c>
      <c r="P43" s="730">
        <f t="shared" si="107"/>
        <v>8899</v>
      </c>
      <c r="Q43" s="730">
        <f t="shared" ref="Q43" si="108">Q29+Q25-Q4</f>
        <v>9237</v>
      </c>
      <c r="R43" s="730">
        <f t="shared" ref="R43:W43" si="109">R29+R25-R4</f>
        <v>9203</v>
      </c>
      <c r="S43" s="730">
        <f t="shared" si="109"/>
        <v>8604.890687474779</v>
      </c>
      <c r="T43" s="730">
        <f t="shared" si="109"/>
        <v>8152.3738875259796</v>
      </c>
      <c r="U43" s="730">
        <f t="shared" si="109"/>
        <v>7783.577819341338</v>
      </c>
      <c r="V43" s="730">
        <f t="shared" si="109"/>
        <v>7480.1534197715027</v>
      </c>
      <c r="W43" s="730">
        <f t="shared" si="109"/>
        <v>7229.2509489681961</v>
      </c>
      <c r="X43" s="730">
        <f t="shared" ref="X43:AA43" si="110">X29+X25-X4</f>
        <v>7021.9245199056222</v>
      </c>
      <c r="Y43" s="730">
        <f t="shared" si="110"/>
        <v>6848.0538679851688</v>
      </c>
      <c r="Z43" s="730">
        <f t="shared" si="110"/>
        <v>6700.2350268326227</v>
      </c>
      <c r="AA43" s="730">
        <f t="shared" si="110"/>
        <v>6707.0519303798119</v>
      </c>
      <c r="AB43" s="641"/>
      <c r="AC43" s="631"/>
      <c r="AD43" s="631"/>
      <c r="AE43" s="631"/>
      <c r="AF43" s="631"/>
      <c r="AG43" s="631"/>
      <c r="AH43" s="631"/>
      <c r="AI43" s="631"/>
      <c r="BZ43" s="634"/>
      <c r="CA43" s="635"/>
    </row>
    <row r="44" spans="1:79" s="633" customFormat="1" ht="13.2">
      <c r="A44" s="276" t="s">
        <v>139</v>
      </c>
      <c r="B44" s="640"/>
      <c r="C44" s="640">
        <f t="shared" ref="C44:Q44" si="111">C43-B43</f>
        <v>0</v>
      </c>
      <c r="D44" s="730">
        <f t="shared" si="111"/>
        <v>3874</v>
      </c>
      <c r="E44" s="730">
        <f t="shared" si="111"/>
        <v>683</v>
      </c>
      <c r="F44" s="730">
        <f t="shared" si="111"/>
        <v>880</v>
      </c>
      <c r="G44" s="730">
        <f t="shared" si="111"/>
        <v>598.86579545454515</v>
      </c>
      <c r="H44" s="730">
        <f t="shared" si="111"/>
        <v>679.13420454545485</v>
      </c>
      <c r="I44" s="730">
        <f t="shared" si="111"/>
        <v>752</v>
      </c>
      <c r="J44" s="730">
        <f t="shared" si="111"/>
        <v>1115</v>
      </c>
      <c r="K44" s="730">
        <f t="shared" si="111"/>
        <v>600</v>
      </c>
      <c r="L44" s="730">
        <f t="shared" si="111"/>
        <v>-2138</v>
      </c>
      <c r="M44" s="730">
        <f t="shared" si="111"/>
        <v>35.760999999999513</v>
      </c>
      <c r="N44" s="730">
        <f t="shared" si="111"/>
        <v>1285.2390000000005</v>
      </c>
      <c r="O44" s="730">
        <f t="shared" si="111"/>
        <v>663</v>
      </c>
      <c r="P44" s="730">
        <f t="shared" si="111"/>
        <v>-129</v>
      </c>
      <c r="Q44" s="730">
        <f t="shared" si="111"/>
        <v>338</v>
      </c>
      <c r="R44" s="730">
        <f t="shared" ref="R44:W44" si="112">R43-Q43</f>
        <v>-34</v>
      </c>
      <c r="S44" s="730">
        <f t="shared" si="112"/>
        <v>-598.10931252522096</v>
      </c>
      <c r="T44" s="730">
        <f t="shared" si="112"/>
        <v>-452.51679994879942</v>
      </c>
      <c r="U44" s="730">
        <f t="shared" si="112"/>
        <v>-368.79606818464163</v>
      </c>
      <c r="V44" s="730">
        <f t="shared" si="112"/>
        <v>-303.42439956983526</v>
      </c>
      <c r="W44" s="730">
        <f t="shared" si="112"/>
        <v>-250.90247080330664</v>
      </c>
      <c r="X44" s="730">
        <f t="shared" ref="X44" si="113">X43-W43</f>
        <v>-207.32642906257388</v>
      </c>
      <c r="Y44" s="730">
        <f t="shared" ref="Y44" si="114">Y43-X43</f>
        <v>-173.87065192045338</v>
      </c>
      <c r="Z44" s="730">
        <f t="shared" ref="Z44" si="115">Z43-Y43</f>
        <v>-147.81884115254616</v>
      </c>
      <c r="AA44" s="730">
        <f t="shared" ref="AA44" si="116">AA43-Z43</f>
        <v>6.816903547189213</v>
      </c>
      <c r="AB44" s="641"/>
      <c r="AC44" s="631"/>
      <c r="AD44" s="631"/>
      <c r="AE44" s="631"/>
      <c r="AF44" s="631"/>
      <c r="AG44" s="631"/>
      <c r="AH44" s="631"/>
      <c r="AI44" s="631"/>
      <c r="BZ44" s="634"/>
      <c r="CA44" s="635"/>
    </row>
    <row r="45" spans="1:79" s="633" customFormat="1" ht="13.2">
      <c r="A45" s="276"/>
      <c r="B45" s="200"/>
      <c r="C45" s="200"/>
      <c r="D45" s="730"/>
      <c r="E45" s="730"/>
      <c r="F45" s="730"/>
      <c r="G45" s="730"/>
      <c r="H45" s="730"/>
      <c r="I45" s="730"/>
      <c r="J45" s="730"/>
      <c r="K45" s="730"/>
      <c r="L45" s="730"/>
      <c r="M45" s="730"/>
      <c r="N45" s="730"/>
      <c r="O45" s="730"/>
      <c r="P45" s="730"/>
      <c r="Q45" s="730"/>
      <c r="R45" s="730"/>
      <c r="S45" s="730"/>
      <c r="T45" s="730"/>
      <c r="U45" s="730"/>
      <c r="V45" s="730"/>
      <c r="W45" s="730"/>
      <c r="X45" s="730"/>
      <c r="Y45" s="730"/>
      <c r="Z45" s="730"/>
      <c r="AA45" s="730"/>
      <c r="AB45" s="631"/>
      <c r="AC45" s="631"/>
      <c r="AD45" s="631"/>
      <c r="AE45" s="631"/>
      <c r="AF45" s="631"/>
      <c r="AG45" s="631"/>
      <c r="AH45" s="631"/>
      <c r="AI45" s="631"/>
      <c r="BZ45" s="634"/>
      <c r="CA45" s="635"/>
    </row>
    <row r="46" spans="1:79" s="633" customFormat="1" ht="13.2">
      <c r="A46" s="276" t="s">
        <v>76</v>
      </c>
      <c r="B46" s="465">
        <f>'Income Statement'!B444</f>
        <v>2696</v>
      </c>
      <c r="C46" s="465">
        <f>'Income Statement'!G444</f>
        <v>3210.0000000000009</v>
      </c>
      <c r="D46" s="730">
        <f>'Income Statement'!L444</f>
        <v>3055</v>
      </c>
      <c r="E46" s="730">
        <f>'Income Statement'!Q444</f>
        <v>3343</v>
      </c>
      <c r="F46" s="730">
        <f>'Income Statement'!V444</f>
        <v>3232</v>
      </c>
      <c r="G46" s="730">
        <f>'Income Statement'!AA444</f>
        <v>2997</v>
      </c>
      <c r="H46" s="730">
        <f>'Income Statement'!AF444</f>
        <v>3156</v>
      </c>
      <c r="I46" s="730">
        <f>'Income Statement'!AK444</f>
        <v>2685.3305194230634</v>
      </c>
      <c r="J46" s="730">
        <f>'Income Statement'!AP444</f>
        <v>3156</v>
      </c>
      <c r="K46" s="730">
        <f>'Income Statement'!AU444</f>
        <v>3109</v>
      </c>
      <c r="L46" s="730">
        <f>'Income Statement'!AZ444</f>
        <v>2775</v>
      </c>
      <c r="M46" s="730">
        <f>'Income Statement'!BE444</f>
        <v>2685</v>
      </c>
      <c r="N46" s="730">
        <f>'Income Statement'!BJ444</f>
        <v>2512</v>
      </c>
      <c r="O46" s="730">
        <f>'Income Statement'!BO444</f>
        <v>2284</v>
      </c>
      <c r="P46" s="730">
        <f>'Income Statement'!BT444</f>
        <v>2082</v>
      </c>
      <c r="Q46" s="730">
        <f>'Income Statement'!BY444</f>
        <v>2209</v>
      </c>
      <c r="R46" s="730">
        <f>'Income Statement'!CD444</f>
        <v>1890</v>
      </c>
      <c r="S46" s="730">
        <f>'Income Statement'!CE444</f>
        <v>2347.3340871671849</v>
      </c>
      <c r="T46" s="730">
        <f>'Income Statement'!CF444</f>
        <v>2560.4233690205247</v>
      </c>
      <c r="U46" s="730">
        <f>'Income Statement'!CG444</f>
        <v>2758.4518560025549</v>
      </c>
      <c r="V46" s="730">
        <f>'Income Statement'!CH444</f>
        <v>2947.4539926412772</v>
      </c>
      <c r="W46" s="730">
        <f>'Income Statement'!CI444</f>
        <v>3131.1808294526886</v>
      </c>
      <c r="X46" s="730">
        <f>'Income Statement'!CJ444</f>
        <v>3302.0415517357228</v>
      </c>
      <c r="Y46" s="730">
        <f>'Income Statement'!CK444</f>
        <v>3464.0133285049733</v>
      </c>
      <c r="Z46" s="730">
        <f>'Income Statement'!CL444</f>
        <v>3620.0584230274967</v>
      </c>
      <c r="AA46" s="730">
        <f>'Income Statement'!CM444</f>
        <v>3772.3989617800194</v>
      </c>
      <c r="AB46" s="631"/>
      <c r="AC46" s="631"/>
      <c r="AD46" s="631"/>
      <c r="AE46" s="631"/>
      <c r="AF46" s="631"/>
      <c r="AG46" s="631"/>
      <c r="AH46" s="631"/>
      <c r="AI46" s="631"/>
      <c r="BZ46" s="634"/>
      <c r="CA46" s="635"/>
    </row>
    <row r="47" spans="1:79" s="633" customFormat="1" ht="13.2">
      <c r="A47" s="276" t="s">
        <v>829</v>
      </c>
      <c r="B47" s="465">
        <f>-0.25*B46</f>
        <v>-674</v>
      </c>
      <c r="C47" s="465">
        <f t="shared" ref="C47:AA47" si="117">-0.25*C46</f>
        <v>-802.50000000000023</v>
      </c>
      <c r="D47" s="730">
        <f t="shared" si="117"/>
        <v>-763.75</v>
      </c>
      <c r="E47" s="730">
        <f t="shared" si="117"/>
        <v>-835.75</v>
      </c>
      <c r="F47" s="730">
        <f t="shared" si="117"/>
        <v>-808</v>
      </c>
      <c r="G47" s="730">
        <f t="shared" si="117"/>
        <v>-749.25</v>
      </c>
      <c r="H47" s="730">
        <f t="shared" si="117"/>
        <v>-789</v>
      </c>
      <c r="I47" s="730">
        <f t="shared" si="117"/>
        <v>-671.33262985576584</v>
      </c>
      <c r="J47" s="730">
        <f t="shared" si="117"/>
        <v>-789</v>
      </c>
      <c r="K47" s="730">
        <f t="shared" si="117"/>
        <v>-777.25</v>
      </c>
      <c r="L47" s="730">
        <f t="shared" si="117"/>
        <v>-693.75</v>
      </c>
      <c r="M47" s="730">
        <f t="shared" si="117"/>
        <v>-671.25</v>
      </c>
      <c r="N47" s="730">
        <f t="shared" si="117"/>
        <v>-628</v>
      </c>
      <c r="O47" s="730">
        <f t="shared" si="117"/>
        <v>-571</v>
      </c>
      <c r="P47" s="730">
        <f t="shared" si="117"/>
        <v>-520.5</v>
      </c>
      <c r="Q47" s="730">
        <f t="shared" si="117"/>
        <v>-552.25</v>
      </c>
      <c r="R47" s="730">
        <f t="shared" si="117"/>
        <v>-472.5</v>
      </c>
      <c r="S47" s="730">
        <f t="shared" si="117"/>
        <v>-586.83352179179622</v>
      </c>
      <c r="T47" s="730">
        <f t="shared" si="117"/>
        <v>-640.10584225513117</v>
      </c>
      <c r="U47" s="730">
        <f t="shared" si="117"/>
        <v>-689.61296400063873</v>
      </c>
      <c r="V47" s="730">
        <f t="shared" si="117"/>
        <v>-736.8634981603193</v>
      </c>
      <c r="W47" s="730">
        <f t="shared" si="117"/>
        <v>-782.79520736317215</v>
      </c>
      <c r="X47" s="730">
        <f t="shared" si="117"/>
        <v>-825.5103879339307</v>
      </c>
      <c r="Y47" s="730">
        <f t="shared" si="117"/>
        <v>-866.00333212624332</v>
      </c>
      <c r="Z47" s="730">
        <f t="shared" si="117"/>
        <v>-905.01460575687418</v>
      </c>
      <c r="AA47" s="730">
        <f t="shared" si="117"/>
        <v>-943.09974044500484</v>
      </c>
      <c r="AB47" s="631"/>
      <c r="AC47" s="631"/>
      <c r="AD47" s="631"/>
      <c r="AE47" s="631"/>
      <c r="AF47" s="631"/>
      <c r="AG47" s="631"/>
      <c r="AH47" s="631"/>
      <c r="AI47" s="631"/>
      <c r="BZ47" s="634"/>
      <c r="CA47" s="635"/>
    </row>
    <row r="48" spans="1:79" s="633" customFormat="1" ht="13.2">
      <c r="A48" s="286" t="s">
        <v>830</v>
      </c>
      <c r="B48" s="316">
        <f>B46+B47</f>
        <v>2022</v>
      </c>
      <c r="C48" s="316">
        <f t="shared" ref="C48:AA48" si="118">C46+C47</f>
        <v>2407.5000000000009</v>
      </c>
      <c r="D48" s="764">
        <f t="shared" si="118"/>
        <v>2291.25</v>
      </c>
      <c r="E48" s="764">
        <f t="shared" si="118"/>
        <v>2507.25</v>
      </c>
      <c r="F48" s="764">
        <f t="shared" si="118"/>
        <v>2424</v>
      </c>
      <c r="G48" s="764">
        <f t="shared" si="118"/>
        <v>2247.75</v>
      </c>
      <c r="H48" s="764">
        <f t="shared" si="118"/>
        <v>2367</v>
      </c>
      <c r="I48" s="764">
        <f t="shared" si="118"/>
        <v>2013.9978895672975</v>
      </c>
      <c r="J48" s="764">
        <f t="shared" si="118"/>
        <v>2367</v>
      </c>
      <c r="K48" s="764">
        <f t="shared" si="118"/>
        <v>2331.75</v>
      </c>
      <c r="L48" s="764">
        <f t="shared" si="118"/>
        <v>2081.25</v>
      </c>
      <c r="M48" s="764">
        <f t="shared" si="118"/>
        <v>2013.75</v>
      </c>
      <c r="N48" s="764">
        <f t="shared" si="118"/>
        <v>1884</v>
      </c>
      <c r="O48" s="764">
        <f t="shared" si="118"/>
        <v>1713</v>
      </c>
      <c r="P48" s="764">
        <f t="shared" si="118"/>
        <v>1561.5</v>
      </c>
      <c r="Q48" s="764">
        <f t="shared" si="118"/>
        <v>1656.75</v>
      </c>
      <c r="R48" s="764">
        <f t="shared" si="118"/>
        <v>1417.5</v>
      </c>
      <c r="S48" s="764">
        <f t="shared" si="118"/>
        <v>1760.5005653753888</v>
      </c>
      <c r="T48" s="764">
        <f t="shared" si="118"/>
        <v>1920.3175267653935</v>
      </c>
      <c r="U48" s="764">
        <f t="shared" si="118"/>
        <v>2068.8388920019161</v>
      </c>
      <c r="V48" s="764">
        <f t="shared" si="118"/>
        <v>2210.5904944809581</v>
      </c>
      <c r="W48" s="764">
        <f t="shared" si="118"/>
        <v>2348.3856220895163</v>
      </c>
      <c r="X48" s="764">
        <f t="shared" si="118"/>
        <v>2476.531163801792</v>
      </c>
      <c r="Y48" s="764">
        <f t="shared" si="118"/>
        <v>2598.0099963787297</v>
      </c>
      <c r="Z48" s="764">
        <f t="shared" si="118"/>
        <v>2715.0438172706226</v>
      </c>
      <c r="AA48" s="764">
        <f t="shared" si="118"/>
        <v>2829.2992213350144</v>
      </c>
      <c r="AB48" s="631"/>
      <c r="AC48" s="631"/>
      <c r="AD48" s="631"/>
      <c r="AE48" s="631"/>
      <c r="AF48" s="631"/>
      <c r="AG48" s="631"/>
      <c r="AH48" s="631"/>
      <c r="AI48" s="631"/>
      <c r="BZ48" s="634"/>
      <c r="CA48" s="635"/>
    </row>
    <row r="49" spans="1:79" s="633" customFormat="1" ht="13.2">
      <c r="A49" s="276"/>
      <c r="B49" s="200"/>
      <c r="C49" s="200"/>
      <c r="D49" s="730"/>
      <c r="E49" s="730"/>
      <c r="F49" s="730"/>
      <c r="G49" s="730"/>
      <c r="H49" s="730"/>
      <c r="I49" s="730"/>
      <c r="J49" s="730"/>
      <c r="K49" s="730"/>
      <c r="L49" s="730"/>
      <c r="M49" s="730"/>
      <c r="N49" s="730"/>
      <c r="O49" s="730"/>
      <c r="P49" s="730"/>
      <c r="Q49" s="730"/>
      <c r="R49" s="730"/>
      <c r="S49" s="730"/>
      <c r="T49" s="730"/>
      <c r="U49" s="730"/>
      <c r="V49" s="730"/>
      <c r="W49" s="730"/>
      <c r="X49" s="730"/>
      <c r="Y49" s="730"/>
      <c r="Z49" s="730"/>
      <c r="AA49" s="730"/>
      <c r="AB49" s="631"/>
      <c r="AC49" s="631"/>
      <c r="AD49" s="631"/>
      <c r="AE49" s="631"/>
      <c r="AF49" s="631"/>
      <c r="AG49" s="631"/>
      <c r="AH49" s="631"/>
      <c r="AI49" s="631"/>
      <c r="BZ49" s="634"/>
      <c r="CA49" s="635"/>
    </row>
    <row r="50" spans="1:79" s="647" customFormat="1" ht="13.2">
      <c r="A50" s="286" t="s">
        <v>704</v>
      </c>
      <c r="B50" s="265"/>
      <c r="C50" s="265"/>
      <c r="D50" s="764">
        <f>D20-D27+D25</f>
        <v>14540</v>
      </c>
      <c r="E50" s="764">
        <f>E20-E27+E25</f>
        <v>14915</v>
      </c>
      <c r="F50" s="764">
        <f>F20-F27+F25</f>
        <v>15069</v>
      </c>
      <c r="G50" s="764">
        <f>G20-G27+G25</f>
        <v>14510.487727272728</v>
      </c>
      <c r="H50" s="764">
        <f>H20-H27+H25</f>
        <v>14579</v>
      </c>
      <c r="I50" s="764">
        <f>I20-I27+I25</f>
        <v>14807</v>
      </c>
      <c r="J50" s="764">
        <f>J20-J27+J25</f>
        <v>15168</v>
      </c>
      <c r="K50" s="764">
        <f>K20-K27+K25</f>
        <v>15747</v>
      </c>
      <c r="L50" s="764">
        <f>L20-L27+L25</f>
        <v>15521.75</v>
      </c>
      <c r="M50" s="764">
        <f>M20-M27+M25</f>
        <v>15465.456999999999</v>
      </c>
      <c r="N50" s="764">
        <f>N20-N27+N25</f>
        <v>16833</v>
      </c>
      <c r="O50" s="764">
        <f>O20-O27+O25</f>
        <v>17726</v>
      </c>
      <c r="P50" s="764">
        <f>P20-P27+P25</f>
        <v>18203</v>
      </c>
      <c r="Q50" s="764">
        <f>Q20-Q27+Q25</f>
        <v>18885</v>
      </c>
      <c r="R50" s="764">
        <f>R20-R27+R25</f>
        <v>18216</v>
      </c>
      <c r="S50" s="764">
        <f>S20-S27+S25</f>
        <v>17671.477542484041</v>
      </c>
      <c r="T50" s="764">
        <f>T20-T27+T25</f>
        <v>17266.479153769938</v>
      </c>
      <c r="U50" s="764">
        <f>U20-U27+U25</f>
        <v>16950.188062806199</v>
      </c>
      <c r="V50" s="764">
        <f>V20-V27+V25</f>
        <v>16704.23765734024</v>
      </c>
      <c r="W50" s="764">
        <f>W20-W27+W25</f>
        <v>16515.50547045124</v>
      </c>
      <c r="X50" s="764">
        <f>X20-X27+X25</f>
        <v>16373.06588425942</v>
      </c>
      <c r="Y50" s="764">
        <f>Y20-Y27+Y25</f>
        <v>16266.677959379218</v>
      </c>
      <c r="Z50" s="764">
        <f>Z20-Z27+Z25</f>
        <v>16188.867589342497</v>
      </c>
      <c r="AA50" s="764">
        <f>AA20-AA27+AA25</f>
        <v>16268.186162236379</v>
      </c>
      <c r="AB50" s="653"/>
      <c r="AC50" s="632"/>
      <c r="AD50" s="632"/>
      <c r="AE50" s="632"/>
      <c r="AF50" s="632"/>
      <c r="AG50" s="632"/>
      <c r="AH50" s="632"/>
      <c r="AI50" s="632"/>
      <c r="BZ50" s="648"/>
      <c r="CA50" s="649"/>
    </row>
    <row r="51" spans="1:79" s="633" customFormat="1" ht="13.2">
      <c r="A51" s="276"/>
      <c r="B51" s="200"/>
      <c r="C51" s="200"/>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5"/>
      <c r="AC51" s="631"/>
      <c r="AD51" s="631"/>
      <c r="AE51" s="631"/>
      <c r="AF51" s="631"/>
      <c r="AG51" s="631"/>
      <c r="AH51" s="631"/>
      <c r="AI51" s="631"/>
      <c r="BZ51" s="634"/>
      <c r="CA51" s="635"/>
    </row>
    <row r="52" spans="1:79" s="633" customFormat="1" ht="13.2">
      <c r="A52" s="343" t="s">
        <v>227</v>
      </c>
      <c r="B52" s="656"/>
      <c r="C52" s="656"/>
      <c r="D52" s="656">
        <f>IFERROR(D48/D50,"nm")</f>
        <v>0.1575825309491059</v>
      </c>
      <c r="E52" s="656">
        <f t="shared" ref="E52:AA52" si="119">IFERROR(E48/E50,"nm")</f>
        <v>0.16810258129399933</v>
      </c>
      <c r="F52" s="656">
        <f t="shared" si="119"/>
        <v>0.16086004379852678</v>
      </c>
      <c r="G52" s="656">
        <f t="shared" si="119"/>
        <v>0.15490519975943418</v>
      </c>
      <c r="H52" s="656">
        <f t="shared" si="119"/>
        <v>0.16235681459633719</v>
      </c>
      <c r="I52" s="656">
        <f t="shared" si="119"/>
        <v>0.13601660630561879</v>
      </c>
      <c r="J52" s="656">
        <f t="shared" si="119"/>
        <v>0.15605221518987342</v>
      </c>
      <c r="K52" s="656">
        <f t="shared" si="119"/>
        <v>0.14807582396646982</v>
      </c>
      <c r="L52" s="656">
        <f t="shared" si="119"/>
        <v>0.13408604055599402</v>
      </c>
      <c r="M52" s="656">
        <f t="shared" si="119"/>
        <v>0.13020953729333704</v>
      </c>
      <c r="N52" s="656">
        <f t="shared" si="119"/>
        <v>0.1119230083764035</v>
      </c>
      <c r="O52" s="656">
        <f t="shared" si="119"/>
        <v>9.663770732257701E-2</v>
      </c>
      <c r="P52" s="656">
        <f t="shared" si="119"/>
        <v>8.5782563313739499E-2</v>
      </c>
      <c r="Q52" s="656">
        <f t="shared" si="119"/>
        <v>8.7728355837966635E-2</v>
      </c>
      <c r="R52" s="656">
        <f t="shared" si="119"/>
        <v>7.7816205533596833E-2</v>
      </c>
      <c r="S52" s="656">
        <f t="shared" si="119"/>
        <v>9.9623846457828166E-2</v>
      </c>
      <c r="T52" s="656">
        <f t="shared" si="119"/>
        <v>0.11121650856921309</v>
      </c>
      <c r="U52" s="656">
        <f t="shared" si="119"/>
        <v>0.12205403765056563</v>
      </c>
      <c r="V52" s="656">
        <f t="shared" si="119"/>
        <v>0.13233710749496982</v>
      </c>
      <c r="W52" s="656">
        <f t="shared" si="119"/>
        <v>0.14219277916083989</v>
      </c>
      <c r="X52" s="656">
        <f t="shared" si="119"/>
        <v>0.15125640984457625</v>
      </c>
      <c r="Y52" s="656">
        <f t="shared" si="119"/>
        <v>0.15971361840852949</v>
      </c>
      <c r="Z52" s="656">
        <f t="shared" si="119"/>
        <v>0.16771054567510318</v>
      </c>
      <c r="AA52" s="656">
        <f t="shared" si="119"/>
        <v>0.17391608339857306</v>
      </c>
      <c r="AB52" s="655"/>
      <c r="AC52" s="631"/>
      <c r="AD52" s="631"/>
      <c r="AE52" s="631"/>
      <c r="AF52" s="631"/>
      <c r="AG52" s="631"/>
      <c r="AH52" s="631"/>
      <c r="AI52" s="631"/>
      <c r="BZ52" s="634"/>
      <c r="CA52" s="635"/>
    </row>
    <row r="53" spans="1:79" s="633" customFormat="1" ht="13.2">
      <c r="A53" s="276"/>
      <c r="B53" s="200"/>
      <c r="C53" s="200"/>
      <c r="D53" s="200"/>
      <c r="E53" s="200"/>
      <c r="F53" s="200"/>
      <c r="G53" s="200"/>
      <c r="H53" s="195"/>
      <c r="I53" s="195"/>
      <c r="J53" s="195"/>
      <c r="K53" s="195"/>
      <c r="L53" s="195"/>
      <c r="M53" s="195"/>
      <c r="N53" s="195"/>
      <c r="O53" s="195"/>
      <c r="P53" s="195"/>
      <c r="Q53" s="195"/>
      <c r="R53" s="195"/>
      <c r="S53" s="195"/>
      <c r="T53" s="195"/>
      <c r="U53" s="195"/>
      <c r="V53" s="195"/>
      <c r="W53" s="195"/>
      <c r="X53" s="195"/>
      <c r="Y53" s="195"/>
      <c r="Z53" s="195"/>
      <c r="AA53" s="195"/>
      <c r="AB53" s="631"/>
      <c r="AC53" s="631"/>
      <c r="AD53" s="631"/>
      <c r="AE53" s="631"/>
      <c r="AF53" s="631"/>
      <c r="AG53" s="631"/>
      <c r="AH53" s="631"/>
      <c r="AI53" s="631"/>
      <c r="BZ53" s="634"/>
      <c r="CA53" s="635"/>
    </row>
    <row r="54" spans="1:79" s="633" customFormat="1" ht="13.2">
      <c r="A54" s="657" t="s">
        <v>140</v>
      </c>
      <c r="B54" s="658">
        <f>B2</f>
        <v>2007</v>
      </c>
      <c r="C54" s="658">
        <f t="shared" ref="C54:Q54" si="120">B54+1</f>
        <v>2008</v>
      </c>
      <c r="D54" s="658">
        <f t="shared" si="120"/>
        <v>2009</v>
      </c>
      <c r="E54" s="658">
        <f t="shared" si="120"/>
        <v>2010</v>
      </c>
      <c r="F54" s="658">
        <f t="shared" si="120"/>
        <v>2011</v>
      </c>
      <c r="G54" s="658">
        <f t="shared" si="120"/>
        <v>2012</v>
      </c>
      <c r="H54" s="658">
        <f t="shared" si="120"/>
        <v>2013</v>
      </c>
      <c r="I54" s="658">
        <f t="shared" si="120"/>
        <v>2014</v>
      </c>
      <c r="J54" s="658">
        <f t="shared" si="120"/>
        <v>2015</v>
      </c>
      <c r="K54" s="658">
        <f t="shared" si="120"/>
        <v>2016</v>
      </c>
      <c r="L54" s="658">
        <f t="shared" si="120"/>
        <v>2017</v>
      </c>
      <c r="M54" s="658">
        <f t="shared" si="120"/>
        <v>2018</v>
      </c>
      <c r="N54" s="658">
        <f t="shared" si="120"/>
        <v>2019</v>
      </c>
      <c r="O54" s="658">
        <f t="shared" si="120"/>
        <v>2020</v>
      </c>
      <c r="P54" s="658">
        <f t="shared" si="120"/>
        <v>2021</v>
      </c>
      <c r="Q54" s="658">
        <f t="shared" si="120"/>
        <v>2022</v>
      </c>
      <c r="R54" s="658">
        <f t="shared" ref="R54:W54" si="121">Q54+1</f>
        <v>2023</v>
      </c>
      <c r="S54" s="658">
        <f t="shared" si="121"/>
        <v>2024</v>
      </c>
      <c r="T54" s="658">
        <f t="shared" si="121"/>
        <v>2025</v>
      </c>
      <c r="U54" s="658">
        <f t="shared" si="121"/>
        <v>2026</v>
      </c>
      <c r="V54" s="658">
        <f t="shared" si="121"/>
        <v>2027</v>
      </c>
      <c r="W54" s="658">
        <f t="shared" si="121"/>
        <v>2028</v>
      </c>
      <c r="X54" s="658">
        <f t="shared" ref="X54" si="122">W54+1</f>
        <v>2029</v>
      </c>
      <c r="Y54" s="658">
        <f t="shared" ref="Y54" si="123">X54+1</f>
        <v>2030</v>
      </c>
      <c r="Z54" s="658">
        <f t="shared" ref="Z54" si="124">Y54+1</f>
        <v>2031</v>
      </c>
      <c r="AA54" s="658">
        <f t="shared" ref="AA54" si="125">Z54+1</f>
        <v>2032</v>
      </c>
      <c r="AB54" s="647"/>
      <c r="AC54" s="631"/>
      <c r="AD54" s="631"/>
      <c r="AE54" s="631"/>
      <c r="AF54" s="631"/>
      <c r="AG54" s="631"/>
      <c r="AH54" s="631"/>
      <c r="AI54" s="631"/>
      <c r="BZ54" s="634"/>
      <c r="CA54" s="635"/>
    </row>
    <row r="55" spans="1:79" s="633" customFormat="1" ht="13.2">
      <c r="A55" s="276" t="s">
        <v>141</v>
      </c>
      <c r="B55" s="730">
        <f t="shared" ref="B55:P55" si="126">B252</f>
        <v>2466.1999999999998</v>
      </c>
      <c r="C55" s="730">
        <f t="shared" si="126"/>
        <v>3599.4000000000005</v>
      </c>
      <c r="D55" s="730">
        <f t="shared" si="126"/>
        <v>3630</v>
      </c>
      <c r="E55" s="730">
        <f t="shared" si="126"/>
        <v>2972</v>
      </c>
      <c r="F55" s="730">
        <f t="shared" si="126"/>
        <v>3434</v>
      </c>
      <c r="G55" s="730">
        <f t="shared" si="126"/>
        <v>3369</v>
      </c>
      <c r="H55" s="730">
        <f t="shared" si="126"/>
        <v>3707</v>
      </c>
      <c r="I55" s="730">
        <f t="shared" si="126"/>
        <v>2972.3305194230634</v>
      </c>
      <c r="J55" s="730">
        <f t="shared" si="126"/>
        <v>3122</v>
      </c>
      <c r="K55" s="730">
        <f t="shared" si="126"/>
        <v>3313</v>
      </c>
      <c r="L55" s="730">
        <f t="shared" si="126"/>
        <v>3167</v>
      </c>
      <c r="M55" s="730">
        <f t="shared" si="126"/>
        <v>2805</v>
      </c>
      <c r="N55" s="730">
        <f t="shared" si="126"/>
        <v>2713</v>
      </c>
      <c r="O55" s="730">
        <f t="shared" si="126"/>
        <v>2569</v>
      </c>
      <c r="P55" s="730">
        <f t="shared" si="126"/>
        <v>2689</v>
      </c>
      <c r="Q55" s="730">
        <f t="shared" ref="Q55:R55" si="127">Q252</f>
        <v>2815</v>
      </c>
      <c r="R55" s="730">
        <f t="shared" si="127"/>
        <v>2840.2</v>
      </c>
      <c r="S55" s="730">
        <f t="shared" ref="R55:W55" si="128">S252</f>
        <v>3001.886439771024</v>
      </c>
      <c r="T55" s="730">
        <f t="shared" si="128"/>
        <v>3097.0768759181083</v>
      </c>
      <c r="U55" s="730">
        <f t="shared" si="128"/>
        <v>3203.328558382841</v>
      </c>
      <c r="V55" s="730">
        <f t="shared" si="128"/>
        <v>3319.3263955595298</v>
      </c>
      <c r="W55" s="730">
        <f t="shared" si="128"/>
        <v>3444.096806226129</v>
      </c>
      <c r="X55" s="730">
        <f t="shared" ref="X55:AA55" si="129">X252</f>
        <v>3569.7539969676927</v>
      </c>
      <c r="Y55" s="730">
        <f t="shared" si="129"/>
        <v>3696.5299236475967</v>
      </c>
      <c r="Z55" s="730">
        <f t="shared" si="129"/>
        <v>3824.6552625643126</v>
      </c>
      <c r="AA55" s="730">
        <f t="shared" si="129"/>
        <v>3820.3583719531089</v>
      </c>
      <c r="AB55" s="659"/>
      <c r="AC55" s="631"/>
      <c r="AD55" s="631"/>
      <c r="AE55" s="631"/>
      <c r="AF55" s="631"/>
      <c r="AG55" s="631"/>
      <c r="AH55" s="631"/>
      <c r="AI55" s="631"/>
      <c r="BZ55" s="634"/>
      <c r="CA55" s="635"/>
    </row>
    <row r="56" spans="1:79" s="633" customFormat="1" ht="13.2">
      <c r="A56" s="276" t="s">
        <v>142</v>
      </c>
      <c r="B56" s="730">
        <f t="shared" ref="B56:W56" si="130">B126</f>
        <v>-8.6000000000000014</v>
      </c>
      <c r="C56" s="730">
        <f t="shared" si="130"/>
        <v>17.899999999999999</v>
      </c>
      <c r="D56" s="730">
        <f t="shared" si="130"/>
        <v>-48</v>
      </c>
      <c r="E56" s="730">
        <f t="shared" si="130"/>
        <v>-211</v>
      </c>
      <c r="F56" s="730">
        <f t="shared" si="130"/>
        <v>-228</v>
      </c>
      <c r="G56" s="730">
        <f t="shared" si="130"/>
        <v>-288</v>
      </c>
      <c r="H56" s="730">
        <f t="shared" si="130"/>
        <v>-329</v>
      </c>
      <c r="I56" s="730">
        <f t="shared" si="130"/>
        <v>-389</v>
      </c>
      <c r="J56" s="730">
        <f t="shared" si="130"/>
        <v>-412</v>
      </c>
      <c r="K56" s="730">
        <f t="shared" si="130"/>
        <v>-669</v>
      </c>
      <c r="L56" s="730">
        <f t="shared" si="130"/>
        <v>-384</v>
      </c>
      <c r="M56" s="730">
        <f t="shared" si="130"/>
        <v>-344.279</v>
      </c>
      <c r="N56" s="730">
        <f t="shared" si="130"/>
        <v>-399</v>
      </c>
      <c r="O56" s="730">
        <f t="shared" si="130"/>
        <v>-405</v>
      </c>
      <c r="P56" s="730">
        <f t="shared" si="130"/>
        <v>-413</v>
      </c>
      <c r="Q56" s="730">
        <f t="shared" ref="Q56:R56" si="131">Q126</f>
        <v>-407</v>
      </c>
      <c r="R56" s="730">
        <f t="shared" si="131"/>
        <v>-446</v>
      </c>
      <c r="S56" s="730">
        <f t="shared" si="130"/>
        <v>-447.33082706766919</v>
      </c>
      <c r="T56" s="730">
        <f t="shared" si="130"/>
        <v>-418.46273804246124</v>
      </c>
      <c r="U56" s="730">
        <f t="shared" si="130"/>
        <v>-396.60993733874074</v>
      </c>
      <c r="V56" s="730">
        <f t="shared" si="130"/>
        <v>-378.81507767052676</v>
      </c>
      <c r="W56" s="730">
        <f t="shared" si="130"/>
        <v>-364.19058640551424</v>
      </c>
      <c r="X56" s="730">
        <f t="shared" ref="X56:AA56" si="132">X126</f>
        <v>-352.11400925051061</v>
      </c>
      <c r="Y56" s="730">
        <f t="shared" si="132"/>
        <v>-342.14657898294593</v>
      </c>
      <c r="Z56" s="730">
        <f t="shared" si="132"/>
        <v>-333.79858411389534</v>
      </c>
      <c r="AA56" s="730">
        <f t="shared" si="132"/>
        <v>-326.71178767611491</v>
      </c>
      <c r="AB56" s="659"/>
      <c r="AC56" s="631"/>
      <c r="AD56" s="631"/>
      <c r="AE56" s="631"/>
      <c r="AF56" s="631"/>
      <c r="AG56" s="631"/>
      <c r="AH56" s="631"/>
      <c r="AI56" s="631"/>
      <c r="BZ56" s="634"/>
      <c r="CA56" s="635"/>
    </row>
    <row r="57" spans="1:79" s="633" customFormat="1" ht="13.2">
      <c r="A57" s="276" t="s">
        <v>143</v>
      </c>
      <c r="B57" s="730">
        <f>'Income Statement'!N454</f>
        <v>-188</v>
      </c>
      <c r="C57" s="730">
        <f>'Income Statement'!O454</f>
        <v>-214</v>
      </c>
      <c r="D57" s="730">
        <f>'Income Statement'!P454</f>
        <v>-222</v>
      </c>
      <c r="E57" s="730">
        <f>'Income Statement'!Q454</f>
        <v>-837</v>
      </c>
      <c r="F57" s="730">
        <f>'Income Statement'!V454</f>
        <v>-473</v>
      </c>
      <c r="G57" s="730">
        <f>'Income Statement'!AA454</f>
        <v>-716</v>
      </c>
      <c r="H57" s="730">
        <f>'Income Statement'!AF454</f>
        <v>-724</v>
      </c>
      <c r="I57" s="730">
        <f>'Income Statement'!AK454</f>
        <v>-688.76864535768641</v>
      </c>
      <c r="J57" s="730">
        <f>'Income Statement'!AP454</f>
        <v>-713</v>
      </c>
      <c r="K57" s="730">
        <f>'Income Statement'!AU454</f>
        <v>-709</v>
      </c>
      <c r="L57" s="730">
        <f>'Income Statement'!AZ454</f>
        <v>-676</v>
      </c>
      <c r="M57" s="730">
        <f>'Income Statement'!BE454</f>
        <v>-585</v>
      </c>
      <c r="N57" s="730">
        <f>'Income Statement'!BJ454</f>
        <v>-509</v>
      </c>
      <c r="O57" s="730">
        <f>'Income Statement'!BO454</f>
        <v>-469</v>
      </c>
      <c r="P57" s="730">
        <f>'Income Statement'!BT454</f>
        <v>-454</v>
      </c>
      <c r="Q57" s="730">
        <f>'Income Statement'!BY454</f>
        <v>-651</v>
      </c>
      <c r="R57" s="730">
        <f>'Income Statement'!CD454</f>
        <v>-452</v>
      </c>
      <c r="S57" s="730">
        <f>'Income Statement'!CE454</f>
        <v>-475.00081502487893</v>
      </c>
      <c r="T57" s="730">
        <f>'Income Statement'!CF454</f>
        <v>-535.49015774451584</v>
      </c>
      <c r="U57" s="730">
        <f>'Income Statement'!CG454</f>
        <v>-590.46047966595359</v>
      </c>
      <c r="V57" s="730">
        <f>'Income Statement'!CH454</f>
        <v>-642.15972874268755</v>
      </c>
      <c r="W57" s="730">
        <f>'Income Statement'!CI454</f>
        <v>-691.74756076179358</v>
      </c>
      <c r="X57" s="730">
        <f>'Income Statement'!CJ454</f>
        <v>-737.48188562130304</v>
      </c>
      <c r="Y57" s="730">
        <f>'Income Statement'!CK454</f>
        <v>-780.46668738050687</v>
      </c>
      <c r="Z57" s="730">
        <f>'Income Statement'!CL454</f>
        <v>-821.56495972840037</v>
      </c>
      <c r="AA57" s="730">
        <f>'Income Statement'!CM454</f>
        <v>-861.42179352597611</v>
      </c>
      <c r="AB57" s="659"/>
      <c r="AC57" s="631"/>
      <c r="AD57" s="631"/>
      <c r="AE57" s="631"/>
      <c r="AF57" s="631"/>
      <c r="AG57" s="631"/>
      <c r="AH57" s="631"/>
      <c r="AI57" s="631"/>
      <c r="BZ57" s="634"/>
      <c r="CA57" s="635"/>
    </row>
    <row r="58" spans="1:79" s="633" customFormat="1" ht="13.2">
      <c r="A58" s="276" t="s">
        <v>144</v>
      </c>
      <c r="B58" s="763"/>
      <c r="C58" s="763">
        <v>-496.50000000000006</v>
      </c>
      <c r="D58" s="763">
        <v>-385</v>
      </c>
      <c r="E58" s="730">
        <f t="shared" ref="E58:P58" si="133">E169</f>
        <v>-225</v>
      </c>
      <c r="F58" s="730">
        <f t="shared" si="133"/>
        <v>-169</v>
      </c>
      <c r="G58" s="730">
        <f t="shared" si="133"/>
        <v>36.512272727272801</v>
      </c>
      <c r="H58" s="730">
        <f t="shared" si="133"/>
        <v>-253.5122727272728</v>
      </c>
      <c r="I58" s="730">
        <f t="shared" si="133"/>
        <v>548</v>
      </c>
      <c r="J58" s="730">
        <f t="shared" si="133"/>
        <v>10</v>
      </c>
      <c r="K58" s="730">
        <f t="shared" si="133"/>
        <v>-220</v>
      </c>
      <c r="L58" s="730">
        <f t="shared" si="133"/>
        <v>-333</v>
      </c>
      <c r="M58" s="730">
        <f t="shared" si="133"/>
        <v>357</v>
      </c>
      <c r="N58" s="730">
        <f t="shared" si="133"/>
        <v>13</v>
      </c>
      <c r="O58" s="730">
        <f t="shared" si="133"/>
        <v>-14</v>
      </c>
      <c r="P58" s="730">
        <f t="shared" si="133"/>
        <v>332</v>
      </c>
      <c r="Q58" s="730">
        <f t="shared" ref="Q58:R58" si="134">Q169</f>
        <v>-561</v>
      </c>
      <c r="R58" s="730">
        <f t="shared" si="134"/>
        <v>1</v>
      </c>
      <c r="S58" s="730">
        <f t="shared" ref="R58:W58" si="135">S169</f>
        <v>-22.689504205625298</v>
      </c>
      <c r="T58" s="730">
        <f t="shared" si="135"/>
        <v>-55.711291143549417</v>
      </c>
      <c r="U58" s="730">
        <f t="shared" si="135"/>
        <v>-52.605841906160592</v>
      </c>
      <c r="V58" s="730">
        <f t="shared" si="135"/>
        <v>-49.682479831278002</v>
      </c>
      <c r="W58" s="730">
        <f t="shared" si="135"/>
        <v>-47.786706243428156</v>
      </c>
      <c r="X58" s="730">
        <f t="shared" ref="X58:AA58" si="136">X169</f>
        <v>-50.424066684147142</v>
      </c>
      <c r="Y58" s="730">
        <f t="shared" si="136"/>
        <v>-52.742373652977676</v>
      </c>
      <c r="Z58" s="730">
        <f t="shared" si="136"/>
        <v>-54.779250439254035</v>
      </c>
      <c r="AA58" s="730">
        <f t="shared" si="136"/>
        <v>-56.568636070435176</v>
      </c>
      <c r="AB58" s="659"/>
      <c r="AC58" s="631"/>
      <c r="AD58" s="631"/>
      <c r="AE58" s="631"/>
      <c r="AF58" s="631"/>
      <c r="AG58" s="631"/>
      <c r="AH58" s="631"/>
      <c r="AI58" s="631"/>
      <c r="BZ58" s="634"/>
      <c r="CA58" s="635"/>
    </row>
    <row r="59" spans="1:79" s="633" customFormat="1" ht="13.2">
      <c r="A59" s="276" t="s">
        <v>145</v>
      </c>
      <c r="B59" s="763">
        <v>0</v>
      </c>
      <c r="C59" s="763">
        <v>0</v>
      </c>
      <c r="D59" s="763">
        <v>0</v>
      </c>
      <c r="E59" s="763">
        <v>0</v>
      </c>
      <c r="F59" s="763">
        <v>0</v>
      </c>
      <c r="G59" s="763">
        <v>0</v>
      </c>
      <c r="H59" s="763">
        <v>0</v>
      </c>
      <c r="I59" s="763">
        <v>0</v>
      </c>
      <c r="J59" s="763">
        <v>0</v>
      </c>
      <c r="K59" s="763">
        <v>0</v>
      </c>
      <c r="L59" s="763">
        <v>0</v>
      </c>
      <c r="M59" s="763">
        <v>0</v>
      </c>
      <c r="N59" s="763">
        <v>0</v>
      </c>
      <c r="O59" s="763">
        <v>0</v>
      </c>
      <c r="P59" s="763">
        <v>0</v>
      </c>
      <c r="Q59" s="763"/>
      <c r="R59" s="763"/>
      <c r="S59" s="763"/>
      <c r="T59" s="763"/>
      <c r="U59" s="763"/>
      <c r="V59" s="763"/>
      <c r="W59" s="763"/>
      <c r="X59" s="763"/>
      <c r="Y59" s="763"/>
      <c r="Z59" s="763"/>
      <c r="AA59" s="763"/>
      <c r="AB59" s="659"/>
      <c r="AC59" s="631"/>
      <c r="AD59" s="631"/>
      <c r="AE59" s="631"/>
      <c r="AF59" s="631"/>
      <c r="AG59" s="631"/>
      <c r="AH59" s="631"/>
      <c r="AI59" s="631"/>
      <c r="BZ59" s="634"/>
      <c r="CA59" s="635"/>
    </row>
    <row r="60" spans="1:79" s="633" customFormat="1" ht="13.2">
      <c r="A60" s="276" t="s">
        <v>146</v>
      </c>
      <c r="B60" s="763">
        <v>0</v>
      </c>
      <c r="C60" s="763">
        <v>0</v>
      </c>
      <c r="D60" s="763">
        <v>0</v>
      </c>
      <c r="E60" s="763">
        <v>0</v>
      </c>
      <c r="F60" s="763">
        <v>0</v>
      </c>
      <c r="G60" s="763">
        <v>0</v>
      </c>
      <c r="H60" s="763">
        <v>0</v>
      </c>
      <c r="I60" s="763">
        <v>0</v>
      </c>
      <c r="J60" s="763">
        <v>0</v>
      </c>
      <c r="K60" s="763">
        <v>0</v>
      </c>
      <c r="L60" s="763">
        <v>0</v>
      </c>
      <c r="M60" s="763">
        <v>0</v>
      </c>
      <c r="N60" s="763">
        <v>0</v>
      </c>
      <c r="O60" s="763">
        <v>0</v>
      </c>
      <c r="P60" s="763">
        <v>0</v>
      </c>
      <c r="Q60" s="763"/>
      <c r="R60" s="763"/>
      <c r="S60" s="763"/>
      <c r="T60" s="763"/>
      <c r="U60" s="763"/>
      <c r="V60" s="763"/>
      <c r="W60" s="763"/>
      <c r="X60" s="763"/>
      <c r="Y60" s="763"/>
      <c r="Z60" s="763"/>
      <c r="AA60" s="763"/>
      <c r="AB60" s="659"/>
      <c r="AC60" s="631"/>
      <c r="AD60" s="631"/>
      <c r="AE60" s="631"/>
      <c r="AF60" s="631"/>
      <c r="AG60" s="631"/>
      <c r="AH60" s="631"/>
      <c r="AI60" s="631"/>
      <c r="BZ60" s="634"/>
      <c r="CA60" s="635"/>
    </row>
    <row r="61" spans="1:79" s="633" customFormat="1" ht="13.2">
      <c r="A61" s="276" t="s">
        <v>147</v>
      </c>
      <c r="B61" s="730">
        <f t="shared" ref="B61:P61" si="137">B256</f>
        <v>0</v>
      </c>
      <c r="C61" s="730">
        <f t="shared" si="137"/>
        <v>0</v>
      </c>
      <c r="D61" s="730">
        <f t="shared" si="137"/>
        <v>-2555</v>
      </c>
      <c r="E61" s="730">
        <f t="shared" si="137"/>
        <v>-3000</v>
      </c>
      <c r="F61" s="730">
        <f t="shared" si="137"/>
        <v>-3000</v>
      </c>
      <c r="G61" s="730">
        <f t="shared" si="137"/>
        <v>-3000</v>
      </c>
      <c r="H61" s="730">
        <f t="shared" si="137"/>
        <v>-3000</v>
      </c>
      <c r="I61" s="730">
        <f t="shared" si="137"/>
        <v>-3000</v>
      </c>
      <c r="J61" s="730">
        <f t="shared" si="137"/>
        <v>-2325.0000000000005</v>
      </c>
      <c r="K61" s="730">
        <f t="shared" si="137"/>
        <v>-1500</v>
      </c>
      <c r="L61" s="730">
        <f t="shared" si="137"/>
        <v>-1560</v>
      </c>
      <c r="M61" s="730">
        <f t="shared" si="137"/>
        <v>-1562</v>
      </c>
      <c r="N61" s="730">
        <f t="shared" si="137"/>
        <v>-1564</v>
      </c>
      <c r="O61" s="730">
        <f t="shared" si="137"/>
        <v>-1330.2499999999998</v>
      </c>
      <c r="P61" s="730">
        <f t="shared" si="137"/>
        <v>-1330.2499999999998</v>
      </c>
      <c r="Q61" s="730">
        <f t="shared" ref="Q61:R61" si="138">Q256</f>
        <v>-1565.6000000000001</v>
      </c>
      <c r="R61" s="730">
        <f t="shared" si="138"/>
        <v>-1253.1200000000001</v>
      </c>
      <c r="S61" s="730">
        <f t="shared" ref="R61:W61" si="139">S256</f>
        <v>-1396.5023961731442</v>
      </c>
      <c r="T61" s="730">
        <f t="shared" si="139"/>
        <v>-1574.3410637688767</v>
      </c>
      <c r="U61" s="730">
        <f t="shared" si="139"/>
        <v>-1735.9538102179035</v>
      </c>
      <c r="V61" s="730">
        <f t="shared" si="139"/>
        <v>-1887.9496025035012</v>
      </c>
      <c r="W61" s="730">
        <f t="shared" si="139"/>
        <v>-2033.7378286396731</v>
      </c>
      <c r="X61" s="730">
        <f t="shared" ref="X61:AA61" si="140">X256</f>
        <v>-2168.1967437266303</v>
      </c>
      <c r="Y61" s="730">
        <f t="shared" si="140"/>
        <v>-2294.5720608986903</v>
      </c>
      <c r="Z61" s="730">
        <f t="shared" si="140"/>
        <v>-2415.4009816014968</v>
      </c>
      <c r="AA61" s="730">
        <f t="shared" si="140"/>
        <v>-2532.5800729663697</v>
      </c>
      <c r="AB61" s="659"/>
      <c r="AC61" s="631"/>
      <c r="AD61" s="631"/>
      <c r="AE61" s="631"/>
      <c r="AF61" s="631"/>
      <c r="AG61" s="631"/>
      <c r="AH61" s="631"/>
      <c r="AI61" s="631"/>
      <c r="BZ61" s="634"/>
      <c r="CA61" s="635"/>
    </row>
    <row r="62" spans="1:79" s="633" customFormat="1" ht="13.2">
      <c r="A62" s="276" t="s">
        <v>148</v>
      </c>
      <c r="B62" s="730">
        <v>-8</v>
      </c>
      <c r="C62" s="730"/>
      <c r="D62" s="730"/>
      <c r="E62" s="730"/>
      <c r="F62" s="730"/>
      <c r="G62" s="730"/>
      <c r="H62" s="730"/>
      <c r="I62" s="730"/>
      <c r="J62" s="730"/>
      <c r="K62" s="730"/>
      <c r="L62" s="730"/>
      <c r="M62" s="763">
        <v>0</v>
      </c>
      <c r="N62" s="763">
        <v>0</v>
      </c>
      <c r="O62" s="763"/>
      <c r="P62" s="763"/>
      <c r="Q62" s="763"/>
      <c r="R62" s="763"/>
      <c r="S62" s="763"/>
      <c r="T62" s="763"/>
      <c r="U62" s="763"/>
      <c r="V62" s="763"/>
      <c r="W62" s="763"/>
      <c r="X62" s="763"/>
      <c r="Y62" s="763"/>
      <c r="Z62" s="763"/>
      <c r="AA62" s="763"/>
      <c r="AB62" s="659"/>
      <c r="AC62" s="631"/>
      <c r="AD62" s="631"/>
      <c r="AE62" s="631"/>
      <c r="AF62" s="631"/>
      <c r="AG62" s="631"/>
      <c r="AH62" s="631"/>
      <c r="AI62" s="631"/>
      <c r="BZ62" s="634"/>
      <c r="CA62" s="635"/>
    </row>
    <row r="63" spans="1:79" s="633" customFormat="1" ht="13.2">
      <c r="A63" s="276" t="s">
        <v>287</v>
      </c>
      <c r="B63" s="730"/>
      <c r="C63" s="730"/>
      <c r="D63" s="730"/>
      <c r="E63" s="730"/>
      <c r="F63" s="730"/>
      <c r="G63" s="730"/>
      <c r="H63" s="730"/>
      <c r="I63" s="730"/>
      <c r="J63" s="730"/>
      <c r="K63" s="763">
        <v>-816.75</v>
      </c>
      <c r="L63" s="763">
        <v>0</v>
      </c>
      <c r="M63" s="768">
        <f>-[5]Spectrum!$C$134</f>
        <v>-765.02</v>
      </c>
      <c r="N63" s="763">
        <v>0</v>
      </c>
      <c r="O63" s="763">
        <v>-1075.6500000000001</v>
      </c>
      <c r="P63" s="763">
        <v>0</v>
      </c>
      <c r="Q63" s="763"/>
      <c r="R63" s="763"/>
      <c r="S63" s="763"/>
      <c r="T63" s="763"/>
      <c r="U63" s="763"/>
      <c r="V63" s="763"/>
      <c r="W63" s="763"/>
      <c r="X63" s="763"/>
      <c r="Y63" s="763"/>
      <c r="Z63" s="763"/>
      <c r="AA63" s="763"/>
      <c r="AB63" s="659"/>
      <c r="AC63" s="631"/>
      <c r="AD63" s="631"/>
      <c r="AE63" s="631"/>
      <c r="AF63" s="631"/>
      <c r="AG63" s="631"/>
      <c r="AH63" s="631"/>
      <c r="AI63" s="631"/>
      <c r="BZ63" s="634"/>
      <c r="CA63" s="635"/>
    </row>
    <row r="64" spans="1:79" s="633" customFormat="1" ht="13.2">
      <c r="A64" s="276" t="s">
        <v>149</v>
      </c>
      <c r="B64" s="763"/>
      <c r="C64" s="763"/>
      <c r="D64" s="763"/>
      <c r="E64" s="763">
        <v>618</v>
      </c>
      <c r="F64" s="763">
        <v>-444</v>
      </c>
      <c r="G64" s="763"/>
      <c r="H64" s="763">
        <v>-80</v>
      </c>
      <c r="I64" s="763">
        <v>-195</v>
      </c>
      <c r="J64" s="763">
        <v>-797</v>
      </c>
      <c r="K64" s="763">
        <v>2</v>
      </c>
      <c r="L64" s="763">
        <f>300*5.7-287+501</f>
        <v>1924</v>
      </c>
      <c r="M64" s="763">
        <v>58.726125934623298</v>
      </c>
      <c r="N64" s="763">
        <f>-N44-SUM(N55:N63)</f>
        <v>-1539.2390000000005</v>
      </c>
      <c r="O64" s="763">
        <f>-O44-SUM(O55:O63)</f>
        <v>61.899999999999864</v>
      </c>
      <c r="P64" s="763">
        <f>-P44-SUM(P55:P63)</f>
        <v>-694.75000000000023</v>
      </c>
      <c r="Q64" s="763">
        <f>-Q44-SUM(Q55:Q63)</f>
        <v>31.600000000000136</v>
      </c>
      <c r="R64" s="763">
        <f>-R44-SUM(R55:R63)</f>
        <v>-656.0799999999997</v>
      </c>
      <c r="S64" s="730">
        <f>-S94-S106+S229</f>
        <v>-62.253584774485098</v>
      </c>
      <c r="T64" s="730">
        <f>-T94-T106+T229</f>
        <v>-60.554825269906289</v>
      </c>
      <c r="U64" s="730">
        <f>-U94-U106+U229</f>
        <v>-58.902421069441303</v>
      </c>
      <c r="V64" s="730">
        <f>-V94-V106+V229</f>
        <v>-57.295107241701267</v>
      </c>
      <c r="W64" s="730">
        <f>-W94-W106+W229</f>
        <v>-55.731653372413511</v>
      </c>
      <c r="X64" s="730">
        <f>-X94-X106+X229</f>
        <v>-54.21086262252755</v>
      </c>
      <c r="Y64" s="730">
        <f>-Y94-Y106+Y229</f>
        <v>-52.731570812023186</v>
      </c>
      <c r="Z64" s="730">
        <f>-Z94-Z106+Z229</f>
        <v>-51.292645528719525</v>
      </c>
      <c r="AA64" s="730">
        <f>-AA94-AA106+AA229</f>
        <v>-49.892985261402423</v>
      </c>
      <c r="AB64" s="629"/>
      <c r="AC64" s="631"/>
      <c r="AD64" s="631"/>
      <c r="AE64" s="631"/>
      <c r="AF64" s="631"/>
      <c r="AG64" s="631"/>
      <c r="AH64" s="631"/>
      <c r="AI64" s="631"/>
      <c r="BZ64" s="634"/>
      <c r="CA64" s="635"/>
    </row>
    <row r="65" spans="1:79" s="633" customFormat="1" ht="13.2">
      <c r="A65" s="349" t="s">
        <v>139</v>
      </c>
      <c r="B65" s="732">
        <f>SUM(B55:B64)</f>
        <v>2261.6</v>
      </c>
      <c r="C65" s="732">
        <f>SUM(C55:C64)</f>
        <v>2906.8000000000006</v>
      </c>
      <c r="D65" s="732">
        <f>SUM(D55:D64)</f>
        <v>420</v>
      </c>
      <c r="E65" s="732">
        <f>SUM(E55:E64)</f>
        <v>-683</v>
      </c>
      <c r="F65" s="732">
        <f>SUM(F55:F64)</f>
        <v>-880</v>
      </c>
      <c r="G65" s="732">
        <f>SUM(G55:G64)</f>
        <v>-598.48772727272717</v>
      </c>
      <c r="H65" s="732">
        <f>SUM(H55:H64)</f>
        <v>-679.51227272727283</v>
      </c>
      <c r="I65" s="732">
        <f>SUM(I55:I64)</f>
        <v>-752.4381259346228</v>
      </c>
      <c r="J65" s="732">
        <f>SUM(J55:J64)</f>
        <v>-1115.0000000000005</v>
      </c>
      <c r="K65" s="732">
        <f>SUM(K55:K64)</f>
        <v>-599.75</v>
      </c>
      <c r="L65" s="732">
        <f>SUM(L55:L64)</f>
        <v>2138</v>
      </c>
      <c r="M65" s="732">
        <f>SUM(M55:M64)</f>
        <v>-35.572874065376681</v>
      </c>
      <c r="N65" s="732">
        <f>SUM(N55:N64)</f>
        <v>-1285.2390000000005</v>
      </c>
      <c r="O65" s="732">
        <f>SUM(O55:O64)</f>
        <v>-663</v>
      </c>
      <c r="P65" s="732">
        <f>SUM(P55:P64)</f>
        <v>129</v>
      </c>
      <c r="Q65" s="732">
        <f>SUM(Q55:Q64)</f>
        <v>-338</v>
      </c>
      <c r="R65" s="732">
        <f>SUM(R55:R64)</f>
        <v>34</v>
      </c>
      <c r="S65" s="732">
        <f>SUM(S55:S64)</f>
        <v>598.10931252522084</v>
      </c>
      <c r="T65" s="732">
        <f>SUM(T55:T64)</f>
        <v>452.51679994879902</v>
      </c>
      <c r="U65" s="732">
        <f>SUM(U55:U64)</f>
        <v>368.7960681846414</v>
      </c>
      <c r="V65" s="732">
        <f>SUM(V55:V64)</f>
        <v>303.42439956983509</v>
      </c>
      <c r="W65" s="732">
        <f>SUM(W55:W64)</f>
        <v>250.9024708033067</v>
      </c>
      <c r="X65" s="732">
        <f>SUM(X55:X64)</f>
        <v>207.32642906257445</v>
      </c>
      <c r="Y65" s="732">
        <f>SUM(Y55:Y64)</f>
        <v>173.8706519204529</v>
      </c>
      <c r="Z65" s="732">
        <f>SUM(Z55:Z64)</f>
        <v>147.81884115254636</v>
      </c>
      <c r="AA65" s="732">
        <f>SUM(AA55:AA64)</f>
        <v>-6.8169035471897175</v>
      </c>
      <c r="AB65" s="662"/>
      <c r="AC65" s="631"/>
      <c r="AD65" s="631"/>
      <c r="AE65" s="631"/>
      <c r="AF65" s="631"/>
      <c r="AG65" s="631"/>
      <c r="AH65" s="631"/>
      <c r="AI65" s="631"/>
      <c r="BZ65" s="634"/>
      <c r="CA65" s="635"/>
    </row>
    <row r="66" spans="1:79" s="633" customFormat="1" ht="13.2">
      <c r="A66" s="343" t="s">
        <v>150</v>
      </c>
      <c r="B66" s="769"/>
      <c r="C66" s="769"/>
      <c r="D66" s="769">
        <v>3874</v>
      </c>
      <c r="E66" s="769">
        <f t="shared" ref="E66:N66" si="141">D66-E65</f>
        <v>4557</v>
      </c>
      <c r="F66" s="769">
        <f t="shared" si="141"/>
        <v>5437</v>
      </c>
      <c r="G66" s="769">
        <f t="shared" si="141"/>
        <v>6035.4877272727272</v>
      </c>
      <c r="H66" s="769">
        <f t="shared" si="141"/>
        <v>6715</v>
      </c>
      <c r="I66" s="769">
        <f t="shared" si="141"/>
        <v>7467.4381259346228</v>
      </c>
      <c r="J66" s="769">
        <f t="shared" si="141"/>
        <v>8582.4381259346228</v>
      </c>
      <c r="K66" s="769">
        <f t="shared" si="141"/>
        <v>9182.1881259346228</v>
      </c>
      <c r="L66" s="769">
        <f>K66-L65</f>
        <v>7044.1881259346228</v>
      </c>
      <c r="M66" s="769">
        <f t="shared" si="141"/>
        <v>7079.7609999999995</v>
      </c>
      <c r="N66" s="769">
        <f t="shared" si="141"/>
        <v>8365</v>
      </c>
      <c r="O66" s="769">
        <f t="shared" ref="O66" si="142">N66-O65</f>
        <v>9028</v>
      </c>
      <c r="P66" s="769">
        <f t="shared" ref="P66" si="143">O66-P65</f>
        <v>8899</v>
      </c>
      <c r="Q66" s="769">
        <f t="shared" ref="Q66" si="144">P66-Q65</f>
        <v>9237</v>
      </c>
      <c r="R66" s="769">
        <f t="shared" ref="R66" si="145">Q66-R65</f>
        <v>9203</v>
      </c>
      <c r="S66" s="769">
        <f t="shared" ref="S66:W66" si="146">R66-S65</f>
        <v>8604.890687474779</v>
      </c>
      <c r="T66" s="769">
        <f t="shared" si="146"/>
        <v>8152.3738875259796</v>
      </c>
      <c r="U66" s="769">
        <f t="shared" si="146"/>
        <v>7783.577819341338</v>
      </c>
      <c r="V66" s="769">
        <f t="shared" si="146"/>
        <v>7480.1534197715027</v>
      </c>
      <c r="W66" s="769">
        <f t="shared" si="146"/>
        <v>7229.2509489681961</v>
      </c>
      <c r="X66" s="769">
        <f t="shared" ref="X66" si="147">W66-X65</f>
        <v>7021.9245199056213</v>
      </c>
      <c r="Y66" s="769">
        <f t="shared" ref="Y66" si="148">X66-Y65</f>
        <v>6848.0538679851688</v>
      </c>
      <c r="Z66" s="769">
        <f t="shared" ref="Z66" si="149">Y66-Z65</f>
        <v>6700.2350268326227</v>
      </c>
      <c r="AA66" s="769">
        <f t="shared" ref="AA66" si="150">Z66-AA65</f>
        <v>6707.0519303798128</v>
      </c>
      <c r="AB66" s="662"/>
      <c r="AC66" s="631"/>
      <c r="AD66" s="631"/>
      <c r="AE66" s="631"/>
      <c r="AF66" s="631"/>
      <c r="AG66" s="631"/>
      <c r="AH66" s="631"/>
      <c r="AI66" s="631"/>
      <c r="BZ66" s="634"/>
      <c r="CA66" s="635"/>
    </row>
    <row r="67" spans="1:79" s="633" customFormat="1" ht="13.2">
      <c r="A67" s="276" t="s">
        <v>151</v>
      </c>
      <c r="B67" s="203"/>
      <c r="C67" s="203"/>
      <c r="D67" s="203">
        <f>D43-D66</f>
        <v>0</v>
      </c>
      <c r="E67" s="203">
        <f>E43-E66</f>
        <v>0</v>
      </c>
      <c r="F67" s="203">
        <f>F43-F66</f>
        <v>0</v>
      </c>
      <c r="G67" s="203">
        <f>G43-G66</f>
        <v>0.37806818181798008</v>
      </c>
      <c r="H67" s="203">
        <f>H43-H66</f>
        <v>0</v>
      </c>
      <c r="I67" s="203">
        <f>I43-I66</f>
        <v>-0.43812593462280347</v>
      </c>
      <c r="J67" s="203">
        <f>J43-J66</f>
        <v>-0.43812593462280347</v>
      </c>
      <c r="K67" s="203">
        <f>K43-K66</f>
        <v>-0.18812593462280347</v>
      </c>
      <c r="L67" s="203">
        <f>L43-L66</f>
        <v>-0.18812593462280347</v>
      </c>
      <c r="M67" s="203">
        <f>M43-M66</f>
        <v>0</v>
      </c>
      <c r="N67" s="203">
        <f>N43-N66</f>
        <v>0</v>
      </c>
      <c r="O67" s="203">
        <f>O43-O66</f>
        <v>0</v>
      </c>
      <c r="P67" s="205">
        <f>P43-P66</f>
        <v>0</v>
      </c>
      <c r="Q67" s="205">
        <f>Q43-Q66</f>
        <v>0</v>
      </c>
      <c r="R67" s="205">
        <f>R43-R66</f>
        <v>0</v>
      </c>
      <c r="S67" s="203">
        <f>S43-S66</f>
        <v>0</v>
      </c>
      <c r="T67" s="203">
        <f>T43-T66</f>
        <v>0</v>
      </c>
      <c r="U67" s="203">
        <f>U43-U66</f>
        <v>0</v>
      </c>
      <c r="V67" s="203">
        <f>V43-V66</f>
        <v>0</v>
      </c>
      <c r="W67" s="203">
        <f>W43-W66</f>
        <v>0</v>
      </c>
      <c r="X67" s="203">
        <f>X43-X66</f>
        <v>0</v>
      </c>
      <c r="Y67" s="203">
        <f>Y43-Y66</f>
        <v>0</v>
      </c>
      <c r="Z67" s="203">
        <f>Z43-Z66</f>
        <v>0</v>
      </c>
      <c r="AA67" s="203">
        <f>AA43-AA66</f>
        <v>0</v>
      </c>
      <c r="AB67" s="254"/>
      <c r="AC67" s="631"/>
      <c r="AD67" s="631"/>
      <c r="AE67" s="631"/>
      <c r="AF67" s="631"/>
      <c r="AG67" s="631"/>
      <c r="AH67" s="631"/>
      <c r="AI67" s="631"/>
      <c r="BZ67" s="634"/>
      <c r="CA67" s="635"/>
    </row>
    <row r="68" spans="1:79" s="633" customFormat="1" ht="13.2">
      <c r="A68" s="276"/>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C68" s="631"/>
      <c r="AD68" s="663"/>
      <c r="AF68" s="663"/>
      <c r="AG68" s="663"/>
      <c r="AH68" s="663"/>
      <c r="AI68" s="663"/>
      <c r="AJ68" s="663"/>
      <c r="AK68" s="663"/>
      <c r="AL68" s="663"/>
      <c r="AM68" s="663"/>
      <c r="BZ68" s="634"/>
      <c r="CA68" s="635"/>
    </row>
    <row r="69" spans="1:79" s="633" customFormat="1" ht="13.2">
      <c r="A69" s="343" t="s">
        <v>152</v>
      </c>
      <c r="B69" s="664"/>
      <c r="C69" s="664">
        <f>C66/'Income Statement'!G430</f>
        <v>0</v>
      </c>
      <c r="D69" s="664">
        <f>D66/'Income Statement'!L430</f>
        <v>0.91800947867298577</v>
      </c>
      <c r="E69" s="664">
        <f>E66/'Income Statement'!Q430</f>
        <v>1.0319293478260869</v>
      </c>
      <c r="F69" s="664">
        <f>F66/'Income Statement'!V430</f>
        <v>1.2292561609767125</v>
      </c>
      <c r="G69" s="664">
        <f>G66/'Income Statement'!AA430</f>
        <v>1.384603745646416</v>
      </c>
      <c r="H69" s="664">
        <f>H66/'Income Statement'!AF430</f>
        <v>1.4849624060150375</v>
      </c>
      <c r="I69" s="664">
        <f>I66/'Income Statement'!AK430</f>
        <v>1.8158652595322669</v>
      </c>
      <c r="J69" s="664">
        <f>J66/'Income Statement'!AP430</f>
        <v>1.9390958260132451</v>
      </c>
      <c r="K69" s="664">
        <f>K66/'Income Statement'!AU430</f>
        <v>2.0395797703097784</v>
      </c>
      <c r="L69" s="664">
        <f>L66/'Income Statement'!AZ430</f>
        <v>1.6791866807949041</v>
      </c>
      <c r="M69" s="664">
        <f>M66/'Income Statement'!BE430</f>
        <v>1.8422485037730938</v>
      </c>
      <c r="N69" s="664">
        <f>N66/'Income Statement'!BJ430</f>
        <v>2.1306673458991341</v>
      </c>
      <c r="O69" s="664">
        <f>O66/'Income Statement'!BO430</f>
        <v>2.3670686942842161</v>
      </c>
      <c r="P69" s="664">
        <f>P66/'Income Statement'!BT430</f>
        <v>2.2959236326109389</v>
      </c>
      <c r="Q69" s="664">
        <f>Q66/'Income Statement'!BY430</f>
        <v>2.3509798931025707</v>
      </c>
      <c r="R69" s="664">
        <f>R66/'Income Statement'!CD430</f>
        <v>2.3239898989898991</v>
      </c>
      <c r="S69" s="664">
        <f>S66/'Income Statement'!CE430</f>
        <v>2.0629997130629114</v>
      </c>
      <c r="T69" s="664">
        <f>T66/'Income Statement'!CF430</f>
        <v>1.8974303940778483</v>
      </c>
      <c r="U69" s="664">
        <f>U66/'Income Statement'!CG430</f>
        <v>1.7544830003449263</v>
      </c>
      <c r="V69" s="664">
        <f>V66/'Income Statement'!CH430</f>
        <v>1.6297785654664401</v>
      </c>
      <c r="W69" s="664">
        <f>W66/'Income Statement'!CI430</f>
        <v>1.5203104497914814</v>
      </c>
      <c r="X69" s="664">
        <f>X66/'Income Statement'!CJ430</f>
        <v>1.4268179414940099</v>
      </c>
      <c r="Y69" s="664">
        <f>Y66/'Income Statement'!CK430</f>
        <v>1.3457076166453268</v>
      </c>
      <c r="Z69" s="664">
        <f>Z66/'Income Statement'!CL430</f>
        <v>1.2743650808252351</v>
      </c>
      <c r="AA69" s="664">
        <f>AA66/'Income Statement'!CM430</f>
        <v>1.2355540519666008</v>
      </c>
      <c r="AB69" s="665"/>
      <c r="AC69" s="631"/>
      <c r="AD69" s="629"/>
      <c r="AF69" s="629"/>
      <c r="AG69" s="629"/>
      <c r="AH69" s="629"/>
      <c r="AI69" s="629"/>
      <c r="AJ69" s="666"/>
      <c r="AK69" s="666"/>
      <c r="AL69" s="666"/>
      <c r="AM69" s="666"/>
      <c r="BZ69" s="634"/>
      <c r="CA69" s="635"/>
    </row>
    <row r="70" spans="1:79" s="633" customFormat="1" ht="13.2">
      <c r="A70" s="276"/>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666"/>
      <c r="AC70" s="631"/>
      <c r="AD70" s="629"/>
      <c r="AE70" s="629"/>
      <c r="AF70" s="629"/>
      <c r="AG70" s="629"/>
      <c r="AH70" s="629"/>
      <c r="AI70" s="629"/>
      <c r="AJ70" s="666"/>
      <c r="AK70" s="666"/>
      <c r="AL70" s="666"/>
      <c r="AM70" s="666"/>
      <c r="BZ70" s="634"/>
      <c r="CA70" s="635"/>
    </row>
    <row r="71" spans="1:79" s="633" customFormat="1" ht="13.2">
      <c r="A71" s="237" t="s">
        <v>286</v>
      </c>
      <c r="B71" s="237">
        <f>B54</f>
        <v>2007</v>
      </c>
      <c r="C71" s="237">
        <f t="shared" ref="C71:Q71" si="151">B71+1</f>
        <v>2008</v>
      </c>
      <c r="D71" s="237">
        <f t="shared" si="151"/>
        <v>2009</v>
      </c>
      <c r="E71" s="237">
        <f t="shared" si="151"/>
        <v>2010</v>
      </c>
      <c r="F71" s="237">
        <f t="shared" si="151"/>
        <v>2011</v>
      </c>
      <c r="G71" s="237">
        <f t="shared" si="151"/>
        <v>2012</v>
      </c>
      <c r="H71" s="237">
        <f t="shared" si="151"/>
        <v>2013</v>
      </c>
      <c r="I71" s="237">
        <f t="shared" si="151"/>
        <v>2014</v>
      </c>
      <c r="J71" s="237">
        <f t="shared" si="151"/>
        <v>2015</v>
      </c>
      <c r="K71" s="237">
        <f t="shared" si="151"/>
        <v>2016</v>
      </c>
      <c r="L71" s="237">
        <f t="shared" si="151"/>
        <v>2017</v>
      </c>
      <c r="M71" s="237">
        <f t="shared" si="151"/>
        <v>2018</v>
      </c>
      <c r="N71" s="237">
        <f t="shared" si="151"/>
        <v>2019</v>
      </c>
      <c r="O71" s="237">
        <f t="shared" si="151"/>
        <v>2020</v>
      </c>
      <c r="P71" s="237">
        <f t="shared" si="151"/>
        <v>2021</v>
      </c>
      <c r="Q71" s="237">
        <f t="shared" si="151"/>
        <v>2022</v>
      </c>
      <c r="R71" s="237">
        <f t="shared" ref="R71:W71" si="152">Q71+1</f>
        <v>2023</v>
      </c>
      <c r="S71" s="237">
        <f t="shared" si="152"/>
        <v>2024</v>
      </c>
      <c r="T71" s="237">
        <f t="shared" si="152"/>
        <v>2025</v>
      </c>
      <c r="U71" s="237">
        <f t="shared" si="152"/>
        <v>2026</v>
      </c>
      <c r="V71" s="237">
        <f t="shared" si="152"/>
        <v>2027</v>
      </c>
      <c r="W71" s="237">
        <f t="shared" si="152"/>
        <v>2028</v>
      </c>
      <c r="X71" s="237">
        <f t="shared" ref="X71" si="153">W71+1</f>
        <v>2029</v>
      </c>
      <c r="Y71" s="237">
        <f t="shared" ref="Y71" si="154">X71+1</f>
        <v>2030</v>
      </c>
      <c r="Z71" s="237">
        <f t="shared" ref="Z71" si="155">Y71+1</f>
        <v>2031</v>
      </c>
      <c r="AA71" s="237">
        <f t="shared" ref="AA71" si="156">Z71+1</f>
        <v>2032</v>
      </c>
      <c r="AB71" s="667"/>
      <c r="AC71" s="631"/>
      <c r="AD71" s="631"/>
      <c r="AE71" s="631"/>
      <c r="AF71" s="631"/>
      <c r="AG71" s="631"/>
      <c r="AH71" s="631"/>
      <c r="AI71" s="631"/>
      <c r="AK71" s="668"/>
      <c r="AL71" s="378"/>
      <c r="AM71" s="378"/>
      <c r="AN71" s="378"/>
      <c r="AO71" s="378"/>
      <c r="AP71" s="378"/>
      <c r="AQ71" s="378"/>
      <c r="AR71" s="378"/>
      <c r="AS71" s="378"/>
      <c r="AT71" s="378"/>
      <c r="BZ71" s="634"/>
      <c r="CA71" s="635"/>
    </row>
    <row r="72" spans="1:79" s="633" customFormat="1" ht="13.2">
      <c r="A72" s="241" t="s">
        <v>102</v>
      </c>
      <c r="B72" s="669"/>
      <c r="C72" s="669"/>
      <c r="D72" s="669"/>
      <c r="E72" s="669"/>
      <c r="F72" s="669"/>
      <c r="G72" s="669"/>
      <c r="H72" s="669"/>
      <c r="I72" s="669"/>
      <c r="J72" s="669"/>
      <c r="K72" s="670"/>
      <c r="L72" s="670"/>
      <c r="M72" s="670"/>
      <c r="N72" s="670"/>
      <c r="O72" s="670"/>
      <c r="P72" s="670"/>
      <c r="Q72" s="670"/>
      <c r="R72" s="670"/>
      <c r="S72" s="670"/>
      <c r="T72" s="670"/>
      <c r="U72" s="670"/>
      <c r="V72" s="670"/>
      <c r="W72" s="670"/>
      <c r="X72" s="670"/>
      <c r="Y72" s="670"/>
      <c r="Z72" s="670"/>
      <c r="AA72" s="670"/>
      <c r="AB72" s="671"/>
      <c r="AC72" s="631"/>
      <c r="AD72" s="631"/>
      <c r="AE72" s="631"/>
      <c r="AF72" s="631"/>
      <c r="AG72" s="631"/>
      <c r="AH72" s="631"/>
      <c r="AI72" s="631"/>
      <c r="AK72" s="668"/>
      <c r="AL72" s="378"/>
      <c r="AM72" s="378"/>
      <c r="AN72" s="378"/>
      <c r="AO72" s="378"/>
      <c r="AP72" s="378"/>
      <c r="AQ72" s="378"/>
      <c r="AR72" s="378"/>
      <c r="AS72" s="378"/>
      <c r="AT72" s="378"/>
      <c r="BZ72" s="634"/>
      <c r="CA72" s="635"/>
    </row>
    <row r="73" spans="1:79" s="633" customFormat="1" ht="13.2">
      <c r="A73" s="286" t="s">
        <v>103</v>
      </c>
      <c r="B73" s="672">
        <v>1123.8</v>
      </c>
      <c r="C73" s="672">
        <v>802.8</v>
      </c>
      <c r="D73" s="672">
        <v>590</v>
      </c>
      <c r="E73" s="672">
        <v>1444</v>
      </c>
      <c r="F73" s="672">
        <v>989</v>
      </c>
      <c r="G73" s="672">
        <v>990</v>
      </c>
      <c r="H73" s="672">
        <v>815</v>
      </c>
      <c r="I73" s="672">
        <v>1140</v>
      </c>
      <c r="J73" s="672">
        <v>1304</v>
      </c>
      <c r="K73" s="673">
        <f>'Income Statement'!AU473</f>
        <v>1189</v>
      </c>
      <c r="L73" s="673">
        <f>'Income Statement'!AZ473</f>
        <v>1028</v>
      </c>
      <c r="M73" s="673">
        <f>'Income Statement'!BE473</f>
        <v>1038</v>
      </c>
      <c r="N73" s="673">
        <f>'Income Statement'!BJ473</f>
        <v>1213</v>
      </c>
      <c r="O73" s="673">
        <f>'Income Statement'!BO473</f>
        <v>1245</v>
      </c>
      <c r="P73" s="673">
        <f>'Income Statement'!BT473</f>
        <v>1187</v>
      </c>
      <c r="Q73" s="673">
        <f>'Income Statement'!BY473</f>
        <v>1114</v>
      </c>
      <c r="R73" s="673">
        <f>'Income Statement'!CD419*'Balance Sheet and Cflow'!R74</f>
        <v>1119.8</v>
      </c>
      <c r="S73" s="494">
        <f>'Income Statement'!CE419*'Balance Sheet and Cflow'!S74</f>
        <v>1169.1711871344103</v>
      </c>
      <c r="T73" s="494">
        <f>'Income Statement'!CF419*'Balance Sheet and Cflow'!T74</f>
        <v>1199.4569589834009</v>
      </c>
      <c r="U73" s="494">
        <f>'Income Statement'!CG419*'Balance Sheet and Cflow'!U74</f>
        <v>1233.0654208185015</v>
      </c>
      <c r="V73" s="494">
        <f>'Income Statement'!CH419*'Balance Sheet and Cflow'!V74</f>
        <v>1270.3482867987418</v>
      </c>
      <c r="W73" s="494">
        <f>'Income Statement'!CI419*'Balance Sheet and Cflow'!W74</f>
        <v>1311.0181441182078</v>
      </c>
      <c r="X73" s="494">
        <f>'Income Statement'!CJ419*'Balance Sheet and Cflow'!X74</f>
        <v>1351.6338799978996</v>
      </c>
      <c r="Y73" s="494">
        <f>'Income Statement'!CK419*'Balance Sheet and Cflow'!Y74</f>
        <v>1392.2826707675792</v>
      </c>
      <c r="Z73" s="494">
        <f>'Income Statement'!CL419*'Balance Sheet and Cflow'!Z74</f>
        <v>1433.0492427206093</v>
      </c>
      <c r="AA73" s="494">
        <f>'Income Statement'!CM419*'Balance Sheet and Cflow'!AA74</f>
        <v>1608.0176021326579</v>
      </c>
      <c r="AB73" s="674"/>
      <c r="AC73" s="631"/>
      <c r="AD73" s="631"/>
      <c r="AE73" s="631"/>
      <c r="AF73" s="631"/>
      <c r="AG73" s="631"/>
      <c r="AH73" s="631"/>
      <c r="AI73" s="631"/>
      <c r="AK73" s="675"/>
      <c r="AL73" s="676"/>
      <c r="AM73" s="676"/>
      <c r="AN73" s="677"/>
      <c r="AO73" s="677"/>
      <c r="AP73" s="677"/>
      <c r="AQ73" s="677"/>
      <c r="AR73" s="677"/>
      <c r="AS73" s="677"/>
      <c r="AT73" s="677"/>
      <c r="BZ73" s="634"/>
      <c r="CA73" s="635"/>
    </row>
    <row r="74" spans="1:79" s="633" customFormat="1" ht="13.2">
      <c r="A74" s="276" t="s">
        <v>561</v>
      </c>
      <c r="B74" s="196">
        <f>B73/'Income Statement'!B419</f>
        <v>0.14613784135240571</v>
      </c>
      <c r="C74" s="196">
        <f>C73/'Income Statement'!G419</f>
        <v>9.5007041503449741E-2</v>
      </c>
      <c r="D74" s="196">
        <f>D73/'Income Statement'!L419</f>
        <v>6.8509057129586617E-2</v>
      </c>
      <c r="E74" s="196">
        <f>E73/'Income Statement'!Q419</f>
        <v>0.16281429698951405</v>
      </c>
      <c r="F74" s="196">
        <f>F73/'Income Statement'!V419</f>
        <v>0.11260389388591598</v>
      </c>
      <c r="G74" s="196">
        <f>G73/'Income Statement'!AA419</f>
        <v>0.11148648648648649</v>
      </c>
      <c r="H74" s="196">
        <f>H73/'Income Statement'!AF419</f>
        <v>9.0270981302055353E-2</v>
      </c>
      <c r="I74" s="196">
        <f>I73/'Income Statement'!AK419</f>
        <v>0.13564969062351262</v>
      </c>
      <c r="J74" s="196">
        <f>J73/'Income Statement'!AP419</f>
        <v>0.15161027787466574</v>
      </c>
      <c r="K74" s="243">
        <f>K73/'Income Statement'!AU419</f>
        <v>0.13806316767301441</v>
      </c>
      <c r="L74" s="243">
        <f>L73/'Income Statement'!AZ419</f>
        <v>0.10914109778108079</v>
      </c>
      <c r="M74" s="243">
        <f>M73/'Income Statement'!BE419</f>
        <v>0.1129242819843342</v>
      </c>
      <c r="N74" s="243">
        <f>N73/'Income Statement'!BJ419</f>
        <v>0.13024804037367121</v>
      </c>
      <c r="O74" s="243">
        <f>O73/'Income Statement'!BO419</f>
        <v>0.13885790765112649</v>
      </c>
      <c r="P74" s="222">
        <f>P73/'Income Statement'!BT419</f>
        <v>0.12844930202359053</v>
      </c>
      <c r="Q74" s="222">
        <f>Q73/'Income Statement'!BY419</f>
        <v>0.11380120543467157</v>
      </c>
      <c r="R74" s="222">
        <v>0.11</v>
      </c>
      <c r="S74" s="678">
        <v>0.11</v>
      </c>
      <c r="T74" s="678">
        <v>0.11</v>
      </c>
      <c r="U74" s="678">
        <v>0.11</v>
      </c>
      <c r="V74" s="678">
        <v>0.11</v>
      </c>
      <c r="W74" s="678">
        <v>0.11</v>
      </c>
      <c r="X74" s="678">
        <v>0.11</v>
      </c>
      <c r="Y74" s="678">
        <v>0.11</v>
      </c>
      <c r="Z74" s="678">
        <v>0.11</v>
      </c>
      <c r="AA74" s="678">
        <v>0.12</v>
      </c>
      <c r="AB74" s="679"/>
      <c r="AC74" s="631"/>
      <c r="AD74" s="631"/>
      <c r="AE74" s="631"/>
      <c r="AF74" s="631"/>
      <c r="AG74" s="631"/>
      <c r="AH74" s="631"/>
      <c r="AI74" s="631"/>
      <c r="AK74" s="680"/>
      <c r="AL74" s="378"/>
      <c r="AM74" s="378"/>
      <c r="AN74" s="378"/>
      <c r="AO74" s="378"/>
      <c r="AP74" s="378"/>
      <c r="AQ74" s="378"/>
      <c r="AR74" s="378"/>
      <c r="AS74" s="378"/>
      <c r="AT74" s="378"/>
      <c r="BZ74" s="634"/>
      <c r="CA74" s="635"/>
    </row>
    <row r="75" spans="1:79" s="647" customFormat="1" ht="13.2">
      <c r="A75" s="286" t="s">
        <v>104</v>
      </c>
      <c r="B75" s="202">
        <f>B73+B72</f>
        <v>1123.8</v>
      </c>
      <c r="C75" s="202">
        <f>C73+C72</f>
        <v>802.8</v>
      </c>
      <c r="D75" s="202">
        <f t="shared" ref="D75:J75" si="157">D73+D72</f>
        <v>590</v>
      </c>
      <c r="E75" s="202">
        <f t="shared" si="157"/>
        <v>1444</v>
      </c>
      <c r="F75" s="202">
        <f t="shared" si="157"/>
        <v>989</v>
      </c>
      <c r="G75" s="202">
        <f t="shared" si="157"/>
        <v>990</v>
      </c>
      <c r="H75" s="202">
        <f t="shared" si="157"/>
        <v>815</v>
      </c>
      <c r="I75" s="202">
        <f t="shared" si="157"/>
        <v>1140</v>
      </c>
      <c r="J75" s="202">
        <f t="shared" si="157"/>
        <v>1304</v>
      </c>
      <c r="K75" s="202">
        <f t="shared" ref="K75:P75" si="158">K73+K72</f>
        <v>1189</v>
      </c>
      <c r="L75" s="202">
        <f>L73+L72</f>
        <v>1028</v>
      </c>
      <c r="M75" s="202">
        <f t="shared" si="158"/>
        <v>1038</v>
      </c>
      <c r="N75" s="202">
        <f>N73+N72</f>
        <v>1213</v>
      </c>
      <c r="O75" s="202">
        <f t="shared" si="158"/>
        <v>1245</v>
      </c>
      <c r="P75" s="202">
        <f t="shared" si="158"/>
        <v>1187</v>
      </c>
      <c r="Q75" s="202">
        <f t="shared" ref="Q75" si="159">Q73+Q72</f>
        <v>1114</v>
      </c>
      <c r="R75" s="202">
        <f t="shared" ref="R75:W75" si="160">R73+R72</f>
        <v>1119.8</v>
      </c>
      <c r="S75" s="202">
        <f t="shared" si="160"/>
        <v>1169.1711871344103</v>
      </c>
      <c r="T75" s="202">
        <f t="shared" si="160"/>
        <v>1199.4569589834009</v>
      </c>
      <c r="U75" s="202">
        <f t="shared" si="160"/>
        <v>1233.0654208185015</v>
      </c>
      <c r="V75" s="202">
        <f t="shared" si="160"/>
        <v>1270.3482867987418</v>
      </c>
      <c r="W75" s="202">
        <f t="shared" si="160"/>
        <v>1311.0181441182078</v>
      </c>
      <c r="X75" s="202">
        <f t="shared" ref="X75:AA75" si="161">X73+X72</f>
        <v>1351.6338799978996</v>
      </c>
      <c r="Y75" s="202">
        <f t="shared" si="161"/>
        <v>1392.2826707675792</v>
      </c>
      <c r="Z75" s="202">
        <f t="shared" si="161"/>
        <v>1433.0492427206093</v>
      </c>
      <c r="AA75" s="202">
        <f t="shared" si="161"/>
        <v>1608.0176021326579</v>
      </c>
      <c r="AB75" s="632"/>
      <c r="AC75" s="632"/>
      <c r="AD75" s="632"/>
      <c r="AE75" s="632"/>
      <c r="AF75" s="632"/>
      <c r="AG75" s="632"/>
      <c r="AH75" s="632"/>
      <c r="AI75" s="632"/>
      <c r="AK75" s="680"/>
      <c r="AL75" s="378"/>
      <c r="AM75" s="378"/>
      <c r="AN75" s="378"/>
      <c r="AO75" s="378"/>
      <c r="AP75" s="378"/>
      <c r="AQ75" s="378"/>
      <c r="AR75" s="378"/>
      <c r="AS75" s="378"/>
      <c r="AT75" s="378"/>
      <c r="BI75" s="633"/>
      <c r="BJ75" s="633"/>
      <c r="BK75" s="633"/>
      <c r="BL75" s="633"/>
      <c r="BM75" s="633"/>
      <c r="BN75" s="633"/>
      <c r="BO75" s="633"/>
      <c r="BP75" s="633"/>
      <c r="BQ75" s="633"/>
      <c r="BR75" s="633"/>
      <c r="BS75" s="633"/>
      <c r="BT75" s="633"/>
      <c r="BU75" s="633"/>
      <c r="BV75" s="633"/>
      <c r="BW75" s="633"/>
      <c r="BX75" s="633"/>
      <c r="BZ75" s="648"/>
      <c r="CA75" s="649"/>
    </row>
    <row r="76" spans="1:79" s="633" customFormat="1" ht="13.2">
      <c r="A76" s="276" t="s">
        <v>105</v>
      </c>
      <c r="B76" s="196"/>
      <c r="C76" s="196"/>
      <c r="D76" s="196">
        <f>D75/'Income Statement'!L419</f>
        <v>6.8509057129586617E-2</v>
      </c>
      <c r="E76" s="196">
        <f>E75/'Income Statement'!Q419</f>
        <v>0.16281429698951405</v>
      </c>
      <c r="F76" s="196">
        <f>F75/'Income Statement'!V419</f>
        <v>0.11260389388591598</v>
      </c>
      <c r="G76" s="196">
        <f>G75/'Income Statement'!AA419</f>
        <v>0.11148648648648649</v>
      </c>
      <c r="H76" s="196">
        <f>H75/'Income Statement'!AF419</f>
        <v>9.0270981302055353E-2</v>
      </c>
      <c r="I76" s="196">
        <f>I75/'Income Statement'!AK419</f>
        <v>0.13564969062351262</v>
      </c>
      <c r="J76" s="196">
        <f>J75/'Income Statement'!AP419</f>
        <v>0.15161027787466574</v>
      </c>
      <c r="K76" s="196">
        <f>K75/'Income Statement'!AU419</f>
        <v>0.13806316767301441</v>
      </c>
      <c r="L76" s="196">
        <f>L75/'Income Statement'!AZ419</f>
        <v>0.10914109778108079</v>
      </c>
      <c r="M76" s="196">
        <f>M75/'Income Statement'!BE419</f>
        <v>0.1129242819843342</v>
      </c>
      <c r="N76" s="196">
        <f>N75/'Income Statement'!BF419</f>
        <v>0.5434587813620072</v>
      </c>
      <c r="O76" s="196">
        <f>O75/'Income Statement'!BO419</f>
        <v>0.13885790765112649</v>
      </c>
      <c r="P76" s="197">
        <f>P75/'Income Statement'!BT419</f>
        <v>0.12844930202359053</v>
      </c>
      <c r="Q76" s="197">
        <f>Q75/'Income Statement'!BY419</f>
        <v>0.11380120543467157</v>
      </c>
      <c r="R76" s="197">
        <f>R75/'Income Statement'!CD419</f>
        <v>0.11</v>
      </c>
      <c r="S76" s="196">
        <f>S75/'Income Statement'!CE419</f>
        <v>0.11</v>
      </c>
      <c r="T76" s="196">
        <f>T75/'Income Statement'!CF419</f>
        <v>0.11000000000000001</v>
      </c>
      <c r="U76" s="196">
        <f>U75/'Income Statement'!CG419</f>
        <v>0.10999999999999999</v>
      </c>
      <c r="V76" s="196">
        <f>V75/'Income Statement'!CH419</f>
        <v>0.11</v>
      </c>
      <c r="W76" s="196">
        <f>W75/'Income Statement'!CI419</f>
        <v>0.11000000000000001</v>
      </c>
      <c r="X76" s="196">
        <f>X75/'Income Statement'!CJ419</f>
        <v>0.11</v>
      </c>
      <c r="Y76" s="196">
        <f>Y75/'Income Statement'!CK419</f>
        <v>0.11</v>
      </c>
      <c r="Z76" s="196">
        <f>Z75/'Income Statement'!CL419</f>
        <v>0.11000000000000001</v>
      </c>
      <c r="AA76" s="196">
        <f>AA75/'Income Statement'!CM419</f>
        <v>0.12</v>
      </c>
      <c r="AB76" s="222"/>
      <c r="AC76" s="631"/>
      <c r="AD76" s="631"/>
      <c r="AE76" s="631"/>
      <c r="AF76" s="631"/>
      <c r="AG76" s="631"/>
      <c r="AH76" s="631"/>
      <c r="AI76" s="631"/>
      <c r="AK76" s="680"/>
      <c r="AL76" s="378"/>
      <c r="AM76" s="378"/>
      <c r="AN76" s="378"/>
      <c r="AO76" s="378"/>
      <c r="AP76" s="378"/>
      <c r="AQ76" s="378"/>
      <c r="AR76" s="378"/>
      <c r="AS76" s="378"/>
      <c r="AT76" s="378"/>
      <c r="BZ76" s="634"/>
      <c r="CA76" s="635"/>
    </row>
    <row r="77" spans="1:79" s="633" customFormat="1" ht="13.2">
      <c r="A77" s="452"/>
      <c r="B77" s="681"/>
      <c r="C77" s="681"/>
      <c r="D77" s="681"/>
      <c r="E77" s="681"/>
      <c r="F77" s="681"/>
      <c r="G77" s="681"/>
      <c r="H77" s="681"/>
      <c r="I77" s="681"/>
      <c r="J77" s="681"/>
      <c r="K77" s="681"/>
      <c r="L77" s="681"/>
      <c r="M77" s="681"/>
      <c r="N77" s="681"/>
      <c r="O77" s="681"/>
      <c r="P77" s="682"/>
      <c r="Q77" s="682"/>
      <c r="R77" s="682"/>
      <c r="S77" s="681"/>
      <c r="T77" s="681"/>
      <c r="U77" s="681"/>
      <c r="V77" s="681"/>
      <c r="W77" s="681"/>
      <c r="X77" s="681"/>
      <c r="Y77" s="681"/>
      <c r="Z77" s="681"/>
      <c r="AA77" s="681"/>
      <c r="AB77" s="683"/>
      <c r="AC77" s="631"/>
      <c r="AD77" s="631"/>
      <c r="AE77" s="631"/>
      <c r="AF77" s="631"/>
      <c r="AG77" s="631"/>
      <c r="AH77" s="631"/>
      <c r="AI77" s="631"/>
      <c r="BZ77" s="634"/>
      <c r="CA77" s="635"/>
    </row>
    <row r="78" spans="1:79" s="633" customFormat="1" ht="13.2">
      <c r="A78" s="452" t="s">
        <v>106</v>
      </c>
      <c r="B78" s="465">
        <f>'Income Statement'!B449</f>
        <v>-8.6000000000000014</v>
      </c>
      <c r="C78" s="465">
        <f>'Income Statement'!G449</f>
        <v>17.899999999999999</v>
      </c>
      <c r="D78" s="465">
        <f>'Income Statement'!L449</f>
        <v>-48</v>
      </c>
      <c r="E78" s="465">
        <f>'Income Statement'!Q449</f>
        <v>-211</v>
      </c>
      <c r="F78" s="465">
        <f>'Income Statement'!V449</f>
        <v>-228</v>
      </c>
      <c r="G78" s="465">
        <f>'Income Statement'!AA449</f>
        <v>-288</v>
      </c>
      <c r="H78" s="465">
        <f>'Income Statement'!AF449</f>
        <v>-329</v>
      </c>
      <c r="I78" s="465">
        <f>'Income Statement'!AK449</f>
        <v>-389</v>
      </c>
      <c r="J78" s="465">
        <f>'Income Statement'!AP449</f>
        <v>-378.82078737102057</v>
      </c>
      <c r="K78" s="465">
        <f>'Income Statement'!AU449</f>
        <v>-669</v>
      </c>
      <c r="L78" s="465">
        <f>'Income Statement'!AZ449</f>
        <v>-384</v>
      </c>
      <c r="M78" s="465">
        <f>'Income Statement'!BE449</f>
        <v>-358</v>
      </c>
      <c r="N78" s="465">
        <f>'Income Statement'!BJ449</f>
        <v>-452</v>
      </c>
      <c r="O78" s="465">
        <f>'Income Statement'!BO449</f>
        <v>-405</v>
      </c>
      <c r="P78" s="465">
        <f>'Income Statement'!BT449</f>
        <v>-412</v>
      </c>
      <c r="Q78" s="465">
        <f>'Income Statement'!BY449</f>
        <v>-407</v>
      </c>
      <c r="R78" s="465">
        <f>'Income Statement'!CD449</f>
        <v>-446</v>
      </c>
      <c r="S78" s="465">
        <f>'Income Statement'!CE449</f>
        <v>-447.33082706766919</v>
      </c>
      <c r="T78" s="465">
        <f>'Income Statement'!CF449</f>
        <v>-418.46273804246124</v>
      </c>
      <c r="U78" s="465">
        <f>'Income Statement'!CG449</f>
        <v>-396.60993733874074</v>
      </c>
      <c r="V78" s="465">
        <f>'Income Statement'!CH449</f>
        <v>-378.81507767052676</v>
      </c>
      <c r="W78" s="465">
        <f>'Income Statement'!CI449</f>
        <v>-364.19058640551424</v>
      </c>
      <c r="X78" s="465">
        <f>'Income Statement'!CJ449</f>
        <v>-352.11400925051061</v>
      </c>
      <c r="Y78" s="465">
        <f>'Income Statement'!CK449</f>
        <v>-342.14657898294593</v>
      </c>
      <c r="Z78" s="465">
        <f>'Income Statement'!CL449</f>
        <v>-333.79858411389534</v>
      </c>
      <c r="AA78" s="465">
        <f>'Income Statement'!CM449</f>
        <v>-326.71178767611491</v>
      </c>
      <c r="AB78" s="629"/>
      <c r="AC78" s="631"/>
      <c r="AD78" s="631"/>
      <c r="AE78" s="631"/>
      <c r="AF78" s="631"/>
      <c r="AG78" s="631"/>
      <c r="AH78" s="631"/>
      <c r="AI78" s="631"/>
      <c r="BZ78" s="634"/>
      <c r="CA78" s="635"/>
    </row>
    <row r="79" spans="1:79" s="633" customFormat="1" ht="13.2">
      <c r="A79" s="452" t="s">
        <v>107</v>
      </c>
      <c r="B79" s="465">
        <f>'Income Statement'!B452</f>
        <v>2687.4</v>
      </c>
      <c r="C79" s="465">
        <f>'Income Statement'!G452</f>
        <v>3227.900000000001</v>
      </c>
      <c r="D79" s="465">
        <f>'Income Statement'!L452</f>
        <v>3007</v>
      </c>
      <c r="E79" s="465">
        <f>'Income Statement'!Q452</f>
        <v>3132</v>
      </c>
      <c r="F79" s="465">
        <f>'Income Statement'!V452</f>
        <v>3004</v>
      </c>
      <c r="G79" s="465">
        <f>'Income Statement'!AA452</f>
        <v>2709</v>
      </c>
      <c r="H79" s="465">
        <f>'Income Statement'!AF452</f>
        <v>2827</v>
      </c>
      <c r="I79" s="465">
        <f>'Income Statement'!AK452</f>
        <v>2296.3305194230634</v>
      </c>
      <c r="J79" s="465">
        <f>'Income Statement'!AP452</f>
        <v>2777.1792126289793</v>
      </c>
      <c r="K79" s="465">
        <f>'Income Statement'!AU452</f>
        <v>2440</v>
      </c>
      <c r="L79" s="465">
        <f>'Income Statement'!AZ452</f>
        <v>2737</v>
      </c>
      <c r="M79" s="465">
        <f>'Income Statement'!BE452</f>
        <v>2350</v>
      </c>
      <c r="N79" s="465">
        <f>'Income Statement'!BJ452</f>
        <v>2036</v>
      </c>
      <c r="O79" s="465">
        <f>'Income Statement'!BO452</f>
        <v>1879</v>
      </c>
      <c r="P79" s="465">
        <f>'Income Statement'!BT452</f>
        <v>1670</v>
      </c>
      <c r="Q79" s="465">
        <f>'Income Statement'!BY452</f>
        <v>1802</v>
      </c>
      <c r="R79" s="465">
        <f>'Income Statement'!CD452</f>
        <v>1444</v>
      </c>
      <c r="S79" s="465">
        <f>'Income Statement'!CE452</f>
        <v>1900.0032600995157</v>
      </c>
      <c r="T79" s="465">
        <f>'Income Statement'!CF452</f>
        <v>2141.9606309780634</v>
      </c>
      <c r="U79" s="465">
        <f>'Income Statement'!CG452</f>
        <v>2361.8419186638143</v>
      </c>
      <c r="V79" s="465">
        <f>'Income Statement'!CH452</f>
        <v>2568.6389149707502</v>
      </c>
      <c r="W79" s="465">
        <f>'Income Statement'!CI452</f>
        <v>2766.9902430471743</v>
      </c>
      <c r="X79" s="465">
        <f>'Income Statement'!CJ452</f>
        <v>2949.9275424852121</v>
      </c>
      <c r="Y79" s="465">
        <f>'Income Statement'!CK452</f>
        <v>3121.8667495220275</v>
      </c>
      <c r="Z79" s="465">
        <f>'Income Statement'!CL452</f>
        <v>3286.2598389136015</v>
      </c>
      <c r="AA79" s="465">
        <f>'Income Statement'!CM452</f>
        <v>3445.6871741039045</v>
      </c>
      <c r="AB79" s="629"/>
      <c r="AC79" s="631"/>
      <c r="AD79" s="631"/>
      <c r="AE79" s="631"/>
      <c r="AF79" s="631"/>
      <c r="AG79" s="631"/>
      <c r="AH79" s="631"/>
      <c r="AI79" s="631"/>
      <c r="BZ79" s="634"/>
      <c r="CA79" s="635"/>
    </row>
    <row r="80" spans="1:79" s="633" customFormat="1" ht="13.2">
      <c r="A80" s="452" t="s">
        <v>108</v>
      </c>
      <c r="B80" s="465">
        <f>'Income Statement'!B454</f>
        <v>-707.5</v>
      </c>
      <c r="C80" s="465">
        <f>'Income Statement'!G454</f>
        <v>-827.3</v>
      </c>
      <c r="D80" s="465">
        <f>'Income Statement'!L454</f>
        <v>-775</v>
      </c>
      <c r="E80" s="465">
        <f>'Income Statement'!Q454</f>
        <v>-837</v>
      </c>
      <c r="F80" s="465">
        <f>'Income Statement'!V454</f>
        <v>-473</v>
      </c>
      <c r="G80" s="465">
        <f>'Income Statement'!AA454</f>
        <v>-716</v>
      </c>
      <c r="H80" s="465">
        <f>'Income Statement'!AF454</f>
        <v>-724</v>
      </c>
      <c r="I80" s="465">
        <f>'Income Statement'!AK454</f>
        <v>-688.76864535768641</v>
      </c>
      <c r="J80" s="465">
        <f>'Income Statement'!AP454</f>
        <v>-713</v>
      </c>
      <c r="K80" s="465">
        <f>'Income Statement'!AU454</f>
        <v>-709</v>
      </c>
      <c r="L80" s="465">
        <f>'Income Statement'!AZ454</f>
        <v>-676</v>
      </c>
      <c r="M80" s="465">
        <f>'Income Statement'!BE454</f>
        <v>-585</v>
      </c>
      <c r="N80" s="465">
        <f>'Income Statement'!BJ454</f>
        <v>-509</v>
      </c>
      <c r="O80" s="465">
        <f>'Income Statement'!BO454</f>
        <v>-469</v>
      </c>
      <c r="P80" s="465">
        <f>'Income Statement'!BT454</f>
        <v>-454</v>
      </c>
      <c r="Q80" s="465">
        <f>'Income Statement'!BY454</f>
        <v>-651</v>
      </c>
      <c r="R80" s="465">
        <f>'Income Statement'!CD454</f>
        <v>-452</v>
      </c>
      <c r="S80" s="465">
        <f>'Income Statement'!CE454</f>
        <v>-475.00081502487893</v>
      </c>
      <c r="T80" s="465">
        <f>'Income Statement'!CF454</f>
        <v>-535.49015774451584</v>
      </c>
      <c r="U80" s="465">
        <f>'Income Statement'!CG454</f>
        <v>-590.46047966595359</v>
      </c>
      <c r="V80" s="465">
        <f>'Income Statement'!CH454</f>
        <v>-642.15972874268755</v>
      </c>
      <c r="W80" s="465">
        <f>'Income Statement'!CI454</f>
        <v>-691.74756076179358</v>
      </c>
      <c r="X80" s="465">
        <f>'Income Statement'!CJ454</f>
        <v>-737.48188562130304</v>
      </c>
      <c r="Y80" s="465">
        <f>'Income Statement'!CK454</f>
        <v>-780.46668738050687</v>
      </c>
      <c r="Z80" s="465">
        <f>'Income Statement'!CL454</f>
        <v>-821.56495972840037</v>
      </c>
      <c r="AA80" s="465">
        <f>'Income Statement'!CM454</f>
        <v>-861.42179352597611</v>
      </c>
      <c r="AB80" s="629"/>
      <c r="AC80" s="631"/>
      <c r="AD80" s="631"/>
      <c r="AE80" s="631"/>
      <c r="AF80" s="631"/>
      <c r="AG80" s="631"/>
      <c r="AH80" s="631"/>
      <c r="AI80" s="631"/>
      <c r="BZ80" s="634"/>
      <c r="CA80" s="635"/>
    </row>
    <row r="81" spans="1:79" s="633" customFormat="1" ht="13.2">
      <c r="A81" s="452" t="s">
        <v>109</v>
      </c>
      <c r="B81" s="465">
        <f>'Income Statement'!B452-'Income Statement'!B454</f>
        <v>3394.9</v>
      </c>
      <c r="C81" s="465">
        <f>'Income Statement'!G452-'Income Statement'!G454</f>
        <v>4055.2000000000007</v>
      </c>
      <c r="D81" s="465">
        <f>'Income Statement'!L452-'Income Statement'!L454</f>
        <v>3782</v>
      </c>
      <c r="E81" s="465">
        <f>'Income Statement'!Q452-'Income Statement'!Q454</f>
        <v>3969</v>
      </c>
      <c r="F81" s="465">
        <f>'Income Statement'!V452-'Income Statement'!V454</f>
        <v>3477</v>
      </c>
      <c r="G81" s="465">
        <f>'Income Statement'!AA452-'Income Statement'!AA454</f>
        <v>3425</v>
      </c>
      <c r="H81" s="465">
        <f>'Income Statement'!AF452-'Income Statement'!AF454</f>
        <v>3551</v>
      </c>
      <c r="I81" s="465">
        <f>'Income Statement'!AK452-'Income Statement'!AK454</f>
        <v>2985.0991647807496</v>
      </c>
      <c r="J81" s="465">
        <f>'Income Statement'!AP452-'Income Statement'!AP454</f>
        <v>3490.1792126289793</v>
      </c>
      <c r="K81" s="465">
        <f>'Income Statement'!AU452-'Income Statement'!AU454</f>
        <v>3149</v>
      </c>
      <c r="L81" s="465">
        <f>'Income Statement'!AZ452-'Income Statement'!AZ454</f>
        <v>3413</v>
      </c>
      <c r="M81" s="465">
        <f>'Income Statement'!BE452-'Income Statement'!BE454</f>
        <v>2935</v>
      </c>
      <c r="N81" s="465">
        <f>'Income Statement'!BJ452-'Income Statement'!BJ454</f>
        <v>2545</v>
      </c>
      <c r="O81" s="465">
        <f>'Income Statement'!BO452-'Income Statement'!BO454</f>
        <v>2348</v>
      </c>
      <c r="P81" s="465">
        <f>'Income Statement'!BT452-'Income Statement'!BT454</f>
        <v>2124</v>
      </c>
      <c r="Q81" s="465">
        <f>'Income Statement'!BY452-'Income Statement'!BY454</f>
        <v>2453</v>
      </c>
      <c r="R81" s="465">
        <f>'Income Statement'!CD452-'Income Statement'!CD454</f>
        <v>1896</v>
      </c>
      <c r="S81" s="465">
        <f>'Income Statement'!CE452-'Income Statement'!CE454</f>
        <v>2375.0040751243946</v>
      </c>
      <c r="T81" s="465">
        <f>'Income Statement'!CF452-'Income Statement'!CF454</f>
        <v>2677.4507887225791</v>
      </c>
      <c r="U81" s="465">
        <f>'Income Statement'!CG452-'Income Statement'!CG454</f>
        <v>2952.302398329768</v>
      </c>
      <c r="V81" s="465">
        <f>'Income Statement'!CH452-'Income Statement'!CH454</f>
        <v>3210.7986437134377</v>
      </c>
      <c r="W81" s="465">
        <f>'Income Statement'!CI452-'Income Statement'!CI454</f>
        <v>3458.7378038089678</v>
      </c>
      <c r="X81" s="465">
        <f>'Income Statement'!CJ452-'Income Statement'!CJ454</f>
        <v>3687.4094281065154</v>
      </c>
      <c r="Y81" s="465">
        <f>'Income Statement'!CK452-'Income Statement'!CK454</f>
        <v>3902.3334369025342</v>
      </c>
      <c r="Z81" s="465">
        <f>'Income Statement'!CL452-'Income Statement'!CL454</f>
        <v>4107.824798642002</v>
      </c>
      <c r="AA81" s="465">
        <f>'Income Statement'!CM452-'Income Statement'!CM454</f>
        <v>4307.1089676298807</v>
      </c>
      <c r="AB81" s="629"/>
      <c r="AC81" s="631"/>
      <c r="AD81" s="631"/>
      <c r="AE81" s="631"/>
      <c r="AF81" s="631"/>
      <c r="AG81" s="631"/>
      <c r="AH81" s="631"/>
      <c r="AI81" s="631"/>
      <c r="BZ81" s="634"/>
      <c r="CA81" s="635"/>
    </row>
    <row r="82" spans="1:79" s="633" customFormat="1" ht="13.2">
      <c r="A82" s="452"/>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629"/>
      <c r="AC82" s="631"/>
      <c r="AD82" s="631"/>
      <c r="AE82" s="631"/>
      <c r="AF82" s="631"/>
      <c r="AG82" s="631"/>
      <c r="AH82" s="631"/>
      <c r="AI82" s="631"/>
      <c r="BZ82" s="634"/>
      <c r="CA82" s="635"/>
    </row>
    <row r="83" spans="1:79" s="633" customFormat="1" ht="13.2">
      <c r="A83" s="657" t="s">
        <v>153</v>
      </c>
      <c r="B83" s="658">
        <f>B$2</f>
        <v>2007</v>
      </c>
      <c r="C83" s="658">
        <f t="shared" ref="C83:Q83" si="162">B83+1</f>
        <v>2008</v>
      </c>
      <c r="D83" s="658">
        <f t="shared" si="162"/>
        <v>2009</v>
      </c>
      <c r="E83" s="658">
        <f t="shared" si="162"/>
        <v>2010</v>
      </c>
      <c r="F83" s="658">
        <f t="shared" si="162"/>
        <v>2011</v>
      </c>
      <c r="G83" s="658">
        <f t="shared" si="162"/>
        <v>2012</v>
      </c>
      <c r="H83" s="658">
        <f t="shared" si="162"/>
        <v>2013</v>
      </c>
      <c r="I83" s="658">
        <f t="shared" si="162"/>
        <v>2014</v>
      </c>
      <c r="J83" s="658">
        <f t="shared" si="162"/>
        <v>2015</v>
      </c>
      <c r="K83" s="658">
        <f t="shared" si="162"/>
        <v>2016</v>
      </c>
      <c r="L83" s="658">
        <f t="shared" si="162"/>
        <v>2017</v>
      </c>
      <c r="M83" s="658">
        <f t="shared" si="162"/>
        <v>2018</v>
      </c>
      <c r="N83" s="658">
        <f t="shared" si="162"/>
        <v>2019</v>
      </c>
      <c r="O83" s="658">
        <f t="shared" si="162"/>
        <v>2020</v>
      </c>
      <c r="P83" s="658">
        <f t="shared" si="162"/>
        <v>2021</v>
      </c>
      <c r="Q83" s="658">
        <f t="shared" si="162"/>
        <v>2022</v>
      </c>
      <c r="R83" s="658">
        <f t="shared" ref="R83:W83" si="163">Q83+1</f>
        <v>2023</v>
      </c>
      <c r="S83" s="658">
        <f t="shared" si="163"/>
        <v>2024</v>
      </c>
      <c r="T83" s="658">
        <f t="shared" si="163"/>
        <v>2025</v>
      </c>
      <c r="U83" s="658">
        <f t="shared" si="163"/>
        <v>2026</v>
      </c>
      <c r="V83" s="658">
        <f t="shared" si="163"/>
        <v>2027</v>
      </c>
      <c r="W83" s="658">
        <f t="shared" si="163"/>
        <v>2028</v>
      </c>
      <c r="X83" s="658">
        <f t="shared" ref="X83" si="164">W83+1</f>
        <v>2029</v>
      </c>
      <c r="Y83" s="658">
        <f t="shared" ref="Y83" si="165">X83+1</f>
        <v>2030</v>
      </c>
      <c r="Z83" s="658">
        <f t="shared" ref="Z83" si="166">Y83+1</f>
        <v>2031</v>
      </c>
      <c r="AA83" s="658">
        <f t="shared" ref="AA83" si="167">Z83+1</f>
        <v>2032</v>
      </c>
      <c r="AB83" s="647"/>
      <c r="AC83" s="631"/>
      <c r="AD83" s="629"/>
      <c r="AE83" s="629"/>
      <c r="AF83" s="629"/>
      <c r="AG83" s="629"/>
      <c r="AH83" s="629"/>
      <c r="AI83" s="629"/>
      <c r="AJ83" s="666"/>
      <c r="AK83" s="666"/>
      <c r="AL83" s="666"/>
      <c r="AM83" s="666"/>
      <c r="BZ83" s="634"/>
      <c r="CA83" s="635"/>
    </row>
    <row r="84" spans="1:79" s="633" customFormat="1" ht="13.2">
      <c r="A84" s="276" t="s">
        <v>154</v>
      </c>
      <c r="B84" s="359">
        <f>B20-B27</f>
        <v>0</v>
      </c>
      <c r="C84" s="359">
        <f>C20-C27</f>
        <v>0</v>
      </c>
      <c r="D84" s="359">
        <f>D20-D27</f>
        <v>14487</v>
      </c>
      <c r="E84" s="359">
        <f>E20-E27</f>
        <v>14902</v>
      </c>
      <c r="F84" s="359">
        <f>F20-F27</f>
        <v>13605</v>
      </c>
      <c r="G84" s="359">
        <f>G20-G27</f>
        <v>12597.621931818183</v>
      </c>
      <c r="H84" s="359">
        <f>H20-H27</f>
        <v>13669</v>
      </c>
      <c r="I84" s="359">
        <f>I20-I27</f>
        <v>13927</v>
      </c>
      <c r="J84" s="359">
        <f>J20-J27</f>
        <v>14091</v>
      </c>
      <c r="K84" s="359">
        <f>K20-K27</f>
        <v>14646</v>
      </c>
      <c r="L84" s="359">
        <f>L20-L27</f>
        <v>15315.75</v>
      </c>
      <c r="M84" s="359">
        <f>M20-M27</f>
        <v>15264.359999999999</v>
      </c>
      <c r="N84" s="359">
        <f>N20-N27</f>
        <v>15780</v>
      </c>
      <c r="O84" s="359">
        <f>O20-O27</f>
        <v>17471</v>
      </c>
      <c r="P84" s="359">
        <f>P20-P27</f>
        <v>16169</v>
      </c>
      <c r="Q84" s="359">
        <f>Q20-Q27</f>
        <v>18602</v>
      </c>
      <c r="R84" s="359">
        <f>R20-R27</f>
        <v>17359</v>
      </c>
      <c r="S84" s="359">
        <f>S20-S27</f>
        <v>16814.477542484041</v>
      </c>
      <c r="T84" s="359">
        <f>T20-T27</f>
        <v>16409.479153769938</v>
      </c>
      <c r="U84" s="359">
        <f>U20-U27</f>
        <v>16093.188062806199</v>
      </c>
      <c r="V84" s="359">
        <f>V20-V27</f>
        <v>15847.23765734024</v>
      </c>
      <c r="W84" s="359">
        <f>W20-W27</f>
        <v>15658.50547045124</v>
      </c>
      <c r="X84" s="359">
        <f>X20-X27</f>
        <v>15516.06588425942</v>
      </c>
      <c r="Y84" s="359">
        <f>Y20-Y27</f>
        <v>15409.677959379218</v>
      </c>
      <c r="Z84" s="359">
        <f>Z20-Z27</f>
        <v>15331.867589342497</v>
      </c>
      <c r="AA84" s="359">
        <f>AA20-AA27</f>
        <v>15411.186162236379</v>
      </c>
      <c r="AB84" s="666"/>
      <c r="AC84" s="631"/>
      <c r="AD84" s="629"/>
      <c r="AE84" s="629"/>
      <c r="AF84" s="629"/>
      <c r="AG84" s="629"/>
      <c r="AH84" s="629"/>
      <c r="AI84" s="629"/>
      <c r="AJ84" s="666"/>
      <c r="AK84" s="666"/>
      <c r="AL84" s="666"/>
      <c r="AM84" s="666"/>
      <c r="BZ84" s="634"/>
      <c r="CA84" s="635"/>
    </row>
    <row r="85" spans="1:79" s="633" customFormat="1" ht="13.2">
      <c r="A85" s="276" t="s">
        <v>155</v>
      </c>
      <c r="B85" s="359">
        <f>(1-B200)*'Income Statement'!B495</f>
        <v>6320.5784029173183</v>
      </c>
      <c r="C85" s="359">
        <f>(1-C200)*'Income Statement'!G495</f>
        <v>2997.1867158214327</v>
      </c>
      <c r="D85" s="359">
        <f>(1-D200)*'Income Statement'!L495</f>
        <v>2829.4562687063521</v>
      </c>
      <c r="E85" s="359">
        <f>(1-E200)*'Income Statement'!Q495</f>
        <v>2449.6120689655177</v>
      </c>
      <c r="F85" s="359">
        <f>(1-F200)*'Income Statement'!V495</f>
        <v>2723.0998668442076</v>
      </c>
      <c r="G85" s="359">
        <f>(1-G200)*'Income Statement'!AA495</f>
        <v>2204.6950033222588</v>
      </c>
      <c r="H85" s="359">
        <f>(1-H200)*'Income Statement'!AF495</f>
        <v>2305.1877909444634</v>
      </c>
      <c r="I85" s="359">
        <f>(1-I200)*'Income Statement'!AK495</f>
        <v>1879.8839826303688</v>
      </c>
      <c r="J85" s="359">
        <f>(1-J200)*'Income Statement'!AP495</f>
        <v>5454.0762055945233</v>
      </c>
      <c r="K85" s="359">
        <f>(1-K200)*'Income Statement'!AU495</f>
        <v>4378.5786885245907</v>
      </c>
      <c r="L85" s="359">
        <f>(1-L200)*'Income Statement'!AZ495</f>
        <v>5378.0277676287906</v>
      </c>
      <c r="M85" s="359">
        <f>(1-M200)*'Income Statement'!BE495</f>
        <v>4601.7680851063833</v>
      </c>
      <c r="N85" s="359">
        <f>(1-N200)*'Income Statement'!BJ495</f>
        <v>5304</v>
      </c>
      <c r="O85" s="359">
        <f>(1-O200)*'Income Statement'!BO495</f>
        <v>5115.4709952102185</v>
      </c>
      <c r="P85" s="359">
        <f>(1-P200)*'Income Statement'!BT495</f>
        <v>5204.7712574850293</v>
      </c>
      <c r="Q85" s="359">
        <f>(1-Q200)*'Income Statement'!BY495</f>
        <v>2709.5127635960048</v>
      </c>
      <c r="R85" s="359">
        <f>(1-R200)*'Income Statement'!CD495</f>
        <v>2980.1218836565095</v>
      </c>
      <c r="S85" s="359">
        <f>(1-S200)*'Income Statement'!CE495</f>
        <v>3404.0571464848031</v>
      </c>
      <c r="T85" s="359">
        <f>(1-T200)*'Income Statement'!CF495</f>
        <v>3490.6393287389201</v>
      </c>
      <c r="U85" s="359">
        <f>(1-U200)*'Income Statement'!CG495</f>
        <v>3588.2148027320472</v>
      </c>
      <c r="V85" s="359">
        <f>(1-V200)*'Income Statement'!CH495</f>
        <v>3696.0554321284276</v>
      </c>
      <c r="W85" s="359">
        <f>(1-W200)*'Income Statement'!CI495</f>
        <v>3813.2100210563658</v>
      </c>
      <c r="X85" s="359">
        <f>(1-X200)*'Income Statement'!CJ495</f>
        <v>3931.1780882474213</v>
      </c>
      <c r="Y85" s="359">
        <f>(1-Y200)*'Income Statement'!CK495</f>
        <v>4050.1938258927662</v>
      </c>
      <c r="Z85" s="359">
        <f>(1-Z200)*'Income Statement'!CL495</f>
        <v>4170.4887697041913</v>
      </c>
      <c r="AA85" s="359">
        <f>(1-AA200)*'Income Statement'!CM495</f>
        <v>4292.2923137144435</v>
      </c>
      <c r="AB85" s="666"/>
      <c r="AC85" s="631"/>
      <c r="AD85" s="629"/>
      <c r="AE85" s="629"/>
      <c r="AF85" s="629"/>
      <c r="AG85" s="629"/>
      <c r="AH85" s="629"/>
      <c r="AI85" s="629"/>
      <c r="AJ85" s="666"/>
      <c r="AK85" s="666"/>
      <c r="AL85" s="666"/>
      <c r="AM85" s="666"/>
      <c r="BZ85" s="634"/>
      <c r="CA85" s="635"/>
    </row>
    <row r="86" spans="1:79" s="633" customFormat="1" ht="13.2">
      <c r="A86" s="276" t="s">
        <v>153</v>
      </c>
      <c r="B86" s="196" t="e">
        <f t="shared" ref="B86:P86" si="168">B85/B84</f>
        <v>#DIV/0!</v>
      </c>
      <c r="C86" s="196" t="e">
        <f t="shared" si="168"/>
        <v>#DIV/0!</v>
      </c>
      <c r="D86" s="196">
        <f t="shared" si="168"/>
        <v>0.19531002061892402</v>
      </c>
      <c r="E86" s="196">
        <f t="shared" si="168"/>
        <v>0.16438142993997568</v>
      </c>
      <c r="F86" s="196">
        <f t="shared" si="168"/>
        <v>0.2001543452292692</v>
      </c>
      <c r="G86" s="196">
        <f t="shared" si="168"/>
        <v>0.17500882430467263</v>
      </c>
      <c r="H86" s="196">
        <f t="shared" si="168"/>
        <v>0.16864348459612724</v>
      </c>
      <c r="I86" s="196">
        <f t="shared" si="168"/>
        <v>0.134981258176949</v>
      </c>
      <c r="J86" s="196">
        <f t="shared" si="168"/>
        <v>0.38706097548751139</v>
      </c>
      <c r="K86" s="196">
        <f t="shared" si="168"/>
        <v>0.29896071886689818</v>
      </c>
      <c r="L86" s="196">
        <f t="shared" si="168"/>
        <v>0.35114361148678913</v>
      </c>
      <c r="M86" s="196">
        <f t="shared" si="168"/>
        <v>0.3014714069313344</v>
      </c>
      <c r="N86" s="196">
        <f t="shared" si="168"/>
        <v>0.3361216730038023</v>
      </c>
      <c r="O86" s="196">
        <f t="shared" si="168"/>
        <v>0.29279783614047383</v>
      </c>
      <c r="P86" s="197">
        <f t="shared" si="168"/>
        <v>0.3218981543376232</v>
      </c>
      <c r="Q86" s="197">
        <f t="shared" ref="Q86" si="169">Q85/Q84</f>
        <v>0.14565706717535776</v>
      </c>
      <c r="R86" s="197">
        <f t="shared" ref="R86:W86" si="170">R85/R84</f>
        <v>0.17167589628760352</v>
      </c>
      <c r="S86" s="196">
        <f t="shared" si="170"/>
        <v>0.20244798792492924</v>
      </c>
      <c r="T86" s="196">
        <f t="shared" si="170"/>
        <v>0.21272090942246485</v>
      </c>
      <c r="U86" s="196">
        <f t="shared" si="170"/>
        <v>0.22296482143429097</v>
      </c>
      <c r="V86" s="196">
        <f t="shared" si="170"/>
        <v>0.2332302646080695</v>
      </c>
      <c r="W86" s="196">
        <f t="shared" si="170"/>
        <v>0.24352324225655989</v>
      </c>
      <c r="X86" s="196">
        <f t="shared" ref="X86:AA86" si="171">X85/X84</f>
        <v>0.25336178110944235</v>
      </c>
      <c r="Y86" s="196">
        <f t="shared" si="171"/>
        <v>0.26283442370238402</v>
      </c>
      <c r="Z86" s="196">
        <f t="shared" si="171"/>
        <v>0.27201440042458919</v>
      </c>
      <c r="AA86" s="196">
        <f t="shared" si="171"/>
        <v>0.2785179718503622</v>
      </c>
      <c r="AB86" s="222"/>
      <c r="AC86" s="631"/>
      <c r="AD86" s="629"/>
      <c r="AE86" s="629"/>
      <c r="AF86" s="629"/>
      <c r="AG86" s="629"/>
      <c r="AH86" s="629"/>
      <c r="AI86" s="629"/>
      <c r="AJ86" s="666"/>
      <c r="AK86" s="666"/>
      <c r="AL86" s="666"/>
      <c r="AM86" s="666"/>
      <c r="BZ86" s="634"/>
      <c r="CA86" s="635"/>
    </row>
    <row r="87" spans="1:79" s="633" customFormat="1" ht="13.2">
      <c r="A87" s="276"/>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C87" s="631"/>
      <c r="AD87" s="629"/>
      <c r="AE87" s="629"/>
      <c r="AF87" s="629"/>
      <c r="AG87" s="629"/>
      <c r="AH87" s="684"/>
      <c r="AI87" s="684"/>
      <c r="AJ87" s="666"/>
      <c r="AK87" s="666"/>
      <c r="AL87" s="666"/>
      <c r="AM87" s="666"/>
      <c r="BZ87" s="634"/>
      <c r="CA87" s="635"/>
    </row>
    <row r="88" spans="1:79" s="633" customFormat="1" ht="13.2">
      <c r="A88" s="657" t="s">
        <v>90</v>
      </c>
      <c r="B88" s="658">
        <f>B$2</f>
        <v>2007</v>
      </c>
      <c r="C88" s="658">
        <f t="shared" ref="C88:Q88" si="172">B88+1</f>
        <v>2008</v>
      </c>
      <c r="D88" s="658">
        <f t="shared" si="172"/>
        <v>2009</v>
      </c>
      <c r="E88" s="658">
        <f t="shared" si="172"/>
        <v>2010</v>
      </c>
      <c r="F88" s="658">
        <f t="shared" si="172"/>
        <v>2011</v>
      </c>
      <c r="G88" s="658">
        <f t="shared" si="172"/>
        <v>2012</v>
      </c>
      <c r="H88" s="658">
        <f t="shared" si="172"/>
        <v>2013</v>
      </c>
      <c r="I88" s="658">
        <f t="shared" si="172"/>
        <v>2014</v>
      </c>
      <c r="J88" s="658">
        <f t="shared" si="172"/>
        <v>2015</v>
      </c>
      <c r="K88" s="658">
        <f t="shared" si="172"/>
        <v>2016</v>
      </c>
      <c r="L88" s="658">
        <f t="shared" si="172"/>
        <v>2017</v>
      </c>
      <c r="M88" s="658">
        <f t="shared" si="172"/>
        <v>2018</v>
      </c>
      <c r="N88" s="658">
        <f t="shared" si="172"/>
        <v>2019</v>
      </c>
      <c r="O88" s="658">
        <f t="shared" si="172"/>
        <v>2020</v>
      </c>
      <c r="P88" s="658">
        <f t="shared" si="172"/>
        <v>2021</v>
      </c>
      <c r="Q88" s="658">
        <f t="shared" si="172"/>
        <v>2022</v>
      </c>
      <c r="R88" s="658">
        <f t="shared" ref="R88:W88" si="173">Q88+1</f>
        <v>2023</v>
      </c>
      <c r="S88" s="658">
        <f t="shared" si="173"/>
        <v>2024</v>
      </c>
      <c r="T88" s="658">
        <f t="shared" si="173"/>
        <v>2025</v>
      </c>
      <c r="U88" s="658">
        <f t="shared" si="173"/>
        <v>2026</v>
      </c>
      <c r="V88" s="658">
        <f t="shared" si="173"/>
        <v>2027</v>
      </c>
      <c r="W88" s="658">
        <f t="shared" si="173"/>
        <v>2028</v>
      </c>
      <c r="X88" s="658">
        <f t="shared" ref="X88" si="174">W88+1</f>
        <v>2029</v>
      </c>
      <c r="Y88" s="658">
        <f t="shared" ref="Y88" si="175">X88+1</f>
        <v>2030</v>
      </c>
      <c r="Z88" s="658">
        <f t="shared" ref="Z88" si="176">Y88+1</f>
        <v>2031</v>
      </c>
      <c r="AA88" s="658">
        <f t="shared" ref="AA88" si="177">Z88+1</f>
        <v>2032</v>
      </c>
      <c r="AB88" s="647"/>
      <c r="AC88" s="632"/>
      <c r="AD88" s="632"/>
      <c r="AE88" s="632"/>
      <c r="AF88" s="632"/>
      <c r="AG88" s="632"/>
      <c r="AH88" s="631"/>
      <c r="AI88" s="631"/>
      <c r="BZ88" s="634"/>
      <c r="CA88" s="635"/>
    </row>
    <row r="89" spans="1:79" s="633" customFormat="1" ht="13.2">
      <c r="A89" s="276"/>
      <c r="B89" s="207"/>
      <c r="C89" s="207"/>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685"/>
      <c r="AC89" s="631"/>
      <c r="AD89" s="631"/>
      <c r="AE89" s="631"/>
      <c r="AF89" s="631"/>
      <c r="AG89" s="631"/>
      <c r="AH89" s="631"/>
      <c r="AI89" s="631"/>
      <c r="BZ89" s="634"/>
      <c r="CA89" s="635"/>
    </row>
    <row r="90" spans="1:79" s="686" customFormat="1" ht="13.2">
      <c r="A90" s="343" t="s">
        <v>660</v>
      </c>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343"/>
    </row>
    <row r="91" spans="1:79" s="680" customFormat="1" ht="13.2">
      <c r="A91" s="276" t="s">
        <v>661</v>
      </c>
      <c r="B91" s="276"/>
      <c r="C91" s="276"/>
      <c r="D91" s="276"/>
      <c r="E91" s="276"/>
      <c r="F91" s="276"/>
      <c r="G91" s="276"/>
      <c r="H91" s="276"/>
      <c r="I91" s="276"/>
      <c r="J91" s="276"/>
      <c r="K91" s="276"/>
      <c r="L91" s="276"/>
      <c r="M91" s="276"/>
      <c r="N91" s="276"/>
      <c r="O91" s="276"/>
      <c r="P91" s="687">
        <f>O95</f>
        <v>4931</v>
      </c>
      <c r="Q91" s="687">
        <f>P95</f>
        <v>5193</v>
      </c>
      <c r="R91" s="687">
        <f>Q95</f>
        <v>5639</v>
      </c>
      <c r="S91" s="687">
        <f t="shared" ref="S91:W91" si="178">R95</f>
        <v>5384</v>
      </c>
      <c r="T91" s="687">
        <f t="shared" si="178"/>
        <v>5097.1328824704633</v>
      </c>
      <c r="U91" s="687">
        <f t="shared" si="178"/>
        <v>4918.131312323264</v>
      </c>
      <c r="V91" s="687">
        <f t="shared" si="178"/>
        <v>4821.1470343843657</v>
      </c>
      <c r="W91" s="687">
        <f t="shared" si="178"/>
        <v>4787.6738586124102</v>
      </c>
      <c r="X91" s="687">
        <f t="shared" ref="X91" si="179">W95</f>
        <v>4803.9229595697871</v>
      </c>
      <c r="Y91" s="687">
        <f t="shared" ref="Y91" si="180">X95</f>
        <v>4856.3934217021206</v>
      </c>
      <c r="Z91" s="687">
        <f t="shared" ref="Z91" si="181">Y95</f>
        <v>4935.3226666680093</v>
      </c>
      <c r="AA91" s="687">
        <f t="shared" ref="AA91" si="182">Z95</f>
        <v>5033.6730147851931</v>
      </c>
      <c r="AB91" s="688"/>
    </row>
    <row r="92" spans="1:79" s="680" customFormat="1" ht="13.2">
      <c r="A92" s="276" t="s">
        <v>662</v>
      </c>
      <c r="B92" s="276"/>
      <c r="C92" s="276"/>
      <c r="D92" s="276"/>
      <c r="E92" s="276"/>
      <c r="F92" s="276"/>
      <c r="G92" s="276"/>
      <c r="H92" s="276"/>
      <c r="I92" s="276"/>
      <c r="J92" s="276"/>
      <c r="K92" s="276"/>
      <c r="L92" s="276"/>
      <c r="M92" s="276"/>
      <c r="N92" s="276"/>
      <c r="O92" s="276"/>
      <c r="P92" s="687">
        <f>P73</f>
        <v>1187</v>
      </c>
      <c r="Q92" s="687">
        <f>Q73</f>
        <v>1114</v>
      </c>
      <c r="R92" s="687">
        <f>R73</f>
        <v>1119.8</v>
      </c>
      <c r="S92" s="687">
        <f>S73</f>
        <v>1169.1711871344103</v>
      </c>
      <c r="T92" s="687">
        <f>T73</f>
        <v>1199.4569589834009</v>
      </c>
      <c r="U92" s="687">
        <f>U73</f>
        <v>1233.0654208185015</v>
      </c>
      <c r="V92" s="687">
        <f>V73</f>
        <v>1270.3482867987418</v>
      </c>
      <c r="W92" s="687">
        <f>W73</f>
        <v>1311.0181441182078</v>
      </c>
      <c r="X92" s="687">
        <f>X73</f>
        <v>1351.6338799978996</v>
      </c>
      <c r="Y92" s="687">
        <f>Y73</f>
        <v>1392.2826707675792</v>
      </c>
      <c r="Z92" s="687">
        <f>Z73</f>
        <v>1433.0492427206093</v>
      </c>
      <c r="AA92" s="687">
        <f>AA73</f>
        <v>1608.0176021326579</v>
      </c>
      <c r="AB92" s="688"/>
    </row>
    <row r="93" spans="1:79" s="680" customFormat="1" ht="13.2">
      <c r="A93" s="276" t="s">
        <v>663</v>
      </c>
      <c r="B93" s="687">
        <f>-B316</f>
        <v>-894</v>
      </c>
      <c r="C93" s="687">
        <f>-C316</f>
        <v>-1192.2</v>
      </c>
      <c r="D93" s="687">
        <f>-D316</f>
        <v>-1165</v>
      </c>
      <c r="E93" s="687">
        <f>-E316</f>
        <v>-1073</v>
      </c>
      <c r="F93" s="687">
        <f>-F316</f>
        <v>-1191</v>
      </c>
      <c r="G93" s="687">
        <f t="shared" ref="G93:P93" si="183">-G316</f>
        <v>-1362</v>
      </c>
      <c r="H93" s="687">
        <f t="shared" si="183"/>
        <v>-1366</v>
      </c>
      <c r="I93" s="687">
        <f t="shared" si="183"/>
        <v>-1427</v>
      </c>
      <c r="J93" s="687">
        <f t="shared" si="183"/>
        <v>-991</v>
      </c>
      <c r="K93" s="687">
        <f t="shared" si="183"/>
        <v>-1052</v>
      </c>
      <c r="L93" s="687">
        <f t="shared" si="183"/>
        <v>-1021</v>
      </c>
      <c r="M93" s="687">
        <f t="shared" si="183"/>
        <v>-1068</v>
      </c>
      <c r="N93" s="687">
        <f t="shared" si="183"/>
        <v>-1075</v>
      </c>
      <c r="O93" s="687">
        <f t="shared" si="183"/>
        <v>-1413</v>
      </c>
      <c r="P93" s="687">
        <f t="shared" si="183"/>
        <v>-1520</v>
      </c>
      <c r="Q93" s="687">
        <f t="shared" ref="Q93:R93" si="184">-Q316</f>
        <v>-1408</v>
      </c>
      <c r="R93" s="687">
        <f t="shared" ref="R93" si="185">-R316</f>
        <v>-1525</v>
      </c>
      <c r="S93" s="687">
        <f t="shared" ref="S93:W93" si="186">S97*S91</f>
        <v>-1456.0383046639474</v>
      </c>
      <c r="T93" s="687">
        <f t="shared" si="186"/>
        <v>-1378.4585291306005</v>
      </c>
      <c r="U93" s="687">
        <f t="shared" si="186"/>
        <v>-1330.0496987573997</v>
      </c>
      <c r="V93" s="687">
        <f t="shared" si="186"/>
        <v>-1303.8214625706964</v>
      </c>
      <c r="W93" s="687">
        <f t="shared" si="186"/>
        <v>-1294.7690431608307</v>
      </c>
      <c r="X93" s="687">
        <f t="shared" ref="X93:AA93" si="187">X97*X91</f>
        <v>-1299.1634178655656</v>
      </c>
      <c r="Y93" s="687">
        <f t="shared" si="187"/>
        <v>-1313.3534258016905</v>
      </c>
      <c r="Z93" s="687">
        <f t="shared" si="187"/>
        <v>-1334.6988946034251</v>
      </c>
      <c r="AA93" s="687">
        <f t="shared" si="187"/>
        <v>-1361.2965681055894</v>
      </c>
      <c r="AB93" s="688"/>
    </row>
    <row r="94" spans="1:79" s="680" customFormat="1" ht="13.2">
      <c r="A94" s="276" t="s">
        <v>664</v>
      </c>
      <c r="B94" s="276"/>
      <c r="C94" s="276"/>
      <c r="D94" s="276"/>
      <c r="E94" s="276"/>
      <c r="F94" s="276"/>
      <c r="G94" s="276"/>
      <c r="H94" s="276"/>
      <c r="I94" s="276"/>
      <c r="J94" s="276"/>
      <c r="K94" s="276"/>
      <c r="L94" s="276"/>
      <c r="M94" s="276"/>
      <c r="N94" s="276"/>
      <c r="O94" s="276"/>
      <c r="P94" s="687">
        <f>P95-P93-P92-P91</f>
        <v>595</v>
      </c>
      <c r="Q94" s="687">
        <f>Q95-Q93-Q92-Q91</f>
        <v>740</v>
      </c>
      <c r="R94" s="687">
        <f>R95-R93-R92-R91</f>
        <v>150.19999999999982</v>
      </c>
      <c r="S94" s="687"/>
      <c r="T94" s="687"/>
      <c r="U94" s="687"/>
      <c r="V94" s="687"/>
      <c r="W94" s="687"/>
      <c r="X94" s="687"/>
      <c r="Y94" s="687"/>
      <c r="Z94" s="687"/>
      <c r="AA94" s="687"/>
      <c r="AB94" s="688"/>
    </row>
    <row r="95" spans="1:79" s="686" customFormat="1" ht="13.2">
      <c r="A95" s="349" t="s">
        <v>658</v>
      </c>
      <c r="B95" s="349"/>
      <c r="C95" s="349"/>
      <c r="D95" s="689">
        <v>4555</v>
      </c>
      <c r="E95" s="689">
        <v>5007</v>
      </c>
      <c r="F95" s="689">
        <v>4971</v>
      </c>
      <c r="G95" s="689">
        <v>4849</v>
      </c>
      <c r="H95" s="689">
        <v>4038</v>
      </c>
      <c r="I95" s="689">
        <v>4008</v>
      </c>
      <c r="J95" s="689">
        <v>4227</v>
      </c>
      <c r="K95" s="689">
        <v>4502</v>
      </c>
      <c r="L95" s="689">
        <v>4841</v>
      </c>
      <c r="M95" s="689">
        <v>5190</v>
      </c>
      <c r="N95" s="689">
        <v>4922</v>
      </c>
      <c r="O95" s="689">
        <v>4931</v>
      </c>
      <c r="P95" s="690">
        <v>5193</v>
      </c>
      <c r="Q95" s="690">
        <v>5639</v>
      </c>
      <c r="R95" s="690">
        <v>5384</v>
      </c>
      <c r="S95" s="691">
        <f>S91+S92+S93+S94</f>
        <v>5097.1328824704633</v>
      </c>
      <c r="T95" s="691">
        <f t="shared" ref="T95:AA95" si="188">T91+T92+T93+T94</f>
        <v>4918.131312323264</v>
      </c>
      <c r="U95" s="691">
        <f t="shared" si="188"/>
        <v>4821.1470343843657</v>
      </c>
      <c r="V95" s="691">
        <f t="shared" si="188"/>
        <v>4787.6738586124102</v>
      </c>
      <c r="W95" s="691">
        <f t="shared" si="188"/>
        <v>4803.9229595697871</v>
      </c>
      <c r="X95" s="691">
        <f t="shared" si="188"/>
        <v>4856.3934217021206</v>
      </c>
      <c r="Y95" s="691">
        <f t="shared" si="188"/>
        <v>4935.3226666680093</v>
      </c>
      <c r="Z95" s="691">
        <f t="shared" si="188"/>
        <v>5033.6730147851931</v>
      </c>
      <c r="AA95" s="691">
        <f t="shared" si="188"/>
        <v>5280.3940488122616</v>
      </c>
      <c r="AB95" s="692"/>
    </row>
    <row r="96" spans="1:79" s="686" customFormat="1" ht="13.2">
      <c r="A96" s="276" t="s">
        <v>0</v>
      </c>
      <c r="B96" s="286"/>
      <c r="C96" s="286"/>
      <c r="D96" s="286"/>
      <c r="E96" s="286"/>
      <c r="F96" s="286"/>
      <c r="G96" s="286"/>
      <c r="H96" s="286"/>
      <c r="I96" s="286"/>
      <c r="J96" s="286"/>
      <c r="K96" s="286"/>
      <c r="L96" s="286"/>
      <c r="M96" s="286"/>
      <c r="N96" s="286"/>
      <c r="O96" s="286"/>
      <c r="P96" s="492"/>
      <c r="Q96" s="492"/>
      <c r="R96" s="492">
        <f t="shared" ref="R96:W96" si="189">R95/Q95-1</f>
        <v>-4.522078382691963E-2</v>
      </c>
      <c r="S96" s="492">
        <f t="shared" si="189"/>
        <v>-5.3281411131043233E-2</v>
      </c>
      <c r="T96" s="492">
        <f t="shared" si="189"/>
        <v>-3.5118089772154693E-2</v>
      </c>
      <c r="U96" s="492">
        <f t="shared" si="189"/>
        <v>-1.9719741458689155E-2</v>
      </c>
      <c r="V96" s="492">
        <f t="shared" si="189"/>
        <v>-6.9429900256567922E-3</v>
      </c>
      <c r="W96" s="492">
        <f t="shared" si="189"/>
        <v>3.3939448335953415E-3</v>
      </c>
      <c r="X96" s="492">
        <f t="shared" ref="X96" si="190">X95/W95-1</f>
        <v>1.0922419567076513E-2</v>
      </c>
      <c r="Y96" s="492">
        <f t="shared" ref="Y96" si="191">Y95/X95-1</f>
        <v>1.6252646380165992E-2</v>
      </c>
      <c r="Z96" s="492">
        <f t="shared" ref="Z96" si="192">Z95/Y95-1</f>
        <v>1.9927845606006356E-2</v>
      </c>
      <c r="AA96" s="492">
        <f t="shared" ref="AA96" si="193">AA95/Z95-1</f>
        <v>4.9014116193559998E-2</v>
      </c>
      <c r="AB96" s="279"/>
    </row>
    <row r="97" spans="1:79" s="686" customFormat="1" ht="13.2">
      <c r="A97" s="276" t="s">
        <v>665</v>
      </c>
      <c r="B97" s="286"/>
      <c r="C97" s="286"/>
      <c r="D97" s="286"/>
      <c r="E97" s="286"/>
      <c r="F97" s="286"/>
      <c r="G97" s="286"/>
      <c r="H97" s="286"/>
      <c r="I97" s="286"/>
      <c r="J97" s="286"/>
      <c r="K97" s="286"/>
      <c r="L97" s="286"/>
      <c r="M97" s="286"/>
      <c r="N97" s="286"/>
      <c r="O97" s="286"/>
      <c r="P97" s="693">
        <f>P93/P91</f>
        <v>-0.30825390387345364</v>
      </c>
      <c r="Q97" s="693">
        <f>Q93/Q91</f>
        <v>-0.27113421914115154</v>
      </c>
      <c r="R97" s="693">
        <f>R93/R91</f>
        <v>-0.27043802092569602</v>
      </c>
      <c r="S97" s="694">
        <f t="shared" ref="S97:W97" si="194">R97</f>
        <v>-0.27043802092569602</v>
      </c>
      <c r="T97" s="694">
        <f t="shared" si="194"/>
        <v>-0.27043802092569602</v>
      </c>
      <c r="U97" s="694">
        <f t="shared" si="194"/>
        <v>-0.27043802092569602</v>
      </c>
      <c r="V97" s="694">
        <f t="shared" si="194"/>
        <v>-0.27043802092569602</v>
      </c>
      <c r="W97" s="694">
        <f t="shared" si="194"/>
        <v>-0.27043802092569602</v>
      </c>
      <c r="X97" s="694">
        <f t="shared" ref="X97" si="195">W97</f>
        <v>-0.27043802092569602</v>
      </c>
      <c r="Y97" s="694">
        <f t="shared" ref="Y97" si="196">X97</f>
        <v>-0.27043802092569602</v>
      </c>
      <c r="Z97" s="694">
        <f t="shared" ref="Z97" si="197">Y97</f>
        <v>-0.27043802092569602</v>
      </c>
      <c r="AA97" s="694">
        <f t="shared" ref="AA97" si="198">Z97</f>
        <v>-0.27043802092569602</v>
      </c>
      <c r="AB97" s="695"/>
    </row>
    <row r="98" spans="1:79" s="633" customFormat="1" ht="13.2">
      <c r="A98" s="276"/>
      <c r="B98" s="207"/>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685"/>
      <c r="AC98" s="631"/>
      <c r="AD98" s="631"/>
      <c r="AE98" s="631"/>
      <c r="AF98" s="631"/>
      <c r="AG98" s="631"/>
      <c r="AH98" s="631"/>
      <c r="AI98" s="631"/>
      <c r="BZ98" s="634"/>
      <c r="CA98" s="635"/>
    </row>
    <row r="99" spans="1:79" s="633" customFormat="1" ht="13.2">
      <c r="A99" s="276" t="s">
        <v>157</v>
      </c>
      <c r="B99" s="261">
        <f>B73/B93</f>
        <v>-1.2570469798657717</v>
      </c>
      <c r="C99" s="261">
        <f>C73/C93</f>
        <v>-0.67337695017614485</v>
      </c>
      <c r="D99" s="261">
        <f>D73/D93</f>
        <v>-0.50643776824034337</v>
      </c>
      <c r="E99" s="261">
        <f>E73/E93</f>
        <v>-1.3457595526561044</v>
      </c>
      <c r="F99" s="261">
        <f>F73/F93</f>
        <v>-0.83039462636439965</v>
      </c>
      <c r="G99" s="261">
        <f>G73/G93</f>
        <v>-0.72687224669603523</v>
      </c>
      <c r="H99" s="261">
        <f>H73/H93</f>
        <v>-0.59663250366032206</v>
      </c>
      <c r="I99" s="261">
        <f>I73/I93</f>
        <v>-0.79887876664330759</v>
      </c>
      <c r="J99" s="261">
        <f>J73/J93</f>
        <v>-1.3158425832492431</v>
      </c>
      <c r="K99" s="261">
        <f>K73/K93</f>
        <v>-1.1302281368821292</v>
      </c>
      <c r="L99" s="261">
        <f>L73/L93</f>
        <v>-1.0068560235063664</v>
      </c>
      <c r="M99" s="261">
        <f>M73/M93</f>
        <v>-0.9719101123595506</v>
      </c>
      <c r="N99" s="261">
        <f>N73/N93</f>
        <v>-1.1283720930232559</v>
      </c>
      <c r="O99" s="261">
        <f>O73/O93</f>
        <v>-0.88110403397027603</v>
      </c>
      <c r="P99" s="261">
        <f>P73/P93</f>
        <v>-0.78092105263157896</v>
      </c>
      <c r="Q99" s="261">
        <f>Q73/Q93</f>
        <v>-0.79119318181818177</v>
      </c>
      <c r="R99" s="261">
        <f>R73/R93</f>
        <v>-0.73429508196721305</v>
      </c>
      <c r="S99" s="261">
        <f>S73/S93</f>
        <v>-0.80298106402101432</v>
      </c>
      <c r="T99" s="261">
        <f>T73/T93</f>
        <v>-0.87014366673758647</v>
      </c>
      <c r="U99" s="261">
        <f>U73/U93</f>
        <v>-0.92708221502587018</v>
      </c>
      <c r="V99" s="261">
        <f>V73/V93</f>
        <v>-0.97432687163627696</v>
      </c>
      <c r="W99" s="261">
        <f>W73/W93</f>
        <v>-1.0125498065027174</v>
      </c>
      <c r="X99" s="261">
        <f>X73/X93</f>
        <v>-1.040387884549997</v>
      </c>
      <c r="Y99" s="261">
        <f>Y73/Y93</f>
        <v>-1.0600974904509874</v>
      </c>
      <c r="Z99" s="261">
        <f>Z73/Z93</f>
        <v>-1.0736872927031282</v>
      </c>
      <c r="AA99" s="261">
        <f>AA73/AA93</f>
        <v>-1.1812397385019571</v>
      </c>
      <c r="AB99" s="279"/>
      <c r="AC99" s="631"/>
      <c r="AD99" s="631"/>
      <c r="AE99" s="631"/>
      <c r="AF99" s="631"/>
      <c r="AG99" s="631"/>
      <c r="AH99" s="631"/>
      <c r="AI99" s="631"/>
      <c r="BZ99" s="634"/>
      <c r="CA99" s="635"/>
    </row>
    <row r="100" spans="1:79" s="633" customFormat="1" ht="13.2">
      <c r="A100" s="276" t="s">
        <v>158</v>
      </c>
      <c r="B100" s="207">
        <f>B73/'Income Statement'!B419</f>
        <v>0.14613784135240571</v>
      </c>
      <c r="C100" s="207">
        <f>C73/'Income Statement'!G419</f>
        <v>9.5007041503449741E-2</v>
      </c>
      <c r="D100" s="207">
        <f>D73/'Income Statement'!L419</f>
        <v>6.8509057129586617E-2</v>
      </c>
      <c r="E100" s="207">
        <f>E73/'Income Statement'!Q419</f>
        <v>0.16281429698951405</v>
      </c>
      <c r="F100" s="207">
        <f>F73/'Income Statement'!V419</f>
        <v>0.11260389388591598</v>
      </c>
      <c r="G100" s="207">
        <f>G73/'Income Statement'!AA419</f>
        <v>0.11148648648648649</v>
      </c>
      <c r="H100" s="207">
        <f>H73/'Income Statement'!AF419</f>
        <v>9.0270981302055353E-2</v>
      </c>
      <c r="I100" s="207">
        <f>I73/'Income Statement'!AK419</f>
        <v>0.13564969062351262</v>
      </c>
      <c r="J100" s="207">
        <f>J73/'Income Statement'!AP419</f>
        <v>0.15161027787466574</v>
      </c>
      <c r="K100" s="207">
        <f>K73/'Income Statement'!AU419</f>
        <v>0.13806316767301441</v>
      </c>
      <c r="L100" s="207">
        <f>L73/'Income Statement'!AZ419</f>
        <v>0.10914109778108079</v>
      </c>
      <c r="M100" s="207">
        <f>M73/'Income Statement'!BE419</f>
        <v>0.1129242819843342</v>
      </c>
      <c r="N100" s="207">
        <f>N73/'Income Statement'!BJ419</f>
        <v>0.13024804037367121</v>
      </c>
      <c r="O100" s="207">
        <f>O73/'Income Statement'!BO419</f>
        <v>0.13885790765112649</v>
      </c>
      <c r="P100" s="207">
        <f>P73/'Income Statement'!BT419</f>
        <v>0.12844930202359053</v>
      </c>
      <c r="Q100" s="207">
        <f>Q73/'Income Statement'!BY419</f>
        <v>0.11380120543467157</v>
      </c>
      <c r="R100" s="207">
        <f>R73/'Income Statement'!CD419</f>
        <v>0.11</v>
      </c>
      <c r="S100" s="207">
        <f>S73/'Income Statement'!CE419</f>
        <v>0.11</v>
      </c>
      <c r="T100" s="207">
        <f>T73/'Income Statement'!CF419</f>
        <v>0.11000000000000001</v>
      </c>
      <c r="U100" s="207">
        <f>U73/'Income Statement'!CG419</f>
        <v>0.10999999999999999</v>
      </c>
      <c r="V100" s="207">
        <f>V73/'Income Statement'!CH419</f>
        <v>0.11</v>
      </c>
      <c r="W100" s="207">
        <f>W73/'Income Statement'!CI419</f>
        <v>0.11000000000000001</v>
      </c>
      <c r="X100" s="207">
        <f>X73/'Income Statement'!CJ419</f>
        <v>0.11</v>
      </c>
      <c r="Y100" s="207">
        <f>Y73/'Income Statement'!CK419</f>
        <v>0.11</v>
      </c>
      <c r="Z100" s="207">
        <f>Z73/'Income Statement'!CL419</f>
        <v>0.11000000000000001</v>
      </c>
      <c r="AA100" s="207">
        <f>AA73/'Income Statement'!CM419</f>
        <v>0.12</v>
      </c>
      <c r="AB100" s="685"/>
      <c r="AC100" s="631"/>
      <c r="AD100" s="631"/>
      <c r="AE100" s="631"/>
      <c r="AF100" s="631"/>
      <c r="AG100" s="631"/>
      <c r="AH100" s="631"/>
      <c r="AI100" s="631"/>
      <c r="BZ100" s="634"/>
      <c r="CA100" s="635"/>
    </row>
    <row r="101" spans="1:79" s="633" customFormat="1" ht="13.2">
      <c r="A101" s="657" t="s">
        <v>92</v>
      </c>
      <c r="B101" s="658">
        <f>B$2</f>
        <v>2007</v>
      </c>
      <c r="C101" s="658">
        <f t="shared" ref="C101:Q101" si="199">B101+1</f>
        <v>2008</v>
      </c>
      <c r="D101" s="658">
        <f t="shared" si="199"/>
        <v>2009</v>
      </c>
      <c r="E101" s="658">
        <f t="shared" si="199"/>
        <v>2010</v>
      </c>
      <c r="F101" s="658">
        <f t="shared" si="199"/>
        <v>2011</v>
      </c>
      <c r="G101" s="658">
        <f t="shared" si="199"/>
        <v>2012</v>
      </c>
      <c r="H101" s="658">
        <f t="shared" si="199"/>
        <v>2013</v>
      </c>
      <c r="I101" s="658">
        <f t="shared" si="199"/>
        <v>2014</v>
      </c>
      <c r="J101" s="658">
        <f t="shared" si="199"/>
        <v>2015</v>
      </c>
      <c r="K101" s="658">
        <f t="shared" si="199"/>
        <v>2016</v>
      </c>
      <c r="L101" s="658">
        <f t="shared" si="199"/>
        <v>2017</v>
      </c>
      <c r="M101" s="658">
        <f t="shared" si="199"/>
        <v>2018</v>
      </c>
      <c r="N101" s="658">
        <f t="shared" si="199"/>
        <v>2019</v>
      </c>
      <c r="O101" s="658">
        <f t="shared" si="199"/>
        <v>2020</v>
      </c>
      <c r="P101" s="658">
        <f t="shared" si="199"/>
        <v>2021</v>
      </c>
      <c r="Q101" s="658">
        <f t="shared" si="199"/>
        <v>2022</v>
      </c>
      <c r="R101" s="658">
        <f t="shared" ref="R101:W101" si="200">Q101+1</f>
        <v>2023</v>
      </c>
      <c r="S101" s="658">
        <f t="shared" si="200"/>
        <v>2024</v>
      </c>
      <c r="T101" s="658">
        <f t="shared" si="200"/>
        <v>2025</v>
      </c>
      <c r="U101" s="658">
        <f t="shared" si="200"/>
        <v>2026</v>
      </c>
      <c r="V101" s="658">
        <f t="shared" si="200"/>
        <v>2027</v>
      </c>
      <c r="W101" s="658">
        <f t="shared" si="200"/>
        <v>2028</v>
      </c>
      <c r="X101" s="658">
        <f t="shared" ref="X101" si="201">W101+1</f>
        <v>2029</v>
      </c>
      <c r="Y101" s="658">
        <f t="shared" ref="Y101" si="202">X101+1</f>
        <v>2030</v>
      </c>
      <c r="Z101" s="658">
        <f t="shared" ref="Z101" si="203">Y101+1</f>
        <v>2031</v>
      </c>
      <c r="AA101" s="658">
        <f t="shared" ref="AA101" si="204">Z101+1</f>
        <v>2032</v>
      </c>
      <c r="AB101" s="647"/>
      <c r="AC101" s="631"/>
      <c r="AD101" s="631"/>
      <c r="AE101" s="631"/>
      <c r="AF101" s="631"/>
      <c r="AG101" s="631"/>
      <c r="AH101" s="631"/>
      <c r="AI101" s="631"/>
      <c r="BZ101" s="634"/>
      <c r="CA101" s="635"/>
    </row>
    <row r="102" spans="1:79" s="633" customFormat="1" ht="13.2">
      <c r="A102" s="276"/>
      <c r="B102" s="200"/>
      <c r="C102" s="200"/>
      <c r="D102" s="200"/>
      <c r="E102" s="200"/>
      <c r="F102" s="200"/>
      <c r="G102" s="200"/>
      <c r="H102" s="195"/>
      <c r="I102" s="195"/>
      <c r="J102" s="195"/>
      <c r="K102" s="195"/>
      <c r="L102" s="195"/>
      <c r="M102" s="195"/>
      <c r="N102" s="195"/>
      <c r="O102" s="195"/>
      <c r="P102" s="195"/>
      <c r="Q102" s="195"/>
      <c r="R102" s="195"/>
      <c r="S102" s="195"/>
      <c r="T102" s="195"/>
      <c r="U102" s="195"/>
      <c r="V102" s="195"/>
      <c r="W102" s="195"/>
      <c r="X102" s="195"/>
      <c r="Y102" s="195"/>
      <c r="Z102" s="195"/>
      <c r="AA102" s="195"/>
      <c r="AB102" s="631"/>
      <c r="AC102" s="631"/>
      <c r="AD102" s="631"/>
      <c r="AE102" s="631"/>
      <c r="AF102" s="631"/>
      <c r="AG102" s="631"/>
      <c r="AH102" s="632"/>
      <c r="AI102" s="632"/>
      <c r="BZ102" s="634"/>
      <c r="CA102" s="635"/>
    </row>
    <row r="103" spans="1:79" s="633" customFormat="1" ht="13.2">
      <c r="A103" s="343" t="s">
        <v>666</v>
      </c>
      <c r="B103" s="696"/>
      <c r="C103" s="696"/>
      <c r="D103" s="696"/>
      <c r="E103" s="696"/>
      <c r="F103" s="696"/>
      <c r="G103" s="696"/>
      <c r="H103" s="697"/>
      <c r="I103" s="697"/>
      <c r="J103" s="697"/>
      <c r="K103" s="697"/>
      <c r="L103" s="697"/>
      <c r="M103" s="697"/>
      <c r="N103" s="697"/>
      <c r="O103" s="697"/>
      <c r="P103" s="697"/>
      <c r="Q103" s="697"/>
      <c r="R103" s="697"/>
      <c r="S103" s="697"/>
      <c r="T103" s="697"/>
      <c r="U103" s="697"/>
      <c r="V103" s="697"/>
      <c r="W103" s="697"/>
      <c r="X103" s="697"/>
      <c r="Y103" s="697"/>
      <c r="Z103" s="697"/>
      <c r="AA103" s="697"/>
      <c r="AB103" s="631"/>
      <c r="AC103" s="631"/>
      <c r="AD103" s="631"/>
      <c r="AE103" s="631"/>
      <c r="AF103" s="631"/>
      <c r="AG103" s="631"/>
      <c r="AH103" s="632"/>
      <c r="AI103" s="632"/>
      <c r="BZ103" s="634"/>
      <c r="CA103" s="635"/>
    </row>
    <row r="104" spans="1:79" s="633" customFormat="1" ht="13.2">
      <c r="A104" s="276" t="s">
        <v>661</v>
      </c>
      <c r="B104" s="200"/>
      <c r="C104" s="200"/>
      <c r="D104" s="200"/>
      <c r="E104" s="200"/>
      <c r="F104" s="200"/>
      <c r="G104" s="200"/>
      <c r="H104" s="195"/>
      <c r="I104" s="195"/>
      <c r="J104" s="195"/>
      <c r="K104" s="195"/>
      <c r="L104" s="195"/>
      <c r="M104" s="195"/>
      <c r="N104" s="195"/>
      <c r="O104" s="195"/>
      <c r="P104" s="195">
        <f>O107</f>
        <v>11461</v>
      </c>
      <c r="Q104" s="195">
        <f>P107</f>
        <v>11474</v>
      </c>
      <c r="R104" s="195">
        <f>Q107</f>
        <v>11507</v>
      </c>
      <c r="S104" s="195">
        <f t="shared" ref="R104:W104" si="205">R107</f>
        <v>11193</v>
      </c>
      <c r="T104" s="195">
        <f t="shared" si="205"/>
        <v>10887.568349700183</v>
      </c>
      <c r="U104" s="195">
        <f t="shared" si="205"/>
        <v>10590.471238219705</v>
      </c>
      <c r="V104" s="195">
        <f t="shared" si="205"/>
        <v>10301.481234847757</v>
      </c>
      <c r="W104" s="195">
        <f t="shared" si="205"/>
        <v>10020.377114943161</v>
      </c>
      <c r="X104" s="195">
        <f t="shared" ref="X104" si="206">W107</f>
        <v>9746.9436905847579</v>
      </c>
      <c r="Y104" s="195">
        <f t="shared" ref="Y104" si="207">X107</f>
        <v>9480.9716458429812</v>
      </c>
      <c r="Z104" s="195">
        <f t="shared" ref="Z104" si="208">Y107</f>
        <v>9222.2573765464931</v>
      </c>
      <c r="AA104" s="195">
        <f t="shared" ref="AA104" si="209">Z107</f>
        <v>8970.6028344212136</v>
      </c>
      <c r="AB104" s="631"/>
      <c r="AC104" s="631"/>
      <c r="AD104" s="631"/>
      <c r="AE104" s="631"/>
      <c r="AF104" s="631"/>
      <c r="AG104" s="631"/>
      <c r="AH104" s="632"/>
      <c r="AI104" s="632"/>
      <c r="BZ104" s="634"/>
      <c r="CA104" s="635"/>
    </row>
    <row r="105" spans="1:79" s="633" customFormat="1" ht="13.2">
      <c r="A105" s="276" t="s">
        <v>668</v>
      </c>
      <c r="B105" s="195">
        <f>-B317</f>
        <v>0</v>
      </c>
      <c r="C105" s="195">
        <f t="shared" ref="C105:P105" si="210">-C317</f>
        <v>0</v>
      </c>
      <c r="D105" s="195">
        <f t="shared" si="210"/>
        <v>0</v>
      </c>
      <c r="E105" s="195">
        <f t="shared" si="210"/>
        <v>0</v>
      </c>
      <c r="F105" s="195">
        <f t="shared" si="210"/>
        <v>0</v>
      </c>
      <c r="G105" s="195">
        <f t="shared" si="210"/>
        <v>0</v>
      </c>
      <c r="H105" s="195">
        <f t="shared" si="210"/>
        <v>0</v>
      </c>
      <c r="I105" s="195">
        <f t="shared" si="210"/>
        <v>0</v>
      </c>
      <c r="J105" s="195">
        <f t="shared" si="210"/>
        <v>-279</v>
      </c>
      <c r="K105" s="195">
        <f t="shared" si="210"/>
        <v>-341</v>
      </c>
      <c r="L105" s="195">
        <f t="shared" si="210"/>
        <v>-399</v>
      </c>
      <c r="M105" s="195">
        <f t="shared" si="210"/>
        <v>0</v>
      </c>
      <c r="N105" s="195">
        <f t="shared" si="210"/>
        <v>-190</v>
      </c>
      <c r="O105" s="195">
        <f t="shared" si="210"/>
        <v>-62</v>
      </c>
      <c r="P105" s="195">
        <f t="shared" si="210"/>
        <v>-181</v>
      </c>
      <c r="Q105" s="195">
        <f t="shared" ref="Q105:R105" si="211">-Q317</f>
        <v>-313</v>
      </c>
      <c r="R105" s="195">
        <f t="shared" ref="R105" si="212">-R317</f>
        <v>-378</v>
      </c>
      <c r="S105" s="195">
        <f t="shared" ref="R105:W105" si="213">S109*S104</f>
        <v>-367.68523507430262</v>
      </c>
      <c r="T105" s="195">
        <f t="shared" si="213"/>
        <v>-357.65193675038404</v>
      </c>
      <c r="U105" s="195">
        <f t="shared" si="213"/>
        <v>-347.89242444138773</v>
      </c>
      <c r="V105" s="195">
        <f t="shared" si="213"/>
        <v>-338.39922714629813</v>
      </c>
      <c r="W105" s="195">
        <f t="shared" si="213"/>
        <v>-329.16507773081736</v>
      </c>
      <c r="X105" s="195">
        <f t="shared" ref="X105:AA105" si="214">X109*X104</f>
        <v>-320.18290736430333</v>
      </c>
      <c r="Y105" s="195">
        <f t="shared" si="214"/>
        <v>-311.44584010851196</v>
      </c>
      <c r="Z105" s="195">
        <f t="shared" si="214"/>
        <v>-302.94718765399972</v>
      </c>
      <c r="AA105" s="195">
        <f t="shared" si="214"/>
        <v>-294.68044420015804</v>
      </c>
      <c r="AB105" s="631"/>
      <c r="AC105" s="631"/>
      <c r="AD105" s="631"/>
      <c r="AE105" s="631"/>
      <c r="AF105" s="631"/>
      <c r="AG105" s="631"/>
      <c r="AH105" s="632"/>
      <c r="AI105" s="632"/>
      <c r="BZ105" s="634"/>
      <c r="CA105" s="635"/>
    </row>
    <row r="106" spans="1:79" s="633" customFormat="1" ht="13.2">
      <c r="A106" s="276" t="s">
        <v>667</v>
      </c>
      <c r="B106" s="200"/>
      <c r="C106" s="200"/>
      <c r="D106" s="200"/>
      <c r="E106" s="200"/>
      <c r="F106" s="200"/>
      <c r="G106" s="200"/>
      <c r="H106" s="195"/>
      <c r="I106" s="195"/>
      <c r="J106" s="195"/>
      <c r="K106" s="195"/>
      <c r="L106" s="195"/>
      <c r="M106" s="195"/>
      <c r="N106" s="195"/>
      <c r="O106" s="195"/>
      <c r="P106" s="195">
        <f>P107-P105-P104</f>
        <v>194</v>
      </c>
      <c r="Q106" s="195">
        <f>Q107-Q105-Q104</f>
        <v>346</v>
      </c>
      <c r="R106" s="195">
        <f>R107-R105-R104</f>
        <v>64</v>
      </c>
      <c r="S106" s="195">
        <f t="shared" ref="R106:W106" si="215">S110*S104</f>
        <v>62.253584774485098</v>
      </c>
      <c r="T106" s="195">
        <f t="shared" si="215"/>
        <v>60.554825269906289</v>
      </c>
      <c r="U106" s="195">
        <f t="shared" si="215"/>
        <v>58.902421069441303</v>
      </c>
      <c r="V106" s="195">
        <f t="shared" si="215"/>
        <v>57.295107241701267</v>
      </c>
      <c r="W106" s="195">
        <f t="shared" si="215"/>
        <v>55.731653372413511</v>
      </c>
      <c r="X106" s="195">
        <f t="shared" ref="X106:AA106" si="216">X110*X104</f>
        <v>54.21086262252755</v>
      </c>
      <c r="Y106" s="195">
        <f t="shared" si="216"/>
        <v>52.731570812023186</v>
      </c>
      <c r="Z106" s="195">
        <f t="shared" si="216"/>
        <v>51.292645528719525</v>
      </c>
      <c r="AA106" s="195">
        <f t="shared" si="216"/>
        <v>49.892985261402423</v>
      </c>
      <c r="AB106" s="631"/>
      <c r="AC106" s="631"/>
      <c r="AD106" s="631"/>
      <c r="AE106" s="631"/>
      <c r="AF106" s="631"/>
      <c r="AG106" s="631"/>
      <c r="AH106" s="632"/>
      <c r="AI106" s="632"/>
      <c r="BZ106" s="634"/>
      <c r="CA106" s="635"/>
    </row>
    <row r="107" spans="1:79" s="633" customFormat="1" ht="13.2">
      <c r="A107" s="349" t="s">
        <v>658</v>
      </c>
      <c r="B107" s="503"/>
      <c r="C107" s="503"/>
      <c r="D107" s="698">
        <v>11019</v>
      </c>
      <c r="E107" s="698">
        <v>11019</v>
      </c>
      <c r="F107" s="698">
        <v>11060</v>
      </c>
      <c r="G107" s="698">
        <v>10810</v>
      </c>
      <c r="H107" s="699">
        <v>11167</v>
      </c>
      <c r="I107" s="699">
        <v>11176</v>
      </c>
      <c r="J107" s="699">
        <v>11267</v>
      </c>
      <c r="K107" s="699">
        <v>11297</v>
      </c>
      <c r="L107" s="699">
        <v>11353.75</v>
      </c>
      <c r="M107" s="699">
        <v>10926</v>
      </c>
      <c r="N107" s="699">
        <v>11310</v>
      </c>
      <c r="O107" s="699">
        <v>11461</v>
      </c>
      <c r="P107" s="699">
        <v>11474</v>
      </c>
      <c r="Q107" s="699">
        <v>11507</v>
      </c>
      <c r="R107" s="699">
        <v>11193</v>
      </c>
      <c r="S107" s="700">
        <f>S104+S105+S106</f>
        <v>10887.568349700183</v>
      </c>
      <c r="T107" s="700">
        <f t="shared" ref="R107:W107" si="217">T104+T105+T106</f>
        <v>10590.471238219705</v>
      </c>
      <c r="U107" s="700">
        <f t="shared" si="217"/>
        <v>10301.481234847757</v>
      </c>
      <c r="V107" s="700">
        <f t="shared" si="217"/>
        <v>10020.377114943161</v>
      </c>
      <c r="W107" s="700">
        <f t="shared" si="217"/>
        <v>9746.9436905847579</v>
      </c>
      <c r="X107" s="700">
        <f t="shared" ref="X107:AA107" si="218">X104+X105+X106</f>
        <v>9480.9716458429812</v>
      </c>
      <c r="Y107" s="700">
        <f t="shared" si="218"/>
        <v>9222.2573765464931</v>
      </c>
      <c r="Z107" s="700">
        <f t="shared" si="218"/>
        <v>8970.6028344212136</v>
      </c>
      <c r="AA107" s="700">
        <f t="shared" si="218"/>
        <v>8725.815375482458</v>
      </c>
      <c r="AB107" s="631"/>
      <c r="AC107" s="631"/>
      <c r="AD107" s="631"/>
      <c r="AE107" s="631"/>
      <c r="AF107" s="631"/>
      <c r="AG107" s="631"/>
      <c r="AH107" s="632"/>
      <c r="AI107" s="632"/>
      <c r="BZ107" s="634"/>
      <c r="CA107" s="635"/>
    </row>
    <row r="108" spans="1:79" s="633" customFormat="1" ht="13.2">
      <c r="A108" s="286"/>
      <c r="B108" s="200"/>
      <c r="C108" s="200"/>
      <c r="D108" s="200"/>
      <c r="E108" s="200"/>
      <c r="F108" s="200"/>
      <c r="G108" s="200"/>
      <c r="H108" s="195"/>
      <c r="I108" s="195"/>
      <c r="J108" s="195"/>
      <c r="K108" s="195"/>
      <c r="L108" s="195"/>
      <c r="M108" s="195"/>
      <c r="N108" s="195"/>
      <c r="O108" s="195"/>
      <c r="P108" s="701"/>
      <c r="Q108" s="701"/>
      <c r="R108" s="701"/>
      <c r="S108" s="195"/>
      <c r="T108" s="465">
        <f>T106-S106</f>
        <v>-1.6987595045788098</v>
      </c>
      <c r="U108" s="465">
        <f t="shared" ref="U108:Y108" si="219">U106-T106</f>
        <v>-1.6524042004649857</v>
      </c>
      <c r="V108" s="465">
        <f t="shared" si="219"/>
        <v>-1.6073138277400361</v>
      </c>
      <c r="W108" s="465">
        <f t="shared" si="219"/>
        <v>-1.5634538692877555</v>
      </c>
      <c r="X108" s="465">
        <f t="shared" si="219"/>
        <v>-1.5207907498859612</v>
      </c>
      <c r="Y108" s="465">
        <f t="shared" si="219"/>
        <v>-1.479291810504364</v>
      </c>
      <c r="Z108" s="195"/>
      <c r="AA108" s="195"/>
      <c r="AB108" s="631"/>
      <c r="AC108" s="631"/>
      <c r="AD108" s="631"/>
      <c r="AE108" s="631"/>
      <c r="AF108" s="631"/>
      <c r="AG108" s="631"/>
      <c r="AH108" s="632"/>
      <c r="AI108" s="632"/>
      <c r="BZ108" s="634"/>
      <c r="CA108" s="635"/>
    </row>
    <row r="109" spans="1:79" s="633" customFormat="1" ht="13.2">
      <c r="A109" s="276" t="s">
        <v>669</v>
      </c>
      <c r="B109" s="200"/>
      <c r="C109" s="200"/>
      <c r="D109" s="200"/>
      <c r="E109" s="200"/>
      <c r="F109" s="200"/>
      <c r="G109" s="200"/>
      <c r="H109" s="195"/>
      <c r="I109" s="195"/>
      <c r="J109" s="195"/>
      <c r="K109" s="195"/>
      <c r="L109" s="195"/>
      <c r="M109" s="195"/>
      <c r="N109" s="195"/>
      <c r="O109" s="195"/>
      <c r="P109" s="197">
        <f>P105/P104</f>
        <v>-1.5792688247098858E-2</v>
      </c>
      <c r="Q109" s="197">
        <f>Q105/Q104</f>
        <v>-2.7279065713787694E-2</v>
      </c>
      <c r="R109" s="197">
        <f>R105/R104</f>
        <v>-3.2849569827061789E-2</v>
      </c>
      <c r="S109" s="330">
        <f t="shared" ref="R109:W109" si="220">R109</f>
        <v>-3.2849569827061789E-2</v>
      </c>
      <c r="T109" s="330">
        <f t="shared" si="220"/>
        <v>-3.2849569827061789E-2</v>
      </c>
      <c r="U109" s="330">
        <f t="shared" si="220"/>
        <v>-3.2849569827061789E-2</v>
      </c>
      <c r="V109" s="330">
        <f t="shared" si="220"/>
        <v>-3.2849569827061789E-2</v>
      </c>
      <c r="W109" s="330">
        <f t="shared" si="220"/>
        <v>-3.2849569827061789E-2</v>
      </c>
      <c r="X109" s="330">
        <f t="shared" ref="X109:X110" si="221">W109</f>
        <v>-3.2849569827061789E-2</v>
      </c>
      <c r="Y109" s="330">
        <f t="shared" ref="Y109:Y110" si="222">X109</f>
        <v>-3.2849569827061789E-2</v>
      </c>
      <c r="Z109" s="330">
        <f t="shared" ref="Z109:Z110" si="223">Y109</f>
        <v>-3.2849569827061789E-2</v>
      </c>
      <c r="AA109" s="330">
        <f t="shared" ref="AA109:AA110" si="224">Z109</f>
        <v>-3.2849569827061789E-2</v>
      </c>
      <c r="AB109" s="222"/>
      <c r="AC109" s="631"/>
      <c r="AD109" s="631"/>
      <c r="AE109" s="631"/>
      <c r="AF109" s="631"/>
      <c r="AG109" s="631"/>
      <c r="AH109" s="632"/>
      <c r="AI109" s="632"/>
      <c r="BZ109" s="634"/>
      <c r="CA109" s="635"/>
    </row>
    <row r="110" spans="1:79" s="633" customFormat="1" ht="13.2">
      <c r="A110" s="276" t="s">
        <v>670</v>
      </c>
      <c r="B110" s="200"/>
      <c r="C110" s="200"/>
      <c r="D110" s="200"/>
      <c r="E110" s="200"/>
      <c r="F110" s="200"/>
      <c r="G110" s="200"/>
      <c r="H110" s="195"/>
      <c r="I110" s="195"/>
      <c r="J110" s="195"/>
      <c r="K110" s="195"/>
      <c r="L110" s="195"/>
      <c r="M110" s="195"/>
      <c r="N110" s="195"/>
      <c r="O110" s="195"/>
      <c r="P110" s="197">
        <f>P106/P104</f>
        <v>1.6926969723409825E-2</v>
      </c>
      <c r="Q110" s="197">
        <f>Q106/Q104</f>
        <v>3.0155133344953809E-2</v>
      </c>
      <c r="R110" s="197">
        <f>R106/R104</f>
        <v>5.5618319283914138E-3</v>
      </c>
      <c r="S110" s="330">
        <f t="shared" ref="S110:W110" si="225">R110</f>
        <v>5.5618319283914138E-3</v>
      </c>
      <c r="T110" s="330">
        <f t="shared" si="225"/>
        <v>5.5618319283914138E-3</v>
      </c>
      <c r="U110" s="330">
        <f t="shared" si="225"/>
        <v>5.5618319283914138E-3</v>
      </c>
      <c r="V110" s="330">
        <f t="shared" si="225"/>
        <v>5.5618319283914138E-3</v>
      </c>
      <c r="W110" s="330">
        <f t="shared" si="225"/>
        <v>5.5618319283914138E-3</v>
      </c>
      <c r="X110" s="330">
        <f t="shared" si="221"/>
        <v>5.5618319283914138E-3</v>
      </c>
      <c r="Y110" s="330">
        <f t="shared" si="222"/>
        <v>5.5618319283914138E-3</v>
      </c>
      <c r="Z110" s="330">
        <f t="shared" si="223"/>
        <v>5.5618319283914138E-3</v>
      </c>
      <c r="AA110" s="330">
        <f t="shared" si="224"/>
        <v>5.5618319283914138E-3</v>
      </c>
      <c r="AB110" s="222"/>
      <c r="AC110" s="631"/>
      <c r="AD110" s="631"/>
      <c r="AE110" s="631"/>
      <c r="AF110" s="631"/>
      <c r="AG110" s="631"/>
      <c r="AH110" s="632"/>
      <c r="AI110" s="632"/>
      <c r="BZ110" s="634"/>
      <c r="CA110" s="635"/>
    </row>
    <row r="111" spans="1:79" s="633" customFormat="1" ht="13.2">
      <c r="A111" s="276"/>
      <c r="B111" s="200"/>
      <c r="C111" s="200"/>
      <c r="D111" s="200"/>
      <c r="E111" s="200"/>
      <c r="F111" s="200"/>
      <c r="G111" s="200"/>
      <c r="H111" s="195"/>
      <c r="I111" s="195"/>
      <c r="J111" s="195"/>
      <c r="K111" s="195"/>
      <c r="L111" s="195"/>
      <c r="M111" s="195"/>
      <c r="N111" s="195"/>
      <c r="O111" s="195"/>
      <c r="P111" s="195"/>
      <c r="Q111" s="195"/>
      <c r="R111" s="195"/>
      <c r="S111" s="195"/>
      <c r="T111" s="195"/>
      <c r="U111" s="195"/>
      <c r="V111" s="195"/>
      <c r="W111" s="195"/>
      <c r="X111" s="195"/>
      <c r="Y111" s="195"/>
      <c r="Z111" s="195"/>
      <c r="AA111" s="195"/>
      <c r="AB111" s="631"/>
      <c r="AC111" s="631"/>
      <c r="AD111" s="631"/>
      <c r="AE111" s="631"/>
      <c r="AF111" s="631"/>
      <c r="AG111" s="631"/>
      <c r="AH111" s="632"/>
      <c r="AI111" s="632"/>
      <c r="BZ111" s="634"/>
      <c r="CA111" s="635"/>
    </row>
    <row r="112" spans="1:79" s="633" customFormat="1" ht="13.2">
      <c r="A112" s="657" t="s">
        <v>159</v>
      </c>
      <c r="B112" s="658">
        <f>B$2</f>
        <v>2007</v>
      </c>
      <c r="C112" s="658">
        <f t="shared" ref="C112:Q112" si="226">B112+1</f>
        <v>2008</v>
      </c>
      <c r="D112" s="658">
        <f t="shared" si="226"/>
        <v>2009</v>
      </c>
      <c r="E112" s="658">
        <f t="shared" si="226"/>
        <v>2010</v>
      </c>
      <c r="F112" s="658">
        <f t="shared" si="226"/>
        <v>2011</v>
      </c>
      <c r="G112" s="658">
        <f t="shared" si="226"/>
        <v>2012</v>
      </c>
      <c r="H112" s="658">
        <f t="shared" si="226"/>
        <v>2013</v>
      </c>
      <c r="I112" s="658">
        <f t="shared" si="226"/>
        <v>2014</v>
      </c>
      <c r="J112" s="658">
        <f t="shared" si="226"/>
        <v>2015</v>
      </c>
      <c r="K112" s="658">
        <f t="shared" si="226"/>
        <v>2016</v>
      </c>
      <c r="L112" s="658">
        <f t="shared" si="226"/>
        <v>2017</v>
      </c>
      <c r="M112" s="658">
        <f t="shared" si="226"/>
        <v>2018</v>
      </c>
      <c r="N112" s="658">
        <f t="shared" si="226"/>
        <v>2019</v>
      </c>
      <c r="O112" s="658">
        <f t="shared" si="226"/>
        <v>2020</v>
      </c>
      <c r="P112" s="658">
        <f t="shared" si="226"/>
        <v>2021</v>
      </c>
      <c r="Q112" s="658">
        <f t="shared" si="226"/>
        <v>2022</v>
      </c>
      <c r="R112" s="658">
        <f t="shared" ref="R112:W112" si="227">Q112+1</f>
        <v>2023</v>
      </c>
      <c r="S112" s="658">
        <f t="shared" si="227"/>
        <v>2024</v>
      </c>
      <c r="T112" s="658">
        <f t="shared" si="227"/>
        <v>2025</v>
      </c>
      <c r="U112" s="658">
        <f t="shared" si="227"/>
        <v>2026</v>
      </c>
      <c r="V112" s="658">
        <f t="shared" si="227"/>
        <v>2027</v>
      </c>
      <c r="W112" s="658">
        <f t="shared" si="227"/>
        <v>2028</v>
      </c>
      <c r="X112" s="658">
        <f t="shared" ref="X112" si="228">W112+1</f>
        <v>2029</v>
      </c>
      <c r="Y112" s="658">
        <f t="shared" ref="Y112" si="229">X112+1</f>
        <v>2030</v>
      </c>
      <c r="Z112" s="658">
        <f t="shared" ref="Z112" si="230">Y112+1</f>
        <v>2031</v>
      </c>
      <c r="AA112" s="658">
        <f t="shared" ref="AA112" si="231">Z112+1</f>
        <v>2032</v>
      </c>
      <c r="AB112" s="647"/>
      <c r="AC112" s="632"/>
      <c r="AD112" s="632"/>
      <c r="AE112" s="632"/>
      <c r="AF112" s="632"/>
      <c r="AG112" s="632"/>
      <c r="AH112" s="631"/>
      <c r="AI112" s="631"/>
      <c r="BZ112" s="634"/>
      <c r="CA112" s="635"/>
    </row>
    <row r="113" spans="1:79" s="633" customFormat="1" ht="13.2">
      <c r="A113" s="276" t="s">
        <v>160</v>
      </c>
      <c r="B113" s="303">
        <v>9</v>
      </c>
      <c r="C113" s="303">
        <v>20</v>
      </c>
      <c r="D113" s="303">
        <f>D115-D114</f>
        <v>77</v>
      </c>
      <c r="E113" s="303">
        <f>E115+E114</f>
        <v>240</v>
      </c>
      <c r="F113" s="303">
        <f t="shared" ref="F113:W113" si="232">F115-F114</f>
        <v>268</v>
      </c>
      <c r="G113" s="303">
        <f t="shared" si="232"/>
        <v>322.41890340909089</v>
      </c>
      <c r="H113" s="303">
        <f t="shared" si="232"/>
        <v>369.4</v>
      </c>
      <c r="I113" s="303">
        <f t="shared" si="232"/>
        <v>465.55</v>
      </c>
      <c r="J113" s="303">
        <f t="shared" si="232"/>
        <v>468</v>
      </c>
      <c r="K113" s="303">
        <f t="shared" si="232"/>
        <v>724</v>
      </c>
      <c r="L113" s="303">
        <f t="shared" si="232"/>
        <v>445</v>
      </c>
      <c r="M113" s="303">
        <f t="shared" si="232"/>
        <v>389.05399999999997</v>
      </c>
      <c r="N113" s="303">
        <f t="shared" si="232"/>
        <v>469</v>
      </c>
      <c r="O113" s="303">
        <f t="shared" si="232"/>
        <v>489</v>
      </c>
      <c r="P113" s="303">
        <f t="shared" si="232"/>
        <v>473</v>
      </c>
      <c r="Q113" s="303">
        <f t="shared" ref="Q113:R113" si="233">Q115-Q114</f>
        <v>437</v>
      </c>
      <c r="R113" s="303">
        <f t="shared" si="233"/>
        <v>473</v>
      </c>
      <c r="S113" s="303">
        <f t="shared" si="232"/>
        <v>473</v>
      </c>
      <c r="T113" s="303">
        <f t="shared" si="232"/>
        <v>445.26364658867635</v>
      </c>
      <c r="U113" s="303">
        <f t="shared" si="232"/>
        <v>424.10508656631043</v>
      </c>
      <c r="V113" s="303">
        <f t="shared" si="232"/>
        <v>407.08063359468053</v>
      </c>
      <c r="W113" s="303">
        <f t="shared" si="232"/>
        <v>393.31077738437392</v>
      </c>
      <c r="X113" s="303">
        <f t="shared" ref="X113:AA113" si="234">X115-X114</f>
        <v>382.16647527908151</v>
      </c>
      <c r="Y113" s="303">
        <f t="shared" si="234"/>
        <v>373.13007943558335</v>
      </c>
      <c r="Z113" s="303">
        <f t="shared" si="234"/>
        <v>365.7138767077696</v>
      </c>
      <c r="AA113" s="303">
        <f t="shared" si="234"/>
        <v>359.56157230903244</v>
      </c>
      <c r="AB113" s="659"/>
      <c r="AC113" s="631"/>
      <c r="AD113" s="631"/>
      <c r="AE113" s="631"/>
      <c r="AF113" s="631"/>
      <c r="AG113" s="631"/>
      <c r="AH113" s="631"/>
      <c r="AI113" s="631"/>
      <c r="BZ113" s="634"/>
      <c r="CA113" s="635"/>
    </row>
    <row r="114" spans="1:79" s="633" customFormat="1" ht="13.2">
      <c r="A114" s="276" t="s">
        <v>161</v>
      </c>
      <c r="B114" s="303">
        <f t="shared" ref="B114:P114" si="235">B127</f>
        <v>0</v>
      </c>
      <c r="C114" s="303">
        <f t="shared" si="235"/>
        <v>0</v>
      </c>
      <c r="D114" s="303">
        <f t="shared" si="235"/>
        <v>0</v>
      </c>
      <c r="E114" s="303">
        <f t="shared" si="235"/>
        <v>0</v>
      </c>
      <c r="F114" s="303">
        <f t="shared" si="235"/>
        <v>0</v>
      </c>
      <c r="G114" s="303">
        <f t="shared" si="235"/>
        <v>0</v>
      </c>
      <c r="H114" s="303">
        <f t="shared" si="235"/>
        <v>0</v>
      </c>
      <c r="I114" s="303">
        <f t="shared" si="235"/>
        <v>0</v>
      </c>
      <c r="J114" s="303">
        <f t="shared" si="235"/>
        <v>0</v>
      </c>
      <c r="K114" s="303">
        <f t="shared" si="235"/>
        <v>0</v>
      </c>
      <c r="L114" s="303">
        <f t="shared" si="235"/>
        <v>0</v>
      </c>
      <c r="M114" s="303">
        <f t="shared" si="235"/>
        <v>0</v>
      </c>
      <c r="N114" s="303">
        <f t="shared" si="235"/>
        <v>0</v>
      </c>
      <c r="O114" s="303">
        <f t="shared" si="235"/>
        <v>0</v>
      </c>
      <c r="P114" s="303">
        <f t="shared" si="235"/>
        <v>0</v>
      </c>
      <c r="Q114" s="303">
        <f t="shared" ref="Q114:R114" si="236">Q127</f>
        <v>0</v>
      </c>
      <c r="R114" s="303">
        <f t="shared" si="236"/>
        <v>0</v>
      </c>
      <c r="S114" s="303">
        <f t="shared" ref="R114:W114" si="237">S127</f>
        <v>0</v>
      </c>
      <c r="T114" s="303">
        <f t="shared" si="237"/>
        <v>0</v>
      </c>
      <c r="U114" s="303">
        <f t="shared" si="237"/>
        <v>0</v>
      </c>
      <c r="V114" s="303">
        <f t="shared" si="237"/>
        <v>0</v>
      </c>
      <c r="W114" s="303">
        <f t="shared" si="237"/>
        <v>0</v>
      </c>
      <c r="X114" s="303">
        <f t="shared" ref="X114:AA114" si="238">X127</f>
        <v>0</v>
      </c>
      <c r="Y114" s="303">
        <f t="shared" si="238"/>
        <v>0</v>
      </c>
      <c r="Z114" s="303">
        <f t="shared" si="238"/>
        <v>0</v>
      </c>
      <c r="AA114" s="303">
        <f t="shared" si="238"/>
        <v>0</v>
      </c>
      <c r="AB114" s="659"/>
      <c r="AC114" s="631"/>
      <c r="AD114" s="631"/>
      <c r="AE114" s="631"/>
      <c r="AF114" s="631"/>
      <c r="AG114" s="631"/>
      <c r="AH114" s="631"/>
      <c r="AI114" s="631"/>
      <c r="BZ114" s="634"/>
      <c r="CA114" s="635"/>
    </row>
    <row r="115" spans="1:79" s="633" customFormat="1" ht="13.2">
      <c r="A115" s="276" t="s">
        <v>162</v>
      </c>
      <c r="B115" s="303">
        <f t="shared" ref="B115:P115" si="239">B122</f>
        <v>45.6</v>
      </c>
      <c r="C115" s="303">
        <f t="shared" si="239"/>
        <v>38.9</v>
      </c>
      <c r="D115" s="303">
        <f t="shared" si="239"/>
        <v>77</v>
      </c>
      <c r="E115" s="303">
        <f t="shared" si="239"/>
        <v>240</v>
      </c>
      <c r="F115" s="303">
        <f t="shared" si="239"/>
        <v>268</v>
      </c>
      <c r="G115" s="303">
        <f t="shared" si="239"/>
        <v>322.41890340909089</v>
      </c>
      <c r="H115" s="303">
        <f t="shared" si="239"/>
        <v>369.4</v>
      </c>
      <c r="I115" s="303">
        <f t="shared" si="239"/>
        <v>465.55</v>
      </c>
      <c r="J115" s="303">
        <f t="shared" si="239"/>
        <v>468</v>
      </c>
      <c r="K115" s="303">
        <f t="shared" si="239"/>
        <v>724</v>
      </c>
      <c r="L115" s="303">
        <f t="shared" si="239"/>
        <v>445</v>
      </c>
      <c r="M115" s="303">
        <f t="shared" si="239"/>
        <v>389.05399999999997</v>
      </c>
      <c r="N115" s="303">
        <f t="shared" si="239"/>
        <v>469</v>
      </c>
      <c r="O115" s="303">
        <f t="shared" si="239"/>
        <v>489</v>
      </c>
      <c r="P115" s="303">
        <f t="shared" si="239"/>
        <v>473</v>
      </c>
      <c r="Q115" s="303">
        <f t="shared" ref="Q115:R115" si="240">Q122</f>
        <v>437</v>
      </c>
      <c r="R115" s="303">
        <f t="shared" si="240"/>
        <v>473</v>
      </c>
      <c r="S115" s="303">
        <f t="shared" ref="R115:W115" si="241">S122</f>
        <v>473</v>
      </c>
      <c r="T115" s="303">
        <f t="shared" si="241"/>
        <v>445.26364658867635</v>
      </c>
      <c r="U115" s="303">
        <f t="shared" si="241"/>
        <v>424.10508656631043</v>
      </c>
      <c r="V115" s="303">
        <f t="shared" si="241"/>
        <v>407.08063359468053</v>
      </c>
      <c r="W115" s="303">
        <f t="shared" si="241"/>
        <v>393.31077738437392</v>
      </c>
      <c r="X115" s="303">
        <f t="shared" ref="X115:AA115" si="242">X122</f>
        <v>382.16647527908151</v>
      </c>
      <c r="Y115" s="303">
        <f t="shared" si="242"/>
        <v>373.13007943558335</v>
      </c>
      <c r="Z115" s="303">
        <f t="shared" si="242"/>
        <v>365.7138767077696</v>
      </c>
      <c r="AA115" s="303">
        <f t="shared" si="242"/>
        <v>359.56157230903244</v>
      </c>
      <c r="AB115" s="659"/>
      <c r="AC115" s="631"/>
      <c r="AD115" s="631"/>
      <c r="AE115" s="631"/>
      <c r="AF115" s="631"/>
      <c r="AG115" s="631"/>
      <c r="AH115" s="631"/>
      <c r="AI115" s="631"/>
      <c r="BZ115" s="634"/>
      <c r="CA115" s="635"/>
    </row>
    <row r="116" spans="1:79" s="633" customFormat="1" ht="13.2">
      <c r="A116" s="276" t="s">
        <v>0</v>
      </c>
      <c r="B116" s="228"/>
      <c r="C116" s="228">
        <f t="shared" ref="C116:R116" si="243">C115/B115-1</f>
        <v>-0.14692982456140358</v>
      </c>
      <c r="D116" s="228">
        <f t="shared" si="243"/>
        <v>0.97943444730077123</v>
      </c>
      <c r="E116" s="228">
        <f t="shared" si="243"/>
        <v>2.116883116883117</v>
      </c>
      <c r="F116" s="228">
        <f t="shared" si="243"/>
        <v>0.1166666666666667</v>
      </c>
      <c r="G116" s="228">
        <f t="shared" si="243"/>
        <v>0.2030556097354137</v>
      </c>
      <c r="H116" s="228">
        <f t="shared" si="243"/>
        <v>0.14571446057956039</v>
      </c>
      <c r="I116" s="228">
        <f t="shared" si="243"/>
        <v>0.26028695181375205</v>
      </c>
      <c r="J116" s="228">
        <f t="shared" si="243"/>
        <v>5.2625926323703887E-3</v>
      </c>
      <c r="K116" s="228">
        <f t="shared" si="243"/>
        <v>0.54700854700854706</v>
      </c>
      <c r="L116" s="228">
        <f t="shared" si="243"/>
        <v>-0.38535911602209949</v>
      </c>
      <c r="M116" s="228">
        <f t="shared" si="243"/>
        <v>-0.1257213483146068</v>
      </c>
      <c r="N116" s="228">
        <f t="shared" si="243"/>
        <v>0.20548818415952552</v>
      </c>
      <c r="O116" s="228">
        <f t="shared" si="243"/>
        <v>4.2643923240938131E-2</v>
      </c>
      <c r="P116" s="228">
        <f t="shared" si="243"/>
        <v>-3.2719836400817992E-2</v>
      </c>
      <c r="Q116" s="228">
        <f t="shared" si="243"/>
        <v>-7.6109936575052828E-2</v>
      </c>
      <c r="R116" s="228">
        <f t="shared" si="243"/>
        <v>8.237986270022879E-2</v>
      </c>
      <c r="S116" s="228">
        <f t="shared" ref="R116:W116" si="244">S115/R115-1</f>
        <v>0</v>
      </c>
      <c r="T116" s="228">
        <f t="shared" si="244"/>
        <v>-5.8639224971085979E-2</v>
      </c>
      <c r="U116" s="228">
        <f t="shared" si="244"/>
        <v>-4.7519172482346606E-2</v>
      </c>
      <c r="V116" s="228">
        <f t="shared" si="244"/>
        <v>-4.0142062688908742E-2</v>
      </c>
      <c r="W116" s="228">
        <f t="shared" si="244"/>
        <v>-3.3825869063613845E-2</v>
      </c>
      <c r="X116" s="228">
        <f t="shared" ref="X116" si="245">X115/W115-1</f>
        <v>-2.8334596319493532E-2</v>
      </c>
      <c r="Y116" s="228">
        <f t="shared" ref="Y116" si="246">Y115/X115-1</f>
        <v>-2.3645181950874172E-2</v>
      </c>
      <c r="Z116" s="228">
        <f t="shared" ref="Z116" si="247">Z115/Y115-1</f>
        <v>-1.9875649636801995E-2</v>
      </c>
      <c r="AA116" s="228">
        <f t="shared" ref="AA116" si="248">AA115/Z115-1</f>
        <v>-1.6822726154450129E-2</v>
      </c>
      <c r="AB116" s="702"/>
      <c r="AC116" s="631"/>
      <c r="AD116" s="631"/>
      <c r="AE116" s="631"/>
      <c r="AF116" s="631"/>
      <c r="AG116" s="631"/>
      <c r="AH116" s="631"/>
      <c r="AI116" s="631"/>
      <c r="BZ116" s="634"/>
      <c r="CA116" s="635"/>
    </row>
    <row r="117" spans="1:79" s="633" customFormat="1" ht="13.2">
      <c r="A117" s="276"/>
      <c r="B117" s="200"/>
      <c r="C117" s="200"/>
      <c r="D117" s="200"/>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c r="AA117" s="200"/>
      <c r="AC117" s="631"/>
      <c r="AD117" s="631"/>
      <c r="AE117" s="631"/>
      <c r="AF117" s="631"/>
      <c r="AG117" s="631"/>
      <c r="AH117" s="631"/>
      <c r="AI117" s="631"/>
      <c r="BZ117" s="634"/>
      <c r="CA117" s="635"/>
    </row>
    <row r="118" spans="1:79" s="633" customFormat="1" ht="13.2">
      <c r="A118" s="276" t="s">
        <v>163</v>
      </c>
      <c r="B118" s="703">
        <v>37</v>
      </c>
      <c r="C118" s="703">
        <v>56.8</v>
      </c>
      <c r="D118" s="703">
        <v>29</v>
      </c>
      <c r="E118" s="703">
        <v>29</v>
      </c>
      <c r="F118" s="704">
        <v>40</v>
      </c>
      <c r="G118" s="704">
        <v>34.418903409090909</v>
      </c>
      <c r="H118" s="704">
        <v>40.400000000000006</v>
      </c>
      <c r="I118" s="704">
        <v>76.55</v>
      </c>
      <c r="J118" s="704">
        <v>56</v>
      </c>
      <c r="K118" s="302">
        <v>55</v>
      </c>
      <c r="L118" s="704">
        <v>61</v>
      </c>
      <c r="M118" s="704">
        <v>44.774999999999999</v>
      </c>
      <c r="N118" s="704">
        <v>70</v>
      </c>
      <c r="O118" s="704">
        <v>84</v>
      </c>
      <c r="P118" s="704">
        <v>60</v>
      </c>
      <c r="Q118" s="704">
        <v>30</v>
      </c>
      <c r="R118" s="704">
        <v>27</v>
      </c>
      <c r="S118" s="654">
        <f t="shared" ref="R118:W118" si="249">S119*AVERAGE(R134)</f>
        <v>25.669172932330827</v>
      </c>
      <c r="T118" s="654">
        <f t="shared" si="249"/>
        <v>26.80090854621513</v>
      </c>
      <c r="U118" s="654">
        <f t="shared" si="249"/>
        <v>27.495149227569708</v>
      </c>
      <c r="V118" s="654">
        <f t="shared" si="249"/>
        <v>28.26555592415378</v>
      </c>
      <c r="W118" s="654">
        <f t="shared" si="249"/>
        <v>29.120190978859707</v>
      </c>
      <c r="X118" s="654">
        <f t="shared" ref="X118" si="250">X119*AVERAGE(W134)</f>
        <v>30.052466028570894</v>
      </c>
      <c r="Y118" s="654">
        <f t="shared" ref="Y118" si="251">Y119*AVERAGE(X134)</f>
        <v>30.983500452637415</v>
      </c>
      <c r="Z118" s="654">
        <f t="shared" ref="Z118" si="252">Z119*AVERAGE(Y134)</f>
        <v>31.91529259387428</v>
      </c>
      <c r="AA118" s="654">
        <f t="shared" ref="AA118" si="253">AA119*AVERAGE(Z134)</f>
        <v>32.849784632917533</v>
      </c>
      <c r="AB118" s="655"/>
      <c r="AC118" s="631"/>
      <c r="AD118" s="631"/>
      <c r="AE118" s="631"/>
      <c r="AF118" s="631"/>
      <c r="AG118" s="631"/>
      <c r="AH118" s="631"/>
      <c r="AI118" s="631"/>
      <c r="BZ118" s="634"/>
      <c r="CA118" s="635"/>
    </row>
    <row r="119" spans="1:79" s="633" customFormat="1" ht="13.2">
      <c r="A119" s="276" t="s">
        <v>164</v>
      </c>
      <c r="B119" s="207" t="e">
        <f>B118/AVERAGE(B141:B141)</f>
        <v>#DIV/0!</v>
      </c>
      <c r="C119" s="207" t="e">
        <f>C118/AVERAGE(B141:C141)</f>
        <v>#DIV/0!</v>
      </c>
      <c r="D119" s="207">
        <f>D118/AVERAGE(C141:D141)</f>
        <v>2.4328859060402684E-2</v>
      </c>
      <c r="E119" s="207">
        <f>E118/AVERAGE(D141:E141)</f>
        <v>2.7751196172248804E-2</v>
      </c>
      <c r="F119" s="207">
        <f>F118/AVERAGE(E141:F141)</f>
        <v>4.6082949308755762E-2</v>
      </c>
      <c r="G119" s="207">
        <f t="shared" ref="G119:O119" si="254">G118/AVERAGE(F141:G141)</f>
        <v>4.510996514952937E-2</v>
      </c>
      <c r="H119" s="207">
        <f t="shared" si="254"/>
        <v>5.401069518716578E-2</v>
      </c>
      <c r="I119" s="207">
        <f t="shared" si="254"/>
        <v>6.5455322787516035E-2</v>
      </c>
      <c r="J119" s="207">
        <f t="shared" si="254"/>
        <v>3.9617969579059074E-2</v>
      </c>
      <c r="K119" s="207">
        <f t="shared" si="254"/>
        <v>5.5611729019211326E-2</v>
      </c>
      <c r="L119" s="207">
        <f t="shared" si="254"/>
        <v>9.5015576323987536E-2</v>
      </c>
      <c r="M119" s="207">
        <f t="shared" si="254"/>
        <v>7.7035107535160449E-2</v>
      </c>
      <c r="N119" s="207">
        <f t="shared" si="254"/>
        <v>0.12254290533473033</v>
      </c>
      <c r="O119" s="207">
        <f t="shared" si="254"/>
        <v>0.12756264236902051</v>
      </c>
      <c r="P119" s="207">
        <f t="shared" ref="P119" si="255">P118/AVERAGE(O141:P141)</f>
        <v>6.2305295950155763E-2</v>
      </c>
      <c r="Q119" s="207">
        <f t="shared" ref="Q119:R119" si="256">Q118/AVERAGE(P141:Q141)</f>
        <v>3.2985156679494226E-2</v>
      </c>
      <c r="R119" s="207">
        <f t="shared" si="256"/>
        <v>4.5112781954887216E-2</v>
      </c>
      <c r="S119" s="207">
        <f t="shared" ref="P119:W119" si="257">R119+S120</f>
        <v>4.5112781954887216E-2</v>
      </c>
      <c r="T119" s="207">
        <f t="shared" si="257"/>
        <v>4.5112781954887216E-2</v>
      </c>
      <c r="U119" s="207">
        <f t="shared" si="257"/>
        <v>4.5112781954887216E-2</v>
      </c>
      <c r="V119" s="207">
        <f t="shared" si="257"/>
        <v>4.5112781954887216E-2</v>
      </c>
      <c r="W119" s="207">
        <f t="shared" si="257"/>
        <v>4.5112781954887216E-2</v>
      </c>
      <c r="X119" s="207">
        <f t="shared" ref="X119" si="258">W119+X120</f>
        <v>4.5112781954887216E-2</v>
      </c>
      <c r="Y119" s="207">
        <f t="shared" ref="Y119" si="259">X119+Y120</f>
        <v>4.5112781954887216E-2</v>
      </c>
      <c r="Z119" s="207">
        <f t="shared" ref="Z119" si="260">Y119+Z120</f>
        <v>4.5112781954887216E-2</v>
      </c>
      <c r="AA119" s="207">
        <f t="shared" ref="AA119" si="261">Z119+AA120</f>
        <v>4.5112781954887216E-2</v>
      </c>
      <c r="AB119" s="685"/>
      <c r="AC119" s="631"/>
      <c r="AD119" s="631"/>
      <c r="AE119" s="631"/>
      <c r="AF119" s="631"/>
      <c r="AG119" s="631"/>
      <c r="AH119" s="631"/>
      <c r="AI119" s="631"/>
      <c r="BZ119" s="634"/>
      <c r="CA119" s="635"/>
    </row>
    <row r="120" spans="1:79" s="633" customFormat="1" ht="13.2">
      <c r="A120" s="276" t="s">
        <v>39</v>
      </c>
      <c r="B120" s="207"/>
      <c r="C120" s="207" t="e">
        <f>C119-B119</f>
        <v>#DIV/0!</v>
      </c>
      <c r="D120" s="207" t="e">
        <f>D119-C119</f>
        <v>#DIV/0!</v>
      </c>
      <c r="E120" s="207">
        <f>E119-D119</f>
        <v>3.4223371118461202E-3</v>
      </c>
      <c r="F120" s="207">
        <f>F119-E119</f>
        <v>1.8331753136506958E-2</v>
      </c>
      <c r="G120" s="207">
        <f t="shared" ref="G120:O120" si="262">G119-F119</f>
        <v>-9.7298415922639214E-4</v>
      </c>
      <c r="H120" s="207">
        <f t="shared" si="262"/>
        <v>8.9007300376364104E-3</v>
      </c>
      <c r="I120" s="207">
        <f t="shared" si="262"/>
        <v>1.1444627600350255E-2</v>
      </c>
      <c r="J120" s="207">
        <f t="shared" si="262"/>
        <v>-2.583735320845696E-2</v>
      </c>
      <c r="K120" s="207">
        <f t="shared" si="262"/>
        <v>1.5993759440152251E-2</v>
      </c>
      <c r="L120" s="207">
        <f t="shared" si="262"/>
        <v>3.940384730477621E-2</v>
      </c>
      <c r="M120" s="207">
        <f t="shared" si="262"/>
        <v>-1.7980468788827086E-2</v>
      </c>
      <c r="N120" s="207">
        <f t="shared" si="262"/>
        <v>4.5507797799569885E-2</v>
      </c>
      <c r="O120" s="207">
        <f t="shared" si="262"/>
        <v>5.0197370342901781E-3</v>
      </c>
      <c r="P120" s="207">
        <f t="shared" ref="P120" si="263">P119-O119</f>
        <v>-6.5257346418864742E-2</v>
      </c>
      <c r="Q120" s="207">
        <f t="shared" ref="Q120:R120" si="264">Q119-P119</f>
        <v>-2.9320139270661537E-2</v>
      </c>
      <c r="R120" s="207">
        <f t="shared" si="264"/>
        <v>1.2127625275392989E-2</v>
      </c>
      <c r="S120" s="705">
        <v>0</v>
      </c>
      <c r="T120" s="705">
        <v>0</v>
      </c>
      <c r="U120" s="705">
        <v>0</v>
      </c>
      <c r="V120" s="705">
        <v>0</v>
      </c>
      <c r="W120" s="705">
        <v>0</v>
      </c>
      <c r="X120" s="705">
        <v>0</v>
      </c>
      <c r="Y120" s="705">
        <v>0</v>
      </c>
      <c r="Z120" s="705">
        <v>0</v>
      </c>
      <c r="AA120" s="705">
        <v>0</v>
      </c>
      <c r="AB120" s="685"/>
      <c r="AC120" s="631"/>
      <c r="AD120" s="631"/>
      <c r="AE120" s="631"/>
      <c r="AF120" s="631"/>
      <c r="AG120" s="631"/>
      <c r="AH120" s="631"/>
      <c r="AI120" s="631"/>
      <c r="BZ120" s="634"/>
      <c r="CA120" s="635"/>
    </row>
    <row r="121" spans="1:79" s="633" customFormat="1" ht="13.2">
      <c r="A121" s="276"/>
      <c r="B121" s="200"/>
      <c r="C121" s="303"/>
      <c r="D121" s="303"/>
      <c r="E121" s="303"/>
      <c r="F121" s="303"/>
      <c r="G121" s="303"/>
      <c r="H121" s="303"/>
      <c r="I121" s="303"/>
      <c r="J121" s="303"/>
      <c r="K121" s="200"/>
      <c r="L121" s="200"/>
      <c r="M121" s="200"/>
      <c r="N121" s="200"/>
      <c r="O121" s="200"/>
      <c r="P121" s="200"/>
      <c r="Q121" s="200"/>
      <c r="R121" s="200"/>
      <c r="S121" s="200"/>
      <c r="T121" s="200"/>
      <c r="U121" s="200"/>
      <c r="V121" s="200"/>
      <c r="W121" s="200"/>
      <c r="X121" s="200"/>
      <c r="Y121" s="200"/>
      <c r="Z121" s="200"/>
      <c r="AA121" s="200"/>
      <c r="AC121" s="631"/>
      <c r="AD121" s="631"/>
      <c r="AE121" s="631"/>
      <c r="AF121" s="631"/>
      <c r="AG121" s="631"/>
      <c r="AH121" s="631"/>
      <c r="AI121" s="631"/>
      <c r="BZ121" s="634"/>
      <c r="CA121" s="635"/>
    </row>
    <row r="122" spans="1:79" s="633" customFormat="1" ht="13.2">
      <c r="A122" s="276" t="s">
        <v>165</v>
      </c>
      <c r="B122" s="706">
        <v>45.6</v>
      </c>
      <c r="C122" s="706">
        <v>38.9</v>
      </c>
      <c r="D122" s="706">
        <v>77</v>
      </c>
      <c r="E122" s="706">
        <v>240</v>
      </c>
      <c r="F122" s="707">
        <v>268</v>
      </c>
      <c r="G122" s="707">
        <v>322.41890340909089</v>
      </c>
      <c r="H122" s="707">
        <v>369.4</v>
      </c>
      <c r="I122" s="707">
        <v>465.55</v>
      </c>
      <c r="J122" s="707">
        <v>468</v>
      </c>
      <c r="K122" s="707">
        <v>724</v>
      </c>
      <c r="L122" s="707">
        <v>445</v>
      </c>
      <c r="M122" s="707">
        <v>389.05399999999997</v>
      </c>
      <c r="N122" s="707">
        <v>469</v>
      </c>
      <c r="O122" s="707">
        <v>489</v>
      </c>
      <c r="P122" s="707">
        <v>473</v>
      </c>
      <c r="Q122" s="707">
        <v>437</v>
      </c>
      <c r="R122" s="707">
        <v>473</v>
      </c>
      <c r="S122" s="206">
        <f t="shared" ref="R122:W122" si="265">AVERAGE(R133)*S123</f>
        <v>473</v>
      </c>
      <c r="T122" s="206">
        <f t="shared" si="265"/>
        <v>445.26364658867635</v>
      </c>
      <c r="U122" s="206">
        <f t="shared" si="265"/>
        <v>424.10508656631043</v>
      </c>
      <c r="V122" s="206">
        <f t="shared" si="265"/>
        <v>407.08063359468053</v>
      </c>
      <c r="W122" s="206">
        <f t="shared" si="265"/>
        <v>393.31077738437392</v>
      </c>
      <c r="X122" s="206">
        <f t="shared" ref="X122" si="266">AVERAGE(W133)*X123</f>
        <v>382.16647527908151</v>
      </c>
      <c r="Y122" s="206">
        <f t="shared" ref="Y122" si="267">AVERAGE(X133)*Y123</f>
        <v>373.13007943558335</v>
      </c>
      <c r="Z122" s="206">
        <f t="shared" ref="Z122" si="268">AVERAGE(Y133)*Z123</f>
        <v>365.7138767077696</v>
      </c>
      <c r="AA122" s="206">
        <f t="shared" ref="AA122" si="269">AVERAGE(Z133)*AA123</f>
        <v>359.56157230903244</v>
      </c>
      <c r="AB122" s="708"/>
      <c r="AC122" s="631"/>
      <c r="AD122" s="631"/>
      <c r="AE122" s="631"/>
      <c r="AF122" s="631"/>
      <c r="AG122" s="631"/>
      <c r="AH122" s="631"/>
      <c r="AI122" s="631"/>
      <c r="BZ122" s="634"/>
      <c r="CA122" s="635"/>
    </row>
    <row r="123" spans="1:79" s="633" customFormat="1" ht="13.2">
      <c r="A123" s="276" t="s">
        <v>166</v>
      </c>
      <c r="B123" s="207" t="e">
        <f t="shared" ref="B123:J123" si="270">B122/AVERAGE(B133:B133)</f>
        <v>#DIV/0!</v>
      </c>
      <c r="C123" s="207" t="e">
        <f t="shared" si="270"/>
        <v>#DIV/0!</v>
      </c>
      <c r="D123" s="207">
        <f t="shared" si="270"/>
        <v>1.5199368337939202E-2</v>
      </c>
      <c r="E123" s="207">
        <f t="shared" si="270"/>
        <v>4.3996333638863426E-2</v>
      </c>
      <c r="F123" s="207">
        <f t="shared" si="270"/>
        <v>4.2709163346613545E-2</v>
      </c>
      <c r="G123" s="207">
        <f t="shared" si="270"/>
        <v>4.7951418606101852E-2</v>
      </c>
      <c r="H123" s="207">
        <f t="shared" si="270"/>
        <v>4.9102751561876906E-2</v>
      </c>
      <c r="I123" s="207">
        <f t="shared" si="270"/>
        <v>5.1739275394532117E-2</v>
      </c>
      <c r="J123" s="207">
        <f t="shared" si="270"/>
        <v>4.7378011743267869E-2</v>
      </c>
      <c r="K123" s="207">
        <f t="shared" ref="K123:P123" si="271">K122/AVERAGE(K133:K133)</f>
        <v>7.3398215733982156E-2</v>
      </c>
      <c r="L123" s="207">
        <f t="shared" si="271"/>
        <v>5.82003662045514E-2</v>
      </c>
      <c r="M123" s="207">
        <f t="shared" si="271"/>
        <v>5.0921845423782405E-2</v>
      </c>
      <c r="N123" s="207">
        <f t="shared" si="271"/>
        <v>5.2419805521403823E-2</v>
      </c>
      <c r="O123" s="207">
        <f t="shared" si="271"/>
        <v>5.0087063402642629E-2</v>
      </c>
      <c r="P123" s="207">
        <f t="shared" si="271"/>
        <v>4.6878097125867192E-2</v>
      </c>
      <c r="Q123" s="207">
        <f t="shared" ref="Q123:R123" si="272">Q122/AVERAGE(Q133:Q133)</f>
        <v>4.4298023314749115E-2</v>
      </c>
      <c r="R123" s="207">
        <f t="shared" ref="R123" si="273">R122/AVERAGE(R133:R133)</f>
        <v>4.8403602128530496E-2</v>
      </c>
      <c r="S123" s="207">
        <f t="shared" ref="R123:W123" si="274">R123+S124</f>
        <v>4.8403602128530496E-2</v>
      </c>
      <c r="T123" s="207">
        <f t="shared" si="274"/>
        <v>4.8403602128530496E-2</v>
      </c>
      <c r="U123" s="207">
        <f t="shared" si="274"/>
        <v>4.8403602128530496E-2</v>
      </c>
      <c r="V123" s="207">
        <f t="shared" si="274"/>
        <v>4.8403602128530496E-2</v>
      </c>
      <c r="W123" s="207">
        <f t="shared" si="274"/>
        <v>4.8403602128530496E-2</v>
      </c>
      <c r="X123" s="207">
        <f t="shared" ref="X123" si="275">W123+X124</f>
        <v>4.8403602128530496E-2</v>
      </c>
      <c r="Y123" s="207">
        <f t="shared" ref="Y123" si="276">X123+Y124</f>
        <v>4.8403602128530496E-2</v>
      </c>
      <c r="Z123" s="207">
        <f t="shared" ref="Z123" si="277">Y123+Z124</f>
        <v>4.8403602128530496E-2</v>
      </c>
      <c r="AA123" s="207">
        <f t="shared" ref="AA123" si="278">Z123+AA124</f>
        <v>4.8403602128530496E-2</v>
      </c>
      <c r="AB123" s="685"/>
      <c r="AC123" s="631"/>
      <c r="AD123" s="631"/>
      <c r="AE123" s="631"/>
      <c r="AF123" s="631"/>
      <c r="AG123" s="631"/>
      <c r="AH123" s="631"/>
      <c r="AI123" s="631"/>
      <c r="BZ123" s="634"/>
      <c r="CA123" s="635"/>
    </row>
    <row r="124" spans="1:79" s="633" customFormat="1" ht="13.2">
      <c r="A124" s="276" t="s">
        <v>39</v>
      </c>
      <c r="B124" s="207"/>
      <c r="C124" s="207" t="e">
        <f t="shared" ref="C124:R124" si="279">C123-B123</f>
        <v>#DIV/0!</v>
      </c>
      <c r="D124" s="207" t="e">
        <f t="shared" si="279"/>
        <v>#DIV/0!</v>
      </c>
      <c r="E124" s="207">
        <f t="shared" si="279"/>
        <v>2.8796965300924224E-2</v>
      </c>
      <c r="F124" s="207">
        <f t="shared" si="279"/>
        <v>-1.2871702922498812E-3</v>
      </c>
      <c r="G124" s="207">
        <f t="shared" si="279"/>
        <v>5.2422552594883071E-3</v>
      </c>
      <c r="H124" s="207">
        <f t="shared" si="279"/>
        <v>1.1513329557750543E-3</v>
      </c>
      <c r="I124" s="207">
        <f t="shared" si="279"/>
        <v>2.6365238326552104E-3</v>
      </c>
      <c r="J124" s="207">
        <f t="shared" si="279"/>
        <v>-4.361263651264248E-3</v>
      </c>
      <c r="K124" s="207">
        <f t="shared" si="279"/>
        <v>2.6020203990714287E-2</v>
      </c>
      <c r="L124" s="207">
        <f t="shared" si="279"/>
        <v>-1.5197849529430756E-2</v>
      </c>
      <c r="M124" s="207">
        <f t="shared" si="279"/>
        <v>-7.2785207807689947E-3</v>
      </c>
      <c r="N124" s="207">
        <f t="shared" si="279"/>
        <v>1.4979600976214175E-3</v>
      </c>
      <c r="O124" s="207">
        <f t="shared" si="279"/>
        <v>-2.3327421187611941E-3</v>
      </c>
      <c r="P124" s="207">
        <f t="shared" si="279"/>
        <v>-3.2089662767754365E-3</v>
      </c>
      <c r="Q124" s="207">
        <f t="shared" si="279"/>
        <v>-2.5800738111180777E-3</v>
      </c>
      <c r="R124" s="207">
        <f t="shared" si="279"/>
        <v>4.1055788137813812E-3</v>
      </c>
      <c r="S124" s="389">
        <v>0</v>
      </c>
      <c r="T124" s="389">
        <v>0</v>
      </c>
      <c r="U124" s="389">
        <v>0</v>
      </c>
      <c r="V124" s="389">
        <v>0</v>
      </c>
      <c r="W124" s="389">
        <v>0</v>
      </c>
      <c r="X124" s="389">
        <v>0</v>
      </c>
      <c r="Y124" s="389">
        <v>0</v>
      </c>
      <c r="Z124" s="389">
        <v>0</v>
      </c>
      <c r="AA124" s="389">
        <v>0</v>
      </c>
      <c r="AB124" s="685"/>
      <c r="AC124" s="631"/>
      <c r="AD124" s="631"/>
      <c r="AE124" s="631"/>
      <c r="AF124" s="631"/>
      <c r="AG124" s="631"/>
      <c r="AH124" s="631"/>
      <c r="AI124" s="631"/>
      <c r="BZ124" s="634"/>
      <c r="CA124" s="635"/>
    </row>
    <row r="125" spans="1:79" s="633" customFormat="1" ht="13.2">
      <c r="A125" s="276"/>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685"/>
      <c r="AC125" s="631"/>
      <c r="AD125" s="631"/>
      <c r="AE125" s="631"/>
      <c r="AF125" s="631"/>
      <c r="AG125" s="631"/>
      <c r="AH125" s="631"/>
      <c r="AI125" s="631"/>
      <c r="BZ125" s="634"/>
      <c r="CA125" s="635"/>
    </row>
    <row r="126" spans="1:79" s="633" customFormat="1" ht="13.2">
      <c r="A126" s="349" t="s">
        <v>819</v>
      </c>
      <c r="B126" s="661">
        <f>(-1*B122)+B118</f>
        <v>-8.6000000000000014</v>
      </c>
      <c r="C126" s="661">
        <f>(-1*C122)+C118</f>
        <v>17.899999999999999</v>
      </c>
      <c r="D126" s="661">
        <f>(-1*D122)+D118</f>
        <v>-48</v>
      </c>
      <c r="E126" s="661">
        <f t="shared" ref="E126:W126" si="280">(-1*E122)+E118</f>
        <v>-211</v>
      </c>
      <c r="F126" s="661">
        <f t="shared" si="280"/>
        <v>-228</v>
      </c>
      <c r="G126" s="661">
        <f t="shared" si="280"/>
        <v>-288</v>
      </c>
      <c r="H126" s="661">
        <f t="shared" si="280"/>
        <v>-329</v>
      </c>
      <c r="I126" s="661">
        <f t="shared" si="280"/>
        <v>-389</v>
      </c>
      <c r="J126" s="661">
        <f t="shared" si="280"/>
        <v>-412</v>
      </c>
      <c r="K126" s="661">
        <f>(-1*K122)+K118</f>
        <v>-669</v>
      </c>
      <c r="L126" s="661">
        <f>(-1*L122)+L118</f>
        <v>-384</v>
      </c>
      <c r="M126" s="661">
        <f>(-1*M122)+M118</f>
        <v>-344.279</v>
      </c>
      <c r="N126" s="661">
        <f>(-1*N122)+N118</f>
        <v>-399</v>
      </c>
      <c r="O126" s="661">
        <f>(-1*O122)+O118</f>
        <v>-405</v>
      </c>
      <c r="P126" s="661">
        <f t="shared" si="280"/>
        <v>-413</v>
      </c>
      <c r="Q126" s="661">
        <f t="shared" ref="Q126" si="281">(-1*Q122)+Q118</f>
        <v>-407</v>
      </c>
      <c r="R126" s="661">
        <f t="shared" si="280"/>
        <v>-446</v>
      </c>
      <c r="S126" s="661">
        <f t="shared" si="280"/>
        <v>-447.33082706766919</v>
      </c>
      <c r="T126" s="661">
        <f t="shared" si="280"/>
        <v>-418.46273804246124</v>
      </c>
      <c r="U126" s="661">
        <f t="shared" si="280"/>
        <v>-396.60993733874074</v>
      </c>
      <c r="V126" s="661">
        <f t="shared" si="280"/>
        <v>-378.81507767052676</v>
      </c>
      <c r="W126" s="661">
        <f t="shared" si="280"/>
        <v>-364.19058640551424</v>
      </c>
      <c r="X126" s="661">
        <f t="shared" ref="X126:AA126" si="282">(-1*X122)+X118</f>
        <v>-352.11400925051061</v>
      </c>
      <c r="Y126" s="661">
        <f t="shared" si="282"/>
        <v>-342.14657898294593</v>
      </c>
      <c r="Z126" s="661">
        <f t="shared" si="282"/>
        <v>-333.79858411389534</v>
      </c>
      <c r="AA126" s="661">
        <f t="shared" si="282"/>
        <v>-326.71178767611491</v>
      </c>
      <c r="AB126" s="662"/>
      <c r="AC126" s="631"/>
      <c r="AD126" s="631"/>
      <c r="AE126" s="631"/>
      <c r="AF126" s="631"/>
      <c r="AG126" s="631"/>
      <c r="AH126" s="631"/>
      <c r="AI126" s="631"/>
      <c r="BZ126" s="634"/>
      <c r="CA126" s="635"/>
    </row>
    <row r="127" spans="1:79" s="633" customFormat="1" ht="13.2">
      <c r="A127" s="276" t="s">
        <v>167</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c r="R127" s="206">
        <v>0</v>
      </c>
      <c r="S127" s="206">
        <v>0</v>
      </c>
      <c r="T127" s="206">
        <v>0</v>
      </c>
      <c r="U127" s="206">
        <v>0</v>
      </c>
      <c r="V127" s="206">
        <v>0</v>
      </c>
      <c r="W127" s="206">
        <v>0</v>
      </c>
      <c r="X127" s="206">
        <v>0</v>
      </c>
      <c r="Y127" s="206">
        <v>0</v>
      </c>
      <c r="Z127" s="206">
        <v>0</v>
      </c>
      <c r="AA127" s="206">
        <v>0</v>
      </c>
      <c r="AB127" s="708"/>
      <c r="AC127" s="631"/>
      <c r="AD127" s="631"/>
      <c r="AE127" s="631"/>
      <c r="AF127" s="631"/>
      <c r="AG127" s="631"/>
      <c r="AH127" s="631"/>
      <c r="AI127" s="631"/>
      <c r="BZ127" s="634"/>
      <c r="CA127" s="635"/>
    </row>
    <row r="128" spans="1:79" s="633" customFormat="1" ht="13.2">
      <c r="A128" s="276"/>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685"/>
      <c r="AC128" s="631"/>
      <c r="AD128" s="631"/>
      <c r="AE128" s="631"/>
      <c r="AF128" s="631"/>
      <c r="AG128" s="631"/>
      <c r="AH128" s="631"/>
      <c r="AI128" s="631"/>
      <c r="BZ128" s="634"/>
      <c r="CA128" s="635"/>
    </row>
    <row r="129" spans="1:79" s="633" customFormat="1" ht="13.2">
      <c r="A129" s="276" t="s">
        <v>168</v>
      </c>
      <c r="B129" s="207" t="e">
        <f t="shared" ref="B129:R129" si="283">B115/B131</f>
        <v>#DIV/0!</v>
      </c>
      <c r="C129" s="207" t="e">
        <f t="shared" si="283"/>
        <v>#DIV/0!</v>
      </c>
      <c r="D129" s="207">
        <f t="shared" si="283"/>
        <v>3.9752194114610222E-2</v>
      </c>
      <c r="E129" s="207">
        <f t="shared" si="283"/>
        <v>5.6932748191199145E-2</v>
      </c>
      <c r="F129" s="207">
        <f t="shared" si="283"/>
        <v>5.363217930758455E-2</v>
      </c>
      <c r="G129" s="207">
        <f t="shared" si="283"/>
        <v>5.6205469349572726E-2</v>
      </c>
      <c r="H129" s="207">
        <f t="shared" si="283"/>
        <v>5.7941163514039093E-2</v>
      </c>
      <c r="I129" s="207">
        <f t="shared" si="283"/>
        <v>6.5653645466083765E-2</v>
      </c>
      <c r="J129" s="207">
        <f t="shared" si="283"/>
        <v>5.8321390740856127E-2</v>
      </c>
      <c r="K129" s="207">
        <f t="shared" si="283"/>
        <v>8.1512309469747676E-2</v>
      </c>
      <c r="L129" s="207">
        <f t="shared" si="283"/>
        <v>5.4848968505674445E-2</v>
      </c>
      <c r="M129" s="207">
        <f t="shared" si="283"/>
        <v>5.5230495416159868E-2</v>
      </c>
      <c r="N129" s="207">
        <f t="shared" si="283"/>
        <v>6.6245174095566225E-2</v>
      </c>
      <c r="O129" s="207">
        <f t="shared" si="283"/>
        <v>5.8457860131500297E-2</v>
      </c>
      <c r="P129" s="207">
        <f t="shared" si="283"/>
        <v>5.2392556490917147E-2</v>
      </c>
      <c r="Q129" s="207">
        <f t="shared" si="283"/>
        <v>4.9106641195639962E-2</v>
      </c>
      <c r="R129" s="207">
        <f t="shared" si="283"/>
        <v>5.1207101872902457E-2</v>
      </c>
      <c r="S129" s="207">
        <f>R129</f>
        <v>5.1207101872902457E-2</v>
      </c>
      <c r="T129" s="207">
        <f t="shared" ref="T129:AA129" si="284">S129</f>
        <v>5.1207101872902457E-2</v>
      </c>
      <c r="U129" s="207">
        <f t="shared" si="284"/>
        <v>5.1207101872902457E-2</v>
      </c>
      <c r="V129" s="207">
        <f t="shared" si="284"/>
        <v>5.1207101872902457E-2</v>
      </c>
      <c r="W129" s="207">
        <f t="shared" si="284"/>
        <v>5.1207101872902457E-2</v>
      </c>
      <c r="X129" s="207">
        <f t="shared" si="284"/>
        <v>5.1207101872902457E-2</v>
      </c>
      <c r="Y129" s="207">
        <f t="shared" si="284"/>
        <v>5.1207101872902457E-2</v>
      </c>
      <c r="Z129" s="207">
        <f t="shared" si="284"/>
        <v>5.1207101872902457E-2</v>
      </c>
      <c r="AA129" s="207">
        <f t="shared" si="284"/>
        <v>5.1207101872902457E-2</v>
      </c>
      <c r="AB129" s="685"/>
      <c r="AC129" s="631"/>
      <c r="AD129" s="631"/>
      <c r="AE129" s="631"/>
      <c r="AF129" s="631"/>
      <c r="AG129" s="631"/>
      <c r="AH129" s="631"/>
      <c r="AI129" s="631"/>
      <c r="BZ129" s="634"/>
      <c r="CA129" s="635"/>
    </row>
    <row r="130" spans="1:79" s="633" customFormat="1" ht="13.2">
      <c r="A130" s="276" t="s">
        <v>39</v>
      </c>
      <c r="B130" s="389"/>
      <c r="C130" s="389" t="e">
        <f t="shared" ref="C130:I130" si="285">C129-B129</f>
        <v>#DIV/0!</v>
      </c>
      <c r="D130" s="389" t="e">
        <f t="shared" si="285"/>
        <v>#DIV/0!</v>
      </c>
      <c r="E130" s="389">
        <f t="shared" si="285"/>
        <v>1.7180554076588923E-2</v>
      </c>
      <c r="F130" s="389">
        <f t="shared" si="285"/>
        <v>-3.3005688836145949E-3</v>
      </c>
      <c r="G130" s="389">
        <f t="shared" si="285"/>
        <v>2.5732900419881757E-3</v>
      </c>
      <c r="H130" s="389">
        <f t="shared" si="285"/>
        <v>1.735694164466367E-3</v>
      </c>
      <c r="I130" s="389">
        <f t="shared" si="285"/>
        <v>7.7124819520446725E-3</v>
      </c>
      <c r="J130" s="389">
        <v>0</v>
      </c>
      <c r="K130" s="389">
        <v>0</v>
      </c>
      <c r="L130" s="389">
        <v>0</v>
      </c>
      <c r="M130" s="389">
        <v>0</v>
      </c>
      <c r="N130" s="389">
        <v>0</v>
      </c>
      <c r="O130" s="389">
        <v>0</v>
      </c>
      <c r="P130" s="389">
        <v>0</v>
      </c>
      <c r="Q130" s="389">
        <v>0</v>
      </c>
      <c r="R130" s="389">
        <v>0</v>
      </c>
      <c r="S130" s="389">
        <v>0</v>
      </c>
      <c r="T130" s="389">
        <v>0</v>
      </c>
      <c r="U130" s="389">
        <v>0</v>
      </c>
      <c r="V130" s="389">
        <v>0</v>
      </c>
      <c r="W130" s="389">
        <v>0</v>
      </c>
      <c r="X130" s="389">
        <v>0</v>
      </c>
      <c r="Y130" s="389">
        <v>0</v>
      </c>
      <c r="Z130" s="389">
        <v>0</v>
      </c>
      <c r="AA130" s="389">
        <v>0</v>
      </c>
      <c r="AB130" s="685"/>
      <c r="AC130" s="631"/>
      <c r="AD130" s="631"/>
      <c r="AE130" s="631"/>
      <c r="AF130" s="631"/>
      <c r="AG130" s="631"/>
      <c r="AH130" s="631"/>
      <c r="AI130" s="631"/>
      <c r="BZ130" s="634"/>
      <c r="CA130" s="635"/>
    </row>
    <row r="131" spans="1:79" s="633" customFormat="1" ht="13.2">
      <c r="A131" s="276" t="s">
        <v>169</v>
      </c>
      <c r="B131" s="303">
        <f>AVERAGE(B135:B135)</f>
        <v>0</v>
      </c>
      <c r="C131" s="303">
        <f t="shared" ref="C131:L131" si="286">AVERAGE(B135:C135)</f>
        <v>0</v>
      </c>
      <c r="D131" s="303">
        <f t="shared" si="286"/>
        <v>1937</v>
      </c>
      <c r="E131" s="303">
        <f t="shared" si="286"/>
        <v>4215.5</v>
      </c>
      <c r="F131" s="303">
        <f t="shared" si="286"/>
        <v>4997</v>
      </c>
      <c r="G131" s="303">
        <f t="shared" si="286"/>
        <v>5736.4328977272726</v>
      </c>
      <c r="H131" s="303">
        <f t="shared" si="286"/>
        <v>6375.4328977272726</v>
      </c>
      <c r="I131" s="303">
        <f t="shared" si="286"/>
        <v>7091</v>
      </c>
      <c r="J131" s="303">
        <f t="shared" si="286"/>
        <v>8024.5</v>
      </c>
      <c r="K131" s="303">
        <f>AVERAGE(J135:K135)</f>
        <v>8882.0940629673114</v>
      </c>
      <c r="L131" s="303">
        <f t="shared" si="286"/>
        <v>8113.1881259346228</v>
      </c>
      <c r="M131" s="303">
        <f>AVERAGE(L135)</f>
        <v>7044.1881259346228</v>
      </c>
      <c r="N131" s="303">
        <f t="shared" ref="N131:W131" si="287">AVERAGE(M135)</f>
        <v>7079.7609999999995</v>
      </c>
      <c r="O131" s="303">
        <f t="shared" si="287"/>
        <v>8365</v>
      </c>
      <c r="P131" s="303">
        <f t="shared" si="287"/>
        <v>9028</v>
      </c>
      <c r="Q131" s="303">
        <f t="shared" si="287"/>
        <v>8899</v>
      </c>
      <c r="R131" s="303">
        <f>AVERAGE(Q135)</f>
        <v>9237</v>
      </c>
      <c r="S131" s="303">
        <f t="shared" si="287"/>
        <v>9203</v>
      </c>
      <c r="T131" s="303">
        <f t="shared" si="287"/>
        <v>8604.890687474779</v>
      </c>
      <c r="U131" s="303">
        <f t="shared" si="287"/>
        <v>8152.3738875259796</v>
      </c>
      <c r="V131" s="303">
        <f t="shared" si="287"/>
        <v>7783.577819341338</v>
      </c>
      <c r="W131" s="303">
        <f t="shared" si="287"/>
        <v>7480.1534197715027</v>
      </c>
      <c r="X131" s="303">
        <f t="shared" ref="X131" si="288">AVERAGE(W135)</f>
        <v>7229.2509489681961</v>
      </c>
      <c r="Y131" s="303">
        <f t="shared" ref="Y131" si="289">AVERAGE(X135)</f>
        <v>7021.9245199056213</v>
      </c>
      <c r="Z131" s="303">
        <f t="shared" ref="Z131" si="290">AVERAGE(Y135)</f>
        <v>6848.0538679851688</v>
      </c>
      <c r="AA131" s="303">
        <f t="shared" ref="AA131" si="291">AVERAGE(Z135)</f>
        <v>6700.2350268326227</v>
      </c>
      <c r="AB131" s="659"/>
      <c r="AC131" s="631"/>
      <c r="AD131" s="631"/>
      <c r="AE131" s="631"/>
      <c r="AF131" s="631"/>
      <c r="AG131" s="631"/>
      <c r="AH131" s="631"/>
      <c r="AI131" s="631"/>
      <c r="BZ131" s="634"/>
      <c r="CA131" s="635"/>
    </row>
    <row r="132" spans="1:79" s="633" customFormat="1" ht="13.2">
      <c r="A132" s="276"/>
      <c r="B132" s="200"/>
      <c r="C132" s="200"/>
      <c r="D132" s="200"/>
      <c r="E132" s="200"/>
      <c r="F132" s="200"/>
      <c r="G132" s="200"/>
      <c r="H132" s="200"/>
      <c r="I132" s="200"/>
      <c r="J132" s="200"/>
      <c r="K132" s="200"/>
      <c r="L132" s="200"/>
      <c r="M132" s="200"/>
      <c r="N132" s="200"/>
      <c r="O132" s="200"/>
      <c r="P132" s="200"/>
      <c r="Q132" s="200"/>
      <c r="R132" s="200"/>
      <c r="S132" s="200"/>
      <c r="T132" s="264"/>
      <c r="U132" s="200"/>
      <c r="V132" s="200"/>
      <c r="W132" s="200"/>
      <c r="X132" s="200"/>
      <c r="Y132" s="200"/>
      <c r="Z132" s="200"/>
      <c r="AA132" s="200"/>
      <c r="AC132" s="631"/>
      <c r="AD132" s="631"/>
      <c r="AE132" s="631"/>
      <c r="AF132" s="631"/>
      <c r="AG132" s="631"/>
      <c r="AH132" s="631"/>
      <c r="AI132" s="631"/>
      <c r="BZ132" s="634"/>
      <c r="CA132" s="635"/>
    </row>
    <row r="133" spans="1:79" s="633" customFormat="1" ht="13.2">
      <c r="A133" s="276" t="s">
        <v>170</v>
      </c>
      <c r="B133" s="303">
        <f t="shared" ref="B133:I133" si="292">SUM(B138:B139)</f>
        <v>0</v>
      </c>
      <c r="C133" s="303">
        <f t="shared" si="292"/>
        <v>0</v>
      </c>
      <c r="D133" s="303">
        <f t="shared" si="292"/>
        <v>5066</v>
      </c>
      <c r="E133" s="303">
        <f t="shared" si="292"/>
        <v>5455</v>
      </c>
      <c r="F133" s="303">
        <f t="shared" si="292"/>
        <v>6275</v>
      </c>
      <c r="G133" s="303">
        <f t="shared" si="292"/>
        <v>6723.8657954545452</v>
      </c>
      <c r="H133" s="303">
        <f t="shared" si="292"/>
        <v>7523</v>
      </c>
      <c r="I133" s="303">
        <f t="shared" si="292"/>
        <v>8998</v>
      </c>
      <c r="J133" s="303">
        <f>SUM(J138:J139)</f>
        <v>9878</v>
      </c>
      <c r="K133" s="303">
        <f t="shared" ref="K133:P133" si="293">SUM(K138:K139)</f>
        <v>9864</v>
      </c>
      <c r="L133" s="303">
        <f t="shared" si="293"/>
        <v>7646</v>
      </c>
      <c r="M133" s="303">
        <f t="shared" si="293"/>
        <v>7640.2179999999998</v>
      </c>
      <c r="N133" s="303">
        <f t="shared" si="293"/>
        <v>8947</v>
      </c>
      <c r="O133" s="303">
        <f t="shared" si="293"/>
        <v>9763</v>
      </c>
      <c r="P133" s="303">
        <f t="shared" si="293"/>
        <v>10090</v>
      </c>
      <c r="Q133" s="303">
        <f t="shared" ref="Q133:R133" si="294">SUM(Q138:Q139)</f>
        <v>9865</v>
      </c>
      <c r="R133" s="303">
        <f t="shared" si="294"/>
        <v>9772</v>
      </c>
      <c r="S133" s="709">
        <f t="shared" ref="R133:W133" si="295">S134+S135</f>
        <v>9198.977493582548</v>
      </c>
      <c r="T133" s="709">
        <f t="shared" si="295"/>
        <v>8761.8496954037746</v>
      </c>
      <c r="U133" s="709">
        <f t="shared" si="295"/>
        <v>8410.1309756600804</v>
      </c>
      <c r="V133" s="709">
        <f t="shared" si="295"/>
        <v>8125.6509864695599</v>
      </c>
      <c r="W133" s="709">
        <f t="shared" si="295"/>
        <v>7895.4139459348507</v>
      </c>
      <c r="X133" s="709">
        <f t="shared" ref="X133:AA133" si="296">X134+X135</f>
        <v>7708.7254466057511</v>
      </c>
      <c r="Y133" s="709">
        <f t="shared" si="296"/>
        <v>7555.5095204827157</v>
      </c>
      <c r="Z133" s="709">
        <f t="shared" si="296"/>
        <v>7428.4052528622942</v>
      </c>
      <c r="AA133" s="709">
        <f t="shared" si="296"/>
        <v>7456.0385181446145</v>
      </c>
      <c r="AB133" s="307"/>
      <c r="AC133" s="631"/>
      <c r="AD133" s="631"/>
      <c r="AE133" s="631"/>
      <c r="AF133" s="631"/>
      <c r="AG133" s="631"/>
      <c r="AH133" s="631"/>
      <c r="AI133" s="631"/>
      <c r="BZ133" s="634"/>
      <c r="CA133" s="635"/>
    </row>
    <row r="134" spans="1:79" s="633" customFormat="1" ht="13.2">
      <c r="A134" s="276" t="s">
        <v>171</v>
      </c>
      <c r="B134" s="303">
        <f>B4</f>
        <v>0</v>
      </c>
      <c r="C134" s="303">
        <f>C4</f>
        <v>0</v>
      </c>
      <c r="D134" s="303">
        <f>D4</f>
        <v>1192</v>
      </c>
      <c r="E134" s="303">
        <f>E4</f>
        <v>898</v>
      </c>
      <c r="F134" s="303">
        <f>F4</f>
        <v>838</v>
      </c>
      <c r="G134" s="303">
        <f>G4</f>
        <v>688</v>
      </c>
      <c r="H134" s="303">
        <f>H4</f>
        <v>808</v>
      </c>
      <c r="I134" s="303">
        <f>I4</f>
        <v>1531</v>
      </c>
      <c r="J134" s="303">
        <f>J4</f>
        <v>1296</v>
      </c>
      <c r="K134" s="303">
        <f>K4</f>
        <v>682</v>
      </c>
      <c r="L134" s="303">
        <f>L4</f>
        <v>602</v>
      </c>
      <c r="M134" s="303">
        <f>M4</f>
        <v>560.45699999999999</v>
      </c>
      <c r="N134" s="303">
        <f>N4</f>
        <v>582</v>
      </c>
      <c r="O134" s="303">
        <f>O4</f>
        <v>735</v>
      </c>
      <c r="P134" s="303">
        <f>P4</f>
        <v>1191</v>
      </c>
      <c r="Q134" s="303">
        <f>Q4</f>
        <v>628</v>
      </c>
      <c r="R134" s="303">
        <f>R4</f>
        <v>569</v>
      </c>
      <c r="S134" s="302">
        <f>S136*'Income Statement'!CE419</f>
        <v>594.08680610776878</v>
      </c>
      <c r="T134" s="302">
        <f>T136*'Income Statement'!CF419</f>
        <v>609.47580787779521</v>
      </c>
      <c r="U134" s="302">
        <f>U136*'Income Statement'!CG419</f>
        <v>626.55315631874214</v>
      </c>
      <c r="V134" s="302">
        <f>V136*'Income Statement'!CH419</f>
        <v>645.49756669805686</v>
      </c>
      <c r="W134" s="302">
        <f>W136*'Income Statement'!CI419</f>
        <v>666.16299696665487</v>
      </c>
      <c r="X134" s="302">
        <f>X136*'Income Statement'!CJ419</f>
        <v>686.80092670012937</v>
      </c>
      <c r="Y134" s="302">
        <f>Y136*'Income Statement'!CK419</f>
        <v>707.45565249754657</v>
      </c>
      <c r="Z134" s="302">
        <f>Z136*'Income Statement'!CL419</f>
        <v>728.17022602967199</v>
      </c>
      <c r="AA134" s="302">
        <f>AA136*'Income Statement'!CM419</f>
        <v>748.98658776480215</v>
      </c>
      <c r="AB134" s="659"/>
      <c r="AC134" s="631"/>
      <c r="AD134" s="631"/>
      <c r="AE134" s="631"/>
      <c r="AF134" s="631"/>
      <c r="AG134" s="631"/>
      <c r="AH134" s="631"/>
      <c r="AI134" s="631"/>
      <c r="BZ134" s="634"/>
      <c r="CA134" s="635"/>
    </row>
    <row r="135" spans="1:79" s="633" customFormat="1" ht="13.8" thickBot="1">
      <c r="A135" s="710" t="s">
        <v>172</v>
      </c>
      <c r="B135" s="711">
        <f>B133-B134</f>
        <v>0</v>
      </c>
      <c r="C135" s="711">
        <f t="shared" ref="C135:I135" si="297">C133-C134</f>
        <v>0</v>
      </c>
      <c r="D135" s="711">
        <f t="shared" si="297"/>
        <v>3874</v>
      </c>
      <c r="E135" s="711">
        <f t="shared" si="297"/>
        <v>4557</v>
      </c>
      <c r="F135" s="711">
        <f t="shared" si="297"/>
        <v>5437</v>
      </c>
      <c r="G135" s="711">
        <f t="shared" si="297"/>
        <v>6035.8657954545452</v>
      </c>
      <c r="H135" s="711">
        <f t="shared" si="297"/>
        <v>6715</v>
      </c>
      <c r="I135" s="711">
        <f t="shared" si="297"/>
        <v>7467</v>
      </c>
      <c r="J135" s="711">
        <f>J133-J134</f>
        <v>8582</v>
      </c>
      <c r="K135" s="711">
        <f>K66</f>
        <v>9182.1881259346228</v>
      </c>
      <c r="L135" s="711">
        <f>L66</f>
        <v>7044.1881259346228</v>
      </c>
      <c r="M135" s="711">
        <f>M66</f>
        <v>7079.7609999999995</v>
      </c>
      <c r="N135" s="711">
        <f>N66</f>
        <v>8365</v>
      </c>
      <c r="O135" s="711">
        <f>O66</f>
        <v>9028</v>
      </c>
      <c r="P135" s="711">
        <f>P66</f>
        <v>8899</v>
      </c>
      <c r="Q135" s="711">
        <f>Q66</f>
        <v>9237</v>
      </c>
      <c r="R135" s="711">
        <f>R66</f>
        <v>9203</v>
      </c>
      <c r="S135" s="711">
        <f>S66</f>
        <v>8604.890687474779</v>
      </c>
      <c r="T135" s="711">
        <f>T66</f>
        <v>8152.3738875259796</v>
      </c>
      <c r="U135" s="711">
        <f>U66</f>
        <v>7783.577819341338</v>
      </c>
      <c r="V135" s="711">
        <f>V66</f>
        <v>7480.1534197715027</v>
      </c>
      <c r="W135" s="711">
        <f>W66</f>
        <v>7229.2509489681961</v>
      </c>
      <c r="X135" s="711">
        <f>X66</f>
        <v>7021.9245199056213</v>
      </c>
      <c r="Y135" s="711">
        <f>Y66</f>
        <v>6848.0538679851688</v>
      </c>
      <c r="Z135" s="711">
        <f>Z66</f>
        <v>6700.2350268326227</v>
      </c>
      <c r="AA135" s="711">
        <f>AA66</f>
        <v>6707.0519303798128</v>
      </c>
      <c r="AB135" s="662"/>
      <c r="AC135" s="631"/>
      <c r="AD135" s="631"/>
      <c r="AE135" s="631"/>
      <c r="AF135" s="631"/>
      <c r="AG135" s="631"/>
      <c r="AH135" s="631"/>
      <c r="AI135" s="631"/>
      <c r="BZ135" s="634"/>
      <c r="CA135" s="635"/>
    </row>
    <row r="136" spans="1:79" s="633" customFormat="1" ht="13.8" thickTop="1">
      <c r="A136" s="276" t="s">
        <v>173</v>
      </c>
      <c r="B136" s="207">
        <f>B134/'Income Statement'!B419</f>
        <v>0</v>
      </c>
      <c r="C136" s="207">
        <f>C134/'Income Statement'!G419</f>
        <v>0</v>
      </c>
      <c r="D136" s="207">
        <f>D134/'Income Statement'!L419</f>
        <v>0.13841151881096145</v>
      </c>
      <c r="E136" s="207">
        <f>E134/'Income Statement'!Q419</f>
        <v>0.10125155034389446</v>
      </c>
      <c r="F136" s="207">
        <f>F134/'Income Statement'!V419</f>
        <v>9.5411590572697255E-2</v>
      </c>
      <c r="G136" s="207">
        <f>G134/'Income Statement'!AA419</f>
        <v>7.7477477477477477E-2</v>
      </c>
      <c r="H136" s="207">
        <f>H134/'Income Statement'!AF419</f>
        <v>8.9495647720319899E-2</v>
      </c>
      <c r="I136" s="207">
        <f>I134/'Income Statement'!AK419</f>
        <v>0.18217515468824369</v>
      </c>
      <c r="J136" s="207">
        <f>J134/'Income Statement'!AP419</f>
        <v>0.15068015347052668</v>
      </c>
      <c r="K136" s="207">
        <f>K134/'Income Statement'!AU419</f>
        <v>7.9191825359962845E-2</v>
      </c>
      <c r="L136" s="207">
        <f>L134/'Income Statement'!AZ419</f>
        <v>6.3913366599426688E-2</v>
      </c>
      <c r="M136" s="207">
        <f>M134/'Income Statement'!BE419</f>
        <v>6.0972258485639683E-2</v>
      </c>
      <c r="N136" s="207">
        <f>N134/'Income Statement'!BJ419</f>
        <v>6.2493288950928809E-2</v>
      </c>
      <c r="O136" s="207">
        <f>O134/'Income Statement'!BO419</f>
        <v>8.1976355119339733E-2</v>
      </c>
      <c r="P136" s="207">
        <f>P134/'Income Statement'!BT419</f>
        <v>0.12888215561086463</v>
      </c>
      <c r="Q136" s="207">
        <f>Q134/'Income Statement'!BY419</f>
        <v>6.415364184288487E-2</v>
      </c>
      <c r="R136" s="207">
        <f>R134/'Income Statement'!CD419</f>
        <v>5.5893909626719057E-2</v>
      </c>
      <c r="S136" s="389">
        <f t="shared" ref="R136:W136" si="298">R136</f>
        <v>5.5893909626719057E-2</v>
      </c>
      <c r="T136" s="389">
        <f t="shared" si="298"/>
        <v>5.5893909626719057E-2</v>
      </c>
      <c r="U136" s="389">
        <f t="shared" si="298"/>
        <v>5.5893909626719057E-2</v>
      </c>
      <c r="V136" s="389">
        <f t="shared" si="298"/>
        <v>5.5893909626719057E-2</v>
      </c>
      <c r="W136" s="389">
        <f t="shared" si="298"/>
        <v>5.5893909626719057E-2</v>
      </c>
      <c r="X136" s="389">
        <f t="shared" ref="X136" si="299">W136</f>
        <v>5.5893909626719057E-2</v>
      </c>
      <c r="Y136" s="389">
        <f t="shared" ref="Y136" si="300">X136</f>
        <v>5.5893909626719057E-2</v>
      </c>
      <c r="Z136" s="389">
        <f t="shared" ref="Z136" si="301">Y136</f>
        <v>5.5893909626719057E-2</v>
      </c>
      <c r="AA136" s="389">
        <f t="shared" ref="AA136" si="302">Z136</f>
        <v>5.5893909626719057E-2</v>
      </c>
      <c r="AB136" s="685"/>
      <c r="AC136" s="631"/>
      <c r="AD136" s="631"/>
      <c r="AE136" s="631"/>
      <c r="AF136" s="631"/>
      <c r="AG136" s="631"/>
      <c r="AH136" s="631"/>
      <c r="AI136" s="631"/>
      <c r="BZ136" s="634"/>
      <c r="CA136" s="635"/>
    </row>
    <row r="137" spans="1:79" s="633" customFormat="1" ht="13.2">
      <c r="A137" s="276"/>
      <c r="B137" s="200"/>
      <c r="C137" s="200"/>
      <c r="D137" s="200"/>
      <c r="E137" s="200"/>
      <c r="F137" s="200"/>
      <c r="G137" s="200"/>
      <c r="H137" s="200"/>
      <c r="I137" s="200"/>
      <c r="J137" s="200"/>
      <c r="K137" s="200"/>
      <c r="L137" s="200"/>
      <c r="M137" s="200"/>
      <c r="N137" s="200"/>
      <c r="O137" s="200"/>
      <c r="P137" s="200"/>
      <c r="Q137" s="200"/>
      <c r="R137" s="200"/>
      <c r="S137" s="264"/>
      <c r="T137" s="200"/>
      <c r="U137" s="200"/>
      <c r="V137" s="200"/>
      <c r="W137" s="200"/>
      <c r="X137" s="200"/>
      <c r="Y137" s="200"/>
      <c r="Z137" s="200"/>
      <c r="AA137" s="200"/>
      <c r="AC137" s="631"/>
      <c r="AD137" s="631"/>
      <c r="AE137" s="631"/>
      <c r="AF137" s="631"/>
      <c r="AG137" s="631"/>
      <c r="AH137" s="631"/>
      <c r="AI137" s="631"/>
      <c r="BZ137" s="634"/>
      <c r="CA137" s="635"/>
    </row>
    <row r="138" spans="1:79" s="633" customFormat="1" ht="13.2">
      <c r="A138" s="276" t="s">
        <v>174</v>
      </c>
      <c r="B138" s="301"/>
      <c r="C138" s="301"/>
      <c r="D138" s="301">
        <v>53</v>
      </c>
      <c r="E138" s="301">
        <v>13</v>
      </c>
      <c r="F138" s="302">
        <v>1464</v>
      </c>
      <c r="G138" s="302">
        <v>1912.8657954545454</v>
      </c>
      <c r="H138" s="302">
        <v>910</v>
      </c>
      <c r="I138" s="302">
        <v>880</v>
      </c>
      <c r="J138" s="302">
        <v>1077</v>
      </c>
      <c r="K138" s="302">
        <v>1101</v>
      </c>
      <c r="L138" s="302">
        <v>206</v>
      </c>
      <c r="M138" s="302">
        <v>201.09700000000001</v>
      </c>
      <c r="N138" s="302">
        <v>1053</v>
      </c>
      <c r="O138" s="302">
        <v>255</v>
      </c>
      <c r="P138" s="712">
        <v>2034</v>
      </c>
      <c r="Q138" s="712">
        <v>283</v>
      </c>
      <c r="R138" s="712">
        <v>857</v>
      </c>
      <c r="S138" s="302">
        <f t="shared" ref="R138:W138" si="303">R138</f>
        <v>857</v>
      </c>
      <c r="T138" s="302">
        <f t="shared" si="303"/>
        <v>857</v>
      </c>
      <c r="U138" s="302">
        <f t="shared" si="303"/>
        <v>857</v>
      </c>
      <c r="V138" s="302">
        <f t="shared" si="303"/>
        <v>857</v>
      </c>
      <c r="W138" s="302">
        <f t="shared" si="303"/>
        <v>857</v>
      </c>
      <c r="X138" s="302">
        <f t="shared" ref="X138" si="304">W138</f>
        <v>857</v>
      </c>
      <c r="Y138" s="302">
        <f t="shared" ref="Y138" si="305">X138</f>
        <v>857</v>
      </c>
      <c r="Z138" s="302">
        <f t="shared" ref="Z138" si="306">Y138</f>
        <v>857</v>
      </c>
      <c r="AA138" s="302">
        <f t="shared" ref="AA138" si="307">Z138</f>
        <v>857</v>
      </c>
      <c r="AB138" s="659"/>
      <c r="AC138" s="631"/>
      <c r="AD138" s="631"/>
      <c r="AE138" s="631"/>
      <c r="AF138" s="631"/>
      <c r="AG138" s="631"/>
      <c r="AH138" s="631"/>
      <c r="AI138" s="631"/>
      <c r="BZ138" s="634"/>
      <c r="CA138" s="635"/>
    </row>
    <row r="139" spans="1:79" s="633" customFormat="1" ht="13.2">
      <c r="A139" s="276" t="s">
        <v>175</v>
      </c>
      <c r="B139" s="301"/>
      <c r="C139" s="301"/>
      <c r="D139" s="301">
        <v>5013</v>
      </c>
      <c r="E139" s="301">
        <v>5442</v>
      </c>
      <c r="F139" s="302">
        <v>4811</v>
      </c>
      <c r="G139" s="302">
        <v>4811</v>
      </c>
      <c r="H139" s="302">
        <v>6613</v>
      </c>
      <c r="I139" s="302">
        <v>8118</v>
      </c>
      <c r="J139" s="302">
        <v>8801</v>
      </c>
      <c r="K139" s="302">
        <v>8763</v>
      </c>
      <c r="L139" s="302">
        <v>7440</v>
      </c>
      <c r="M139" s="302">
        <v>7439.1210000000001</v>
      </c>
      <c r="N139" s="302">
        <v>7894</v>
      </c>
      <c r="O139" s="302">
        <v>9508</v>
      </c>
      <c r="P139" s="712">
        <v>8056</v>
      </c>
      <c r="Q139" s="712">
        <v>9582</v>
      </c>
      <c r="R139" s="712">
        <v>8915</v>
      </c>
      <c r="S139" s="303">
        <f t="shared" ref="R139:W139" si="308">S133-S138</f>
        <v>8341.977493582548</v>
      </c>
      <c r="T139" s="303">
        <f t="shared" si="308"/>
        <v>7904.8496954037746</v>
      </c>
      <c r="U139" s="303">
        <f t="shared" si="308"/>
        <v>7553.1309756600804</v>
      </c>
      <c r="V139" s="303">
        <f t="shared" si="308"/>
        <v>7268.6509864695599</v>
      </c>
      <c r="W139" s="303">
        <f t="shared" si="308"/>
        <v>7038.4139459348507</v>
      </c>
      <c r="X139" s="303">
        <f t="shared" ref="X139:AA139" si="309">X133-X138</f>
        <v>6851.7254466057511</v>
      </c>
      <c r="Y139" s="303">
        <f t="shared" si="309"/>
        <v>6698.5095204827157</v>
      </c>
      <c r="Z139" s="303">
        <f t="shared" si="309"/>
        <v>6571.4052528622942</v>
      </c>
      <c r="AA139" s="303">
        <f t="shared" si="309"/>
        <v>6599.0385181446145</v>
      </c>
      <c r="AB139" s="659"/>
      <c r="AC139" s="631"/>
      <c r="AD139" s="631"/>
      <c r="AE139" s="631"/>
      <c r="AF139" s="631"/>
      <c r="AG139" s="631"/>
      <c r="AH139" s="631"/>
      <c r="AI139" s="631"/>
      <c r="BZ139" s="634"/>
      <c r="CA139" s="635"/>
    </row>
    <row r="140" spans="1:79" s="633" customFormat="1" ht="13.2">
      <c r="A140" s="276"/>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C140" s="631"/>
      <c r="AD140" s="631"/>
      <c r="AE140" s="631"/>
      <c r="AF140" s="631"/>
      <c r="AG140" s="631"/>
      <c r="AH140" s="631"/>
      <c r="AI140" s="631"/>
      <c r="BZ140" s="634"/>
      <c r="CA140" s="635"/>
    </row>
    <row r="141" spans="1:79" s="633" customFormat="1" ht="13.2">
      <c r="A141" s="276" t="s">
        <v>659</v>
      </c>
      <c r="B141" s="301"/>
      <c r="C141" s="301"/>
      <c r="D141" s="301">
        <v>1192</v>
      </c>
      <c r="E141" s="301">
        <v>898</v>
      </c>
      <c r="F141" s="302">
        <v>838</v>
      </c>
      <c r="G141" s="302">
        <v>688</v>
      </c>
      <c r="H141" s="302">
        <v>808</v>
      </c>
      <c r="I141" s="302">
        <v>1531</v>
      </c>
      <c r="J141" s="302">
        <v>1296</v>
      </c>
      <c r="K141" s="302">
        <v>682</v>
      </c>
      <c r="L141" s="302">
        <v>602</v>
      </c>
      <c r="M141" s="302">
        <v>560.45699999999999</v>
      </c>
      <c r="N141" s="302">
        <v>582</v>
      </c>
      <c r="O141" s="302">
        <v>735</v>
      </c>
      <c r="P141" s="302">
        <v>1191</v>
      </c>
      <c r="Q141" s="302">
        <v>628</v>
      </c>
      <c r="R141" s="302">
        <v>569</v>
      </c>
      <c r="S141" s="303">
        <f t="shared" ref="R141:W141" si="310">S134</f>
        <v>594.08680610776878</v>
      </c>
      <c r="T141" s="303">
        <f t="shared" si="310"/>
        <v>609.47580787779521</v>
      </c>
      <c r="U141" s="303">
        <f t="shared" si="310"/>
        <v>626.55315631874214</v>
      </c>
      <c r="V141" s="303">
        <f t="shared" si="310"/>
        <v>645.49756669805686</v>
      </c>
      <c r="W141" s="303">
        <f t="shared" si="310"/>
        <v>666.16299696665487</v>
      </c>
      <c r="X141" s="303">
        <f t="shared" ref="X141:AA141" si="311">X134</f>
        <v>686.80092670012937</v>
      </c>
      <c r="Y141" s="303">
        <f t="shared" si="311"/>
        <v>707.45565249754657</v>
      </c>
      <c r="Z141" s="303">
        <f t="shared" si="311"/>
        <v>728.17022602967199</v>
      </c>
      <c r="AA141" s="303">
        <f t="shared" si="311"/>
        <v>748.98658776480215</v>
      </c>
      <c r="AB141" s="659"/>
      <c r="AC141" s="631"/>
      <c r="AD141" s="631"/>
      <c r="AE141" s="631"/>
      <c r="AF141" s="631"/>
      <c r="AG141" s="631"/>
      <c r="AH141" s="631"/>
      <c r="AI141" s="631"/>
      <c r="BZ141" s="634"/>
      <c r="CA141" s="635"/>
    </row>
    <row r="142" spans="1:79" s="633" customFormat="1" ht="13.2">
      <c r="A142" s="276"/>
      <c r="B142" s="200"/>
      <c r="C142" s="200"/>
      <c r="D142" s="200"/>
      <c r="E142" s="200"/>
      <c r="F142" s="200"/>
      <c r="G142" s="200"/>
      <c r="H142" s="195"/>
      <c r="I142" s="195"/>
      <c r="J142" s="195"/>
      <c r="K142" s="195"/>
      <c r="L142" s="195"/>
      <c r="M142" s="195"/>
      <c r="N142" s="195"/>
      <c r="O142" s="195"/>
      <c r="P142" s="195"/>
      <c r="Q142" s="195"/>
      <c r="R142" s="195"/>
      <c r="S142" s="195"/>
      <c r="T142" s="195"/>
      <c r="U142" s="195"/>
      <c r="V142" s="195"/>
      <c r="W142" s="195"/>
      <c r="X142" s="195"/>
      <c r="Y142" s="195"/>
      <c r="Z142" s="195"/>
      <c r="AA142" s="195"/>
      <c r="AB142" s="631"/>
      <c r="AC142" s="631"/>
      <c r="AD142" s="631"/>
      <c r="AE142" s="631"/>
      <c r="AF142" s="631"/>
      <c r="AG142" s="631"/>
      <c r="AH142" s="632"/>
      <c r="AI142" s="632"/>
      <c r="BZ142" s="634"/>
      <c r="CA142" s="635"/>
    </row>
    <row r="143" spans="1:79" s="633" customFormat="1" ht="13.2">
      <c r="A143" s="657" t="s">
        <v>176</v>
      </c>
      <c r="B143" s="658">
        <f>B$2</f>
        <v>2007</v>
      </c>
      <c r="C143" s="658">
        <f t="shared" ref="C143:Q143" si="312">B143+1</f>
        <v>2008</v>
      </c>
      <c r="D143" s="658">
        <f t="shared" si="312"/>
        <v>2009</v>
      </c>
      <c r="E143" s="658">
        <f t="shared" si="312"/>
        <v>2010</v>
      </c>
      <c r="F143" s="658">
        <f t="shared" si="312"/>
        <v>2011</v>
      </c>
      <c r="G143" s="658">
        <f t="shared" si="312"/>
        <v>2012</v>
      </c>
      <c r="H143" s="658">
        <f t="shared" si="312"/>
        <v>2013</v>
      </c>
      <c r="I143" s="658">
        <f t="shared" si="312"/>
        <v>2014</v>
      </c>
      <c r="J143" s="658">
        <f t="shared" si="312"/>
        <v>2015</v>
      </c>
      <c r="K143" s="658">
        <f t="shared" si="312"/>
        <v>2016</v>
      </c>
      <c r="L143" s="658">
        <f t="shared" si="312"/>
        <v>2017</v>
      </c>
      <c r="M143" s="658">
        <f t="shared" si="312"/>
        <v>2018</v>
      </c>
      <c r="N143" s="658">
        <f t="shared" si="312"/>
        <v>2019</v>
      </c>
      <c r="O143" s="658">
        <f t="shared" si="312"/>
        <v>2020</v>
      </c>
      <c r="P143" s="658">
        <f t="shared" si="312"/>
        <v>2021</v>
      </c>
      <c r="Q143" s="658">
        <f t="shared" si="312"/>
        <v>2022</v>
      </c>
      <c r="R143" s="658">
        <f t="shared" ref="R143:W143" si="313">Q143+1</f>
        <v>2023</v>
      </c>
      <c r="S143" s="658">
        <f t="shared" si="313"/>
        <v>2024</v>
      </c>
      <c r="T143" s="658">
        <f t="shared" si="313"/>
        <v>2025</v>
      </c>
      <c r="U143" s="658">
        <f t="shared" si="313"/>
        <v>2026</v>
      </c>
      <c r="V143" s="658">
        <f t="shared" si="313"/>
        <v>2027</v>
      </c>
      <c r="W143" s="658">
        <f t="shared" si="313"/>
        <v>2028</v>
      </c>
      <c r="X143" s="658">
        <f t="shared" ref="X143" si="314">W143+1</f>
        <v>2029</v>
      </c>
      <c r="Y143" s="658">
        <f t="shared" ref="Y143" si="315">X143+1</f>
        <v>2030</v>
      </c>
      <c r="Z143" s="658">
        <f t="shared" ref="Z143" si="316">Y143+1</f>
        <v>2031</v>
      </c>
      <c r="AA143" s="658">
        <f t="shared" ref="AA143" si="317">Z143+1</f>
        <v>2032</v>
      </c>
      <c r="AB143" s="647"/>
      <c r="AC143" s="632"/>
      <c r="AD143" s="632"/>
      <c r="AE143" s="632"/>
      <c r="AF143" s="632"/>
      <c r="AG143" s="632"/>
      <c r="AH143" s="631"/>
      <c r="AI143" s="631"/>
      <c r="BZ143" s="634"/>
      <c r="CA143" s="635"/>
    </row>
    <row r="144" spans="1:79" s="633" customFormat="1" ht="13.2">
      <c r="A144" s="276"/>
      <c r="B144" s="200"/>
      <c r="C144" s="200"/>
      <c r="D144" s="200"/>
      <c r="E144" s="200"/>
      <c r="F144" s="200"/>
      <c r="G144" s="200"/>
      <c r="H144" s="195"/>
      <c r="I144" s="195"/>
      <c r="J144" s="195"/>
      <c r="K144" s="195"/>
      <c r="L144" s="195"/>
      <c r="M144" s="195"/>
      <c r="N144" s="195"/>
      <c r="O144" s="195"/>
      <c r="P144" s="195"/>
      <c r="Q144" s="195"/>
      <c r="R144" s="195"/>
      <c r="S144" s="195"/>
      <c r="T144" s="195"/>
      <c r="U144" s="195"/>
      <c r="V144" s="195"/>
      <c r="W144" s="195"/>
      <c r="X144" s="195"/>
      <c r="Y144" s="195"/>
      <c r="Z144" s="195"/>
      <c r="AA144" s="195"/>
      <c r="AB144" s="631"/>
      <c r="AC144" s="631"/>
      <c r="AD144" s="631"/>
      <c r="AE144" s="631"/>
      <c r="AF144" s="631"/>
      <c r="AG144" s="631"/>
      <c r="AH144" s="631"/>
      <c r="AI144" s="631"/>
      <c r="BZ144" s="634"/>
      <c r="CA144" s="635"/>
    </row>
    <row r="145" spans="1:79" s="633" customFormat="1" ht="13.2">
      <c r="A145" s="276" t="s">
        <v>177</v>
      </c>
      <c r="B145" s="206">
        <v>0</v>
      </c>
      <c r="C145" s="206">
        <v>0</v>
      </c>
      <c r="D145" s="206">
        <v>0</v>
      </c>
      <c r="E145" s="206">
        <v>0</v>
      </c>
      <c r="F145" s="206">
        <v>0</v>
      </c>
      <c r="G145" s="206">
        <v>0</v>
      </c>
      <c r="H145" s="206">
        <v>0</v>
      </c>
      <c r="I145" s="206">
        <v>0</v>
      </c>
      <c r="J145" s="206">
        <v>0</v>
      </c>
      <c r="K145" s="206">
        <v>0</v>
      </c>
      <c r="L145" s="206">
        <v>0</v>
      </c>
      <c r="M145" s="206">
        <v>0</v>
      </c>
      <c r="N145" s="206">
        <v>0</v>
      </c>
      <c r="O145" s="206">
        <v>0</v>
      </c>
      <c r="P145" s="206">
        <v>0</v>
      </c>
      <c r="Q145" s="206"/>
      <c r="R145" s="206">
        <v>0</v>
      </c>
      <c r="S145" s="206">
        <v>0</v>
      </c>
      <c r="T145" s="206">
        <v>0</v>
      </c>
      <c r="U145" s="206">
        <v>0</v>
      </c>
      <c r="V145" s="206">
        <v>0</v>
      </c>
      <c r="W145" s="206">
        <v>0</v>
      </c>
      <c r="X145" s="206">
        <v>0</v>
      </c>
      <c r="Y145" s="206">
        <v>0</v>
      </c>
      <c r="Z145" s="206">
        <v>0</v>
      </c>
      <c r="AA145" s="206">
        <v>0</v>
      </c>
      <c r="AB145" s="708"/>
      <c r="AC145" s="631"/>
      <c r="AD145" s="631"/>
      <c r="AE145" s="631"/>
      <c r="AF145" s="631"/>
      <c r="AG145" s="631"/>
      <c r="AH145" s="631"/>
      <c r="AI145" s="631"/>
      <c r="BZ145" s="634"/>
      <c r="CA145" s="635"/>
    </row>
    <row r="146" spans="1:79" s="633" customFormat="1" ht="13.2">
      <c r="A146" s="276" t="s">
        <v>65</v>
      </c>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685"/>
      <c r="AC146" s="631"/>
      <c r="AD146" s="631"/>
      <c r="AE146" s="631"/>
      <c r="AF146" s="631"/>
      <c r="AG146" s="631"/>
      <c r="AH146" s="631"/>
      <c r="AI146" s="631"/>
      <c r="BZ146" s="634"/>
      <c r="CA146" s="635"/>
    </row>
    <row r="147" spans="1:79" s="633" customFormat="1" ht="13.2">
      <c r="A147" s="276"/>
      <c r="B147" s="200"/>
      <c r="C147" s="200"/>
      <c r="D147" s="200"/>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c r="AA147" s="200"/>
      <c r="AC147" s="631"/>
      <c r="AD147" s="631"/>
      <c r="AE147" s="631"/>
      <c r="AF147" s="631"/>
      <c r="AG147" s="631"/>
      <c r="AH147" s="631"/>
      <c r="AI147" s="631"/>
      <c r="BZ147" s="634"/>
      <c r="CA147" s="635"/>
    </row>
    <row r="148" spans="1:79" s="633" customFormat="1" ht="13.2">
      <c r="A148" s="276" t="s">
        <v>178</v>
      </c>
      <c r="B148" s="206">
        <v>0</v>
      </c>
      <c r="C148" s="206">
        <v>0</v>
      </c>
      <c r="D148" s="206">
        <v>0</v>
      </c>
      <c r="E148" s="206">
        <v>0</v>
      </c>
      <c r="F148" s="206">
        <v>0</v>
      </c>
      <c r="G148" s="206">
        <v>0</v>
      </c>
      <c r="H148" s="206">
        <v>0</v>
      </c>
      <c r="I148" s="206">
        <v>0</v>
      </c>
      <c r="J148" s="303"/>
      <c r="K148" s="206">
        <v>0</v>
      </c>
      <c r="L148" s="206">
        <v>0</v>
      </c>
      <c r="M148" s="206">
        <v>0</v>
      </c>
      <c r="N148" s="206">
        <v>0</v>
      </c>
      <c r="O148" s="206">
        <v>0</v>
      </c>
      <c r="P148" s="206">
        <v>0</v>
      </c>
      <c r="Q148" s="206"/>
      <c r="R148" s="206">
        <v>0</v>
      </c>
      <c r="S148" s="206">
        <v>0</v>
      </c>
      <c r="T148" s="206">
        <v>0</v>
      </c>
      <c r="U148" s="206">
        <v>0</v>
      </c>
      <c r="V148" s="206">
        <v>0</v>
      </c>
      <c r="W148" s="206">
        <v>0</v>
      </c>
      <c r="X148" s="206">
        <v>0</v>
      </c>
      <c r="Y148" s="206">
        <v>0</v>
      </c>
      <c r="Z148" s="206">
        <v>0</v>
      </c>
      <c r="AA148" s="206">
        <v>0</v>
      </c>
      <c r="AB148" s="708"/>
      <c r="AC148" s="631"/>
      <c r="AD148" s="631"/>
      <c r="AE148" s="631"/>
      <c r="AF148" s="631"/>
      <c r="AG148" s="631"/>
      <c r="AH148" s="631"/>
      <c r="AI148" s="631"/>
      <c r="BZ148" s="634"/>
      <c r="CA148" s="635"/>
    </row>
    <row r="149" spans="1:79" s="633" customFormat="1" ht="13.2">
      <c r="A149" s="276"/>
      <c r="B149" s="200"/>
      <c r="C149" s="200"/>
      <c r="D149" s="200"/>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c r="AA149" s="200"/>
      <c r="AC149" s="631"/>
      <c r="AD149" s="631"/>
      <c r="AE149" s="631"/>
      <c r="AF149" s="631"/>
      <c r="AG149" s="631"/>
      <c r="AH149" s="631"/>
      <c r="AI149" s="631"/>
      <c r="BZ149" s="634"/>
      <c r="CA149" s="635"/>
    </row>
    <row r="150" spans="1:79" s="633" customFormat="1" ht="13.2">
      <c r="A150" s="276"/>
      <c r="B150" s="713" t="s">
        <v>562</v>
      </c>
      <c r="C150" s="713"/>
      <c r="D150" s="713"/>
      <c r="E150" s="713"/>
      <c r="F150" s="713"/>
      <c r="G150" s="713"/>
      <c r="H150" s="713"/>
      <c r="I150" s="713"/>
      <c r="J150" s="261"/>
      <c r="K150" s="200"/>
      <c r="L150" s="200"/>
      <c r="M150" s="200"/>
      <c r="N150" s="200"/>
      <c r="O150" s="200"/>
      <c r="P150" s="200"/>
      <c r="Q150" s="200"/>
      <c r="R150" s="200"/>
      <c r="S150" s="200"/>
      <c r="T150" s="200"/>
      <c r="U150" s="200"/>
      <c r="V150" s="200"/>
      <c r="W150" s="200"/>
      <c r="X150" s="200"/>
      <c r="Y150" s="200"/>
      <c r="Z150" s="200"/>
      <c r="AA150" s="200"/>
      <c r="AC150" s="631"/>
      <c r="AD150" s="631"/>
      <c r="AE150" s="631"/>
      <c r="AF150" s="631"/>
      <c r="AG150" s="631"/>
      <c r="AH150" s="632"/>
      <c r="AI150" s="632"/>
      <c r="BZ150" s="634"/>
      <c r="CA150" s="635"/>
    </row>
    <row r="151" spans="1:79" s="633" customFormat="1" ht="13.2">
      <c r="A151" s="657" t="s">
        <v>179</v>
      </c>
      <c r="B151" s="658">
        <f>B$2</f>
        <v>2007</v>
      </c>
      <c r="C151" s="658">
        <f t="shared" ref="C151:Q151" si="318">B151+1</f>
        <v>2008</v>
      </c>
      <c r="D151" s="658">
        <f t="shared" si="318"/>
        <v>2009</v>
      </c>
      <c r="E151" s="658">
        <f t="shared" si="318"/>
        <v>2010</v>
      </c>
      <c r="F151" s="658">
        <f t="shared" si="318"/>
        <v>2011</v>
      </c>
      <c r="G151" s="658">
        <f t="shared" si="318"/>
        <v>2012</v>
      </c>
      <c r="H151" s="658">
        <f t="shared" si="318"/>
        <v>2013</v>
      </c>
      <c r="I151" s="658">
        <f t="shared" si="318"/>
        <v>2014</v>
      </c>
      <c r="J151" s="658">
        <f t="shared" si="318"/>
        <v>2015</v>
      </c>
      <c r="K151" s="658">
        <f t="shared" si="318"/>
        <v>2016</v>
      </c>
      <c r="L151" s="658">
        <f t="shared" si="318"/>
        <v>2017</v>
      </c>
      <c r="M151" s="658">
        <f t="shared" si="318"/>
        <v>2018</v>
      </c>
      <c r="N151" s="658">
        <f t="shared" si="318"/>
        <v>2019</v>
      </c>
      <c r="O151" s="658">
        <f t="shared" si="318"/>
        <v>2020</v>
      </c>
      <c r="P151" s="658">
        <f t="shared" si="318"/>
        <v>2021</v>
      </c>
      <c r="Q151" s="658">
        <f t="shared" si="318"/>
        <v>2022</v>
      </c>
      <c r="R151" s="658">
        <f t="shared" ref="R151:W151" si="319">Q151+1</f>
        <v>2023</v>
      </c>
      <c r="S151" s="658">
        <f t="shared" si="319"/>
        <v>2024</v>
      </c>
      <c r="T151" s="658">
        <f t="shared" si="319"/>
        <v>2025</v>
      </c>
      <c r="U151" s="658">
        <f t="shared" si="319"/>
        <v>2026</v>
      </c>
      <c r="V151" s="658">
        <f t="shared" si="319"/>
        <v>2027</v>
      </c>
      <c r="W151" s="658">
        <f t="shared" si="319"/>
        <v>2028</v>
      </c>
      <c r="X151" s="658">
        <f t="shared" ref="X151" si="320">W151+1</f>
        <v>2029</v>
      </c>
      <c r="Y151" s="658">
        <f t="shared" ref="Y151" si="321">X151+1</f>
        <v>2030</v>
      </c>
      <c r="Z151" s="658">
        <f t="shared" ref="Z151" si="322">Y151+1</f>
        <v>2031</v>
      </c>
      <c r="AA151" s="658">
        <f t="shared" ref="AA151" si="323">Z151+1</f>
        <v>2032</v>
      </c>
      <c r="AB151" s="647"/>
      <c r="AC151" s="632"/>
      <c r="AD151" s="632"/>
      <c r="AE151" s="632"/>
      <c r="AF151" s="632"/>
      <c r="AG151" s="632"/>
      <c r="AH151" s="631"/>
      <c r="AI151" s="631"/>
      <c r="BZ151" s="634"/>
      <c r="CA151" s="635"/>
    </row>
    <row r="152" spans="1:79" s="647" customFormat="1" ht="13.2">
      <c r="A152" s="286" t="s">
        <v>111</v>
      </c>
      <c r="B152" s="714"/>
      <c r="C152" s="714"/>
      <c r="D152" s="714">
        <v>134</v>
      </c>
      <c r="E152" s="714">
        <v>214</v>
      </c>
      <c r="F152" s="715">
        <v>110</v>
      </c>
      <c r="G152" s="715">
        <v>112.08750000000001</v>
      </c>
      <c r="H152" s="715">
        <v>70</v>
      </c>
      <c r="I152" s="715">
        <v>12</v>
      </c>
      <c r="J152" s="715">
        <v>13</v>
      </c>
      <c r="K152" s="715">
        <v>6</v>
      </c>
      <c r="L152" s="715">
        <v>5</v>
      </c>
      <c r="M152" s="715">
        <v>16</v>
      </c>
      <c r="N152" s="715">
        <v>3</v>
      </c>
      <c r="O152" s="715">
        <v>3</v>
      </c>
      <c r="P152" s="715">
        <v>5</v>
      </c>
      <c r="Q152" s="715">
        <v>8</v>
      </c>
      <c r="R152" s="715">
        <v>22</v>
      </c>
      <c r="S152" s="716">
        <f>S153*'Income Statement'!CE419</f>
        <v>22.969964383780166</v>
      </c>
      <c r="T152" s="716">
        <f>T153*'Income Statement'!CF419</f>
        <v>23.56496972462477</v>
      </c>
      <c r="U152" s="716">
        <f>U153*'Income Statement'!CG419</f>
        <v>24.225253847121841</v>
      </c>
      <c r="V152" s="716">
        <f>V153*'Income Statement'!CH419</f>
        <v>24.957726656163885</v>
      </c>
      <c r="W152" s="716">
        <f>W153*'Income Statement'!CI419</f>
        <v>25.756741534738858</v>
      </c>
      <c r="X152" s="716">
        <f>X153*'Income Statement'!CJ419</f>
        <v>26.554693123730839</v>
      </c>
      <c r="Y152" s="716">
        <f>Y153*'Income Statement'!CK419</f>
        <v>27.353294121170517</v>
      </c>
      <c r="Z152" s="716">
        <f>Z153*'Income Statement'!CL419</f>
        <v>28.154209090778178</v>
      </c>
      <c r="AA152" s="716">
        <f>AA153*'Income Statement'!CM419</f>
        <v>28.959059632382512</v>
      </c>
      <c r="AB152" s="662"/>
      <c r="AC152" s="632"/>
      <c r="AD152" s="632"/>
      <c r="AE152" s="632"/>
      <c r="AF152" s="632"/>
      <c r="AG152" s="632"/>
      <c r="AH152" s="632"/>
      <c r="AI152" s="632"/>
      <c r="BZ152" s="648"/>
      <c r="CA152" s="649"/>
    </row>
    <row r="153" spans="1:79" s="633" customFormat="1" ht="13.2">
      <c r="A153" s="276" t="s">
        <v>180</v>
      </c>
      <c r="B153" s="207">
        <f>B152/'Income Statement'!B419</f>
        <v>0</v>
      </c>
      <c r="C153" s="207">
        <f>C152/'Income Statement'!G419</f>
        <v>0</v>
      </c>
      <c r="D153" s="207">
        <f>D152/'Income Statement'!L419</f>
        <v>1.5559684161634928E-2</v>
      </c>
      <c r="E153" s="207">
        <f>E152/'Income Statement'!Q419</f>
        <v>2.4128988612019394E-2</v>
      </c>
      <c r="F153" s="207">
        <f>F152/'Income Statement'!V419</f>
        <v>1.2524194466583172E-2</v>
      </c>
      <c r="G153" s="207">
        <f>G152/'Income Statement'!AA419</f>
        <v>1.2622466216216217E-2</v>
      </c>
      <c r="H153" s="207">
        <f>H152/'Income Statement'!AF419</f>
        <v>7.7533358173544472E-3</v>
      </c>
      <c r="I153" s="207">
        <f>I152/'Income Statement'!AK419</f>
        <v>1.4278914802475012E-3</v>
      </c>
      <c r="J153" s="207">
        <f>J152/'Income Statement'!AP419</f>
        <v>1.511452156725962E-3</v>
      </c>
      <c r="K153" s="207">
        <f>K152/'Income Statement'!AU419</f>
        <v>6.9670227589410129E-4</v>
      </c>
      <c r="L153" s="207">
        <f>L152/'Income Statement'!AZ419</f>
        <v>5.3084191527763037E-4</v>
      </c>
      <c r="M153" s="207">
        <f>M152/'Income Statement'!BE419</f>
        <v>1.7406440382941688E-3</v>
      </c>
      <c r="N153" s="207">
        <f>N152/'Income Statement'!BJ419</f>
        <v>3.2213035541715882E-4</v>
      </c>
      <c r="O153" s="207">
        <f>O152/'Income Statement'!BO419</f>
        <v>3.3459736783403971E-4</v>
      </c>
      <c r="P153" s="207">
        <f>P152/'Income Statement'!BT419</f>
        <v>5.4106698409263072E-4</v>
      </c>
      <c r="Q153" s="207">
        <f>Q152/'Income Statement'!BY419</f>
        <v>8.1724384513229135E-4</v>
      </c>
      <c r="R153" s="207">
        <f>R152/'Income Statement'!CD419</f>
        <v>2.1611001964636544E-3</v>
      </c>
      <c r="S153" s="389">
        <f t="shared" ref="R153:W153" si="324">R153</f>
        <v>2.1611001964636544E-3</v>
      </c>
      <c r="T153" s="389">
        <f t="shared" si="324"/>
        <v>2.1611001964636544E-3</v>
      </c>
      <c r="U153" s="389">
        <f t="shared" si="324"/>
        <v>2.1611001964636544E-3</v>
      </c>
      <c r="V153" s="389">
        <f t="shared" si="324"/>
        <v>2.1611001964636544E-3</v>
      </c>
      <c r="W153" s="389">
        <f t="shared" si="324"/>
        <v>2.1611001964636544E-3</v>
      </c>
      <c r="X153" s="389">
        <f t="shared" ref="X153" si="325">W153</f>
        <v>2.1611001964636544E-3</v>
      </c>
      <c r="Y153" s="389">
        <f t="shared" ref="Y153" si="326">X153</f>
        <v>2.1611001964636544E-3</v>
      </c>
      <c r="Z153" s="389">
        <f t="shared" ref="Z153" si="327">Y153</f>
        <v>2.1611001964636544E-3</v>
      </c>
      <c r="AA153" s="389">
        <f t="shared" ref="AA153" si="328">Z153</f>
        <v>2.1611001964636544E-3</v>
      </c>
      <c r="AB153" s="685"/>
      <c r="AC153" s="631"/>
      <c r="AD153" s="632"/>
      <c r="AE153" s="631"/>
      <c r="AF153" s="631"/>
      <c r="AG153" s="631"/>
      <c r="AH153" s="631"/>
      <c r="AI153" s="631"/>
      <c r="BZ153" s="634"/>
      <c r="CA153" s="635"/>
    </row>
    <row r="154" spans="1:79" s="633" customFormat="1" ht="13.2">
      <c r="A154" s="276" t="s">
        <v>181</v>
      </c>
      <c r="B154" s="303"/>
      <c r="C154" s="303">
        <f t="shared" ref="C154:L154" si="329">C152-B152</f>
        <v>0</v>
      </c>
      <c r="D154" s="303">
        <f t="shared" si="329"/>
        <v>134</v>
      </c>
      <c r="E154" s="303">
        <f t="shared" si="329"/>
        <v>80</v>
      </c>
      <c r="F154" s="303">
        <f t="shared" si="329"/>
        <v>-104</v>
      </c>
      <c r="G154" s="303">
        <f t="shared" si="329"/>
        <v>2.0875000000000057</v>
      </c>
      <c r="H154" s="303">
        <f t="shared" si="329"/>
        <v>-42.087500000000006</v>
      </c>
      <c r="I154" s="303">
        <f t="shared" si="329"/>
        <v>-58</v>
      </c>
      <c r="J154" s="303">
        <f t="shared" si="329"/>
        <v>1</v>
      </c>
      <c r="K154" s="303">
        <f t="shared" si="329"/>
        <v>-7</v>
      </c>
      <c r="L154" s="303">
        <f t="shared" si="329"/>
        <v>-1</v>
      </c>
      <c r="M154" s="303">
        <f>M152-L152</f>
        <v>11</v>
      </c>
      <c r="N154" s="303">
        <f>N152-M152</f>
        <v>-13</v>
      </c>
      <c r="O154" s="303">
        <f>O152-N152</f>
        <v>0</v>
      </c>
      <c r="P154" s="303">
        <f>P152-O152</f>
        <v>2</v>
      </c>
      <c r="Q154" s="303">
        <f>Q152-P152</f>
        <v>3</v>
      </c>
      <c r="R154" s="303">
        <f>R152-Q152</f>
        <v>14</v>
      </c>
      <c r="S154" s="303">
        <f t="shared" ref="R154:W154" si="330">S152-R152</f>
        <v>0.96996438378016592</v>
      </c>
      <c r="T154" s="303">
        <f t="shared" si="330"/>
        <v>0.59500534084460455</v>
      </c>
      <c r="U154" s="303">
        <f t="shared" si="330"/>
        <v>0.66028412249707102</v>
      </c>
      <c r="V154" s="303">
        <f t="shared" si="330"/>
        <v>0.73247280904204359</v>
      </c>
      <c r="W154" s="303">
        <f t="shared" si="330"/>
        <v>0.79901487857497244</v>
      </c>
      <c r="X154" s="303">
        <f t="shared" ref="X154" si="331">X152-W152</f>
        <v>0.79795158899198171</v>
      </c>
      <c r="Y154" s="303">
        <f t="shared" ref="Y154" si="332">Y152-X152</f>
        <v>0.79860099743967794</v>
      </c>
      <c r="Z154" s="303">
        <f t="shared" ref="Z154" si="333">Z152-Y152</f>
        <v>0.80091496960766051</v>
      </c>
      <c r="AA154" s="303">
        <f t="shared" ref="AA154" si="334">AA152-Z152</f>
        <v>0.80485054160433478</v>
      </c>
      <c r="AB154" s="659"/>
      <c r="AC154" s="631"/>
      <c r="AD154" s="632"/>
      <c r="AE154" s="631"/>
      <c r="AF154" s="631"/>
      <c r="AG154" s="631"/>
      <c r="AH154" s="631"/>
      <c r="AI154" s="631"/>
      <c r="BZ154" s="634"/>
      <c r="CA154" s="635"/>
    </row>
    <row r="155" spans="1:79" s="647" customFormat="1" ht="13.2">
      <c r="A155" s="286" t="s">
        <v>182</v>
      </c>
      <c r="B155" s="714"/>
      <c r="C155" s="714"/>
      <c r="D155" s="714">
        <v>806</v>
      </c>
      <c r="E155" s="714">
        <v>991</v>
      </c>
      <c r="F155" s="715">
        <v>888</v>
      </c>
      <c r="G155" s="715">
        <v>904.8518181818182</v>
      </c>
      <c r="H155" s="715">
        <v>974</v>
      </c>
      <c r="I155" s="715">
        <v>1036</v>
      </c>
      <c r="J155" s="715">
        <v>1218</v>
      </c>
      <c r="K155" s="715">
        <v>1582</v>
      </c>
      <c r="L155" s="715">
        <v>1582</v>
      </c>
      <c r="M155" s="715">
        <v>2056</v>
      </c>
      <c r="N155" s="715">
        <v>2390</v>
      </c>
      <c r="O155" s="715">
        <v>2073</v>
      </c>
      <c r="P155" s="715">
        <v>1807</v>
      </c>
      <c r="Q155" s="715">
        <v>2136</v>
      </c>
      <c r="R155" s="715">
        <v>2435</v>
      </c>
      <c r="S155" s="716">
        <f>S156*'Income Statement'!CE419</f>
        <v>2516.9338473527114</v>
      </c>
      <c r="T155" s="716">
        <f>T156*'Income Statement'!CF419</f>
        <v>2556.3102420000018</v>
      </c>
      <c r="U155" s="716">
        <f>U156*'Income Statement'!CG419</f>
        <v>2601.6579947114378</v>
      </c>
      <c r="V155" s="716">
        <f>V156*'Income Statement'!CH419</f>
        <v>2653.5182995252894</v>
      </c>
      <c r="W155" s="716">
        <f>W156*'Income Statement'!CI419</f>
        <v>2711.0852715375859</v>
      </c>
      <c r="X155" s="716">
        <f>X156*'Income Statement'!CJ419</f>
        <v>2767.124752470761</v>
      </c>
      <c r="Y155" s="716">
        <f>Y156*'Income Statement'!CK419</f>
        <v>2821.8393299787836</v>
      </c>
      <c r="Z155" s="716">
        <f>Z156*'Income Statement'!CL419</f>
        <v>2875.4192318928754</v>
      </c>
      <c r="AA155" s="716">
        <f>AA156*'Income Statement'!CM419</f>
        <v>2928.0432765359528</v>
      </c>
      <c r="AB155" s="662"/>
      <c r="AC155" s="632"/>
      <c r="AD155" s="632"/>
      <c r="AE155" s="632"/>
      <c r="AF155" s="632"/>
      <c r="AG155" s="632"/>
      <c r="AH155" s="632"/>
      <c r="AI155" s="632"/>
      <c r="BZ155" s="648"/>
      <c r="CA155" s="649"/>
    </row>
    <row r="156" spans="1:79" s="633" customFormat="1" ht="13.2">
      <c r="A156" s="276" t="s">
        <v>180</v>
      </c>
      <c r="B156" s="207">
        <f>B155/'Income Statement'!B419</f>
        <v>0</v>
      </c>
      <c r="C156" s="207">
        <f>C155/'Income Statement'!G419</f>
        <v>0</v>
      </c>
      <c r="D156" s="207">
        <f>D155/'Income Statement'!L419</f>
        <v>9.3590339061774275E-2</v>
      </c>
      <c r="E156" s="207">
        <f>E155/'Income Statement'!Q419</f>
        <v>0.11173751268463186</v>
      </c>
      <c r="F156" s="207">
        <f>F155/'Income Statement'!V419</f>
        <v>0.10110440623932597</v>
      </c>
      <c r="G156" s="207">
        <f>G155/'Income Statement'!AA419</f>
        <v>0.10189772727272728</v>
      </c>
      <c r="H156" s="207">
        <f>H155/'Income Statement'!AF419</f>
        <v>0.10788212980147474</v>
      </c>
      <c r="I156" s="207">
        <f>I155/'Income Statement'!AK419</f>
        <v>0.12327463112803427</v>
      </c>
      <c r="J156" s="207">
        <f>J155/'Income Statement'!AP419</f>
        <v>0.14161144053017091</v>
      </c>
      <c r="K156" s="207">
        <f>K155/'Income Statement'!AU419</f>
        <v>0.18369716674407804</v>
      </c>
      <c r="L156" s="207">
        <f>L155/'Income Statement'!AZ419</f>
        <v>0.16795838199384222</v>
      </c>
      <c r="M156" s="207">
        <f>M155/'Income Statement'!BE419</f>
        <v>0.22367275892080069</v>
      </c>
      <c r="N156" s="207">
        <f>N155/'Income Statement'!BJ419</f>
        <v>0.25663051648233653</v>
      </c>
      <c r="O156" s="207">
        <f>O155/'Income Statement'!BO419</f>
        <v>0.23120678117332144</v>
      </c>
      <c r="P156" s="207">
        <f>P155/'Income Statement'!BT419</f>
        <v>0.19554160805107673</v>
      </c>
      <c r="Q156" s="207">
        <f>Q155/'Income Statement'!BY419</f>
        <v>0.21820410665032178</v>
      </c>
      <c r="R156" s="207">
        <f>R155/'Income Statement'!CD419</f>
        <v>0.23919449901768172</v>
      </c>
      <c r="S156" s="389">
        <f t="shared" ref="R156:W156" si="335">R156*0.99</f>
        <v>0.23680255402750491</v>
      </c>
      <c r="T156" s="389">
        <f t="shared" si="335"/>
        <v>0.23443452848722987</v>
      </c>
      <c r="U156" s="389">
        <f t="shared" si="335"/>
        <v>0.23209018320235758</v>
      </c>
      <c r="V156" s="389">
        <f t="shared" si="335"/>
        <v>0.22976928137033401</v>
      </c>
      <c r="W156" s="389">
        <f t="shared" si="335"/>
        <v>0.22747158855663066</v>
      </c>
      <c r="X156" s="389">
        <f t="shared" ref="X156" si="336">W156*0.99</f>
        <v>0.22519687267106436</v>
      </c>
      <c r="Y156" s="389">
        <f t="shared" ref="Y156" si="337">X156*0.99</f>
        <v>0.22294490394435371</v>
      </c>
      <c r="Z156" s="389">
        <f t="shared" ref="Z156" si="338">Y156*0.99</f>
        <v>0.22071545490491018</v>
      </c>
      <c r="AA156" s="389">
        <f t="shared" ref="AA156" si="339">Z156*0.99</f>
        <v>0.21850830035586108</v>
      </c>
      <c r="AB156" s="685"/>
      <c r="AC156" s="631"/>
      <c r="AD156" s="632"/>
      <c r="AE156" s="631"/>
      <c r="AF156" s="631"/>
      <c r="AG156" s="631"/>
      <c r="AH156" s="631"/>
      <c r="AI156" s="631"/>
      <c r="BZ156" s="634"/>
      <c r="CA156" s="635"/>
    </row>
    <row r="157" spans="1:79" s="633" customFormat="1" ht="13.2">
      <c r="A157" s="276" t="s">
        <v>183</v>
      </c>
      <c r="B157" s="303"/>
      <c r="C157" s="303">
        <f t="shared" ref="C157:L157" si="340">C155-B155</f>
        <v>0</v>
      </c>
      <c r="D157" s="303">
        <f t="shared" si="340"/>
        <v>806</v>
      </c>
      <c r="E157" s="303">
        <f t="shared" si="340"/>
        <v>185</v>
      </c>
      <c r="F157" s="303">
        <f t="shared" si="340"/>
        <v>-103</v>
      </c>
      <c r="G157" s="303">
        <f t="shared" si="340"/>
        <v>16.851818181818203</v>
      </c>
      <c r="H157" s="303">
        <f t="shared" si="340"/>
        <v>69.148181818181797</v>
      </c>
      <c r="I157" s="303">
        <f t="shared" si="340"/>
        <v>62</v>
      </c>
      <c r="J157" s="303">
        <f t="shared" si="340"/>
        <v>182</v>
      </c>
      <c r="K157" s="303">
        <f t="shared" si="340"/>
        <v>364</v>
      </c>
      <c r="L157" s="303">
        <f t="shared" si="340"/>
        <v>0</v>
      </c>
      <c r="M157" s="303">
        <f>M155-L155</f>
        <v>474</v>
      </c>
      <c r="N157" s="303">
        <f>N155-M155</f>
        <v>334</v>
      </c>
      <c r="O157" s="303">
        <f>O155-N155</f>
        <v>-317</v>
      </c>
      <c r="P157" s="303">
        <f>P155-O155</f>
        <v>-266</v>
      </c>
      <c r="Q157" s="303">
        <f>Q155-P155</f>
        <v>329</v>
      </c>
      <c r="R157" s="303">
        <f>R155-Q155</f>
        <v>299</v>
      </c>
      <c r="S157" s="303">
        <f t="shared" ref="R157:W157" si="341">S155-R155</f>
        <v>81.933847352711382</v>
      </c>
      <c r="T157" s="303">
        <f t="shared" si="341"/>
        <v>39.376394647290454</v>
      </c>
      <c r="U157" s="303">
        <f t="shared" si="341"/>
        <v>45.347752711435987</v>
      </c>
      <c r="V157" s="303">
        <f t="shared" si="341"/>
        <v>51.860304813851599</v>
      </c>
      <c r="W157" s="303">
        <f t="shared" si="341"/>
        <v>57.566972012296446</v>
      </c>
      <c r="X157" s="303">
        <f t="shared" ref="X157" si="342">X155-W155</f>
        <v>56.039480933175128</v>
      </c>
      <c r="Y157" s="303">
        <f t="shared" ref="Y157" si="343">Y155-X155</f>
        <v>54.714577508022558</v>
      </c>
      <c r="Z157" s="303">
        <f t="shared" ref="Z157" si="344">Z155-Y155</f>
        <v>53.579901914091806</v>
      </c>
      <c r="AA157" s="303">
        <f t="shared" ref="AA157" si="345">AA155-Z155</f>
        <v>52.624044643077468</v>
      </c>
      <c r="AB157" s="659"/>
      <c r="AC157" s="631"/>
      <c r="AD157" s="632"/>
      <c r="AE157" s="631"/>
      <c r="AF157" s="631"/>
      <c r="AG157" s="631"/>
      <c r="AH157" s="631"/>
      <c r="AI157" s="631"/>
      <c r="BZ157" s="634"/>
      <c r="CA157" s="635"/>
    </row>
    <row r="158" spans="1:79" s="633" customFormat="1" ht="13.2">
      <c r="A158" s="276"/>
      <c r="B158" s="200"/>
      <c r="C158" s="200"/>
      <c r="D158" s="200"/>
      <c r="E158" s="200"/>
      <c r="F158" s="200"/>
      <c r="G158" s="200"/>
      <c r="H158" s="195"/>
      <c r="I158" s="195"/>
      <c r="J158" s="195"/>
      <c r="K158" s="195"/>
      <c r="L158" s="195"/>
      <c r="M158" s="195"/>
      <c r="N158" s="195"/>
      <c r="O158" s="195"/>
      <c r="P158" s="195"/>
      <c r="Q158" s="195"/>
      <c r="R158" s="195"/>
      <c r="S158" s="195"/>
      <c r="T158" s="195"/>
      <c r="U158" s="195"/>
      <c r="V158" s="195"/>
      <c r="W158" s="195"/>
      <c r="X158" s="195"/>
      <c r="Y158" s="195"/>
      <c r="Z158" s="195"/>
      <c r="AA158" s="195"/>
      <c r="AB158" s="631"/>
      <c r="AC158" s="631"/>
      <c r="AD158" s="632"/>
      <c r="AE158" s="631"/>
      <c r="AF158" s="631"/>
      <c r="AG158" s="631"/>
      <c r="AH158" s="631"/>
      <c r="AI158" s="631"/>
      <c r="BZ158" s="634"/>
      <c r="CA158" s="635"/>
    </row>
    <row r="159" spans="1:79" s="647" customFormat="1" ht="13.2">
      <c r="A159" s="286" t="s">
        <v>184</v>
      </c>
      <c r="B159" s="714"/>
      <c r="C159" s="714"/>
      <c r="D159" s="714">
        <v>3258</v>
      </c>
      <c r="E159" s="714">
        <v>3298</v>
      </c>
      <c r="F159" s="715">
        <v>2922</v>
      </c>
      <c r="G159" s="715">
        <v>2977.451590909091</v>
      </c>
      <c r="H159" s="715">
        <v>2751</v>
      </c>
      <c r="I159" s="715">
        <v>3303</v>
      </c>
      <c r="J159" s="715">
        <v>3467</v>
      </c>
      <c r="K159" s="715">
        <v>3633</v>
      </c>
      <c r="L159" s="715">
        <v>3299</v>
      </c>
      <c r="M159" s="715">
        <v>4020</v>
      </c>
      <c r="N159" s="715">
        <v>4323</v>
      </c>
      <c r="O159" s="715">
        <v>3997</v>
      </c>
      <c r="P159" s="717">
        <v>4055</v>
      </c>
      <c r="Q159" s="717">
        <f>3807</f>
        <v>3807</v>
      </c>
      <c r="R159" s="717">
        <v>4126</v>
      </c>
      <c r="S159" s="716">
        <f>S160*'Income Statement'!CE419</f>
        <v>4178.6750389114841</v>
      </c>
      <c r="T159" s="716">
        <f>T160*'Income Statement'!CF419</f>
        <v>4158.3103335158685</v>
      </c>
      <c r="U159" s="716">
        <f>U160*'Income Statement'!CG419</f>
        <v>4146.5803200369592</v>
      </c>
      <c r="V159" s="716">
        <f>V160*'Income Statement'!CH419</f>
        <v>4143.7973064492026</v>
      </c>
      <c r="W159" s="716">
        <f>W160*'Income Statement'!CI419</f>
        <v>4148.1660623586313</v>
      </c>
      <c r="X159" s="716">
        <f>X160*'Income Statement'!CJ419</f>
        <v>4148.3771681185772</v>
      </c>
      <c r="Y159" s="716">
        <f>Y160*'Income Statement'!CK419</f>
        <v>4144.9406652182352</v>
      </c>
      <c r="Z159" s="716">
        <f>Z160*'Income Statement'!CL419</f>
        <v>4138.3169380352756</v>
      </c>
      <c r="AA159" s="716">
        <f>AA160*'Income Statement'!CM419</f>
        <v>4128.9213133943249</v>
      </c>
      <c r="AB159" s="662"/>
      <c r="AC159" s="632"/>
      <c r="AD159" s="632"/>
      <c r="AE159" s="632"/>
      <c r="AF159" s="632"/>
      <c r="AG159" s="632"/>
      <c r="AH159" s="632"/>
      <c r="AI159" s="632"/>
      <c r="BZ159" s="648"/>
      <c r="CA159" s="649"/>
    </row>
    <row r="160" spans="1:79" s="633" customFormat="1" ht="13.2">
      <c r="A160" s="276" t="s">
        <v>180</v>
      </c>
      <c r="B160" s="207">
        <f>B159/'Income Statement'!B419</f>
        <v>0</v>
      </c>
      <c r="C160" s="207">
        <f>C159/'Income Statement'!G419</f>
        <v>0</v>
      </c>
      <c r="D160" s="207">
        <f>D159/'Income Statement'!L419</f>
        <v>0.37830933581049697</v>
      </c>
      <c r="E160" s="207">
        <f>E159/'Income Statement'!Q419</f>
        <v>0.3718570301048596</v>
      </c>
      <c r="F160" s="207">
        <f>F159/'Income Statement'!V419</f>
        <v>0.33268814755778209</v>
      </c>
      <c r="G160" s="207">
        <f>G159/'Income Statement'!AA419</f>
        <v>0.33529860257985261</v>
      </c>
      <c r="H160" s="207">
        <f>H159/'Income Statement'!AF419</f>
        <v>0.30470609762202977</v>
      </c>
      <c r="I160" s="207">
        <f>I159/'Income Statement'!AK419</f>
        <v>0.39302712993812472</v>
      </c>
      <c r="J160" s="207">
        <f>J159/'Income Statement'!AP419</f>
        <v>0.40309266364376234</v>
      </c>
      <c r="K160" s="207">
        <f>K159/'Income Statement'!AU419</f>
        <v>0.42185322805387832</v>
      </c>
      <c r="L160" s="207">
        <f>L159/'Income Statement'!AZ419</f>
        <v>0.35024949570018049</v>
      </c>
      <c r="M160" s="207">
        <f>M159/'Income Statement'!BE419</f>
        <v>0.43733681462140994</v>
      </c>
      <c r="N160" s="207">
        <f>N159/'Income Statement'!BJ419</f>
        <v>0.46418984215612585</v>
      </c>
      <c r="O160" s="207">
        <f>O159/'Income Statement'!BO419</f>
        <v>0.44579522641088559</v>
      </c>
      <c r="P160" s="207">
        <f>P159/'Income Statement'!BT419</f>
        <v>0.43880532409912348</v>
      </c>
      <c r="Q160" s="207">
        <f>Q159/'Income Statement'!BY419</f>
        <v>0.38890591480232917</v>
      </c>
      <c r="R160" s="207">
        <f>R159/'Income Statement'!CD419</f>
        <v>0.40530451866404715</v>
      </c>
      <c r="S160" s="389">
        <f t="shared" ref="R160:W160" si="346">R160*0.97</f>
        <v>0.39314538310412572</v>
      </c>
      <c r="T160" s="389">
        <f t="shared" si="346"/>
        <v>0.38135102161100193</v>
      </c>
      <c r="U160" s="389">
        <f t="shared" si="346"/>
        <v>0.36991049096267187</v>
      </c>
      <c r="V160" s="389">
        <f t="shared" si="346"/>
        <v>0.35881317623379172</v>
      </c>
      <c r="W160" s="389">
        <f t="shared" si="346"/>
        <v>0.34804878094677794</v>
      </c>
      <c r="X160" s="389">
        <f t="shared" ref="X160" si="347">W160*0.97</f>
        <v>0.33760731751837458</v>
      </c>
      <c r="Y160" s="389">
        <f t="shared" ref="Y160" si="348">X160*0.97</f>
        <v>0.32747909799282332</v>
      </c>
      <c r="Z160" s="389">
        <f t="shared" ref="Z160" si="349">Y160*0.97</f>
        <v>0.3176547250530386</v>
      </c>
      <c r="AA160" s="389">
        <f t="shared" ref="AA160" si="350">Z160*0.97</f>
        <v>0.30812508330144744</v>
      </c>
      <c r="AB160" s="685"/>
      <c r="AC160" s="631"/>
      <c r="AD160" s="632"/>
      <c r="AE160" s="631"/>
      <c r="AF160" s="631"/>
      <c r="AG160" s="631"/>
      <c r="AH160" s="631"/>
      <c r="AI160" s="631"/>
      <c r="BZ160" s="634"/>
      <c r="CA160" s="635"/>
    </row>
    <row r="161" spans="1:79" s="633" customFormat="1" ht="13.2">
      <c r="A161" s="276" t="s">
        <v>185</v>
      </c>
      <c r="B161" s="303"/>
      <c r="C161" s="303">
        <f t="shared" ref="C161:L161" si="351">C159-B159</f>
        <v>0</v>
      </c>
      <c r="D161" s="303">
        <f t="shared" si="351"/>
        <v>3258</v>
      </c>
      <c r="E161" s="303">
        <f t="shared" si="351"/>
        <v>40</v>
      </c>
      <c r="F161" s="303">
        <f t="shared" si="351"/>
        <v>-376</v>
      </c>
      <c r="G161" s="303">
        <f t="shared" si="351"/>
        <v>55.45159090909101</v>
      </c>
      <c r="H161" s="303">
        <f t="shared" si="351"/>
        <v>-226.45159090909101</v>
      </c>
      <c r="I161" s="303">
        <f t="shared" si="351"/>
        <v>552</v>
      </c>
      <c r="J161" s="303">
        <f t="shared" si="351"/>
        <v>164</v>
      </c>
      <c r="K161" s="303">
        <f t="shared" si="351"/>
        <v>166</v>
      </c>
      <c r="L161" s="303">
        <f t="shared" si="351"/>
        <v>-334</v>
      </c>
      <c r="M161" s="303">
        <f>M159-L159</f>
        <v>721</v>
      </c>
      <c r="N161" s="303">
        <f>N159-M159</f>
        <v>303</v>
      </c>
      <c r="O161" s="303">
        <f>O159-N159</f>
        <v>-326</v>
      </c>
      <c r="P161" s="303">
        <f>P159-O159</f>
        <v>58</v>
      </c>
      <c r="Q161" s="303">
        <f>Q159-P159</f>
        <v>-248</v>
      </c>
      <c r="R161" s="303">
        <f>R159-Q159</f>
        <v>319</v>
      </c>
      <c r="S161" s="303">
        <f t="shared" ref="R161:W161" si="352">S159-R159</f>
        <v>52.67503891148408</v>
      </c>
      <c r="T161" s="303">
        <f t="shared" si="352"/>
        <v>-20.364705395615601</v>
      </c>
      <c r="U161" s="303">
        <f t="shared" si="352"/>
        <v>-11.730013478909314</v>
      </c>
      <c r="V161" s="303">
        <f t="shared" si="352"/>
        <v>-2.7830135877566136</v>
      </c>
      <c r="W161" s="303">
        <f t="shared" si="352"/>
        <v>4.368755909428728</v>
      </c>
      <c r="X161" s="303">
        <f t="shared" ref="X161" si="353">X159-W159</f>
        <v>0.21110575994589453</v>
      </c>
      <c r="Y161" s="303">
        <f t="shared" ref="Y161" si="354">Y159-X159</f>
        <v>-3.4365029003420204</v>
      </c>
      <c r="Z161" s="303">
        <f t="shared" ref="Z161" si="355">Z159-Y159</f>
        <v>-6.6237271829595556</v>
      </c>
      <c r="AA161" s="303">
        <f t="shared" ref="AA161" si="356">AA159-Z159</f>
        <v>-9.3956246409507003</v>
      </c>
      <c r="AB161" s="659"/>
      <c r="AC161" s="631"/>
      <c r="AD161" s="632"/>
      <c r="AE161" s="631"/>
      <c r="AF161" s="631"/>
      <c r="AG161" s="631"/>
      <c r="AH161" s="631"/>
      <c r="AI161" s="631"/>
      <c r="BZ161" s="634"/>
      <c r="CA161" s="635"/>
    </row>
    <row r="162" spans="1:79" s="647" customFormat="1" ht="13.2">
      <c r="A162" s="286" t="s">
        <v>126</v>
      </c>
      <c r="B162" s="714"/>
      <c r="C162" s="714"/>
      <c r="D162" s="714"/>
      <c r="E162" s="714"/>
      <c r="F162" s="715"/>
      <c r="G162" s="715"/>
      <c r="H162" s="715"/>
      <c r="I162" s="715"/>
      <c r="J162" s="715"/>
      <c r="K162" s="715">
        <f t="shared" ref="K162:L162" si="357">J162</f>
        <v>0</v>
      </c>
      <c r="L162" s="715">
        <f t="shared" si="357"/>
        <v>0</v>
      </c>
      <c r="M162" s="715">
        <v>116</v>
      </c>
      <c r="N162" s="715">
        <v>127</v>
      </c>
      <c r="O162" s="715">
        <v>130</v>
      </c>
      <c r="P162" s="715">
        <v>137</v>
      </c>
      <c r="Q162" s="715">
        <v>144</v>
      </c>
      <c r="R162" s="715">
        <v>160</v>
      </c>
      <c r="S162" s="716">
        <f>S163*'Income Statement'!CE419</f>
        <v>167.05428642749209</v>
      </c>
      <c r="T162" s="716">
        <f>T163*'Income Statement'!CF419</f>
        <v>171.38159799727103</v>
      </c>
      <c r="U162" s="716">
        <f>U163*'Income Statement'!CG419</f>
        <v>176.18366434270428</v>
      </c>
      <c r="V162" s="716">
        <f>V163*'Income Statement'!CH419</f>
        <v>181.5107393175555</v>
      </c>
      <c r="W162" s="716">
        <f>W163*'Income Statement'!CI419</f>
        <v>187.32175661628256</v>
      </c>
      <c r="X162" s="716">
        <f>X163*'Income Statement'!CJ419</f>
        <v>193.12504089986064</v>
      </c>
      <c r="Y162" s="716">
        <f>Y163*'Income Statement'!CK419</f>
        <v>198.93304815396738</v>
      </c>
      <c r="Z162" s="716">
        <f>Z163*'Income Statement'!CL419</f>
        <v>204.75788429656853</v>
      </c>
      <c r="AA162" s="716">
        <f>AA163*'Income Statement'!CM419</f>
        <v>210.6113427809637</v>
      </c>
      <c r="AB162" s="662"/>
      <c r="AC162" s="632"/>
      <c r="AD162" s="632"/>
      <c r="AE162" s="632"/>
      <c r="AF162" s="632"/>
      <c r="AG162" s="632"/>
      <c r="AH162" s="632"/>
      <c r="AI162" s="632"/>
      <c r="BZ162" s="648"/>
      <c r="CA162" s="649"/>
    </row>
    <row r="163" spans="1:79" s="633" customFormat="1" ht="13.2">
      <c r="A163" s="276" t="s">
        <v>180</v>
      </c>
      <c r="B163" s="207">
        <f>B162/'Income Statement'!B419</f>
        <v>0</v>
      </c>
      <c r="C163" s="207">
        <f>C162/'Income Statement'!G419</f>
        <v>0</v>
      </c>
      <c r="D163" s="207">
        <f>D162/'Income Statement'!L419</f>
        <v>0</v>
      </c>
      <c r="E163" s="207">
        <f>E162/'Income Statement'!Q419</f>
        <v>0</v>
      </c>
      <c r="F163" s="207">
        <f>F162/'Income Statement'!V419</f>
        <v>0</v>
      </c>
      <c r="G163" s="207">
        <f>G162/'Income Statement'!AA419</f>
        <v>0</v>
      </c>
      <c r="H163" s="207">
        <f>H162/'Income Statement'!AF419</f>
        <v>0</v>
      </c>
      <c r="I163" s="207">
        <f>I162/'Income Statement'!AK419</f>
        <v>0</v>
      </c>
      <c r="J163" s="207">
        <f>J162/'Income Statement'!AP419</f>
        <v>0</v>
      </c>
      <c r="K163" s="207">
        <f>K162/'Income Statement'!AU419</f>
        <v>0</v>
      </c>
      <c r="L163" s="207">
        <f>L162/'Income Statement'!AZ419</f>
        <v>0</v>
      </c>
      <c r="M163" s="207">
        <f>M162/'Income Statement'!BE419</f>
        <v>1.2619669277632724E-2</v>
      </c>
      <c r="N163" s="207">
        <f>N162/'Income Statement'!BJ419</f>
        <v>1.3636851712659723E-2</v>
      </c>
      <c r="O163" s="207">
        <f>O162/'Income Statement'!BO419</f>
        <v>1.4499219272808388E-2</v>
      </c>
      <c r="P163" s="207">
        <f>P162/'Income Statement'!BT419</f>
        <v>1.482523536413808E-2</v>
      </c>
      <c r="Q163" s="207">
        <f>Q162/'Income Statement'!BY419</f>
        <v>1.4710389212381244E-2</v>
      </c>
      <c r="R163" s="207">
        <f>R162/'Income Statement'!CD419</f>
        <v>1.5717092337917484E-2</v>
      </c>
      <c r="S163" s="705">
        <f>R163</f>
        <v>1.5717092337917484E-2</v>
      </c>
      <c r="T163" s="705">
        <f t="shared" ref="R162:W163" si="358">S163</f>
        <v>1.5717092337917484E-2</v>
      </c>
      <c r="U163" s="705">
        <f t="shared" si="358"/>
        <v>1.5717092337917484E-2</v>
      </c>
      <c r="V163" s="705">
        <f t="shared" si="358"/>
        <v>1.5717092337917484E-2</v>
      </c>
      <c r="W163" s="705">
        <f t="shared" si="358"/>
        <v>1.5717092337917484E-2</v>
      </c>
      <c r="X163" s="705">
        <f t="shared" ref="X162:X163" si="359">W163</f>
        <v>1.5717092337917484E-2</v>
      </c>
      <c r="Y163" s="705">
        <f t="shared" ref="Y162:Y163" si="360">X163</f>
        <v>1.5717092337917484E-2</v>
      </c>
      <c r="Z163" s="705">
        <f t="shared" ref="Z162:Z163" si="361">Y163</f>
        <v>1.5717092337917484E-2</v>
      </c>
      <c r="AA163" s="705">
        <f t="shared" ref="AA162:AA163" si="362">Z163</f>
        <v>1.5717092337917484E-2</v>
      </c>
      <c r="AB163" s="685"/>
      <c r="AC163" s="631"/>
      <c r="AD163" s="632"/>
      <c r="AE163" s="631"/>
      <c r="AF163" s="631"/>
      <c r="AG163" s="631"/>
      <c r="AH163" s="631"/>
      <c r="AI163" s="631"/>
      <c r="BZ163" s="634"/>
      <c r="CA163" s="635"/>
    </row>
    <row r="164" spans="1:79" s="633" customFormat="1" ht="13.2">
      <c r="A164" s="276" t="s">
        <v>186</v>
      </c>
      <c r="B164" s="206"/>
      <c r="C164" s="303">
        <f t="shared" ref="C164:R164" si="363">C162-B162</f>
        <v>0</v>
      </c>
      <c r="D164" s="303">
        <f t="shared" si="363"/>
        <v>0</v>
      </c>
      <c r="E164" s="303">
        <f t="shared" si="363"/>
        <v>0</v>
      </c>
      <c r="F164" s="303">
        <f t="shared" si="363"/>
        <v>0</v>
      </c>
      <c r="G164" s="303">
        <f t="shared" si="363"/>
        <v>0</v>
      </c>
      <c r="H164" s="303">
        <f t="shared" si="363"/>
        <v>0</v>
      </c>
      <c r="I164" s="303">
        <f t="shared" si="363"/>
        <v>0</v>
      </c>
      <c r="J164" s="303">
        <f t="shared" si="363"/>
        <v>0</v>
      </c>
      <c r="K164" s="303">
        <f t="shared" si="363"/>
        <v>0</v>
      </c>
      <c r="L164" s="303">
        <f t="shared" si="363"/>
        <v>0</v>
      </c>
      <c r="M164" s="303">
        <f t="shared" si="363"/>
        <v>116</v>
      </c>
      <c r="N164" s="303">
        <f t="shared" si="363"/>
        <v>11</v>
      </c>
      <c r="O164" s="303">
        <f t="shared" si="363"/>
        <v>3</v>
      </c>
      <c r="P164" s="303">
        <f t="shared" si="363"/>
        <v>7</v>
      </c>
      <c r="Q164" s="303">
        <f t="shared" si="363"/>
        <v>7</v>
      </c>
      <c r="R164" s="303">
        <f t="shared" si="363"/>
        <v>16</v>
      </c>
      <c r="S164" s="303">
        <f t="shared" ref="R164:W164" si="364">S162-R162</f>
        <v>7.0542864274920873</v>
      </c>
      <c r="T164" s="303">
        <f t="shared" si="364"/>
        <v>4.3273115697789422</v>
      </c>
      <c r="U164" s="303">
        <f t="shared" si="364"/>
        <v>4.8020663454332464</v>
      </c>
      <c r="V164" s="303">
        <f t="shared" si="364"/>
        <v>5.3270749748512287</v>
      </c>
      <c r="W164" s="303">
        <f t="shared" si="364"/>
        <v>5.8110172987270516</v>
      </c>
      <c r="X164" s="303">
        <f t="shared" ref="X164" si="365">X162-W162</f>
        <v>5.8032842835780798</v>
      </c>
      <c r="Y164" s="303">
        <f t="shared" ref="Y164" si="366">Y162-X162</f>
        <v>5.8080072541067409</v>
      </c>
      <c r="Z164" s="303">
        <f t="shared" ref="Z164" si="367">Z162-Y162</f>
        <v>5.824836142601157</v>
      </c>
      <c r="AA164" s="303">
        <f t="shared" ref="AA164" si="368">AA162-Z162</f>
        <v>5.853458484395162</v>
      </c>
      <c r="AB164" s="659"/>
      <c r="AC164" s="631"/>
      <c r="AD164" s="631"/>
      <c r="AE164" s="631"/>
      <c r="AF164" s="631"/>
      <c r="AG164" s="631"/>
      <c r="AH164" s="631"/>
      <c r="AI164" s="631"/>
      <c r="BZ164" s="634"/>
      <c r="CA164" s="635"/>
    </row>
    <row r="165" spans="1:79" s="647" customFormat="1" ht="13.2">
      <c r="A165" s="286" t="s">
        <v>187</v>
      </c>
      <c r="B165" s="714"/>
      <c r="C165" s="714"/>
      <c r="D165" s="714"/>
      <c r="E165" s="714"/>
      <c r="F165" s="715"/>
      <c r="G165" s="715"/>
      <c r="H165" s="715"/>
      <c r="I165" s="715"/>
      <c r="J165" s="715">
        <v>29</v>
      </c>
      <c r="K165" s="715">
        <v>0</v>
      </c>
      <c r="L165" s="715">
        <v>0</v>
      </c>
      <c r="M165" s="715">
        <v>5</v>
      </c>
      <c r="N165" s="715">
        <v>25</v>
      </c>
      <c r="O165" s="715">
        <v>17</v>
      </c>
      <c r="P165" s="715">
        <v>20</v>
      </c>
      <c r="Q165" s="715">
        <v>32</v>
      </c>
      <c r="R165" s="715">
        <v>11</v>
      </c>
      <c r="S165" s="716">
        <f>S166*'Income Statement'!CE419</f>
        <v>11.484982191890083</v>
      </c>
      <c r="T165" s="716">
        <f>T166*'Income Statement'!CF419</f>
        <v>11.782484862312385</v>
      </c>
      <c r="U165" s="716">
        <f>U166*'Income Statement'!CG419</f>
        <v>12.112626923560921</v>
      </c>
      <c r="V165" s="716">
        <f>V166*'Income Statement'!CH419</f>
        <v>12.478863328081943</v>
      </c>
      <c r="W165" s="716">
        <f>W166*'Income Statement'!CI419</f>
        <v>12.878370767369429</v>
      </c>
      <c r="X165" s="716">
        <f>X166*'Income Statement'!CJ419</f>
        <v>13.27734656186542</v>
      </c>
      <c r="Y165" s="716">
        <f>Y166*'Income Statement'!CK419</f>
        <v>13.676647060585259</v>
      </c>
      <c r="Z165" s="716">
        <f>Z166*'Income Statement'!CL419</f>
        <v>14.077104545389089</v>
      </c>
      <c r="AA165" s="716">
        <f>AA166*'Income Statement'!CM419</f>
        <v>14.479529816191256</v>
      </c>
      <c r="AB165" s="662"/>
      <c r="AC165" s="632"/>
      <c r="AD165" s="632"/>
      <c r="AE165" s="632"/>
      <c r="AF165" s="632"/>
      <c r="AG165" s="632"/>
      <c r="AH165" s="632"/>
      <c r="AI165" s="632"/>
      <c r="BZ165" s="648"/>
      <c r="CA165" s="649"/>
    </row>
    <row r="166" spans="1:79" s="633" customFormat="1" ht="13.2">
      <c r="A166" s="276" t="s">
        <v>180</v>
      </c>
      <c r="B166" s="207">
        <f>B165/'Income Statement'!B419</f>
        <v>0</v>
      </c>
      <c r="C166" s="207">
        <f>C165/'Income Statement'!G419</f>
        <v>0</v>
      </c>
      <c r="D166" s="207">
        <f>D165/'Income Statement'!L419</f>
        <v>0</v>
      </c>
      <c r="E166" s="207">
        <f>E165/'Income Statement'!Q419</f>
        <v>0</v>
      </c>
      <c r="F166" s="207">
        <f>F165/'Income Statement'!V419</f>
        <v>0</v>
      </c>
      <c r="G166" s="207">
        <f>G165/'Income Statement'!AA419</f>
        <v>0</v>
      </c>
      <c r="H166" s="207">
        <f>H165/'Income Statement'!AF419</f>
        <v>0</v>
      </c>
      <c r="I166" s="207">
        <f>I165/'Income Statement'!AK419</f>
        <v>0</v>
      </c>
      <c r="J166" s="207">
        <f>J165/'Income Statement'!AP419</f>
        <v>3.3717009650040693E-3</v>
      </c>
      <c r="K166" s="207">
        <f>K165/'Income Statement'!AU419</f>
        <v>0</v>
      </c>
      <c r="L166" s="207">
        <f>L165/'Income Statement'!AZ419</f>
        <v>0</v>
      </c>
      <c r="M166" s="207">
        <f>M165/'Income Statement'!BE419</f>
        <v>5.4395126196692773E-4</v>
      </c>
      <c r="N166" s="207">
        <f>N165/'Income Statement'!BJ419</f>
        <v>2.6844196284763235E-3</v>
      </c>
      <c r="O166" s="207">
        <f>O165/'Income Statement'!BO419</f>
        <v>1.8960517510595582E-3</v>
      </c>
      <c r="P166" s="207">
        <f>P165/'Income Statement'!BT419</f>
        <v>2.1642679363705229E-3</v>
      </c>
      <c r="Q166" s="207">
        <f>Q165/'Income Statement'!BY419</f>
        <v>3.2689753805291654E-3</v>
      </c>
      <c r="R166" s="207">
        <f>R165/'Income Statement'!CD419</f>
        <v>1.0805500982318272E-3</v>
      </c>
      <c r="S166" s="705">
        <f t="shared" ref="R165:W166" si="369">R166</f>
        <v>1.0805500982318272E-3</v>
      </c>
      <c r="T166" s="705">
        <f t="shared" si="369"/>
        <v>1.0805500982318272E-3</v>
      </c>
      <c r="U166" s="705">
        <f t="shared" si="369"/>
        <v>1.0805500982318272E-3</v>
      </c>
      <c r="V166" s="705">
        <f t="shared" si="369"/>
        <v>1.0805500982318272E-3</v>
      </c>
      <c r="W166" s="705">
        <f t="shared" si="369"/>
        <v>1.0805500982318272E-3</v>
      </c>
      <c r="X166" s="705">
        <f t="shared" ref="X165:X166" si="370">W166</f>
        <v>1.0805500982318272E-3</v>
      </c>
      <c r="Y166" s="705">
        <f t="shared" ref="Y165:Y166" si="371">X166</f>
        <v>1.0805500982318272E-3</v>
      </c>
      <c r="Z166" s="705">
        <f t="shared" ref="Z165:Z166" si="372">Y166</f>
        <v>1.0805500982318272E-3</v>
      </c>
      <c r="AA166" s="705">
        <f t="shared" ref="AA165:AA166" si="373">Z166</f>
        <v>1.0805500982318272E-3</v>
      </c>
      <c r="AB166" s="685"/>
      <c r="AC166" s="631"/>
      <c r="AD166" s="632"/>
      <c r="AE166" s="631"/>
      <c r="AF166" s="631"/>
      <c r="AG166" s="631"/>
      <c r="AH166" s="631"/>
      <c r="AI166" s="631"/>
      <c r="BZ166" s="634"/>
      <c r="CA166" s="635"/>
    </row>
    <row r="167" spans="1:79" s="633" customFormat="1" ht="13.2">
      <c r="A167" s="276" t="s">
        <v>188</v>
      </c>
      <c r="B167" s="303"/>
      <c r="C167" s="303">
        <f t="shared" ref="C167:Q167" si="374">C165-B165</f>
        <v>0</v>
      </c>
      <c r="D167" s="303">
        <f t="shared" si="374"/>
        <v>0</v>
      </c>
      <c r="E167" s="303">
        <f t="shared" si="374"/>
        <v>0</v>
      </c>
      <c r="F167" s="303">
        <f t="shared" si="374"/>
        <v>0</v>
      </c>
      <c r="G167" s="303">
        <f t="shared" si="374"/>
        <v>0</v>
      </c>
      <c r="H167" s="303">
        <f t="shared" si="374"/>
        <v>0</v>
      </c>
      <c r="I167" s="303">
        <f t="shared" si="374"/>
        <v>0</v>
      </c>
      <c r="J167" s="303">
        <f t="shared" si="374"/>
        <v>29</v>
      </c>
      <c r="K167" s="303">
        <f t="shared" si="374"/>
        <v>-29</v>
      </c>
      <c r="L167" s="303">
        <f t="shared" si="374"/>
        <v>0</v>
      </c>
      <c r="M167" s="303">
        <f t="shared" si="374"/>
        <v>5</v>
      </c>
      <c r="N167" s="303">
        <f t="shared" si="374"/>
        <v>20</v>
      </c>
      <c r="O167" s="303">
        <f t="shared" si="374"/>
        <v>-8</v>
      </c>
      <c r="P167" s="303">
        <f t="shared" si="374"/>
        <v>3</v>
      </c>
      <c r="Q167" s="303">
        <f t="shared" si="374"/>
        <v>12</v>
      </c>
      <c r="R167" s="303">
        <f t="shared" ref="R167:W167" si="375">R165-Q165</f>
        <v>-21</v>
      </c>
      <c r="S167" s="303">
        <f t="shared" si="375"/>
        <v>0.48498219189008296</v>
      </c>
      <c r="T167" s="303">
        <f t="shared" si="375"/>
        <v>0.29750267042230227</v>
      </c>
      <c r="U167" s="303">
        <f t="shared" si="375"/>
        <v>0.33014206124853551</v>
      </c>
      <c r="V167" s="303">
        <f t="shared" si="375"/>
        <v>0.3662364045210218</v>
      </c>
      <c r="W167" s="303">
        <f t="shared" si="375"/>
        <v>0.39950743928748622</v>
      </c>
      <c r="X167" s="303">
        <f t="shared" ref="X167" si="376">X165-W165</f>
        <v>0.39897579449599085</v>
      </c>
      <c r="Y167" s="303">
        <f t="shared" ref="Y167" si="377">Y165-X165</f>
        <v>0.39930049871983897</v>
      </c>
      <c r="Z167" s="303">
        <f t="shared" ref="Z167" si="378">Z165-Y165</f>
        <v>0.40045748480383025</v>
      </c>
      <c r="AA167" s="303">
        <f t="shared" ref="AA167" si="379">AA165-Z165</f>
        <v>0.40242527080216739</v>
      </c>
      <c r="AB167" s="659"/>
      <c r="AC167" s="631"/>
      <c r="AD167" s="632"/>
      <c r="AE167" s="631"/>
      <c r="AF167" s="631"/>
      <c r="AG167" s="631"/>
      <c r="AH167" s="631"/>
      <c r="AI167" s="631"/>
      <c r="BZ167" s="634"/>
      <c r="CA167" s="635"/>
    </row>
    <row r="168" spans="1:79" s="633" customFormat="1" ht="13.2">
      <c r="A168" s="27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708"/>
      <c r="AC168" s="631"/>
      <c r="AD168" s="632"/>
      <c r="AE168" s="631"/>
      <c r="AF168" s="631"/>
      <c r="AG168" s="631"/>
      <c r="AH168" s="631"/>
      <c r="AI168" s="631"/>
      <c r="BZ168" s="634"/>
      <c r="CA168" s="635"/>
    </row>
    <row r="169" spans="1:79" s="633" customFormat="1" ht="13.2">
      <c r="A169" s="286" t="s">
        <v>189</v>
      </c>
      <c r="B169" s="716"/>
      <c r="C169" s="716">
        <f t="shared" ref="C169:P169" si="380">-C154-C157+C161+C164+C167</f>
        <v>0</v>
      </c>
      <c r="D169" s="716">
        <f t="shared" si="380"/>
        <v>2318</v>
      </c>
      <c r="E169" s="716">
        <f t="shared" si="380"/>
        <v>-225</v>
      </c>
      <c r="F169" s="716">
        <f t="shared" si="380"/>
        <v>-169</v>
      </c>
      <c r="G169" s="716">
        <f t="shared" si="380"/>
        <v>36.512272727272801</v>
      </c>
      <c r="H169" s="716">
        <f t="shared" si="380"/>
        <v>-253.5122727272728</v>
      </c>
      <c r="I169" s="716">
        <f t="shared" si="380"/>
        <v>548</v>
      </c>
      <c r="J169" s="716">
        <f t="shared" si="380"/>
        <v>10</v>
      </c>
      <c r="K169" s="716">
        <f>-K154-K157+K161+K164+K167</f>
        <v>-220</v>
      </c>
      <c r="L169" s="716">
        <f t="shared" si="380"/>
        <v>-333</v>
      </c>
      <c r="M169" s="716">
        <f t="shared" si="380"/>
        <v>357</v>
      </c>
      <c r="N169" s="716">
        <f t="shared" si="380"/>
        <v>13</v>
      </c>
      <c r="O169" s="716">
        <f>-O154-O157+O161+O164+O167</f>
        <v>-14</v>
      </c>
      <c r="P169" s="716">
        <f t="shared" si="380"/>
        <v>332</v>
      </c>
      <c r="Q169" s="716">
        <f>-Q154-Q157+Q161+Q164+Q167</f>
        <v>-561</v>
      </c>
      <c r="R169" s="716">
        <f t="shared" ref="R169:W169" si="381">-R154-R157+R161+R164+R167</f>
        <v>1</v>
      </c>
      <c r="S169" s="716">
        <f t="shared" si="381"/>
        <v>-22.689504205625298</v>
      </c>
      <c r="T169" s="716">
        <f t="shared" si="381"/>
        <v>-55.711291143549417</v>
      </c>
      <c r="U169" s="716">
        <f t="shared" si="381"/>
        <v>-52.605841906160592</v>
      </c>
      <c r="V169" s="716">
        <f t="shared" si="381"/>
        <v>-49.682479831278002</v>
      </c>
      <c r="W169" s="716">
        <f t="shared" si="381"/>
        <v>-47.786706243428156</v>
      </c>
      <c r="X169" s="716">
        <f t="shared" ref="X169:AA169" si="382">-X154-X157+X161+X164+X167</f>
        <v>-50.424066684147142</v>
      </c>
      <c r="Y169" s="716">
        <f t="shared" si="382"/>
        <v>-52.742373652977676</v>
      </c>
      <c r="Z169" s="716">
        <f t="shared" si="382"/>
        <v>-54.779250439254035</v>
      </c>
      <c r="AA169" s="716">
        <f t="shared" si="382"/>
        <v>-56.568636070435176</v>
      </c>
      <c r="AB169" s="662"/>
      <c r="AC169" s="631"/>
      <c r="AD169" s="632"/>
      <c r="AE169" s="631"/>
      <c r="AF169" s="631"/>
      <c r="AG169" s="631"/>
      <c r="AH169" s="631"/>
      <c r="AI169" s="631"/>
      <c r="BZ169" s="634"/>
      <c r="CA169" s="635"/>
    </row>
    <row r="170" spans="1:79" s="633" customFormat="1" ht="13.2">
      <c r="A170" s="276"/>
      <c r="B170" s="206"/>
      <c r="C170" s="206"/>
      <c r="D170" s="206"/>
      <c r="E170" s="206"/>
      <c r="F170" s="206"/>
      <c r="G170" s="206"/>
      <c r="H170" s="206"/>
      <c r="I170" s="206"/>
      <c r="J170" s="465"/>
      <c r="K170" s="465"/>
      <c r="L170" s="465"/>
      <c r="M170" s="465"/>
      <c r="N170" s="465"/>
      <c r="O170" s="465"/>
      <c r="P170" s="465"/>
      <c r="Q170" s="465"/>
      <c r="R170" s="465"/>
      <c r="S170" s="465"/>
      <c r="T170" s="465"/>
      <c r="U170" s="465"/>
      <c r="V170" s="465"/>
      <c r="W170" s="465"/>
      <c r="X170" s="465"/>
      <c r="Y170" s="465"/>
      <c r="Z170" s="465"/>
      <c r="AA170" s="465"/>
      <c r="AB170" s="629"/>
      <c r="AC170" s="631"/>
      <c r="AD170" s="631"/>
      <c r="AE170" s="631"/>
      <c r="AF170" s="631"/>
      <c r="AG170" s="631"/>
      <c r="AH170" s="632"/>
      <c r="AI170" s="632"/>
      <c r="BZ170" s="634"/>
      <c r="CA170" s="635"/>
    </row>
    <row r="171" spans="1:79" s="633" customFormat="1" ht="13.2">
      <c r="A171" s="657" t="s">
        <v>190</v>
      </c>
      <c r="B171" s="658">
        <f>B$2</f>
        <v>2007</v>
      </c>
      <c r="C171" s="658">
        <f t="shared" ref="C171:Q171" si="383">B171+1</f>
        <v>2008</v>
      </c>
      <c r="D171" s="658">
        <f t="shared" si="383"/>
        <v>2009</v>
      </c>
      <c r="E171" s="658">
        <f t="shared" si="383"/>
        <v>2010</v>
      </c>
      <c r="F171" s="658">
        <f t="shared" si="383"/>
        <v>2011</v>
      </c>
      <c r="G171" s="658">
        <f t="shared" si="383"/>
        <v>2012</v>
      </c>
      <c r="H171" s="658">
        <f t="shared" si="383"/>
        <v>2013</v>
      </c>
      <c r="I171" s="658">
        <f t="shared" si="383"/>
        <v>2014</v>
      </c>
      <c r="J171" s="658">
        <f t="shared" si="383"/>
        <v>2015</v>
      </c>
      <c r="K171" s="658">
        <f t="shared" si="383"/>
        <v>2016</v>
      </c>
      <c r="L171" s="658">
        <f t="shared" si="383"/>
        <v>2017</v>
      </c>
      <c r="M171" s="658">
        <f t="shared" si="383"/>
        <v>2018</v>
      </c>
      <c r="N171" s="658">
        <f t="shared" si="383"/>
        <v>2019</v>
      </c>
      <c r="O171" s="658">
        <f t="shared" si="383"/>
        <v>2020</v>
      </c>
      <c r="P171" s="658">
        <f t="shared" si="383"/>
        <v>2021</v>
      </c>
      <c r="Q171" s="658">
        <f t="shared" si="383"/>
        <v>2022</v>
      </c>
      <c r="R171" s="658">
        <f t="shared" ref="R171:W171" si="384">Q171+1</f>
        <v>2023</v>
      </c>
      <c r="S171" s="658">
        <f t="shared" si="384"/>
        <v>2024</v>
      </c>
      <c r="T171" s="658">
        <f t="shared" si="384"/>
        <v>2025</v>
      </c>
      <c r="U171" s="658">
        <f t="shared" si="384"/>
        <v>2026</v>
      </c>
      <c r="V171" s="658">
        <f t="shared" si="384"/>
        <v>2027</v>
      </c>
      <c r="W171" s="658">
        <f t="shared" si="384"/>
        <v>2028</v>
      </c>
      <c r="X171" s="658">
        <f t="shared" ref="X171" si="385">W171+1</f>
        <v>2029</v>
      </c>
      <c r="Y171" s="658">
        <f t="shared" ref="Y171" si="386">X171+1</f>
        <v>2030</v>
      </c>
      <c r="Z171" s="658">
        <f t="shared" ref="Z171" si="387">Y171+1</f>
        <v>2031</v>
      </c>
      <c r="AA171" s="658">
        <f t="shared" ref="AA171" si="388">Z171+1</f>
        <v>2032</v>
      </c>
      <c r="AB171" s="647"/>
      <c r="AC171" s="632"/>
      <c r="AD171" s="632"/>
      <c r="AE171" s="632"/>
      <c r="AF171" s="632"/>
      <c r="AG171" s="632"/>
      <c r="AH171" s="631"/>
      <c r="AI171" s="631"/>
      <c r="BZ171" s="634"/>
      <c r="CA171" s="635"/>
    </row>
    <row r="172" spans="1:79" s="633" customFormat="1" ht="13.2">
      <c r="A172" s="276"/>
      <c r="B172" s="301"/>
      <c r="C172" s="301"/>
      <c r="D172" s="301"/>
      <c r="E172" s="301"/>
      <c r="F172" s="302"/>
      <c r="G172" s="302"/>
      <c r="H172" s="302"/>
      <c r="I172" s="302"/>
      <c r="J172" s="302">
        <f>25+210+56</f>
        <v>291</v>
      </c>
      <c r="K172" s="302">
        <f>22+1+21+144</f>
        <v>188</v>
      </c>
      <c r="L172" s="302">
        <f>1+29+23</f>
        <v>53</v>
      </c>
      <c r="M172" s="302">
        <v>30</v>
      </c>
      <c r="N172" s="302">
        <v>10</v>
      </c>
      <c r="O172" s="302">
        <v>11</v>
      </c>
      <c r="P172" s="302">
        <v>0</v>
      </c>
      <c r="Q172" s="302">
        <v>0</v>
      </c>
      <c r="R172" s="302">
        <f t="shared" ref="R172:W172" si="389">Q172</f>
        <v>0</v>
      </c>
      <c r="S172" s="303">
        <f t="shared" si="389"/>
        <v>0</v>
      </c>
      <c r="T172" s="303">
        <f t="shared" si="389"/>
        <v>0</v>
      </c>
      <c r="U172" s="303">
        <f t="shared" si="389"/>
        <v>0</v>
      </c>
      <c r="V172" s="303">
        <f t="shared" si="389"/>
        <v>0</v>
      </c>
      <c r="W172" s="303">
        <f t="shared" si="389"/>
        <v>0</v>
      </c>
      <c r="X172" s="303">
        <f t="shared" ref="X172" si="390">W172</f>
        <v>0</v>
      </c>
      <c r="Y172" s="303">
        <f t="shared" ref="Y172" si="391">X172</f>
        <v>0</v>
      </c>
      <c r="Z172" s="303">
        <f t="shared" ref="Z172" si="392">Y172</f>
        <v>0</v>
      </c>
      <c r="AA172" s="303">
        <f t="shared" ref="AA172" si="393">Z172</f>
        <v>0</v>
      </c>
      <c r="AB172" s="659"/>
      <c r="AC172" s="631"/>
      <c r="AD172" s="631"/>
      <c r="AE172" s="631"/>
      <c r="AF172" s="631"/>
      <c r="AG172" s="631"/>
      <c r="AH172" s="631"/>
      <c r="AI172" s="631"/>
      <c r="BZ172" s="634"/>
      <c r="CA172" s="635"/>
    </row>
    <row r="173" spans="1:79" s="633" customFormat="1" ht="13.2">
      <c r="A173" s="276" t="s">
        <v>180</v>
      </c>
      <c r="B173" s="207">
        <f>B172/'Income Statement'!B419</f>
        <v>0</v>
      </c>
      <c r="C173" s="207">
        <f>C172/'Income Statement'!G419</f>
        <v>0</v>
      </c>
      <c r="D173" s="207">
        <f>D172/'Income Statement'!L419</f>
        <v>0</v>
      </c>
      <c r="E173" s="207">
        <f>E172/'Income Statement'!Q419</f>
        <v>0</v>
      </c>
      <c r="F173" s="207">
        <f>F172/'Income Statement'!V419</f>
        <v>0</v>
      </c>
      <c r="G173" s="207">
        <f>G172/'Income Statement'!AA419</f>
        <v>0</v>
      </c>
      <c r="H173" s="207">
        <f>H172/'Income Statement'!AF419</f>
        <v>0</v>
      </c>
      <c r="I173" s="207">
        <f>I172/'Income Statement'!AK419</f>
        <v>0</v>
      </c>
      <c r="J173" s="207">
        <f>J172/'Income Statement'!AP419</f>
        <v>3.3833275200558073E-2</v>
      </c>
      <c r="K173" s="207">
        <f>K172/'Income Statement'!AU419</f>
        <v>2.1830004644681839E-2</v>
      </c>
      <c r="L173" s="207">
        <f>L172/'Income Statement'!AZ419</f>
        <v>5.6269243019428814E-3</v>
      </c>
      <c r="M173" s="207">
        <f>M172/'Income Statement'!BE419</f>
        <v>3.2637075718015664E-3</v>
      </c>
      <c r="N173" s="207">
        <f>N172/'Income Statement'!BJ419</f>
        <v>1.0737678513905295E-3</v>
      </c>
      <c r="O173" s="207">
        <f>O172/'Income Statement'!BO419</f>
        <v>1.2268570153914789E-3</v>
      </c>
      <c r="P173" s="207">
        <f>P172/'Income Statement'!BT419</f>
        <v>0</v>
      </c>
      <c r="Q173" s="207">
        <f>Q172/'Income Statement'!BY419</f>
        <v>0</v>
      </c>
      <c r="R173" s="207">
        <f>R172/'Income Statement'!CD419</f>
        <v>0</v>
      </c>
      <c r="S173" s="207">
        <f>S172/'Income Statement'!CE419</f>
        <v>0</v>
      </c>
      <c r="T173" s="207">
        <f>T172/'Income Statement'!CF419</f>
        <v>0</v>
      </c>
      <c r="U173" s="207">
        <f>U172/'Income Statement'!CG419</f>
        <v>0</v>
      </c>
      <c r="V173" s="207">
        <f>V172/'Income Statement'!CH419</f>
        <v>0</v>
      </c>
      <c r="W173" s="207">
        <f>W172/'Income Statement'!CI419</f>
        <v>0</v>
      </c>
      <c r="X173" s="207">
        <f>X172/'Income Statement'!CJ419</f>
        <v>0</v>
      </c>
      <c r="Y173" s="207">
        <f>Y172/'Income Statement'!CK419</f>
        <v>0</v>
      </c>
      <c r="Z173" s="207">
        <f>Z172/'Income Statement'!CL419</f>
        <v>0</v>
      </c>
      <c r="AA173" s="207">
        <f>AA172/'Income Statement'!CM419</f>
        <v>0</v>
      </c>
      <c r="AB173" s="685"/>
      <c r="AC173" s="631"/>
      <c r="AD173" s="631"/>
      <c r="AE173" s="631"/>
      <c r="AF173" s="631"/>
      <c r="AG173" s="631"/>
      <c r="AH173" s="631"/>
      <c r="AI173" s="631"/>
      <c r="BZ173" s="634"/>
      <c r="CA173" s="635"/>
    </row>
    <row r="174" spans="1:79" s="633" customFormat="1" ht="13.2">
      <c r="A174" s="276"/>
      <c r="B174" s="206"/>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708"/>
      <c r="AC174" s="631"/>
      <c r="AD174" s="631"/>
      <c r="AE174" s="631"/>
      <c r="AF174" s="631"/>
      <c r="AG174" s="631"/>
      <c r="AH174" s="632"/>
      <c r="AI174" s="632"/>
      <c r="BZ174" s="634"/>
      <c r="CA174" s="635"/>
    </row>
    <row r="175" spans="1:79" s="633" customFormat="1" ht="13.2">
      <c r="A175" s="657" t="s">
        <v>191</v>
      </c>
      <c r="B175" s="658">
        <f>B$2</f>
        <v>2007</v>
      </c>
      <c r="C175" s="658">
        <f t="shared" ref="C175:Q175" si="394">B175+1</f>
        <v>2008</v>
      </c>
      <c r="D175" s="658">
        <f t="shared" si="394"/>
        <v>2009</v>
      </c>
      <c r="E175" s="658">
        <f t="shared" si="394"/>
        <v>2010</v>
      </c>
      <c r="F175" s="658">
        <f t="shared" si="394"/>
        <v>2011</v>
      </c>
      <c r="G175" s="658">
        <f t="shared" si="394"/>
        <v>2012</v>
      </c>
      <c r="H175" s="658">
        <f t="shared" si="394"/>
        <v>2013</v>
      </c>
      <c r="I175" s="658">
        <f t="shared" si="394"/>
        <v>2014</v>
      </c>
      <c r="J175" s="658">
        <f t="shared" si="394"/>
        <v>2015</v>
      </c>
      <c r="K175" s="658">
        <f t="shared" si="394"/>
        <v>2016</v>
      </c>
      <c r="L175" s="658">
        <f t="shared" si="394"/>
        <v>2017</v>
      </c>
      <c r="M175" s="658">
        <f t="shared" si="394"/>
        <v>2018</v>
      </c>
      <c r="N175" s="658">
        <f t="shared" si="394"/>
        <v>2019</v>
      </c>
      <c r="O175" s="658">
        <f t="shared" si="394"/>
        <v>2020</v>
      </c>
      <c r="P175" s="658">
        <f t="shared" si="394"/>
        <v>2021</v>
      </c>
      <c r="Q175" s="658">
        <f t="shared" si="394"/>
        <v>2022</v>
      </c>
      <c r="R175" s="658">
        <f t="shared" ref="R175:W175" si="395">Q175+1</f>
        <v>2023</v>
      </c>
      <c r="S175" s="658">
        <f t="shared" si="395"/>
        <v>2024</v>
      </c>
      <c r="T175" s="658">
        <f t="shared" si="395"/>
        <v>2025</v>
      </c>
      <c r="U175" s="658">
        <f t="shared" si="395"/>
        <v>2026</v>
      </c>
      <c r="V175" s="658">
        <f t="shared" si="395"/>
        <v>2027</v>
      </c>
      <c r="W175" s="658">
        <f t="shared" si="395"/>
        <v>2028</v>
      </c>
      <c r="X175" s="658">
        <f t="shared" ref="X175" si="396">W175+1</f>
        <v>2029</v>
      </c>
      <c r="Y175" s="658">
        <f t="shared" ref="Y175" si="397">X175+1</f>
        <v>2030</v>
      </c>
      <c r="Z175" s="658">
        <f t="shared" ref="Z175" si="398">Y175+1</f>
        <v>2031</v>
      </c>
      <c r="AA175" s="658">
        <f t="shared" ref="AA175" si="399">Z175+1</f>
        <v>2032</v>
      </c>
      <c r="AB175" s="647"/>
      <c r="AC175" s="632"/>
      <c r="AD175" s="632"/>
      <c r="AE175" s="632"/>
      <c r="AF175" s="632"/>
      <c r="AG175" s="632"/>
      <c r="AH175" s="631"/>
      <c r="AI175" s="631"/>
      <c r="BZ175" s="634"/>
      <c r="CA175" s="635"/>
    </row>
    <row r="176" spans="1:79" s="633" customFormat="1" ht="13.2">
      <c r="A176" s="276"/>
      <c r="B176" s="706">
        <v>0</v>
      </c>
      <c r="C176" s="706">
        <v>0</v>
      </c>
      <c r="D176" s="206">
        <f t="shared" ref="D176:Q176" si="400">C176</f>
        <v>0</v>
      </c>
      <c r="E176" s="206">
        <f t="shared" si="400"/>
        <v>0</v>
      </c>
      <c r="F176" s="206">
        <f t="shared" si="400"/>
        <v>0</v>
      </c>
      <c r="G176" s="206">
        <f t="shared" si="400"/>
        <v>0</v>
      </c>
      <c r="H176" s="206">
        <f t="shared" si="400"/>
        <v>0</v>
      </c>
      <c r="I176" s="206">
        <f t="shared" si="400"/>
        <v>0</v>
      </c>
      <c r="J176" s="206">
        <f t="shared" si="400"/>
        <v>0</v>
      </c>
      <c r="K176" s="206">
        <f t="shared" si="400"/>
        <v>0</v>
      </c>
      <c r="L176" s="206">
        <f t="shared" si="400"/>
        <v>0</v>
      </c>
      <c r="M176" s="206">
        <f t="shared" si="400"/>
        <v>0</v>
      </c>
      <c r="N176" s="206">
        <f t="shared" si="400"/>
        <v>0</v>
      </c>
      <c r="O176" s="206">
        <f t="shared" si="400"/>
        <v>0</v>
      </c>
      <c r="P176" s="206">
        <f t="shared" si="400"/>
        <v>0</v>
      </c>
      <c r="Q176" s="206">
        <f t="shared" si="400"/>
        <v>0</v>
      </c>
      <c r="R176" s="206">
        <f t="shared" ref="R176:W176" si="401">Q176</f>
        <v>0</v>
      </c>
      <c r="S176" s="206">
        <f t="shared" si="401"/>
        <v>0</v>
      </c>
      <c r="T176" s="206">
        <f t="shared" si="401"/>
        <v>0</v>
      </c>
      <c r="U176" s="206">
        <f t="shared" si="401"/>
        <v>0</v>
      </c>
      <c r="V176" s="206">
        <f t="shared" si="401"/>
        <v>0</v>
      </c>
      <c r="W176" s="206">
        <f t="shared" si="401"/>
        <v>0</v>
      </c>
      <c r="X176" s="206">
        <f t="shared" ref="X176" si="402">W176</f>
        <v>0</v>
      </c>
      <c r="Y176" s="206">
        <f t="shared" ref="Y176" si="403">X176</f>
        <v>0</v>
      </c>
      <c r="Z176" s="206">
        <f t="shared" ref="Z176" si="404">Y176</f>
        <v>0</v>
      </c>
      <c r="AA176" s="206">
        <f t="shared" ref="AA176" si="405">Z176</f>
        <v>0</v>
      </c>
      <c r="AB176" s="708"/>
      <c r="AC176" s="631"/>
      <c r="AD176" s="631"/>
      <c r="AE176" s="631"/>
      <c r="AF176" s="631"/>
      <c r="AG176" s="631"/>
      <c r="AH176" s="631"/>
      <c r="AI176" s="631"/>
      <c r="BZ176" s="634"/>
      <c r="CA176" s="635"/>
    </row>
    <row r="177" spans="1:79" s="633" customFormat="1" ht="13.2">
      <c r="A177" s="276"/>
      <c r="B177" s="206"/>
      <c r="C177" s="206"/>
      <c r="D177" s="206"/>
      <c r="E177" s="206"/>
      <c r="F177" s="206"/>
      <c r="G177" s="206"/>
      <c r="H177" s="195"/>
      <c r="I177" s="195"/>
      <c r="J177" s="195"/>
      <c r="K177" s="195"/>
      <c r="L177" s="195"/>
      <c r="M177" s="195"/>
      <c r="N177" s="195"/>
      <c r="O177" s="195"/>
      <c r="P177" s="195"/>
      <c r="Q177" s="195"/>
      <c r="R177" s="195"/>
      <c r="S177" s="195"/>
      <c r="T177" s="195"/>
      <c r="U177" s="195"/>
      <c r="V177" s="195"/>
      <c r="W177" s="195"/>
      <c r="X177" s="195"/>
      <c r="Y177" s="195"/>
      <c r="Z177" s="195"/>
      <c r="AA177" s="195"/>
      <c r="AB177" s="631"/>
      <c r="AC177" s="631"/>
      <c r="AD177" s="631"/>
      <c r="AE177" s="631"/>
      <c r="AF177" s="631"/>
      <c r="AG177" s="631"/>
      <c r="AH177" s="632"/>
      <c r="AI177" s="632"/>
      <c r="BZ177" s="634"/>
      <c r="CA177" s="635"/>
    </row>
    <row r="178" spans="1:79" s="633" customFormat="1" ht="13.2">
      <c r="A178" s="657" t="s">
        <v>115</v>
      </c>
      <c r="B178" s="658">
        <f>B$2</f>
        <v>2007</v>
      </c>
      <c r="C178" s="658">
        <f t="shared" ref="C178:Q178" si="406">B178+1</f>
        <v>2008</v>
      </c>
      <c r="D178" s="658">
        <f t="shared" si="406"/>
        <v>2009</v>
      </c>
      <c r="E178" s="658">
        <f t="shared" si="406"/>
        <v>2010</v>
      </c>
      <c r="F178" s="658">
        <f t="shared" si="406"/>
        <v>2011</v>
      </c>
      <c r="G178" s="658">
        <f t="shared" si="406"/>
        <v>2012</v>
      </c>
      <c r="H178" s="658">
        <f t="shared" si="406"/>
        <v>2013</v>
      </c>
      <c r="I178" s="658">
        <f t="shared" si="406"/>
        <v>2014</v>
      </c>
      <c r="J178" s="658">
        <f t="shared" si="406"/>
        <v>2015</v>
      </c>
      <c r="K178" s="658">
        <f t="shared" si="406"/>
        <v>2016</v>
      </c>
      <c r="L178" s="658">
        <f t="shared" si="406"/>
        <v>2017</v>
      </c>
      <c r="M178" s="658">
        <f t="shared" si="406"/>
        <v>2018</v>
      </c>
      <c r="N178" s="658">
        <f t="shared" si="406"/>
        <v>2019</v>
      </c>
      <c r="O178" s="658">
        <f t="shared" si="406"/>
        <v>2020</v>
      </c>
      <c r="P178" s="658">
        <f t="shared" si="406"/>
        <v>2021</v>
      </c>
      <c r="Q178" s="658">
        <f t="shared" si="406"/>
        <v>2022</v>
      </c>
      <c r="R178" s="658">
        <f t="shared" ref="R178:W178" si="407">Q178+1</f>
        <v>2023</v>
      </c>
      <c r="S178" s="658">
        <f t="shared" si="407"/>
        <v>2024</v>
      </c>
      <c r="T178" s="658">
        <f t="shared" si="407"/>
        <v>2025</v>
      </c>
      <c r="U178" s="658">
        <f t="shared" si="407"/>
        <v>2026</v>
      </c>
      <c r="V178" s="658">
        <f t="shared" si="407"/>
        <v>2027</v>
      </c>
      <c r="W178" s="658">
        <f t="shared" si="407"/>
        <v>2028</v>
      </c>
      <c r="X178" s="658">
        <f t="shared" ref="X178" si="408">W178+1</f>
        <v>2029</v>
      </c>
      <c r="Y178" s="658">
        <f t="shared" ref="Y178" si="409">X178+1</f>
        <v>2030</v>
      </c>
      <c r="Z178" s="658">
        <f t="shared" ref="Z178" si="410">Y178+1</f>
        <v>2031</v>
      </c>
      <c r="AA178" s="658">
        <f t="shared" ref="AA178" si="411">Z178+1</f>
        <v>2032</v>
      </c>
      <c r="AB178" s="647"/>
      <c r="AC178" s="632"/>
      <c r="AD178" s="632"/>
      <c r="AE178" s="632"/>
      <c r="AF178" s="632"/>
      <c r="AG178" s="632"/>
      <c r="AH178" s="631"/>
      <c r="AI178" s="631"/>
      <c r="BZ178" s="634"/>
      <c r="CA178" s="635"/>
    </row>
    <row r="179" spans="1:79" s="633" customFormat="1" ht="13.2">
      <c r="A179" s="276"/>
      <c r="B179" s="707"/>
      <c r="C179" s="707"/>
      <c r="D179" s="707">
        <v>6</v>
      </c>
      <c r="E179" s="707">
        <v>0</v>
      </c>
      <c r="F179" s="707">
        <v>3</v>
      </c>
      <c r="G179" s="707">
        <v>3</v>
      </c>
      <c r="H179" s="707">
        <v>145</v>
      </c>
      <c r="I179" s="707">
        <v>245</v>
      </c>
      <c r="J179" s="707">
        <v>617</v>
      </c>
      <c r="K179" s="707">
        <f>470+871</f>
        <v>1341</v>
      </c>
      <c r="L179" s="707">
        <f>2+802</f>
        <v>804</v>
      </c>
      <c r="M179" s="707">
        <f>4+1018+1</f>
        <v>1023</v>
      </c>
      <c r="N179" s="707">
        <f>4+1183+0+1032</f>
        <v>2219</v>
      </c>
      <c r="O179" s="707">
        <f>4+947</f>
        <v>951</v>
      </c>
      <c r="P179" s="707">
        <f>915+4</f>
        <v>919</v>
      </c>
      <c r="Q179" s="707">
        <f>20264-SUM(Q12:Q15)-Q17</f>
        <v>1231</v>
      </c>
      <c r="R179" s="707">
        <f>19740-SUM(R12:R15)-R17</f>
        <v>1337</v>
      </c>
      <c r="S179" s="206">
        <f t="shared" ref="R179:W179" si="412">R179</f>
        <v>1337</v>
      </c>
      <c r="T179" s="206">
        <f t="shared" si="412"/>
        <v>1337</v>
      </c>
      <c r="U179" s="206">
        <f t="shared" si="412"/>
        <v>1337</v>
      </c>
      <c r="V179" s="206">
        <f t="shared" si="412"/>
        <v>1337</v>
      </c>
      <c r="W179" s="206">
        <f t="shared" si="412"/>
        <v>1337</v>
      </c>
      <c r="X179" s="206">
        <f t="shared" ref="X179" si="413">W179</f>
        <v>1337</v>
      </c>
      <c r="Y179" s="206">
        <f t="shared" ref="Y179" si="414">X179</f>
        <v>1337</v>
      </c>
      <c r="Z179" s="206">
        <f t="shared" ref="Z179" si="415">Y179</f>
        <v>1337</v>
      </c>
      <c r="AA179" s="206">
        <f t="shared" ref="AA179" si="416">Z179</f>
        <v>1337</v>
      </c>
      <c r="AB179" s="708"/>
      <c r="AC179" s="631"/>
      <c r="AD179" s="631"/>
      <c r="AE179" s="631"/>
      <c r="AF179" s="631"/>
      <c r="AG179" s="631"/>
      <c r="AH179" s="631"/>
      <c r="AI179" s="631"/>
      <c r="BZ179" s="634"/>
      <c r="CA179" s="635"/>
    </row>
    <row r="180" spans="1:79" s="633" customFormat="1" ht="13.2">
      <c r="A180" s="276"/>
      <c r="B180" s="206"/>
      <c r="C180" s="206"/>
      <c r="D180" s="206"/>
      <c r="E180" s="206"/>
      <c r="F180" s="206"/>
      <c r="G180" s="206"/>
      <c r="H180" s="195"/>
      <c r="I180" s="195"/>
      <c r="J180" s="195"/>
      <c r="K180" s="195"/>
      <c r="L180" s="195"/>
      <c r="M180" s="195"/>
      <c r="N180" s="195"/>
      <c r="O180" s="195"/>
      <c r="P180" s="195"/>
      <c r="Q180" s="195"/>
      <c r="R180" s="195"/>
      <c r="S180" s="195"/>
      <c r="T180" s="195"/>
      <c r="U180" s="195"/>
      <c r="V180" s="195"/>
      <c r="W180" s="195"/>
      <c r="X180" s="195"/>
      <c r="Y180" s="195"/>
      <c r="Z180" s="195"/>
      <c r="AA180" s="195"/>
      <c r="AB180" s="631"/>
      <c r="AC180" s="631"/>
      <c r="AD180" s="631"/>
      <c r="AE180" s="631"/>
      <c r="AF180" s="631"/>
      <c r="AG180" s="631"/>
      <c r="AH180" s="632"/>
      <c r="AI180" s="632"/>
      <c r="BZ180" s="634"/>
      <c r="CA180" s="635"/>
    </row>
    <row r="181" spans="1:79" s="633" customFormat="1" ht="13.2">
      <c r="A181" s="657" t="s">
        <v>555</v>
      </c>
      <c r="B181" s="658">
        <f>B$2</f>
        <v>2007</v>
      </c>
      <c r="C181" s="658">
        <f t="shared" ref="C181:Q181" si="417">B181+1</f>
        <v>2008</v>
      </c>
      <c r="D181" s="658">
        <f t="shared" si="417"/>
        <v>2009</v>
      </c>
      <c r="E181" s="658">
        <f t="shared" si="417"/>
        <v>2010</v>
      </c>
      <c r="F181" s="658">
        <f t="shared" si="417"/>
        <v>2011</v>
      </c>
      <c r="G181" s="658">
        <f t="shared" si="417"/>
        <v>2012</v>
      </c>
      <c r="H181" s="658">
        <f t="shared" si="417"/>
        <v>2013</v>
      </c>
      <c r="I181" s="658">
        <f t="shared" si="417"/>
        <v>2014</v>
      </c>
      <c r="J181" s="658">
        <f t="shared" si="417"/>
        <v>2015</v>
      </c>
      <c r="K181" s="658">
        <f t="shared" si="417"/>
        <v>2016</v>
      </c>
      <c r="L181" s="658">
        <f t="shared" si="417"/>
        <v>2017</v>
      </c>
      <c r="M181" s="658">
        <f t="shared" si="417"/>
        <v>2018</v>
      </c>
      <c r="N181" s="658">
        <f t="shared" si="417"/>
        <v>2019</v>
      </c>
      <c r="O181" s="658">
        <f t="shared" si="417"/>
        <v>2020</v>
      </c>
      <c r="P181" s="658">
        <f t="shared" si="417"/>
        <v>2021</v>
      </c>
      <c r="Q181" s="658">
        <f t="shared" si="417"/>
        <v>2022</v>
      </c>
      <c r="R181" s="658">
        <f t="shared" ref="R181:W181" si="418">Q181+1</f>
        <v>2023</v>
      </c>
      <c r="S181" s="658">
        <f t="shared" si="418"/>
        <v>2024</v>
      </c>
      <c r="T181" s="658">
        <f t="shared" si="418"/>
        <v>2025</v>
      </c>
      <c r="U181" s="658">
        <f t="shared" si="418"/>
        <v>2026</v>
      </c>
      <c r="V181" s="658">
        <f t="shared" si="418"/>
        <v>2027</v>
      </c>
      <c r="W181" s="658">
        <f t="shared" si="418"/>
        <v>2028</v>
      </c>
      <c r="X181" s="658">
        <f t="shared" ref="X181" si="419">W181+1</f>
        <v>2029</v>
      </c>
      <c r="Y181" s="658">
        <f t="shared" ref="Y181" si="420">X181+1</f>
        <v>2030</v>
      </c>
      <c r="Z181" s="658">
        <f t="shared" ref="Z181" si="421">Y181+1</f>
        <v>2031</v>
      </c>
      <c r="AA181" s="658">
        <f t="shared" ref="AA181" si="422">Z181+1</f>
        <v>2032</v>
      </c>
      <c r="AB181" s="647"/>
      <c r="AC181" s="632"/>
      <c r="AD181" s="632"/>
      <c r="AE181" s="632"/>
      <c r="AF181" s="632"/>
      <c r="AG181" s="632"/>
      <c r="AH181" s="631"/>
      <c r="AI181" s="631"/>
    </row>
    <row r="182" spans="1:79" s="633" customFormat="1" ht="13.2">
      <c r="A182" s="276"/>
      <c r="B182" s="301"/>
      <c r="C182" s="301"/>
      <c r="D182" s="301">
        <v>86</v>
      </c>
      <c r="E182" s="301">
        <v>96</v>
      </c>
      <c r="F182" s="302">
        <v>121</v>
      </c>
      <c r="G182" s="302">
        <v>121</v>
      </c>
      <c r="H182" s="302">
        <v>128</v>
      </c>
      <c r="I182" s="302">
        <v>102</v>
      </c>
      <c r="J182" s="302">
        <v>55</v>
      </c>
      <c r="K182" s="302">
        <v>45</v>
      </c>
      <c r="L182" s="302">
        <v>8</v>
      </c>
      <c r="M182" s="302">
        <v>0</v>
      </c>
      <c r="N182" s="302">
        <v>0</v>
      </c>
      <c r="O182" s="302">
        <v>0</v>
      </c>
      <c r="P182" s="302">
        <f t="shared" ref="P182:W182" si="423">O182</f>
        <v>0</v>
      </c>
      <c r="Q182" s="302">
        <f t="shared" si="423"/>
        <v>0</v>
      </c>
      <c r="R182" s="302">
        <f t="shared" si="423"/>
        <v>0</v>
      </c>
      <c r="S182" s="303">
        <f t="shared" si="423"/>
        <v>0</v>
      </c>
      <c r="T182" s="303">
        <f t="shared" si="423"/>
        <v>0</v>
      </c>
      <c r="U182" s="303">
        <f t="shared" si="423"/>
        <v>0</v>
      </c>
      <c r="V182" s="303">
        <f t="shared" si="423"/>
        <v>0</v>
      </c>
      <c r="W182" s="303">
        <f t="shared" si="423"/>
        <v>0</v>
      </c>
      <c r="X182" s="303">
        <f t="shared" ref="X182" si="424">W182</f>
        <v>0</v>
      </c>
      <c r="Y182" s="303">
        <f t="shared" ref="Y182" si="425">X182</f>
        <v>0</v>
      </c>
      <c r="Z182" s="303">
        <f t="shared" ref="Z182" si="426">Y182</f>
        <v>0</v>
      </c>
      <c r="AA182" s="303">
        <f t="shared" ref="AA182" si="427">Z182</f>
        <v>0</v>
      </c>
      <c r="AB182" s="659"/>
      <c r="AC182" s="631"/>
      <c r="AD182" s="631"/>
      <c r="AE182" s="631"/>
      <c r="AF182" s="631"/>
      <c r="AG182" s="631"/>
      <c r="AH182" s="631"/>
      <c r="AI182" s="631"/>
    </row>
    <row r="183" spans="1:79" s="633" customFormat="1" ht="13.2">
      <c r="A183" s="276"/>
      <c r="B183" s="206"/>
      <c r="C183" s="206"/>
      <c r="D183" s="206"/>
      <c r="E183" s="206"/>
      <c r="F183" s="206"/>
      <c r="G183" s="206"/>
      <c r="H183" s="195"/>
      <c r="I183" s="195"/>
      <c r="J183" s="195"/>
      <c r="K183" s="195"/>
      <c r="L183" s="195"/>
      <c r="M183" s="195"/>
      <c r="N183" s="195"/>
      <c r="O183" s="195"/>
      <c r="P183" s="195"/>
      <c r="Q183" s="195"/>
      <c r="R183" s="195"/>
      <c r="S183" s="195"/>
      <c r="T183" s="195"/>
      <c r="U183" s="195"/>
      <c r="V183" s="195"/>
      <c r="W183" s="195"/>
      <c r="X183" s="195"/>
      <c r="Y183" s="195"/>
      <c r="Z183" s="195"/>
      <c r="AA183" s="195"/>
      <c r="AB183" s="631"/>
      <c r="AC183" s="631"/>
      <c r="AD183" s="631"/>
      <c r="AE183" s="631"/>
      <c r="AF183" s="631"/>
      <c r="AG183" s="631"/>
      <c r="AH183" s="632"/>
      <c r="AI183" s="632"/>
    </row>
    <row r="184" spans="1:79" s="633" customFormat="1" ht="13.2">
      <c r="A184" s="657" t="s">
        <v>123</v>
      </c>
      <c r="B184" s="658">
        <f>B$2</f>
        <v>2007</v>
      </c>
      <c r="C184" s="658">
        <f t="shared" ref="C184:Q184" si="428">B184+1</f>
        <v>2008</v>
      </c>
      <c r="D184" s="658">
        <f t="shared" si="428"/>
        <v>2009</v>
      </c>
      <c r="E184" s="658">
        <f t="shared" si="428"/>
        <v>2010</v>
      </c>
      <c r="F184" s="658">
        <f t="shared" si="428"/>
        <v>2011</v>
      </c>
      <c r="G184" s="658">
        <f t="shared" si="428"/>
        <v>2012</v>
      </c>
      <c r="H184" s="658">
        <f t="shared" si="428"/>
        <v>2013</v>
      </c>
      <c r="I184" s="658">
        <f t="shared" si="428"/>
        <v>2014</v>
      </c>
      <c r="J184" s="658">
        <f t="shared" si="428"/>
        <v>2015</v>
      </c>
      <c r="K184" s="658">
        <f t="shared" si="428"/>
        <v>2016</v>
      </c>
      <c r="L184" s="658">
        <f t="shared" si="428"/>
        <v>2017</v>
      </c>
      <c r="M184" s="658">
        <f t="shared" si="428"/>
        <v>2018</v>
      </c>
      <c r="N184" s="658">
        <f t="shared" si="428"/>
        <v>2019</v>
      </c>
      <c r="O184" s="658">
        <f t="shared" si="428"/>
        <v>2020</v>
      </c>
      <c r="P184" s="658">
        <f t="shared" si="428"/>
        <v>2021</v>
      </c>
      <c r="Q184" s="658">
        <f t="shared" si="428"/>
        <v>2022</v>
      </c>
      <c r="R184" s="658">
        <f t="shared" ref="R184:W184" si="429">Q184+1</f>
        <v>2023</v>
      </c>
      <c r="S184" s="658">
        <f t="shared" si="429"/>
        <v>2024</v>
      </c>
      <c r="T184" s="658">
        <f t="shared" si="429"/>
        <v>2025</v>
      </c>
      <c r="U184" s="658">
        <f t="shared" si="429"/>
        <v>2026</v>
      </c>
      <c r="V184" s="658">
        <f t="shared" si="429"/>
        <v>2027</v>
      </c>
      <c r="W184" s="658">
        <f t="shared" si="429"/>
        <v>2028</v>
      </c>
      <c r="X184" s="658">
        <f t="shared" ref="X184" si="430">W184+1</f>
        <v>2029</v>
      </c>
      <c r="Y184" s="658">
        <f t="shared" ref="Y184" si="431">X184+1</f>
        <v>2030</v>
      </c>
      <c r="Z184" s="658">
        <f t="shared" ref="Z184" si="432">Y184+1</f>
        <v>2031</v>
      </c>
      <c r="AA184" s="658">
        <f t="shared" ref="AA184" si="433">Z184+1</f>
        <v>2032</v>
      </c>
      <c r="AB184" s="647"/>
      <c r="AC184" s="632"/>
      <c r="AD184" s="632"/>
      <c r="AE184" s="632"/>
      <c r="AF184" s="632"/>
      <c r="AG184" s="632"/>
      <c r="AH184" s="631"/>
      <c r="AI184" s="631"/>
    </row>
    <row r="185" spans="1:79" s="633" customFormat="1" ht="13.2">
      <c r="A185" s="276"/>
      <c r="B185" s="707"/>
      <c r="C185" s="707">
        <f>B185</f>
        <v>0</v>
      </c>
      <c r="D185" s="707">
        <v>0</v>
      </c>
      <c r="E185" s="707">
        <v>12</v>
      </c>
      <c r="F185" s="707">
        <v>0</v>
      </c>
      <c r="G185" s="707">
        <f>F185</f>
        <v>0</v>
      </c>
      <c r="H185" s="707">
        <f>G185</f>
        <v>0</v>
      </c>
      <c r="I185" s="707">
        <f>H185</f>
        <v>0</v>
      </c>
      <c r="J185" s="707">
        <f>149+2+9+160</f>
        <v>320</v>
      </c>
      <c r="K185" s="707">
        <f>14+97+152</f>
        <v>263</v>
      </c>
      <c r="L185" s="707">
        <f>23+111+2+1+291</f>
        <v>428</v>
      </c>
      <c r="M185" s="707">
        <f>116+199</f>
        <v>315</v>
      </c>
      <c r="N185" s="707">
        <f>3+126</f>
        <v>129</v>
      </c>
      <c r="O185" s="707">
        <f>5+57</f>
        <v>62</v>
      </c>
      <c r="P185" s="707">
        <f>9+19</f>
        <v>28</v>
      </c>
      <c r="Q185" s="707">
        <f>6+171</f>
        <v>177</v>
      </c>
      <c r="R185" s="707">
        <f>3+265</f>
        <v>268</v>
      </c>
      <c r="S185" s="206">
        <f t="shared" ref="R185:W185" si="434">R185</f>
        <v>268</v>
      </c>
      <c r="T185" s="206">
        <f t="shared" si="434"/>
        <v>268</v>
      </c>
      <c r="U185" s="206">
        <f t="shared" si="434"/>
        <v>268</v>
      </c>
      <c r="V185" s="206">
        <f t="shared" si="434"/>
        <v>268</v>
      </c>
      <c r="W185" s="206">
        <f t="shared" si="434"/>
        <v>268</v>
      </c>
      <c r="X185" s="206">
        <f t="shared" ref="X185" si="435">W185</f>
        <v>268</v>
      </c>
      <c r="Y185" s="206">
        <f t="shared" ref="Y185" si="436">X185</f>
        <v>268</v>
      </c>
      <c r="Z185" s="206">
        <f t="shared" ref="Z185" si="437">Y185</f>
        <v>268</v>
      </c>
      <c r="AA185" s="206">
        <f t="shared" ref="AA185" si="438">Z185</f>
        <v>268</v>
      </c>
      <c r="AB185" s="708"/>
      <c r="AC185" s="631" t="s">
        <v>815</v>
      </c>
      <c r="AD185" s="631"/>
      <c r="AE185" s="631"/>
      <c r="AF185" s="631"/>
      <c r="AG185" s="631"/>
      <c r="AH185" s="631"/>
      <c r="AI185" s="631"/>
    </row>
    <row r="186" spans="1:79" s="633" customFormat="1" ht="13.2">
      <c r="A186" s="276"/>
      <c r="B186" s="206"/>
      <c r="C186" s="206"/>
      <c r="D186" s="206"/>
      <c r="E186" s="206"/>
      <c r="F186" s="206"/>
      <c r="G186" s="206"/>
      <c r="H186" s="195"/>
      <c r="I186" s="195"/>
      <c r="J186" s="195"/>
      <c r="K186" s="195"/>
      <c r="L186" s="195"/>
      <c r="M186" s="195"/>
      <c r="N186" s="195"/>
      <c r="O186" s="195"/>
      <c r="P186" s="195"/>
      <c r="Q186" s="195"/>
      <c r="R186" s="195"/>
      <c r="S186" s="195"/>
      <c r="T186" s="195"/>
      <c r="U186" s="195"/>
      <c r="V186" s="195"/>
      <c r="W186" s="195"/>
      <c r="X186" s="195"/>
      <c r="Y186" s="195"/>
      <c r="Z186" s="195"/>
      <c r="AA186" s="195"/>
      <c r="AB186" s="631"/>
      <c r="AC186" s="631"/>
      <c r="AD186" s="631"/>
      <c r="AE186" s="631"/>
      <c r="AF186" s="631"/>
      <c r="AG186" s="631"/>
      <c r="AH186" s="632"/>
      <c r="AI186" s="632"/>
    </row>
    <row r="187" spans="1:79" s="633" customFormat="1" ht="13.2">
      <c r="A187" s="657" t="s">
        <v>559</v>
      </c>
      <c r="B187" s="658">
        <f>B$2</f>
        <v>2007</v>
      </c>
      <c r="C187" s="658">
        <f t="shared" ref="C187:Q187" si="439">B187+1</f>
        <v>2008</v>
      </c>
      <c r="D187" s="658">
        <f t="shared" si="439"/>
        <v>2009</v>
      </c>
      <c r="E187" s="658">
        <f t="shared" si="439"/>
        <v>2010</v>
      </c>
      <c r="F187" s="658">
        <f t="shared" si="439"/>
        <v>2011</v>
      </c>
      <c r="G187" s="658">
        <f t="shared" si="439"/>
        <v>2012</v>
      </c>
      <c r="H187" s="658">
        <f t="shared" si="439"/>
        <v>2013</v>
      </c>
      <c r="I187" s="658">
        <f t="shared" si="439"/>
        <v>2014</v>
      </c>
      <c r="J187" s="658">
        <f t="shared" si="439"/>
        <v>2015</v>
      </c>
      <c r="K187" s="658">
        <f t="shared" si="439"/>
        <v>2016</v>
      </c>
      <c r="L187" s="658">
        <f t="shared" si="439"/>
        <v>2017</v>
      </c>
      <c r="M187" s="658">
        <f t="shared" si="439"/>
        <v>2018</v>
      </c>
      <c r="N187" s="658">
        <f t="shared" si="439"/>
        <v>2019</v>
      </c>
      <c r="O187" s="658">
        <f t="shared" si="439"/>
        <v>2020</v>
      </c>
      <c r="P187" s="658">
        <f t="shared" si="439"/>
        <v>2021</v>
      </c>
      <c r="Q187" s="658">
        <f t="shared" si="439"/>
        <v>2022</v>
      </c>
      <c r="R187" s="658">
        <f t="shared" ref="R187:W187" si="440">Q187+1</f>
        <v>2023</v>
      </c>
      <c r="S187" s="658">
        <f t="shared" si="440"/>
        <v>2024</v>
      </c>
      <c r="T187" s="658">
        <f t="shared" si="440"/>
        <v>2025</v>
      </c>
      <c r="U187" s="658">
        <f t="shared" si="440"/>
        <v>2026</v>
      </c>
      <c r="V187" s="658">
        <f t="shared" si="440"/>
        <v>2027</v>
      </c>
      <c r="W187" s="658">
        <f t="shared" si="440"/>
        <v>2028</v>
      </c>
      <c r="X187" s="658">
        <f t="shared" ref="X187" si="441">W187+1</f>
        <v>2029</v>
      </c>
      <c r="Y187" s="658">
        <f t="shared" ref="Y187" si="442">X187+1</f>
        <v>2030</v>
      </c>
      <c r="Z187" s="658">
        <f t="shared" ref="Z187" si="443">Y187+1</f>
        <v>2031</v>
      </c>
      <c r="AA187" s="658">
        <f t="shared" ref="AA187" si="444">Z187+1</f>
        <v>2032</v>
      </c>
      <c r="AB187" s="647"/>
      <c r="AC187" s="632"/>
      <c r="AD187" s="632"/>
      <c r="AE187" s="632"/>
      <c r="AF187" s="632"/>
      <c r="AG187" s="632"/>
      <c r="AH187" s="631"/>
      <c r="AI187" s="631"/>
    </row>
    <row r="188" spans="1:79" s="633" customFormat="1" ht="13.2">
      <c r="A188" s="276" t="s">
        <v>192</v>
      </c>
      <c r="B188" s="301"/>
      <c r="C188" s="301"/>
      <c r="D188" s="301"/>
      <c r="E188" s="301">
        <v>693</v>
      </c>
      <c r="F188" s="302"/>
      <c r="G188" s="302"/>
      <c r="H188" s="302"/>
      <c r="I188" s="302"/>
      <c r="J188" s="302"/>
      <c r="K188" s="302"/>
      <c r="L188" s="302"/>
      <c r="M188" s="302"/>
      <c r="N188" s="302"/>
      <c r="O188" s="302"/>
      <c r="P188" s="302">
        <f t="shared" ref="P188:W188" si="445">O188</f>
        <v>0</v>
      </c>
      <c r="Q188" s="302">
        <f t="shared" si="445"/>
        <v>0</v>
      </c>
      <c r="R188" s="302">
        <f t="shared" si="445"/>
        <v>0</v>
      </c>
      <c r="S188" s="303">
        <f t="shared" si="445"/>
        <v>0</v>
      </c>
      <c r="T188" s="303">
        <f t="shared" si="445"/>
        <v>0</v>
      </c>
      <c r="U188" s="303">
        <f t="shared" si="445"/>
        <v>0</v>
      </c>
      <c r="V188" s="303">
        <f t="shared" si="445"/>
        <v>0</v>
      </c>
      <c r="W188" s="303">
        <f t="shared" si="445"/>
        <v>0</v>
      </c>
      <c r="X188" s="303">
        <f t="shared" ref="X188" si="446">W188</f>
        <v>0</v>
      </c>
      <c r="Y188" s="303">
        <f t="shared" ref="Y188" si="447">X188</f>
        <v>0</v>
      </c>
      <c r="Z188" s="303">
        <f t="shared" ref="Z188" si="448">Y188</f>
        <v>0</v>
      </c>
      <c r="AA188" s="303">
        <f t="shared" ref="AA188" si="449">Z188</f>
        <v>0</v>
      </c>
      <c r="AB188" s="659"/>
      <c r="AC188" s="631"/>
      <c r="AD188" s="631"/>
      <c r="AE188" s="631"/>
      <c r="AF188" s="631"/>
      <c r="AG188" s="631"/>
      <c r="AH188" s="631"/>
      <c r="AI188" s="631"/>
    </row>
    <row r="189" spans="1:79" s="633" customFormat="1" ht="13.2">
      <c r="A189" s="276"/>
      <c r="B189" s="206"/>
      <c r="C189" s="206"/>
      <c r="D189" s="206"/>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708"/>
      <c r="AC189" s="631"/>
      <c r="AD189" s="631"/>
      <c r="AE189" s="631"/>
      <c r="AF189" s="631"/>
      <c r="AG189" s="631"/>
      <c r="AH189" s="632"/>
      <c r="AI189" s="632"/>
    </row>
    <row r="190" spans="1:79" s="633" customFormat="1" ht="13.2">
      <c r="A190" s="657" t="s">
        <v>193</v>
      </c>
      <c r="B190" s="658">
        <f>B$2</f>
        <v>2007</v>
      </c>
      <c r="C190" s="658">
        <f t="shared" ref="C190:Q190" si="450">B190+1</f>
        <v>2008</v>
      </c>
      <c r="D190" s="658">
        <f t="shared" si="450"/>
        <v>2009</v>
      </c>
      <c r="E190" s="658">
        <f t="shared" si="450"/>
        <v>2010</v>
      </c>
      <c r="F190" s="658">
        <f t="shared" si="450"/>
        <v>2011</v>
      </c>
      <c r="G190" s="658">
        <f t="shared" si="450"/>
        <v>2012</v>
      </c>
      <c r="H190" s="658">
        <f t="shared" si="450"/>
        <v>2013</v>
      </c>
      <c r="I190" s="658">
        <f t="shared" si="450"/>
        <v>2014</v>
      </c>
      <c r="J190" s="658">
        <f t="shared" si="450"/>
        <v>2015</v>
      </c>
      <c r="K190" s="658">
        <f t="shared" si="450"/>
        <v>2016</v>
      </c>
      <c r="L190" s="658">
        <f t="shared" si="450"/>
        <v>2017</v>
      </c>
      <c r="M190" s="658">
        <f t="shared" si="450"/>
        <v>2018</v>
      </c>
      <c r="N190" s="658">
        <f t="shared" si="450"/>
        <v>2019</v>
      </c>
      <c r="O190" s="658">
        <f t="shared" si="450"/>
        <v>2020</v>
      </c>
      <c r="P190" s="658">
        <f t="shared" si="450"/>
        <v>2021</v>
      </c>
      <c r="Q190" s="658">
        <f t="shared" si="450"/>
        <v>2022</v>
      </c>
      <c r="R190" s="658">
        <f t="shared" ref="R190:W190" si="451">Q190+1</f>
        <v>2023</v>
      </c>
      <c r="S190" s="658">
        <f t="shared" si="451"/>
        <v>2024</v>
      </c>
      <c r="T190" s="658">
        <f t="shared" si="451"/>
        <v>2025</v>
      </c>
      <c r="U190" s="658">
        <f t="shared" si="451"/>
        <v>2026</v>
      </c>
      <c r="V190" s="658">
        <f t="shared" si="451"/>
        <v>2027</v>
      </c>
      <c r="W190" s="658">
        <f t="shared" si="451"/>
        <v>2028</v>
      </c>
      <c r="X190" s="658">
        <f t="shared" ref="X190" si="452">W190+1</f>
        <v>2029</v>
      </c>
      <c r="Y190" s="658">
        <f t="shared" ref="Y190" si="453">X190+1</f>
        <v>2030</v>
      </c>
      <c r="Z190" s="658">
        <f t="shared" ref="Z190" si="454">Y190+1</f>
        <v>2031</v>
      </c>
      <c r="AA190" s="658">
        <f t="shared" ref="AA190" si="455">Z190+1</f>
        <v>2032</v>
      </c>
      <c r="AB190" s="647"/>
      <c r="AC190" s="632"/>
      <c r="AD190" s="632"/>
      <c r="AE190" s="632"/>
      <c r="AF190" s="632"/>
      <c r="AG190" s="632"/>
      <c r="AH190" s="631"/>
      <c r="AI190" s="631"/>
    </row>
    <row r="191" spans="1:79" s="633" customFormat="1" ht="13.2">
      <c r="A191" s="276" t="s">
        <v>194</v>
      </c>
      <c r="B191" s="301"/>
      <c r="C191" s="301"/>
      <c r="D191" s="301"/>
      <c r="E191" s="301"/>
      <c r="F191" s="302"/>
      <c r="G191" s="302"/>
      <c r="H191" s="302"/>
      <c r="I191" s="302"/>
      <c r="J191" s="302"/>
      <c r="K191" s="302">
        <f t="shared" ref="K191:Q191" si="456">J191</f>
        <v>0</v>
      </c>
      <c r="L191" s="302">
        <f t="shared" si="456"/>
        <v>0</v>
      </c>
      <c r="M191" s="302">
        <f t="shared" si="456"/>
        <v>0</v>
      </c>
      <c r="N191" s="302">
        <f t="shared" si="456"/>
        <v>0</v>
      </c>
      <c r="O191" s="302">
        <f t="shared" si="456"/>
        <v>0</v>
      </c>
      <c r="P191" s="302">
        <f t="shared" si="456"/>
        <v>0</v>
      </c>
      <c r="Q191" s="302">
        <f t="shared" si="456"/>
        <v>0</v>
      </c>
      <c r="R191" s="302">
        <f t="shared" ref="R191:W191" si="457">Q191</f>
        <v>0</v>
      </c>
      <c r="S191" s="302">
        <f t="shared" si="457"/>
        <v>0</v>
      </c>
      <c r="T191" s="302">
        <f t="shared" si="457"/>
        <v>0</v>
      </c>
      <c r="U191" s="302">
        <f t="shared" si="457"/>
        <v>0</v>
      </c>
      <c r="V191" s="302">
        <f t="shared" si="457"/>
        <v>0</v>
      </c>
      <c r="W191" s="302">
        <f t="shared" si="457"/>
        <v>0</v>
      </c>
      <c r="X191" s="302">
        <f t="shared" ref="X191" si="458">W191</f>
        <v>0</v>
      </c>
      <c r="Y191" s="302">
        <f t="shared" ref="Y191" si="459">X191</f>
        <v>0</v>
      </c>
      <c r="Z191" s="302">
        <f t="shared" ref="Z191" si="460">Y191</f>
        <v>0</v>
      </c>
      <c r="AA191" s="302">
        <f t="shared" ref="AA191" si="461">Z191</f>
        <v>0</v>
      </c>
      <c r="AB191" s="659"/>
      <c r="AC191" s="631"/>
      <c r="AD191" s="631"/>
      <c r="AE191" s="631"/>
      <c r="AF191" s="631"/>
      <c r="AG191" s="631"/>
      <c r="AH191" s="631"/>
      <c r="AI191" s="631"/>
    </row>
    <row r="192" spans="1:79" s="633" customFormat="1" ht="13.2">
      <c r="A192" s="276" t="s">
        <v>195</v>
      </c>
      <c r="B192" s="207">
        <f>B191/'Income Statement'!B419</f>
        <v>0</v>
      </c>
      <c r="C192" s="207">
        <f>C191/'Income Statement'!G419</f>
        <v>0</v>
      </c>
      <c r="D192" s="207">
        <f>D191/'Income Statement'!L419</f>
        <v>0</v>
      </c>
      <c r="E192" s="207">
        <f>E191/'Income Statement'!Q419</f>
        <v>0</v>
      </c>
      <c r="F192" s="207">
        <f>F191/'Income Statement'!V419</f>
        <v>0</v>
      </c>
      <c r="G192" s="207">
        <f>G191/'Income Statement'!AA419</f>
        <v>0</v>
      </c>
      <c r="H192" s="207">
        <f>H191/'Income Statement'!AF419</f>
        <v>0</v>
      </c>
      <c r="I192" s="207">
        <f>I191/'Income Statement'!AK419</f>
        <v>0</v>
      </c>
      <c r="J192" s="207">
        <f>J191/'Income Statement'!AP419</f>
        <v>0</v>
      </c>
      <c r="K192" s="207">
        <f>K191/'Income Statement'!AU419</f>
        <v>0</v>
      </c>
      <c r="L192" s="207">
        <f>L191/'Income Statement'!AZ419</f>
        <v>0</v>
      </c>
      <c r="M192" s="207">
        <f>M191/'Income Statement'!BE419</f>
        <v>0</v>
      </c>
      <c r="N192" s="207">
        <f>N191/'Income Statement'!BJ419</f>
        <v>0</v>
      </c>
      <c r="O192" s="207">
        <f>O191/'Income Statement'!BO419</f>
        <v>0</v>
      </c>
      <c r="P192" s="207">
        <f>P191/'Income Statement'!BT419</f>
        <v>0</v>
      </c>
      <c r="Q192" s="207">
        <f>Q191/'Income Statement'!BY419</f>
        <v>0</v>
      </c>
      <c r="R192" s="207">
        <f>R191/'Income Statement'!CD419</f>
        <v>0</v>
      </c>
      <c r="S192" s="207">
        <f>S191/'Income Statement'!CE419</f>
        <v>0</v>
      </c>
      <c r="T192" s="207">
        <f>T191/'Income Statement'!CF419</f>
        <v>0</v>
      </c>
      <c r="U192" s="207">
        <f>U191/'Income Statement'!CG419</f>
        <v>0</v>
      </c>
      <c r="V192" s="207">
        <f>V191/'Income Statement'!CH419</f>
        <v>0</v>
      </c>
      <c r="W192" s="207">
        <f>W191/'Income Statement'!CI419</f>
        <v>0</v>
      </c>
      <c r="X192" s="207">
        <f>X191/'Income Statement'!CJ419</f>
        <v>0</v>
      </c>
      <c r="Y192" s="207">
        <f>Y191/'Income Statement'!CK419</f>
        <v>0</v>
      </c>
      <c r="Z192" s="207">
        <f>Z191/'Income Statement'!CL419</f>
        <v>0</v>
      </c>
      <c r="AA192" s="207">
        <f>AA191/'Income Statement'!CM419</f>
        <v>0</v>
      </c>
      <c r="AB192" s="685"/>
      <c r="AC192" s="631"/>
      <c r="AD192" s="631"/>
      <c r="AE192" s="631"/>
      <c r="AF192" s="631"/>
      <c r="AG192" s="631"/>
      <c r="AH192" s="632"/>
      <c r="AI192" s="632"/>
    </row>
    <row r="193" spans="1:35" s="633" customFormat="1" ht="13.2">
      <c r="A193" s="657" t="s">
        <v>97</v>
      </c>
      <c r="B193" s="658">
        <f>B$2</f>
        <v>2007</v>
      </c>
      <c r="C193" s="658">
        <f t="shared" ref="C193:Q193" si="462">B193+1</f>
        <v>2008</v>
      </c>
      <c r="D193" s="658">
        <f t="shared" si="462"/>
        <v>2009</v>
      </c>
      <c r="E193" s="658">
        <f t="shared" si="462"/>
        <v>2010</v>
      </c>
      <c r="F193" s="658">
        <f t="shared" si="462"/>
        <v>2011</v>
      </c>
      <c r="G193" s="658">
        <f t="shared" si="462"/>
        <v>2012</v>
      </c>
      <c r="H193" s="658">
        <f t="shared" si="462"/>
        <v>2013</v>
      </c>
      <c r="I193" s="658">
        <f t="shared" si="462"/>
        <v>2014</v>
      </c>
      <c r="J193" s="658">
        <f t="shared" si="462"/>
        <v>2015</v>
      </c>
      <c r="K193" s="658">
        <f t="shared" si="462"/>
        <v>2016</v>
      </c>
      <c r="L193" s="658">
        <f t="shared" si="462"/>
        <v>2017</v>
      </c>
      <c r="M193" s="658">
        <f t="shared" si="462"/>
        <v>2018</v>
      </c>
      <c r="N193" s="658">
        <f t="shared" si="462"/>
        <v>2019</v>
      </c>
      <c r="O193" s="658">
        <f t="shared" si="462"/>
        <v>2020</v>
      </c>
      <c r="P193" s="658">
        <f t="shared" si="462"/>
        <v>2021</v>
      </c>
      <c r="Q193" s="658">
        <f t="shared" si="462"/>
        <v>2022</v>
      </c>
      <c r="R193" s="658">
        <f t="shared" ref="R193:W193" si="463">Q193+1</f>
        <v>2023</v>
      </c>
      <c r="S193" s="658">
        <f t="shared" si="463"/>
        <v>2024</v>
      </c>
      <c r="T193" s="658">
        <f t="shared" si="463"/>
        <v>2025</v>
      </c>
      <c r="U193" s="658">
        <f t="shared" si="463"/>
        <v>2026</v>
      </c>
      <c r="V193" s="658">
        <f t="shared" si="463"/>
        <v>2027</v>
      </c>
      <c r="W193" s="658">
        <f t="shared" si="463"/>
        <v>2028</v>
      </c>
      <c r="X193" s="658">
        <f t="shared" ref="X193" si="464">W193+1</f>
        <v>2029</v>
      </c>
      <c r="Y193" s="658">
        <f t="shared" ref="Y193" si="465">X193+1</f>
        <v>2030</v>
      </c>
      <c r="Z193" s="658">
        <f t="shared" ref="Z193" si="466">Y193+1</f>
        <v>2031</v>
      </c>
      <c r="AA193" s="658">
        <f t="shared" ref="AA193" si="467">Z193+1</f>
        <v>2032</v>
      </c>
      <c r="AB193" s="647"/>
      <c r="AC193" s="632"/>
      <c r="AD193" s="632"/>
      <c r="AE193" s="632"/>
      <c r="AF193" s="632"/>
      <c r="AG193" s="632"/>
      <c r="AH193" s="631"/>
      <c r="AI193" s="631"/>
    </row>
    <row r="194" spans="1:35" s="633" customFormat="1" ht="13.2">
      <c r="A194" s="276" t="s">
        <v>97</v>
      </c>
      <c r="B194" s="301">
        <f>-B57</f>
        <v>188</v>
      </c>
      <c r="C194" s="301">
        <f>-C57</f>
        <v>214</v>
      </c>
      <c r="D194" s="301">
        <f>-D57</f>
        <v>222</v>
      </c>
      <c r="E194" s="301">
        <f>-E57</f>
        <v>837</v>
      </c>
      <c r="F194" s="301">
        <f>-F57</f>
        <v>473</v>
      </c>
      <c r="G194" s="301">
        <f>-G57</f>
        <v>716</v>
      </c>
      <c r="H194" s="301">
        <f>-H57</f>
        <v>724</v>
      </c>
      <c r="I194" s="301">
        <f>-I57</f>
        <v>688.76864535768641</v>
      </c>
      <c r="J194" s="301">
        <f>-J57</f>
        <v>713</v>
      </c>
      <c r="K194" s="301">
        <f>-K57</f>
        <v>709</v>
      </c>
      <c r="L194" s="301">
        <f>-L57</f>
        <v>676</v>
      </c>
      <c r="M194" s="301">
        <f>-M57</f>
        <v>585</v>
      </c>
      <c r="N194" s="301">
        <f>-N57</f>
        <v>509</v>
      </c>
      <c r="O194" s="301">
        <f>-O57</f>
        <v>469</v>
      </c>
      <c r="P194" s="301">
        <f>-P57</f>
        <v>454</v>
      </c>
      <c r="Q194" s="301">
        <f>-Q57</f>
        <v>651</v>
      </c>
      <c r="R194" s="301">
        <f>-R57</f>
        <v>452</v>
      </c>
      <c r="S194" s="306">
        <f t="shared" ref="R194:W194" si="468">S196*S200</f>
        <v>475.00081502487893</v>
      </c>
      <c r="T194" s="306">
        <f t="shared" si="468"/>
        <v>535.49015774451584</v>
      </c>
      <c r="U194" s="306">
        <f t="shared" si="468"/>
        <v>590.46047966595359</v>
      </c>
      <c r="V194" s="306">
        <f t="shared" si="468"/>
        <v>642.15972874268755</v>
      </c>
      <c r="W194" s="306">
        <f t="shared" si="468"/>
        <v>691.74756076179358</v>
      </c>
      <c r="X194" s="306">
        <f t="shared" ref="X194:AA194" si="469">X196*X200</f>
        <v>737.48188562130304</v>
      </c>
      <c r="Y194" s="306">
        <f t="shared" si="469"/>
        <v>780.46668738050687</v>
      </c>
      <c r="Z194" s="306">
        <f t="shared" si="469"/>
        <v>821.56495972840037</v>
      </c>
      <c r="AA194" s="306">
        <f t="shared" si="469"/>
        <v>861.42179352597611</v>
      </c>
      <c r="AB194" s="307"/>
      <c r="AC194" s="631"/>
      <c r="AD194" s="631"/>
      <c r="AE194" s="631"/>
      <c r="AF194" s="631"/>
      <c r="AG194" s="631"/>
      <c r="AH194" s="631"/>
      <c r="AI194" s="631"/>
    </row>
    <row r="195" spans="1:35" s="633" customFormat="1" ht="13.2">
      <c r="A195" s="276"/>
      <c r="B195" s="200"/>
      <c r="C195" s="200"/>
      <c r="D195" s="200"/>
      <c r="E195" s="200"/>
      <c r="F195" s="200"/>
      <c r="G195" s="200"/>
      <c r="H195" s="200"/>
      <c r="I195" s="200"/>
      <c r="J195" s="200"/>
      <c r="K195" s="200"/>
      <c r="L195" s="200"/>
      <c r="M195" s="200"/>
      <c r="N195" s="200"/>
      <c r="O195" s="200"/>
      <c r="P195" s="200"/>
      <c r="Q195" s="200"/>
      <c r="R195" s="200"/>
      <c r="S195" s="200"/>
      <c r="T195" s="200"/>
      <c r="U195" s="200"/>
      <c r="V195" s="200"/>
      <c r="W195" s="200"/>
      <c r="X195" s="200"/>
      <c r="Y195" s="200"/>
      <c r="Z195" s="200"/>
      <c r="AA195" s="200"/>
      <c r="AC195" s="631"/>
      <c r="AD195" s="631"/>
      <c r="AE195" s="631"/>
      <c r="AF195" s="631"/>
      <c r="AG195" s="631"/>
      <c r="AH195" s="631"/>
      <c r="AI195" s="631"/>
    </row>
    <row r="196" spans="1:35" s="633" customFormat="1" ht="13.2">
      <c r="A196" s="276" t="s">
        <v>196</v>
      </c>
      <c r="B196" s="206">
        <f>B79</f>
        <v>2687.4</v>
      </c>
      <c r="C196" s="206">
        <f>C79</f>
        <v>3227.900000000001</v>
      </c>
      <c r="D196" s="206">
        <f>D79</f>
        <v>3007</v>
      </c>
      <c r="E196" s="206">
        <f>E79</f>
        <v>3132</v>
      </c>
      <c r="F196" s="206">
        <f>F79</f>
        <v>3004</v>
      </c>
      <c r="G196" s="206">
        <f>G79</f>
        <v>2709</v>
      </c>
      <c r="H196" s="206">
        <f>H79</f>
        <v>2827</v>
      </c>
      <c r="I196" s="206">
        <f>I79</f>
        <v>2296.3305194230634</v>
      </c>
      <c r="J196" s="206">
        <f>J79</f>
        <v>2777.1792126289793</v>
      </c>
      <c r="K196" s="206">
        <f>K79</f>
        <v>2440</v>
      </c>
      <c r="L196" s="206">
        <f>L79</f>
        <v>2737</v>
      </c>
      <c r="M196" s="206">
        <f>M79</f>
        <v>2350</v>
      </c>
      <c r="N196" s="206">
        <f>N79</f>
        <v>2036</v>
      </c>
      <c r="O196" s="206">
        <f>O79</f>
        <v>1879</v>
      </c>
      <c r="P196" s="206">
        <f>P79</f>
        <v>1670</v>
      </c>
      <c r="Q196" s="206">
        <f>Q79</f>
        <v>1802</v>
      </c>
      <c r="R196" s="206">
        <f>R79</f>
        <v>1444</v>
      </c>
      <c r="S196" s="206">
        <f>S79</f>
        <v>1900.0032600995157</v>
      </c>
      <c r="T196" s="206">
        <f>T79</f>
        <v>2141.9606309780634</v>
      </c>
      <c r="U196" s="206">
        <f>U79</f>
        <v>2361.8419186638143</v>
      </c>
      <c r="V196" s="206">
        <f>V79</f>
        <v>2568.6389149707502</v>
      </c>
      <c r="W196" s="206">
        <f>W79</f>
        <v>2766.9902430471743</v>
      </c>
      <c r="X196" s="206">
        <f>X79</f>
        <v>2949.9275424852121</v>
      </c>
      <c r="Y196" s="206">
        <f>Y79</f>
        <v>3121.8667495220275</v>
      </c>
      <c r="Z196" s="206">
        <f>Z79</f>
        <v>3286.2598389136015</v>
      </c>
      <c r="AA196" s="206">
        <f>AA79</f>
        <v>3445.6871741039045</v>
      </c>
      <c r="AB196" s="708"/>
      <c r="AC196" s="631"/>
      <c r="AD196" s="631"/>
      <c r="AE196" s="631"/>
      <c r="AF196" s="631"/>
      <c r="AG196" s="631"/>
      <c r="AH196" s="631"/>
      <c r="AI196" s="631"/>
    </row>
    <row r="197" spans="1:35" s="633" customFormat="1" ht="13.2">
      <c r="A197" s="276"/>
      <c r="B197" s="200"/>
      <c r="C197" s="200"/>
      <c r="D197" s="200"/>
      <c r="E197" s="200"/>
      <c r="F197" s="200"/>
      <c r="G197" s="200"/>
      <c r="H197" s="200"/>
      <c r="I197" s="200"/>
      <c r="J197" s="200"/>
      <c r="K197" s="200"/>
      <c r="L197" s="200"/>
      <c r="M197" s="200"/>
      <c r="N197" s="200"/>
      <c r="O197" s="200"/>
      <c r="P197" s="200"/>
      <c r="Q197" s="200"/>
      <c r="R197" s="200"/>
      <c r="S197" s="200"/>
      <c r="T197" s="200"/>
      <c r="U197" s="200"/>
      <c r="V197" s="200"/>
      <c r="W197" s="200"/>
      <c r="X197" s="200"/>
      <c r="Y197" s="200"/>
      <c r="Z197" s="200"/>
      <c r="AA197" s="200"/>
      <c r="AC197" s="631"/>
      <c r="AD197" s="631"/>
      <c r="AE197" s="631"/>
      <c r="AF197" s="631"/>
      <c r="AG197" s="631"/>
      <c r="AH197" s="631"/>
      <c r="AI197" s="631"/>
    </row>
    <row r="198" spans="1:35" s="633" customFormat="1" ht="13.2">
      <c r="A198" s="276" t="s">
        <v>197</v>
      </c>
      <c r="B198" s="303">
        <f t="shared" ref="B198:P198" si="470">B194</f>
        <v>188</v>
      </c>
      <c r="C198" s="303">
        <f t="shared" si="470"/>
        <v>214</v>
      </c>
      <c r="D198" s="303">
        <f t="shared" si="470"/>
        <v>222</v>
      </c>
      <c r="E198" s="303">
        <f t="shared" si="470"/>
        <v>837</v>
      </c>
      <c r="F198" s="303">
        <f t="shared" si="470"/>
        <v>473</v>
      </c>
      <c r="G198" s="303">
        <f t="shared" si="470"/>
        <v>716</v>
      </c>
      <c r="H198" s="303">
        <f t="shared" si="470"/>
        <v>724</v>
      </c>
      <c r="I198" s="303">
        <f t="shared" si="470"/>
        <v>688.76864535768641</v>
      </c>
      <c r="J198" s="303">
        <f t="shared" si="470"/>
        <v>713</v>
      </c>
      <c r="K198" s="303">
        <f t="shared" si="470"/>
        <v>709</v>
      </c>
      <c r="L198" s="303">
        <f t="shared" si="470"/>
        <v>676</v>
      </c>
      <c r="M198" s="303">
        <f t="shared" si="470"/>
        <v>585</v>
      </c>
      <c r="N198" s="303">
        <f t="shared" si="470"/>
        <v>509</v>
      </c>
      <c r="O198" s="303">
        <f t="shared" si="470"/>
        <v>469</v>
      </c>
      <c r="P198" s="303">
        <f t="shared" si="470"/>
        <v>454</v>
      </c>
      <c r="Q198" s="303">
        <f t="shared" ref="Q198:R198" si="471">Q194</f>
        <v>651</v>
      </c>
      <c r="R198" s="303">
        <f t="shared" si="471"/>
        <v>452</v>
      </c>
      <c r="S198" s="303">
        <f t="shared" ref="R198:W198" si="472">S194</f>
        <v>475.00081502487893</v>
      </c>
      <c r="T198" s="303">
        <f t="shared" si="472"/>
        <v>535.49015774451584</v>
      </c>
      <c r="U198" s="303">
        <f t="shared" si="472"/>
        <v>590.46047966595359</v>
      </c>
      <c r="V198" s="303">
        <f t="shared" si="472"/>
        <v>642.15972874268755</v>
      </c>
      <c r="W198" s="303">
        <f t="shared" si="472"/>
        <v>691.74756076179358</v>
      </c>
      <c r="X198" s="303">
        <f t="shared" ref="X198:AA198" si="473">X194</f>
        <v>737.48188562130304</v>
      </c>
      <c r="Y198" s="303">
        <f t="shared" si="473"/>
        <v>780.46668738050687</v>
      </c>
      <c r="Z198" s="303">
        <f t="shared" si="473"/>
        <v>821.56495972840037</v>
      </c>
      <c r="AA198" s="303">
        <f t="shared" si="473"/>
        <v>861.42179352597611</v>
      </c>
      <c r="AB198" s="659"/>
      <c r="AC198" s="631"/>
      <c r="AD198" s="631"/>
      <c r="AE198" s="631"/>
      <c r="AF198" s="631"/>
      <c r="AG198" s="631"/>
      <c r="AH198" s="631"/>
      <c r="AI198" s="631"/>
    </row>
    <row r="199" spans="1:35" s="633" customFormat="1" ht="13.2">
      <c r="A199" s="276"/>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c r="AA199" s="200"/>
      <c r="AC199" s="631"/>
      <c r="AD199" s="631"/>
      <c r="AE199" s="631"/>
      <c r="AF199" s="631"/>
      <c r="AG199" s="631"/>
      <c r="AH199" s="631"/>
      <c r="AI199" s="631"/>
    </row>
    <row r="200" spans="1:35" s="633" customFormat="1" ht="13.2">
      <c r="A200" s="276" t="s">
        <v>198</v>
      </c>
      <c r="B200" s="207">
        <f t="shared" ref="B200:K200" si="474">B194/B196</f>
        <v>6.9956091389447042E-2</v>
      </c>
      <c r="C200" s="207">
        <f t="shared" si="474"/>
        <v>6.6296973264351411E-2</v>
      </c>
      <c r="D200" s="207">
        <f t="shared" si="474"/>
        <v>7.3827735284336546E-2</v>
      </c>
      <c r="E200" s="207">
        <f t="shared" si="474"/>
        <v>0.26724137931034481</v>
      </c>
      <c r="F200" s="207">
        <f t="shared" si="474"/>
        <v>0.15745672436750999</v>
      </c>
      <c r="G200" s="207">
        <f t="shared" si="474"/>
        <v>0.26430417128091549</v>
      </c>
      <c r="H200" s="207">
        <f t="shared" si="474"/>
        <v>0.2561018747789176</v>
      </c>
      <c r="I200" s="207">
        <f t="shared" si="474"/>
        <v>0.29994316564269441</v>
      </c>
      <c r="J200" s="207">
        <f t="shared" si="474"/>
        <v>0.2567353222138834</v>
      </c>
      <c r="K200" s="207">
        <f t="shared" si="474"/>
        <v>0.29057377049180327</v>
      </c>
      <c r="L200" s="207">
        <f t="shared" ref="L200:Q200" si="475">L194/L196</f>
        <v>0.24698575082206795</v>
      </c>
      <c r="M200" s="207">
        <f t="shared" si="475"/>
        <v>0.24893617021276596</v>
      </c>
      <c r="N200" s="207">
        <f t="shared" si="475"/>
        <v>0.25</v>
      </c>
      <c r="O200" s="207">
        <f t="shared" si="475"/>
        <v>0.24960085151676423</v>
      </c>
      <c r="P200" s="207">
        <f t="shared" si="475"/>
        <v>0.27185628742514972</v>
      </c>
      <c r="Q200" s="207">
        <f t="shared" si="475"/>
        <v>0.36126526082130966</v>
      </c>
      <c r="R200" s="207">
        <f t="shared" ref="R200" si="476">R194/R196</f>
        <v>0.31301939058171746</v>
      </c>
      <c r="S200" s="389">
        <v>0.25</v>
      </c>
      <c r="T200" s="389">
        <v>0.25</v>
      </c>
      <c r="U200" s="389">
        <v>0.25</v>
      </c>
      <c r="V200" s="389">
        <v>0.25</v>
      </c>
      <c r="W200" s="389">
        <v>0.25</v>
      </c>
      <c r="X200" s="389">
        <v>0.25</v>
      </c>
      <c r="Y200" s="389">
        <v>0.25</v>
      </c>
      <c r="Z200" s="389">
        <v>0.25</v>
      </c>
      <c r="AA200" s="389">
        <v>0.25</v>
      </c>
      <c r="AB200" s="685"/>
      <c r="AC200" s="631"/>
      <c r="AD200" s="222">
        <v>0.25</v>
      </c>
      <c r="AE200" s="631"/>
      <c r="AF200" s="631"/>
      <c r="AG200" s="631"/>
      <c r="AH200" s="631"/>
      <c r="AI200" s="631"/>
    </row>
    <row r="201" spans="1:35" s="633" customFormat="1" ht="13.2">
      <c r="A201" s="276" t="s">
        <v>577</v>
      </c>
      <c r="B201" s="196">
        <v>0.25</v>
      </c>
      <c r="C201" s="196">
        <v>0.25</v>
      </c>
      <c r="D201" s="196">
        <v>0.25</v>
      </c>
      <c r="E201" s="196">
        <v>0.25</v>
      </c>
      <c r="F201" s="196">
        <v>0.25</v>
      </c>
      <c r="G201" s="196">
        <v>0.25</v>
      </c>
      <c r="H201" s="196">
        <v>0.25</v>
      </c>
      <c r="I201" s="196">
        <v>0.25</v>
      </c>
      <c r="J201" s="196">
        <v>0.25</v>
      </c>
      <c r="K201" s="196">
        <v>0.25</v>
      </c>
      <c r="L201" s="196">
        <v>1.25</v>
      </c>
      <c r="M201" s="196">
        <v>0.25</v>
      </c>
      <c r="N201" s="196">
        <v>0.25</v>
      </c>
      <c r="O201" s="196">
        <v>0.25</v>
      </c>
      <c r="P201" s="197">
        <v>0.25</v>
      </c>
      <c r="Q201" s="197">
        <v>0.25</v>
      </c>
      <c r="R201" s="197">
        <v>0.25</v>
      </c>
      <c r="S201" s="196">
        <v>0.25</v>
      </c>
      <c r="T201" s="196">
        <v>0.25</v>
      </c>
      <c r="U201" s="196">
        <v>0.25</v>
      </c>
      <c r="V201" s="196">
        <v>0.25</v>
      </c>
      <c r="W201" s="196">
        <v>0.25</v>
      </c>
      <c r="X201" s="196">
        <v>0.25</v>
      </c>
      <c r="Y201" s="196">
        <v>0.25</v>
      </c>
      <c r="Z201" s="196">
        <v>0.25</v>
      </c>
      <c r="AA201" s="196">
        <v>0.25</v>
      </c>
      <c r="AB201" s="222"/>
      <c r="AC201" s="631"/>
      <c r="AD201" s="631"/>
      <c r="AE201" s="631"/>
      <c r="AF201" s="631"/>
      <c r="AG201" s="631"/>
      <c r="AH201" s="631"/>
      <c r="AI201" s="631"/>
    </row>
    <row r="202" spans="1:35" s="633" customFormat="1" ht="13.2">
      <c r="A202" s="276"/>
      <c r="B202" s="200"/>
      <c r="C202" s="200"/>
      <c r="D202" s="200"/>
      <c r="E202" s="200"/>
      <c r="F202" s="200"/>
      <c r="G202" s="200"/>
      <c r="H202" s="195"/>
      <c r="I202" s="195"/>
      <c r="J202" s="195"/>
      <c r="K202" s="195"/>
      <c r="L202" s="195"/>
      <c r="M202" s="195"/>
      <c r="N202" s="195"/>
      <c r="O202" s="195"/>
      <c r="P202" s="195"/>
      <c r="Q202" s="195"/>
      <c r="R202" s="195"/>
      <c r="S202" s="195"/>
      <c r="T202" s="195"/>
      <c r="U202" s="195"/>
      <c r="V202" s="195"/>
      <c r="W202" s="195"/>
      <c r="X202" s="195"/>
      <c r="Y202" s="195"/>
      <c r="Z202" s="195"/>
      <c r="AA202" s="195"/>
      <c r="AB202" s="631"/>
      <c r="AC202" s="631"/>
      <c r="AD202" s="631"/>
      <c r="AE202" s="631"/>
      <c r="AF202" s="631"/>
      <c r="AG202" s="631"/>
      <c r="AH202" s="631"/>
      <c r="AI202" s="631"/>
    </row>
    <row r="203" spans="1:35" s="633" customFormat="1" ht="13.2">
      <c r="A203" s="276"/>
      <c r="B203" s="200"/>
      <c r="C203" s="200"/>
      <c r="D203" s="200"/>
      <c r="E203" s="200"/>
      <c r="F203" s="200"/>
      <c r="G203" s="200"/>
      <c r="H203" s="195"/>
      <c r="I203" s="195"/>
      <c r="J203" s="195"/>
      <c r="K203" s="195"/>
      <c r="L203" s="195"/>
      <c r="M203" s="195"/>
      <c r="N203" s="195"/>
      <c r="O203" s="195"/>
      <c r="P203" s="195"/>
      <c r="Q203" s="195"/>
      <c r="R203" s="195"/>
      <c r="S203" s="195"/>
      <c r="T203" s="195"/>
      <c r="U203" s="195"/>
      <c r="V203" s="195"/>
      <c r="W203" s="195"/>
      <c r="X203" s="195"/>
      <c r="Y203" s="195"/>
      <c r="Z203" s="195"/>
      <c r="AA203" s="195"/>
      <c r="AB203" s="631"/>
      <c r="AC203" s="631"/>
      <c r="AD203" s="631"/>
      <c r="AE203" s="631"/>
      <c r="AF203" s="631"/>
      <c r="AG203" s="631"/>
      <c r="AH203" s="632"/>
      <c r="AI203" s="632"/>
    </row>
    <row r="204" spans="1:35" s="633" customFormat="1" ht="13.2">
      <c r="A204" s="657" t="s">
        <v>199</v>
      </c>
      <c r="B204" s="658">
        <f>B$2</f>
        <v>2007</v>
      </c>
      <c r="C204" s="658">
        <f t="shared" ref="C204:Q204" si="477">B204+1</f>
        <v>2008</v>
      </c>
      <c r="D204" s="658">
        <f t="shared" si="477"/>
        <v>2009</v>
      </c>
      <c r="E204" s="658">
        <f t="shared" si="477"/>
        <v>2010</v>
      </c>
      <c r="F204" s="658">
        <f t="shared" si="477"/>
        <v>2011</v>
      </c>
      <c r="G204" s="658">
        <f t="shared" si="477"/>
        <v>2012</v>
      </c>
      <c r="H204" s="658">
        <f t="shared" si="477"/>
        <v>2013</v>
      </c>
      <c r="I204" s="658">
        <f t="shared" si="477"/>
        <v>2014</v>
      </c>
      <c r="J204" s="658">
        <f t="shared" si="477"/>
        <v>2015</v>
      </c>
      <c r="K204" s="658">
        <f t="shared" si="477"/>
        <v>2016</v>
      </c>
      <c r="L204" s="658">
        <f t="shared" si="477"/>
        <v>2017</v>
      </c>
      <c r="M204" s="658">
        <f t="shared" si="477"/>
        <v>2018</v>
      </c>
      <c r="N204" s="658">
        <f t="shared" si="477"/>
        <v>2019</v>
      </c>
      <c r="O204" s="658">
        <f t="shared" si="477"/>
        <v>2020</v>
      </c>
      <c r="P204" s="658">
        <f t="shared" si="477"/>
        <v>2021</v>
      </c>
      <c r="Q204" s="658">
        <f t="shared" si="477"/>
        <v>2022</v>
      </c>
      <c r="R204" s="658">
        <f t="shared" ref="R204:W204" si="478">Q204+1</f>
        <v>2023</v>
      </c>
      <c r="S204" s="658">
        <f t="shared" si="478"/>
        <v>2024</v>
      </c>
      <c r="T204" s="658">
        <f t="shared" si="478"/>
        <v>2025</v>
      </c>
      <c r="U204" s="658">
        <f t="shared" si="478"/>
        <v>2026</v>
      </c>
      <c r="V204" s="658">
        <f t="shared" si="478"/>
        <v>2027</v>
      </c>
      <c r="W204" s="658">
        <f t="shared" si="478"/>
        <v>2028</v>
      </c>
      <c r="X204" s="658">
        <f t="shared" ref="X204" si="479">W204+1</f>
        <v>2029</v>
      </c>
      <c r="Y204" s="658">
        <f t="shared" ref="Y204" si="480">X204+1</f>
        <v>2030</v>
      </c>
      <c r="Z204" s="658">
        <f t="shared" ref="Z204" si="481">Y204+1</f>
        <v>2031</v>
      </c>
      <c r="AA204" s="658">
        <f t="shared" ref="AA204" si="482">Z204+1</f>
        <v>2032</v>
      </c>
      <c r="AB204" s="647"/>
      <c r="AC204" s="632"/>
      <c r="AD204" s="632"/>
      <c r="AE204" s="632"/>
      <c r="AF204" s="632"/>
      <c r="AG204" s="632"/>
      <c r="AH204" s="631"/>
      <c r="AI204" s="631"/>
    </row>
    <row r="205" spans="1:35" s="633" customFormat="1" ht="13.2">
      <c r="A205" s="276" t="s">
        <v>556</v>
      </c>
      <c r="B205" s="707"/>
      <c r="C205" s="707">
        <v>0</v>
      </c>
      <c r="D205" s="707">
        <v>0</v>
      </c>
      <c r="E205" s="707">
        <v>0</v>
      </c>
      <c r="F205" s="707">
        <v>4</v>
      </c>
      <c r="G205" s="707">
        <v>4</v>
      </c>
      <c r="H205" s="707">
        <v>15</v>
      </c>
      <c r="I205" s="707">
        <v>22</v>
      </c>
      <c r="J205" s="707">
        <v>30</v>
      </c>
      <c r="K205" s="707">
        <v>0</v>
      </c>
      <c r="L205" s="707">
        <v>0</v>
      </c>
      <c r="M205" s="707">
        <v>0</v>
      </c>
      <c r="N205" s="707">
        <v>0</v>
      </c>
      <c r="O205" s="707">
        <v>0</v>
      </c>
      <c r="P205" s="707">
        <v>0</v>
      </c>
      <c r="Q205" s="707"/>
      <c r="R205" s="707">
        <f t="shared" ref="R205:W205" si="483">Q205</f>
        <v>0</v>
      </c>
      <c r="S205" s="206">
        <f t="shared" si="483"/>
        <v>0</v>
      </c>
      <c r="T205" s="206">
        <f t="shared" si="483"/>
        <v>0</v>
      </c>
      <c r="U205" s="206">
        <f t="shared" si="483"/>
        <v>0</v>
      </c>
      <c r="V205" s="206">
        <f t="shared" si="483"/>
        <v>0</v>
      </c>
      <c r="W205" s="206">
        <f t="shared" si="483"/>
        <v>0</v>
      </c>
      <c r="X205" s="206">
        <f t="shared" ref="X205" si="484">W205</f>
        <v>0</v>
      </c>
      <c r="Y205" s="206">
        <f t="shared" ref="Y205" si="485">X205</f>
        <v>0</v>
      </c>
      <c r="Z205" s="206">
        <f t="shared" ref="Z205" si="486">Y205</f>
        <v>0</v>
      </c>
      <c r="AA205" s="206">
        <f t="shared" ref="AA205" si="487">Z205</f>
        <v>0</v>
      </c>
      <c r="AB205" s="708"/>
      <c r="AC205" s="631"/>
      <c r="AD205" s="631"/>
      <c r="AE205" s="631"/>
      <c r="AF205" s="631"/>
      <c r="AG205" s="631"/>
      <c r="AH205" s="631"/>
      <c r="AI205" s="631"/>
    </row>
    <row r="206" spans="1:35" s="633" customFormat="1" ht="13.2">
      <c r="A206" s="276" t="s">
        <v>65</v>
      </c>
      <c r="B206" s="228"/>
      <c r="C206" s="228"/>
      <c r="D206" s="228"/>
      <c r="E206" s="228"/>
      <c r="F206" s="228"/>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702"/>
      <c r="AC206" s="631"/>
      <c r="AD206" s="631"/>
      <c r="AE206" s="631"/>
      <c r="AF206" s="631"/>
      <c r="AG206" s="631"/>
      <c r="AH206" s="631"/>
      <c r="AI206" s="631"/>
    </row>
    <row r="207" spans="1:35" s="633" customFormat="1" ht="13.2">
      <c r="A207" s="276" t="s">
        <v>557</v>
      </c>
      <c r="B207" s="206">
        <f>'Income Statement'!B456</f>
        <v>0</v>
      </c>
      <c r="C207" s="206">
        <f>'Income Statement'!C456</f>
        <v>0</v>
      </c>
      <c r="D207" s="206">
        <f>'Income Statement'!D456</f>
        <v>0</v>
      </c>
      <c r="E207" s="206">
        <f>'Income Statement'!E456</f>
        <v>0</v>
      </c>
      <c r="F207" s="206">
        <f>'Income Statement'!F456</f>
        <v>0</v>
      </c>
      <c r="G207" s="206">
        <f>'Income Statement'!G456</f>
        <v>0</v>
      </c>
      <c r="H207" s="206">
        <f>'Income Statement'!H456</f>
        <v>0</v>
      </c>
      <c r="I207" s="206">
        <f>'Income Statement'!I456</f>
        <v>0</v>
      </c>
      <c r="J207" s="206">
        <f>'Income Statement'!J456</f>
        <v>0</v>
      </c>
      <c r="K207" s="206">
        <f>'Income Statement'!K456</f>
        <v>0</v>
      </c>
      <c r="L207" s="206">
        <f>'Income Statement'!L456</f>
        <v>0</v>
      </c>
      <c r="M207" s="206">
        <f>'Income Statement'!M456</f>
        <v>0</v>
      </c>
      <c r="N207" s="206">
        <f>'Income Statement'!N456</f>
        <v>0</v>
      </c>
      <c r="O207" s="206">
        <f>'Income Statement'!O456</f>
        <v>0</v>
      </c>
      <c r="P207" s="206">
        <f>'Income Statement'!P456</f>
        <v>0</v>
      </c>
      <c r="Q207" s="206">
        <f>'Income Statement'!Q456</f>
        <v>0</v>
      </c>
      <c r="R207" s="206">
        <f>'Income Statement'!CE456</f>
        <v>0</v>
      </c>
      <c r="S207" s="206">
        <f>'Income Statement'!S456</f>
        <v>0</v>
      </c>
      <c r="T207" s="206">
        <f>'Income Statement'!T456</f>
        <v>0</v>
      </c>
      <c r="U207" s="206">
        <f>'Income Statement'!U456</f>
        <v>0</v>
      </c>
      <c r="V207" s="206">
        <f>'Income Statement'!V456</f>
        <v>0</v>
      </c>
      <c r="W207" s="206">
        <f>'Income Statement'!W456</f>
        <v>0</v>
      </c>
      <c r="X207" s="206">
        <f>'Income Statement'!X456</f>
        <v>0</v>
      </c>
      <c r="Y207" s="206">
        <f>'Income Statement'!Y456</f>
        <v>0</v>
      </c>
      <c r="Z207" s="206">
        <f>'Income Statement'!Z456</f>
        <v>0</v>
      </c>
      <c r="AA207" s="206">
        <f>'Income Statement'!AA456</f>
        <v>0</v>
      </c>
      <c r="AB207" s="708"/>
      <c r="AC207" s="631"/>
      <c r="AD207" s="631"/>
      <c r="AE207" s="631"/>
      <c r="AF207" s="631"/>
      <c r="AG207" s="631"/>
      <c r="AH207" s="631"/>
      <c r="AI207" s="631"/>
    </row>
    <row r="208" spans="1:35" s="633" customFormat="1" ht="13.2">
      <c r="A208" s="276"/>
      <c r="B208" s="206"/>
      <c r="C208" s="206"/>
      <c r="D208" s="206"/>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708"/>
      <c r="AC208" s="631"/>
      <c r="AD208" s="631"/>
      <c r="AE208" s="631"/>
      <c r="AF208" s="631"/>
      <c r="AG208" s="631"/>
      <c r="AH208" s="631"/>
      <c r="AI208" s="631"/>
    </row>
    <row r="209" spans="1:35" s="633" customFormat="1" ht="13.2">
      <c r="A209" s="276"/>
      <c r="B209" s="200"/>
      <c r="C209" s="200"/>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C209" s="631"/>
      <c r="AD209" s="631"/>
      <c r="AE209" s="631"/>
      <c r="AF209" s="631"/>
      <c r="AG209" s="631"/>
      <c r="AH209" s="632"/>
      <c r="AI209" s="632"/>
    </row>
    <row r="210" spans="1:35" s="633" customFormat="1" ht="13.2">
      <c r="A210" s="657" t="s">
        <v>200</v>
      </c>
      <c r="B210" s="658">
        <f>B$2</f>
        <v>2007</v>
      </c>
      <c r="C210" s="658">
        <f t="shared" ref="C210:Q210" si="488">B210+1</f>
        <v>2008</v>
      </c>
      <c r="D210" s="658">
        <f t="shared" si="488"/>
        <v>2009</v>
      </c>
      <c r="E210" s="658">
        <f t="shared" si="488"/>
        <v>2010</v>
      </c>
      <c r="F210" s="658">
        <f t="shared" si="488"/>
        <v>2011</v>
      </c>
      <c r="G210" s="658">
        <f t="shared" si="488"/>
        <v>2012</v>
      </c>
      <c r="H210" s="658">
        <f t="shared" si="488"/>
        <v>2013</v>
      </c>
      <c r="I210" s="658">
        <f t="shared" si="488"/>
        <v>2014</v>
      </c>
      <c r="J210" s="658">
        <f t="shared" si="488"/>
        <v>2015</v>
      </c>
      <c r="K210" s="658">
        <f t="shared" si="488"/>
        <v>2016</v>
      </c>
      <c r="L210" s="658">
        <f t="shared" si="488"/>
        <v>2017</v>
      </c>
      <c r="M210" s="658">
        <f t="shared" si="488"/>
        <v>2018</v>
      </c>
      <c r="N210" s="658">
        <f t="shared" si="488"/>
        <v>2019</v>
      </c>
      <c r="O210" s="658">
        <f t="shared" si="488"/>
        <v>2020</v>
      </c>
      <c r="P210" s="658">
        <f t="shared" si="488"/>
        <v>2021</v>
      </c>
      <c r="Q210" s="658">
        <f t="shared" si="488"/>
        <v>2022</v>
      </c>
      <c r="R210" s="658">
        <f t="shared" ref="R210:W210" si="489">Q210+1</f>
        <v>2023</v>
      </c>
      <c r="S210" s="658">
        <f t="shared" si="489"/>
        <v>2024</v>
      </c>
      <c r="T210" s="658">
        <f t="shared" si="489"/>
        <v>2025</v>
      </c>
      <c r="U210" s="658">
        <f t="shared" si="489"/>
        <v>2026</v>
      </c>
      <c r="V210" s="658">
        <f t="shared" si="489"/>
        <v>2027</v>
      </c>
      <c r="W210" s="658">
        <f t="shared" si="489"/>
        <v>2028</v>
      </c>
      <c r="X210" s="658">
        <f t="shared" ref="X210" si="490">W210+1</f>
        <v>2029</v>
      </c>
      <c r="Y210" s="658">
        <f t="shared" ref="Y210" si="491">X210+1</f>
        <v>2030</v>
      </c>
      <c r="Z210" s="658">
        <f t="shared" ref="Z210" si="492">Y210+1</f>
        <v>2031</v>
      </c>
      <c r="AA210" s="658">
        <f t="shared" ref="AA210" si="493">Z210+1</f>
        <v>2032</v>
      </c>
      <c r="AB210" s="647"/>
      <c r="AC210" s="632"/>
      <c r="AD210" s="632"/>
      <c r="AE210" s="632"/>
      <c r="AF210" s="632"/>
      <c r="AG210" s="632"/>
      <c r="AH210" s="632"/>
      <c r="AI210" s="632"/>
    </row>
    <row r="211" spans="1:35" s="633" customFormat="1" ht="13.2">
      <c r="A211" s="286"/>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647"/>
      <c r="AC211" s="632"/>
      <c r="AD211" s="632"/>
      <c r="AE211" s="632"/>
      <c r="AF211" s="632"/>
      <c r="AG211" s="632"/>
      <c r="AH211" s="632"/>
      <c r="AI211" s="632"/>
    </row>
    <row r="212" spans="1:35" s="633" customFormat="1" ht="13.2">
      <c r="A212" s="286" t="s">
        <v>201</v>
      </c>
      <c r="B212" s="718"/>
      <c r="C212" s="718"/>
      <c r="D212" s="719">
        <v>7500</v>
      </c>
      <c r="E212" s="719">
        <v>7500</v>
      </c>
      <c r="F212" s="719">
        <v>7500</v>
      </c>
      <c r="G212" s="719">
        <v>7500</v>
      </c>
      <c r="H212" s="719">
        <v>7500</v>
      </c>
      <c r="I212" s="719">
        <v>7500</v>
      </c>
      <c r="J212" s="719">
        <v>7500</v>
      </c>
      <c r="K212" s="720">
        <f>J212</f>
        <v>7500</v>
      </c>
      <c r="L212" s="720">
        <v>7800</v>
      </c>
      <c r="M212" s="720">
        <v>7810</v>
      </c>
      <c r="N212" s="721">
        <v>2532</v>
      </c>
      <c r="O212" s="721">
        <v>2547</v>
      </c>
      <c r="P212" s="721">
        <v>2564</v>
      </c>
      <c r="Q212" s="721">
        <v>2585</v>
      </c>
      <c r="R212" s="721">
        <v>2593</v>
      </c>
      <c r="S212" s="248">
        <f t="shared" ref="R212:W212" si="494">R212</f>
        <v>2593</v>
      </c>
      <c r="T212" s="248">
        <f t="shared" si="494"/>
        <v>2593</v>
      </c>
      <c r="U212" s="248">
        <f t="shared" si="494"/>
        <v>2593</v>
      </c>
      <c r="V212" s="248">
        <f t="shared" si="494"/>
        <v>2593</v>
      </c>
      <c r="W212" s="248">
        <f t="shared" si="494"/>
        <v>2593</v>
      </c>
      <c r="X212" s="248">
        <f t="shared" ref="X212" si="495">W212</f>
        <v>2593</v>
      </c>
      <c r="Y212" s="248">
        <f t="shared" ref="Y212" si="496">X212</f>
        <v>2593</v>
      </c>
      <c r="Z212" s="248">
        <f t="shared" ref="Z212" si="497">Y212</f>
        <v>2593</v>
      </c>
      <c r="AA212" s="248">
        <f t="shared" ref="AA212" si="498">Z212</f>
        <v>2593</v>
      </c>
      <c r="AB212" s="250"/>
      <c r="AC212" s="632"/>
      <c r="AD212" s="632"/>
      <c r="AE212" s="632"/>
      <c r="AF212" s="632"/>
      <c r="AG212" s="632"/>
      <c r="AH212" s="632"/>
      <c r="AI212" s="632"/>
    </row>
    <row r="213" spans="1:35" s="633" customFormat="1" ht="13.2">
      <c r="A213" s="286"/>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647"/>
      <c r="AC213" s="632"/>
      <c r="AD213" s="632"/>
      <c r="AE213" s="632"/>
      <c r="AF213" s="632"/>
      <c r="AG213" s="632"/>
      <c r="AH213" s="631"/>
      <c r="AI213" s="631"/>
    </row>
    <row r="214" spans="1:35" s="633" customFormat="1" ht="13.2">
      <c r="A214" s="276" t="s">
        <v>200</v>
      </c>
      <c r="B214" s="301"/>
      <c r="C214" s="303">
        <v>7500</v>
      </c>
      <c r="D214" s="303">
        <v>7500</v>
      </c>
      <c r="E214" s="303">
        <v>7500</v>
      </c>
      <c r="F214" s="303">
        <v>7500</v>
      </c>
      <c r="G214" s="303">
        <v>7500</v>
      </c>
      <c r="H214" s="303">
        <v>7500</v>
      </c>
      <c r="I214" s="303">
        <v>7500</v>
      </c>
      <c r="J214" s="303">
        <v>7500</v>
      </c>
      <c r="K214" s="303">
        <v>7500</v>
      </c>
      <c r="L214" s="303">
        <v>7800</v>
      </c>
      <c r="M214" s="303">
        <v>7810</v>
      </c>
      <c r="N214" s="303">
        <v>7820</v>
      </c>
      <c r="O214" s="303">
        <f>'Income Statement'!BO469</f>
        <v>7825</v>
      </c>
      <c r="P214" s="303">
        <f>'Income Statement'!BT469</f>
        <v>7825</v>
      </c>
      <c r="Q214" s="303">
        <f>'Income Statement'!BY469</f>
        <v>7828</v>
      </c>
      <c r="R214" s="303">
        <f>'Income Statement'!CD469</f>
        <v>7832</v>
      </c>
      <c r="S214" s="303">
        <f>'Income Statement'!CE469</f>
        <v>7832</v>
      </c>
      <c r="T214" s="303">
        <f>'Income Statement'!CF469</f>
        <v>7832</v>
      </c>
      <c r="U214" s="303">
        <f>'Income Statement'!CG469</f>
        <v>7832</v>
      </c>
      <c r="V214" s="303">
        <f>'Income Statement'!CH469</f>
        <v>7832</v>
      </c>
      <c r="W214" s="303">
        <f>'Income Statement'!CI469</f>
        <v>7832</v>
      </c>
      <c r="X214" s="303">
        <f>'Income Statement'!CJ469</f>
        <v>7832</v>
      </c>
      <c r="Y214" s="303">
        <f>'Income Statement'!CK469</f>
        <v>7832</v>
      </c>
      <c r="Z214" s="303">
        <f>'Income Statement'!CL469</f>
        <v>7832</v>
      </c>
      <c r="AA214" s="303">
        <f>'Income Statement'!CM469</f>
        <v>7832</v>
      </c>
      <c r="AB214" s="659"/>
      <c r="AC214" s="631"/>
      <c r="AD214" s="631"/>
      <c r="AE214" s="631"/>
      <c r="AF214" s="631"/>
      <c r="AG214" s="631"/>
      <c r="AH214" s="631"/>
      <c r="AI214" s="631"/>
    </row>
    <row r="215" spans="1:35" s="633" customFormat="1" ht="13.2">
      <c r="A215" s="276" t="s">
        <v>202</v>
      </c>
      <c r="B215" s="301"/>
      <c r="C215" s="301"/>
      <c r="D215" s="303">
        <f t="shared" ref="D215:Q215" si="499">(D214+C214)/2</f>
        <v>7500</v>
      </c>
      <c r="E215" s="303">
        <f t="shared" si="499"/>
        <v>7500</v>
      </c>
      <c r="F215" s="303">
        <f t="shared" si="499"/>
        <v>7500</v>
      </c>
      <c r="G215" s="303">
        <f t="shared" si="499"/>
        <v>7500</v>
      </c>
      <c r="H215" s="303">
        <f t="shared" si="499"/>
        <v>7500</v>
      </c>
      <c r="I215" s="303">
        <f t="shared" si="499"/>
        <v>7500</v>
      </c>
      <c r="J215" s="303">
        <f t="shared" si="499"/>
        <v>7500</v>
      </c>
      <c r="K215" s="303">
        <f t="shared" si="499"/>
        <v>7500</v>
      </c>
      <c r="L215" s="303">
        <f t="shared" si="499"/>
        <v>7650</v>
      </c>
      <c r="M215" s="303">
        <f t="shared" si="499"/>
        <v>7805</v>
      </c>
      <c r="N215" s="303">
        <f t="shared" si="499"/>
        <v>7815</v>
      </c>
      <c r="O215" s="303">
        <f t="shared" si="499"/>
        <v>7822.5</v>
      </c>
      <c r="P215" s="303">
        <f t="shared" si="499"/>
        <v>7825</v>
      </c>
      <c r="Q215" s="303">
        <f t="shared" si="499"/>
        <v>7826.5</v>
      </c>
      <c r="R215" s="303">
        <f t="shared" ref="R215:W215" si="500">(R214+Q214)/2</f>
        <v>7830</v>
      </c>
      <c r="S215" s="303">
        <f t="shared" si="500"/>
        <v>7832</v>
      </c>
      <c r="T215" s="303">
        <f t="shared" si="500"/>
        <v>7832</v>
      </c>
      <c r="U215" s="303">
        <f t="shared" si="500"/>
        <v>7832</v>
      </c>
      <c r="V215" s="303">
        <f t="shared" si="500"/>
        <v>7832</v>
      </c>
      <c r="W215" s="303">
        <f t="shared" si="500"/>
        <v>7832</v>
      </c>
      <c r="X215" s="303">
        <f t="shared" ref="X215" si="501">(X214+W214)/2</f>
        <v>7832</v>
      </c>
      <c r="Y215" s="303">
        <f t="shared" ref="Y215" si="502">(Y214+X214)/2</f>
        <v>7832</v>
      </c>
      <c r="Z215" s="303">
        <f t="shared" ref="Z215" si="503">(Z214+Y214)/2</f>
        <v>7832</v>
      </c>
      <c r="AA215" s="303">
        <f t="shared" ref="AA215" si="504">(AA214+Z214)/2</f>
        <v>7832</v>
      </c>
      <c r="AB215" s="659"/>
      <c r="AC215" s="631"/>
      <c r="AD215" s="631"/>
      <c r="AE215" s="631"/>
      <c r="AF215" s="631"/>
      <c r="AG215" s="631"/>
      <c r="AH215" s="631"/>
      <c r="AI215" s="631"/>
    </row>
    <row r="216" spans="1:35" s="633" customFormat="1" ht="13.2">
      <c r="A216" s="276" t="s">
        <v>203</v>
      </c>
      <c r="B216" s="359"/>
      <c r="C216" s="359"/>
      <c r="D216" s="476">
        <f t="shared" ref="D216:Q216" si="505">C216</f>
        <v>0</v>
      </c>
      <c r="E216" s="476">
        <f t="shared" si="505"/>
        <v>0</v>
      </c>
      <c r="F216" s="476">
        <f t="shared" si="505"/>
        <v>0</v>
      </c>
      <c r="G216" s="476">
        <f t="shared" si="505"/>
        <v>0</v>
      </c>
      <c r="H216" s="476">
        <f t="shared" si="505"/>
        <v>0</v>
      </c>
      <c r="I216" s="476">
        <f t="shared" si="505"/>
        <v>0</v>
      </c>
      <c r="J216" s="476">
        <f t="shared" si="505"/>
        <v>0</v>
      </c>
      <c r="K216" s="476">
        <f t="shared" si="505"/>
        <v>0</v>
      </c>
      <c r="L216" s="476">
        <f t="shared" si="505"/>
        <v>0</v>
      </c>
      <c r="M216" s="476">
        <f t="shared" si="505"/>
        <v>0</v>
      </c>
      <c r="N216" s="476">
        <f t="shared" si="505"/>
        <v>0</v>
      </c>
      <c r="O216" s="476">
        <f t="shared" si="505"/>
        <v>0</v>
      </c>
      <c r="P216" s="476">
        <f t="shared" si="505"/>
        <v>0</v>
      </c>
      <c r="Q216" s="476">
        <f t="shared" si="505"/>
        <v>0</v>
      </c>
      <c r="R216" s="476">
        <f t="shared" ref="R216:W217" si="506">Q216</f>
        <v>0</v>
      </c>
      <c r="S216" s="476">
        <f t="shared" si="506"/>
        <v>0</v>
      </c>
      <c r="T216" s="476">
        <f t="shared" si="506"/>
        <v>0</v>
      </c>
      <c r="U216" s="476">
        <f t="shared" si="506"/>
        <v>0</v>
      </c>
      <c r="V216" s="476">
        <f t="shared" si="506"/>
        <v>0</v>
      </c>
      <c r="W216" s="476">
        <f t="shared" si="506"/>
        <v>0</v>
      </c>
      <c r="X216" s="476">
        <f t="shared" ref="X216:X217" si="507">W216</f>
        <v>0</v>
      </c>
      <c r="Y216" s="476">
        <f t="shared" ref="Y216:Y217" si="508">X216</f>
        <v>0</v>
      </c>
      <c r="Z216" s="476">
        <f t="shared" ref="Z216:Z217" si="509">Y216</f>
        <v>0</v>
      </c>
      <c r="AA216" s="476">
        <f t="shared" ref="AA216:AA217" si="510">Z216</f>
        <v>0</v>
      </c>
      <c r="AB216" s="666"/>
      <c r="AC216" s="631"/>
      <c r="AD216" s="631"/>
      <c r="AE216" s="631"/>
      <c r="AF216" s="631"/>
      <c r="AG216" s="631"/>
      <c r="AH216" s="631"/>
      <c r="AI216" s="631"/>
    </row>
    <row r="217" spans="1:35" s="633" customFormat="1" ht="13.2">
      <c r="A217" s="276" t="s">
        <v>204</v>
      </c>
      <c r="B217" s="301">
        <v>0</v>
      </c>
      <c r="C217" s="301">
        <v>0</v>
      </c>
      <c r="D217" s="303">
        <f t="shared" ref="D217:Q217" si="511">C217</f>
        <v>0</v>
      </c>
      <c r="E217" s="303">
        <f t="shared" si="511"/>
        <v>0</v>
      </c>
      <c r="F217" s="303">
        <f t="shared" si="511"/>
        <v>0</v>
      </c>
      <c r="G217" s="303">
        <f t="shared" si="511"/>
        <v>0</v>
      </c>
      <c r="H217" s="303">
        <f t="shared" si="511"/>
        <v>0</v>
      </c>
      <c r="I217" s="303">
        <f t="shared" si="511"/>
        <v>0</v>
      </c>
      <c r="J217" s="303">
        <f t="shared" si="511"/>
        <v>0</v>
      </c>
      <c r="K217" s="303">
        <f t="shared" si="511"/>
        <v>0</v>
      </c>
      <c r="L217" s="303">
        <f t="shared" si="511"/>
        <v>0</v>
      </c>
      <c r="M217" s="303">
        <f t="shared" si="511"/>
        <v>0</v>
      </c>
      <c r="N217" s="303">
        <f t="shared" si="511"/>
        <v>0</v>
      </c>
      <c r="O217" s="303">
        <f t="shared" si="511"/>
        <v>0</v>
      </c>
      <c r="P217" s="303">
        <f t="shared" si="511"/>
        <v>0</v>
      </c>
      <c r="Q217" s="303">
        <f t="shared" si="511"/>
        <v>0</v>
      </c>
      <c r="R217" s="303">
        <f t="shared" si="506"/>
        <v>0</v>
      </c>
      <c r="S217" s="303">
        <f t="shared" si="506"/>
        <v>0</v>
      </c>
      <c r="T217" s="303">
        <f t="shared" si="506"/>
        <v>0</v>
      </c>
      <c r="U217" s="303">
        <f t="shared" si="506"/>
        <v>0</v>
      </c>
      <c r="V217" s="303">
        <f t="shared" si="506"/>
        <v>0</v>
      </c>
      <c r="W217" s="303">
        <f t="shared" si="506"/>
        <v>0</v>
      </c>
      <c r="X217" s="303">
        <f t="shared" si="507"/>
        <v>0</v>
      </c>
      <c r="Y217" s="303">
        <f t="shared" si="508"/>
        <v>0</v>
      </c>
      <c r="Z217" s="303">
        <f t="shared" si="509"/>
        <v>0</v>
      </c>
      <c r="AA217" s="303">
        <f t="shared" si="510"/>
        <v>0</v>
      </c>
      <c r="AB217" s="659"/>
      <c r="AC217" s="631"/>
      <c r="AD217" s="631"/>
      <c r="AE217" s="631"/>
      <c r="AF217" s="631"/>
      <c r="AG217" s="631"/>
      <c r="AH217" s="631"/>
      <c r="AI217" s="631"/>
    </row>
    <row r="218" spans="1:35" s="633" customFormat="1" ht="13.2">
      <c r="A218" s="276"/>
      <c r="B218" s="206"/>
      <c r="C218" s="206"/>
      <c r="D218" s="206"/>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c r="AB218" s="708"/>
      <c r="AC218" s="631"/>
      <c r="AD218" s="631"/>
      <c r="AE218" s="631"/>
      <c r="AF218" s="631"/>
      <c r="AG218" s="631"/>
      <c r="AH218" s="632"/>
      <c r="AI218" s="632"/>
    </row>
    <row r="219" spans="1:35" s="633" customFormat="1" ht="13.2">
      <c r="A219" s="657" t="s">
        <v>134</v>
      </c>
      <c r="B219" s="658">
        <f>B$2</f>
        <v>2007</v>
      </c>
      <c r="C219" s="658">
        <f t="shared" ref="C219:Q219" si="512">B219+1</f>
        <v>2008</v>
      </c>
      <c r="D219" s="658">
        <f t="shared" si="512"/>
        <v>2009</v>
      </c>
      <c r="E219" s="658">
        <f t="shared" si="512"/>
        <v>2010</v>
      </c>
      <c r="F219" s="658">
        <f t="shared" si="512"/>
        <v>2011</v>
      </c>
      <c r="G219" s="658">
        <f t="shared" si="512"/>
        <v>2012</v>
      </c>
      <c r="H219" s="658">
        <f t="shared" si="512"/>
        <v>2013</v>
      </c>
      <c r="I219" s="658">
        <f t="shared" si="512"/>
        <v>2014</v>
      </c>
      <c r="J219" s="658">
        <f t="shared" si="512"/>
        <v>2015</v>
      </c>
      <c r="K219" s="658">
        <f t="shared" si="512"/>
        <v>2016</v>
      </c>
      <c r="L219" s="658">
        <f t="shared" si="512"/>
        <v>2017</v>
      </c>
      <c r="M219" s="658">
        <f t="shared" si="512"/>
        <v>2018</v>
      </c>
      <c r="N219" s="658">
        <f t="shared" si="512"/>
        <v>2019</v>
      </c>
      <c r="O219" s="658">
        <f t="shared" si="512"/>
        <v>2020</v>
      </c>
      <c r="P219" s="658">
        <f t="shared" si="512"/>
        <v>2021</v>
      </c>
      <c r="Q219" s="658">
        <f t="shared" si="512"/>
        <v>2022</v>
      </c>
      <c r="R219" s="658">
        <f t="shared" ref="R219:W219" si="513">Q219+1</f>
        <v>2023</v>
      </c>
      <c r="S219" s="658">
        <f t="shared" si="513"/>
        <v>2024</v>
      </c>
      <c r="T219" s="658">
        <f t="shared" si="513"/>
        <v>2025</v>
      </c>
      <c r="U219" s="658">
        <f t="shared" si="513"/>
        <v>2026</v>
      </c>
      <c r="V219" s="658">
        <f t="shared" si="513"/>
        <v>2027</v>
      </c>
      <c r="W219" s="658">
        <f t="shared" si="513"/>
        <v>2028</v>
      </c>
      <c r="X219" s="658">
        <f t="shared" ref="X219" si="514">W219+1</f>
        <v>2029</v>
      </c>
      <c r="Y219" s="658">
        <f t="shared" ref="Y219" si="515">X219+1</f>
        <v>2030</v>
      </c>
      <c r="Z219" s="658">
        <f t="shared" ref="Z219" si="516">Y219+1</f>
        <v>2031</v>
      </c>
      <c r="AA219" s="658">
        <f t="shared" ref="AA219" si="517">Z219+1</f>
        <v>2032</v>
      </c>
      <c r="AB219" s="647"/>
      <c r="AC219" s="632"/>
      <c r="AD219" s="632"/>
      <c r="AE219" s="632"/>
      <c r="AF219" s="632"/>
      <c r="AG219" s="632"/>
      <c r="AH219" s="631"/>
      <c r="AI219" s="631"/>
    </row>
    <row r="220" spans="1:35" s="633" customFormat="1" ht="13.2">
      <c r="A220" s="276"/>
      <c r="B220" s="206"/>
      <c r="C220" s="206"/>
      <c r="D220" s="206"/>
      <c r="E220" s="206"/>
      <c r="F220" s="206"/>
      <c r="G220" s="206"/>
      <c r="H220" s="206"/>
      <c r="I220" s="206"/>
      <c r="J220" s="206"/>
      <c r="K220" s="206"/>
      <c r="L220" s="206"/>
      <c r="M220" s="195"/>
      <c r="N220" s="195"/>
      <c r="O220" s="195"/>
      <c r="P220" s="195"/>
      <c r="Q220" s="195"/>
      <c r="R220" s="195"/>
      <c r="S220" s="195"/>
      <c r="T220" s="195"/>
      <c r="U220" s="195"/>
      <c r="V220" s="195"/>
      <c r="W220" s="195"/>
      <c r="X220" s="195"/>
      <c r="Y220" s="195"/>
      <c r="Z220" s="195"/>
      <c r="AA220" s="195"/>
      <c r="AB220" s="631"/>
      <c r="AC220" s="631"/>
      <c r="AD220" s="631"/>
      <c r="AE220" s="631"/>
      <c r="AF220" s="631"/>
      <c r="AG220" s="631"/>
      <c r="AH220" s="631"/>
      <c r="AI220" s="631"/>
    </row>
    <row r="221" spans="1:35" s="633" customFormat="1" ht="13.2">
      <c r="A221" s="722" t="s">
        <v>134</v>
      </c>
      <c r="B221" s="723"/>
      <c r="C221" s="723"/>
      <c r="D221" s="723">
        <f>8945-D212</f>
        <v>1445</v>
      </c>
      <c r="E221" s="723">
        <f>8667-E212</f>
        <v>1167</v>
      </c>
      <c r="F221" s="723">
        <f>8084-F212</f>
        <v>584</v>
      </c>
      <c r="G221" s="723">
        <f>7077-G212</f>
        <v>-423</v>
      </c>
      <c r="H221" s="723">
        <f>6001-H212</f>
        <v>-1499</v>
      </c>
      <c r="I221" s="723">
        <f>4717-I212</f>
        <v>-2783</v>
      </c>
      <c r="J221" s="723">
        <f>4190-J212</f>
        <v>-3310</v>
      </c>
      <c r="K221" s="723">
        <f>4721-K212</f>
        <v>-2779</v>
      </c>
      <c r="L221" s="723">
        <f>7041-L212</f>
        <v>-759</v>
      </c>
      <c r="M221" s="723">
        <f t="shared" ref="M221:W221" si="518">L221+M222+M223+M224</f>
        <v>-556</v>
      </c>
      <c r="N221" s="723">
        <f t="shared" si="518"/>
        <v>-593</v>
      </c>
      <c r="O221" s="723">
        <f t="shared" si="518"/>
        <v>-513.24999999999977</v>
      </c>
      <c r="P221" s="723">
        <f t="shared" si="518"/>
        <v>-627.49999999999955</v>
      </c>
      <c r="Q221" s="723">
        <f t="shared" si="518"/>
        <v>-1042.0999999999997</v>
      </c>
      <c r="R221" s="723">
        <f t="shared" si="518"/>
        <v>-1303.2199999999998</v>
      </c>
      <c r="S221" s="723">
        <f t="shared" si="518"/>
        <v>-1274.7199510985072</v>
      </c>
      <c r="T221" s="723">
        <f t="shared" si="518"/>
        <v>-1242.5905416338362</v>
      </c>
      <c r="U221" s="723">
        <f t="shared" si="518"/>
        <v>-1207.1629128538791</v>
      </c>
      <c r="V221" s="723">
        <f t="shared" si="518"/>
        <v>-1168.6333291293176</v>
      </c>
      <c r="W221" s="723">
        <f t="shared" si="518"/>
        <v>-1127.1284754836099</v>
      </c>
      <c r="X221" s="723">
        <f t="shared" ref="X221" si="519">W221+X222+X223+X224</f>
        <v>-1082.8795623463313</v>
      </c>
      <c r="Y221" s="723">
        <f t="shared" ref="Y221" si="520">X221+Y222+Y223+Y224</f>
        <v>-1036.0515611035009</v>
      </c>
      <c r="Z221" s="723">
        <f t="shared" ref="Z221" si="521">Y221+Z222+Z223+Z224</f>
        <v>-986.75766351979678</v>
      </c>
      <c r="AA221" s="723">
        <f t="shared" ref="AA221" si="522">Z221+AA222+AA223+AA224</f>
        <v>-935.07235590823825</v>
      </c>
      <c r="AB221" s="659"/>
      <c r="AC221" s="631"/>
      <c r="AD221" s="631"/>
      <c r="AE221" s="631"/>
      <c r="AF221" s="631"/>
      <c r="AG221" s="631"/>
      <c r="AH221" s="631"/>
      <c r="AI221" s="631"/>
    </row>
    <row r="222" spans="1:35" s="633" customFormat="1" ht="13.2">
      <c r="A222" s="722" t="s">
        <v>99</v>
      </c>
      <c r="B222" s="723">
        <f>'Income Statement'!B457</f>
        <v>1979.9</v>
      </c>
      <c r="C222" s="723">
        <f>'Income Statement'!G457</f>
        <v>2400.6000000000013</v>
      </c>
      <c r="D222" s="723">
        <f>'Income Statement'!L457</f>
        <v>2232</v>
      </c>
      <c r="E222" s="723">
        <f>'Income Statement'!Q457</f>
        <v>2295</v>
      </c>
      <c r="F222" s="723">
        <f>'Income Statement'!V457</f>
        <v>2531</v>
      </c>
      <c r="G222" s="723">
        <f>'Income Statement'!AA457</f>
        <v>1993</v>
      </c>
      <c r="H222" s="723">
        <f>'Income Statement'!AF457</f>
        <v>2103</v>
      </c>
      <c r="I222" s="723">
        <f>'Income Statement'!AK457</f>
        <v>1607.561874065377</v>
      </c>
      <c r="J222" s="723">
        <f>'Income Statement'!AP457</f>
        <v>2064.1792126289793</v>
      </c>
      <c r="K222" s="723">
        <f>'Income Statement'!AU457</f>
        <v>1971</v>
      </c>
      <c r="L222" s="723">
        <f>'Income Statement'!AZ457</f>
        <v>2061</v>
      </c>
      <c r="M222" s="723">
        <f>'Income Statement'!BE457</f>
        <v>1765</v>
      </c>
      <c r="N222" s="723">
        <f>'Income Statement'!BJ457</f>
        <v>1527</v>
      </c>
      <c r="O222" s="723">
        <f>'Income Statement'!BO457</f>
        <v>1410</v>
      </c>
      <c r="P222" s="723">
        <f>'Income Statement'!BT457</f>
        <v>1216</v>
      </c>
      <c r="Q222" s="723">
        <f>'Income Statement'!BY457</f>
        <v>1151</v>
      </c>
      <c r="R222" s="723">
        <f>'Income Statement'!CD457</f>
        <v>992</v>
      </c>
      <c r="S222" s="723">
        <f>'Income Statement'!CE457</f>
        <v>1425.0024450746369</v>
      </c>
      <c r="T222" s="723">
        <f>'Income Statement'!CF457</f>
        <v>1606.4704732335476</v>
      </c>
      <c r="U222" s="723">
        <f>'Income Statement'!CG457</f>
        <v>1771.3814389978606</v>
      </c>
      <c r="V222" s="723">
        <f>'Income Statement'!CH457</f>
        <v>1926.4791862280626</v>
      </c>
      <c r="W222" s="723">
        <f>'Income Statement'!CI457</f>
        <v>2075.2426822853809</v>
      </c>
      <c r="X222" s="723">
        <f>'Income Statement'!CJ457</f>
        <v>2212.4456568639089</v>
      </c>
      <c r="Y222" s="723">
        <f>'Income Statement'!CK457</f>
        <v>2341.4000621415207</v>
      </c>
      <c r="Z222" s="723">
        <f>'Income Statement'!CL457</f>
        <v>2464.694879185201</v>
      </c>
      <c r="AA222" s="723">
        <f>'Income Statement'!CM457</f>
        <v>2584.2653805779282</v>
      </c>
      <c r="AB222" s="659"/>
      <c r="AC222" s="631"/>
      <c r="AD222" s="631"/>
      <c r="AE222" s="631"/>
      <c r="AF222" s="631"/>
      <c r="AG222" s="631"/>
      <c r="AH222" s="631"/>
      <c r="AI222" s="631"/>
    </row>
    <row r="223" spans="1:35" s="633" customFormat="1" ht="13.2">
      <c r="A223" s="722" t="s">
        <v>205</v>
      </c>
      <c r="B223" s="724">
        <f t="shared" ref="B223:P223" si="523">B256</f>
        <v>0</v>
      </c>
      <c r="C223" s="724">
        <f t="shared" si="523"/>
        <v>0</v>
      </c>
      <c r="D223" s="724">
        <f t="shared" si="523"/>
        <v>-2555</v>
      </c>
      <c r="E223" s="724">
        <f t="shared" si="523"/>
        <v>-3000</v>
      </c>
      <c r="F223" s="724">
        <f t="shared" si="523"/>
        <v>-3000</v>
      </c>
      <c r="G223" s="724">
        <f t="shared" si="523"/>
        <v>-3000</v>
      </c>
      <c r="H223" s="724">
        <f t="shared" si="523"/>
        <v>-3000</v>
      </c>
      <c r="I223" s="724">
        <f t="shared" si="523"/>
        <v>-3000</v>
      </c>
      <c r="J223" s="724">
        <f t="shared" si="523"/>
        <v>-2325.0000000000005</v>
      </c>
      <c r="K223" s="724">
        <f t="shared" si="523"/>
        <v>-1500</v>
      </c>
      <c r="L223" s="724">
        <f t="shared" si="523"/>
        <v>-1560</v>
      </c>
      <c r="M223" s="724">
        <f t="shared" si="523"/>
        <v>-1562</v>
      </c>
      <c r="N223" s="724">
        <f t="shared" si="523"/>
        <v>-1564</v>
      </c>
      <c r="O223" s="724">
        <f t="shared" si="523"/>
        <v>-1330.2499999999998</v>
      </c>
      <c r="P223" s="724">
        <f t="shared" si="523"/>
        <v>-1330.2499999999998</v>
      </c>
      <c r="Q223" s="724">
        <f t="shared" ref="Q223" si="524">Q256</f>
        <v>-1565.6000000000001</v>
      </c>
      <c r="R223" s="724">
        <f t="shared" ref="R223:W223" si="525">R256</f>
        <v>-1253.1200000000001</v>
      </c>
      <c r="S223" s="724">
        <f t="shared" si="525"/>
        <v>-1396.5023961731442</v>
      </c>
      <c r="T223" s="724">
        <f t="shared" si="525"/>
        <v>-1574.3410637688767</v>
      </c>
      <c r="U223" s="724">
        <f t="shared" si="525"/>
        <v>-1735.9538102179035</v>
      </c>
      <c r="V223" s="724">
        <f t="shared" si="525"/>
        <v>-1887.9496025035012</v>
      </c>
      <c r="W223" s="724">
        <f t="shared" si="525"/>
        <v>-2033.7378286396731</v>
      </c>
      <c r="X223" s="724">
        <f t="shared" ref="X223:AA223" si="526">X256</f>
        <v>-2168.1967437266303</v>
      </c>
      <c r="Y223" s="724">
        <f t="shared" si="526"/>
        <v>-2294.5720608986903</v>
      </c>
      <c r="Z223" s="724">
        <f t="shared" si="526"/>
        <v>-2415.4009816014968</v>
      </c>
      <c r="AA223" s="724">
        <f t="shared" si="526"/>
        <v>-2532.5800729663697</v>
      </c>
      <c r="AB223" s="641"/>
      <c r="AC223" s="631"/>
      <c r="AD223" s="631"/>
      <c r="AE223" s="631"/>
      <c r="AF223" s="631"/>
      <c r="AG223" s="631"/>
      <c r="AH223" s="631"/>
      <c r="AI223" s="631"/>
    </row>
    <row r="224" spans="1:35" s="633" customFormat="1" ht="13.2">
      <c r="A224" s="722" t="s">
        <v>206</v>
      </c>
      <c r="B224" s="725"/>
      <c r="C224" s="725"/>
      <c r="D224" s="725"/>
      <c r="E224" s="725"/>
      <c r="F224" s="725"/>
      <c r="G224" s="725"/>
      <c r="H224" s="725"/>
      <c r="I224" s="725"/>
      <c r="J224" s="725"/>
      <c r="K224" s="725"/>
      <c r="L224" s="725"/>
      <c r="M224" s="725"/>
      <c r="N224" s="725"/>
      <c r="O224" s="725"/>
      <c r="P224" s="725"/>
      <c r="Q224" s="725"/>
      <c r="R224" s="725"/>
      <c r="S224" s="725"/>
      <c r="T224" s="725"/>
      <c r="U224" s="725"/>
      <c r="V224" s="725"/>
      <c r="W224" s="725"/>
      <c r="X224" s="725"/>
      <c r="Y224" s="725"/>
      <c r="Z224" s="725"/>
      <c r="AA224" s="725"/>
      <c r="AB224" s="708"/>
      <c r="AC224" s="631"/>
      <c r="AD224" s="631"/>
      <c r="AE224" s="631"/>
      <c r="AF224" s="631"/>
      <c r="AG224" s="631"/>
      <c r="AH224" s="631"/>
      <c r="AI224" s="631"/>
    </row>
    <row r="225" spans="1:35" s="633" customFormat="1" ht="13.2">
      <c r="A225" s="276"/>
      <c r="B225" s="206"/>
      <c r="C225" s="206"/>
      <c r="D225" s="206"/>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c r="AB225" s="708"/>
      <c r="AC225" s="631"/>
      <c r="AD225" s="631"/>
      <c r="AE225" s="631"/>
      <c r="AF225" s="631"/>
      <c r="AG225" s="631"/>
      <c r="AH225" s="631"/>
      <c r="AI225" s="631"/>
    </row>
    <row r="226" spans="1:35" s="633" customFormat="1" ht="13.2">
      <c r="A226" s="276" t="s">
        <v>657</v>
      </c>
      <c r="B226" s="206"/>
      <c r="C226" s="206"/>
      <c r="D226" s="206"/>
      <c r="E226" s="206"/>
      <c r="F226" s="206"/>
      <c r="G226" s="206"/>
      <c r="H226" s="206"/>
      <c r="I226" s="206"/>
      <c r="J226" s="206"/>
      <c r="K226" s="206"/>
      <c r="L226" s="206"/>
      <c r="M226" s="206"/>
      <c r="N226" s="206"/>
      <c r="O226" s="206"/>
      <c r="P226" s="206"/>
      <c r="Q226" s="206">
        <f>P230</f>
        <v>4161</v>
      </c>
      <c r="R226" s="206">
        <f>Q230</f>
        <v>3786</v>
      </c>
      <c r="S226" s="206">
        <f t="shared" ref="R226:W226" si="527">R230</f>
        <v>3151</v>
      </c>
      <c r="T226" s="206">
        <f t="shared" si="527"/>
        <v>3179.5000489014928</v>
      </c>
      <c r="U226" s="206">
        <f t="shared" si="527"/>
        <v>3211.6294583661638</v>
      </c>
      <c r="V226" s="206">
        <f t="shared" si="527"/>
        <v>3247.0570871461209</v>
      </c>
      <c r="W226" s="206">
        <f t="shared" si="527"/>
        <v>3285.5866708706826</v>
      </c>
      <c r="X226" s="206">
        <f t="shared" ref="X226" si="528">W230</f>
        <v>3327.0915245163897</v>
      </c>
      <c r="Y226" s="206">
        <f t="shared" ref="Y226" si="529">X230</f>
        <v>3371.3404376536682</v>
      </c>
      <c r="Z226" s="206">
        <f t="shared" ref="Z226" si="530">Y230</f>
        <v>3418.1684388964986</v>
      </c>
      <c r="AA226" s="206">
        <f t="shared" ref="AA226" si="531">Z230</f>
        <v>3467.4623364802028</v>
      </c>
      <c r="AB226" s="708"/>
      <c r="AC226" s="631"/>
      <c r="AD226" s="631"/>
      <c r="AE226" s="631"/>
      <c r="AF226" s="631"/>
      <c r="AG226" s="631"/>
      <c r="AH226" s="631"/>
      <c r="AI226" s="631"/>
    </row>
    <row r="227" spans="1:35" s="633" customFormat="1" ht="13.2">
      <c r="A227" s="276" t="s">
        <v>99</v>
      </c>
      <c r="B227" s="206"/>
      <c r="C227" s="206"/>
      <c r="D227" s="206"/>
      <c r="E227" s="206"/>
      <c r="F227" s="206"/>
      <c r="G227" s="206"/>
      <c r="H227" s="206"/>
      <c r="I227" s="206"/>
      <c r="J227" s="206"/>
      <c r="K227" s="206"/>
      <c r="L227" s="206"/>
      <c r="M227" s="206"/>
      <c r="N227" s="206"/>
      <c r="O227" s="206"/>
      <c r="P227" s="206"/>
      <c r="Q227" s="465">
        <f>'Income Statement'!BY457</f>
        <v>1151</v>
      </c>
      <c r="R227" s="465">
        <f>'Income Statement'!CD457</f>
        <v>992</v>
      </c>
      <c r="S227" s="465">
        <f>'Income Statement'!CE457</f>
        <v>1425.0024450746369</v>
      </c>
      <c r="T227" s="465">
        <f>'Income Statement'!CF457</f>
        <v>1606.4704732335476</v>
      </c>
      <c r="U227" s="465">
        <f>'Income Statement'!CG457</f>
        <v>1771.3814389978606</v>
      </c>
      <c r="V227" s="465">
        <f>'Income Statement'!CH457</f>
        <v>1926.4791862280626</v>
      </c>
      <c r="W227" s="465">
        <f>'Income Statement'!CI457</f>
        <v>2075.2426822853809</v>
      </c>
      <c r="X227" s="465">
        <f>'Income Statement'!CJ457</f>
        <v>2212.4456568639089</v>
      </c>
      <c r="Y227" s="465">
        <f>'Income Statement'!CK457</f>
        <v>2341.4000621415207</v>
      </c>
      <c r="Z227" s="465">
        <f>'Income Statement'!CL457</f>
        <v>2464.694879185201</v>
      </c>
      <c r="AA227" s="465">
        <f>'Income Statement'!CM457</f>
        <v>2584.2653805779282</v>
      </c>
      <c r="AB227" s="629"/>
      <c r="AC227" s="631"/>
      <c r="AD227" s="631"/>
      <c r="AE227" s="631"/>
      <c r="AF227" s="631"/>
      <c r="AG227" s="631"/>
      <c r="AH227" s="631"/>
      <c r="AI227" s="631"/>
    </row>
    <row r="228" spans="1:35" s="633" customFormat="1" ht="13.2">
      <c r="A228" s="276" t="s">
        <v>205</v>
      </c>
      <c r="B228" s="200"/>
      <c r="C228" s="200"/>
      <c r="D228" s="200"/>
      <c r="E228" s="200"/>
      <c r="F228" s="200"/>
      <c r="G228" s="200"/>
      <c r="H228" s="200"/>
      <c r="I228" s="200"/>
      <c r="J228" s="200"/>
      <c r="K228" s="200"/>
      <c r="L228" s="200"/>
      <c r="M228" s="200"/>
      <c r="N228" s="200"/>
      <c r="O228" s="200"/>
      <c r="P228" s="200"/>
      <c r="Q228" s="465">
        <f>-'Income Statement'!BY466*'Income Statement'!BY469</f>
        <v>-1565.6000000000001</v>
      </c>
      <c r="R228" s="465">
        <f>-'Income Statement'!CD466*'Income Statement'!CD469</f>
        <v>-1253.1200000000001</v>
      </c>
      <c r="S228" s="465">
        <f>-'Income Statement'!CE466*'Income Statement'!CE469</f>
        <v>-1396.5023961731442</v>
      </c>
      <c r="T228" s="465">
        <f>-'Income Statement'!CF466*'Income Statement'!CF469</f>
        <v>-1574.3410637688767</v>
      </c>
      <c r="U228" s="465">
        <f>-'Income Statement'!CG466*'Income Statement'!CG469</f>
        <v>-1735.9538102179035</v>
      </c>
      <c r="V228" s="465">
        <f>-'Income Statement'!CH466*'Income Statement'!CH469</f>
        <v>-1887.9496025035012</v>
      </c>
      <c r="W228" s="465">
        <f>-'Income Statement'!CI466*'Income Statement'!CI469</f>
        <v>-2033.7378286396731</v>
      </c>
      <c r="X228" s="465">
        <f>-'Income Statement'!CJ466*'Income Statement'!CJ469</f>
        <v>-2168.1967437266303</v>
      </c>
      <c r="Y228" s="465">
        <f>-'Income Statement'!CK466*'Income Statement'!CK469</f>
        <v>-2294.5720608986903</v>
      </c>
      <c r="Z228" s="465">
        <f>-'Income Statement'!CL466*'Income Statement'!CL469</f>
        <v>-2415.4009816014968</v>
      </c>
      <c r="AA228" s="465">
        <f>-'Income Statement'!CM466*'Income Statement'!CM469</f>
        <v>-2532.5800729663697</v>
      </c>
      <c r="AB228" s="629"/>
      <c r="AC228" s="631"/>
      <c r="AD228" s="631"/>
      <c r="AE228" s="631"/>
      <c r="AF228" s="631"/>
      <c r="AG228" s="631"/>
      <c r="AH228" s="631"/>
      <c r="AI228" s="631"/>
    </row>
    <row r="229" spans="1:35" s="633" customFormat="1" ht="13.2">
      <c r="A229" s="276" t="s">
        <v>719</v>
      </c>
      <c r="B229" s="200"/>
      <c r="C229" s="200"/>
      <c r="D229" s="200"/>
      <c r="E229" s="200"/>
      <c r="F229" s="200"/>
      <c r="G229" s="200"/>
      <c r="H229" s="200"/>
      <c r="I229" s="200"/>
      <c r="J229" s="200"/>
      <c r="K229" s="200"/>
      <c r="L229" s="200"/>
      <c r="M229" s="200"/>
      <c r="N229" s="200"/>
      <c r="O229" s="200"/>
      <c r="P229" s="200"/>
      <c r="Q229" s="465">
        <f>Q230-Q228-Q227-Q226</f>
        <v>39.600000000000364</v>
      </c>
      <c r="R229" s="465">
        <f>R230-R228-R227-R226</f>
        <v>-373.88000000000011</v>
      </c>
      <c r="S229" s="465"/>
      <c r="T229" s="465"/>
      <c r="U229" s="465"/>
      <c r="V229" s="465"/>
      <c r="W229" s="465"/>
      <c r="X229" s="465"/>
      <c r="Y229" s="465"/>
      <c r="Z229" s="465"/>
      <c r="AA229" s="465"/>
      <c r="AB229" s="629"/>
      <c r="AC229" s="631"/>
      <c r="AD229" s="631"/>
      <c r="AE229" s="631"/>
      <c r="AF229" s="631"/>
      <c r="AG229" s="631"/>
      <c r="AH229" s="631"/>
      <c r="AI229" s="631"/>
    </row>
    <row r="230" spans="1:35" s="647" customFormat="1" ht="13.2">
      <c r="A230" s="349" t="s">
        <v>658</v>
      </c>
      <c r="B230" s="726"/>
      <c r="C230" s="726"/>
      <c r="D230" s="726"/>
      <c r="E230" s="726"/>
      <c r="F230" s="726"/>
      <c r="G230" s="726"/>
      <c r="H230" s="726"/>
      <c r="I230" s="726"/>
      <c r="J230" s="726"/>
      <c r="K230" s="726"/>
      <c r="L230" s="726"/>
      <c r="M230" s="726"/>
      <c r="N230" s="726"/>
      <c r="O230" s="726"/>
      <c r="P230" s="727">
        <v>4161</v>
      </c>
      <c r="Q230" s="727">
        <f>3784+2</f>
        <v>3786</v>
      </c>
      <c r="R230" s="727">
        <f>3150+1</f>
        <v>3151</v>
      </c>
      <c r="S230" s="728">
        <f>SUM(S226:S229)</f>
        <v>3179.5000489014928</v>
      </c>
      <c r="T230" s="728">
        <f t="shared" ref="T230:AA230" si="532">SUM(T226:T229)</f>
        <v>3211.6294583661638</v>
      </c>
      <c r="U230" s="728">
        <f t="shared" si="532"/>
        <v>3247.0570871461209</v>
      </c>
      <c r="V230" s="728">
        <f t="shared" si="532"/>
        <v>3285.5866708706826</v>
      </c>
      <c r="W230" s="728">
        <f t="shared" si="532"/>
        <v>3327.0915245163897</v>
      </c>
      <c r="X230" s="728">
        <f t="shared" si="532"/>
        <v>3371.3404376536682</v>
      </c>
      <c r="Y230" s="728">
        <f t="shared" si="532"/>
        <v>3418.1684388964986</v>
      </c>
      <c r="Z230" s="728">
        <f t="shared" si="532"/>
        <v>3467.4623364802028</v>
      </c>
      <c r="AA230" s="728">
        <f t="shared" si="532"/>
        <v>3519.1476440917613</v>
      </c>
      <c r="AB230" s="674"/>
      <c r="AC230" s="632"/>
      <c r="AD230" s="632"/>
      <c r="AE230" s="632"/>
      <c r="AF230" s="632"/>
      <c r="AG230" s="632"/>
      <c r="AH230" s="632"/>
      <c r="AI230" s="632"/>
    </row>
    <row r="231" spans="1:35" s="633" customFormat="1" ht="13.2">
      <c r="A231" s="276"/>
      <c r="B231" s="200"/>
      <c r="C231" s="200"/>
      <c r="D231" s="200"/>
      <c r="E231" s="200"/>
      <c r="F231" s="200"/>
      <c r="G231" s="200"/>
      <c r="H231" s="200"/>
      <c r="I231" s="200"/>
      <c r="J231" s="200"/>
      <c r="K231" s="200"/>
      <c r="L231" s="200"/>
      <c r="M231" s="200"/>
      <c r="N231" s="200"/>
      <c r="O231" s="200"/>
      <c r="P231" s="200"/>
      <c r="Q231" s="200"/>
      <c r="R231" s="200"/>
      <c r="S231" s="200"/>
      <c r="T231" s="200"/>
      <c r="U231" s="200"/>
      <c r="V231" s="200"/>
      <c r="W231" s="200"/>
      <c r="X231" s="200"/>
      <c r="Y231" s="200"/>
      <c r="Z231" s="200"/>
      <c r="AA231" s="200"/>
      <c r="AC231" s="631"/>
      <c r="AD231" s="631"/>
      <c r="AE231" s="631"/>
      <c r="AF231" s="631"/>
      <c r="AG231" s="631"/>
      <c r="AH231" s="632"/>
      <c r="AI231" s="632"/>
    </row>
    <row r="232" spans="1:35" s="633" customFormat="1" ht="13.2">
      <c r="A232" s="657" t="s">
        <v>738</v>
      </c>
      <c r="B232" s="658">
        <f>B$2</f>
        <v>2007</v>
      </c>
      <c r="C232" s="658">
        <f t="shared" ref="C232" si="533">B232+1</f>
        <v>2008</v>
      </c>
      <c r="D232" s="658">
        <f t="shared" ref="D232" si="534">C232+1</f>
        <v>2009</v>
      </c>
      <c r="E232" s="658">
        <f t="shared" ref="E232" si="535">D232+1</f>
        <v>2010</v>
      </c>
      <c r="F232" s="658">
        <f t="shared" ref="F232" si="536">E232+1</f>
        <v>2011</v>
      </c>
      <c r="G232" s="658">
        <f t="shared" ref="G232" si="537">F232+1</f>
        <v>2012</v>
      </c>
      <c r="H232" s="658">
        <f t="shared" ref="H232" si="538">G232+1</f>
        <v>2013</v>
      </c>
      <c r="I232" s="658">
        <f t="shared" ref="I232" si="539">H232+1</f>
        <v>2014</v>
      </c>
      <c r="J232" s="658">
        <f t="shared" ref="J232" si="540">I232+1</f>
        <v>2015</v>
      </c>
      <c r="K232" s="658">
        <f t="shared" ref="K232" si="541">J232+1</f>
        <v>2016</v>
      </c>
      <c r="L232" s="658">
        <f t="shared" ref="L232" si="542">K232+1</f>
        <v>2017</v>
      </c>
      <c r="M232" s="658">
        <f t="shared" ref="M232" si="543">L232+1</f>
        <v>2018</v>
      </c>
      <c r="N232" s="658">
        <f t="shared" ref="N232" si="544">M232+1</f>
        <v>2019</v>
      </c>
      <c r="O232" s="658">
        <f t="shared" ref="O232" si="545">N232+1</f>
        <v>2020</v>
      </c>
      <c r="P232" s="658">
        <f t="shared" ref="P232" si="546">O232+1</f>
        <v>2021</v>
      </c>
      <c r="Q232" s="658">
        <f t="shared" ref="Q232" si="547">P232+1</f>
        <v>2022</v>
      </c>
      <c r="R232" s="658">
        <f t="shared" ref="R232" si="548">Q232+1</f>
        <v>2023</v>
      </c>
      <c r="S232" s="658">
        <f t="shared" ref="S232" si="549">R232+1</f>
        <v>2024</v>
      </c>
      <c r="T232" s="658">
        <f t="shared" ref="T232" si="550">S232+1</f>
        <v>2025</v>
      </c>
      <c r="U232" s="658">
        <f t="shared" ref="U232" si="551">T232+1</f>
        <v>2026</v>
      </c>
      <c r="V232" s="658">
        <f t="shared" ref="V232" si="552">U232+1</f>
        <v>2027</v>
      </c>
      <c r="W232" s="658">
        <f t="shared" ref="W232" si="553">V232+1</f>
        <v>2028</v>
      </c>
      <c r="X232" s="658">
        <f t="shared" ref="X232" si="554">W232+1</f>
        <v>2029</v>
      </c>
      <c r="Y232" s="658">
        <f t="shared" ref="Y232" si="555">X232+1</f>
        <v>2030</v>
      </c>
      <c r="Z232" s="658">
        <f t="shared" ref="Z232" si="556">Y232+1</f>
        <v>2031</v>
      </c>
      <c r="AA232" s="658">
        <f t="shared" ref="AA232" si="557">Z232+1</f>
        <v>2032</v>
      </c>
      <c r="AB232" s="647"/>
      <c r="AC232" s="632"/>
      <c r="AD232" s="632"/>
      <c r="AE232" s="632"/>
      <c r="AF232" s="632"/>
      <c r="AG232" s="632"/>
      <c r="AH232" s="631"/>
      <c r="AI232" s="631"/>
    </row>
    <row r="233" spans="1:35" s="633" customFormat="1" ht="13.2">
      <c r="A233" s="276"/>
      <c r="B233" s="200"/>
      <c r="C233" s="200"/>
      <c r="D233" s="200"/>
      <c r="E233" s="200"/>
      <c r="F233" s="200"/>
      <c r="G233" s="200"/>
      <c r="H233" s="200"/>
      <c r="I233" s="200"/>
      <c r="J233" s="200"/>
      <c r="K233" s="200"/>
      <c r="L233" s="200"/>
      <c r="M233" s="200"/>
      <c r="N233" s="200"/>
      <c r="O233" s="200"/>
      <c r="P233" s="200"/>
      <c r="Q233" s="200"/>
      <c r="R233" s="200"/>
      <c r="S233" s="200"/>
      <c r="T233" s="200"/>
      <c r="U233" s="200"/>
      <c r="V233" s="200"/>
      <c r="W233" s="200"/>
      <c r="X233" s="200"/>
      <c r="Y233" s="200"/>
      <c r="Z233" s="200"/>
      <c r="AA233" s="200"/>
      <c r="AC233" s="631"/>
      <c r="AD233" s="631"/>
      <c r="AE233" s="631"/>
      <c r="AF233" s="631"/>
      <c r="AG233" s="631"/>
      <c r="AH233" s="632"/>
      <c r="AI233" s="632"/>
    </row>
    <row r="234" spans="1:35" s="633" customFormat="1" ht="13.2">
      <c r="A234" s="276" t="s">
        <v>661</v>
      </c>
      <c r="B234" s="200"/>
      <c r="C234" s="200"/>
      <c r="D234" s="200"/>
      <c r="E234" s="200"/>
      <c r="F234" s="200"/>
      <c r="G234" s="200"/>
      <c r="H234" s="200"/>
      <c r="I234" s="200"/>
      <c r="J234" s="200"/>
      <c r="K234" s="200"/>
      <c r="L234" s="200"/>
      <c r="M234" s="200"/>
      <c r="N234" s="200"/>
      <c r="O234" s="200"/>
      <c r="P234" s="729"/>
      <c r="Q234" s="729">
        <f>P237</f>
        <v>7825</v>
      </c>
      <c r="R234" s="729">
        <f>Q237</f>
        <v>7828</v>
      </c>
      <c r="S234" s="729">
        <f>R237</f>
        <v>7831</v>
      </c>
      <c r="T234" s="729">
        <f t="shared" ref="T234:AA234" si="558">S237</f>
        <v>7831</v>
      </c>
      <c r="U234" s="729">
        <f t="shared" si="558"/>
        <v>7831</v>
      </c>
      <c r="V234" s="729">
        <f t="shared" si="558"/>
        <v>7831</v>
      </c>
      <c r="W234" s="729">
        <f t="shared" si="558"/>
        <v>7831</v>
      </c>
      <c r="X234" s="729">
        <f t="shared" si="558"/>
        <v>7831</v>
      </c>
      <c r="Y234" s="729">
        <f t="shared" si="558"/>
        <v>7831</v>
      </c>
      <c r="Z234" s="729">
        <f t="shared" si="558"/>
        <v>7831</v>
      </c>
      <c r="AA234" s="729">
        <f t="shared" si="558"/>
        <v>7831</v>
      </c>
      <c r="AB234" s="652"/>
      <c r="AC234" s="652"/>
      <c r="AD234" s="631"/>
      <c r="AE234" s="631"/>
      <c r="AF234" s="631"/>
      <c r="AG234" s="631"/>
      <c r="AH234" s="632"/>
      <c r="AI234" s="632"/>
    </row>
    <row r="235" spans="1:35" s="633" customFormat="1" ht="13.2">
      <c r="A235" s="276" t="s">
        <v>739</v>
      </c>
      <c r="B235" s="200"/>
      <c r="C235" s="200"/>
      <c r="D235" s="200"/>
      <c r="E235" s="200"/>
      <c r="F235" s="200"/>
      <c r="G235" s="200"/>
      <c r="H235" s="200"/>
      <c r="I235" s="200"/>
      <c r="J235" s="200"/>
      <c r="K235" s="200"/>
      <c r="L235" s="200"/>
      <c r="M235" s="200"/>
      <c r="N235" s="200"/>
      <c r="O235" s="200"/>
      <c r="P235" s="200"/>
      <c r="Q235" s="730">
        <f>Q237-Q234</f>
        <v>3</v>
      </c>
      <c r="R235" s="730">
        <f>R237-R234</f>
        <v>3</v>
      </c>
      <c r="S235" s="200"/>
      <c r="T235" s="200"/>
      <c r="U235" s="200"/>
      <c r="V235" s="200"/>
      <c r="W235" s="200"/>
      <c r="X235" s="200"/>
      <c r="Y235" s="200"/>
      <c r="Z235" s="200"/>
      <c r="AA235" s="200"/>
      <c r="AC235" s="631"/>
      <c r="AD235" s="631"/>
      <c r="AE235" s="631"/>
      <c r="AF235" s="631"/>
      <c r="AG235" s="631"/>
      <c r="AH235" s="632"/>
      <c r="AI235" s="632"/>
    </row>
    <row r="236" spans="1:35" s="633" customFormat="1" ht="13.2">
      <c r="A236" s="276" t="s">
        <v>740</v>
      </c>
      <c r="B236" s="200"/>
      <c r="C236" s="200"/>
      <c r="D236" s="200"/>
      <c r="E236" s="200"/>
      <c r="F236" s="200"/>
      <c r="G236" s="200"/>
      <c r="H236" s="200"/>
      <c r="I236" s="200"/>
      <c r="J236" s="200"/>
      <c r="K236" s="200"/>
      <c r="L236" s="200"/>
      <c r="M236" s="200"/>
      <c r="N236" s="200"/>
      <c r="O236" s="200"/>
      <c r="P236" s="200"/>
      <c r="Q236" s="200"/>
      <c r="R236" s="200"/>
      <c r="S236" s="200"/>
      <c r="T236" s="200"/>
      <c r="U236" s="200"/>
      <c r="V236" s="200"/>
      <c r="W236" s="200"/>
      <c r="X236" s="200"/>
      <c r="Y236" s="200"/>
      <c r="Z236" s="200"/>
      <c r="AA236" s="200"/>
      <c r="AC236" s="631"/>
      <c r="AD236" s="631"/>
      <c r="AE236" s="631"/>
      <c r="AF236" s="631"/>
      <c r="AG236" s="631"/>
      <c r="AH236" s="632"/>
      <c r="AI236" s="632"/>
    </row>
    <row r="237" spans="1:35" s="647" customFormat="1" ht="13.2">
      <c r="A237" s="349" t="s">
        <v>658</v>
      </c>
      <c r="B237" s="726"/>
      <c r="C237" s="726"/>
      <c r="D237" s="726"/>
      <c r="E237" s="726"/>
      <c r="F237" s="726"/>
      <c r="G237" s="726"/>
      <c r="H237" s="726"/>
      <c r="I237" s="726"/>
      <c r="J237" s="726"/>
      <c r="K237" s="726"/>
      <c r="L237" s="726"/>
      <c r="M237" s="726"/>
      <c r="N237" s="726"/>
      <c r="O237" s="726"/>
      <c r="P237" s="731">
        <v>7825</v>
      </c>
      <c r="Q237" s="731">
        <v>7828</v>
      </c>
      <c r="R237" s="731">
        <v>7831</v>
      </c>
      <c r="S237" s="732">
        <f>S234+S235-S236</f>
        <v>7831</v>
      </c>
      <c r="T237" s="732">
        <f t="shared" ref="T237:AA237" si="559">T234+T235-T236</f>
        <v>7831</v>
      </c>
      <c r="U237" s="732">
        <f t="shared" si="559"/>
        <v>7831</v>
      </c>
      <c r="V237" s="732">
        <f t="shared" si="559"/>
        <v>7831</v>
      </c>
      <c r="W237" s="732">
        <f t="shared" si="559"/>
        <v>7831</v>
      </c>
      <c r="X237" s="732">
        <f t="shared" si="559"/>
        <v>7831</v>
      </c>
      <c r="Y237" s="732">
        <f t="shared" si="559"/>
        <v>7831</v>
      </c>
      <c r="Z237" s="732">
        <f t="shared" si="559"/>
        <v>7831</v>
      </c>
      <c r="AA237" s="732">
        <f t="shared" si="559"/>
        <v>7831</v>
      </c>
      <c r="AB237" s="733"/>
      <c r="AC237" s="632"/>
      <c r="AD237" s="632"/>
      <c r="AE237" s="632"/>
      <c r="AF237" s="632"/>
      <c r="AG237" s="632"/>
      <c r="AH237" s="632"/>
      <c r="AI237" s="632"/>
    </row>
    <row r="238" spans="1:35" s="633" customFormat="1" ht="13.2">
      <c r="A238" s="276"/>
      <c r="B238" s="200"/>
      <c r="C238" s="200"/>
      <c r="D238" s="200"/>
      <c r="E238" s="200"/>
      <c r="F238" s="200"/>
      <c r="G238" s="200"/>
      <c r="H238" s="200"/>
      <c r="I238" s="200"/>
      <c r="J238" s="200"/>
      <c r="K238" s="200"/>
      <c r="L238" s="200"/>
      <c r="M238" s="200"/>
      <c r="N238" s="200"/>
      <c r="O238" s="200"/>
      <c r="P238" s="200"/>
      <c r="Q238" s="200"/>
      <c r="R238" s="200"/>
      <c r="S238" s="200"/>
      <c r="T238" s="200"/>
      <c r="U238" s="200"/>
      <c r="V238" s="200"/>
      <c r="W238" s="200"/>
      <c r="X238" s="200"/>
      <c r="Y238" s="200"/>
      <c r="Z238" s="200"/>
      <c r="AA238" s="200"/>
      <c r="AC238" s="631"/>
      <c r="AD238" s="631"/>
      <c r="AE238" s="631"/>
      <c r="AF238" s="631"/>
      <c r="AG238" s="631"/>
      <c r="AH238" s="632"/>
      <c r="AI238" s="632"/>
    </row>
    <row r="239" spans="1:35" s="633" customFormat="1" ht="13.2">
      <c r="A239" s="276"/>
      <c r="B239" s="200"/>
      <c r="C239" s="200"/>
      <c r="D239" s="200"/>
      <c r="E239" s="200"/>
      <c r="F239" s="200"/>
      <c r="G239" s="200"/>
      <c r="H239" s="200"/>
      <c r="I239" s="200"/>
      <c r="J239" s="200"/>
      <c r="K239" s="200"/>
      <c r="L239" s="200"/>
      <c r="M239" s="200"/>
      <c r="N239" s="200"/>
      <c r="O239" s="200"/>
      <c r="P239" s="200"/>
      <c r="Q239" s="200"/>
      <c r="R239" s="200"/>
      <c r="S239" s="200"/>
      <c r="T239" s="200"/>
      <c r="U239" s="200"/>
      <c r="V239" s="200"/>
      <c r="W239" s="200"/>
      <c r="X239" s="200"/>
      <c r="Y239" s="200"/>
      <c r="Z239" s="200"/>
      <c r="AA239" s="200"/>
      <c r="AC239" s="631"/>
      <c r="AD239" s="631"/>
      <c r="AE239" s="631"/>
      <c r="AF239" s="631"/>
      <c r="AG239" s="631"/>
      <c r="AH239" s="632"/>
      <c r="AI239" s="632"/>
    </row>
    <row r="240" spans="1:35" s="633" customFormat="1" ht="13.2">
      <c r="A240" s="276"/>
      <c r="B240" s="200"/>
      <c r="C240" s="200"/>
      <c r="D240" s="200"/>
      <c r="E240" s="200"/>
      <c r="F240" s="200"/>
      <c r="G240" s="200"/>
      <c r="H240" s="200"/>
      <c r="I240" s="200"/>
      <c r="J240" s="200"/>
      <c r="K240" s="200"/>
      <c r="L240" s="200"/>
      <c r="M240" s="200"/>
      <c r="N240" s="200"/>
      <c r="O240" s="200"/>
      <c r="P240" s="200"/>
      <c r="Q240" s="200"/>
      <c r="R240" s="200"/>
      <c r="S240" s="200"/>
      <c r="T240" s="200"/>
      <c r="U240" s="200"/>
      <c r="V240" s="200"/>
      <c r="W240" s="200"/>
      <c r="X240" s="200"/>
      <c r="Y240" s="200"/>
      <c r="Z240" s="200"/>
      <c r="AA240" s="200"/>
      <c r="AC240" s="631"/>
      <c r="AD240" s="631"/>
      <c r="AE240" s="631"/>
      <c r="AF240" s="631"/>
      <c r="AG240" s="631"/>
      <c r="AH240" s="632"/>
      <c r="AI240" s="632"/>
    </row>
    <row r="241" spans="1:35" s="633" customFormat="1" ht="13.2">
      <c r="A241" s="657" t="s">
        <v>207</v>
      </c>
      <c r="B241" s="658">
        <f>B219</f>
        <v>2007</v>
      </c>
      <c r="C241" s="658">
        <f t="shared" ref="C241:Q241" si="560">B241+1</f>
        <v>2008</v>
      </c>
      <c r="D241" s="658">
        <f t="shared" si="560"/>
        <v>2009</v>
      </c>
      <c r="E241" s="658">
        <f t="shared" si="560"/>
        <v>2010</v>
      </c>
      <c r="F241" s="658">
        <f t="shared" si="560"/>
        <v>2011</v>
      </c>
      <c r="G241" s="658">
        <f t="shared" si="560"/>
        <v>2012</v>
      </c>
      <c r="H241" s="658">
        <f t="shared" si="560"/>
        <v>2013</v>
      </c>
      <c r="I241" s="658">
        <f t="shared" si="560"/>
        <v>2014</v>
      </c>
      <c r="J241" s="658">
        <f t="shared" si="560"/>
        <v>2015</v>
      </c>
      <c r="K241" s="658">
        <f t="shared" si="560"/>
        <v>2016</v>
      </c>
      <c r="L241" s="658">
        <f t="shared" si="560"/>
        <v>2017</v>
      </c>
      <c r="M241" s="658">
        <f t="shared" si="560"/>
        <v>2018</v>
      </c>
      <c r="N241" s="658">
        <f t="shared" si="560"/>
        <v>2019</v>
      </c>
      <c r="O241" s="658">
        <f t="shared" si="560"/>
        <v>2020</v>
      </c>
      <c r="P241" s="658">
        <f t="shared" si="560"/>
        <v>2021</v>
      </c>
      <c r="Q241" s="658">
        <f t="shared" si="560"/>
        <v>2022</v>
      </c>
      <c r="R241" s="658">
        <f t="shared" ref="R241:W241" si="561">Q241+1</f>
        <v>2023</v>
      </c>
      <c r="S241" s="658">
        <f t="shared" si="561"/>
        <v>2024</v>
      </c>
      <c r="T241" s="658">
        <f t="shared" si="561"/>
        <v>2025</v>
      </c>
      <c r="U241" s="658">
        <f t="shared" si="561"/>
        <v>2026</v>
      </c>
      <c r="V241" s="658">
        <f t="shared" si="561"/>
        <v>2027</v>
      </c>
      <c r="W241" s="658">
        <f t="shared" si="561"/>
        <v>2028</v>
      </c>
      <c r="X241" s="658">
        <f t="shared" ref="X241" si="562">W241+1</f>
        <v>2029</v>
      </c>
      <c r="Y241" s="658">
        <f t="shared" ref="Y241" si="563">X241+1</f>
        <v>2030</v>
      </c>
      <c r="Z241" s="658">
        <f t="shared" ref="Z241" si="564">Y241+1</f>
        <v>2031</v>
      </c>
      <c r="AA241" s="658">
        <f t="shared" ref="AA241" si="565">Z241+1</f>
        <v>2032</v>
      </c>
      <c r="AB241" s="647"/>
      <c r="AC241" s="632"/>
      <c r="AD241" s="632"/>
      <c r="AE241" s="632"/>
      <c r="AF241" s="632"/>
      <c r="AG241" s="632"/>
      <c r="AH241" s="631"/>
      <c r="AI241" s="631"/>
    </row>
    <row r="242" spans="1:35" s="633" customFormat="1" ht="13.2">
      <c r="A242" s="276"/>
      <c r="B242" s="200"/>
      <c r="C242" s="200"/>
      <c r="D242" s="200"/>
      <c r="E242" s="200"/>
      <c r="F242" s="200"/>
      <c r="G242" s="200"/>
      <c r="H242" s="195"/>
      <c r="I242" s="195"/>
      <c r="J242" s="195"/>
      <c r="K242" s="195"/>
      <c r="L242" s="195"/>
      <c r="M242" s="195"/>
      <c r="N242" s="195"/>
      <c r="O242" s="195"/>
      <c r="P242" s="195"/>
      <c r="Q242" s="195"/>
      <c r="R242" s="195"/>
      <c r="S242" s="195"/>
      <c r="T242" s="195"/>
      <c r="U242" s="195"/>
      <c r="V242" s="195"/>
      <c r="W242" s="195"/>
      <c r="X242" s="195"/>
      <c r="Y242" s="195"/>
      <c r="Z242" s="195"/>
      <c r="AA242" s="195"/>
      <c r="AB242" s="631"/>
      <c r="AC242" s="631"/>
      <c r="AD242" s="631"/>
      <c r="AE242" s="631"/>
      <c r="AF242" s="631"/>
      <c r="AG242" s="631"/>
      <c r="AH242" s="631"/>
      <c r="AI242" s="631"/>
    </row>
    <row r="243" spans="1:35" s="633" customFormat="1" ht="13.2">
      <c r="A243" s="276" t="s">
        <v>208</v>
      </c>
      <c r="B243" s="206"/>
      <c r="C243" s="206"/>
      <c r="D243" s="206"/>
      <c r="E243" s="206"/>
      <c r="F243" s="206"/>
      <c r="G243" s="206"/>
      <c r="H243" s="206"/>
      <c r="I243" s="206"/>
      <c r="J243" s="206"/>
      <c r="K243" s="206"/>
      <c r="L243" s="206"/>
      <c r="M243" s="195"/>
      <c r="N243" s="195"/>
      <c r="O243" s="195"/>
      <c r="P243" s="195"/>
      <c r="Q243" s="195"/>
      <c r="R243" s="195"/>
      <c r="S243" s="195"/>
      <c r="T243" s="195"/>
      <c r="U243" s="195"/>
      <c r="V243" s="195"/>
      <c r="W243" s="195"/>
      <c r="X243" s="195"/>
      <c r="Y243" s="195"/>
      <c r="Z243" s="195"/>
      <c r="AA243" s="195"/>
      <c r="AB243" s="631"/>
      <c r="AC243" s="631"/>
      <c r="AD243" s="631"/>
      <c r="AE243" s="631"/>
      <c r="AF243" s="631"/>
      <c r="AG243" s="631"/>
      <c r="AH243" s="631"/>
      <c r="AI243" s="631"/>
    </row>
    <row r="244" spans="1:35" s="633" customFormat="1" ht="13.2">
      <c r="A244" s="276" t="s">
        <v>209</v>
      </c>
      <c r="B244" s="730"/>
      <c r="C244" s="730"/>
      <c r="D244" s="730"/>
      <c r="E244" s="730"/>
      <c r="F244" s="730"/>
      <c r="G244" s="730"/>
      <c r="H244" s="730"/>
      <c r="I244" s="730"/>
      <c r="J244" s="730"/>
      <c r="K244" s="730"/>
      <c r="L244" s="730"/>
      <c r="M244" s="195"/>
      <c r="N244" s="195"/>
      <c r="O244" s="195"/>
      <c r="P244" s="195"/>
      <c r="Q244" s="195"/>
      <c r="R244" s="195"/>
      <c r="S244" s="195"/>
      <c r="T244" s="195"/>
      <c r="U244" s="195"/>
      <c r="V244" s="195"/>
      <c r="W244" s="195"/>
      <c r="X244" s="195"/>
      <c r="Y244" s="195"/>
      <c r="Z244" s="195"/>
      <c r="AA244" s="195"/>
      <c r="AB244" s="631"/>
      <c r="AC244" s="631"/>
      <c r="AD244" s="631"/>
      <c r="AE244" s="631"/>
      <c r="AF244" s="631"/>
      <c r="AG244" s="631"/>
      <c r="AH244" s="631"/>
      <c r="AI244" s="631"/>
    </row>
    <row r="245" spans="1:35" s="633" customFormat="1" ht="13.2">
      <c r="A245" s="276" t="s">
        <v>156</v>
      </c>
      <c r="B245" s="730"/>
      <c r="C245" s="730"/>
      <c r="D245" s="730"/>
      <c r="E245" s="730"/>
      <c r="F245" s="730"/>
      <c r="G245" s="730"/>
      <c r="H245" s="730"/>
      <c r="I245" s="730"/>
      <c r="J245" s="730"/>
      <c r="K245" s="730"/>
      <c r="L245" s="730"/>
      <c r="M245" s="195"/>
      <c r="N245" s="195"/>
      <c r="O245" s="195"/>
      <c r="P245" s="195"/>
      <c r="Q245" s="195"/>
      <c r="R245" s="195"/>
      <c r="S245" s="195"/>
      <c r="T245" s="195"/>
      <c r="U245" s="195"/>
      <c r="V245" s="195"/>
      <c r="W245" s="195"/>
      <c r="X245" s="195"/>
      <c r="Y245" s="195"/>
      <c r="Z245" s="195"/>
      <c r="AA245" s="195"/>
      <c r="AB245" s="631"/>
      <c r="AC245" s="631"/>
      <c r="AD245" s="631"/>
      <c r="AE245" s="631"/>
      <c r="AF245" s="631"/>
      <c r="AG245" s="631"/>
      <c r="AH245" s="631"/>
      <c r="AI245" s="631"/>
    </row>
    <row r="246" spans="1:35" s="633" customFormat="1" ht="13.2">
      <c r="A246" s="276" t="s">
        <v>210</v>
      </c>
      <c r="B246" s="730"/>
      <c r="C246" s="730"/>
      <c r="D246" s="730">
        <v>0</v>
      </c>
      <c r="E246" s="730"/>
      <c r="F246" s="730"/>
      <c r="G246" s="730"/>
      <c r="H246" s="730"/>
      <c r="I246" s="730"/>
      <c r="J246" s="730"/>
      <c r="K246" s="730"/>
      <c r="L246" s="730"/>
      <c r="M246" s="195"/>
      <c r="N246" s="195"/>
      <c r="O246" s="195"/>
      <c r="P246" s="195"/>
      <c r="Q246" s="195"/>
      <c r="R246" s="195"/>
      <c r="S246" s="195"/>
      <c r="T246" s="195"/>
      <c r="U246" s="195"/>
      <c r="V246" s="195"/>
      <c r="W246" s="195"/>
      <c r="X246" s="195"/>
      <c r="Y246" s="195"/>
      <c r="Z246" s="195"/>
      <c r="AA246" s="195"/>
      <c r="AB246" s="631"/>
      <c r="AC246" s="631"/>
      <c r="AD246" s="631"/>
      <c r="AE246" s="631"/>
      <c r="AF246" s="631"/>
      <c r="AG246" s="631"/>
      <c r="AH246" s="631"/>
      <c r="AI246" s="631"/>
    </row>
    <row r="247" spans="1:35" s="633" customFormat="1" ht="13.2">
      <c r="A247" s="276" t="s">
        <v>211</v>
      </c>
      <c r="B247" s="206"/>
      <c r="C247" s="206"/>
      <c r="D247" s="206">
        <v>0</v>
      </c>
      <c r="E247" s="206">
        <f t="shared" ref="E247:L247" si="566">SUM(E243:E246)</f>
        <v>0</v>
      </c>
      <c r="F247" s="206">
        <f t="shared" si="566"/>
        <v>0</v>
      </c>
      <c r="G247" s="206">
        <f t="shared" si="566"/>
        <v>0</v>
      </c>
      <c r="H247" s="206">
        <f t="shared" si="566"/>
        <v>0</v>
      </c>
      <c r="I247" s="206">
        <f t="shared" si="566"/>
        <v>0</v>
      </c>
      <c r="J247" s="206">
        <f t="shared" si="566"/>
        <v>0</v>
      </c>
      <c r="K247" s="206">
        <f t="shared" si="566"/>
        <v>0</v>
      </c>
      <c r="L247" s="206">
        <f t="shared" si="566"/>
        <v>0</v>
      </c>
      <c r="M247" s="195"/>
      <c r="N247" s="195"/>
      <c r="O247" s="195"/>
      <c r="P247" s="195"/>
      <c r="Q247" s="195"/>
      <c r="R247" s="195"/>
      <c r="S247" s="195"/>
      <c r="T247" s="195"/>
      <c r="U247" s="195"/>
      <c r="V247" s="195"/>
      <c r="W247" s="195"/>
      <c r="X247" s="195"/>
      <c r="Y247" s="195"/>
      <c r="Z247" s="195"/>
      <c r="AA247" s="195"/>
      <c r="AB247" s="631"/>
      <c r="AC247" s="631"/>
      <c r="AD247" s="631"/>
      <c r="AE247" s="631"/>
      <c r="AF247" s="631"/>
      <c r="AG247" s="631"/>
      <c r="AH247" s="631"/>
      <c r="AI247" s="631"/>
    </row>
    <row r="248" spans="1:35" s="633" customFormat="1" ht="13.2">
      <c r="A248" s="452"/>
      <c r="B248" s="465"/>
      <c r="C248" s="465"/>
      <c r="D248" s="465"/>
      <c r="E248" s="465"/>
      <c r="F248" s="465"/>
      <c r="G248" s="465"/>
      <c r="H248" s="465"/>
      <c r="I248" s="465"/>
      <c r="J248" s="465"/>
      <c r="K248" s="465"/>
      <c r="L248" s="465"/>
      <c r="M248" s="195"/>
      <c r="N248" s="195"/>
      <c r="O248" s="195"/>
      <c r="P248" s="195"/>
      <c r="Q248" s="195"/>
      <c r="R248" s="195"/>
      <c r="S248" s="195"/>
      <c r="T248" s="195"/>
      <c r="U248" s="195"/>
      <c r="V248" s="195"/>
      <c r="W248" s="195"/>
      <c r="X248" s="195"/>
      <c r="Y248" s="195"/>
      <c r="Z248" s="195"/>
      <c r="AA248" s="195"/>
      <c r="AB248" s="631"/>
      <c r="AC248" s="631"/>
      <c r="AD248" s="631"/>
      <c r="AE248" s="631"/>
      <c r="AF248" s="631"/>
      <c r="AG248" s="631"/>
      <c r="AH248" s="631"/>
      <c r="AI248" s="631"/>
    </row>
    <row r="249" spans="1:35" s="633" customFormat="1" ht="13.2">
      <c r="A249" s="452"/>
      <c r="B249" s="465"/>
      <c r="C249" s="465"/>
      <c r="D249" s="465"/>
      <c r="E249" s="465"/>
      <c r="F249" s="465"/>
      <c r="G249" s="465"/>
      <c r="H249" s="465"/>
      <c r="I249" s="465"/>
      <c r="J249" s="465"/>
      <c r="K249" s="465"/>
      <c r="L249" s="465"/>
      <c r="M249" s="195"/>
      <c r="N249" s="195"/>
      <c r="O249" s="195"/>
      <c r="P249" s="195"/>
      <c r="Q249" s="195"/>
      <c r="R249" s="195"/>
      <c r="S249" s="195"/>
      <c r="T249" s="195"/>
      <c r="U249" s="195"/>
      <c r="V249" s="195"/>
      <c r="W249" s="195"/>
      <c r="X249" s="195"/>
      <c r="Y249" s="195"/>
      <c r="Z249" s="195"/>
      <c r="AA249" s="195"/>
      <c r="AB249" s="631"/>
      <c r="AC249" s="631"/>
      <c r="AD249" s="631"/>
      <c r="AE249" s="631"/>
      <c r="AF249" s="631"/>
      <c r="AG249" s="631"/>
      <c r="AH249" s="631"/>
      <c r="AI249" s="631"/>
    </row>
    <row r="250" spans="1:35" s="633" customFormat="1" ht="13.2">
      <c r="A250" s="452"/>
      <c r="B250" s="465"/>
      <c r="C250" s="465"/>
      <c r="D250" s="465"/>
      <c r="E250" s="465"/>
      <c r="F250" s="465"/>
      <c r="G250" s="465"/>
      <c r="H250" s="465"/>
      <c r="I250" s="465"/>
      <c r="J250" s="465"/>
      <c r="K250" s="465"/>
      <c r="L250" s="465"/>
      <c r="M250" s="195"/>
      <c r="N250" s="195"/>
      <c r="O250" s="195"/>
      <c r="P250" s="195"/>
      <c r="Q250" s="195"/>
      <c r="R250" s="195"/>
      <c r="S250" s="195"/>
      <c r="T250" s="195"/>
      <c r="U250" s="195"/>
      <c r="V250" s="195"/>
      <c r="W250" s="195"/>
      <c r="X250" s="195"/>
      <c r="Y250" s="195"/>
      <c r="Z250" s="195"/>
      <c r="AA250" s="195"/>
      <c r="AB250" s="631"/>
      <c r="AC250" s="631"/>
      <c r="AD250" s="631"/>
      <c r="AE250" s="631"/>
      <c r="AF250" s="631"/>
      <c r="AG250" s="631"/>
      <c r="AH250" s="631"/>
      <c r="AI250" s="631"/>
    </row>
    <row r="251" spans="1:35" s="633" customFormat="1" ht="13.2">
      <c r="A251" s="734" t="s">
        <v>212</v>
      </c>
      <c r="B251" s="658">
        <f>B$2</f>
        <v>2007</v>
      </c>
      <c r="C251" s="237">
        <f t="shared" ref="C251:Q251" si="567">B251+1</f>
        <v>2008</v>
      </c>
      <c r="D251" s="237">
        <f t="shared" si="567"/>
        <v>2009</v>
      </c>
      <c r="E251" s="237">
        <f t="shared" si="567"/>
        <v>2010</v>
      </c>
      <c r="F251" s="237">
        <f t="shared" si="567"/>
        <v>2011</v>
      </c>
      <c r="G251" s="237">
        <f t="shared" si="567"/>
        <v>2012</v>
      </c>
      <c r="H251" s="237">
        <f t="shared" si="567"/>
        <v>2013</v>
      </c>
      <c r="I251" s="237">
        <f t="shared" si="567"/>
        <v>2014</v>
      </c>
      <c r="J251" s="237">
        <f t="shared" si="567"/>
        <v>2015</v>
      </c>
      <c r="K251" s="237">
        <f t="shared" si="567"/>
        <v>2016</v>
      </c>
      <c r="L251" s="237">
        <f t="shared" si="567"/>
        <v>2017</v>
      </c>
      <c r="M251" s="237">
        <f t="shared" si="567"/>
        <v>2018</v>
      </c>
      <c r="N251" s="237">
        <f t="shared" si="567"/>
        <v>2019</v>
      </c>
      <c r="O251" s="237">
        <f t="shared" si="567"/>
        <v>2020</v>
      </c>
      <c r="P251" s="237">
        <f t="shared" si="567"/>
        <v>2021</v>
      </c>
      <c r="Q251" s="237">
        <f t="shared" si="567"/>
        <v>2022</v>
      </c>
      <c r="R251" s="237">
        <f t="shared" ref="R251:W251" si="568">Q251+1</f>
        <v>2023</v>
      </c>
      <c r="S251" s="237">
        <f t="shared" si="568"/>
        <v>2024</v>
      </c>
      <c r="T251" s="237">
        <f t="shared" si="568"/>
        <v>2025</v>
      </c>
      <c r="U251" s="237">
        <f t="shared" si="568"/>
        <v>2026</v>
      </c>
      <c r="V251" s="237">
        <f t="shared" si="568"/>
        <v>2027</v>
      </c>
      <c r="W251" s="237">
        <f t="shared" si="568"/>
        <v>2028</v>
      </c>
      <c r="X251" s="237">
        <f t="shared" ref="X251" si="569">W251+1</f>
        <v>2029</v>
      </c>
      <c r="Y251" s="237">
        <f t="shared" ref="Y251" si="570">X251+1</f>
        <v>2030</v>
      </c>
      <c r="Z251" s="237">
        <f t="shared" ref="Z251" si="571">Y251+1</f>
        <v>2031</v>
      </c>
      <c r="AA251" s="237">
        <f t="shared" ref="AA251" si="572">Z251+1</f>
        <v>2032</v>
      </c>
      <c r="AB251" s="667"/>
      <c r="AC251" s="631"/>
      <c r="AD251" s="631"/>
      <c r="AE251" s="631"/>
      <c r="AF251" s="631"/>
      <c r="AG251" s="631"/>
      <c r="AH251" s="631"/>
      <c r="AI251" s="631"/>
    </row>
    <row r="252" spans="1:35" s="633" customFormat="1" ht="13.2">
      <c r="A252" s="735" t="s">
        <v>141</v>
      </c>
      <c r="B252" s="465">
        <f>'Income Statement'!B430-B73</f>
        <v>2466.1999999999998</v>
      </c>
      <c r="C252" s="465">
        <f>'Income Statement'!G430-C73</f>
        <v>3599.4000000000005</v>
      </c>
      <c r="D252" s="465">
        <f>'Income Statement'!L430-D73</f>
        <v>3630</v>
      </c>
      <c r="E252" s="465">
        <f>'Income Statement'!Q430-E73</f>
        <v>2972</v>
      </c>
      <c r="F252" s="465">
        <f>'Income Statement'!V430-F73</f>
        <v>3434</v>
      </c>
      <c r="G252" s="465">
        <f>'Income Statement'!AA430-G73</f>
        <v>3369</v>
      </c>
      <c r="H252" s="465">
        <f>'Income Statement'!AF430-H73</f>
        <v>3707</v>
      </c>
      <c r="I252" s="465">
        <f>'Income Statement'!AK430-I73</f>
        <v>2972.3305194230634</v>
      </c>
      <c r="J252" s="465">
        <f>'Income Statement'!AP430-J73</f>
        <v>3122</v>
      </c>
      <c r="K252" s="465">
        <f>'Income Statement'!AU430-K73</f>
        <v>3313</v>
      </c>
      <c r="L252" s="465">
        <f>'Income Statement'!AZ430-L73</f>
        <v>3167</v>
      </c>
      <c r="M252" s="465">
        <f>'Income Statement'!BE430-M73</f>
        <v>2805</v>
      </c>
      <c r="N252" s="465">
        <f>'Income Statement'!BJ430-N73</f>
        <v>2713</v>
      </c>
      <c r="O252" s="465">
        <f>'Income Statement'!BO430-O73</f>
        <v>2569</v>
      </c>
      <c r="P252" s="465">
        <f>'Income Statement'!BT430-P73</f>
        <v>2689</v>
      </c>
      <c r="Q252" s="465">
        <f>'Income Statement'!BY430-Q73</f>
        <v>2815</v>
      </c>
      <c r="R252" s="465">
        <f>'Income Statement'!CD430-R73</f>
        <v>2840.2</v>
      </c>
      <c r="S252" s="465">
        <f>'Income Statement'!CE430-S73</f>
        <v>3001.886439771024</v>
      </c>
      <c r="T252" s="465">
        <f>'Income Statement'!CF430-T73</f>
        <v>3097.0768759181083</v>
      </c>
      <c r="U252" s="465">
        <f>'Income Statement'!CG430-U73</f>
        <v>3203.328558382841</v>
      </c>
      <c r="V252" s="465">
        <f>'Income Statement'!CH430-V73</f>
        <v>3319.3263955595298</v>
      </c>
      <c r="W252" s="465">
        <f>'Income Statement'!CI430-W73</f>
        <v>3444.096806226129</v>
      </c>
      <c r="X252" s="465">
        <f>'Income Statement'!CJ430-X73</f>
        <v>3569.7539969676927</v>
      </c>
      <c r="Y252" s="465">
        <f>'Income Statement'!CK430-Y73</f>
        <v>3696.5299236475967</v>
      </c>
      <c r="Z252" s="465">
        <f>'Income Statement'!CL430-Z73</f>
        <v>3824.6552625643126</v>
      </c>
      <c r="AA252" s="465">
        <f>'Income Statement'!CM430-AA73</f>
        <v>3820.3583719531089</v>
      </c>
      <c r="AB252" s="629"/>
      <c r="AC252" s="631"/>
      <c r="AD252" s="631"/>
      <c r="AE252" s="631"/>
      <c r="AF252" s="631"/>
      <c r="AG252" s="631"/>
      <c r="AH252" s="631"/>
      <c r="AI252" s="631"/>
    </row>
    <row r="253" spans="1:35" s="633" customFormat="1" ht="13.2">
      <c r="A253" s="735" t="s">
        <v>213</v>
      </c>
      <c r="B253" s="465">
        <f>'Income Statement'!B449*-1</f>
        <v>8.6000000000000014</v>
      </c>
      <c r="C253" s="465">
        <f>C56</f>
        <v>17.899999999999999</v>
      </c>
      <c r="D253" s="465">
        <f t="shared" ref="D253:W253" si="573">D126</f>
        <v>-48</v>
      </c>
      <c r="E253" s="465">
        <f t="shared" si="573"/>
        <v>-211</v>
      </c>
      <c r="F253" s="465">
        <f t="shared" si="573"/>
        <v>-228</v>
      </c>
      <c r="G253" s="465">
        <f t="shared" si="573"/>
        <v>-288</v>
      </c>
      <c r="H253" s="465">
        <f t="shared" si="573"/>
        <v>-329</v>
      </c>
      <c r="I253" s="465">
        <f t="shared" si="573"/>
        <v>-389</v>
      </c>
      <c r="J253" s="465">
        <f t="shared" si="573"/>
        <v>-412</v>
      </c>
      <c r="K253" s="465">
        <f t="shared" si="573"/>
        <v>-669</v>
      </c>
      <c r="L253" s="465">
        <f t="shared" si="573"/>
        <v>-384</v>
      </c>
      <c r="M253" s="465">
        <f t="shared" si="573"/>
        <v>-344.279</v>
      </c>
      <c r="N253" s="465">
        <f t="shared" si="573"/>
        <v>-399</v>
      </c>
      <c r="O253" s="465">
        <f t="shared" si="573"/>
        <v>-405</v>
      </c>
      <c r="P253" s="465">
        <f t="shared" si="573"/>
        <v>-413</v>
      </c>
      <c r="Q253" s="465">
        <f t="shared" ref="Q253" si="574">Q126</f>
        <v>-407</v>
      </c>
      <c r="R253" s="465">
        <f t="shared" si="573"/>
        <v>-446</v>
      </c>
      <c r="S253" s="465">
        <f t="shared" si="573"/>
        <v>-447.33082706766919</v>
      </c>
      <c r="T253" s="465">
        <f t="shared" si="573"/>
        <v>-418.46273804246124</v>
      </c>
      <c r="U253" s="465">
        <f t="shared" si="573"/>
        <v>-396.60993733874074</v>
      </c>
      <c r="V253" s="465">
        <f t="shared" si="573"/>
        <v>-378.81507767052676</v>
      </c>
      <c r="W253" s="465">
        <f t="shared" si="573"/>
        <v>-364.19058640551424</v>
      </c>
      <c r="X253" s="465">
        <f t="shared" ref="X253:AA253" si="575">X126</f>
        <v>-352.11400925051061</v>
      </c>
      <c r="Y253" s="465">
        <f t="shared" si="575"/>
        <v>-342.14657898294593</v>
      </c>
      <c r="Z253" s="465">
        <f t="shared" si="575"/>
        <v>-333.79858411389534</v>
      </c>
      <c r="AA253" s="465">
        <f t="shared" si="575"/>
        <v>-326.71178767611491</v>
      </c>
      <c r="AB253" s="629"/>
      <c r="AC253" s="631"/>
      <c r="AD253" s="631"/>
      <c r="AE253" s="631"/>
      <c r="AF253" s="631"/>
      <c r="AG253" s="631"/>
      <c r="AH253" s="631"/>
      <c r="AI253" s="631"/>
    </row>
    <row r="254" spans="1:35" s="633" customFormat="1" ht="13.2">
      <c r="A254" s="735" t="s">
        <v>214</v>
      </c>
      <c r="B254" s="465">
        <f>B57</f>
        <v>-188</v>
      </c>
      <c r="C254" s="465">
        <f>C57</f>
        <v>-214</v>
      </c>
      <c r="D254" s="465">
        <f>D57</f>
        <v>-222</v>
      </c>
      <c r="E254" s="465">
        <f>E57</f>
        <v>-837</v>
      </c>
      <c r="F254" s="465">
        <f>F57</f>
        <v>-473</v>
      </c>
      <c r="G254" s="465">
        <f>G57</f>
        <v>-716</v>
      </c>
      <c r="H254" s="465">
        <f>H57</f>
        <v>-724</v>
      </c>
      <c r="I254" s="465">
        <f>I57</f>
        <v>-688.76864535768641</v>
      </c>
      <c r="J254" s="465">
        <f>J57</f>
        <v>-713</v>
      </c>
      <c r="K254" s="465">
        <f>K57</f>
        <v>-709</v>
      </c>
      <c r="L254" s="465">
        <f>L57</f>
        <v>-676</v>
      </c>
      <c r="M254" s="465">
        <f>M57</f>
        <v>-585</v>
      </c>
      <c r="N254" s="465">
        <f>N57</f>
        <v>-509</v>
      </c>
      <c r="O254" s="465">
        <f>O57</f>
        <v>-469</v>
      </c>
      <c r="P254" s="465">
        <f>P57</f>
        <v>-454</v>
      </c>
      <c r="Q254" s="465">
        <f>Q57</f>
        <v>-651</v>
      </c>
      <c r="R254" s="465">
        <f>R57</f>
        <v>-452</v>
      </c>
      <c r="S254" s="465">
        <f>S57</f>
        <v>-475.00081502487893</v>
      </c>
      <c r="T254" s="465">
        <f>T57</f>
        <v>-535.49015774451584</v>
      </c>
      <c r="U254" s="465">
        <f>U57</f>
        <v>-590.46047966595359</v>
      </c>
      <c r="V254" s="465">
        <f>V57</f>
        <v>-642.15972874268755</v>
      </c>
      <c r="W254" s="465">
        <f>W57</f>
        <v>-691.74756076179358</v>
      </c>
      <c r="X254" s="465">
        <f>X57</f>
        <v>-737.48188562130304</v>
      </c>
      <c r="Y254" s="465">
        <f>Y57</f>
        <v>-780.46668738050687</v>
      </c>
      <c r="Z254" s="465">
        <f>Z57</f>
        <v>-821.56495972840037</v>
      </c>
      <c r="AA254" s="465">
        <f>AA57</f>
        <v>-861.42179352597611</v>
      </c>
      <c r="AB254" s="629"/>
      <c r="AC254" s="631"/>
      <c r="AD254" s="631"/>
      <c r="AE254" s="631"/>
      <c r="AF254" s="631"/>
      <c r="AG254" s="631"/>
      <c r="AH254" s="631"/>
      <c r="AI254" s="631"/>
    </row>
    <row r="255" spans="1:35" s="633" customFormat="1" ht="13.2">
      <c r="A255" s="735" t="s">
        <v>215</v>
      </c>
      <c r="B255" s="465">
        <f>B64</f>
        <v>0</v>
      </c>
      <c r="C255" s="465">
        <f>C64</f>
        <v>0</v>
      </c>
      <c r="D255" s="465">
        <f>D64</f>
        <v>0</v>
      </c>
      <c r="E255" s="465">
        <f>E64</f>
        <v>618</v>
      </c>
      <c r="F255" s="465">
        <f>F64</f>
        <v>-444</v>
      </c>
      <c r="G255" s="465">
        <f>G64+G63</f>
        <v>0</v>
      </c>
      <c r="H255" s="465">
        <f>H64+H63</f>
        <v>-80</v>
      </c>
      <c r="I255" s="465">
        <f>I64+I63</f>
        <v>-195</v>
      </c>
      <c r="J255" s="465">
        <f>J64+J63</f>
        <v>-797</v>
      </c>
      <c r="K255" s="465">
        <f>K64+K63</f>
        <v>-814.75</v>
      </c>
      <c r="L255" s="465">
        <f>L64+L63</f>
        <v>1924</v>
      </c>
      <c r="M255" s="465">
        <f>M64+M63</f>
        <v>-706.29387406537671</v>
      </c>
      <c r="N255" s="465">
        <f>N64+N63</f>
        <v>-1539.2390000000005</v>
      </c>
      <c r="O255" s="465">
        <f>O64+O63</f>
        <v>-1013.7500000000002</v>
      </c>
      <c r="P255" s="465">
        <f>P64+P63</f>
        <v>-694.75000000000023</v>
      </c>
      <c r="Q255" s="465">
        <f>Q64+Q63</f>
        <v>31.600000000000136</v>
      </c>
      <c r="R255" s="465">
        <f>R64+R63</f>
        <v>-656.0799999999997</v>
      </c>
      <c r="S255" s="465">
        <f>S64+S63</f>
        <v>-62.253584774485098</v>
      </c>
      <c r="T255" s="465">
        <f>T64+T63</f>
        <v>-60.554825269906289</v>
      </c>
      <c r="U255" s="465">
        <f>U64+U63</f>
        <v>-58.902421069441303</v>
      </c>
      <c r="V255" s="465">
        <f>V64+V63</f>
        <v>-57.295107241701267</v>
      </c>
      <c r="W255" s="465">
        <f>W64+W63</f>
        <v>-55.731653372413511</v>
      </c>
      <c r="X255" s="465">
        <f>X64+X63</f>
        <v>-54.21086262252755</v>
      </c>
      <c r="Y255" s="465">
        <f>Y64+Y63</f>
        <v>-52.731570812023186</v>
      </c>
      <c r="Z255" s="465">
        <f>Z64+Z63</f>
        <v>-51.292645528719525</v>
      </c>
      <c r="AA255" s="465">
        <f>AA64+AA63</f>
        <v>-49.892985261402423</v>
      </c>
      <c r="AB255" s="629"/>
      <c r="AC255" s="631"/>
      <c r="AD255" s="631"/>
      <c r="AE255" s="631"/>
      <c r="AF255" s="631"/>
      <c r="AG255" s="631"/>
      <c r="AH255" s="631"/>
      <c r="AI255" s="631"/>
    </row>
    <row r="256" spans="1:35" s="633" customFormat="1" ht="13.2">
      <c r="A256" s="735" t="s">
        <v>216</v>
      </c>
      <c r="B256" s="365"/>
      <c r="C256" s="365"/>
      <c r="D256" s="365">
        <v>-2555</v>
      </c>
      <c r="E256" s="365">
        <v>-3000</v>
      </c>
      <c r="F256" s="365">
        <v>-3000</v>
      </c>
      <c r="G256" s="365">
        <v>-3000</v>
      </c>
      <c r="H256" s="365">
        <v>-3000</v>
      </c>
      <c r="I256" s="365">
        <v>-3000</v>
      </c>
      <c r="J256" s="365">
        <v>-2325.0000000000005</v>
      </c>
      <c r="K256" s="660">
        <f>-'Income Statement'!AU466*'Income Statement'!AU469</f>
        <v>-1500</v>
      </c>
      <c r="L256" s="660">
        <f>-'Income Statement'!AZ466*'Income Statement'!AZ469</f>
        <v>-1560</v>
      </c>
      <c r="M256" s="660">
        <f>-'Income Statement'!BE466*'Income Statement'!BE469</f>
        <v>-1562</v>
      </c>
      <c r="N256" s="660">
        <f>-'Income Statement'!BJ466*'Income Statement'!BJ469</f>
        <v>-1564</v>
      </c>
      <c r="O256" s="660">
        <f>-'Income Statement'!BO466*'Income Statement'!BO469</f>
        <v>-1330.2499999999998</v>
      </c>
      <c r="P256" s="465">
        <f>-'Income Statement'!BT466*'Income Statement'!BT469</f>
        <v>-1330.2499999999998</v>
      </c>
      <c r="Q256" s="465">
        <f>-'Income Statement'!BY466*'Income Statement'!BY469</f>
        <v>-1565.6000000000001</v>
      </c>
      <c r="R256" s="465">
        <f>-'Income Statement'!CD466*'Income Statement'!CD469</f>
        <v>-1253.1200000000001</v>
      </c>
      <c r="S256" s="465">
        <f>-'Income Statement'!CE466*'Income Statement'!CE469</f>
        <v>-1396.5023961731442</v>
      </c>
      <c r="T256" s="465">
        <f>-'Income Statement'!CF466*'Income Statement'!CF469</f>
        <v>-1574.3410637688767</v>
      </c>
      <c r="U256" s="465">
        <f>-'Income Statement'!CG466*'Income Statement'!CG469</f>
        <v>-1735.9538102179035</v>
      </c>
      <c r="V256" s="465">
        <f>-'Income Statement'!CH466*'Income Statement'!CH469</f>
        <v>-1887.9496025035012</v>
      </c>
      <c r="W256" s="465">
        <f>-'Income Statement'!CI466*'Income Statement'!CI469</f>
        <v>-2033.7378286396731</v>
      </c>
      <c r="X256" s="465">
        <f>-'Income Statement'!CJ466*'Income Statement'!CJ469</f>
        <v>-2168.1967437266303</v>
      </c>
      <c r="Y256" s="465">
        <f>-'Income Statement'!CK466*'Income Statement'!CK469</f>
        <v>-2294.5720608986903</v>
      </c>
      <c r="Z256" s="465">
        <f>-'Income Statement'!CL466*'Income Statement'!CL469</f>
        <v>-2415.4009816014968</v>
      </c>
      <c r="AA256" s="465">
        <f>-'Income Statement'!CM466*'Income Statement'!CM469</f>
        <v>-2532.5800729663697</v>
      </c>
      <c r="AB256" s="629"/>
      <c r="AC256" s="631"/>
      <c r="AD256" s="631"/>
      <c r="AE256" s="631"/>
      <c r="AF256" s="631"/>
      <c r="AG256" s="631"/>
      <c r="AH256" s="631"/>
      <c r="AI256" s="631"/>
    </row>
    <row r="257" spans="1:35" s="633" customFormat="1" ht="13.2">
      <c r="A257" s="735" t="s">
        <v>217</v>
      </c>
      <c r="B257" s="465">
        <v>0</v>
      </c>
      <c r="C257" s="465">
        <v>0</v>
      </c>
      <c r="D257" s="465">
        <v>0</v>
      </c>
      <c r="E257" s="465">
        <v>0</v>
      </c>
      <c r="F257" s="465">
        <v>0</v>
      </c>
      <c r="G257" s="465">
        <v>0</v>
      </c>
      <c r="H257" s="465">
        <v>0</v>
      </c>
      <c r="I257" s="465">
        <v>0</v>
      </c>
      <c r="J257" s="465">
        <v>0</v>
      </c>
      <c r="K257" s="465">
        <v>0</v>
      </c>
      <c r="L257" s="465">
        <v>0</v>
      </c>
      <c r="M257" s="465">
        <v>0</v>
      </c>
      <c r="N257" s="465">
        <v>0</v>
      </c>
      <c r="O257" s="465">
        <v>0</v>
      </c>
      <c r="P257" s="465">
        <v>0</v>
      </c>
      <c r="Q257" s="465"/>
      <c r="R257" s="465">
        <v>0</v>
      </c>
      <c r="S257" s="465">
        <v>0</v>
      </c>
      <c r="T257" s="465">
        <v>0</v>
      </c>
      <c r="U257" s="465">
        <v>0</v>
      </c>
      <c r="V257" s="465">
        <v>0</v>
      </c>
      <c r="W257" s="465">
        <v>0</v>
      </c>
      <c r="X257" s="465">
        <v>0</v>
      </c>
      <c r="Y257" s="465">
        <v>0</v>
      </c>
      <c r="Z257" s="465">
        <v>0</v>
      </c>
      <c r="AA257" s="465">
        <v>0</v>
      </c>
      <c r="AB257" s="629"/>
      <c r="AC257" s="631"/>
      <c r="AD257" s="631"/>
      <c r="AE257" s="631"/>
      <c r="AF257" s="631"/>
      <c r="AG257" s="631"/>
      <c r="AH257" s="631"/>
      <c r="AI257" s="631"/>
    </row>
    <row r="258" spans="1:35" s="633" customFormat="1" ht="13.2">
      <c r="A258" s="736" t="s">
        <v>218</v>
      </c>
      <c r="B258" s="737">
        <f t="shared" ref="B258:W258" si="576">B169</f>
        <v>0</v>
      </c>
      <c r="C258" s="737">
        <f t="shared" si="576"/>
        <v>0</v>
      </c>
      <c r="D258" s="737">
        <f t="shared" si="576"/>
        <v>2318</v>
      </c>
      <c r="E258" s="737">
        <f t="shared" si="576"/>
        <v>-225</v>
      </c>
      <c r="F258" s="737">
        <f t="shared" si="576"/>
        <v>-169</v>
      </c>
      <c r="G258" s="737">
        <f t="shared" si="576"/>
        <v>36.512272727272801</v>
      </c>
      <c r="H258" s="737">
        <f t="shared" si="576"/>
        <v>-253.5122727272728</v>
      </c>
      <c r="I258" s="737">
        <f t="shared" si="576"/>
        <v>548</v>
      </c>
      <c r="J258" s="737">
        <f t="shared" si="576"/>
        <v>10</v>
      </c>
      <c r="K258" s="737">
        <f t="shared" si="576"/>
        <v>-220</v>
      </c>
      <c r="L258" s="737">
        <f t="shared" si="576"/>
        <v>-333</v>
      </c>
      <c r="M258" s="737">
        <f t="shared" si="576"/>
        <v>357</v>
      </c>
      <c r="N258" s="737">
        <f t="shared" si="576"/>
        <v>13</v>
      </c>
      <c r="O258" s="737">
        <f t="shared" si="576"/>
        <v>-14</v>
      </c>
      <c r="P258" s="737">
        <f t="shared" si="576"/>
        <v>332</v>
      </c>
      <c r="Q258" s="737">
        <f t="shared" ref="Q258" si="577">Q169</f>
        <v>-561</v>
      </c>
      <c r="R258" s="737">
        <f t="shared" si="576"/>
        <v>1</v>
      </c>
      <c r="S258" s="737">
        <f t="shared" si="576"/>
        <v>-22.689504205625298</v>
      </c>
      <c r="T258" s="737">
        <f t="shared" si="576"/>
        <v>-55.711291143549417</v>
      </c>
      <c r="U258" s="737">
        <f t="shared" si="576"/>
        <v>-52.605841906160592</v>
      </c>
      <c r="V258" s="737">
        <f t="shared" si="576"/>
        <v>-49.682479831278002</v>
      </c>
      <c r="W258" s="737">
        <f t="shared" si="576"/>
        <v>-47.786706243428156</v>
      </c>
      <c r="X258" s="737">
        <f t="shared" ref="X258:AA258" si="578">X169</f>
        <v>-50.424066684147142</v>
      </c>
      <c r="Y258" s="737">
        <f t="shared" si="578"/>
        <v>-52.742373652977676</v>
      </c>
      <c r="Z258" s="737">
        <f t="shared" si="578"/>
        <v>-54.779250439254035</v>
      </c>
      <c r="AA258" s="737">
        <f t="shared" si="578"/>
        <v>-56.568636070435176</v>
      </c>
      <c r="AB258" s="629"/>
      <c r="AC258" s="631"/>
      <c r="AD258" s="631"/>
      <c r="AE258" s="631"/>
      <c r="AF258" s="631"/>
      <c r="AG258" s="631"/>
      <c r="AH258" s="631"/>
      <c r="AI258" s="631"/>
    </row>
    <row r="259" spans="1:35" s="633" customFormat="1" ht="13.2">
      <c r="A259" s="735" t="s">
        <v>139</v>
      </c>
      <c r="B259" s="465">
        <f t="shared" ref="B259:P259" si="579">SUM(B252:B258)</f>
        <v>2286.7999999999997</v>
      </c>
      <c r="C259" s="465">
        <f t="shared" si="579"/>
        <v>3403.3000000000006</v>
      </c>
      <c r="D259" s="465">
        <f t="shared" si="579"/>
        <v>3123</v>
      </c>
      <c r="E259" s="465">
        <f t="shared" si="579"/>
        <v>-683</v>
      </c>
      <c r="F259" s="465">
        <f t="shared" si="579"/>
        <v>-880</v>
      </c>
      <c r="G259" s="465">
        <f t="shared" si="579"/>
        <v>-598.48772727272717</v>
      </c>
      <c r="H259" s="465">
        <f t="shared" si="579"/>
        <v>-679.51227272727283</v>
      </c>
      <c r="I259" s="465">
        <f t="shared" si="579"/>
        <v>-752.43812593462303</v>
      </c>
      <c r="J259" s="465">
        <f t="shared" si="579"/>
        <v>-1115.0000000000005</v>
      </c>
      <c r="K259" s="465">
        <f t="shared" si="579"/>
        <v>-599.75</v>
      </c>
      <c r="L259" s="465">
        <f t="shared" si="579"/>
        <v>2138</v>
      </c>
      <c r="M259" s="465">
        <f t="shared" si="579"/>
        <v>-35.572874065376709</v>
      </c>
      <c r="N259" s="465">
        <f t="shared" si="579"/>
        <v>-1285.2390000000005</v>
      </c>
      <c r="O259" s="465">
        <f t="shared" si="579"/>
        <v>-663</v>
      </c>
      <c r="P259" s="465">
        <f t="shared" si="579"/>
        <v>129</v>
      </c>
      <c r="Q259" s="465">
        <f t="shared" ref="Q259" si="580">SUM(Q252:Q258)</f>
        <v>-338</v>
      </c>
      <c r="R259" s="465">
        <f>SUM(R252:R258)</f>
        <v>34</v>
      </c>
      <c r="S259" s="465">
        <f t="shared" ref="S259:W259" si="581">SUM(S252:S258)</f>
        <v>598.10931252522096</v>
      </c>
      <c r="T259" s="465">
        <f>SUM(T252:T258)</f>
        <v>452.51679994879879</v>
      </c>
      <c r="U259" s="465">
        <f t="shared" si="581"/>
        <v>368.79606818464111</v>
      </c>
      <c r="V259" s="465">
        <f>SUM(V252:V258)</f>
        <v>303.42439956983526</v>
      </c>
      <c r="W259" s="465">
        <f t="shared" si="581"/>
        <v>250.90247080330664</v>
      </c>
      <c r="X259" s="465">
        <f t="shared" ref="X259:AA259" si="582">SUM(X252:X258)</f>
        <v>207.32642906257416</v>
      </c>
      <c r="Y259" s="465">
        <f t="shared" si="582"/>
        <v>173.87065192045293</v>
      </c>
      <c r="Z259" s="465">
        <f t="shared" si="582"/>
        <v>147.81884115254627</v>
      </c>
      <c r="AA259" s="465">
        <f t="shared" si="582"/>
        <v>-6.8169035471895114</v>
      </c>
      <c r="AB259" s="629"/>
      <c r="AC259" s="631"/>
      <c r="AD259" s="631"/>
      <c r="AE259" s="631"/>
      <c r="AF259" s="631"/>
      <c r="AG259" s="631"/>
      <c r="AH259" s="631"/>
      <c r="AI259" s="631"/>
    </row>
    <row r="260" spans="1:35" s="633" customFormat="1" ht="13.2">
      <c r="A260" s="735"/>
      <c r="B260" s="465"/>
      <c r="C260" s="465"/>
      <c r="D260" s="465"/>
      <c r="E260" s="465"/>
      <c r="F260" s="465"/>
      <c r="G260" s="465"/>
      <c r="H260" s="465"/>
      <c r="I260" s="465"/>
      <c r="J260" s="465"/>
      <c r="K260" s="465"/>
      <c r="L260" s="465"/>
      <c r="M260" s="465"/>
      <c r="N260" s="465"/>
      <c r="O260" s="465"/>
      <c r="P260" s="465"/>
      <c r="Q260" s="465"/>
      <c r="R260" s="465"/>
      <c r="S260" s="465"/>
      <c r="T260" s="465"/>
      <c r="U260" s="465"/>
      <c r="V260" s="465"/>
      <c r="W260" s="465"/>
      <c r="X260" s="465"/>
      <c r="Y260" s="465"/>
      <c r="Z260" s="465"/>
      <c r="AA260" s="465"/>
      <c r="AB260" s="629"/>
      <c r="AC260" s="631"/>
      <c r="AD260" s="631"/>
      <c r="AE260" s="631"/>
      <c r="AF260" s="631"/>
      <c r="AG260" s="631"/>
      <c r="AH260" s="631"/>
      <c r="AI260" s="631"/>
    </row>
    <row r="261" spans="1:35" s="633" customFormat="1" ht="13.2">
      <c r="A261" s="735" t="s">
        <v>219</v>
      </c>
      <c r="B261" s="465">
        <f>B66</f>
        <v>0</v>
      </c>
      <c r="C261" s="465">
        <f t="shared" ref="C261:Q261" si="583">B261-C259</f>
        <v>-3403.3000000000006</v>
      </c>
      <c r="D261" s="465">
        <f t="shared" si="583"/>
        <v>-6526.3000000000011</v>
      </c>
      <c r="E261" s="465">
        <f t="shared" si="583"/>
        <v>-5843.3000000000011</v>
      </c>
      <c r="F261" s="465">
        <f t="shared" si="583"/>
        <v>-4963.3000000000011</v>
      </c>
      <c r="G261" s="465">
        <f t="shared" si="583"/>
        <v>-4364.8122727272739</v>
      </c>
      <c r="H261" s="465">
        <f t="shared" si="583"/>
        <v>-3685.3000000000011</v>
      </c>
      <c r="I261" s="465">
        <f t="shared" si="583"/>
        <v>-2932.8618740653783</v>
      </c>
      <c r="J261" s="465">
        <f t="shared" si="583"/>
        <v>-1817.8618740653778</v>
      </c>
      <c r="K261" s="465">
        <f t="shared" si="583"/>
        <v>-1218.1118740653778</v>
      </c>
      <c r="L261" s="465">
        <f t="shared" si="583"/>
        <v>-3356.1118740653778</v>
      </c>
      <c r="M261" s="465">
        <f t="shared" si="583"/>
        <v>-3320.5390000000011</v>
      </c>
      <c r="N261" s="465">
        <f t="shared" si="583"/>
        <v>-2035.3000000000006</v>
      </c>
      <c r="O261" s="465">
        <f t="shared" si="583"/>
        <v>-1372.3000000000006</v>
      </c>
      <c r="P261" s="465">
        <f t="shared" si="583"/>
        <v>-1501.3000000000006</v>
      </c>
      <c r="Q261" s="465">
        <f t="shared" si="583"/>
        <v>-1163.3000000000006</v>
      </c>
      <c r="R261" s="465">
        <f t="shared" ref="R261:W261" si="584">Q261-R259</f>
        <v>-1197.3000000000006</v>
      </c>
      <c r="S261" s="465">
        <f t="shared" si="584"/>
        <v>-1795.4093125252216</v>
      </c>
      <c r="T261" s="465">
        <f t="shared" si="584"/>
        <v>-2247.9261124740206</v>
      </c>
      <c r="U261" s="465">
        <f t="shared" si="584"/>
        <v>-2616.7221806586617</v>
      </c>
      <c r="V261" s="465">
        <f t="shared" si="584"/>
        <v>-2920.146580228497</v>
      </c>
      <c r="W261" s="465">
        <f t="shared" si="584"/>
        <v>-3171.0490510318036</v>
      </c>
      <c r="X261" s="465">
        <f t="shared" ref="X261" si="585">W261-X259</f>
        <v>-3378.375480094378</v>
      </c>
      <c r="Y261" s="465">
        <f t="shared" ref="Y261" si="586">X261-Y259</f>
        <v>-3552.2461320148309</v>
      </c>
      <c r="Z261" s="465">
        <f t="shared" ref="Z261" si="587">Y261-Z259</f>
        <v>-3700.064973167377</v>
      </c>
      <c r="AA261" s="465">
        <f t="shared" ref="AA261" si="588">Z261-AA259</f>
        <v>-3693.2480696201874</v>
      </c>
      <c r="AB261" s="629"/>
      <c r="AC261" s="631"/>
      <c r="AD261" s="631"/>
      <c r="AE261" s="631"/>
      <c r="AF261" s="631"/>
      <c r="AG261" s="631"/>
      <c r="AH261" s="631"/>
      <c r="AI261" s="631"/>
    </row>
    <row r="262" spans="1:35" s="633" customFormat="1" ht="13.2">
      <c r="A262" s="735" t="s">
        <v>139</v>
      </c>
      <c r="B262" s="465"/>
      <c r="C262" s="465">
        <f t="shared" ref="C262:Q262" si="589">C261-B261</f>
        <v>-3403.3000000000006</v>
      </c>
      <c r="D262" s="465">
        <f t="shared" si="589"/>
        <v>-3123.0000000000005</v>
      </c>
      <c r="E262" s="465">
        <f t="shared" si="589"/>
        <v>683</v>
      </c>
      <c r="F262" s="465">
        <f t="shared" si="589"/>
        <v>880</v>
      </c>
      <c r="G262" s="465">
        <f t="shared" si="589"/>
        <v>598.48772727272717</v>
      </c>
      <c r="H262" s="465">
        <f t="shared" si="589"/>
        <v>679.51227272727283</v>
      </c>
      <c r="I262" s="465">
        <f t="shared" si="589"/>
        <v>752.4381259346228</v>
      </c>
      <c r="J262" s="465">
        <f t="shared" si="589"/>
        <v>1115.0000000000005</v>
      </c>
      <c r="K262" s="465">
        <f t="shared" si="589"/>
        <v>599.75</v>
      </c>
      <c r="L262" s="465">
        <f t="shared" si="589"/>
        <v>-2138</v>
      </c>
      <c r="M262" s="465">
        <f t="shared" si="589"/>
        <v>35.572874065376709</v>
      </c>
      <c r="N262" s="465">
        <f t="shared" si="589"/>
        <v>1285.2390000000005</v>
      </c>
      <c r="O262" s="465">
        <f t="shared" si="589"/>
        <v>663</v>
      </c>
      <c r="P262" s="465">
        <f t="shared" si="589"/>
        <v>-129</v>
      </c>
      <c r="Q262" s="465">
        <f t="shared" si="589"/>
        <v>338</v>
      </c>
      <c r="R262" s="465">
        <f t="shared" ref="R262:W262" si="590">R261-Q261</f>
        <v>-34</v>
      </c>
      <c r="S262" s="465">
        <f t="shared" si="590"/>
        <v>-598.10931252522096</v>
      </c>
      <c r="T262" s="465">
        <f t="shared" si="590"/>
        <v>-452.51679994879896</v>
      </c>
      <c r="U262" s="465">
        <f t="shared" si="590"/>
        <v>-368.79606818464117</v>
      </c>
      <c r="V262" s="465">
        <f t="shared" si="590"/>
        <v>-303.42439956983526</v>
      </c>
      <c r="W262" s="465">
        <f t="shared" si="590"/>
        <v>-250.90247080330664</v>
      </c>
      <c r="X262" s="465">
        <f t="shared" ref="X262" si="591">X261-W261</f>
        <v>-207.32642906257433</v>
      </c>
      <c r="Y262" s="465">
        <f t="shared" ref="Y262" si="592">Y261-X261</f>
        <v>-173.87065192045293</v>
      </c>
      <c r="Z262" s="465">
        <f t="shared" ref="Z262" si="593">Z261-Y261</f>
        <v>-147.81884115254616</v>
      </c>
      <c r="AA262" s="465">
        <f t="shared" ref="AA262" si="594">AA261-Z261</f>
        <v>6.8169035471896677</v>
      </c>
      <c r="AB262" s="629"/>
      <c r="AC262" s="631"/>
      <c r="AD262" s="631"/>
      <c r="AE262" s="631"/>
      <c r="AF262" s="631"/>
      <c r="AG262" s="631"/>
      <c r="AH262" s="631"/>
      <c r="AI262" s="631"/>
    </row>
    <row r="263" spans="1:35" s="633" customFormat="1" ht="13.2">
      <c r="A263" s="735"/>
      <c r="B263" s="465"/>
      <c r="C263" s="465"/>
      <c r="D263" s="465"/>
      <c r="E263" s="465"/>
      <c r="F263" s="465"/>
      <c r="G263" s="465"/>
      <c r="H263" s="465"/>
      <c r="I263" s="465"/>
      <c r="J263" s="465"/>
      <c r="K263" s="465"/>
      <c r="L263" s="465"/>
      <c r="M263" s="465"/>
      <c r="N263" s="465"/>
      <c r="O263" s="465"/>
      <c r="P263" s="465"/>
      <c r="Q263" s="465"/>
      <c r="R263" s="465"/>
      <c r="S263" s="465"/>
      <c r="T263" s="465"/>
      <c r="U263" s="465"/>
      <c r="V263" s="465"/>
      <c r="W263" s="465"/>
      <c r="X263" s="465"/>
      <c r="Y263" s="465"/>
      <c r="Z263" s="465"/>
      <c r="AA263" s="465"/>
      <c r="AB263" s="629"/>
      <c r="AC263" s="631"/>
      <c r="AD263" s="631"/>
      <c r="AE263" s="631"/>
      <c r="AF263" s="631"/>
      <c r="AG263" s="631"/>
      <c r="AH263" s="631"/>
      <c r="AI263" s="631"/>
    </row>
    <row r="264" spans="1:35" s="633" customFormat="1" ht="13.2">
      <c r="A264" s="734" t="s">
        <v>220</v>
      </c>
      <c r="B264" s="658">
        <f>B$2</f>
        <v>2007</v>
      </c>
      <c r="C264" s="237">
        <f t="shared" ref="C264:Q264" si="595">B264+1</f>
        <v>2008</v>
      </c>
      <c r="D264" s="237">
        <f t="shared" si="595"/>
        <v>2009</v>
      </c>
      <c r="E264" s="237">
        <f t="shared" si="595"/>
        <v>2010</v>
      </c>
      <c r="F264" s="237">
        <f t="shared" si="595"/>
        <v>2011</v>
      </c>
      <c r="G264" s="237">
        <f t="shared" si="595"/>
        <v>2012</v>
      </c>
      <c r="H264" s="237">
        <f t="shared" si="595"/>
        <v>2013</v>
      </c>
      <c r="I264" s="237">
        <f t="shared" si="595"/>
        <v>2014</v>
      </c>
      <c r="J264" s="237">
        <f t="shared" si="595"/>
        <v>2015</v>
      </c>
      <c r="K264" s="237">
        <f t="shared" si="595"/>
        <v>2016</v>
      </c>
      <c r="L264" s="237">
        <f t="shared" si="595"/>
        <v>2017</v>
      </c>
      <c r="M264" s="237">
        <f t="shared" si="595"/>
        <v>2018</v>
      </c>
      <c r="N264" s="237">
        <f t="shared" si="595"/>
        <v>2019</v>
      </c>
      <c r="O264" s="237">
        <f t="shared" si="595"/>
        <v>2020</v>
      </c>
      <c r="P264" s="237">
        <f t="shared" si="595"/>
        <v>2021</v>
      </c>
      <c r="Q264" s="237">
        <f t="shared" si="595"/>
        <v>2022</v>
      </c>
      <c r="R264" s="237">
        <f t="shared" ref="R264:W264" si="596">Q264+1</f>
        <v>2023</v>
      </c>
      <c r="S264" s="237">
        <f t="shared" si="596"/>
        <v>2024</v>
      </c>
      <c r="T264" s="237">
        <f t="shared" si="596"/>
        <v>2025</v>
      </c>
      <c r="U264" s="237">
        <f t="shared" si="596"/>
        <v>2026</v>
      </c>
      <c r="V264" s="237">
        <f t="shared" si="596"/>
        <v>2027</v>
      </c>
      <c r="W264" s="237">
        <f t="shared" si="596"/>
        <v>2028</v>
      </c>
      <c r="X264" s="237">
        <f t="shared" ref="X264" si="597">W264+1</f>
        <v>2029</v>
      </c>
      <c r="Y264" s="237">
        <f t="shared" ref="Y264" si="598">X264+1</f>
        <v>2030</v>
      </c>
      <c r="Z264" s="237">
        <f t="shared" ref="Z264" si="599">Y264+1</f>
        <v>2031</v>
      </c>
      <c r="AA264" s="237">
        <f t="shared" ref="AA264" si="600">Z264+1</f>
        <v>2032</v>
      </c>
      <c r="AB264" s="667"/>
      <c r="AC264" s="631"/>
      <c r="AD264" s="631"/>
      <c r="AE264" s="631"/>
      <c r="AF264" s="631"/>
      <c r="AG264" s="631"/>
      <c r="AH264" s="631"/>
      <c r="AI264" s="631"/>
    </row>
    <row r="265" spans="1:35" s="633" customFormat="1" ht="13.2">
      <c r="A265" s="738" t="s">
        <v>2</v>
      </c>
      <c r="B265" s="739">
        <f>'Income Statement'!B430</f>
        <v>3590</v>
      </c>
      <c r="C265" s="739">
        <f>'Income Statement'!G430</f>
        <v>4402.2000000000007</v>
      </c>
      <c r="D265" s="739">
        <f>'Income Statement'!L430</f>
        <v>4220</v>
      </c>
      <c r="E265" s="739">
        <f>'Income Statement'!Q430</f>
        <v>4416</v>
      </c>
      <c r="F265" s="739">
        <f>'Income Statement'!V430</f>
        <v>4423</v>
      </c>
      <c r="G265" s="739">
        <f>'Income Statement'!AA430</f>
        <v>4359</v>
      </c>
      <c r="H265" s="739">
        <f>'Income Statement'!AF430</f>
        <v>4522</v>
      </c>
      <c r="I265" s="739">
        <f>'Income Statement'!AK430</f>
        <v>4112.3305194230634</v>
      </c>
      <c r="J265" s="739">
        <f>'Income Statement'!AP430</f>
        <v>4426</v>
      </c>
      <c r="K265" s="739">
        <f>'Income Statement'!AU430</f>
        <v>4502</v>
      </c>
      <c r="L265" s="739">
        <f>'Income Statement'!AZ430</f>
        <v>4195</v>
      </c>
      <c r="M265" s="739">
        <f>'Income Statement'!BE430</f>
        <v>3843</v>
      </c>
      <c r="N265" s="739">
        <f>'Income Statement'!BJ430</f>
        <v>3926</v>
      </c>
      <c r="O265" s="739">
        <f>'Income Statement'!BO430</f>
        <v>3814</v>
      </c>
      <c r="P265" s="739">
        <f>'Income Statement'!BT430</f>
        <v>3876</v>
      </c>
      <c r="Q265" s="739">
        <f>'Income Statement'!BY430</f>
        <v>3929</v>
      </c>
      <c r="R265" s="739">
        <f>'Income Statement'!CD430</f>
        <v>3960</v>
      </c>
      <c r="S265" s="739">
        <f>'Income Statement'!CE430</f>
        <v>4171.0576269054345</v>
      </c>
      <c r="T265" s="739">
        <f>'Income Statement'!CF430</f>
        <v>4296.5338349015092</v>
      </c>
      <c r="U265" s="739">
        <f>'Income Statement'!CG430</f>
        <v>4436.3939792013425</v>
      </c>
      <c r="V265" s="739">
        <f>'Income Statement'!CH430</f>
        <v>4589.6746823582716</v>
      </c>
      <c r="W265" s="739">
        <f>'Income Statement'!CI430</f>
        <v>4755.1149503443366</v>
      </c>
      <c r="X265" s="739">
        <f>'Income Statement'!CJ430</f>
        <v>4921.3878769655921</v>
      </c>
      <c r="Y265" s="739">
        <f>'Income Statement'!CK430</f>
        <v>5088.8125944151761</v>
      </c>
      <c r="Z265" s="739">
        <f>'Income Statement'!CL430</f>
        <v>5257.7045052849217</v>
      </c>
      <c r="AA265" s="739">
        <f>'Income Statement'!CM430</f>
        <v>5428.3759740857668</v>
      </c>
      <c r="AB265" s="740"/>
      <c r="AC265" s="631"/>
      <c r="AD265" s="631"/>
      <c r="AE265" s="631"/>
      <c r="AF265" s="631"/>
      <c r="AG265" s="631"/>
      <c r="AH265" s="631"/>
      <c r="AI265" s="631"/>
    </row>
    <row r="266" spans="1:35" s="633" customFormat="1" ht="13.2">
      <c r="A266" s="738" t="s">
        <v>221</v>
      </c>
      <c r="B266" s="739">
        <f>('Income Statement'!B438+'Income Statement'!B439)*-1</f>
        <v>-894</v>
      </c>
      <c r="C266" s="739">
        <f>('Income Statement'!G438+'Income Statement'!G439)*-1</f>
        <v>-1192.2</v>
      </c>
      <c r="D266" s="739">
        <f>('Income Statement'!L438+'Income Statement'!L439)*-1</f>
        <v>-1165</v>
      </c>
      <c r="E266" s="739">
        <f>('Income Statement'!Q438+'Income Statement'!Q439)*-1</f>
        <v>-1073</v>
      </c>
      <c r="F266" s="739">
        <f>('Income Statement'!V438+'Income Statement'!V439)*-1</f>
        <v>-1191</v>
      </c>
      <c r="G266" s="739">
        <f>('Income Statement'!AA438+'Income Statement'!AA439)*-1</f>
        <v>-1362</v>
      </c>
      <c r="H266" s="739">
        <f>('Income Statement'!AF438+'Income Statement'!AF439)*-1</f>
        <v>-1366</v>
      </c>
      <c r="I266" s="739">
        <f>('Income Statement'!AK438+'Income Statement'!AK439)*-1</f>
        <v>-1427</v>
      </c>
      <c r="J266" s="739">
        <f>('Income Statement'!AP438+'Income Statement'!AP439)*-1</f>
        <v>-1270</v>
      </c>
      <c r="K266" s="739">
        <f>('Income Statement'!AU438+'Income Statement'!AU439)*-1</f>
        <v>-1393</v>
      </c>
      <c r="L266" s="739">
        <f>('Income Statement'!AZ438+'Income Statement'!AZ439)*-1</f>
        <v>-1420</v>
      </c>
      <c r="M266" s="739">
        <f>('Income Statement'!BE438+'Income Statement'!BE439)*-1</f>
        <v>-1068</v>
      </c>
      <c r="N266" s="739">
        <f>('Income Statement'!BJ438+'Income Statement'!BJ439)*-1</f>
        <v>-1379</v>
      </c>
      <c r="O266" s="739">
        <f>('Income Statement'!BO438+'Income Statement'!BO439)*-1</f>
        <v>-1475</v>
      </c>
      <c r="P266" s="739">
        <f>('Income Statement'!BT438+'Income Statement'!BT439)*-1</f>
        <v>-1701</v>
      </c>
      <c r="Q266" s="739">
        <f>('Income Statement'!BY438+'Income Statement'!BY439)*-1</f>
        <v>-1721</v>
      </c>
      <c r="R266" s="739">
        <f>('Income Statement'!CD438+'Income Statement'!CD439)*-1</f>
        <v>-1903</v>
      </c>
      <c r="S266" s="739">
        <f>('Income Statement'!CE438+'Income Statement'!CE439)*-1</f>
        <v>-1823.7235397382501</v>
      </c>
      <c r="T266" s="739">
        <f>('Income Statement'!CF438+'Income Statement'!CF439)*-1</f>
        <v>-1736.1104658809845</v>
      </c>
      <c r="U266" s="739">
        <f>('Income Statement'!CG438+'Income Statement'!CG439)*-1</f>
        <v>-1677.9421231987874</v>
      </c>
      <c r="V266" s="739">
        <f>('Income Statement'!CH438+'Income Statement'!CH439)*-1</f>
        <v>-1642.2206897169945</v>
      </c>
      <c r="W266" s="739">
        <f>('Income Statement'!CI438+'Income Statement'!CI439)*-1</f>
        <v>-1623.934120891648</v>
      </c>
      <c r="X266" s="739">
        <f>('Income Statement'!CJ438+'Income Statement'!CJ439)*-1</f>
        <v>-1619.3463252298689</v>
      </c>
      <c r="Y266" s="739">
        <f>('Income Statement'!CK438+'Income Statement'!CK439)*-1</f>
        <v>-1624.7992659102024</v>
      </c>
      <c r="Z266" s="739">
        <f>('Income Statement'!CL438+'Income Statement'!CL439)*-1</f>
        <v>-1637.6460822574247</v>
      </c>
      <c r="AA266" s="739">
        <f>('Income Statement'!CM438+'Income Statement'!CM439)*-1</f>
        <v>-1655.9770123057474</v>
      </c>
      <c r="AB266" s="740"/>
      <c r="AC266" s="631"/>
      <c r="AD266" s="631"/>
      <c r="AE266" s="631"/>
      <c r="AF266" s="631"/>
      <c r="AG266" s="631"/>
      <c r="AH266" s="631"/>
      <c r="AI266" s="631"/>
    </row>
    <row r="267" spans="1:35" s="633" customFormat="1" ht="13.2">
      <c r="A267" s="738" t="s">
        <v>222</v>
      </c>
      <c r="B267" s="741">
        <f>'Income Statement'!B449*1</f>
        <v>-8.6000000000000014</v>
      </c>
      <c r="C267" s="741">
        <f>'Income Statement'!G449*1</f>
        <v>17.899999999999999</v>
      </c>
      <c r="D267" s="741">
        <f>'Income Statement'!L449*1</f>
        <v>-48</v>
      </c>
      <c r="E267" s="741">
        <f>'Income Statement'!Q449*1</f>
        <v>-211</v>
      </c>
      <c r="F267" s="741">
        <f>'Income Statement'!V449*1</f>
        <v>-228</v>
      </c>
      <c r="G267" s="741">
        <f>'Income Statement'!AA449*1</f>
        <v>-288</v>
      </c>
      <c r="H267" s="741">
        <f>'Income Statement'!AF449*1</f>
        <v>-329</v>
      </c>
      <c r="I267" s="741">
        <f>'Income Statement'!AK449*1</f>
        <v>-389</v>
      </c>
      <c r="J267" s="741">
        <f>'Income Statement'!AP449*1</f>
        <v>-378.82078737102057</v>
      </c>
      <c r="K267" s="741">
        <f>'Income Statement'!AU449*1</f>
        <v>-669</v>
      </c>
      <c r="L267" s="741">
        <f>'Income Statement'!AZ449*1</f>
        <v>-384</v>
      </c>
      <c r="M267" s="741">
        <f>'Income Statement'!BE449*1</f>
        <v>-358</v>
      </c>
      <c r="N267" s="741">
        <f>'Income Statement'!BJ449*1</f>
        <v>-452</v>
      </c>
      <c r="O267" s="741">
        <f>'Income Statement'!BO449*1</f>
        <v>-405</v>
      </c>
      <c r="P267" s="741">
        <f>'Income Statement'!BT449*1</f>
        <v>-412</v>
      </c>
      <c r="Q267" s="741">
        <f>'Income Statement'!BY449*1</f>
        <v>-407</v>
      </c>
      <c r="R267" s="741">
        <f>'Income Statement'!CD449*1</f>
        <v>-446</v>
      </c>
      <c r="S267" s="741">
        <f>'Income Statement'!CE449*1</f>
        <v>-447.33082706766919</v>
      </c>
      <c r="T267" s="741">
        <f>'Income Statement'!CF449*1</f>
        <v>-418.46273804246124</v>
      </c>
      <c r="U267" s="741">
        <f>'Income Statement'!CG449*1</f>
        <v>-396.60993733874074</v>
      </c>
      <c r="V267" s="741">
        <f>'Income Statement'!CH449*1</f>
        <v>-378.81507767052676</v>
      </c>
      <c r="W267" s="741">
        <f>'Income Statement'!CI449*1</f>
        <v>-364.19058640551424</v>
      </c>
      <c r="X267" s="741">
        <f>'Income Statement'!CJ449*1</f>
        <v>-352.11400925051061</v>
      </c>
      <c r="Y267" s="741">
        <f>'Income Statement'!CK449*1</f>
        <v>-342.14657898294593</v>
      </c>
      <c r="Z267" s="741">
        <f>'Income Statement'!CL449*1</f>
        <v>-333.79858411389534</v>
      </c>
      <c r="AA267" s="741">
        <f>'Income Statement'!CM449*1</f>
        <v>-326.71178767611491</v>
      </c>
      <c r="AB267" s="742"/>
      <c r="AC267" s="631"/>
      <c r="AD267" s="631"/>
      <c r="AE267" s="631"/>
      <c r="AF267" s="631"/>
      <c r="AG267" s="631"/>
      <c r="AH267" s="631"/>
      <c r="AI267" s="631"/>
    </row>
    <row r="268" spans="1:35" s="633" customFormat="1" ht="13.2">
      <c r="A268" s="738" t="s">
        <v>223</v>
      </c>
      <c r="B268" s="507">
        <v>0</v>
      </c>
      <c r="C268" s="507">
        <v>0</v>
      </c>
      <c r="D268" s="507">
        <v>0</v>
      </c>
      <c r="E268" s="507">
        <v>0</v>
      </c>
      <c r="F268" s="507">
        <v>0</v>
      </c>
      <c r="G268" s="507">
        <v>0</v>
      </c>
      <c r="H268" s="507">
        <v>0</v>
      </c>
      <c r="I268" s="507">
        <v>0</v>
      </c>
      <c r="J268" s="507">
        <v>0</v>
      </c>
      <c r="K268" s="507">
        <v>0</v>
      </c>
      <c r="L268" s="507">
        <v>0</v>
      </c>
      <c r="M268" s="507">
        <v>0</v>
      </c>
      <c r="N268" s="507">
        <v>0</v>
      </c>
      <c r="O268" s="507">
        <v>0</v>
      </c>
      <c r="P268" s="507">
        <v>0</v>
      </c>
      <c r="Q268" s="507"/>
      <c r="R268" s="507">
        <v>2</v>
      </c>
      <c r="S268" s="507">
        <v>3</v>
      </c>
      <c r="T268" s="507">
        <v>4</v>
      </c>
      <c r="U268" s="507">
        <v>5</v>
      </c>
      <c r="V268" s="507">
        <v>6</v>
      </c>
      <c r="W268" s="507">
        <v>7</v>
      </c>
      <c r="X268" s="507">
        <v>7</v>
      </c>
      <c r="Y268" s="507">
        <v>7</v>
      </c>
      <c r="Z268" s="507">
        <v>7</v>
      </c>
      <c r="AA268" s="507">
        <v>7</v>
      </c>
      <c r="AB268" s="743"/>
      <c r="AC268" s="631"/>
      <c r="AD268" s="631"/>
      <c r="AE268" s="631"/>
      <c r="AF268" s="631"/>
      <c r="AG268" s="631"/>
      <c r="AH268" s="631"/>
      <c r="AI268" s="631"/>
    </row>
    <row r="269" spans="1:35" s="633" customFormat="1" ht="13.2">
      <c r="A269" s="735" t="s">
        <v>224</v>
      </c>
      <c r="B269" s="465">
        <f>'Income Statement'!B452*B201*-1</f>
        <v>-671.85</v>
      </c>
      <c r="C269" s="465">
        <f>'Income Statement'!G452*0.18*-1</f>
        <v>-581.02200000000016</v>
      </c>
      <c r="D269" s="465">
        <f>'Income Statement'!L452*D201*-1</f>
        <v>-751.75</v>
      </c>
      <c r="E269" s="465">
        <f>'Income Statement'!Q452*E201*-1</f>
        <v>-783</v>
      </c>
      <c r="F269" s="465">
        <f>'Income Statement'!V452*F201*-1</f>
        <v>-751</v>
      </c>
      <c r="G269" s="465">
        <f>'Income Statement'!AA452*G201*-1</f>
        <v>-677.25</v>
      </c>
      <c r="H269" s="465">
        <f>'Income Statement'!AF452*H201*-1</f>
        <v>-706.75</v>
      </c>
      <c r="I269" s="465">
        <f>'Income Statement'!AK452*I201*-1</f>
        <v>-574.08262985576584</v>
      </c>
      <c r="J269" s="465">
        <f>'Income Statement'!AP452*J201*-1</f>
        <v>-694.29480315724481</v>
      </c>
      <c r="K269" s="465">
        <f>'Income Statement'!AU452*K201*-1</f>
        <v>-610</v>
      </c>
      <c r="L269" s="465">
        <f>'Income Statement'!AZ452*L201*-1</f>
        <v>-3421.25</v>
      </c>
      <c r="M269" s="465">
        <f>'Income Statement'!BE452*M201*-1</f>
        <v>-587.5</v>
      </c>
      <c r="N269" s="465">
        <f>'Income Statement'!BJ452*N201*-1</f>
        <v>-509</v>
      </c>
      <c r="O269" s="465">
        <f>'Income Statement'!BO452*O201*-1</f>
        <v>-469.75</v>
      </c>
      <c r="P269" s="465">
        <f>'Income Statement'!BT452*P201*-1</f>
        <v>-417.5</v>
      </c>
      <c r="Q269" s="465">
        <f>'Income Statement'!BY452*Q201*-1</f>
        <v>-450.5</v>
      </c>
      <c r="R269" s="465">
        <f>'Income Statement'!CD452*R201*-1</f>
        <v>-361</v>
      </c>
      <c r="S269" s="465">
        <f>'Income Statement'!CE452*S201*-1</f>
        <v>-475.00081502487893</v>
      </c>
      <c r="T269" s="465">
        <f>'Income Statement'!CF452*T201*-1</f>
        <v>-535.49015774451584</v>
      </c>
      <c r="U269" s="465">
        <f>'Income Statement'!CG452*U201*-1</f>
        <v>-590.46047966595359</v>
      </c>
      <c r="V269" s="465">
        <f>'Income Statement'!CH452*V201*-1</f>
        <v>-642.15972874268755</v>
      </c>
      <c r="W269" s="465">
        <f>'Income Statement'!CI452*W201*-1</f>
        <v>-691.74756076179358</v>
      </c>
      <c r="X269" s="465">
        <f>'Income Statement'!CJ452*X201*-1</f>
        <v>-737.48188562130304</v>
      </c>
      <c r="Y269" s="465">
        <f>'Income Statement'!CK452*Y201*-1</f>
        <v>-780.46668738050687</v>
      </c>
      <c r="Z269" s="465">
        <f>'Income Statement'!CL452*Z201*-1</f>
        <v>-821.56495972840037</v>
      </c>
      <c r="AA269" s="465">
        <f>'Income Statement'!CM452*AA201*-1</f>
        <v>-861.42179352597611</v>
      </c>
      <c r="AB269" s="629"/>
      <c r="AC269" s="631"/>
      <c r="AD269" s="631"/>
      <c r="AE269" s="631"/>
      <c r="AF269" s="631"/>
      <c r="AG269" s="631"/>
      <c r="AH269" s="631"/>
      <c r="AI269" s="631"/>
    </row>
    <row r="270" spans="1:35" s="633" customFormat="1" ht="13.2">
      <c r="A270" s="507" t="s">
        <v>578</v>
      </c>
      <c r="B270" s="465">
        <v>0</v>
      </c>
      <c r="C270" s="465">
        <v>0</v>
      </c>
      <c r="D270" s="465">
        <f>D271-SUM(D265:D269)</f>
        <v>-23.25</v>
      </c>
      <c r="E270" s="465">
        <f t="shared" ref="E270:K270" si="601">E271-SUM(E265:E269)</f>
        <v>-54</v>
      </c>
      <c r="F270" s="465">
        <f t="shared" si="601"/>
        <v>278</v>
      </c>
      <c r="G270" s="465">
        <f t="shared" si="601"/>
        <v>-38.75</v>
      </c>
      <c r="H270" s="465">
        <f t="shared" si="601"/>
        <v>-17.25</v>
      </c>
      <c r="I270" s="465">
        <f t="shared" si="601"/>
        <v>-114.68601550192056</v>
      </c>
      <c r="J270" s="465">
        <f t="shared" si="601"/>
        <v>-18.705196842754958</v>
      </c>
      <c r="K270" s="465">
        <f t="shared" si="601"/>
        <v>140.99999999999977</v>
      </c>
      <c r="L270" s="465">
        <f>L271-SUM(L265:L269)</f>
        <v>3005.6493610223642</v>
      </c>
      <c r="M270" s="465">
        <f>M271-SUM(M265:M269)</f>
        <v>6.1000000000001364</v>
      </c>
      <c r="N270" s="465">
        <f>N271-SUM(N265:N269)</f>
        <v>-94.909207161125323</v>
      </c>
      <c r="O270" s="465">
        <f>O271-SUM(O265:O269)</f>
        <v>-86.250000000000227</v>
      </c>
      <c r="P270" s="465">
        <f t="shared" ref="P270:V270" si="602">P271-SUM(P265:P269)</f>
        <v>-36.663682864450038</v>
      </c>
      <c r="Q270" s="465">
        <f t="shared" ref="Q270" si="603">Q271-SUM(Q265:Q269)</f>
        <v>-198.98577729295039</v>
      </c>
      <c r="R270" s="465">
        <f t="shared" si="602"/>
        <v>-258.98516624040928</v>
      </c>
      <c r="S270" s="465">
        <f t="shared" ref="S270:W270" si="604">S271-SUM(S265:S269)</f>
        <v>-2.9999999999995453</v>
      </c>
      <c r="T270" s="465">
        <f t="shared" si="602"/>
        <v>-4</v>
      </c>
      <c r="U270" s="465">
        <f t="shared" si="604"/>
        <v>-5.0000000000004547</v>
      </c>
      <c r="V270" s="465">
        <f t="shared" si="602"/>
        <v>-6</v>
      </c>
      <c r="W270" s="465">
        <f t="shared" si="604"/>
        <v>-7</v>
      </c>
      <c r="X270" s="465">
        <f t="shared" ref="X270:AA270" si="605">X271-SUM(X265:X269)</f>
        <v>-7.0000000000009095</v>
      </c>
      <c r="Y270" s="465">
        <f t="shared" si="605"/>
        <v>-7.0000000000004547</v>
      </c>
      <c r="Z270" s="465">
        <f t="shared" si="605"/>
        <v>-7.0000000000004547</v>
      </c>
      <c r="AA270" s="465">
        <f t="shared" si="605"/>
        <v>-7</v>
      </c>
      <c r="AB270" s="629"/>
      <c r="AC270" s="631"/>
      <c r="AD270" s="631"/>
      <c r="AE270" s="631"/>
      <c r="AF270" s="631"/>
      <c r="AG270" s="631"/>
      <c r="AH270" s="631"/>
      <c r="AI270" s="631"/>
    </row>
    <row r="271" spans="1:35" s="633" customFormat="1" ht="13.2">
      <c r="A271" s="670" t="s">
        <v>225</v>
      </c>
      <c r="B271" s="465">
        <f>SUM(B265:B270)</f>
        <v>2015.5500000000002</v>
      </c>
      <c r="C271" s="465">
        <f>SUM(C265:C270)</f>
        <v>2646.8780000000006</v>
      </c>
      <c r="D271" s="660">
        <f>Anna!N15*Anna!N3</f>
        <v>2232</v>
      </c>
      <c r="E271" s="660">
        <f>Anna!O15*Anna!O3</f>
        <v>2295</v>
      </c>
      <c r="F271" s="660">
        <f>Anna!P15*Anna!P3</f>
        <v>2531</v>
      </c>
      <c r="G271" s="660">
        <f>Anna!Q15*Anna!Q3</f>
        <v>1993</v>
      </c>
      <c r="H271" s="660">
        <f>Anna!R15*Anna!R3</f>
        <v>2103</v>
      </c>
      <c r="I271" s="660">
        <f>Anna!S15*Anna!S3</f>
        <v>1607.561874065377</v>
      </c>
      <c r="J271" s="660">
        <f>Anna!T15*Anna!T3</f>
        <v>2064.1792126289793</v>
      </c>
      <c r="K271" s="660">
        <f>Anna!U15*Anna!U3</f>
        <v>1970.9999999999998</v>
      </c>
      <c r="L271" s="660">
        <f>Anna!V15*Anna!V3</f>
        <v>1975.399361022364</v>
      </c>
      <c r="M271" s="660">
        <f>Anna!W15*Anna!W3</f>
        <v>1835.6000000000001</v>
      </c>
      <c r="N271" s="660">
        <f>Anna!X15*Anna!X3</f>
        <v>1491.0907928388747</v>
      </c>
      <c r="O271" s="660">
        <f>Anna!Y15*Anna!Y3</f>
        <v>1377.9999999999998</v>
      </c>
      <c r="P271" s="660">
        <f>Anna!Z15*Anna!Z3</f>
        <v>1308.83631713555</v>
      </c>
      <c r="Q271" s="660">
        <f>Anna!AA15*Anna!AA3</f>
        <v>1151.5142227070496</v>
      </c>
      <c r="R271" s="660">
        <f>Anna!AB15*Anna!AB3</f>
        <v>993.01483375959072</v>
      </c>
      <c r="S271" s="660">
        <f>Anna!AC15*Anna!AC3</f>
        <v>1425.0024450746369</v>
      </c>
      <c r="T271" s="660">
        <f>Anna!AD15*Anna!AD3</f>
        <v>1606.4704732335476</v>
      </c>
      <c r="U271" s="660">
        <f>Anna!AE15*Anna!AE3</f>
        <v>1771.3814389978606</v>
      </c>
      <c r="V271" s="660">
        <f>Anna!AF15*Anna!AF3</f>
        <v>1926.4791862280626</v>
      </c>
      <c r="W271" s="660">
        <f>Anna!AG15*Anna!AG3</f>
        <v>2075.2426822853809</v>
      </c>
      <c r="X271" s="660">
        <f>Anna!AH15*Anna!AH3</f>
        <v>2212.4456568639089</v>
      </c>
      <c r="Y271" s="660">
        <f>Anna!AI15*Anna!AI3</f>
        <v>2341.4000621415207</v>
      </c>
      <c r="Z271" s="660">
        <f>Anna!AJ15*Anna!AJ3</f>
        <v>2464.694879185201</v>
      </c>
      <c r="AA271" s="660">
        <f>Anna!AK15*Anna!AK3</f>
        <v>2584.2653805779282</v>
      </c>
      <c r="AB271" s="629"/>
      <c r="AC271" s="631"/>
      <c r="AD271" s="631"/>
      <c r="AE271" s="631"/>
      <c r="AF271" s="631"/>
      <c r="AG271" s="631"/>
      <c r="AH271" s="631"/>
      <c r="AI271" s="631"/>
    </row>
    <row r="272" spans="1:35" s="633" customFormat="1" ht="13.2">
      <c r="A272" s="670"/>
      <c r="B272" s="465"/>
      <c r="C272" s="465"/>
      <c r="D272" s="465"/>
      <c r="E272" s="465"/>
      <c r="F272" s="465"/>
      <c r="G272" s="465"/>
      <c r="H272" s="465"/>
      <c r="I272" s="465"/>
      <c r="J272" s="465"/>
      <c r="K272" s="465"/>
      <c r="L272" s="465"/>
      <c r="M272" s="195"/>
      <c r="N272" s="195"/>
      <c r="O272" s="195"/>
      <c r="P272" s="195"/>
      <c r="Q272" s="195"/>
      <c r="R272" s="195"/>
      <c r="S272" s="195"/>
      <c r="T272" s="195"/>
      <c r="U272" s="195"/>
      <c r="V272" s="195"/>
      <c r="W272" s="195"/>
      <c r="X272" s="195"/>
      <c r="Y272" s="195"/>
      <c r="Z272" s="195"/>
      <c r="AA272" s="195"/>
      <c r="AB272" s="631"/>
      <c r="AC272" s="631"/>
      <c r="AD272" s="631"/>
      <c r="AE272" s="631"/>
      <c r="AF272" s="631"/>
      <c r="AG272" s="631"/>
      <c r="AH272" s="631"/>
      <c r="AI272" s="631"/>
    </row>
    <row r="273" spans="1:40" s="633" customFormat="1" ht="13.2">
      <c r="A273" s="739" t="s">
        <v>226</v>
      </c>
      <c r="B273" s="465">
        <f t="shared" ref="B273:W273" si="606">B252*(1-B200)</f>
        <v>2293.6742874153456</v>
      </c>
      <c r="C273" s="465">
        <f t="shared" si="606"/>
        <v>3360.7706744322936</v>
      </c>
      <c r="D273" s="465">
        <f t="shared" si="606"/>
        <v>3362.0053209178586</v>
      </c>
      <c r="E273" s="465">
        <f t="shared" si="606"/>
        <v>2177.7586206896553</v>
      </c>
      <c r="F273" s="465">
        <f t="shared" si="606"/>
        <v>2893.2936085219708</v>
      </c>
      <c r="G273" s="465">
        <f t="shared" si="606"/>
        <v>2478.5592469545954</v>
      </c>
      <c r="H273" s="465">
        <f t="shared" si="606"/>
        <v>2757.6303501945522</v>
      </c>
      <c r="I273" s="465">
        <f t="shared" si="606"/>
        <v>2080.8002940909155</v>
      </c>
      <c r="J273" s="465">
        <f t="shared" si="606"/>
        <v>2320.4723240482558</v>
      </c>
      <c r="K273" s="465">
        <f t="shared" si="606"/>
        <v>2350.3290983606557</v>
      </c>
      <c r="L273" s="465">
        <f t="shared" si="606"/>
        <v>2384.7961271465106</v>
      </c>
      <c r="M273" s="465">
        <f t="shared" si="606"/>
        <v>2106.7340425531916</v>
      </c>
      <c r="N273" s="465">
        <f t="shared" si="606"/>
        <v>2034.75</v>
      </c>
      <c r="O273" s="465">
        <f t="shared" si="606"/>
        <v>1927.7754124534326</v>
      </c>
      <c r="P273" s="465">
        <f t="shared" si="606"/>
        <v>1957.9784431137723</v>
      </c>
      <c r="Q273" s="465">
        <f t="shared" ref="Q273" si="607">Q252*(1-Q200)</f>
        <v>1798.0382907880135</v>
      </c>
      <c r="R273" s="465">
        <f t="shared" si="606"/>
        <v>1951.1623268698058</v>
      </c>
      <c r="S273" s="465">
        <f t="shared" si="606"/>
        <v>2251.414829828268</v>
      </c>
      <c r="T273" s="465">
        <f t="shared" si="606"/>
        <v>2322.8076569385812</v>
      </c>
      <c r="U273" s="465">
        <f t="shared" si="606"/>
        <v>2402.496418787131</v>
      </c>
      <c r="V273" s="465">
        <f t="shared" si="606"/>
        <v>2489.4947966696473</v>
      </c>
      <c r="W273" s="465">
        <f t="shared" si="606"/>
        <v>2583.0726046695968</v>
      </c>
      <c r="X273" s="465">
        <f t="shared" ref="X273:AA273" si="608">X252*(1-X200)</f>
        <v>2677.3154977257695</v>
      </c>
      <c r="Y273" s="465">
        <f t="shared" si="608"/>
        <v>2772.3974427356975</v>
      </c>
      <c r="Z273" s="465">
        <f t="shared" si="608"/>
        <v>2868.4914469232344</v>
      </c>
      <c r="AA273" s="465">
        <f t="shared" si="608"/>
        <v>2865.2687789648317</v>
      </c>
      <c r="AB273" s="629"/>
      <c r="AC273" s="631"/>
      <c r="AD273" s="631"/>
      <c r="AE273" s="631"/>
      <c r="AF273" s="631"/>
      <c r="AG273" s="631"/>
      <c r="AH273" s="631"/>
      <c r="AI273" s="631"/>
    </row>
    <row r="274" spans="1:40" s="633" customFormat="1" ht="13.2">
      <c r="A274" s="739" t="s">
        <v>153</v>
      </c>
      <c r="B274" s="196">
        <f>B273/(5*B311)</f>
        <v>0.4081997308089243</v>
      </c>
      <c r="C274" s="196">
        <f t="shared" ref="C274:J274" si="609">C273/(5*C311)</f>
        <v>0.83726225073051663</v>
      </c>
      <c r="D274" s="196">
        <f t="shared" si="609"/>
        <v>1.1396628206501216</v>
      </c>
      <c r="E274" s="196">
        <f t="shared" si="609"/>
        <v>0.30162861782405198</v>
      </c>
      <c r="F274" s="196">
        <f t="shared" si="609"/>
        <v>0.58509476410959971</v>
      </c>
      <c r="G274" s="196">
        <f t="shared" si="609"/>
        <v>0.50071903978880716</v>
      </c>
      <c r="H274" s="196">
        <f t="shared" si="609"/>
        <v>0.67671910434222138</v>
      </c>
      <c r="I274" s="196">
        <f t="shared" si="609"/>
        <v>0.36505268317384482</v>
      </c>
      <c r="J274" s="196">
        <f t="shared" si="609"/>
        <v>0.35590066319758523</v>
      </c>
      <c r="K274" s="196">
        <f>K273/(5*K311-K63)</f>
        <v>0.34759183619043232</v>
      </c>
      <c r="L274" s="196">
        <f>L273/(5*L311-K63-L63)</f>
        <v>0.40035189107256652</v>
      </c>
      <c r="M274" s="196">
        <f>M273/(5*M311-K63-L63-M63)</f>
        <v>0.3111053745997267</v>
      </c>
      <c r="N274" s="196">
        <f>N273/(5*N311-K63-L63-M63-N63)</f>
        <v>0.26609274242588699</v>
      </c>
      <c r="O274" s="196">
        <f>O273/(5*O311-K63-L63-M63-N63-O63)</f>
        <v>0.21703267943346888</v>
      </c>
      <c r="P274" s="197">
        <f>P273/(5*P311-K63-L63-M63-N63-O63-P63)</f>
        <v>0.2278727579789829</v>
      </c>
      <c r="Q274" s="197">
        <f>Q273/(5*Q311-L63-M63-N63-O63-P63-Q63)</f>
        <v>0.24262830362005236</v>
      </c>
      <c r="R274" s="197">
        <f>R273/(5*R311-M63-N63-O63-P63-Q63-R63)</f>
        <v>0.26226463362888486</v>
      </c>
      <c r="S274" s="196">
        <f>S273/(5*S311-M63-N63-O63-P63-Q63-R63-S63)</f>
        <v>0.29290408289390901</v>
      </c>
      <c r="T274" s="196">
        <f>T273/(5*T311-O63-P63-Q63-R63-S63-T63)</f>
        <v>0.32840789916625235</v>
      </c>
      <c r="U274" s="196">
        <f>U273/(5*U311-O63-P63-Q63-R63-S63-T63-U63)</f>
        <v>0.3317917436072641</v>
      </c>
      <c r="V274" s="196">
        <f>V273/(5*V311-Q63-R63-S63-T63-U63-V63)</f>
        <v>0.39193893872099211</v>
      </c>
      <c r="W274" s="196">
        <f>W273/(5*W311-Q63-R63-S63-T63-U63-V63-W63)</f>
        <v>0.39405596577871532</v>
      </c>
      <c r="X274" s="196">
        <f>X273/(5*X311-R63-S63-T63-U63-V63-W63-X63)</f>
        <v>0.39615986804502562</v>
      </c>
      <c r="Y274" s="196">
        <f>Y273/(5*Y311-S63-T63-U63-V63-W63-X63-Y63)</f>
        <v>0.3982520936222308</v>
      </c>
      <c r="Z274" s="196">
        <f>Z273/(5*Z311-T63-U63-V63-W63-X63-Y63-Z63)</f>
        <v>0.40033396779547825</v>
      </c>
      <c r="AA274" s="196">
        <f>AA273/(5*AA311-U63-V63-W63-X63-Y63-Z63-AA63)</f>
        <v>0.35637281273099564</v>
      </c>
      <c r="AB274" s="222"/>
      <c r="AC274" s="631"/>
      <c r="AD274" s="631"/>
      <c r="AE274" s="631"/>
      <c r="AF274" s="631"/>
      <c r="AG274" s="631"/>
      <c r="AH274" s="631"/>
      <c r="AI274" s="631"/>
    </row>
    <row r="275" spans="1:40" s="633" customFormat="1" ht="13.2">
      <c r="A275" s="739" t="s">
        <v>227</v>
      </c>
      <c r="B275" s="744" t="e">
        <f>((B265+B266)*(1-0.25))/(B20-B27)</f>
        <v>#DIV/0!</v>
      </c>
      <c r="C275" s="744" t="e">
        <f>((C265+C266)*(1-0.25))/(C20-C27)</f>
        <v>#DIV/0!</v>
      </c>
      <c r="D275" s="196">
        <f>((D265+D266)*(1-0.25))/(D20-D27)</f>
        <v>0.15815903913853799</v>
      </c>
      <c r="E275" s="196">
        <f>((E265+E266)*(1-0.25))/(E20-E27)</f>
        <v>0.16824922829150449</v>
      </c>
      <c r="F275" s="196">
        <f>((F265+F266)*(1-0.25))/(F20-F27)</f>
        <v>0.17816979051819185</v>
      </c>
      <c r="G275" s="196">
        <f>((G265+G266)*(1-0.25))/(G20-G27)</f>
        <v>0.17842653257618343</v>
      </c>
      <c r="H275" s="196">
        <f>((H265+H266)*(1-0.25))/(H20-H27)</f>
        <v>0.17316555710000731</v>
      </c>
      <c r="I275" s="196">
        <f>((I265+I266)*(1-0.25))/(I20-I27)</f>
        <v>0.14461103536779618</v>
      </c>
      <c r="J275" s="196">
        <f>((J265+J266)*(1-0.25))/(J20-J27)</f>
        <v>0.16797956142218437</v>
      </c>
      <c r="K275" s="196">
        <f>((K265+K266)*(1-0.25))/(K20-K27)</f>
        <v>0.15920729209340434</v>
      </c>
      <c r="L275" s="196">
        <f>((L265+L266)*(1-0.25))/(L20-L27)</f>
        <v>0.13588952548846775</v>
      </c>
      <c r="M275" s="196">
        <f>((M265+M266)*(1-0.25))/(M20-M27)</f>
        <v>0.13634702011745006</v>
      </c>
      <c r="N275" s="196">
        <f>((N265+N266)*(1-0.25))/(N20-N27)</f>
        <v>0.12105513307984792</v>
      </c>
      <c r="O275" s="196">
        <f>((O265+O266)*(1-0.25))/(O20-O27)</f>
        <v>0.10040924961364547</v>
      </c>
      <c r="P275" s="196">
        <f>((P265+P266)*(1-0.25))/(P20-P27)</f>
        <v>0.1008875007730843</v>
      </c>
      <c r="Q275" s="196">
        <f>((Q265+Q266)*(1-0.25))/(Q20-Q27)</f>
        <v>8.9022685732716919E-2</v>
      </c>
      <c r="R275" s="196">
        <f>((R265+R266)*(1-0.25))/(R20-R27)</f>
        <v>8.8873206981969002E-2</v>
      </c>
      <c r="S275" s="196">
        <f>((S265+S266)*(1-0.25))/(S20-S27)</f>
        <v>0.10470147293766617</v>
      </c>
      <c r="T275" s="196">
        <f>((T265+T266)*(1-0.25))/(T20-T27)</f>
        <v>0.11702489206211136</v>
      </c>
      <c r="U275" s="196">
        <f>((U265+U266)*(1-0.25))/(U20-U27)</f>
        <v>0.12855370135040659</v>
      </c>
      <c r="V275" s="196">
        <f>((V265+V266)*(1-0.25))/(V20-V27)</f>
        <v>0.13949374283896351</v>
      </c>
      <c r="W275" s="196">
        <f>((W265+W266)*(1-0.25))/(W20-W27)</f>
        <v>0.14997508073302998</v>
      </c>
      <c r="X275" s="196">
        <f>((X265+X266)*(1-0.25))/(X20-X27)</f>
        <v>0.15961076617457254</v>
      </c>
      <c r="Y275" s="196">
        <f>((Y265+Y266)*(1-0.25))/(Y20-Y27)</f>
        <v>0.16859599553132981</v>
      </c>
      <c r="Z275" s="196">
        <f>((Z265+Z266)*(1-0.25))/(Z20-Z27)</f>
        <v>0.17708500294888449</v>
      </c>
      <c r="AA275" s="196">
        <f>((AA265+AA266)*(1-0.25))/(AA20-AA27)</f>
        <v>0.18358737553037535</v>
      </c>
      <c r="AB275" s="222"/>
      <c r="AC275" s="631"/>
      <c r="AD275" s="631"/>
      <c r="AE275" s="631"/>
      <c r="AF275" s="631"/>
      <c r="AG275" s="631"/>
      <c r="AH275" s="631"/>
      <c r="AI275" s="631"/>
    </row>
    <row r="276" spans="1:40" s="633" customFormat="1" ht="13.2">
      <c r="A276" s="735" t="s">
        <v>228</v>
      </c>
      <c r="B276" s="681">
        <f t="shared" ref="B276:P276" si="610">B271</f>
        <v>2015.5500000000002</v>
      </c>
      <c r="C276" s="681">
        <f t="shared" si="610"/>
        <v>2646.8780000000006</v>
      </c>
      <c r="D276" s="681">
        <f t="shared" si="610"/>
        <v>2232</v>
      </c>
      <c r="E276" s="681">
        <f t="shared" si="610"/>
        <v>2295</v>
      </c>
      <c r="F276" s="681">
        <f t="shared" si="610"/>
        <v>2531</v>
      </c>
      <c r="G276" s="681">
        <f t="shared" si="610"/>
        <v>1993</v>
      </c>
      <c r="H276" s="681">
        <f t="shared" si="610"/>
        <v>2103</v>
      </c>
      <c r="I276" s="681">
        <f t="shared" si="610"/>
        <v>1607.561874065377</v>
      </c>
      <c r="J276" s="681">
        <f t="shared" si="610"/>
        <v>2064.1792126289793</v>
      </c>
      <c r="K276" s="681">
        <f t="shared" si="610"/>
        <v>1970.9999999999998</v>
      </c>
      <c r="L276" s="681">
        <f t="shared" si="610"/>
        <v>1975.399361022364</v>
      </c>
      <c r="M276" s="681">
        <f t="shared" si="610"/>
        <v>1835.6000000000001</v>
      </c>
      <c r="N276" s="681">
        <f t="shared" si="610"/>
        <v>1491.0907928388747</v>
      </c>
      <c r="O276" s="681">
        <f t="shared" si="610"/>
        <v>1377.9999999999998</v>
      </c>
      <c r="P276" s="682">
        <f t="shared" si="610"/>
        <v>1308.83631713555</v>
      </c>
      <c r="Q276" s="682">
        <f t="shared" ref="Q276" si="611">Q271</f>
        <v>1151.5142227070496</v>
      </c>
      <c r="R276" s="682">
        <f t="shared" ref="R276:W276" si="612">R271</f>
        <v>993.01483375959072</v>
      </c>
      <c r="S276" s="681">
        <f t="shared" si="612"/>
        <v>1425.0024450746369</v>
      </c>
      <c r="T276" s="681">
        <f t="shared" si="612"/>
        <v>1606.4704732335476</v>
      </c>
      <c r="U276" s="681">
        <f t="shared" si="612"/>
        <v>1771.3814389978606</v>
      </c>
      <c r="V276" s="681">
        <f t="shared" si="612"/>
        <v>1926.4791862280626</v>
      </c>
      <c r="W276" s="681">
        <f t="shared" si="612"/>
        <v>2075.2426822853809</v>
      </c>
      <c r="X276" s="681">
        <f t="shared" ref="X276:AA276" si="613">X271</f>
        <v>2212.4456568639089</v>
      </c>
      <c r="Y276" s="681">
        <f t="shared" si="613"/>
        <v>2341.4000621415207</v>
      </c>
      <c r="Z276" s="681">
        <f t="shared" si="613"/>
        <v>2464.694879185201</v>
      </c>
      <c r="AA276" s="681">
        <f t="shared" si="613"/>
        <v>2584.2653805779282</v>
      </c>
      <c r="AB276" s="683"/>
      <c r="AC276" s="631"/>
      <c r="AD276" s="631"/>
      <c r="AE276" s="631"/>
      <c r="AF276" s="631"/>
      <c r="AG276" s="631"/>
      <c r="AH276" s="631"/>
      <c r="AI276" s="631"/>
    </row>
    <row r="277" spans="1:40" s="633" customFormat="1" ht="13.2">
      <c r="A277" s="735" t="s">
        <v>229</v>
      </c>
      <c r="B277" s="681">
        <f>'Income Statement'!B438</f>
        <v>894</v>
      </c>
      <c r="C277" s="681">
        <f>'Income Statement'!G438</f>
        <v>1192.2</v>
      </c>
      <c r="D277" s="681">
        <f>'Income Statement'!L438</f>
        <v>1165</v>
      </c>
      <c r="E277" s="681">
        <f>'Income Statement'!Q438</f>
        <v>1073</v>
      </c>
      <c r="F277" s="681">
        <f>'Income Statement'!V438</f>
        <v>1191</v>
      </c>
      <c r="G277" s="681">
        <f>'Income Statement'!AA438</f>
        <v>1362</v>
      </c>
      <c r="H277" s="681">
        <f>'Income Statement'!AF438</f>
        <v>1366</v>
      </c>
      <c r="I277" s="681">
        <f>'Income Statement'!AK438</f>
        <v>1427</v>
      </c>
      <c r="J277" s="681">
        <f>'Income Statement'!AP438</f>
        <v>991</v>
      </c>
      <c r="K277" s="681">
        <f>'Income Statement'!AU438</f>
        <v>1052</v>
      </c>
      <c r="L277" s="681">
        <f>'Income Statement'!AZ438</f>
        <v>1021</v>
      </c>
      <c r="M277" s="681">
        <f>'Income Statement'!BE438</f>
        <v>1068</v>
      </c>
      <c r="N277" s="681">
        <f>'Income Statement'!BJ438</f>
        <v>1379</v>
      </c>
      <c r="O277" s="681">
        <f>'Income Statement'!BO438</f>
        <v>1413</v>
      </c>
      <c r="P277" s="682">
        <f>'Income Statement'!BT438</f>
        <v>1520</v>
      </c>
      <c r="Q277" s="682">
        <f>'Income Statement'!BY438</f>
        <v>1408</v>
      </c>
      <c r="R277" s="682">
        <f>'Income Statement'!CD438</f>
        <v>1525</v>
      </c>
      <c r="S277" s="681">
        <f>'Income Statement'!CE438</f>
        <v>1456.0383046639474</v>
      </c>
      <c r="T277" s="681">
        <f>'Income Statement'!CF438</f>
        <v>1378.4585291306005</v>
      </c>
      <c r="U277" s="681">
        <f>'Income Statement'!CG438</f>
        <v>1330.0496987573997</v>
      </c>
      <c r="V277" s="681">
        <f>'Income Statement'!CH438</f>
        <v>1303.8214625706964</v>
      </c>
      <c r="W277" s="681">
        <f>'Income Statement'!CI438</f>
        <v>1294.7690431608307</v>
      </c>
      <c r="X277" s="681">
        <f>'Income Statement'!CJ438</f>
        <v>1299.1634178655656</v>
      </c>
      <c r="Y277" s="681">
        <f>'Income Statement'!CK438</f>
        <v>1313.3534258016905</v>
      </c>
      <c r="Z277" s="681">
        <f>'Income Statement'!CL438</f>
        <v>1334.6988946034251</v>
      </c>
      <c r="AA277" s="681">
        <f>'Income Statement'!CM438</f>
        <v>1361.2965681055894</v>
      </c>
      <c r="AB277" s="683"/>
      <c r="AC277" s="631"/>
      <c r="AD277" s="631"/>
      <c r="AE277" s="631"/>
      <c r="AF277" s="631"/>
      <c r="AG277" s="631"/>
      <c r="AH277" s="631"/>
      <c r="AI277" s="631"/>
    </row>
    <row r="278" spans="1:40" s="633" customFormat="1" ht="13.2">
      <c r="A278" s="735" t="s">
        <v>230</v>
      </c>
      <c r="B278" s="681">
        <f>'Income Statement'!B439</f>
        <v>0</v>
      </c>
      <c r="C278" s="681">
        <f>'Income Statement'!G439</f>
        <v>0</v>
      </c>
      <c r="D278" s="681">
        <f>'Income Statement'!L439</f>
        <v>0</v>
      </c>
      <c r="E278" s="681">
        <f>'Income Statement'!Q439</f>
        <v>0</v>
      </c>
      <c r="F278" s="681">
        <f>'Income Statement'!V439</f>
        <v>0</v>
      </c>
      <c r="G278" s="681">
        <f>'Income Statement'!AA439</f>
        <v>0</v>
      </c>
      <c r="H278" s="681">
        <f>'Income Statement'!AF439</f>
        <v>0</v>
      </c>
      <c r="I278" s="681">
        <f>'Income Statement'!AK439</f>
        <v>0</v>
      </c>
      <c r="J278" s="681">
        <f>'Income Statement'!AP439</f>
        <v>279</v>
      </c>
      <c r="K278" s="681">
        <f>'Income Statement'!AU439</f>
        <v>341</v>
      </c>
      <c r="L278" s="681">
        <f>'Income Statement'!AZ439</f>
        <v>399</v>
      </c>
      <c r="M278" s="681">
        <f>'Income Statement'!BE439</f>
        <v>0</v>
      </c>
      <c r="N278" s="681">
        <f>'Income Statement'!BJ439</f>
        <v>0</v>
      </c>
      <c r="O278" s="681">
        <f>'Income Statement'!BO439</f>
        <v>62</v>
      </c>
      <c r="P278" s="682">
        <f>'Income Statement'!BT439</f>
        <v>181</v>
      </c>
      <c r="Q278" s="682">
        <f>'Income Statement'!BY439</f>
        <v>313</v>
      </c>
      <c r="R278" s="682">
        <f>'Income Statement'!CD439</f>
        <v>378</v>
      </c>
      <c r="S278" s="681">
        <f>'Income Statement'!CE439</f>
        <v>367.68523507430262</v>
      </c>
      <c r="T278" s="681">
        <f>'Income Statement'!CF439</f>
        <v>357.65193675038404</v>
      </c>
      <c r="U278" s="681">
        <f>'Income Statement'!CG439</f>
        <v>347.89242444138773</v>
      </c>
      <c r="V278" s="681">
        <f>'Income Statement'!CH439</f>
        <v>338.39922714629813</v>
      </c>
      <c r="W278" s="681">
        <f>'Income Statement'!CI439</f>
        <v>329.16507773081736</v>
      </c>
      <c r="X278" s="681">
        <f>'Income Statement'!CJ439</f>
        <v>320.18290736430333</v>
      </c>
      <c r="Y278" s="681">
        <f>'Income Statement'!CK439</f>
        <v>311.44584010851196</v>
      </c>
      <c r="Z278" s="681">
        <f>'Income Statement'!CL439</f>
        <v>302.94718765399972</v>
      </c>
      <c r="AA278" s="681">
        <f>'Income Statement'!CM439</f>
        <v>294.68044420015804</v>
      </c>
      <c r="AB278" s="683"/>
      <c r="AC278" s="631"/>
      <c r="AD278" s="631"/>
      <c r="AE278" s="631"/>
      <c r="AF278" s="631"/>
      <c r="AG278" s="631"/>
      <c r="AH278" s="631"/>
      <c r="AI278" s="631"/>
    </row>
    <row r="279" spans="1:40" s="633" customFormat="1" ht="13.2">
      <c r="A279" s="735" t="s">
        <v>231</v>
      </c>
      <c r="B279" s="681">
        <f>B75</f>
        <v>1123.8</v>
      </c>
      <c r="C279" s="681">
        <f>C75</f>
        <v>802.8</v>
      </c>
      <c r="D279" s="681">
        <f>D75</f>
        <v>590</v>
      </c>
      <c r="E279" s="681">
        <f>E75</f>
        <v>1444</v>
      </c>
      <c r="F279" s="681">
        <f>F75</f>
        <v>989</v>
      </c>
      <c r="G279" s="681">
        <f>G75</f>
        <v>990</v>
      </c>
      <c r="H279" s="681">
        <f>H75</f>
        <v>815</v>
      </c>
      <c r="I279" s="681">
        <f>I75</f>
        <v>1140</v>
      </c>
      <c r="J279" s="681">
        <f>J75</f>
        <v>1304</v>
      </c>
      <c r="K279" s="681">
        <f>K75</f>
        <v>1189</v>
      </c>
      <c r="L279" s="681">
        <f>L75</f>
        <v>1028</v>
      </c>
      <c r="M279" s="681">
        <f>M75</f>
        <v>1038</v>
      </c>
      <c r="N279" s="681">
        <f>N75</f>
        <v>1213</v>
      </c>
      <c r="O279" s="681">
        <f>O75</f>
        <v>1245</v>
      </c>
      <c r="P279" s="682">
        <f>P75</f>
        <v>1187</v>
      </c>
      <c r="Q279" s="682">
        <f>Q75</f>
        <v>1114</v>
      </c>
      <c r="R279" s="682">
        <f>R75</f>
        <v>1119.8</v>
      </c>
      <c r="S279" s="681">
        <f>S75</f>
        <v>1169.1711871344103</v>
      </c>
      <c r="T279" s="681">
        <f>T75</f>
        <v>1199.4569589834009</v>
      </c>
      <c r="U279" s="681">
        <f>U75</f>
        <v>1233.0654208185015</v>
      </c>
      <c r="V279" s="681">
        <f>V75</f>
        <v>1270.3482867987418</v>
      </c>
      <c r="W279" s="681">
        <f>W75</f>
        <v>1311.0181441182078</v>
      </c>
      <c r="X279" s="681">
        <f>X75</f>
        <v>1351.6338799978996</v>
      </c>
      <c r="Y279" s="681">
        <f>Y75</f>
        <v>1392.2826707675792</v>
      </c>
      <c r="Z279" s="681">
        <f>Z75</f>
        <v>1433.0492427206093</v>
      </c>
      <c r="AA279" s="681">
        <f>AA75</f>
        <v>1608.0176021326579</v>
      </c>
      <c r="AB279" s="683"/>
      <c r="AC279" s="631"/>
      <c r="AD279" s="631"/>
      <c r="AE279" s="631"/>
      <c r="AF279" s="631"/>
      <c r="AG279" s="631"/>
      <c r="AH279" s="631"/>
      <c r="AI279" s="631"/>
    </row>
    <row r="280" spans="1:40" s="633" customFormat="1" ht="13.2">
      <c r="A280" s="735" t="s">
        <v>232</v>
      </c>
      <c r="B280" s="470">
        <f>0</f>
        <v>0</v>
      </c>
      <c r="C280" s="470">
        <f>0</f>
        <v>0</v>
      </c>
      <c r="D280" s="470">
        <f>0</f>
        <v>0</v>
      </c>
      <c r="E280" s="470">
        <f>0</f>
        <v>0</v>
      </c>
      <c r="F280" s="470">
        <f>0</f>
        <v>0</v>
      </c>
      <c r="G280" s="470">
        <f>0</f>
        <v>0</v>
      </c>
      <c r="H280" s="470">
        <f>0</f>
        <v>0</v>
      </c>
      <c r="I280" s="470">
        <f>0</f>
        <v>0</v>
      </c>
      <c r="J280" s="470">
        <f>0</f>
        <v>0</v>
      </c>
      <c r="K280" s="470">
        <f>0</f>
        <v>0</v>
      </c>
      <c r="L280" s="470">
        <f>0</f>
        <v>0</v>
      </c>
      <c r="M280" s="470">
        <f>0</f>
        <v>0</v>
      </c>
      <c r="N280" s="470">
        <f>0</f>
        <v>0</v>
      </c>
      <c r="O280" s="470">
        <f>0</f>
        <v>0</v>
      </c>
      <c r="P280" s="501">
        <f>0</f>
        <v>0</v>
      </c>
      <c r="Q280" s="501">
        <f>0</f>
        <v>0</v>
      </c>
      <c r="R280" s="501">
        <f>0</f>
        <v>0</v>
      </c>
      <c r="S280" s="470">
        <f>0</f>
        <v>0</v>
      </c>
      <c r="T280" s="470">
        <f>0</f>
        <v>0</v>
      </c>
      <c r="U280" s="470">
        <f>0</f>
        <v>0</v>
      </c>
      <c r="V280" s="470">
        <f>0</f>
        <v>0</v>
      </c>
      <c r="W280" s="470">
        <f>0</f>
        <v>0</v>
      </c>
      <c r="X280" s="470">
        <f>0</f>
        <v>0</v>
      </c>
      <c r="Y280" s="470">
        <f>0</f>
        <v>0</v>
      </c>
      <c r="Z280" s="470">
        <f>0</f>
        <v>0</v>
      </c>
      <c r="AA280" s="470">
        <f>0</f>
        <v>0</v>
      </c>
      <c r="AB280" s="378"/>
      <c r="AC280" s="631"/>
      <c r="AD280" s="631"/>
      <c r="AE280" s="631"/>
      <c r="AF280" s="631"/>
      <c r="AG280" s="631"/>
      <c r="AH280" s="631"/>
      <c r="AI280" s="631"/>
    </row>
    <row r="281" spans="1:40" s="633" customFormat="1" ht="13.2">
      <c r="A281" s="745" t="s">
        <v>233</v>
      </c>
      <c r="B281" s="681">
        <f t="shared" ref="B281:P281" si="614">B276+B277+B278-B279</f>
        <v>1785.7500000000002</v>
      </c>
      <c r="C281" s="681">
        <f t="shared" si="614"/>
        <v>3036.2780000000002</v>
      </c>
      <c r="D281" s="681">
        <f t="shared" si="614"/>
        <v>2807</v>
      </c>
      <c r="E281" s="681">
        <f t="shared" si="614"/>
        <v>1924</v>
      </c>
      <c r="F281" s="681">
        <f t="shared" si="614"/>
        <v>2733</v>
      </c>
      <c r="G281" s="681">
        <f t="shared" si="614"/>
        <v>2365</v>
      </c>
      <c r="H281" s="681">
        <f t="shared" si="614"/>
        <v>2654</v>
      </c>
      <c r="I281" s="681">
        <f t="shared" si="614"/>
        <v>1894.5618740653772</v>
      </c>
      <c r="J281" s="681">
        <f t="shared" si="614"/>
        <v>2030.1792126289793</v>
      </c>
      <c r="K281" s="681">
        <f t="shared" si="614"/>
        <v>2175</v>
      </c>
      <c r="L281" s="681">
        <f t="shared" si="614"/>
        <v>2367.3993610223642</v>
      </c>
      <c r="M281" s="681">
        <f t="shared" si="614"/>
        <v>1865.6000000000004</v>
      </c>
      <c r="N281" s="681">
        <f t="shared" si="614"/>
        <v>1657.0907928388747</v>
      </c>
      <c r="O281" s="681">
        <f t="shared" si="614"/>
        <v>1608</v>
      </c>
      <c r="P281" s="682">
        <f t="shared" si="614"/>
        <v>1822.83631713555</v>
      </c>
      <c r="Q281" s="682">
        <f t="shared" ref="Q281" si="615">Q276+Q277+Q278-Q279</f>
        <v>1758.5142227070496</v>
      </c>
      <c r="R281" s="682">
        <f t="shared" ref="R281:W281" si="616">R276+R277+R278-R279</f>
        <v>1776.2148337595906</v>
      </c>
      <c r="S281" s="681">
        <f t="shared" si="616"/>
        <v>2079.5547976784765</v>
      </c>
      <c r="T281" s="681">
        <f t="shared" si="616"/>
        <v>2143.1239801311312</v>
      </c>
      <c r="U281" s="681">
        <f t="shared" si="616"/>
        <v>2216.2581413781468</v>
      </c>
      <c r="V281" s="681">
        <f t="shared" si="616"/>
        <v>2298.3515891463153</v>
      </c>
      <c r="W281" s="681">
        <f t="shared" si="616"/>
        <v>2388.1586590588213</v>
      </c>
      <c r="X281" s="681">
        <f t="shared" ref="X281:AA281" si="617">X276+X277+X278-X279</f>
        <v>2480.1581020958783</v>
      </c>
      <c r="Y281" s="681">
        <f t="shared" si="617"/>
        <v>2573.9166572841441</v>
      </c>
      <c r="Z281" s="681">
        <f t="shared" si="617"/>
        <v>2669.2917187220173</v>
      </c>
      <c r="AA281" s="681">
        <f t="shared" si="617"/>
        <v>2632.2247907510182</v>
      </c>
      <c r="AB281" s="683"/>
      <c r="AC281" s="631"/>
      <c r="AD281" s="631"/>
      <c r="AE281" s="631"/>
      <c r="AF281" s="631"/>
      <c r="AG281" s="631"/>
      <c r="AH281" s="631"/>
      <c r="AI281" s="631"/>
    </row>
    <row r="282" spans="1:40" s="633" customFormat="1" ht="13.2">
      <c r="A282" s="735" t="s">
        <v>234</v>
      </c>
      <c r="B282" s="746" t="e">
        <f t="shared" ref="B282:W282" si="618">B281/B215</f>
        <v>#DIV/0!</v>
      </c>
      <c r="C282" s="746" t="e">
        <f t="shared" si="618"/>
        <v>#DIV/0!</v>
      </c>
      <c r="D282" s="746">
        <f t="shared" si="618"/>
        <v>0.37426666666666669</v>
      </c>
      <c r="E282" s="746">
        <f t="shared" si="618"/>
        <v>0.25653333333333334</v>
      </c>
      <c r="F282" s="746">
        <f t="shared" si="618"/>
        <v>0.3644</v>
      </c>
      <c r="G282" s="746">
        <f t="shared" si="618"/>
        <v>0.31533333333333335</v>
      </c>
      <c r="H282" s="746">
        <f t="shared" si="618"/>
        <v>0.35386666666666666</v>
      </c>
      <c r="I282" s="746">
        <f t="shared" si="618"/>
        <v>0.25260824987538361</v>
      </c>
      <c r="J282" s="746">
        <f t="shared" si="618"/>
        <v>0.27069056168386391</v>
      </c>
      <c r="K282" s="746">
        <f t="shared" si="618"/>
        <v>0.28999999999999998</v>
      </c>
      <c r="L282" s="746">
        <f t="shared" si="618"/>
        <v>0.30946396876109339</v>
      </c>
      <c r="M282" s="746">
        <f t="shared" si="618"/>
        <v>0.23902626521460607</v>
      </c>
      <c r="N282" s="746">
        <f t="shared" si="618"/>
        <v>0.2120397687573736</v>
      </c>
      <c r="O282" s="746">
        <f t="shared" si="618"/>
        <v>0.20556088207094919</v>
      </c>
      <c r="P282" s="747">
        <f t="shared" si="618"/>
        <v>0.23295032806844088</v>
      </c>
      <c r="Q282" s="747">
        <f t="shared" ref="Q282" si="619">Q281/Q215</f>
        <v>0.22468718107801056</v>
      </c>
      <c r="R282" s="747">
        <f t="shared" si="618"/>
        <v>0.22684736063340877</v>
      </c>
      <c r="S282" s="746">
        <f t="shared" si="618"/>
        <v>0.26552027549520896</v>
      </c>
      <c r="T282" s="746">
        <f t="shared" si="618"/>
        <v>0.2736368718247103</v>
      </c>
      <c r="U282" s="746">
        <f t="shared" si="618"/>
        <v>0.28297473715247023</v>
      </c>
      <c r="V282" s="746">
        <f t="shared" si="618"/>
        <v>0.29345653589712911</v>
      </c>
      <c r="W282" s="746">
        <f t="shared" si="618"/>
        <v>0.30492322000240313</v>
      </c>
      <c r="X282" s="746">
        <f t="shared" ref="X282:AA282" si="620">X281/X215</f>
        <v>0.31666982917465247</v>
      </c>
      <c r="Y282" s="746">
        <f t="shared" si="620"/>
        <v>0.32864104408633094</v>
      </c>
      <c r="Z282" s="746">
        <f t="shared" si="620"/>
        <v>0.34081865662947108</v>
      </c>
      <c r="AA282" s="746">
        <f t="shared" si="620"/>
        <v>0.3360859028027347</v>
      </c>
      <c r="AB282" s="508"/>
      <c r="AC282" s="631"/>
      <c r="AD282" s="631"/>
      <c r="AE282" s="631"/>
      <c r="AF282" s="631"/>
      <c r="AG282" s="631"/>
      <c r="AH282" s="631"/>
      <c r="AI282" s="631"/>
    </row>
    <row r="283" spans="1:40" s="633" customFormat="1" ht="13.2">
      <c r="A283" s="735" t="s">
        <v>0</v>
      </c>
      <c r="B283" s="196"/>
      <c r="C283" s="196" t="e">
        <f t="shared" ref="C283:Q283" si="621">C282/B282-1</f>
        <v>#DIV/0!</v>
      </c>
      <c r="D283" s="196" t="e">
        <f t="shared" si="621"/>
        <v>#DIV/0!</v>
      </c>
      <c r="E283" s="196">
        <f t="shared" si="621"/>
        <v>-0.31457071606697551</v>
      </c>
      <c r="F283" s="196">
        <f t="shared" si="621"/>
        <v>0.42047817047817038</v>
      </c>
      <c r="G283" s="196">
        <f t="shared" si="621"/>
        <v>-0.13465056714233437</v>
      </c>
      <c r="H283" s="196">
        <f t="shared" si="621"/>
        <v>0.12219873150105709</v>
      </c>
      <c r="I283" s="196">
        <f t="shared" si="621"/>
        <v>-0.28614850261289482</v>
      </c>
      <c r="J283" s="196">
        <f t="shared" si="621"/>
        <v>7.1582427800361392E-2</v>
      </c>
      <c r="K283" s="196">
        <f>K282/J282-1</f>
        <v>7.1333991831925569E-2</v>
      </c>
      <c r="L283" s="196">
        <f t="shared" si="621"/>
        <v>6.7117133658942896E-2</v>
      </c>
      <c r="M283" s="196">
        <f t="shared" si="621"/>
        <v>-0.2276119699119652</v>
      </c>
      <c r="N283" s="196">
        <f t="shared" si="621"/>
        <v>-0.11290180362816216</v>
      </c>
      <c r="O283" s="196">
        <f t="shared" si="621"/>
        <v>-3.0555054480548294E-2</v>
      </c>
      <c r="P283" s="197">
        <f t="shared" si="621"/>
        <v>0.13324250081802158</v>
      </c>
      <c r="Q283" s="197">
        <f t="shared" si="621"/>
        <v>-3.5471712184078186E-2</v>
      </c>
      <c r="R283" s="197">
        <f t="shared" ref="R283:W283" si="622">R282/Q282-1</f>
        <v>9.6141646578769002E-3</v>
      </c>
      <c r="S283" s="196">
        <f t="shared" si="622"/>
        <v>0.17047989782123429</v>
      </c>
      <c r="T283" s="196">
        <f t="shared" si="622"/>
        <v>3.0568649849294749E-2</v>
      </c>
      <c r="U283" s="196">
        <f t="shared" si="622"/>
        <v>3.4125025861798663E-2</v>
      </c>
      <c r="V283" s="196">
        <f t="shared" si="622"/>
        <v>3.7041464726270457E-2</v>
      </c>
      <c r="W283" s="196">
        <f t="shared" si="622"/>
        <v>3.9074556885295042E-2</v>
      </c>
      <c r="X283" s="196">
        <f t="shared" ref="X283" si="623">X282/W282-1</f>
        <v>3.8523170430106113E-2</v>
      </c>
      <c r="Y283" s="196">
        <f t="shared" ref="Y283" si="624">Y282/X282-1</f>
        <v>3.7803459025065544E-2</v>
      </c>
      <c r="Z283" s="196">
        <f t="shared" ref="Z283" si="625">Z282/Y282-1</f>
        <v>3.70544481958901E-2</v>
      </c>
      <c r="AA283" s="196">
        <f t="shared" ref="AA283" si="626">AA282/Z282-1</f>
        <v>-1.3886428265227568E-2</v>
      </c>
      <c r="AB283" s="222"/>
      <c r="AC283" s="631"/>
      <c r="AD283" s="631"/>
      <c r="AE283" s="631"/>
      <c r="AF283" s="631"/>
      <c r="AG283" s="631"/>
      <c r="AH283" s="631"/>
      <c r="AI283" s="631"/>
    </row>
    <row r="284" spans="1:40" s="633" customFormat="1" ht="13.2">
      <c r="A284" s="340"/>
      <c r="B284" s="748"/>
      <c r="C284" s="748"/>
      <c r="D284" s="748"/>
      <c r="E284" s="748"/>
      <c r="F284" s="748"/>
      <c r="G284" s="748"/>
      <c r="H284" s="748"/>
      <c r="I284" s="748"/>
      <c r="J284" s="748"/>
      <c r="K284" s="748"/>
      <c r="L284" s="748"/>
      <c r="M284" s="748"/>
      <c r="N284" s="748"/>
      <c r="O284" s="748"/>
      <c r="P284" s="748"/>
      <c r="Q284" s="748"/>
      <c r="R284" s="748"/>
      <c r="S284" s="748"/>
      <c r="T284" s="748"/>
      <c r="U284" s="748"/>
      <c r="V284" s="748"/>
      <c r="W284" s="748"/>
      <c r="X284" s="748"/>
      <c r="Y284" s="748"/>
      <c r="Z284" s="748"/>
      <c r="AA284" s="748"/>
      <c r="AB284" s="279"/>
      <c r="AC284" s="631"/>
      <c r="AD284" s="631"/>
      <c r="AE284" s="631"/>
      <c r="AF284" s="631"/>
      <c r="AG284" s="631"/>
    </row>
    <row r="285" spans="1:40" s="633" customFormat="1" ht="13.2">
      <c r="A285" s="749"/>
      <c r="B285" s="658">
        <f>B$2</f>
        <v>2007</v>
      </c>
      <c r="C285" s="237">
        <f t="shared" ref="C285:Q285" si="627">B285+1</f>
        <v>2008</v>
      </c>
      <c r="D285" s="237">
        <f t="shared" si="627"/>
        <v>2009</v>
      </c>
      <c r="E285" s="237">
        <f t="shared" si="627"/>
        <v>2010</v>
      </c>
      <c r="F285" s="237">
        <f t="shared" si="627"/>
        <v>2011</v>
      </c>
      <c r="G285" s="237">
        <f t="shared" si="627"/>
        <v>2012</v>
      </c>
      <c r="H285" s="237">
        <f t="shared" si="627"/>
        <v>2013</v>
      </c>
      <c r="I285" s="237">
        <f t="shared" si="627"/>
        <v>2014</v>
      </c>
      <c r="J285" s="237">
        <f t="shared" si="627"/>
        <v>2015</v>
      </c>
      <c r="K285" s="237">
        <f t="shared" si="627"/>
        <v>2016</v>
      </c>
      <c r="L285" s="237">
        <f t="shared" si="627"/>
        <v>2017</v>
      </c>
      <c r="M285" s="237">
        <f t="shared" si="627"/>
        <v>2018</v>
      </c>
      <c r="N285" s="237">
        <f t="shared" si="627"/>
        <v>2019</v>
      </c>
      <c r="O285" s="237">
        <f t="shared" si="627"/>
        <v>2020</v>
      </c>
      <c r="P285" s="237">
        <f t="shared" si="627"/>
        <v>2021</v>
      </c>
      <c r="Q285" s="237">
        <f t="shared" si="627"/>
        <v>2022</v>
      </c>
      <c r="R285" s="237">
        <f t="shared" ref="R285:W285" si="628">Q285+1</f>
        <v>2023</v>
      </c>
      <c r="S285" s="237">
        <f t="shared" si="628"/>
        <v>2024</v>
      </c>
      <c r="T285" s="237">
        <f t="shared" si="628"/>
        <v>2025</v>
      </c>
      <c r="U285" s="237">
        <f t="shared" si="628"/>
        <v>2026</v>
      </c>
      <c r="V285" s="237">
        <f t="shared" si="628"/>
        <v>2027</v>
      </c>
      <c r="W285" s="237">
        <f t="shared" si="628"/>
        <v>2028</v>
      </c>
      <c r="X285" s="237">
        <f t="shared" ref="X285" si="629">W285+1</f>
        <v>2029</v>
      </c>
      <c r="Y285" s="237">
        <f t="shared" ref="Y285" si="630">X285+1</f>
        <v>2030</v>
      </c>
      <c r="Z285" s="237">
        <f t="shared" ref="Z285" si="631">Y285+1</f>
        <v>2031</v>
      </c>
      <c r="AA285" s="237">
        <f t="shared" ref="AA285" si="632">Z285+1</f>
        <v>2032</v>
      </c>
      <c r="AB285" s="667"/>
      <c r="AC285" s="631"/>
      <c r="AD285" s="631"/>
      <c r="AE285" s="631"/>
      <c r="AF285" s="631"/>
      <c r="AG285" s="750">
        <v>39052</v>
      </c>
      <c r="AH285" s="750">
        <v>39417</v>
      </c>
      <c r="AI285" s="750">
        <v>39783</v>
      </c>
      <c r="AJ285" s="750">
        <v>39783</v>
      </c>
      <c r="AK285" s="750">
        <v>40148</v>
      </c>
      <c r="AL285" s="750">
        <v>40513</v>
      </c>
      <c r="AM285" s="750">
        <v>40878</v>
      </c>
      <c r="AN285" s="750">
        <v>41244</v>
      </c>
    </row>
    <row r="286" spans="1:40" s="633" customFormat="1" ht="13.2">
      <c r="A286" s="195" t="s">
        <v>235</v>
      </c>
      <c r="B286" s="709">
        <f>'Income Statement'!B116</f>
        <v>9765</v>
      </c>
      <c r="C286" s="709">
        <f>'Income Statement'!G116</f>
        <v>11234.1</v>
      </c>
      <c r="D286" s="709">
        <f>'Income Statement'!L116</f>
        <v>12291</v>
      </c>
      <c r="E286" s="709">
        <f>'Income Statement'!Q116</f>
        <v>13954</v>
      </c>
      <c r="F286" s="709">
        <f>'Income Statement'!V116</f>
        <v>12735</v>
      </c>
      <c r="G286" s="709">
        <f>'Income Statement'!AA116</f>
        <v>14091</v>
      </c>
      <c r="H286" s="709">
        <f>'Income Statement'!AF116</f>
        <v>12893</v>
      </c>
      <c r="I286" s="709">
        <f>'Income Statement'!AK116</f>
        <v>12913</v>
      </c>
      <c r="J286" s="709">
        <f>'Income Statement'!AP116</f>
        <v>12694</v>
      </c>
      <c r="K286" s="709">
        <f>'Income Statement'!AU116</f>
        <v>11926</v>
      </c>
      <c r="L286" s="709">
        <f>'Income Statement'!AZ116</f>
        <v>10928</v>
      </c>
      <c r="M286" s="709">
        <f>'Income Statement'!BE116</f>
        <v>10761</v>
      </c>
      <c r="N286" s="709">
        <f>'Income Statement'!BJ116</f>
        <v>11130</v>
      </c>
      <c r="O286" s="709">
        <f>'Income Statement'!BO116</f>
        <v>11132</v>
      </c>
      <c r="P286" s="751">
        <f>'Income Statement'!BT116</f>
        <v>11618</v>
      </c>
      <c r="Q286" s="751">
        <f>'Income Statement'!BY116</f>
        <v>11738</v>
      </c>
      <c r="R286" s="751">
        <f>'Income Statement'!CD116</f>
        <v>12511</v>
      </c>
      <c r="S286" s="709">
        <f>'Income Statement'!CE116</f>
        <v>12812.301213576728</v>
      </c>
      <c r="T286" s="709">
        <f>'Income Statement'!CF116</f>
        <v>13037.520082713105</v>
      </c>
      <c r="U286" s="709">
        <f>'Income Statement'!CG116</f>
        <v>13248.474518022122</v>
      </c>
      <c r="V286" s="709">
        <f>'Income Statement'!CH116</f>
        <v>13446.562992775167</v>
      </c>
      <c r="W286" s="709">
        <f>'Income Statement'!CI116</f>
        <v>13633.05060714542</v>
      </c>
      <c r="X286" s="709">
        <f>'Income Statement'!CJ116</f>
        <v>13809.081826244215</v>
      </c>
      <c r="Y286" s="709">
        <f>'Income Statement'!CK116</f>
        <v>13975.692001679479</v>
      </c>
      <c r="Z286" s="709">
        <f>'Income Statement'!CL116</f>
        <v>14133.817792809883</v>
      </c>
      <c r="AA286" s="709">
        <f>'Income Statement'!CM116</f>
        <v>14284.306592773788</v>
      </c>
      <c r="AB286" s="307"/>
      <c r="AC286" s="631"/>
      <c r="AD286" s="631"/>
      <c r="AE286" s="631"/>
      <c r="AF286" s="631"/>
      <c r="AG286" s="685">
        <v>7.3635000868718548E-2</v>
      </c>
      <c r="AH286" s="685">
        <v>7.7594476224526421E-2</v>
      </c>
      <c r="AI286" s="685">
        <v>-1.996018231706953E-2</v>
      </c>
      <c r="AJ286" s="685">
        <v>-7.6284760395818996E-2</v>
      </c>
      <c r="AK286" s="685">
        <v>-2.2462492609200302E-2</v>
      </c>
      <c r="AL286" s="685">
        <v>-1.1829053031161552E-3</v>
      </c>
      <c r="AM286" s="685">
        <v>5.4107734794393014E-3</v>
      </c>
      <c r="AN286" s="685">
        <v>4.2168961524915449E-3</v>
      </c>
    </row>
    <row r="287" spans="1:40" s="633" customFormat="1" ht="13.2">
      <c r="A287" s="195" t="s">
        <v>55</v>
      </c>
      <c r="B287" s="207">
        <f>'Income Statement'!B63</f>
        <v>0.27416774326023902</v>
      </c>
      <c r="C287" s="207">
        <f>'Income Statement'!G63</f>
        <v>0.26100358131507073</v>
      </c>
      <c r="D287" s="207">
        <f>'Income Statement'!L63</f>
        <v>0.25319756679594613</v>
      </c>
      <c r="E287" s="207">
        <f>'Income Statement'!Q63</f>
        <v>0.25855457227138645</v>
      </c>
      <c r="F287" s="207">
        <f>'Income Statement'!V63</f>
        <v>0.26466302239769279</v>
      </c>
      <c r="G287" s="207">
        <f>'Income Statement'!AA63</f>
        <v>0.25409200968523005</v>
      </c>
      <c r="H287" s="207">
        <f>'Income Statement'!AF63</f>
        <v>0.25569767441860464</v>
      </c>
      <c r="I287" s="207">
        <f>'Income Statement'!AK63</f>
        <v>0.25436525612472161</v>
      </c>
      <c r="J287" s="207">
        <f>'Income Statement'!AP63</f>
        <v>0.27494331065759636</v>
      </c>
      <c r="K287" s="207">
        <f>'Income Statement'!AU63</f>
        <v>0.27888888888888891</v>
      </c>
      <c r="L287" s="207">
        <f>'Income Statement'!AZ63</f>
        <v>0.2748414870966987</v>
      </c>
      <c r="M287" s="207">
        <f>'Income Statement'!BE63</f>
        <v>0.2749157098059557</v>
      </c>
      <c r="N287" s="207">
        <f>'Income Statement'!BJ63</f>
        <v>0.25293154861998612</v>
      </c>
      <c r="O287" s="207">
        <f>'Income Statement'!BO63</f>
        <v>0.23879552461370973</v>
      </c>
      <c r="P287" s="207">
        <f>'Income Statement'!BT63</f>
        <v>0.2181090862911931</v>
      </c>
      <c r="Q287" s="207">
        <f>'Income Statement'!BY63</f>
        <v>0.42116243783191437</v>
      </c>
      <c r="R287" s="207">
        <f>'Income Statement'!CD63</f>
        <v>0.41965504246402963</v>
      </c>
      <c r="S287" s="207">
        <f>'Income Statement'!CE63</f>
        <v>0.41965504246402963</v>
      </c>
      <c r="T287" s="207">
        <f>'Income Statement'!CF63</f>
        <v>0.41965504246402963</v>
      </c>
      <c r="U287" s="207">
        <f>'Income Statement'!CG63</f>
        <v>0.41965504246402963</v>
      </c>
      <c r="V287" s="207">
        <f>'Income Statement'!CH63</f>
        <v>0.41965504246402963</v>
      </c>
      <c r="W287" s="207">
        <f>'Income Statement'!CI63</f>
        <v>0.41965504246402963</v>
      </c>
      <c r="X287" s="207">
        <f>'Income Statement'!CJ63</f>
        <v>0.41965504246402963</v>
      </c>
      <c r="Y287" s="207">
        <f>'Income Statement'!CK63</f>
        <v>0.41965504246402963</v>
      </c>
      <c r="Z287" s="207">
        <f>'Income Statement'!CL63</f>
        <v>0.41965504246402963</v>
      </c>
      <c r="AA287" s="207">
        <f>'Income Statement'!CM63</f>
        <v>0.41965504246402963</v>
      </c>
      <c r="AB287" s="685"/>
      <c r="AC287" s="631"/>
      <c r="AD287" s="631"/>
      <c r="AE287" s="631"/>
      <c r="AF287" s="631"/>
      <c r="AG287" s="631"/>
      <c r="AH287" s="631"/>
      <c r="AI287" s="631"/>
    </row>
    <row r="288" spans="1:40" s="633" customFormat="1" ht="13.2">
      <c r="A288" s="195" t="s">
        <v>236</v>
      </c>
      <c r="B288" s="207">
        <f>'Income Statement'!B89</f>
        <v>0</v>
      </c>
      <c r="C288" s="207">
        <f>'Income Statement'!G89</f>
        <v>0.17740226575022436</v>
      </c>
      <c r="D288" s="207">
        <f>'Income Statement'!L89</f>
        <v>0.21035642906012214</v>
      </c>
      <c r="E288" s="207">
        <f>'Income Statement'!Q89</f>
        <v>0.28039571349084058</v>
      </c>
      <c r="F288" s="207">
        <f>'Income Statement'!V89</f>
        <v>0.33861890071261641</v>
      </c>
      <c r="G288" s="207">
        <f>'Income Statement'!AA89</f>
        <v>0.16975371260971217</v>
      </c>
      <c r="H288" s="207">
        <f>'Income Statement'!AF89</f>
        <v>0.2947058823529401</v>
      </c>
      <c r="I288" s="207">
        <f>'Income Statement'!AK89</f>
        <v>0.22421052631578947</v>
      </c>
      <c r="J288" s="207">
        <f>'Income Statement'!AP89</f>
        <v>0.3705263157894737</v>
      </c>
      <c r="K288" s="207">
        <f>'Income Statement'!AU89</f>
        <v>9.1578947368421051E-2</v>
      </c>
      <c r="L288" s="207">
        <f>'Income Statement'!AZ89</f>
        <v>-0.29052631578947369</v>
      </c>
      <c r="M288" s="207">
        <f>'Income Statement'!BE89</f>
        <v>-4.5789473684210526E-2</v>
      </c>
      <c r="N288" s="207">
        <f>'Income Statement'!BJ89</f>
        <v>-0.1994736842105263</v>
      </c>
      <c r="O288" s="207">
        <f>'Income Statement'!BO89</f>
        <v>-0.44210526315789472</v>
      </c>
      <c r="P288" s="207">
        <f>'Income Statement'!BT89</f>
        <v>-7.1578947368421048E-2</v>
      </c>
      <c r="Q288" s="207">
        <f>'Income Statement'!BY89</f>
        <v>5.094736842105263</v>
      </c>
      <c r="R288" s="207">
        <f>'Income Statement'!CD89</f>
        <v>0.22932315789473681</v>
      </c>
      <c r="S288" s="207">
        <f>'Income Statement'!CE89</f>
        <v>0.25883689344127847</v>
      </c>
      <c r="T288" s="207">
        <f>'Income Statement'!CF89</f>
        <v>0.19347732370408172</v>
      </c>
      <c r="U288" s="207">
        <f>'Income Statement'!CG89</f>
        <v>0.1812232683860068</v>
      </c>
      <c r="V288" s="207">
        <f>'Income Statement'!CH89</f>
        <v>0.17017059049628619</v>
      </c>
      <c r="W288" s="207">
        <f>'Income Statement'!CI89</f>
        <v>0.16020471406624173</v>
      </c>
      <c r="X288" s="207">
        <f>'Income Statement'!CJ89</f>
        <v>0.15122200591007737</v>
      </c>
      <c r="Y288" s="207">
        <f>'Income Statement'!CK89</f>
        <v>0.14312873059300871</v>
      </c>
      <c r="Z288" s="207">
        <f>'Income Statement'!CL89</f>
        <v>0.13584010519995851</v>
      </c>
      <c r="AA288" s="207">
        <f>'Income Statement'!CM89</f>
        <v>0.12927944437383926</v>
      </c>
      <c r="AB288" s="685"/>
      <c r="AC288" s="631"/>
      <c r="AD288" s="631"/>
      <c r="AE288" s="631"/>
      <c r="AF288" s="631"/>
      <c r="AG288" s="631"/>
      <c r="AH288" s="631"/>
      <c r="AI288" s="631"/>
    </row>
    <row r="289" spans="1:35" s="633" customFormat="1" ht="13.2">
      <c r="A289" s="195" t="s">
        <v>237</v>
      </c>
      <c r="B289" s="203">
        <f>'Income Statement'!B76</f>
        <v>23376.2</v>
      </c>
      <c r="C289" s="203">
        <f>'Income Statement'!G76</f>
        <v>27057.1</v>
      </c>
      <c r="D289" s="203">
        <f>'Income Statement'!L76</f>
        <v>30490.024440960002</v>
      </c>
      <c r="E289" s="203">
        <f>'Income Statement'!Q76</f>
        <v>33900</v>
      </c>
      <c r="F289" s="203">
        <f>'Income Statement'!V76</f>
        <v>36700</v>
      </c>
      <c r="G289" s="203">
        <f>'Income Statement'!AA76</f>
        <v>41300</v>
      </c>
      <c r="H289" s="203">
        <f>'Income Statement'!AF76</f>
        <v>43000</v>
      </c>
      <c r="I289" s="203">
        <f>'Income Statement'!AK76</f>
        <v>44900</v>
      </c>
      <c r="J289" s="203">
        <f>'Income Statement'!AP76</f>
        <v>44100</v>
      </c>
      <c r="K289" s="203">
        <f t="shared" ref="K289:W289" si="633">K290*K292</f>
        <v>44308.774922667151</v>
      </c>
      <c r="L289" s="203">
        <f t="shared" si="633"/>
        <v>42333.877200000003</v>
      </c>
      <c r="M289" s="203">
        <f t="shared" si="633"/>
        <v>41676.020099999994</v>
      </c>
      <c r="N289" s="203">
        <f t="shared" si="633"/>
        <v>40210.892670461151</v>
      </c>
      <c r="O289" s="203">
        <f t="shared" si="633"/>
        <v>38723.577053823443</v>
      </c>
      <c r="P289" s="205">
        <f t="shared" si="633"/>
        <v>38111.37539212899</v>
      </c>
      <c r="Q289" s="205">
        <f t="shared" ref="Q289" si="634">Q290*Q292</f>
        <v>38524.962670696266</v>
      </c>
      <c r="R289" s="205">
        <f t="shared" si="633"/>
        <v>37206.553928793743</v>
      </c>
      <c r="S289" s="203">
        <f t="shared" si="633"/>
        <v>35824.770326911537</v>
      </c>
      <c r="T289" s="203">
        <f t="shared" si="633"/>
        <v>34241.275791670094</v>
      </c>
      <c r="U289" s="203">
        <f t="shared" si="633"/>
        <v>32641.050691818062</v>
      </c>
      <c r="V289" s="203">
        <f t="shared" si="633"/>
        <v>31023.967309072723</v>
      </c>
      <c r="W289" s="203">
        <f t="shared" si="633"/>
        <v>29389.897066232636</v>
      </c>
      <c r="X289" s="203">
        <f t="shared" ref="X289:AA289" si="635">X290*X292</f>
        <v>27738.710521781424</v>
      </c>
      <c r="Y289" s="203">
        <f t="shared" si="635"/>
        <v>26070.277364459038</v>
      </c>
      <c r="Z289" s="203">
        <f t="shared" si="635"/>
        <v>24384.466407800388</v>
      </c>
      <c r="AA289" s="203">
        <f t="shared" si="635"/>
        <v>22681.145584641039</v>
      </c>
      <c r="AB289" s="254"/>
      <c r="AC289" s="631"/>
      <c r="AD289" s="631"/>
      <c r="AE289" s="631"/>
      <c r="AF289" s="631"/>
      <c r="AG289" s="631"/>
      <c r="AH289" s="631"/>
      <c r="AI289" s="631"/>
    </row>
    <row r="290" spans="1:35" s="633" customFormat="1" ht="13.2">
      <c r="A290" s="195" t="s">
        <v>10</v>
      </c>
      <c r="B290" s="375">
        <v>0.86024140722749687</v>
      </c>
      <c r="C290" s="375">
        <v>0.97580424120023079</v>
      </c>
      <c r="D290" s="375">
        <v>1.08</v>
      </c>
      <c r="E290" s="375">
        <v>1.1801338385931661</v>
      </c>
      <c r="F290" s="375">
        <v>1.2556344176431387</v>
      </c>
      <c r="G290" s="375">
        <v>1.3887138950829589</v>
      </c>
      <c r="H290" s="375">
        <v>1.4210087985333475</v>
      </c>
      <c r="I290" s="375">
        <v>1.458277699654815</v>
      </c>
      <c r="J290" s="375">
        <v>1.42</v>
      </c>
      <c r="K290" s="705">
        <v>1.39</v>
      </c>
      <c r="L290" s="705">
        <v>1.3220000000000001</v>
      </c>
      <c r="M290" s="705">
        <v>1.2869999999999999</v>
      </c>
      <c r="N290" s="207">
        <f t="shared" ref="N290:W290" si="636">M290+N291</f>
        <v>1.2363832570937845</v>
      </c>
      <c r="O290" s="207">
        <f t="shared" si="636"/>
        <v>1.1857665141875691</v>
      </c>
      <c r="P290" s="207">
        <f t="shared" si="636"/>
        <v>1.1351497712813536</v>
      </c>
      <c r="Q290" s="207">
        <f t="shared" si="636"/>
        <v>1.1351497712813536</v>
      </c>
      <c r="R290" s="207">
        <f t="shared" si="636"/>
        <v>1.0845330283751382</v>
      </c>
      <c r="S290" s="207">
        <f t="shared" si="636"/>
        <v>1.0339162854689228</v>
      </c>
      <c r="T290" s="207">
        <f t="shared" si="636"/>
        <v>0.98329954256270735</v>
      </c>
      <c r="U290" s="207">
        <f t="shared" si="636"/>
        <v>0.93268279965649192</v>
      </c>
      <c r="V290" s="207">
        <f t="shared" si="636"/>
        <v>0.88206605675027649</v>
      </c>
      <c r="W290" s="207">
        <f t="shared" si="636"/>
        <v>0.83144931384406107</v>
      </c>
      <c r="X290" s="207">
        <f t="shared" ref="X290" si="637">W290+X291</f>
        <v>0.78083257093784564</v>
      </c>
      <c r="Y290" s="207">
        <f t="shared" ref="Y290" si="638">X290+Y291</f>
        <v>0.73021582803163021</v>
      </c>
      <c r="Z290" s="207">
        <f t="shared" ref="Z290" si="639">Y290+Z291</f>
        <v>0.67959908512541478</v>
      </c>
      <c r="AA290" s="207">
        <f t="shared" ref="AA290" si="640">Z290+AA291</f>
        <v>0.62898234221919935</v>
      </c>
      <c r="AB290" s="685"/>
      <c r="AC290" s="631"/>
      <c r="AD290" s="631"/>
      <c r="AE290" s="631"/>
      <c r="AF290" s="631"/>
      <c r="AG290" s="631"/>
      <c r="AH290" s="631"/>
      <c r="AI290" s="631"/>
    </row>
    <row r="291" spans="1:35" s="633" customFormat="1" ht="13.2">
      <c r="A291" s="752" t="s">
        <v>238</v>
      </c>
      <c r="B291" s="196"/>
      <c r="C291" s="196">
        <f t="shared" ref="C291:J291" si="641">C290-B290</f>
        <v>0.11556283397273392</v>
      </c>
      <c r="D291" s="196">
        <f t="shared" si="641"/>
        <v>0.10419575879976928</v>
      </c>
      <c r="E291" s="196">
        <f t="shared" si="641"/>
        <v>0.10013383859316605</v>
      </c>
      <c r="F291" s="196">
        <f t="shared" si="641"/>
        <v>7.5500579049972538E-2</v>
      </c>
      <c r="G291" s="196">
        <f t="shared" si="641"/>
        <v>0.13307947743982029</v>
      </c>
      <c r="H291" s="196">
        <f t="shared" si="641"/>
        <v>3.2294903450388546E-2</v>
      </c>
      <c r="I291" s="196">
        <f t="shared" si="641"/>
        <v>3.7268901121467524E-2</v>
      </c>
      <c r="J291" s="196">
        <f t="shared" si="641"/>
        <v>-3.8277699654815089E-2</v>
      </c>
      <c r="K291" s="196">
        <f>K290-J290</f>
        <v>-3.0000000000000027E-2</v>
      </c>
      <c r="L291" s="196">
        <f>L290-K290</f>
        <v>-6.7999999999999838E-2</v>
      </c>
      <c r="M291" s="196">
        <f>M290-L290</f>
        <v>-3.5000000000000142E-2</v>
      </c>
      <c r="N291" s="375">
        <v>-5.0616742906215428E-2</v>
      </c>
      <c r="O291" s="375">
        <v>-5.0616742906215428E-2</v>
      </c>
      <c r="P291" s="330">
        <v>-5.0616742906215428E-2</v>
      </c>
      <c r="Q291" s="330"/>
      <c r="R291" s="330">
        <v>-5.0616742906215401E-2</v>
      </c>
      <c r="S291" s="375">
        <v>-5.0616742906215401E-2</v>
      </c>
      <c r="T291" s="375">
        <v>-5.0616742906215401E-2</v>
      </c>
      <c r="U291" s="375">
        <v>-5.0616742906215401E-2</v>
      </c>
      <c r="V291" s="375">
        <v>-5.0616742906215401E-2</v>
      </c>
      <c r="W291" s="375">
        <v>-5.0616742906215401E-2</v>
      </c>
      <c r="X291" s="375">
        <v>-5.0616742906215401E-2</v>
      </c>
      <c r="Y291" s="375">
        <v>-5.0616742906215401E-2</v>
      </c>
      <c r="Z291" s="375">
        <v>-5.0616742906215401E-2</v>
      </c>
      <c r="AA291" s="375">
        <v>-5.0616742906215401E-2</v>
      </c>
      <c r="AB291" s="222"/>
      <c r="AC291" s="631"/>
      <c r="AD291" s="631"/>
      <c r="AE291" s="631"/>
      <c r="AF291" s="631"/>
      <c r="AG291" s="631"/>
      <c r="AH291" s="631"/>
      <c r="AI291" s="631"/>
    </row>
    <row r="292" spans="1:35" s="633" customFormat="1" ht="13.2">
      <c r="A292" s="195" t="s">
        <v>239</v>
      </c>
      <c r="B292" s="195">
        <v>27174</v>
      </c>
      <c r="C292" s="203">
        <v>27728</v>
      </c>
      <c r="D292" s="203">
        <v>28231.504111999999</v>
      </c>
      <c r="E292" s="203">
        <v>28725.555433960002</v>
      </c>
      <c r="F292" s="203">
        <v>29228.252654054304</v>
      </c>
      <c r="G292" s="203">
        <v>29739.747075500258</v>
      </c>
      <c r="H292" s="203">
        <v>30260.192649321514</v>
      </c>
      <c r="I292" s="203">
        <v>30789.746020684644</v>
      </c>
      <c r="J292" s="203">
        <v>31328.566576046629</v>
      </c>
      <c r="K292" s="203">
        <f>'Income Statement'!AU68</f>
        <v>31876.816491127447</v>
      </c>
      <c r="L292" s="203">
        <f>'Income Statement'!AZ68</f>
        <v>32022.6</v>
      </c>
      <c r="M292" s="203">
        <f>'Income Statement'!BE68</f>
        <v>32382.3</v>
      </c>
      <c r="N292" s="203">
        <f>'Income Statement'!BJ68</f>
        <v>32523</v>
      </c>
      <c r="O292" s="203">
        <f>'Income Statement'!BO68</f>
        <v>32657</v>
      </c>
      <c r="P292" s="205">
        <f>'Income Statement'!BT68</f>
        <v>33573.874000000003</v>
      </c>
      <c r="Q292" s="205">
        <f>'Income Statement'!BY68</f>
        <v>33938.22</v>
      </c>
      <c r="R292" s="205">
        <f>'Income Statement'!CD68</f>
        <v>34306.519907961767</v>
      </c>
      <c r="S292" s="203">
        <f>'Income Statement'!CE68</f>
        <v>34649.585107041385</v>
      </c>
      <c r="T292" s="203">
        <f>'Income Statement'!CF68</f>
        <v>34822.833032576586</v>
      </c>
      <c r="U292" s="203">
        <f>'Income Statement'!CG68</f>
        <v>34996.947197739464</v>
      </c>
      <c r="V292" s="203">
        <f>'Income Statement'!CH68</f>
        <v>35171.931933728156</v>
      </c>
      <c r="W292" s="203">
        <f>'Income Statement'!CI68</f>
        <v>35347.791593396796</v>
      </c>
      <c r="X292" s="203">
        <f>'Income Statement'!CJ68</f>
        <v>35524.53055136378</v>
      </c>
      <c r="Y292" s="203">
        <f>'Income Statement'!CK68</f>
        <v>35702.153204120594</v>
      </c>
      <c r="Z292" s="203">
        <f>'Income Statement'!CL68</f>
        <v>35880.663970141191</v>
      </c>
      <c r="AA292" s="203">
        <f>'Income Statement'!CM68</f>
        <v>36060.067289991894</v>
      </c>
      <c r="AB292" s="254"/>
      <c r="AC292" s="631"/>
      <c r="AD292" s="631"/>
      <c r="AE292" s="631"/>
      <c r="AF292" s="631"/>
      <c r="AG292" s="631"/>
      <c r="AH292" s="631"/>
      <c r="AI292" s="631"/>
    </row>
    <row r="293" spans="1:35" s="633" customFormat="1" ht="13.2">
      <c r="A293" s="195" t="s">
        <v>0</v>
      </c>
      <c r="B293" s="207"/>
      <c r="C293" s="207">
        <f t="shared" ref="C293:J293" si="642">C292/B292-1</f>
        <v>2.0387134761168824E-2</v>
      </c>
      <c r="D293" s="207">
        <f t="shared" si="642"/>
        <v>1.8158688401615608E-2</v>
      </c>
      <c r="E293" s="207">
        <f t="shared" si="642"/>
        <v>1.7500000000000071E-2</v>
      </c>
      <c r="F293" s="207">
        <f t="shared" si="642"/>
        <v>1.7500000000000071E-2</v>
      </c>
      <c r="G293" s="207">
        <f t="shared" si="642"/>
        <v>1.7500000000000071E-2</v>
      </c>
      <c r="H293" s="207">
        <f t="shared" si="642"/>
        <v>1.7500000000000071E-2</v>
      </c>
      <c r="I293" s="207">
        <f t="shared" si="642"/>
        <v>1.7500000000000071E-2</v>
      </c>
      <c r="J293" s="207">
        <f t="shared" si="642"/>
        <v>1.7500000000000071E-2</v>
      </c>
      <c r="K293" s="207">
        <f t="shared" ref="K293:W293" si="643">K292/J292-1</f>
        <v>1.7500000000000071E-2</v>
      </c>
      <c r="L293" s="207">
        <f t="shared" si="643"/>
        <v>4.5733396530713843E-3</v>
      </c>
      <c r="M293" s="207">
        <f t="shared" si="643"/>
        <v>1.1232691911337689E-2</v>
      </c>
      <c r="N293" s="207">
        <f t="shared" si="643"/>
        <v>4.3449662315524495E-3</v>
      </c>
      <c r="O293" s="207">
        <f t="shared" si="643"/>
        <v>4.1201611167480667E-3</v>
      </c>
      <c r="P293" s="207">
        <f t="shared" si="643"/>
        <v>2.8075879597023734E-2</v>
      </c>
      <c r="Q293" s="207">
        <f t="shared" si="643"/>
        <v>1.085206908204861E-2</v>
      </c>
      <c r="R293" s="207">
        <f t="shared" si="643"/>
        <v>1.085206908204861E-2</v>
      </c>
      <c r="S293" s="207">
        <f t="shared" si="643"/>
        <v>1.0000000000000009E-2</v>
      </c>
      <c r="T293" s="207">
        <f t="shared" si="643"/>
        <v>4.9999999999998934E-3</v>
      </c>
      <c r="U293" s="207">
        <f t="shared" si="643"/>
        <v>4.9999999999998934E-3</v>
      </c>
      <c r="V293" s="207">
        <f t="shared" si="643"/>
        <v>4.9999999999998934E-3</v>
      </c>
      <c r="W293" s="207">
        <f t="shared" si="643"/>
        <v>4.9999999999998934E-3</v>
      </c>
      <c r="X293" s="207">
        <f t="shared" ref="X293" si="644">X292/W292-1</f>
        <v>4.9999999999998934E-3</v>
      </c>
      <c r="Y293" s="207">
        <f t="shared" ref="Y293" si="645">Y292/X292-1</f>
        <v>4.9999999999998934E-3</v>
      </c>
      <c r="Z293" s="207">
        <f t="shared" ref="Z293" si="646">Z292/Y292-1</f>
        <v>4.9999999999998934E-3</v>
      </c>
      <c r="AA293" s="207">
        <f t="shared" ref="AA293" si="647">AA292/Z292-1</f>
        <v>4.9999999999998934E-3</v>
      </c>
      <c r="AB293" s="685"/>
      <c r="AC293" s="631"/>
      <c r="AD293" s="631"/>
      <c r="AE293" s="631"/>
      <c r="AF293" s="631"/>
      <c r="AG293" s="631"/>
      <c r="AH293" s="631"/>
      <c r="AI293" s="631"/>
    </row>
    <row r="294" spans="1:35" s="633" customFormat="1" ht="13.2">
      <c r="A294" s="195"/>
      <c r="B294" s="195"/>
      <c r="C294" s="195"/>
      <c r="D294" s="195"/>
      <c r="E294" s="195"/>
      <c r="F294" s="195"/>
      <c r="G294" s="195"/>
      <c r="H294" s="272"/>
      <c r="I294" s="272"/>
      <c r="J294" s="195"/>
      <c r="K294" s="195"/>
      <c r="L294" s="195"/>
      <c r="M294" s="195"/>
      <c r="N294" s="195"/>
      <c r="O294" s="195"/>
      <c r="P294" s="195"/>
      <c r="Q294" s="195"/>
      <c r="R294" s="195"/>
      <c r="S294" s="195"/>
      <c r="T294" s="195"/>
      <c r="U294" s="195"/>
      <c r="V294" s="195"/>
      <c r="W294" s="195"/>
      <c r="X294" s="195"/>
      <c r="Y294" s="195"/>
      <c r="Z294" s="195"/>
      <c r="AA294" s="195"/>
      <c r="AB294" s="631"/>
      <c r="AC294" s="631"/>
      <c r="AD294" s="631"/>
      <c r="AE294" s="631"/>
      <c r="AF294" s="631"/>
      <c r="AG294" s="631"/>
      <c r="AH294" s="631"/>
      <c r="AI294" s="631"/>
    </row>
    <row r="295" spans="1:35" s="633" customFormat="1" ht="13.2">
      <c r="A295" s="195" t="s">
        <v>240</v>
      </c>
      <c r="B295" s="203">
        <f>(B286+B286)/2</f>
        <v>9765</v>
      </c>
      <c r="C295" s="203">
        <f t="shared" ref="C295:Q295" si="648">(B286+C286)/2</f>
        <v>10499.55</v>
      </c>
      <c r="D295" s="203">
        <f t="shared" si="648"/>
        <v>11762.55</v>
      </c>
      <c r="E295" s="203">
        <f t="shared" si="648"/>
        <v>13122.5</v>
      </c>
      <c r="F295" s="203">
        <f t="shared" si="648"/>
        <v>13344.5</v>
      </c>
      <c r="G295" s="203">
        <f t="shared" si="648"/>
        <v>13413</v>
      </c>
      <c r="H295" s="203">
        <f t="shared" si="648"/>
        <v>13492</v>
      </c>
      <c r="I295" s="203">
        <f t="shared" si="648"/>
        <v>12903</v>
      </c>
      <c r="J295" s="203">
        <f t="shared" si="648"/>
        <v>12803.5</v>
      </c>
      <c r="K295" s="203">
        <f t="shared" si="648"/>
        <v>12310</v>
      </c>
      <c r="L295" s="203">
        <f t="shared" si="648"/>
        <v>11427</v>
      </c>
      <c r="M295" s="203">
        <f t="shared" si="648"/>
        <v>10844.5</v>
      </c>
      <c r="N295" s="203">
        <f t="shared" si="648"/>
        <v>10945.5</v>
      </c>
      <c r="O295" s="203">
        <f t="shared" si="648"/>
        <v>11131</v>
      </c>
      <c r="P295" s="205">
        <f t="shared" si="648"/>
        <v>11375</v>
      </c>
      <c r="Q295" s="205">
        <f t="shared" si="648"/>
        <v>11678</v>
      </c>
      <c r="R295" s="205">
        <f t="shared" ref="R295:W295" si="649">(Q286+R286)/2</f>
        <v>12124.5</v>
      </c>
      <c r="S295" s="203">
        <f t="shared" si="649"/>
        <v>12661.650606788364</v>
      </c>
      <c r="T295" s="203">
        <f t="shared" si="649"/>
        <v>12924.910648144916</v>
      </c>
      <c r="U295" s="203">
        <f t="shared" si="649"/>
        <v>13142.997300367613</v>
      </c>
      <c r="V295" s="203">
        <f t="shared" si="649"/>
        <v>13347.518755398643</v>
      </c>
      <c r="W295" s="203">
        <f t="shared" si="649"/>
        <v>13539.806799960294</v>
      </c>
      <c r="X295" s="203">
        <f t="shared" ref="X295" si="650">(W286+X286)/2</f>
        <v>13721.066216694817</v>
      </c>
      <c r="Y295" s="203">
        <f t="shared" ref="Y295" si="651">(X286+Y286)/2</f>
        <v>13892.386913961847</v>
      </c>
      <c r="Z295" s="203">
        <f t="shared" ref="Z295" si="652">(Y286+Z286)/2</f>
        <v>14054.754897244682</v>
      </c>
      <c r="AA295" s="203">
        <f t="shared" ref="AA295" si="653">(Z286+AA286)/2</f>
        <v>14209.062192791836</v>
      </c>
      <c r="AB295" s="254"/>
      <c r="AC295" s="631"/>
      <c r="AD295" s="631"/>
      <c r="AE295" s="631"/>
      <c r="AF295" s="631"/>
      <c r="AG295" s="631"/>
      <c r="AH295" s="631"/>
      <c r="AI295" s="631"/>
    </row>
    <row r="296" spans="1:35" s="633" customFormat="1" ht="13.2">
      <c r="A296" s="195" t="s">
        <v>241</v>
      </c>
      <c r="B296" s="709">
        <f>'Income Statement'!B169/4</f>
        <v>16</v>
      </c>
      <c r="C296" s="709">
        <f>'Income Statement'!G169/4</f>
        <v>14.65</v>
      </c>
      <c r="D296" s="709">
        <f>'Income Statement'!L169/4</f>
        <v>13.9375</v>
      </c>
      <c r="E296" s="709">
        <f>'Income Statement'!Q169/4</f>
        <v>12.75</v>
      </c>
      <c r="F296" s="709">
        <f>'Income Statement'!V169/4</f>
        <v>13</v>
      </c>
      <c r="G296" s="709">
        <f>'Income Statement'!AA169/4</f>
        <v>12.619352493849252</v>
      </c>
      <c r="H296" s="709">
        <f>'Income Statement'!AF169/4</f>
        <v>11.965836236288173</v>
      </c>
      <c r="I296" s="709">
        <f>'Income Statement'!AK169/4</f>
        <v>12.063836898395721</v>
      </c>
      <c r="J296" s="709">
        <f>'Income Statement'!AP169/4</f>
        <v>12.41344651853009</v>
      </c>
      <c r="K296" s="709">
        <f>'Income Statement'!AU169/4</f>
        <v>12.5625</v>
      </c>
      <c r="L296" s="709">
        <f>'Income Statement'!L169/4</f>
        <v>13.9375</v>
      </c>
      <c r="M296" s="709">
        <f>'Income Statement'!M169/4</f>
        <v>13</v>
      </c>
      <c r="N296" s="709">
        <f>'Income Statement'!N169/4</f>
        <v>12.75</v>
      </c>
      <c r="O296" s="709">
        <f>'Income Statement'!O169/4</f>
        <v>12.25</v>
      </c>
      <c r="P296" s="751">
        <f>'Income Statement'!P169/4</f>
        <v>12.25</v>
      </c>
      <c r="Q296" s="751">
        <f>'Income Statement'!Q169/4</f>
        <v>12.75</v>
      </c>
      <c r="R296" s="751">
        <f>'Income Statement'!R169/4</f>
        <v>12.25</v>
      </c>
      <c r="S296" s="709">
        <f>'Income Statement'!S169/4</f>
        <v>12.75</v>
      </c>
      <c r="T296" s="709">
        <f>'Income Statement'!T169/4</f>
        <v>13.5</v>
      </c>
      <c r="U296" s="709">
        <f>'Income Statement'!U169/4</f>
        <v>13.5</v>
      </c>
      <c r="V296" s="709">
        <f>'Income Statement'!V169/4</f>
        <v>13</v>
      </c>
      <c r="W296" s="709">
        <f>'Income Statement'!W169/4</f>
        <v>13</v>
      </c>
      <c r="X296" s="709">
        <f>'Income Statement'!X169/4</f>
        <v>13</v>
      </c>
      <c r="Y296" s="709">
        <f>'Income Statement'!Y169/4</f>
        <v>12</v>
      </c>
      <c r="Z296" s="709">
        <f>'Income Statement'!Z169/4</f>
        <v>12</v>
      </c>
      <c r="AA296" s="709">
        <f>'Income Statement'!AA169/4</f>
        <v>12.619352493849252</v>
      </c>
      <c r="AB296" s="307"/>
      <c r="AC296" s="631"/>
      <c r="AD296" s="631"/>
      <c r="AE296" s="631"/>
      <c r="AF296" s="631"/>
      <c r="AG296" s="631"/>
      <c r="AH296" s="753"/>
      <c r="AI296" s="753"/>
    </row>
    <row r="297" spans="1:35" s="633" customFormat="1" ht="13.2">
      <c r="A297" s="195" t="s">
        <v>0</v>
      </c>
      <c r="B297" s="207"/>
      <c r="C297" s="207">
        <f t="shared" ref="C297:Q297" si="654">C296/B296-1</f>
        <v>-8.4374999999999978E-2</v>
      </c>
      <c r="D297" s="207">
        <f t="shared" si="654"/>
        <v>-4.8634812286689422E-2</v>
      </c>
      <c r="E297" s="207">
        <f t="shared" si="654"/>
        <v>-8.5201793721973118E-2</v>
      </c>
      <c r="F297" s="207">
        <f t="shared" si="654"/>
        <v>1.9607843137254832E-2</v>
      </c>
      <c r="G297" s="207">
        <f t="shared" si="654"/>
        <v>-2.9280577396211371E-2</v>
      </c>
      <c r="H297" s="207">
        <f t="shared" si="654"/>
        <v>-5.1786829623755026E-2</v>
      </c>
      <c r="I297" s="207">
        <f t="shared" si="654"/>
        <v>8.1900387212676673E-3</v>
      </c>
      <c r="J297" s="207">
        <f t="shared" si="654"/>
        <v>2.8979969066132094E-2</v>
      </c>
      <c r="K297" s="207">
        <f t="shared" si="654"/>
        <v>1.2007421246582162E-2</v>
      </c>
      <c r="L297" s="207">
        <f t="shared" si="654"/>
        <v>0.10945273631840791</v>
      </c>
      <c r="M297" s="207">
        <f t="shared" si="654"/>
        <v>-6.7264573991031362E-2</v>
      </c>
      <c r="N297" s="207">
        <f t="shared" si="654"/>
        <v>-1.9230769230769273E-2</v>
      </c>
      <c r="O297" s="207">
        <f t="shared" si="654"/>
        <v>-3.9215686274509776E-2</v>
      </c>
      <c r="P297" s="207">
        <f t="shared" si="654"/>
        <v>0</v>
      </c>
      <c r="Q297" s="207">
        <f t="shared" si="654"/>
        <v>4.081632653061229E-2</v>
      </c>
      <c r="R297" s="207">
        <f t="shared" ref="R297:W297" si="655">R296/Q296-1</f>
        <v>-3.9215686274509776E-2</v>
      </c>
      <c r="S297" s="207">
        <f t="shared" si="655"/>
        <v>4.081632653061229E-2</v>
      </c>
      <c r="T297" s="207">
        <f t="shared" si="655"/>
        <v>5.8823529411764719E-2</v>
      </c>
      <c r="U297" s="207">
        <f t="shared" si="655"/>
        <v>0</v>
      </c>
      <c r="V297" s="207">
        <f t="shared" si="655"/>
        <v>-3.703703703703709E-2</v>
      </c>
      <c r="W297" s="207">
        <f t="shared" si="655"/>
        <v>0</v>
      </c>
      <c r="X297" s="207">
        <f t="shared" ref="X297" si="656">X296/W296-1</f>
        <v>0</v>
      </c>
      <c r="Y297" s="207">
        <f t="shared" ref="Y297" si="657">Y296/X296-1</f>
        <v>-7.6923076923076872E-2</v>
      </c>
      <c r="Z297" s="207">
        <f t="shared" ref="Z297" si="658">Z296/Y296-1</f>
        <v>0</v>
      </c>
      <c r="AA297" s="207">
        <f t="shared" ref="AA297" si="659">AA296/Z296-1</f>
        <v>5.1612707820771098E-2</v>
      </c>
      <c r="AB297" s="685"/>
      <c r="AC297" s="631"/>
      <c r="AD297" s="631"/>
      <c r="AE297" s="631"/>
      <c r="AF297" s="631"/>
      <c r="AG297" s="753"/>
      <c r="AH297" s="631"/>
      <c r="AI297" s="631"/>
    </row>
    <row r="298" spans="1:35" s="633" customFormat="1" ht="13.2">
      <c r="A298" s="195" t="s">
        <v>49</v>
      </c>
      <c r="B298" s="709">
        <f>'Income Statement'!B376</f>
        <v>5789.5680000000002</v>
      </c>
      <c r="C298" s="709">
        <f>'Income Statement'!G376</f>
        <v>7383.2835600000008</v>
      </c>
      <c r="D298" s="709">
        <f>'Income Statement'!L376</f>
        <v>7869.1459499999992</v>
      </c>
      <c r="E298" s="709">
        <f>'Income Statement'!Q376</f>
        <v>8030.97</v>
      </c>
      <c r="F298" s="709">
        <f>'Income Statement'!V376</f>
        <v>8326.9680000000008</v>
      </c>
      <c r="G298" s="709">
        <f>'Income Statement'!AA376</f>
        <v>8124.6419999999998</v>
      </c>
      <c r="H298" s="709">
        <f>'Income Statement'!AF376</f>
        <v>7749.2670000000007</v>
      </c>
      <c r="I298" s="709">
        <f>'Income Statement'!AK376</f>
        <v>7471.6649999999991</v>
      </c>
      <c r="J298" s="709">
        <f>'Income Statement'!AP376</f>
        <v>7628.9070000000002</v>
      </c>
      <c r="K298" s="709">
        <f>'Income Statement'!AU376</f>
        <v>7422.8714999999993</v>
      </c>
      <c r="L298" s="709">
        <f>'Income Statement'!AZ376</f>
        <v>7711</v>
      </c>
      <c r="M298" s="709">
        <f>'Income Statement'!BE376</f>
        <v>7471</v>
      </c>
      <c r="N298" s="709">
        <f>'Income Statement'!BJ376</f>
        <v>7105</v>
      </c>
      <c r="O298" s="709">
        <f>'Income Statement'!BO376</f>
        <v>6694</v>
      </c>
      <c r="P298" s="751">
        <f>'Income Statement'!BT376</f>
        <v>6740</v>
      </c>
      <c r="Q298" s="751">
        <f>'Income Statement'!BY376</f>
        <v>7007</v>
      </c>
      <c r="R298" s="751">
        <f>'Income Statement'!CD376</f>
        <v>7222.7324000000008</v>
      </c>
      <c r="S298" s="709">
        <f>'Income Statement'!CE376</f>
        <v>7308.3334501544177</v>
      </c>
      <c r="T298" s="709">
        <f>'Income Statement'!CF376</f>
        <v>7413.014783175995</v>
      </c>
      <c r="U298" s="709">
        <f>'Income Statement'!CG376</f>
        <v>7513.580904803639</v>
      </c>
      <c r="V298" s="709">
        <f>'Income Statement'!CH376</f>
        <v>7642.2927278304833</v>
      </c>
      <c r="W298" s="709">
        <f>'Income Statement'!CI376</f>
        <v>7801.5731855623471</v>
      </c>
      <c r="X298" s="709">
        <f>'Income Statement'!CJ376</f>
        <v>7956.7710987023947</v>
      </c>
      <c r="Y298" s="709">
        <f>'Income Statement'!CK376</f>
        <v>8108.3685212642031</v>
      </c>
      <c r="Z298" s="709">
        <f>'Income Statement'!CL376</f>
        <v>8256.8062988598631</v>
      </c>
      <c r="AA298" s="709">
        <f>'Income Statement'!CM376</f>
        <v>8402.4877254670009</v>
      </c>
      <c r="AB298" s="307"/>
      <c r="AC298" s="631"/>
      <c r="AD298" s="631"/>
      <c r="AE298" s="631"/>
      <c r="AF298" s="631"/>
      <c r="AG298" s="631"/>
      <c r="AH298" s="631"/>
      <c r="AI298" s="631"/>
    </row>
    <row r="299" spans="1:35" s="633" customFormat="1" ht="13.2">
      <c r="A299" s="195"/>
      <c r="B299" s="306"/>
      <c r="C299" s="306"/>
      <c r="D299" s="306"/>
      <c r="E299" s="306"/>
      <c r="F299" s="306"/>
      <c r="G299" s="306"/>
      <c r="H299" s="754"/>
      <c r="I299" s="754"/>
      <c r="J299" s="754"/>
      <c r="K299" s="754"/>
      <c r="L299" s="754"/>
      <c r="M299" s="754"/>
      <c r="N299" s="754"/>
      <c r="O299" s="754"/>
      <c r="P299" s="754"/>
      <c r="Q299" s="754"/>
      <c r="R299" s="754"/>
      <c r="S299" s="754"/>
      <c r="T299" s="754"/>
      <c r="U299" s="754"/>
      <c r="V299" s="754"/>
      <c r="W299" s="754"/>
      <c r="X299" s="754"/>
      <c r="Y299" s="754"/>
      <c r="Z299" s="754"/>
      <c r="AA299" s="754"/>
      <c r="AB299" s="755"/>
      <c r="AC299" s="631"/>
      <c r="AD299" s="631"/>
      <c r="AE299" s="631"/>
      <c r="AF299" s="631"/>
      <c r="AG299" s="631"/>
      <c r="AH299" s="631"/>
      <c r="AI299" s="631"/>
    </row>
    <row r="300" spans="1:35" s="633" customFormat="1" ht="13.2">
      <c r="A300" s="195" t="s">
        <v>242</v>
      </c>
      <c r="B300" s="709">
        <f>'Income Statement'!B489-B298</f>
        <v>1900.4319999999998</v>
      </c>
      <c r="C300" s="709">
        <f>'Income Statement'!G489-C298</f>
        <v>1066.6164399999989</v>
      </c>
      <c r="D300" s="709">
        <f>'Income Statement'!L489-D298</f>
        <v>742.85405000000083</v>
      </c>
      <c r="E300" s="709">
        <f>'Income Statement'!Q489-E298</f>
        <v>838.02999999999975</v>
      </c>
      <c r="F300" s="709">
        <f>'Income Statement'!V489-F298</f>
        <v>456.03199999999924</v>
      </c>
      <c r="G300" s="709">
        <f>'Income Statement'!AA489-G298</f>
        <v>755.35800000000017</v>
      </c>
      <c r="H300" s="709">
        <f>'Income Statement'!AF489-H298</f>
        <v>1279.1049999999987</v>
      </c>
      <c r="I300" s="709">
        <f>'Income Statement'!AK489-I298</f>
        <v>932.33500000000095</v>
      </c>
      <c r="J300" s="709">
        <f>'Income Statement'!AP489-J298</f>
        <v>972.09299999999985</v>
      </c>
      <c r="K300" s="709">
        <f>'Income Statement'!AU489-K298</f>
        <v>1189.1285000000007</v>
      </c>
      <c r="L300" s="709">
        <f>'Income Statement'!AZ489-L298</f>
        <v>1708</v>
      </c>
      <c r="M300" s="709">
        <f>'Income Statement'!BE489-M298</f>
        <v>1721</v>
      </c>
      <c r="N300" s="709">
        <f>'Income Statement'!BJ489-N298</f>
        <v>2208</v>
      </c>
      <c r="O300" s="709">
        <f>'Income Statement'!BO489-O298</f>
        <v>2272</v>
      </c>
      <c r="P300" s="751">
        <f>'Income Statement'!BT489-P298</f>
        <v>2501</v>
      </c>
      <c r="Q300" s="751">
        <f>'Income Statement'!BY489-Q298</f>
        <v>2782</v>
      </c>
      <c r="R300" s="751">
        <f>'Income Statement'!CD489-R298</f>
        <v>2957.2675999999992</v>
      </c>
      <c r="S300" s="709">
        <f>'Income Statement'!CE489-S298</f>
        <v>3320.495523794767</v>
      </c>
      <c r="T300" s="709">
        <f>'Income Statement'!CF489-T298</f>
        <v>3491.1393894003759</v>
      </c>
      <c r="U300" s="709">
        <f>'Income Statement'!CG489-U298</f>
        <v>3696.1047390009207</v>
      </c>
      <c r="V300" s="709">
        <f>'Income Statement'!CH489-V298</f>
        <v>3906.3280612489871</v>
      </c>
      <c r="W300" s="709">
        <f>'Income Statement'!CI489-W298</f>
        <v>4116.7735791486321</v>
      </c>
      <c r="X300" s="709">
        <f>'Income Statement'!CJ489-X298</f>
        <v>4330.8096285512383</v>
      </c>
      <c r="Y300" s="709">
        <f>'Income Statement'!CK489-Y298</f>
        <v>4548.746667531972</v>
      </c>
      <c r="Z300" s="709">
        <f>'Income Statement'!CL489-Z298</f>
        <v>4770.9140895093115</v>
      </c>
      <c r="AA300" s="709">
        <f>'Income Statement'!CM489-AA298</f>
        <v>4997.6589589718151</v>
      </c>
      <c r="AB300" s="307"/>
      <c r="AC300" s="631"/>
      <c r="AD300" s="631"/>
      <c r="AE300" s="631"/>
      <c r="AF300" s="631"/>
      <c r="AG300" s="631"/>
      <c r="AH300" s="631"/>
      <c r="AI300" s="631"/>
    </row>
    <row r="301" spans="1:35" s="633" customFormat="1" ht="13.2">
      <c r="A301" s="195" t="s">
        <v>243</v>
      </c>
      <c r="B301" s="207"/>
      <c r="C301" s="207"/>
      <c r="D301" s="207"/>
      <c r="E301" s="207"/>
      <c r="F301" s="207"/>
      <c r="G301" s="207"/>
      <c r="H301" s="272"/>
      <c r="I301" s="272"/>
      <c r="J301" s="272"/>
      <c r="K301" s="272"/>
      <c r="L301" s="272"/>
      <c r="M301" s="272"/>
      <c r="N301" s="272"/>
      <c r="O301" s="272"/>
      <c r="P301" s="272"/>
      <c r="Q301" s="272"/>
      <c r="R301" s="272"/>
      <c r="S301" s="272"/>
      <c r="T301" s="272"/>
      <c r="U301" s="272"/>
      <c r="V301" s="272"/>
      <c r="W301" s="272"/>
      <c r="X301" s="272"/>
      <c r="Y301" s="272"/>
      <c r="Z301" s="272"/>
      <c r="AA301" s="272"/>
      <c r="AB301" s="756"/>
      <c r="AC301" s="631"/>
      <c r="AD301" s="631"/>
      <c r="AE301" s="631"/>
      <c r="AF301" s="631"/>
      <c r="AG301" s="631"/>
      <c r="AH301" s="631"/>
      <c r="AI301" s="631"/>
    </row>
    <row r="302" spans="1:35" s="633" customFormat="1" ht="13.2">
      <c r="A302" s="195"/>
      <c r="B302" s="204"/>
      <c r="C302" s="204"/>
      <c r="D302" s="204"/>
      <c r="E302" s="204"/>
      <c r="F302" s="204"/>
      <c r="G302" s="204"/>
      <c r="H302" s="272"/>
      <c r="I302" s="272"/>
      <c r="J302" s="272"/>
      <c r="K302" s="272"/>
      <c r="L302" s="272"/>
      <c r="M302" s="272"/>
      <c r="N302" s="272"/>
      <c r="O302" s="272"/>
      <c r="P302" s="272"/>
      <c r="Q302" s="272"/>
      <c r="R302" s="272"/>
      <c r="S302" s="272"/>
      <c r="T302" s="272"/>
      <c r="U302" s="272"/>
      <c r="V302" s="272"/>
      <c r="W302" s="272"/>
      <c r="X302" s="272"/>
      <c r="Y302" s="272"/>
      <c r="Z302" s="272"/>
      <c r="AA302" s="272"/>
      <c r="AB302" s="756"/>
      <c r="AC302" s="631"/>
      <c r="AD302" s="631"/>
      <c r="AE302" s="631"/>
      <c r="AF302" s="631"/>
      <c r="AG302" s="631"/>
      <c r="AH302" s="631"/>
      <c r="AI302" s="631"/>
    </row>
    <row r="303" spans="1:35" s="633" customFormat="1" ht="13.2">
      <c r="A303" s="202" t="s">
        <v>2</v>
      </c>
      <c r="B303" s="757">
        <f>'Income Statement'!B430</f>
        <v>3590</v>
      </c>
      <c r="C303" s="757">
        <f>'Income Statement'!G430</f>
        <v>4402.2000000000007</v>
      </c>
      <c r="D303" s="757">
        <f>'Income Statement'!L430</f>
        <v>4220</v>
      </c>
      <c r="E303" s="757">
        <f>'Income Statement'!Q430</f>
        <v>4416</v>
      </c>
      <c r="F303" s="757">
        <f>'Income Statement'!V430</f>
        <v>4423</v>
      </c>
      <c r="G303" s="757">
        <f>'Income Statement'!AA430</f>
        <v>4359</v>
      </c>
      <c r="H303" s="757">
        <f>'Income Statement'!AF430</f>
        <v>4522</v>
      </c>
      <c r="I303" s="757">
        <f>'Income Statement'!AK430</f>
        <v>4112.3305194230634</v>
      </c>
      <c r="J303" s="757">
        <f>'Income Statement'!AP430</f>
        <v>4426</v>
      </c>
      <c r="K303" s="757">
        <f>'Income Statement'!AU430</f>
        <v>4502</v>
      </c>
      <c r="L303" s="757">
        <f>'Income Statement'!AZ430</f>
        <v>4195</v>
      </c>
      <c r="M303" s="757">
        <f>'Income Statement'!BE430</f>
        <v>3843</v>
      </c>
      <c r="N303" s="757">
        <f>'Income Statement'!BJ430</f>
        <v>3926</v>
      </c>
      <c r="O303" s="757">
        <f>'Income Statement'!BO430</f>
        <v>3814</v>
      </c>
      <c r="P303" s="758">
        <f>'Income Statement'!BT430</f>
        <v>3876</v>
      </c>
      <c r="Q303" s="758">
        <f>'Income Statement'!BY430</f>
        <v>3929</v>
      </c>
      <c r="R303" s="758">
        <f>'Income Statement'!CD430</f>
        <v>3960</v>
      </c>
      <c r="S303" s="757">
        <f>'Income Statement'!CE430</f>
        <v>4171.0576269054345</v>
      </c>
      <c r="T303" s="757">
        <f>'Income Statement'!CF430</f>
        <v>4296.5338349015092</v>
      </c>
      <c r="U303" s="757">
        <f>'Income Statement'!CG430</f>
        <v>4436.3939792013425</v>
      </c>
      <c r="V303" s="757">
        <f>'Income Statement'!CH430</f>
        <v>4589.6746823582716</v>
      </c>
      <c r="W303" s="757">
        <f>'Income Statement'!CI430</f>
        <v>4755.1149503443366</v>
      </c>
      <c r="X303" s="757">
        <f>'Income Statement'!CJ430</f>
        <v>4921.3878769655921</v>
      </c>
      <c r="Y303" s="757">
        <f>'Income Statement'!CK430</f>
        <v>5088.8125944151761</v>
      </c>
      <c r="Z303" s="757">
        <f>'Income Statement'!CL430</f>
        <v>5257.7045052849217</v>
      </c>
      <c r="AA303" s="757">
        <f>'Income Statement'!CM430</f>
        <v>5428.3759740857668</v>
      </c>
      <c r="AB303" s="758"/>
      <c r="AC303" s="631"/>
      <c r="AD303" s="631"/>
      <c r="AE303" s="631"/>
      <c r="AF303" s="631"/>
      <c r="AG303" s="631"/>
      <c r="AH303" s="631"/>
      <c r="AI303" s="631"/>
    </row>
    <row r="304" spans="1:35" s="633" customFormat="1" ht="13.2">
      <c r="A304" s="195" t="s">
        <v>244</v>
      </c>
      <c r="B304" s="196">
        <f>'Income Statement'!B436</f>
        <v>0.54824494423478443</v>
      </c>
      <c r="C304" s="196">
        <f>'Income Statement'!G436</f>
        <v>0.53320035437777991</v>
      </c>
      <c r="D304" s="196">
        <f>'Income Statement'!L436</f>
        <v>0.50909949293388912</v>
      </c>
      <c r="E304" s="196">
        <f>'Income Statement'!Q436</f>
        <v>0.52347270082752773</v>
      </c>
      <c r="F304" s="196">
        <f>'Income Statement'!V436</f>
        <v>0.52139769948442571</v>
      </c>
      <c r="G304" s="196">
        <f>'Income Statement'!AA436</f>
        <v>0.51236288503912131</v>
      </c>
      <c r="H304" s="196">
        <f>'Income Statement'!AF436</f>
        <v>0.53895781862484238</v>
      </c>
      <c r="I304" s="196">
        <f>'Income Statement'!AK436</f>
        <v>0.52955291265114623</v>
      </c>
      <c r="J304" s="196">
        <f>'Income Statement'!AP436</f>
        <v>0.56161048468152208</v>
      </c>
      <c r="K304" s="196">
        <f>'Income Statement'!AU436</f>
        <v>0.57718899599820339</v>
      </c>
      <c r="L304" s="196">
        <f>'Income Statement'!AZ436</f>
        <v>0.50572634116937909</v>
      </c>
      <c r="M304" s="196">
        <f>'Income Statement'!BE436</f>
        <v>0.47632622706990579</v>
      </c>
      <c r="N304" s="196">
        <f>'Income Statement'!BJ436</f>
        <v>0.50352699756316532</v>
      </c>
      <c r="O304" s="196">
        <f>'Income Statement'!BO436</f>
        <v>0.49372168284789641</v>
      </c>
      <c r="P304" s="197">
        <f>'Income Statement'!BT436</f>
        <v>0.49162861491628612</v>
      </c>
      <c r="Q304" s="197">
        <f>'Income Statement'!BY436</f>
        <v>0.47710989678202792</v>
      </c>
      <c r="R304" s="197">
        <f>'Income Statement'!CD436</f>
        <v>0.45605924458346719</v>
      </c>
      <c r="S304" s="196">
        <f>'Income Statement'!CE436</f>
        <v>0.46273997855860305</v>
      </c>
      <c r="T304" s="196">
        <f>'Income Statement'!CF436</f>
        <v>0.45660963423632722</v>
      </c>
      <c r="U304" s="196">
        <f>'Income Statement'!CG436</f>
        <v>0.45089090679157462</v>
      </c>
      <c r="V304" s="196">
        <f>'Income Statement'!CH436</f>
        <v>0.44876378132849154</v>
      </c>
      <c r="W304" s="196">
        <f>'Income Statement'!CI436</f>
        <v>0.44832139554288442</v>
      </c>
      <c r="X304" s="196">
        <f>'Income Statement'!CJ436</f>
        <v>0.44731674520825121</v>
      </c>
      <c r="Y304" s="196">
        <f>'Income Statement'!CK436</f>
        <v>0.44574272126094366</v>
      </c>
      <c r="Z304" s="196">
        <f>'Income Statement'!CL436</f>
        <v>0.44359325077062056</v>
      </c>
      <c r="AA304" s="196">
        <f>'Income Statement'!CM436</f>
        <v>0.44086373082155872</v>
      </c>
      <c r="AB304" s="222"/>
      <c r="AC304" s="631"/>
      <c r="AD304" s="631"/>
      <c r="AE304" s="631"/>
      <c r="AF304" s="631"/>
      <c r="AG304" s="631"/>
      <c r="AH304" s="631"/>
      <c r="AI304" s="631"/>
    </row>
    <row r="305" spans="1:35" s="633" customFormat="1" ht="13.2">
      <c r="A305" s="195" t="s">
        <v>245</v>
      </c>
      <c r="B305" s="196"/>
      <c r="C305" s="196">
        <f t="shared" ref="C305:Q305" si="660">C303/B303-1</f>
        <v>0.22623955431754905</v>
      </c>
      <c r="D305" s="196">
        <f t="shared" si="660"/>
        <v>-4.1388396710735686E-2</v>
      </c>
      <c r="E305" s="196">
        <f t="shared" si="660"/>
        <v>4.6445497630331678E-2</v>
      </c>
      <c r="F305" s="196">
        <f t="shared" si="660"/>
        <v>1.5851449275361418E-3</v>
      </c>
      <c r="G305" s="196">
        <f t="shared" si="660"/>
        <v>-1.446981686638027E-2</v>
      </c>
      <c r="H305" s="196">
        <f t="shared" si="660"/>
        <v>3.7393897682954869E-2</v>
      </c>
      <c r="I305" s="196">
        <f t="shared" si="660"/>
        <v>-9.0594754660976662E-2</v>
      </c>
      <c r="J305" s="196">
        <f t="shared" si="660"/>
        <v>7.6275357512105568E-2</v>
      </c>
      <c r="K305" s="196">
        <f t="shared" si="660"/>
        <v>1.7171260732038007E-2</v>
      </c>
      <c r="L305" s="196">
        <f t="shared" si="660"/>
        <v>-6.8191914704575751E-2</v>
      </c>
      <c r="M305" s="196">
        <f t="shared" si="660"/>
        <v>-8.3909415971394563E-2</v>
      </c>
      <c r="N305" s="196">
        <f t="shared" si="660"/>
        <v>2.1597710122300384E-2</v>
      </c>
      <c r="O305" s="196">
        <f t="shared" si="660"/>
        <v>-2.852776362710141E-2</v>
      </c>
      <c r="P305" s="197">
        <f t="shared" si="660"/>
        <v>1.625589931830107E-2</v>
      </c>
      <c r="Q305" s="197">
        <f t="shared" si="660"/>
        <v>1.3673890608875139E-2</v>
      </c>
      <c r="R305" s="197">
        <f t="shared" ref="R305:W305" si="661">R303/Q303-1</f>
        <v>7.8900483583608239E-3</v>
      </c>
      <c r="S305" s="196">
        <f t="shared" si="661"/>
        <v>5.3297380531675431E-2</v>
      </c>
      <c r="T305" s="196">
        <f t="shared" si="661"/>
        <v>3.008258797161889E-2</v>
      </c>
      <c r="U305" s="196">
        <f t="shared" si="661"/>
        <v>3.2551854512054446E-2</v>
      </c>
      <c r="V305" s="196">
        <f t="shared" si="661"/>
        <v>3.4550741858261125E-2</v>
      </c>
      <c r="W305" s="196">
        <f t="shared" si="661"/>
        <v>3.6046186153886328E-2</v>
      </c>
      <c r="X305" s="196">
        <f t="shared" ref="X305" si="662">X303/W303-1</f>
        <v>3.4967172898567878E-2</v>
      </c>
      <c r="Y305" s="196">
        <f t="shared" ref="Y305" si="663">Y303/X303-1</f>
        <v>3.4019817505791528E-2</v>
      </c>
      <c r="Z305" s="196">
        <f t="shared" ref="Z305" si="664">Z303/Y303-1</f>
        <v>3.3188864344326552E-2</v>
      </c>
      <c r="AA305" s="196">
        <f t="shared" ref="AA305" si="665">AA303/Z303-1</f>
        <v>3.2461213563693025E-2</v>
      </c>
      <c r="AB305" s="222"/>
      <c r="AC305" s="631"/>
      <c r="AD305" s="631"/>
      <c r="AE305" s="631"/>
      <c r="AF305" s="631"/>
      <c r="AG305" s="631"/>
      <c r="AH305" s="631"/>
      <c r="AI305" s="631"/>
    </row>
    <row r="306" spans="1:35" s="633" customFormat="1" ht="13.2">
      <c r="A306" s="195"/>
      <c r="B306" s="195"/>
      <c r="C306" s="195"/>
      <c r="D306" s="195"/>
      <c r="E306" s="195"/>
      <c r="F306" s="195"/>
      <c r="G306" s="195"/>
      <c r="H306" s="272"/>
      <c r="I306" s="272"/>
      <c r="J306" s="272"/>
      <c r="K306" s="272"/>
      <c r="L306" s="272"/>
      <c r="M306" s="272"/>
      <c r="N306" s="272"/>
      <c r="O306" s="272"/>
      <c r="P306" s="272"/>
      <c r="Q306" s="272"/>
      <c r="R306" s="272"/>
      <c r="S306" s="272"/>
      <c r="T306" s="272"/>
      <c r="U306" s="272"/>
      <c r="V306" s="272"/>
      <c r="W306" s="272"/>
      <c r="X306" s="272"/>
      <c r="Y306" s="272"/>
      <c r="Z306" s="272"/>
      <c r="AA306" s="272"/>
      <c r="AB306" s="756"/>
      <c r="AC306" s="631"/>
      <c r="AD306" s="631"/>
      <c r="AE306" s="631"/>
      <c r="AF306" s="631"/>
      <c r="AG306" s="631"/>
      <c r="AH306" s="631"/>
      <c r="AI306" s="631"/>
    </row>
    <row r="307" spans="1:35" s="633" customFormat="1" ht="13.2">
      <c r="A307" s="202" t="s">
        <v>246</v>
      </c>
      <c r="B307" s="716">
        <f>'Income Statement'!B489-B303</f>
        <v>4100</v>
      </c>
      <c r="C307" s="716">
        <f>'Income Statement'!G489-C303</f>
        <v>4047.6999999999989</v>
      </c>
      <c r="D307" s="716">
        <f>'Income Statement'!L489-D303</f>
        <v>4392</v>
      </c>
      <c r="E307" s="716">
        <f>'Income Statement'!Q489-E303</f>
        <v>4453</v>
      </c>
      <c r="F307" s="716">
        <f>'Income Statement'!V489-F303</f>
        <v>4360</v>
      </c>
      <c r="G307" s="716">
        <f>'Income Statement'!AA489-G303</f>
        <v>4521</v>
      </c>
      <c r="H307" s="716">
        <f>'Income Statement'!AF489-H303</f>
        <v>4506.3719999999994</v>
      </c>
      <c r="I307" s="716">
        <f>'Income Statement'!AK489-I303</f>
        <v>4291.6694805769366</v>
      </c>
      <c r="J307" s="716">
        <f>'Income Statement'!AP489-J303</f>
        <v>4175</v>
      </c>
      <c r="K307" s="716">
        <f>'Income Statement'!AU489-K303</f>
        <v>4110</v>
      </c>
      <c r="L307" s="716">
        <f>'Income Statement'!AZ489-L303</f>
        <v>5224</v>
      </c>
      <c r="M307" s="716">
        <f>'Income Statement'!BE489-M303</f>
        <v>5349</v>
      </c>
      <c r="N307" s="716">
        <f>'Income Statement'!BJ489-N303</f>
        <v>5387</v>
      </c>
      <c r="O307" s="716">
        <f>'Income Statement'!BO489-O303</f>
        <v>5152</v>
      </c>
      <c r="P307" s="716">
        <f>'Income Statement'!BT489-P303</f>
        <v>5365</v>
      </c>
      <c r="Q307" s="716">
        <f>'Income Statement'!BY489-Q303</f>
        <v>5860</v>
      </c>
      <c r="R307" s="716">
        <f>'Income Statement'!CD489-R303</f>
        <v>6220</v>
      </c>
      <c r="S307" s="716">
        <f>'Income Statement'!CE489-S303</f>
        <v>6457.7713470437502</v>
      </c>
      <c r="T307" s="716">
        <f>'Income Statement'!CF489-T303</f>
        <v>6607.6203376748617</v>
      </c>
      <c r="U307" s="716">
        <f>'Income Statement'!CG489-U303</f>
        <v>6773.2916646032172</v>
      </c>
      <c r="V307" s="716">
        <f>'Income Statement'!CH489-V303</f>
        <v>6958.9461067211987</v>
      </c>
      <c r="W307" s="716">
        <f>'Income Statement'!CI489-W303</f>
        <v>7163.2318143666425</v>
      </c>
      <c r="X307" s="716">
        <f>'Income Statement'!CJ489-X303</f>
        <v>7366.192850288041</v>
      </c>
      <c r="Y307" s="716">
        <f>'Income Statement'!CK489-Y303</f>
        <v>7568.3025943809989</v>
      </c>
      <c r="Z307" s="716">
        <f>'Income Statement'!CL489-Z303</f>
        <v>7770.0158830842529</v>
      </c>
      <c r="AA307" s="716">
        <f>'Income Statement'!CM489-AA303</f>
        <v>7971.7707103530493</v>
      </c>
      <c r="AB307" s="662"/>
      <c r="AC307" s="631"/>
      <c r="AD307" s="631"/>
      <c r="AE307" s="631"/>
      <c r="AF307" s="631"/>
      <c r="AG307" s="631"/>
      <c r="AH307" s="632"/>
      <c r="AI307" s="632"/>
    </row>
    <row r="308" spans="1:35" s="633" customFormat="1" ht="13.2">
      <c r="A308" s="759" t="s">
        <v>247</v>
      </c>
      <c r="B308" s="760">
        <f t="shared" ref="B308:P308" si="666">B307/B295</f>
        <v>0.41986687147977469</v>
      </c>
      <c r="C308" s="760">
        <f t="shared" si="666"/>
        <v>0.38551176002781062</v>
      </c>
      <c r="D308" s="760">
        <f t="shared" si="666"/>
        <v>0.3733884234285933</v>
      </c>
      <c r="E308" s="760">
        <f t="shared" si="666"/>
        <v>0.339340826824157</v>
      </c>
      <c r="F308" s="760">
        <f t="shared" si="666"/>
        <v>0.3267263666679156</v>
      </c>
      <c r="G308" s="760">
        <f t="shared" si="666"/>
        <v>0.33706106016551107</v>
      </c>
      <c r="H308" s="760">
        <f t="shared" si="666"/>
        <v>0.33400326119181734</v>
      </c>
      <c r="I308" s="760">
        <f t="shared" si="666"/>
        <v>0.33261020542330749</v>
      </c>
      <c r="J308" s="760">
        <f t="shared" si="666"/>
        <v>0.32608271175850351</v>
      </c>
      <c r="K308" s="760">
        <f t="shared" si="666"/>
        <v>0.33387489845653939</v>
      </c>
      <c r="L308" s="760">
        <f t="shared" si="666"/>
        <v>0.4571628598932353</v>
      </c>
      <c r="M308" s="760">
        <f t="shared" si="666"/>
        <v>0.49324542394762322</v>
      </c>
      <c r="N308" s="760">
        <f t="shared" si="666"/>
        <v>0.49216573020876159</v>
      </c>
      <c r="O308" s="760">
        <f t="shared" si="666"/>
        <v>0.46285149582247775</v>
      </c>
      <c r="P308" s="760">
        <f t="shared" si="666"/>
        <v>0.47164835164835167</v>
      </c>
      <c r="Q308" s="760">
        <f t="shared" ref="Q308" si="667">Q307/Q295</f>
        <v>0.50179825312553517</v>
      </c>
      <c r="R308" s="760">
        <f t="shared" ref="R308:W308" si="668">R307/R295</f>
        <v>0.51301084580807454</v>
      </c>
      <c r="S308" s="760">
        <f t="shared" si="668"/>
        <v>0.51002602643145978</v>
      </c>
      <c r="T308" s="760">
        <f t="shared" si="668"/>
        <v>0.51123141331915045</v>
      </c>
      <c r="U308" s="760">
        <f t="shared" si="668"/>
        <v>0.51535365258073718</v>
      </c>
      <c r="V308" s="760">
        <f t="shared" si="668"/>
        <v>0.52136627295665183</v>
      </c>
      <c r="W308" s="760">
        <f t="shared" si="668"/>
        <v>0.52904978041397532</v>
      </c>
      <c r="X308" s="760">
        <f t="shared" ref="X308:AA308" si="669">X307/X295</f>
        <v>0.53685280239558797</v>
      </c>
      <c r="Y308" s="760">
        <f t="shared" si="669"/>
        <v>0.54478057955432091</v>
      </c>
      <c r="Z308" s="760">
        <f t="shared" si="669"/>
        <v>0.55283894595753502</v>
      </c>
      <c r="AA308" s="760">
        <f t="shared" si="669"/>
        <v>0.56103426124752098</v>
      </c>
      <c r="AB308" s="761"/>
      <c r="AC308" s="753"/>
      <c r="AD308" s="753"/>
      <c r="AE308" s="753"/>
      <c r="AF308" s="753"/>
      <c r="AG308" s="632"/>
      <c r="AH308" s="631"/>
      <c r="AI308" s="631"/>
    </row>
    <row r="309" spans="1:35" s="633" customFormat="1" ht="13.2">
      <c r="A309" s="195" t="s">
        <v>0</v>
      </c>
      <c r="B309" s="207"/>
      <c r="C309" s="207">
        <f t="shared" ref="C309:Q309" si="670">C308/B308-1</f>
        <v>-8.1823820324007146E-2</v>
      </c>
      <c r="D309" s="207">
        <f t="shared" si="670"/>
        <v>-3.1447384635796216E-2</v>
      </c>
      <c r="E309" s="207">
        <f t="shared" si="670"/>
        <v>-9.1185463897885288E-2</v>
      </c>
      <c r="F309" s="207">
        <f t="shared" si="670"/>
        <v>-3.7173423175449805E-2</v>
      </c>
      <c r="G309" s="207">
        <f t="shared" si="670"/>
        <v>3.1631036096023468E-2</v>
      </c>
      <c r="H309" s="207">
        <f t="shared" si="670"/>
        <v>-9.0719437368179667E-3</v>
      </c>
      <c r="I309" s="207">
        <f t="shared" si="670"/>
        <v>-4.1707849304795097E-3</v>
      </c>
      <c r="J309" s="207">
        <f t="shared" si="670"/>
        <v>-1.9625055270016567E-2</v>
      </c>
      <c r="K309" s="207">
        <f t="shared" si="670"/>
        <v>2.3896350272647249E-2</v>
      </c>
      <c r="L309" s="207">
        <f t="shared" si="670"/>
        <v>0.36926394289190423</v>
      </c>
      <c r="M309" s="207">
        <f t="shared" si="670"/>
        <v>7.8927155331066423E-2</v>
      </c>
      <c r="N309" s="207">
        <f t="shared" si="670"/>
        <v>-2.1889584503804738E-3</v>
      </c>
      <c r="O309" s="207">
        <f t="shared" si="670"/>
        <v>-5.9561713843525044E-2</v>
      </c>
      <c r="P309" s="207">
        <f t="shared" si="670"/>
        <v>1.9005784588082886E-2</v>
      </c>
      <c r="Q309" s="207">
        <f t="shared" si="670"/>
        <v>6.3924534818818657E-2</v>
      </c>
      <c r="R309" s="207">
        <f t="shared" ref="R309:W309" si="671">R308/Q308-1</f>
        <v>2.2344822072814852E-2</v>
      </c>
      <c r="S309" s="207">
        <f t="shared" si="671"/>
        <v>-5.818238349158511E-3</v>
      </c>
      <c r="T309" s="207">
        <f t="shared" si="671"/>
        <v>2.3633830926717003E-3</v>
      </c>
      <c r="U309" s="207">
        <f t="shared" si="671"/>
        <v>8.0633528265081633E-3</v>
      </c>
      <c r="V309" s="207">
        <f t="shared" si="671"/>
        <v>1.1666979259398413E-2</v>
      </c>
      <c r="W309" s="207">
        <f t="shared" si="671"/>
        <v>1.4737254509676223E-2</v>
      </c>
      <c r="X309" s="207">
        <f t="shared" ref="X309" si="672">X308/W308-1</f>
        <v>1.4749126207947549E-2</v>
      </c>
      <c r="Y309" s="207">
        <f t="shared" ref="Y309" si="673">Y308/X308-1</f>
        <v>1.4767133790411391E-2</v>
      </c>
      <c r="Z309" s="207">
        <f t="shared" ref="Z309" si="674">Z308/Y308-1</f>
        <v>1.479194873247236E-2</v>
      </c>
      <c r="AA309" s="207">
        <f t="shared" ref="AA309" si="675">AA308/Z308-1</f>
        <v>1.482405563123157E-2</v>
      </c>
      <c r="AB309" s="685"/>
      <c r="AC309" s="631"/>
      <c r="AD309" s="631"/>
      <c r="AE309" s="631"/>
      <c r="AF309" s="631"/>
      <c r="AG309" s="631"/>
      <c r="AH309" s="631"/>
      <c r="AI309" s="631"/>
    </row>
    <row r="310" spans="1:35" s="633" customFormat="1" ht="13.2">
      <c r="A310" s="195"/>
      <c r="B310" s="195"/>
      <c r="C310" s="195"/>
      <c r="D310" s="195"/>
      <c r="E310" s="195"/>
      <c r="F310" s="195"/>
      <c r="G310" s="195"/>
      <c r="H310" s="272"/>
      <c r="I310" s="272"/>
      <c r="J310" s="272"/>
      <c r="K310" s="272"/>
      <c r="L310" s="272"/>
      <c r="M310" s="272"/>
      <c r="N310" s="272"/>
      <c r="O310" s="272"/>
      <c r="P310" s="272"/>
      <c r="Q310" s="272"/>
      <c r="R310" s="272"/>
      <c r="S310" s="272"/>
      <c r="T310" s="272"/>
      <c r="U310" s="272"/>
      <c r="V310" s="272"/>
      <c r="W310" s="272"/>
      <c r="X310" s="272"/>
      <c r="Y310" s="272"/>
      <c r="Z310" s="272"/>
      <c r="AA310" s="272"/>
      <c r="AB310" s="756"/>
      <c r="AC310" s="631"/>
      <c r="AD310" s="631"/>
      <c r="AE310" s="631"/>
      <c r="AF310" s="631"/>
      <c r="AG310" s="631"/>
      <c r="AH310" s="631"/>
      <c r="AI310" s="631"/>
    </row>
    <row r="311" spans="1:35" s="633" customFormat="1" ht="13.2">
      <c r="A311" s="202" t="s">
        <v>248</v>
      </c>
      <c r="B311" s="757">
        <f>B75</f>
        <v>1123.8</v>
      </c>
      <c r="C311" s="757">
        <f>C75</f>
        <v>802.8</v>
      </c>
      <c r="D311" s="757">
        <f>D75</f>
        <v>590</v>
      </c>
      <c r="E311" s="757">
        <f>E75</f>
        <v>1444</v>
      </c>
      <c r="F311" s="757">
        <f>F75</f>
        <v>989</v>
      </c>
      <c r="G311" s="757">
        <f>G75</f>
        <v>990</v>
      </c>
      <c r="H311" s="757">
        <f>H75</f>
        <v>815</v>
      </c>
      <c r="I311" s="757">
        <f>I75</f>
        <v>1140</v>
      </c>
      <c r="J311" s="757">
        <f>J75</f>
        <v>1304</v>
      </c>
      <c r="K311" s="757">
        <f>K75</f>
        <v>1189</v>
      </c>
      <c r="L311" s="757">
        <f>L75</f>
        <v>1028</v>
      </c>
      <c r="M311" s="757">
        <f>M75</f>
        <v>1038</v>
      </c>
      <c r="N311" s="757">
        <f>N75</f>
        <v>1213</v>
      </c>
      <c r="O311" s="757">
        <f>O75</f>
        <v>1245</v>
      </c>
      <c r="P311" s="758">
        <f>P75</f>
        <v>1187</v>
      </c>
      <c r="Q311" s="758">
        <f>Q75</f>
        <v>1114</v>
      </c>
      <c r="R311" s="758">
        <f>R75</f>
        <v>1119.8</v>
      </c>
      <c r="S311" s="757">
        <f>S75</f>
        <v>1169.1711871344103</v>
      </c>
      <c r="T311" s="757">
        <f>T75</f>
        <v>1199.4569589834009</v>
      </c>
      <c r="U311" s="757">
        <f>U75</f>
        <v>1233.0654208185015</v>
      </c>
      <c r="V311" s="757">
        <f>V75</f>
        <v>1270.3482867987418</v>
      </c>
      <c r="W311" s="757">
        <f>W75</f>
        <v>1311.0181441182078</v>
      </c>
      <c r="X311" s="757">
        <f>X75</f>
        <v>1351.6338799978996</v>
      </c>
      <c r="Y311" s="757">
        <f>Y75</f>
        <v>1392.2826707675792</v>
      </c>
      <c r="Z311" s="757">
        <f>Z75</f>
        <v>1433.0492427206093</v>
      </c>
      <c r="AA311" s="757">
        <f>AA75</f>
        <v>1608.0176021326579</v>
      </c>
      <c r="AB311" s="758"/>
      <c r="AC311" s="631"/>
      <c r="AD311" s="631"/>
      <c r="AE311" s="631"/>
      <c r="AF311" s="631"/>
      <c r="AG311" s="631"/>
      <c r="AH311" s="631"/>
      <c r="AI311" s="631"/>
    </row>
    <row r="312" spans="1:35" s="633" customFormat="1" ht="13.2">
      <c r="A312" s="195" t="s">
        <v>0</v>
      </c>
      <c r="B312" s="228"/>
      <c r="C312" s="228">
        <f t="shared" ref="C312:Q312" si="676">C311/B311-1</f>
        <v>-0.28563801388147358</v>
      </c>
      <c r="D312" s="228">
        <f t="shared" si="676"/>
        <v>-0.26507224713502742</v>
      </c>
      <c r="E312" s="228">
        <f t="shared" si="676"/>
        <v>1.4474576271186441</v>
      </c>
      <c r="F312" s="228">
        <f t="shared" si="676"/>
        <v>-0.3150969529085873</v>
      </c>
      <c r="G312" s="228">
        <f t="shared" si="676"/>
        <v>1.0111223458038054E-3</v>
      </c>
      <c r="H312" s="228">
        <f t="shared" si="676"/>
        <v>-0.1767676767676768</v>
      </c>
      <c r="I312" s="228">
        <f t="shared" si="676"/>
        <v>0.39877300613496924</v>
      </c>
      <c r="J312" s="228">
        <f t="shared" si="676"/>
        <v>0.14385964912280702</v>
      </c>
      <c r="K312" s="228">
        <f t="shared" si="676"/>
        <v>-8.8190184049079745E-2</v>
      </c>
      <c r="L312" s="228">
        <f t="shared" si="676"/>
        <v>-0.13540790580319595</v>
      </c>
      <c r="M312" s="228">
        <f t="shared" si="676"/>
        <v>9.7276264591439343E-3</v>
      </c>
      <c r="N312" s="228">
        <f t="shared" si="676"/>
        <v>0.16859344894026984</v>
      </c>
      <c r="O312" s="228">
        <f t="shared" si="676"/>
        <v>2.638087386644683E-2</v>
      </c>
      <c r="P312" s="228">
        <f t="shared" si="676"/>
        <v>-4.6586345381526062E-2</v>
      </c>
      <c r="Q312" s="228">
        <f t="shared" si="676"/>
        <v>-6.1499578770008445E-2</v>
      </c>
      <c r="R312" s="228">
        <f t="shared" ref="R312:W312" si="677">R311/Q311-1</f>
        <v>5.20646319569118E-3</v>
      </c>
      <c r="S312" s="228">
        <f t="shared" si="677"/>
        <v>4.4089290171825724E-2</v>
      </c>
      <c r="T312" s="228">
        <f t="shared" si="677"/>
        <v>2.5903624877396947E-2</v>
      </c>
      <c r="U312" s="228">
        <f t="shared" si="677"/>
        <v>2.8019731415444449E-2</v>
      </c>
      <c r="V312" s="228">
        <f t="shared" si="677"/>
        <v>3.023591883348109E-2</v>
      </c>
      <c r="W312" s="228">
        <f t="shared" si="677"/>
        <v>3.2014729930445629E-2</v>
      </c>
      <c r="X312" s="228">
        <f t="shared" ref="X312" si="678">X311/W311-1</f>
        <v>3.0980300358093071E-2</v>
      </c>
      <c r="Y312" s="228">
        <f t="shared" ref="Y312" si="679">Y311/X311-1</f>
        <v>3.0073817600475339E-2</v>
      </c>
      <c r="Z312" s="228">
        <f t="shared" ref="Z312" si="680">Z311/Y311-1</f>
        <v>2.9280384514557722E-2</v>
      </c>
      <c r="AA312" s="228">
        <f t="shared" ref="AA312" si="681">AA311/Z311-1</f>
        <v>0.12209514802148425</v>
      </c>
      <c r="AB312" s="702"/>
      <c r="AC312" s="631"/>
      <c r="AD312" s="631"/>
      <c r="AE312" s="631"/>
      <c r="AF312" s="631"/>
      <c r="AG312" s="631"/>
      <c r="AH312" s="631"/>
      <c r="AI312" s="631"/>
    </row>
    <row r="313" spans="1:35" s="633" customFormat="1" ht="13.2">
      <c r="A313" s="195" t="s">
        <v>180</v>
      </c>
      <c r="B313" s="207">
        <f>B311/'Income Statement'!B489</f>
        <v>0.14613784135240571</v>
      </c>
      <c r="C313" s="207">
        <f>C311/'Income Statement'!G489</f>
        <v>9.5007041503449741E-2</v>
      </c>
      <c r="D313" s="207">
        <f>D311/'Income Statement'!L489</f>
        <v>6.8509057129586617E-2</v>
      </c>
      <c r="E313" s="207">
        <f>E311/'Income Statement'!Q489</f>
        <v>0.16281429698951405</v>
      </c>
      <c r="F313" s="207">
        <f>F311/'Income Statement'!V489</f>
        <v>0.11260389388591598</v>
      </c>
      <c r="G313" s="207">
        <f>G311/'Income Statement'!AA489</f>
        <v>0.11148648648648649</v>
      </c>
      <c r="H313" s="207">
        <f>H311/'Income Statement'!AF489</f>
        <v>9.0270981302055353E-2</v>
      </c>
      <c r="I313" s="207">
        <f>I311/'Income Statement'!AK489</f>
        <v>0.13564969062351262</v>
      </c>
      <c r="J313" s="207">
        <f>J311/'Income Statement'!AP489</f>
        <v>0.15161027787466574</v>
      </c>
      <c r="K313" s="207">
        <f>K311/'Income Statement'!AU489</f>
        <v>0.13806316767301441</v>
      </c>
      <c r="L313" s="207">
        <f>L311/'Income Statement'!AZ489</f>
        <v>0.10914109778108079</v>
      </c>
      <c r="M313" s="207">
        <f>M311/'Income Statement'!BE489</f>
        <v>0.1129242819843342</v>
      </c>
      <c r="N313" s="207">
        <f>N311/'Income Statement'!BJ489</f>
        <v>0.13024804037367121</v>
      </c>
      <c r="O313" s="207">
        <f>O311/'Income Statement'!BO489</f>
        <v>0.13885790765112649</v>
      </c>
      <c r="P313" s="207">
        <f>P311/'Income Statement'!BT489</f>
        <v>0.12844930202359053</v>
      </c>
      <c r="Q313" s="207">
        <f>Q311/'Income Statement'!BY489</f>
        <v>0.11380120543467157</v>
      </c>
      <c r="R313" s="207">
        <f>R311/'Income Statement'!CD489</f>
        <v>0.11</v>
      </c>
      <c r="S313" s="207">
        <f>S311/'Income Statement'!CE489</f>
        <v>0.11</v>
      </c>
      <c r="T313" s="207">
        <f>T311/'Income Statement'!CF489</f>
        <v>0.11000000000000001</v>
      </c>
      <c r="U313" s="207">
        <f>U311/'Income Statement'!CG489</f>
        <v>0.10999999999999999</v>
      </c>
      <c r="V313" s="207">
        <f>V311/'Income Statement'!CH489</f>
        <v>0.11</v>
      </c>
      <c r="W313" s="207">
        <f>W311/'Income Statement'!CI489</f>
        <v>0.11000000000000001</v>
      </c>
      <c r="X313" s="207">
        <f>X311/'Income Statement'!CJ489</f>
        <v>0.11</v>
      </c>
      <c r="Y313" s="207">
        <f>Y311/'Income Statement'!CK489</f>
        <v>0.11</v>
      </c>
      <c r="Z313" s="207">
        <f>Z311/'Income Statement'!CL489</f>
        <v>0.11000000000000001</v>
      </c>
      <c r="AA313" s="207">
        <f>AA311/'Income Statement'!CM489</f>
        <v>0.12</v>
      </c>
      <c r="AB313" s="685"/>
      <c r="AC313" s="631"/>
      <c r="AD313" s="631"/>
      <c r="AE313" s="631"/>
      <c r="AF313" s="631"/>
      <c r="AG313" s="631"/>
      <c r="AH313" s="631"/>
      <c r="AI313" s="631"/>
    </row>
    <row r="314" spans="1:35" s="633" customFormat="1" ht="13.2">
      <c r="A314" s="195" t="s">
        <v>249</v>
      </c>
      <c r="B314" s="359">
        <f>B311*1000/B286</f>
        <v>115.08448540706605</v>
      </c>
      <c r="C314" s="359">
        <f t="shared" ref="C314:P314" si="682">C311*1000/C286</f>
        <v>71.460998210804604</v>
      </c>
      <c r="D314" s="359">
        <f t="shared" si="682"/>
        <v>48.002603531038972</v>
      </c>
      <c r="E314" s="359">
        <f t="shared" si="682"/>
        <v>103.48287229468252</v>
      </c>
      <c r="F314" s="359">
        <f t="shared" si="682"/>
        <v>77.659992147624664</v>
      </c>
      <c r="G314" s="359">
        <f t="shared" si="682"/>
        <v>70.257611241217802</v>
      </c>
      <c r="H314" s="359">
        <f t="shared" si="682"/>
        <v>63.212595982315989</v>
      </c>
      <c r="I314" s="359">
        <f t="shared" si="682"/>
        <v>88.283125532409201</v>
      </c>
      <c r="J314" s="359">
        <f t="shared" si="682"/>
        <v>102.72569717976997</v>
      </c>
      <c r="K314" s="359">
        <f t="shared" si="682"/>
        <v>99.698138520878757</v>
      </c>
      <c r="L314" s="359">
        <f t="shared" si="682"/>
        <v>94.07027818448023</v>
      </c>
      <c r="M314" s="359">
        <f t="shared" si="682"/>
        <v>96.459436855310841</v>
      </c>
      <c r="N314" s="359">
        <f t="shared" si="682"/>
        <v>108.98472596585805</v>
      </c>
      <c r="O314" s="359">
        <f t="shared" si="682"/>
        <v>111.8397412863816</v>
      </c>
      <c r="P314" s="359">
        <f t="shared" si="682"/>
        <v>102.16904802892064</v>
      </c>
      <c r="Q314" s="359">
        <f t="shared" ref="Q314" si="683">Q311*1000/Q286</f>
        <v>94.905435338217757</v>
      </c>
      <c r="R314" s="359">
        <f t="shared" ref="R314:W314" si="684">R311*1000/R286</f>
        <v>89.505235392854289</v>
      </c>
      <c r="S314" s="359">
        <f t="shared" si="684"/>
        <v>91.253801143504361</v>
      </c>
      <c r="T314" s="359">
        <f t="shared" si="684"/>
        <v>92.000392051077412</v>
      </c>
      <c r="U314" s="359">
        <f t="shared" si="684"/>
        <v>93.072256669335161</v>
      </c>
      <c r="V314" s="359">
        <f t="shared" si="684"/>
        <v>94.473828552418894</v>
      </c>
      <c r="W314" s="359">
        <f t="shared" si="684"/>
        <v>96.164694307748746</v>
      </c>
      <c r="X314" s="359">
        <f t="shared" ref="X314:AA314" si="685">X311*1000/X286</f>
        <v>97.880068856505289</v>
      </c>
      <c r="Y314" s="359">
        <f t="shared" si="685"/>
        <v>99.621733979273912</v>
      </c>
      <c r="Z314" s="359">
        <f t="shared" si="685"/>
        <v>101.39151811123716</v>
      </c>
      <c r="AA314" s="359">
        <f t="shared" si="685"/>
        <v>112.5723248579759</v>
      </c>
      <c r="AB314" s="666"/>
      <c r="AC314" s="631"/>
      <c r="AD314" s="631"/>
      <c r="AE314" s="631"/>
      <c r="AF314" s="631"/>
      <c r="AG314" s="631"/>
      <c r="AH314" s="631"/>
      <c r="AI314" s="631"/>
    </row>
    <row r="315" spans="1:35" s="633" customFormat="1" ht="13.2">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c r="AB315" s="631"/>
      <c r="AC315" s="631"/>
      <c r="AD315" s="631"/>
      <c r="AE315" s="631"/>
      <c r="AF315" s="631"/>
      <c r="AG315" s="631"/>
      <c r="AH315" s="631"/>
      <c r="AI315" s="631"/>
    </row>
    <row r="316" spans="1:35" s="633" customFormat="1" ht="13.2">
      <c r="A316" s="195" t="s">
        <v>90</v>
      </c>
      <c r="B316" s="391">
        <f>'Income Statement'!B438</f>
        <v>894</v>
      </c>
      <c r="C316" s="391">
        <f>'Income Statement'!G438</f>
        <v>1192.2</v>
      </c>
      <c r="D316" s="391">
        <f>'Income Statement'!L438</f>
        <v>1165</v>
      </c>
      <c r="E316" s="391">
        <f>'Income Statement'!Q438</f>
        <v>1073</v>
      </c>
      <c r="F316" s="391">
        <f>'Income Statement'!V438</f>
        <v>1191</v>
      </c>
      <c r="G316" s="391">
        <f>'Income Statement'!AA438</f>
        <v>1362</v>
      </c>
      <c r="H316" s="391">
        <f>'Income Statement'!AF438</f>
        <v>1366</v>
      </c>
      <c r="I316" s="391">
        <f>'Income Statement'!AK438</f>
        <v>1427</v>
      </c>
      <c r="J316" s="391">
        <f>'Income Statement'!AP438</f>
        <v>991</v>
      </c>
      <c r="K316" s="391">
        <f>'Income Statement'!AU438</f>
        <v>1052</v>
      </c>
      <c r="L316" s="391">
        <f>'Income Statement'!AZ438</f>
        <v>1021</v>
      </c>
      <c r="M316" s="391">
        <v>1068</v>
      </c>
      <c r="N316" s="391">
        <v>1075</v>
      </c>
      <c r="O316" s="391">
        <f>1131+282</f>
        <v>1413</v>
      </c>
      <c r="P316" s="327">
        <f>'Income Statement'!BT438</f>
        <v>1520</v>
      </c>
      <c r="Q316" s="327">
        <f>'Income Statement'!BY438</f>
        <v>1408</v>
      </c>
      <c r="R316" s="327">
        <f>'Income Statement'!CD438</f>
        <v>1525</v>
      </c>
      <c r="S316" s="709">
        <f>-S93</f>
        <v>1456.0383046639474</v>
      </c>
      <c r="T316" s="709">
        <f>-T93</f>
        <v>1378.4585291306005</v>
      </c>
      <c r="U316" s="709">
        <f>-U93</f>
        <v>1330.0496987573997</v>
      </c>
      <c r="V316" s="709">
        <f>-V93</f>
        <v>1303.8214625706964</v>
      </c>
      <c r="W316" s="709">
        <f>-W93</f>
        <v>1294.7690431608307</v>
      </c>
      <c r="X316" s="709">
        <f>-X93</f>
        <v>1299.1634178655656</v>
      </c>
      <c r="Y316" s="709">
        <f>-Y93</f>
        <v>1313.3534258016905</v>
      </c>
      <c r="Z316" s="709">
        <f>-Z93</f>
        <v>1334.6988946034251</v>
      </c>
      <c r="AA316" s="709">
        <f>-AA93</f>
        <v>1361.2965681055894</v>
      </c>
      <c r="AB316" s="307"/>
      <c r="AC316" s="631"/>
      <c r="AD316" s="631"/>
      <c r="AE316" s="631"/>
      <c r="AF316" s="631"/>
      <c r="AG316" s="631"/>
      <c r="AH316" s="631"/>
      <c r="AI316" s="631"/>
    </row>
    <row r="317" spans="1:35">
      <c r="A317" s="195" t="s">
        <v>92</v>
      </c>
      <c r="B317" s="391">
        <f>'Income Statement'!B439</f>
        <v>0</v>
      </c>
      <c r="C317" s="391">
        <f>'Income Statement'!G439</f>
        <v>0</v>
      </c>
      <c r="D317" s="391">
        <f>'Income Statement'!L439</f>
        <v>0</v>
      </c>
      <c r="E317" s="391">
        <f>'Income Statement'!Q439</f>
        <v>0</v>
      </c>
      <c r="F317" s="391">
        <f>'Income Statement'!V439</f>
        <v>0</v>
      </c>
      <c r="G317" s="391">
        <f>'Income Statement'!AA439</f>
        <v>0</v>
      </c>
      <c r="H317" s="391">
        <f>'Income Statement'!AF439</f>
        <v>0</v>
      </c>
      <c r="I317" s="391">
        <f>'Income Statement'!AK439</f>
        <v>0</v>
      </c>
      <c r="J317" s="391">
        <f>'Income Statement'!AP439</f>
        <v>279</v>
      </c>
      <c r="K317" s="391">
        <f>'Income Statement'!AU439</f>
        <v>341</v>
      </c>
      <c r="L317" s="391">
        <f>'Income Statement'!AZ439</f>
        <v>399</v>
      </c>
      <c r="M317" s="391">
        <v>0</v>
      </c>
      <c r="N317" s="391">
        <f>165+25</f>
        <v>190</v>
      </c>
      <c r="O317" s="391">
        <f>'Income Statement'!BO439</f>
        <v>62</v>
      </c>
      <c r="P317" s="327">
        <f>'Income Statement'!BT439</f>
        <v>181</v>
      </c>
      <c r="Q317" s="327">
        <f>'Income Statement'!BY439</f>
        <v>313</v>
      </c>
      <c r="R317" s="327">
        <f>'Income Statement'!CD439</f>
        <v>378</v>
      </c>
      <c r="S317" s="709">
        <f>-S105</f>
        <v>367.68523507430262</v>
      </c>
      <c r="T317" s="709">
        <f t="shared" ref="T317:AA317" si="686">-T105</f>
        <v>357.65193675038404</v>
      </c>
      <c r="U317" s="709">
        <f t="shared" si="686"/>
        <v>347.89242444138773</v>
      </c>
      <c r="V317" s="709">
        <f t="shared" si="686"/>
        <v>338.39922714629813</v>
      </c>
      <c r="W317" s="709">
        <f t="shared" si="686"/>
        <v>329.16507773081736</v>
      </c>
      <c r="X317" s="709">
        <f t="shared" si="686"/>
        <v>320.18290736430333</v>
      </c>
      <c r="Y317" s="709">
        <f t="shared" si="686"/>
        <v>311.44584010851196</v>
      </c>
      <c r="Z317" s="709">
        <f t="shared" si="686"/>
        <v>302.94718765399972</v>
      </c>
      <c r="AA317" s="709">
        <f t="shared" si="686"/>
        <v>294.68044420015804</v>
      </c>
      <c r="AB317" s="307"/>
    </row>
  </sheetData>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263238"/>
  </sheetPr>
  <dimension ref="A2:AO272"/>
  <sheetViews>
    <sheetView zoomScale="85" zoomScaleNormal="85" workbookViewId="0">
      <pane xSplit="2" ySplit="2" topLeftCell="T252" activePane="bottomRight" state="frozen"/>
      <selection activeCell="A5" sqref="A5"/>
      <selection pane="topRight" activeCell="A5" sqref="A5"/>
      <selection pane="bottomLeft" activeCell="A5" sqref="A5"/>
      <selection pane="bottomRight" activeCell="A5" sqref="A5"/>
    </sheetView>
  </sheetViews>
  <sheetFormatPr defaultRowHeight="14.4"/>
  <cols>
    <col min="1" max="1" width="3.21875" style="7" customWidth="1"/>
    <col min="2" max="2" width="38.21875" style="7" customWidth="1"/>
    <col min="3" max="4" width="9.44140625" style="7" customWidth="1"/>
    <col min="5" max="5" width="9.21875" style="7" customWidth="1"/>
    <col min="6" max="6" width="9" style="7" customWidth="1"/>
    <col min="7" max="7" width="8.21875" style="7" customWidth="1"/>
    <col min="8" max="8" width="8" style="7" customWidth="1"/>
    <col min="9" max="32" width="9.77734375" style="7" customWidth="1"/>
    <col min="33" max="33" width="9.21875" style="7"/>
    <col min="34" max="37" width="8.77734375" style="7"/>
    <col min="38" max="256" width="9.21875" style="7"/>
    <col min="257" max="257" width="8" style="7" customWidth="1"/>
    <col min="258" max="258" width="38.21875" style="7" customWidth="1"/>
    <col min="259" max="263" width="0" style="7" hidden="1" customWidth="1"/>
    <col min="264" max="270" width="8" style="7" customWidth="1"/>
    <col min="271" max="512" width="9.21875" style="7"/>
    <col min="513" max="513" width="8" style="7" customWidth="1"/>
    <col min="514" max="514" width="38.21875" style="7" customWidth="1"/>
    <col min="515" max="519" width="0" style="7" hidden="1" customWidth="1"/>
    <col min="520" max="526" width="8" style="7" customWidth="1"/>
    <col min="527" max="768" width="9.21875" style="7"/>
    <col min="769" max="769" width="8" style="7" customWidth="1"/>
    <col min="770" max="770" width="38.21875" style="7" customWidth="1"/>
    <col min="771" max="775" width="0" style="7" hidden="1" customWidth="1"/>
    <col min="776" max="782" width="8" style="7" customWidth="1"/>
    <col min="783" max="1024" width="9.21875" style="7"/>
    <col min="1025" max="1025" width="8" style="7" customWidth="1"/>
    <col min="1026" max="1026" width="38.21875" style="7" customWidth="1"/>
    <col min="1027" max="1031" width="0" style="7" hidden="1" customWidth="1"/>
    <col min="1032" max="1038" width="8" style="7" customWidth="1"/>
    <col min="1039" max="1280" width="9.21875" style="7"/>
    <col min="1281" max="1281" width="8" style="7" customWidth="1"/>
    <col min="1282" max="1282" width="38.21875" style="7" customWidth="1"/>
    <col min="1283" max="1287" width="0" style="7" hidden="1" customWidth="1"/>
    <col min="1288" max="1294" width="8" style="7" customWidth="1"/>
    <col min="1295" max="1536" width="9.21875" style="7"/>
    <col min="1537" max="1537" width="8" style="7" customWidth="1"/>
    <col min="1538" max="1538" width="38.21875" style="7" customWidth="1"/>
    <col min="1539" max="1543" width="0" style="7" hidden="1" customWidth="1"/>
    <col min="1544" max="1550" width="8" style="7" customWidth="1"/>
    <col min="1551" max="1792" width="9.21875" style="7"/>
    <col min="1793" max="1793" width="8" style="7" customWidth="1"/>
    <col min="1794" max="1794" width="38.21875" style="7" customWidth="1"/>
    <col min="1795" max="1799" width="0" style="7" hidden="1" customWidth="1"/>
    <col min="1800" max="1806" width="8" style="7" customWidth="1"/>
    <col min="1807" max="2048" width="9.21875" style="7"/>
    <col min="2049" max="2049" width="8" style="7" customWidth="1"/>
    <col min="2050" max="2050" width="38.21875" style="7" customWidth="1"/>
    <col min="2051" max="2055" width="0" style="7" hidden="1" customWidth="1"/>
    <col min="2056" max="2062" width="8" style="7" customWidth="1"/>
    <col min="2063" max="2304" width="9.21875" style="7"/>
    <col min="2305" max="2305" width="8" style="7" customWidth="1"/>
    <col min="2306" max="2306" width="38.21875" style="7" customWidth="1"/>
    <col min="2307" max="2311" width="0" style="7" hidden="1" customWidth="1"/>
    <col min="2312" max="2318" width="8" style="7" customWidth="1"/>
    <col min="2319" max="2560" width="9.21875" style="7"/>
    <col min="2561" max="2561" width="8" style="7" customWidth="1"/>
    <col min="2562" max="2562" width="38.21875" style="7" customWidth="1"/>
    <col min="2563" max="2567" width="0" style="7" hidden="1" customWidth="1"/>
    <col min="2568" max="2574" width="8" style="7" customWidth="1"/>
    <col min="2575" max="2816" width="9.21875" style="7"/>
    <col min="2817" max="2817" width="8" style="7" customWidth="1"/>
    <col min="2818" max="2818" width="38.21875" style="7" customWidth="1"/>
    <col min="2819" max="2823" width="0" style="7" hidden="1" customWidth="1"/>
    <col min="2824" max="2830" width="8" style="7" customWidth="1"/>
    <col min="2831" max="3072" width="9.21875" style="7"/>
    <col min="3073" max="3073" width="8" style="7" customWidth="1"/>
    <col min="3074" max="3074" width="38.21875" style="7" customWidth="1"/>
    <col min="3075" max="3079" width="0" style="7" hidden="1" customWidth="1"/>
    <col min="3080" max="3086" width="8" style="7" customWidth="1"/>
    <col min="3087" max="3328" width="9.21875" style="7"/>
    <col min="3329" max="3329" width="8" style="7" customWidth="1"/>
    <col min="3330" max="3330" width="38.21875" style="7" customWidth="1"/>
    <col min="3331" max="3335" width="0" style="7" hidden="1" customWidth="1"/>
    <col min="3336" max="3342" width="8" style="7" customWidth="1"/>
    <col min="3343" max="3584" width="9.21875" style="7"/>
    <col min="3585" max="3585" width="8" style="7" customWidth="1"/>
    <col min="3586" max="3586" width="38.21875" style="7" customWidth="1"/>
    <col min="3587" max="3591" width="0" style="7" hidden="1" customWidth="1"/>
    <col min="3592" max="3598" width="8" style="7" customWidth="1"/>
    <col min="3599" max="3840" width="9.21875" style="7"/>
    <col min="3841" max="3841" width="8" style="7" customWidth="1"/>
    <col min="3842" max="3842" width="38.21875" style="7" customWidth="1"/>
    <col min="3843" max="3847" width="0" style="7" hidden="1" customWidth="1"/>
    <col min="3848" max="3854" width="8" style="7" customWidth="1"/>
    <col min="3855" max="4096" width="9.21875" style="7"/>
    <col min="4097" max="4097" width="8" style="7" customWidth="1"/>
    <col min="4098" max="4098" width="38.21875" style="7" customWidth="1"/>
    <col min="4099" max="4103" width="0" style="7" hidden="1" customWidth="1"/>
    <col min="4104" max="4110" width="8" style="7" customWidth="1"/>
    <col min="4111" max="4352" width="9.21875" style="7"/>
    <col min="4353" max="4353" width="8" style="7" customWidth="1"/>
    <col min="4354" max="4354" width="38.21875" style="7" customWidth="1"/>
    <col min="4355" max="4359" width="0" style="7" hidden="1" customWidth="1"/>
    <col min="4360" max="4366" width="8" style="7" customWidth="1"/>
    <col min="4367" max="4608" width="9.21875" style="7"/>
    <col min="4609" max="4609" width="8" style="7" customWidth="1"/>
    <col min="4610" max="4610" width="38.21875" style="7" customWidth="1"/>
    <col min="4611" max="4615" width="0" style="7" hidden="1" customWidth="1"/>
    <col min="4616" max="4622" width="8" style="7" customWidth="1"/>
    <col min="4623" max="4864" width="9.21875" style="7"/>
    <col min="4865" max="4865" width="8" style="7" customWidth="1"/>
    <col min="4866" max="4866" width="38.21875" style="7" customWidth="1"/>
    <col min="4867" max="4871" width="0" style="7" hidden="1" customWidth="1"/>
    <col min="4872" max="4878" width="8" style="7" customWidth="1"/>
    <col min="4879" max="5120" width="9.21875" style="7"/>
    <col min="5121" max="5121" width="8" style="7" customWidth="1"/>
    <col min="5122" max="5122" width="38.21875" style="7" customWidth="1"/>
    <col min="5123" max="5127" width="0" style="7" hidden="1" customWidth="1"/>
    <col min="5128" max="5134" width="8" style="7" customWidth="1"/>
    <col min="5135" max="5376" width="9.21875" style="7"/>
    <col min="5377" max="5377" width="8" style="7" customWidth="1"/>
    <col min="5378" max="5378" width="38.21875" style="7" customWidth="1"/>
    <col min="5379" max="5383" width="0" style="7" hidden="1" customWidth="1"/>
    <col min="5384" max="5390" width="8" style="7" customWidth="1"/>
    <col min="5391" max="5632" width="9.21875" style="7"/>
    <col min="5633" max="5633" width="8" style="7" customWidth="1"/>
    <col min="5634" max="5634" width="38.21875" style="7" customWidth="1"/>
    <col min="5635" max="5639" width="0" style="7" hidden="1" customWidth="1"/>
    <col min="5640" max="5646" width="8" style="7" customWidth="1"/>
    <col min="5647" max="5888" width="9.21875" style="7"/>
    <col min="5889" max="5889" width="8" style="7" customWidth="1"/>
    <col min="5890" max="5890" width="38.21875" style="7" customWidth="1"/>
    <col min="5891" max="5895" width="0" style="7" hidden="1" customWidth="1"/>
    <col min="5896" max="5902" width="8" style="7" customWidth="1"/>
    <col min="5903" max="6144" width="9.21875" style="7"/>
    <col min="6145" max="6145" width="8" style="7" customWidth="1"/>
    <col min="6146" max="6146" width="38.21875" style="7" customWidth="1"/>
    <col min="6147" max="6151" width="0" style="7" hidden="1" customWidth="1"/>
    <col min="6152" max="6158" width="8" style="7" customWidth="1"/>
    <col min="6159" max="6400" width="9.21875" style="7"/>
    <col min="6401" max="6401" width="8" style="7" customWidth="1"/>
    <col min="6402" max="6402" width="38.21875" style="7" customWidth="1"/>
    <col min="6403" max="6407" width="0" style="7" hidden="1" customWidth="1"/>
    <col min="6408" max="6414" width="8" style="7" customWidth="1"/>
    <col min="6415" max="6656" width="9.21875" style="7"/>
    <col min="6657" max="6657" width="8" style="7" customWidth="1"/>
    <col min="6658" max="6658" width="38.21875" style="7" customWidth="1"/>
    <col min="6659" max="6663" width="0" style="7" hidden="1" customWidth="1"/>
    <col min="6664" max="6670" width="8" style="7" customWidth="1"/>
    <col min="6671" max="6912" width="9.21875" style="7"/>
    <col min="6913" max="6913" width="8" style="7" customWidth="1"/>
    <col min="6914" max="6914" width="38.21875" style="7" customWidth="1"/>
    <col min="6915" max="6919" width="0" style="7" hidden="1" customWidth="1"/>
    <col min="6920" max="6926" width="8" style="7" customWidth="1"/>
    <col min="6927" max="7168" width="9.21875" style="7"/>
    <col min="7169" max="7169" width="8" style="7" customWidth="1"/>
    <col min="7170" max="7170" width="38.21875" style="7" customWidth="1"/>
    <col min="7171" max="7175" width="0" style="7" hidden="1" customWidth="1"/>
    <col min="7176" max="7182" width="8" style="7" customWidth="1"/>
    <col min="7183" max="7424" width="9.21875" style="7"/>
    <col min="7425" max="7425" width="8" style="7" customWidth="1"/>
    <col min="7426" max="7426" width="38.21875" style="7" customWidth="1"/>
    <col min="7427" max="7431" width="0" style="7" hidden="1" customWidth="1"/>
    <col min="7432" max="7438" width="8" style="7" customWidth="1"/>
    <col min="7439" max="7680" width="9.21875" style="7"/>
    <col min="7681" max="7681" width="8" style="7" customWidth="1"/>
    <col min="7682" max="7682" width="38.21875" style="7" customWidth="1"/>
    <col min="7683" max="7687" width="0" style="7" hidden="1" customWidth="1"/>
    <col min="7688" max="7694" width="8" style="7" customWidth="1"/>
    <col min="7695" max="7936" width="9.21875" style="7"/>
    <col min="7937" max="7937" width="8" style="7" customWidth="1"/>
    <col min="7938" max="7938" width="38.21875" style="7" customWidth="1"/>
    <col min="7939" max="7943" width="0" style="7" hidden="1" customWidth="1"/>
    <col min="7944" max="7950" width="8" style="7" customWidth="1"/>
    <col min="7951" max="8192" width="9.21875" style="7"/>
    <col min="8193" max="8193" width="8" style="7" customWidth="1"/>
    <col min="8194" max="8194" width="38.21875" style="7" customWidth="1"/>
    <col min="8195" max="8199" width="0" style="7" hidden="1" customWidth="1"/>
    <col min="8200" max="8206" width="8" style="7" customWidth="1"/>
    <col min="8207" max="8448" width="9.21875" style="7"/>
    <col min="8449" max="8449" width="8" style="7" customWidth="1"/>
    <col min="8450" max="8450" width="38.21875" style="7" customWidth="1"/>
    <col min="8451" max="8455" width="0" style="7" hidden="1" customWidth="1"/>
    <col min="8456" max="8462" width="8" style="7" customWidth="1"/>
    <col min="8463" max="8704" width="9.21875" style="7"/>
    <col min="8705" max="8705" width="8" style="7" customWidth="1"/>
    <col min="8706" max="8706" width="38.21875" style="7" customWidth="1"/>
    <col min="8707" max="8711" width="0" style="7" hidden="1" customWidth="1"/>
    <col min="8712" max="8718" width="8" style="7" customWidth="1"/>
    <col min="8719" max="8960" width="9.21875" style="7"/>
    <col min="8961" max="8961" width="8" style="7" customWidth="1"/>
    <col min="8962" max="8962" width="38.21875" style="7" customWidth="1"/>
    <col min="8963" max="8967" width="0" style="7" hidden="1" customWidth="1"/>
    <col min="8968" max="8974" width="8" style="7" customWidth="1"/>
    <col min="8975" max="9216" width="9.21875" style="7"/>
    <col min="9217" max="9217" width="8" style="7" customWidth="1"/>
    <col min="9218" max="9218" width="38.21875" style="7" customWidth="1"/>
    <col min="9219" max="9223" width="0" style="7" hidden="1" customWidth="1"/>
    <col min="9224" max="9230" width="8" style="7" customWidth="1"/>
    <col min="9231" max="9472" width="9.21875" style="7"/>
    <col min="9473" max="9473" width="8" style="7" customWidth="1"/>
    <col min="9474" max="9474" width="38.21875" style="7" customWidth="1"/>
    <col min="9475" max="9479" width="0" style="7" hidden="1" customWidth="1"/>
    <col min="9480" max="9486" width="8" style="7" customWidth="1"/>
    <col min="9487" max="9728" width="9.21875" style="7"/>
    <col min="9729" max="9729" width="8" style="7" customWidth="1"/>
    <col min="9730" max="9730" width="38.21875" style="7" customWidth="1"/>
    <col min="9731" max="9735" width="0" style="7" hidden="1" customWidth="1"/>
    <col min="9736" max="9742" width="8" style="7" customWidth="1"/>
    <col min="9743" max="9984" width="9.21875" style="7"/>
    <col min="9985" max="9985" width="8" style="7" customWidth="1"/>
    <col min="9986" max="9986" width="38.21875" style="7" customWidth="1"/>
    <col min="9987" max="9991" width="0" style="7" hidden="1" customWidth="1"/>
    <col min="9992" max="9998" width="8" style="7" customWidth="1"/>
    <col min="9999" max="10240" width="9.21875" style="7"/>
    <col min="10241" max="10241" width="8" style="7" customWidth="1"/>
    <col min="10242" max="10242" width="38.21875" style="7" customWidth="1"/>
    <col min="10243" max="10247" width="0" style="7" hidden="1" customWidth="1"/>
    <col min="10248" max="10254" width="8" style="7" customWidth="1"/>
    <col min="10255" max="10496" width="9.21875" style="7"/>
    <col min="10497" max="10497" width="8" style="7" customWidth="1"/>
    <col min="10498" max="10498" width="38.21875" style="7" customWidth="1"/>
    <col min="10499" max="10503" width="0" style="7" hidden="1" customWidth="1"/>
    <col min="10504" max="10510" width="8" style="7" customWidth="1"/>
    <col min="10511" max="10752" width="9.21875" style="7"/>
    <col min="10753" max="10753" width="8" style="7" customWidth="1"/>
    <col min="10754" max="10754" width="38.21875" style="7" customWidth="1"/>
    <col min="10755" max="10759" width="0" style="7" hidden="1" customWidth="1"/>
    <col min="10760" max="10766" width="8" style="7" customWidth="1"/>
    <col min="10767" max="11008" width="9.21875" style="7"/>
    <col min="11009" max="11009" width="8" style="7" customWidth="1"/>
    <col min="11010" max="11010" width="38.21875" style="7" customWidth="1"/>
    <col min="11011" max="11015" width="0" style="7" hidden="1" customWidth="1"/>
    <col min="11016" max="11022" width="8" style="7" customWidth="1"/>
    <col min="11023" max="11264" width="9.21875" style="7"/>
    <col min="11265" max="11265" width="8" style="7" customWidth="1"/>
    <col min="11266" max="11266" width="38.21875" style="7" customWidth="1"/>
    <col min="11267" max="11271" width="0" style="7" hidden="1" customWidth="1"/>
    <col min="11272" max="11278" width="8" style="7" customWidth="1"/>
    <col min="11279" max="11520" width="9.21875" style="7"/>
    <col min="11521" max="11521" width="8" style="7" customWidth="1"/>
    <col min="11522" max="11522" width="38.21875" style="7" customWidth="1"/>
    <col min="11523" max="11527" width="0" style="7" hidden="1" customWidth="1"/>
    <col min="11528" max="11534" width="8" style="7" customWidth="1"/>
    <col min="11535" max="11776" width="9.21875" style="7"/>
    <col min="11777" max="11777" width="8" style="7" customWidth="1"/>
    <col min="11778" max="11778" width="38.21875" style="7" customWidth="1"/>
    <col min="11779" max="11783" width="0" style="7" hidden="1" customWidth="1"/>
    <col min="11784" max="11790" width="8" style="7" customWidth="1"/>
    <col min="11791" max="12032" width="9.21875" style="7"/>
    <col min="12033" max="12033" width="8" style="7" customWidth="1"/>
    <col min="12034" max="12034" width="38.21875" style="7" customWidth="1"/>
    <col min="12035" max="12039" width="0" style="7" hidden="1" customWidth="1"/>
    <col min="12040" max="12046" width="8" style="7" customWidth="1"/>
    <col min="12047" max="12288" width="9.21875" style="7"/>
    <col min="12289" max="12289" width="8" style="7" customWidth="1"/>
    <col min="12290" max="12290" width="38.21875" style="7" customWidth="1"/>
    <col min="12291" max="12295" width="0" style="7" hidden="1" customWidth="1"/>
    <col min="12296" max="12302" width="8" style="7" customWidth="1"/>
    <col min="12303" max="12544" width="9.21875" style="7"/>
    <col min="12545" max="12545" width="8" style="7" customWidth="1"/>
    <col min="12546" max="12546" width="38.21875" style="7" customWidth="1"/>
    <col min="12547" max="12551" width="0" style="7" hidden="1" customWidth="1"/>
    <col min="12552" max="12558" width="8" style="7" customWidth="1"/>
    <col min="12559" max="12800" width="9.21875" style="7"/>
    <col min="12801" max="12801" width="8" style="7" customWidth="1"/>
    <col min="12802" max="12802" width="38.21875" style="7" customWidth="1"/>
    <col min="12803" max="12807" width="0" style="7" hidden="1" customWidth="1"/>
    <col min="12808" max="12814" width="8" style="7" customWidth="1"/>
    <col min="12815" max="13056" width="9.21875" style="7"/>
    <col min="13057" max="13057" width="8" style="7" customWidth="1"/>
    <col min="13058" max="13058" width="38.21875" style="7" customWidth="1"/>
    <col min="13059" max="13063" width="0" style="7" hidden="1" customWidth="1"/>
    <col min="13064" max="13070" width="8" style="7" customWidth="1"/>
    <col min="13071" max="13312" width="9.21875" style="7"/>
    <col min="13313" max="13313" width="8" style="7" customWidth="1"/>
    <col min="13314" max="13314" width="38.21875" style="7" customWidth="1"/>
    <col min="13315" max="13319" width="0" style="7" hidden="1" customWidth="1"/>
    <col min="13320" max="13326" width="8" style="7" customWidth="1"/>
    <col min="13327" max="13568" width="9.21875" style="7"/>
    <col min="13569" max="13569" width="8" style="7" customWidth="1"/>
    <col min="13570" max="13570" width="38.21875" style="7" customWidth="1"/>
    <col min="13571" max="13575" width="0" style="7" hidden="1" customWidth="1"/>
    <col min="13576" max="13582" width="8" style="7" customWidth="1"/>
    <col min="13583" max="13824" width="9.21875" style="7"/>
    <col min="13825" max="13825" width="8" style="7" customWidth="1"/>
    <col min="13826" max="13826" width="38.21875" style="7" customWidth="1"/>
    <col min="13827" max="13831" width="0" style="7" hidden="1" customWidth="1"/>
    <col min="13832" max="13838" width="8" style="7" customWidth="1"/>
    <col min="13839" max="14080" width="9.21875" style="7"/>
    <col min="14081" max="14081" width="8" style="7" customWidth="1"/>
    <col min="14082" max="14082" width="38.21875" style="7" customWidth="1"/>
    <col min="14083" max="14087" width="0" style="7" hidden="1" customWidth="1"/>
    <col min="14088" max="14094" width="8" style="7" customWidth="1"/>
    <col min="14095" max="14336" width="9.21875" style="7"/>
    <col min="14337" max="14337" width="8" style="7" customWidth="1"/>
    <col min="14338" max="14338" width="38.21875" style="7" customWidth="1"/>
    <col min="14339" max="14343" width="0" style="7" hidden="1" customWidth="1"/>
    <col min="14344" max="14350" width="8" style="7" customWidth="1"/>
    <col min="14351" max="14592" width="9.21875" style="7"/>
    <col min="14593" max="14593" width="8" style="7" customWidth="1"/>
    <col min="14594" max="14594" width="38.21875" style="7" customWidth="1"/>
    <col min="14595" max="14599" width="0" style="7" hidden="1" customWidth="1"/>
    <col min="14600" max="14606" width="8" style="7" customWidth="1"/>
    <col min="14607" max="14848" width="9.21875" style="7"/>
    <col min="14849" max="14849" width="8" style="7" customWidth="1"/>
    <col min="14850" max="14850" width="38.21875" style="7" customWidth="1"/>
    <col min="14851" max="14855" width="0" style="7" hidden="1" customWidth="1"/>
    <col min="14856" max="14862" width="8" style="7" customWidth="1"/>
    <col min="14863" max="15104" width="9.21875" style="7"/>
    <col min="15105" max="15105" width="8" style="7" customWidth="1"/>
    <col min="15106" max="15106" width="38.21875" style="7" customWidth="1"/>
    <col min="15107" max="15111" width="0" style="7" hidden="1" customWidth="1"/>
    <col min="15112" max="15118" width="8" style="7" customWidth="1"/>
    <col min="15119" max="15360" width="9.21875" style="7"/>
    <col min="15361" max="15361" width="8" style="7" customWidth="1"/>
    <col min="15362" max="15362" width="38.21875" style="7" customWidth="1"/>
    <col min="15363" max="15367" width="0" style="7" hidden="1" customWidth="1"/>
    <col min="15368" max="15374" width="8" style="7" customWidth="1"/>
    <col min="15375" max="15616" width="9.21875" style="7"/>
    <col min="15617" max="15617" width="8" style="7" customWidth="1"/>
    <col min="15618" max="15618" width="38.21875" style="7" customWidth="1"/>
    <col min="15619" max="15623" width="0" style="7" hidden="1" customWidth="1"/>
    <col min="15624" max="15630" width="8" style="7" customWidth="1"/>
    <col min="15631" max="15872" width="9.21875" style="7"/>
    <col min="15873" max="15873" width="8" style="7" customWidth="1"/>
    <col min="15874" max="15874" width="38.21875" style="7" customWidth="1"/>
    <col min="15875" max="15879" width="0" style="7" hidden="1" customWidth="1"/>
    <col min="15880" max="15886" width="8" style="7" customWidth="1"/>
    <col min="15887" max="16128" width="9.21875" style="7"/>
    <col min="16129" max="16129" width="8" style="7" customWidth="1"/>
    <col min="16130" max="16130" width="38.21875" style="7" customWidth="1"/>
    <col min="16131" max="16135" width="0" style="7" hidden="1" customWidth="1"/>
    <col min="16136" max="16142" width="8" style="7" customWidth="1"/>
    <col min="16143" max="16384" width="9.21875" style="7"/>
  </cols>
  <sheetData>
    <row r="2" spans="2:40">
      <c r="B2" s="5" t="s">
        <v>288</v>
      </c>
      <c r="C2" s="6">
        <v>1998</v>
      </c>
      <c r="D2" s="6">
        <v>1999</v>
      </c>
      <c r="E2" s="6">
        <v>2000</v>
      </c>
      <c r="F2" s="6">
        <f t="shared" ref="F2:AN2" si="0">E2+1</f>
        <v>2001</v>
      </c>
      <c r="G2" s="6">
        <f t="shared" si="0"/>
        <v>2002</v>
      </c>
      <c r="H2" s="6">
        <f t="shared" si="0"/>
        <v>2003</v>
      </c>
      <c r="I2" s="6">
        <f t="shared" si="0"/>
        <v>2004</v>
      </c>
      <c r="J2" s="6">
        <f>I2+1</f>
        <v>2005</v>
      </c>
      <c r="K2" s="6">
        <f>J2+1</f>
        <v>2006</v>
      </c>
      <c r="L2" s="6">
        <f>K2+1</f>
        <v>2007</v>
      </c>
      <c r="M2" s="6">
        <f>L2+1</f>
        <v>2008</v>
      </c>
      <c r="N2" s="6">
        <f>M2+1</f>
        <v>2009</v>
      </c>
      <c r="O2" s="6">
        <f t="shared" si="0"/>
        <v>2010</v>
      </c>
      <c r="P2" s="6">
        <f t="shared" si="0"/>
        <v>2011</v>
      </c>
      <c r="Q2" s="6">
        <f t="shared" si="0"/>
        <v>2012</v>
      </c>
      <c r="R2" s="6">
        <f t="shared" si="0"/>
        <v>2013</v>
      </c>
      <c r="S2" s="6">
        <f t="shared" si="0"/>
        <v>2014</v>
      </c>
      <c r="T2" s="6">
        <f t="shared" si="0"/>
        <v>2015</v>
      </c>
      <c r="U2" s="6">
        <f t="shared" si="0"/>
        <v>2016</v>
      </c>
      <c r="V2" s="6">
        <f t="shared" si="0"/>
        <v>2017</v>
      </c>
      <c r="W2" s="6">
        <f t="shared" si="0"/>
        <v>2018</v>
      </c>
      <c r="X2" s="6">
        <f t="shared" si="0"/>
        <v>2019</v>
      </c>
      <c r="Y2" s="6">
        <f t="shared" si="0"/>
        <v>2020</v>
      </c>
      <c r="Z2" s="6">
        <f t="shared" si="0"/>
        <v>2021</v>
      </c>
      <c r="AA2" s="6">
        <f t="shared" si="0"/>
        <v>2022</v>
      </c>
      <c r="AB2" s="6">
        <f t="shared" si="0"/>
        <v>2023</v>
      </c>
      <c r="AC2" s="5">
        <f t="shared" si="0"/>
        <v>2024</v>
      </c>
      <c r="AD2" s="5">
        <f t="shared" si="0"/>
        <v>2025</v>
      </c>
      <c r="AE2" s="5">
        <f t="shared" si="0"/>
        <v>2026</v>
      </c>
      <c r="AF2" s="5">
        <f t="shared" si="0"/>
        <v>2027</v>
      </c>
      <c r="AG2" s="5">
        <f t="shared" si="0"/>
        <v>2028</v>
      </c>
      <c r="AH2" s="5">
        <f t="shared" ref="AH2" si="1">AG2+1</f>
        <v>2029</v>
      </c>
      <c r="AI2" s="5">
        <f t="shared" ref="AI2" si="2">AH2+1</f>
        <v>2030</v>
      </c>
      <c r="AJ2" s="5">
        <f t="shared" ref="AJ2" si="3">AI2+1</f>
        <v>2031</v>
      </c>
      <c r="AK2" s="5">
        <f t="shared" ref="AK2" si="4">AJ2+1</f>
        <v>2032</v>
      </c>
      <c r="AL2" s="5">
        <f t="shared" si="0"/>
        <v>2033</v>
      </c>
      <c r="AM2" s="5">
        <f t="shared" si="0"/>
        <v>2034</v>
      </c>
      <c r="AN2" s="5">
        <f t="shared" si="0"/>
        <v>2035</v>
      </c>
    </row>
    <row r="3" spans="2:40">
      <c r="B3" s="8" t="s">
        <v>289</v>
      </c>
      <c r="C3" s="9"/>
      <c r="D3" s="10"/>
      <c r="E3" s="10"/>
      <c r="F3" s="10"/>
      <c r="G3" s="10"/>
      <c r="H3" s="10"/>
      <c r="I3" s="10"/>
      <c r="J3" s="10"/>
      <c r="K3" s="10"/>
      <c r="L3" s="10">
        <f>L4</f>
        <v>0</v>
      </c>
      <c r="M3" s="10">
        <f t="shared" ref="M3:AK3" si="5">M4</f>
        <v>0</v>
      </c>
      <c r="N3" s="10">
        <f t="shared" si="5"/>
        <v>7500</v>
      </c>
      <c r="O3" s="10">
        <f t="shared" si="5"/>
        <v>7500</v>
      </c>
      <c r="P3" s="10">
        <f t="shared" si="5"/>
        <v>7500</v>
      </c>
      <c r="Q3" s="10">
        <f t="shared" si="5"/>
        <v>7500</v>
      </c>
      <c r="R3" s="10">
        <f t="shared" si="5"/>
        <v>7500</v>
      </c>
      <c r="S3" s="10">
        <f t="shared" si="5"/>
        <v>7500</v>
      </c>
      <c r="T3" s="10">
        <f t="shared" si="5"/>
        <v>7500</v>
      </c>
      <c r="U3" s="10">
        <f t="shared" si="5"/>
        <v>7500</v>
      </c>
      <c r="V3" s="10">
        <f t="shared" si="5"/>
        <v>7500</v>
      </c>
      <c r="W3" s="10">
        <f t="shared" si="5"/>
        <v>7800</v>
      </c>
      <c r="X3" s="10">
        <f t="shared" si="5"/>
        <v>7810</v>
      </c>
      <c r="Y3" s="10">
        <f t="shared" si="5"/>
        <v>7820</v>
      </c>
      <c r="Z3" s="10">
        <f t="shared" si="5"/>
        <v>7825</v>
      </c>
      <c r="AA3" s="10">
        <f t="shared" si="5"/>
        <v>7825</v>
      </c>
      <c r="AB3" s="10">
        <f t="shared" si="5"/>
        <v>7828</v>
      </c>
      <c r="AC3" s="10">
        <f t="shared" si="5"/>
        <v>7832</v>
      </c>
      <c r="AD3" s="10">
        <f t="shared" si="5"/>
        <v>7832</v>
      </c>
      <c r="AE3" s="10">
        <f t="shared" si="5"/>
        <v>7832</v>
      </c>
      <c r="AF3" s="10">
        <f t="shared" si="5"/>
        <v>7832</v>
      </c>
      <c r="AG3" s="10">
        <f t="shared" si="5"/>
        <v>7832</v>
      </c>
      <c r="AH3" s="10">
        <f t="shared" si="5"/>
        <v>7832</v>
      </c>
      <c r="AI3" s="10">
        <f t="shared" si="5"/>
        <v>7832</v>
      </c>
      <c r="AJ3" s="10">
        <f t="shared" si="5"/>
        <v>7832</v>
      </c>
      <c r="AK3" s="10">
        <f t="shared" si="5"/>
        <v>7832</v>
      </c>
      <c r="AL3" s="11"/>
      <c r="AM3" s="11"/>
      <c r="AN3" s="11"/>
    </row>
    <row r="4" spans="2:40">
      <c r="B4" s="8" t="s">
        <v>290</v>
      </c>
      <c r="C4" s="9"/>
      <c r="D4" s="10"/>
      <c r="E4" s="10"/>
      <c r="F4" s="10"/>
      <c r="G4" s="10"/>
      <c r="H4" s="10"/>
      <c r="I4" s="10"/>
      <c r="J4" s="10"/>
      <c r="K4" s="10"/>
      <c r="L4" s="10">
        <f>'Balance Sheet and Cflow'!B212</f>
        <v>0</v>
      </c>
      <c r="M4" s="10">
        <f>'Balance Sheet and Cflow'!C212</f>
        <v>0</v>
      </c>
      <c r="N4" s="10">
        <f>'Balance Sheet and Cflow'!C214</f>
        <v>7500</v>
      </c>
      <c r="O4" s="10">
        <f>'Balance Sheet and Cflow'!D214</f>
        <v>7500</v>
      </c>
      <c r="P4" s="10">
        <f>'Balance Sheet and Cflow'!E214</f>
        <v>7500</v>
      </c>
      <c r="Q4" s="10">
        <f>'Balance Sheet and Cflow'!F214</f>
        <v>7500</v>
      </c>
      <c r="R4" s="10">
        <f>'Balance Sheet and Cflow'!G214</f>
        <v>7500</v>
      </c>
      <c r="S4" s="10">
        <f>'Balance Sheet and Cflow'!H214</f>
        <v>7500</v>
      </c>
      <c r="T4" s="10">
        <f>'Balance Sheet and Cflow'!I214</f>
        <v>7500</v>
      </c>
      <c r="U4" s="10">
        <f>'Balance Sheet and Cflow'!J214</f>
        <v>7500</v>
      </c>
      <c r="V4" s="10">
        <f>'Balance Sheet and Cflow'!K214</f>
        <v>7500</v>
      </c>
      <c r="W4" s="10">
        <f>'Balance Sheet and Cflow'!L214</f>
        <v>7800</v>
      </c>
      <c r="X4" s="10">
        <f>'Balance Sheet and Cflow'!M214</f>
        <v>7810</v>
      </c>
      <c r="Y4" s="10">
        <f>'Balance Sheet and Cflow'!N214</f>
        <v>7820</v>
      </c>
      <c r="Z4" s="10">
        <f>'Balance Sheet and Cflow'!O214</f>
        <v>7825</v>
      </c>
      <c r="AA4" s="10">
        <f>'Balance Sheet and Cflow'!P214</f>
        <v>7825</v>
      </c>
      <c r="AB4" s="10">
        <f>'Balance Sheet and Cflow'!Q214</f>
        <v>7828</v>
      </c>
      <c r="AC4" s="10">
        <f>'Balance Sheet and Cflow'!R214</f>
        <v>7832</v>
      </c>
      <c r="AD4" s="10">
        <f>'Balance Sheet and Cflow'!S214</f>
        <v>7832</v>
      </c>
      <c r="AE4" s="10">
        <f>'Balance Sheet and Cflow'!T214</f>
        <v>7832</v>
      </c>
      <c r="AF4" s="10">
        <f>'Balance Sheet and Cflow'!U214</f>
        <v>7832</v>
      </c>
      <c r="AG4" s="10">
        <f>'Balance Sheet and Cflow'!V214</f>
        <v>7832</v>
      </c>
      <c r="AH4" s="10">
        <f>'Balance Sheet and Cflow'!W214</f>
        <v>7832</v>
      </c>
      <c r="AI4" s="10">
        <f>'Balance Sheet and Cflow'!X214</f>
        <v>7832</v>
      </c>
      <c r="AJ4" s="10">
        <f>'Balance Sheet and Cflow'!Y214</f>
        <v>7832</v>
      </c>
      <c r="AK4" s="10">
        <f>'Balance Sheet and Cflow'!Z214</f>
        <v>7832</v>
      </c>
      <c r="AL4" s="11"/>
      <c r="AM4" s="11"/>
      <c r="AN4" s="11"/>
    </row>
    <row r="5" spans="2:40">
      <c r="B5" s="8" t="s">
        <v>291</v>
      </c>
      <c r="C5" s="9"/>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1"/>
      <c r="AM5" s="11"/>
      <c r="AN5" s="11"/>
    </row>
    <row r="6" spans="2:40">
      <c r="B6" s="8" t="s">
        <v>292</v>
      </c>
      <c r="C6" s="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1"/>
      <c r="AM6" s="11"/>
      <c r="AN6" s="11"/>
    </row>
    <row r="7" spans="2:40">
      <c r="B7" s="8" t="s">
        <v>293</v>
      </c>
      <c r="C7" s="9"/>
      <c r="D7" s="10"/>
      <c r="E7" s="10"/>
      <c r="F7" s="10"/>
      <c r="G7" s="10"/>
      <c r="H7" s="10"/>
      <c r="I7" s="10"/>
      <c r="J7" s="10"/>
      <c r="K7" s="10"/>
      <c r="L7" s="10">
        <f>'Balance Sheet and Cflow'!B135</f>
        <v>0</v>
      </c>
      <c r="M7" s="10">
        <f>'Balance Sheet and Cflow'!C135</f>
        <v>0</v>
      </c>
      <c r="N7" s="10">
        <f>'Balance Sheet and Cflow'!D135</f>
        <v>3874</v>
      </c>
      <c r="O7" s="10">
        <f>'Balance Sheet and Cflow'!E135</f>
        <v>4557</v>
      </c>
      <c r="P7" s="10">
        <f>'Balance Sheet and Cflow'!F135</f>
        <v>5437</v>
      </c>
      <c r="Q7" s="10">
        <f>'Balance Sheet and Cflow'!G135</f>
        <v>6035.8657954545452</v>
      </c>
      <c r="R7" s="10">
        <f>'Balance Sheet and Cflow'!H135</f>
        <v>6715</v>
      </c>
      <c r="S7" s="10">
        <f>'Balance Sheet and Cflow'!I135</f>
        <v>7467</v>
      </c>
      <c r="T7" s="10">
        <f>'Balance Sheet and Cflow'!J135</f>
        <v>8582</v>
      </c>
      <c r="U7" s="10">
        <f>'Balance Sheet and Cflow'!K135</f>
        <v>9182.1881259346228</v>
      </c>
      <c r="V7" s="10">
        <f>'Balance Sheet and Cflow'!L135</f>
        <v>7044.1881259346228</v>
      </c>
      <c r="W7" s="10">
        <f>'Balance Sheet and Cflow'!M135</f>
        <v>7079.7609999999995</v>
      </c>
      <c r="X7" s="10">
        <f>'Balance Sheet and Cflow'!N135</f>
        <v>8365</v>
      </c>
      <c r="Y7" s="10">
        <f>'Balance Sheet and Cflow'!O135</f>
        <v>9028</v>
      </c>
      <c r="Z7" s="10">
        <f>'Balance Sheet and Cflow'!P135</f>
        <v>8899</v>
      </c>
      <c r="AA7" s="10">
        <f>'Balance Sheet and Cflow'!Q135</f>
        <v>9237</v>
      </c>
      <c r="AB7" s="10">
        <f>'Balance Sheet and Cflow'!R135</f>
        <v>9203</v>
      </c>
      <c r="AC7" s="10">
        <f>'Balance Sheet and Cflow'!S135</f>
        <v>8604.890687474779</v>
      </c>
      <c r="AD7" s="10">
        <f>'Balance Sheet and Cflow'!T135</f>
        <v>8152.3738875259796</v>
      </c>
      <c r="AE7" s="10">
        <f>'Balance Sheet and Cflow'!U135</f>
        <v>7783.577819341338</v>
      </c>
      <c r="AF7" s="10">
        <f>'Balance Sheet and Cflow'!V135</f>
        <v>7480.1534197715027</v>
      </c>
      <c r="AG7" s="10">
        <f>'Balance Sheet and Cflow'!W135</f>
        <v>7229.2509489681961</v>
      </c>
      <c r="AH7" s="10">
        <f>'Balance Sheet and Cflow'!X135</f>
        <v>7021.9245199056213</v>
      </c>
      <c r="AI7" s="10">
        <f>'Balance Sheet and Cflow'!Y135</f>
        <v>6848.0538679851688</v>
      </c>
      <c r="AJ7" s="10">
        <f>'Balance Sheet and Cflow'!Z135</f>
        <v>6700.2350268326227</v>
      </c>
      <c r="AK7" s="10">
        <f>'Balance Sheet and Cflow'!AA135</f>
        <v>6707.0519303798128</v>
      </c>
      <c r="AL7" s="11"/>
      <c r="AM7" s="11"/>
      <c r="AN7" s="11"/>
    </row>
    <row r="8" spans="2:40">
      <c r="B8" s="8" t="s">
        <v>294</v>
      </c>
      <c r="C8" s="9"/>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1"/>
      <c r="AM8" s="11"/>
      <c r="AN8" s="11"/>
    </row>
    <row r="9" spans="2:40">
      <c r="B9" s="8" t="s">
        <v>295</v>
      </c>
      <c r="C9" s="9"/>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1"/>
      <c r="AM9" s="11"/>
      <c r="AN9" s="11"/>
    </row>
    <row r="10" spans="2:40">
      <c r="B10" s="8" t="s">
        <v>296</v>
      </c>
      <c r="C10" s="9"/>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1"/>
      <c r="AM10" s="11"/>
      <c r="AN10" s="11"/>
    </row>
    <row r="11" spans="2:40">
      <c r="B11" s="8" t="s">
        <v>297</v>
      </c>
      <c r="C11" s="9"/>
      <c r="D11" s="12"/>
      <c r="E11" s="12"/>
      <c r="F11" s="12"/>
      <c r="G11" s="12"/>
      <c r="H11" s="12"/>
      <c r="I11" s="12"/>
      <c r="J11" s="12"/>
      <c r="K11" s="12"/>
      <c r="L11" s="12"/>
      <c r="M11" s="12"/>
      <c r="N11" s="12"/>
      <c r="O11" s="12"/>
      <c r="P11" s="12"/>
      <c r="Q11" s="12"/>
      <c r="R11" s="12"/>
      <c r="S11" s="12"/>
      <c r="T11" s="12"/>
      <c r="U11" s="12"/>
      <c r="V11" s="12">
        <v>0</v>
      </c>
      <c r="W11" s="12">
        <v>0</v>
      </c>
      <c r="X11" s="12">
        <v>0</v>
      </c>
      <c r="Y11" s="12">
        <v>0</v>
      </c>
      <c r="Z11" s="12">
        <f>-'DCF and Valuation'!G56</f>
        <v>0</v>
      </c>
      <c r="AA11" s="12">
        <f>-'DCF and Valuation'!H56</f>
        <v>0</v>
      </c>
      <c r="AB11" s="12">
        <f>-'DCF and Valuation'!I56</f>
        <v>0</v>
      </c>
      <c r="AC11" s="12">
        <f>-'DCF and Valuation'!J56</f>
        <v>0</v>
      </c>
      <c r="AD11" s="12">
        <f>-'DCF and Valuation'!K56</f>
        <v>1574.3410637688767</v>
      </c>
      <c r="AE11" s="12">
        <f>-'DCF and Valuation'!L56</f>
        <v>3310.2948739867802</v>
      </c>
      <c r="AF11" s="12">
        <f>-'DCF and Valuation'!M56</f>
        <v>5198.2444764902812</v>
      </c>
      <c r="AG11" s="12">
        <f>-'DCF and Valuation'!N56</f>
        <v>7231.9823051299545</v>
      </c>
      <c r="AH11" s="12">
        <f>-'DCF and Valuation'!O56</f>
        <v>9400.1790488565857</v>
      </c>
      <c r="AI11" s="12">
        <f>-'DCF and Valuation'!P56</f>
        <v>11694.751109755276</v>
      </c>
      <c r="AJ11" s="12">
        <f>-'DCF and Valuation'!Q56</f>
        <v>14110.152091356773</v>
      </c>
      <c r="AK11" s="12">
        <f>-'DCF and Valuation'!R56</f>
        <v>16642.732164323141</v>
      </c>
      <c r="AL11" s="11"/>
      <c r="AM11" s="11"/>
      <c r="AN11" s="11"/>
    </row>
    <row r="12" spans="2:40">
      <c r="B12" s="8" t="s">
        <v>298</v>
      </c>
      <c r="C12" s="9"/>
      <c r="D12" s="10"/>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1"/>
      <c r="AM12" s="11"/>
      <c r="AN12" s="11"/>
    </row>
    <row r="13" spans="2:40">
      <c r="B13" s="8" t="s">
        <v>299</v>
      </c>
      <c r="C13" s="9"/>
      <c r="D13" s="13"/>
      <c r="E13" s="13"/>
      <c r="F13" s="13"/>
      <c r="G13" s="13"/>
      <c r="H13" s="13"/>
      <c r="I13" s="13"/>
      <c r="J13" s="13"/>
      <c r="K13" s="13"/>
      <c r="L13" s="13">
        <f>'Income Statement'!B466</f>
        <v>0</v>
      </c>
      <c r="M13" s="13">
        <f>'Income Statement'!G466</f>
        <v>0</v>
      </c>
      <c r="N13" s="13">
        <f>'Income Statement'!L466</f>
        <v>0.09</v>
      </c>
      <c r="O13" s="13">
        <f>'Income Statement'!Q466</f>
        <v>0.4</v>
      </c>
      <c r="P13" s="13">
        <f>'Income Statement'!V466</f>
        <v>0.4</v>
      </c>
      <c r="Q13" s="13">
        <f>'Income Statement'!AA466</f>
        <v>0.4</v>
      </c>
      <c r="R13" s="13">
        <f>'Income Statement'!AF466</f>
        <v>0.4</v>
      </c>
      <c r="S13" s="13">
        <f>'Income Statement'!AK466</f>
        <v>0.4</v>
      </c>
      <c r="T13" s="13">
        <f>'Income Statement'!AP466</f>
        <v>0.2</v>
      </c>
      <c r="U13" s="13">
        <f>'Income Statement'!AU466</f>
        <v>0.2</v>
      </c>
      <c r="V13" s="13">
        <f>'Income Statement'!AZ466</f>
        <v>0.2</v>
      </c>
      <c r="W13" s="13">
        <f>'Income Statement'!BE466</f>
        <v>0.2</v>
      </c>
      <c r="X13" s="13">
        <f>'Income Statement'!BJ466</f>
        <v>0.2</v>
      </c>
      <c r="Y13" s="13">
        <f>'Income Statement'!BO466</f>
        <v>0.16999999999999998</v>
      </c>
      <c r="Z13" s="13">
        <f>'Income Statement'!BT466</f>
        <v>0.16999999999999998</v>
      </c>
      <c r="AA13" s="13">
        <f>'Income Statement'!BY466</f>
        <v>0.2</v>
      </c>
      <c r="AB13" s="13">
        <f>'Income Statement'!CD466</f>
        <v>0.16</v>
      </c>
      <c r="AC13" s="13">
        <f>'Income Statement'!CE466</f>
        <v>0.17830725180964557</v>
      </c>
      <c r="AD13" s="13">
        <f>'Income Statement'!CF466</f>
        <v>0.2010139254046063</v>
      </c>
      <c r="AE13" s="13">
        <f>'Income Statement'!CG466</f>
        <v>0.22164885217286817</v>
      </c>
      <c r="AF13" s="13">
        <f>'Income Statement'!CH466</f>
        <v>0.24105587365979331</v>
      </c>
      <c r="AG13" s="13">
        <f>'Income Statement'!CI466</f>
        <v>0.2596703049846365</v>
      </c>
      <c r="AH13" s="13">
        <f>'Income Statement'!CJ466</f>
        <v>0.27683819506213359</v>
      </c>
      <c r="AI13" s="13">
        <f>'Income Statement'!CK466</f>
        <v>0.29297396078890325</v>
      </c>
      <c r="AJ13" s="13">
        <f>'Income Statement'!CL466</f>
        <v>0.308401555362806</v>
      </c>
      <c r="AK13" s="13">
        <f>'Income Statement'!CM466</f>
        <v>0.32336313495484803</v>
      </c>
      <c r="AL13" s="11"/>
      <c r="AM13" s="11"/>
      <c r="AN13" s="11"/>
    </row>
    <row r="14" spans="2:40">
      <c r="B14" s="8" t="s">
        <v>100</v>
      </c>
      <c r="C14" s="9"/>
      <c r="D14" s="13"/>
      <c r="E14" s="13"/>
      <c r="F14" s="13"/>
      <c r="G14" s="13"/>
      <c r="H14" s="13"/>
      <c r="I14" s="13"/>
      <c r="J14" s="13"/>
      <c r="K14" s="13"/>
      <c r="L14" s="13">
        <f>'Income Statement'!B464</f>
        <v>0</v>
      </c>
      <c r="M14" s="13">
        <f>'Income Statement'!G464</f>
        <v>0</v>
      </c>
      <c r="N14" s="13">
        <f>'Income Statement'!L464</f>
        <v>0.29759999999999998</v>
      </c>
      <c r="O14" s="13">
        <f>'Income Statement'!Q464</f>
        <v>0.30599999999999999</v>
      </c>
      <c r="P14" s="13">
        <f>'Income Statement'!V464</f>
        <v>0.33693333333333331</v>
      </c>
      <c r="Q14" s="13">
        <f>'Income Statement'!AA464</f>
        <v>0.248</v>
      </c>
      <c r="R14" s="13">
        <f>'Income Statement'!AF464</f>
        <v>0.26453333333333334</v>
      </c>
      <c r="S14" s="13">
        <f>'Income Statement'!AK464</f>
        <v>0.23</v>
      </c>
      <c r="T14" s="13">
        <f>'Income Statement'!AP464</f>
        <v>0.23293333333333333</v>
      </c>
      <c r="U14" s="13">
        <f>'Income Statement'!AU464</f>
        <v>0.26840000000000003</v>
      </c>
      <c r="V14" s="13">
        <f>'Income Statement'!AZ464</f>
        <v>0.28000000000000003</v>
      </c>
      <c r="W14" s="13">
        <f>'Income Statement'!BE464</f>
        <v>0.23533333333333334</v>
      </c>
      <c r="X14" s="13">
        <f>'Income Statement'!BJ464</f>
        <v>0.19424552429667519</v>
      </c>
      <c r="Y14" s="13">
        <f>'Income Statement'!BO464</f>
        <v>0.17699680511182109</v>
      </c>
      <c r="Z14" s="13">
        <f>'Income Statement'!BT464</f>
        <v>0.15539936102236421</v>
      </c>
      <c r="AA14" s="13">
        <f>'Income Statement'!BY464</f>
        <v>0.14715836711911176</v>
      </c>
      <c r="AB14" s="13">
        <f>'Income Statement'!CD464</f>
        <v>0.1268542199488491</v>
      </c>
      <c r="AC14" s="13">
        <f>'Income Statement'!CE464</f>
        <v>0.18194617531596488</v>
      </c>
      <c r="AD14" s="13">
        <f>'Income Statement'!CF464</f>
        <v>0.20511625041286358</v>
      </c>
      <c r="AE14" s="13">
        <f>'Income Statement'!CG464</f>
        <v>0.22617229813557976</v>
      </c>
      <c r="AF14" s="13">
        <f>'Income Statement'!CH464</f>
        <v>0.24597538128550339</v>
      </c>
      <c r="AG14" s="13">
        <f>'Income Statement'!CI464</f>
        <v>0.26496969896391481</v>
      </c>
      <c r="AH14" s="13">
        <f>'Income Statement'!CJ464</f>
        <v>0.2824879541450343</v>
      </c>
      <c r="AI14" s="13">
        <f>'Income Statement'!CK464</f>
        <v>0.29895302121316658</v>
      </c>
      <c r="AJ14" s="13">
        <f>'Income Statement'!CL464</f>
        <v>0.31469546465592452</v>
      </c>
      <c r="AK14" s="13">
        <f>'Income Statement'!CM464</f>
        <v>0.32996238260698779</v>
      </c>
      <c r="AL14" s="11"/>
      <c r="AM14" s="11"/>
      <c r="AN14" s="11"/>
    </row>
    <row r="15" spans="2:40">
      <c r="B15" s="8" t="s">
        <v>300</v>
      </c>
      <c r="C15" s="9"/>
      <c r="D15" s="13"/>
      <c r="E15" s="13"/>
      <c r="F15" s="13"/>
      <c r="G15" s="13"/>
      <c r="H15" s="13"/>
      <c r="I15" s="13"/>
      <c r="J15" s="13"/>
      <c r="K15" s="13"/>
      <c r="L15" s="13">
        <f>'Income Statement'!B463</f>
        <v>0</v>
      </c>
      <c r="M15" s="13">
        <f>'Income Statement'!G463</f>
        <v>0</v>
      </c>
      <c r="N15" s="13">
        <f>'Income Statement'!L463</f>
        <v>0.29759999999999998</v>
      </c>
      <c r="O15" s="13">
        <f>'Income Statement'!Q463</f>
        <v>0.30599999999999999</v>
      </c>
      <c r="P15" s="13">
        <f>'Income Statement'!V463</f>
        <v>0.33746666666666669</v>
      </c>
      <c r="Q15" s="13">
        <f>'Income Statement'!AA463</f>
        <v>0.26573333333333332</v>
      </c>
      <c r="R15" s="13">
        <f>'Income Statement'!AF463</f>
        <v>0.28039999999999998</v>
      </c>
      <c r="S15" s="13">
        <f>'Income Statement'!AK463</f>
        <v>0.21434158320871693</v>
      </c>
      <c r="T15" s="13">
        <f>'Income Statement'!AP463</f>
        <v>0.27522389501719724</v>
      </c>
      <c r="U15" s="13">
        <f>'Income Statement'!AU463</f>
        <v>0.26279999999999998</v>
      </c>
      <c r="V15" s="13">
        <f>'Income Statement'!AZ463</f>
        <v>0.26338658146964855</v>
      </c>
      <c r="W15" s="13">
        <f>'Income Statement'!BE463</f>
        <v>0.23533333333333334</v>
      </c>
      <c r="X15" s="13">
        <f>'Income Statement'!BJ463</f>
        <v>0.19092071611253197</v>
      </c>
      <c r="Y15" s="13">
        <f>'Income Statement'!BO463</f>
        <v>0.17621483375959077</v>
      </c>
      <c r="Z15" s="13">
        <f>'Income Statement'!BT463</f>
        <v>0.16726342710997444</v>
      </c>
      <c r="AA15" s="13">
        <f>'Income Statement'!BY463</f>
        <v>0.14715836711911176</v>
      </c>
      <c r="AB15" s="13">
        <f>'Income Statement'!CD463</f>
        <v>0.1268542199488491</v>
      </c>
      <c r="AC15" s="13">
        <f>'Income Statement'!CE463</f>
        <v>0.18194617531596488</v>
      </c>
      <c r="AD15" s="13">
        <f>'Income Statement'!CF463</f>
        <v>0.20511625041286358</v>
      </c>
      <c r="AE15" s="13">
        <f>'Income Statement'!CG463</f>
        <v>0.22617229813557976</v>
      </c>
      <c r="AF15" s="13">
        <f>'Income Statement'!CH463</f>
        <v>0.24597538128550339</v>
      </c>
      <c r="AG15" s="13">
        <f>'Income Statement'!CI463</f>
        <v>0.26496969896391481</v>
      </c>
      <c r="AH15" s="13">
        <f>'Income Statement'!CJ463</f>
        <v>0.2824879541450343</v>
      </c>
      <c r="AI15" s="13">
        <f>'Income Statement'!CK463</f>
        <v>0.29895302121316658</v>
      </c>
      <c r="AJ15" s="13">
        <f>'Income Statement'!CL463</f>
        <v>0.31469546465592452</v>
      </c>
      <c r="AK15" s="13">
        <f>'Income Statement'!CM463</f>
        <v>0.32996238260698779</v>
      </c>
      <c r="AL15" s="11"/>
      <c r="AM15" s="11"/>
      <c r="AN15" s="11"/>
    </row>
    <row r="16" spans="2:40">
      <c r="C16" s="14"/>
      <c r="D16" s="15"/>
      <c r="E16" s="15"/>
      <c r="F16" s="15"/>
      <c r="G16" s="15"/>
      <c r="H16" s="15"/>
      <c r="I16" s="15"/>
      <c r="J16" s="15"/>
      <c r="K16" s="15"/>
      <c r="L16" s="15"/>
      <c r="M16" s="15"/>
      <c r="N16" s="15"/>
      <c r="O16" s="15"/>
      <c r="P16" s="15"/>
      <c r="Q16" s="15"/>
      <c r="R16" s="15"/>
      <c r="S16" s="15"/>
      <c r="T16" s="15"/>
      <c r="U16" s="15"/>
      <c r="V16" s="15"/>
      <c r="W16" s="15"/>
      <c r="X16" s="14"/>
      <c r="Y16" s="14"/>
      <c r="Z16" s="14"/>
      <c r="AA16" s="14"/>
      <c r="AB16" s="14"/>
      <c r="AC16" s="14"/>
      <c r="AD16" s="14"/>
      <c r="AE16" s="14"/>
      <c r="AF16" s="14"/>
      <c r="AG16" s="14"/>
      <c r="AH16" s="14"/>
      <c r="AI16" s="14"/>
      <c r="AJ16" s="14"/>
      <c r="AK16" s="14"/>
    </row>
    <row r="17" spans="2:40">
      <c r="B17" s="5" t="s">
        <v>301</v>
      </c>
      <c r="C17" s="6">
        <v>1998</v>
      </c>
      <c r="D17" s="16">
        <v>1999</v>
      </c>
      <c r="E17" s="16">
        <v>2000</v>
      </c>
      <c r="F17" s="16">
        <f t="shared" ref="F17:AN17" si="6">E17+1</f>
        <v>2001</v>
      </c>
      <c r="G17" s="16">
        <f t="shared" si="6"/>
        <v>2002</v>
      </c>
      <c r="H17" s="16">
        <f t="shared" si="6"/>
        <v>2003</v>
      </c>
      <c r="I17" s="16">
        <v>2004</v>
      </c>
      <c r="J17" s="16">
        <f>I17+1</f>
        <v>2005</v>
      </c>
      <c r="K17" s="16">
        <f>J17+1</f>
        <v>2006</v>
      </c>
      <c r="L17" s="16">
        <f>K17+1</f>
        <v>2007</v>
      </c>
      <c r="M17" s="16">
        <f>L17+1</f>
        <v>2008</v>
      </c>
      <c r="N17" s="16">
        <f>M17+1</f>
        <v>2009</v>
      </c>
      <c r="O17" s="16">
        <f t="shared" si="6"/>
        <v>2010</v>
      </c>
      <c r="P17" s="16">
        <f t="shared" si="6"/>
        <v>2011</v>
      </c>
      <c r="Q17" s="16">
        <f t="shared" si="6"/>
        <v>2012</v>
      </c>
      <c r="R17" s="16">
        <f t="shared" si="6"/>
        <v>2013</v>
      </c>
      <c r="S17" s="16">
        <f t="shared" si="6"/>
        <v>2014</v>
      </c>
      <c r="T17" s="16">
        <f t="shared" si="6"/>
        <v>2015</v>
      </c>
      <c r="U17" s="16">
        <f t="shared" si="6"/>
        <v>2016</v>
      </c>
      <c r="V17" s="16">
        <f t="shared" si="6"/>
        <v>2017</v>
      </c>
      <c r="W17" s="16">
        <f t="shared" si="6"/>
        <v>2018</v>
      </c>
      <c r="X17" s="6">
        <f t="shared" si="6"/>
        <v>2019</v>
      </c>
      <c r="Y17" s="6">
        <f t="shared" si="6"/>
        <v>2020</v>
      </c>
      <c r="Z17" s="6">
        <f t="shared" si="6"/>
        <v>2021</v>
      </c>
      <c r="AA17" s="6">
        <f t="shared" si="6"/>
        <v>2022</v>
      </c>
      <c r="AB17" s="6">
        <f t="shared" si="6"/>
        <v>2023</v>
      </c>
      <c r="AC17" s="6">
        <f t="shared" si="6"/>
        <v>2024</v>
      </c>
      <c r="AD17" s="6">
        <f t="shared" si="6"/>
        <v>2025</v>
      </c>
      <c r="AE17" s="6">
        <f t="shared" si="6"/>
        <v>2026</v>
      </c>
      <c r="AF17" s="6">
        <f t="shared" si="6"/>
        <v>2027</v>
      </c>
      <c r="AG17" s="6">
        <f t="shared" si="6"/>
        <v>2028</v>
      </c>
      <c r="AH17" s="6">
        <f t="shared" ref="AH17" si="7">AG17+1</f>
        <v>2029</v>
      </c>
      <c r="AI17" s="6">
        <f t="shared" ref="AI17" si="8">AH17+1</f>
        <v>2030</v>
      </c>
      <c r="AJ17" s="6">
        <f t="shared" ref="AJ17" si="9">AI17+1</f>
        <v>2031</v>
      </c>
      <c r="AK17" s="6">
        <f t="shared" ref="AK17" si="10">AJ17+1</f>
        <v>2032</v>
      </c>
      <c r="AL17" s="5">
        <f t="shared" si="6"/>
        <v>2033</v>
      </c>
      <c r="AM17" s="5">
        <f t="shared" si="6"/>
        <v>2034</v>
      </c>
      <c r="AN17" s="5">
        <f t="shared" si="6"/>
        <v>2035</v>
      </c>
    </row>
    <row r="18" spans="2:40">
      <c r="B18" s="8" t="s">
        <v>302</v>
      </c>
      <c r="C18" s="9"/>
      <c r="D18" s="10"/>
      <c r="E18" s="10"/>
      <c r="F18" s="10"/>
      <c r="G18" s="10"/>
      <c r="H18" s="10"/>
      <c r="I18" s="10"/>
      <c r="J18" s="10"/>
      <c r="K18" s="10"/>
      <c r="L18" s="10">
        <f>'Income Statement'!B29</f>
        <v>7690</v>
      </c>
      <c r="M18" s="10">
        <f>'Income Statement'!G29</f>
        <v>8449.9</v>
      </c>
      <c r="N18" s="10">
        <f>'Income Statement'!L29</f>
        <v>8612</v>
      </c>
      <c r="O18" s="10">
        <f>'Income Statement'!Q29</f>
        <v>8869</v>
      </c>
      <c r="P18" s="10">
        <f>'Income Statement'!V29</f>
        <v>8783</v>
      </c>
      <c r="Q18" s="10">
        <f>'Income Statement'!AA29</f>
        <v>8880</v>
      </c>
      <c r="R18" s="10">
        <f>'Income Statement'!AF29</f>
        <v>9028.3719999999994</v>
      </c>
      <c r="S18" s="10">
        <f>'Income Statement'!AK29</f>
        <v>8404</v>
      </c>
      <c r="T18" s="10">
        <f>'Income Statement'!AP29</f>
        <v>8601</v>
      </c>
      <c r="U18" s="10">
        <f>'Income Statement'!AU29</f>
        <v>8612</v>
      </c>
      <c r="V18" s="10">
        <f>'Income Statement'!AZ29</f>
        <v>9419</v>
      </c>
      <c r="W18" s="10">
        <f>'Income Statement'!BE29</f>
        <v>9192</v>
      </c>
      <c r="X18" s="10">
        <f>'Income Statement'!BJ29</f>
        <v>9313</v>
      </c>
      <c r="Y18" s="10">
        <f>'Income Statement'!BO29</f>
        <v>8966</v>
      </c>
      <c r="Z18" s="10">
        <f>'Income Statement'!BT29</f>
        <v>9241</v>
      </c>
      <c r="AA18" s="10">
        <f>'Income Statement'!BY29</f>
        <v>9789</v>
      </c>
      <c r="AB18" s="10">
        <f>'Income Statement'!CD29</f>
        <v>10180</v>
      </c>
      <c r="AC18" s="10">
        <f>'Income Statement'!CE29</f>
        <v>10628.828973949185</v>
      </c>
      <c r="AD18" s="10">
        <f>'Income Statement'!CF29</f>
        <v>10904.154172576371</v>
      </c>
      <c r="AE18" s="10">
        <f>'Income Statement'!CG29</f>
        <v>11209.68564380456</v>
      </c>
      <c r="AF18" s="10">
        <f>'Income Statement'!CH29</f>
        <v>11548.62078907947</v>
      </c>
      <c r="AG18" s="10">
        <f>'Income Statement'!CI29</f>
        <v>11918.346764710979</v>
      </c>
      <c r="AH18" s="10">
        <f>'Income Statement'!CJ29</f>
        <v>12287.580727253633</v>
      </c>
      <c r="AI18" s="10">
        <f>'Income Statement'!CK29</f>
        <v>12657.115188796175</v>
      </c>
      <c r="AJ18" s="10">
        <f>'Income Statement'!CL29</f>
        <v>13027.720388369175</v>
      </c>
      <c r="AK18" s="10">
        <f>'Income Statement'!CM29</f>
        <v>13400.146684438816</v>
      </c>
      <c r="AL18" s="11"/>
      <c r="AM18" s="11"/>
      <c r="AN18" s="11"/>
    </row>
    <row r="19" spans="2:40">
      <c r="B19" s="8" t="s">
        <v>303</v>
      </c>
      <c r="C19" s="9"/>
      <c r="D19" s="10"/>
      <c r="E19" s="10"/>
      <c r="F19" s="10"/>
      <c r="G19" s="10"/>
      <c r="H19" s="10"/>
      <c r="I19" s="10"/>
      <c r="J19" s="10"/>
      <c r="K19" s="10"/>
      <c r="L19" s="10">
        <f>'Income Statement'!B36</f>
        <v>0</v>
      </c>
      <c r="M19" s="10">
        <f>'Income Statement'!G36</f>
        <v>4402.2000000000007</v>
      </c>
      <c r="N19" s="10">
        <f>'Income Statement'!L36</f>
        <v>4220</v>
      </c>
      <c r="O19" s="10">
        <f>'Income Statement'!Q36</f>
        <v>4416</v>
      </c>
      <c r="P19" s="10">
        <f>'Income Statement'!V36</f>
        <v>4423</v>
      </c>
      <c r="Q19" s="10">
        <f>'Income Statement'!AA36</f>
        <v>4359</v>
      </c>
      <c r="R19" s="10">
        <f>'Income Statement'!AF36</f>
        <v>4364</v>
      </c>
      <c r="S19" s="10">
        <f>'Income Statement'!AK36</f>
        <v>4272</v>
      </c>
      <c r="T19" s="10">
        <f>'Income Statement'!AP36</f>
        <v>4331</v>
      </c>
      <c r="U19" s="10">
        <f>'Income Statement'!AU36</f>
        <v>4551</v>
      </c>
      <c r="V19" s="10">
        <f>'Income Statement'!AZ36</f>
        <v>4308</v>
      </c>
      <c r="W19" s="10">
        <f>'Income Statement'!BE36</f>
        <v>3817</v>
      </c>
      <c r="X19" s="10">
        <f>'Income Statement'!BJ36</f>
        <v>3891</v>
      </c>
      <c r="Y19" s="10">
        <f>'Income Statement'!BO36</f>
        <v>3759</v>
      </c>
      <c r="Z19" s="10">
        <f>'Income Statement'!BT36</f>
        <v>3858</v>
      </c>
      <c r="AA19" s="10">
        <f>'Income Statement'!BY36</f>
        <v>3929</v>
      </c>
      <c r="AB19" s="10">
        <f>'Income Statement'!CD36</f>
        <v>3960</v>
      </c>
      <c r="AC19" s="10">
        <f>'Income Statement'!CE36</f>
        <v>4171.0576269054345</v>
      </c>
      <c r="AD19" s="10">
        <f>'Income Statement'!CF36</f>
        <v>4296.5338349015092</v>
      </c>
      <c r="AE19" s="10">
        <f>'Income Statement'!CG36</f>
        <v>4436.3939792013425</v>
      </c>
      <c r="AF19" s="10">
        <f>'Income Statement'!CH36</f>
        <v>4589.6746823582716</v>
      </c>
      <c r="AG19" s="10">
        <f>'Income Statement'!CI36</f>
        <v>4755.1149503443366</v>
      </c>
      <c r="AH19" s="10">
        <f>'Income Statement'!CJ36</f>
        <v>4921.3878769655921</v>
      </c>
      <c r="AI19" s="10">
        <f>'Income Statement'!CK36</f>
        <v>5088.8125944151761</v>
      </c>
      <c r="AJ19" s="10">
        <f>'Income Statement'!CL36</f>
        <v>5257.7045052849217</v>
      </c>
      <c r="AK19" s="10">
        <f>'Income Statement'!CM36</f>
        <v>5428.3759740857668</v>
      </c>
      <c r="AL19" s="11"/>
      <c r="AM19" s="11"/>
      <c r="AN19" s="11"/>
    </row>
    <row r="20" spans="2:40">
      <c r="B20" s="7" t="s">
        <v>304</v>
      </c>
      <c r="C20" s="9"/>
      <c r="D20" s="10"/>
      <c r="E20" s="10"/>
      <c r="F20" s="10"/>
      <c r="G20" s="10"/>
      <c r="H20" s="10"/>
      <c r="I20" s="10"/>
      <c r="J20" s="10"/>
      <c r="K20" s="10"/>
      <c r="L20" s="10">
        <f>-'Balance Sheet and Cflow'!B93</f>
        <v>894</v>
      </c>
      <c r="M20" s="10">
        <f>-'Balance Sheet and Cflow'!C93</f>
        <v>1192.2</v>
      </c>
      <c r="N20" s="10">
        <f>-'Balance Sheet and Cflow'!D93</f>
        <v>1165</v>
      </c>
      <c r="O20" s="10">
        <f>-'Balance Sheet and Cflow'!E93</f>
        <v>1073</v>
      </c>
      <c r="P20" s="10">
        <f>-'Balance Sheet and Cflow'!F93</f>
        <v>1191</v>
      </c>
      <c r="Q20" s="10">
        <f>-'Balance Sheet and Cflow'!G93</f>
        <v>1362</v>
      </c>
      <c r="R20" s="10">
        <f>-'Balance Sheet and Cflow'!H93</f>
        <v>1366</v>
      </c>
      <c r="S20" s="10">
        <f>-'Balance Sheet and Cflow'!I93</f>
        <v>1427</v>
      </c>
      <c r="T20" s="10">
        <f>-'Balance Sheet and Cflow'!J93</f>
        <v>991</v>
      </c>
      <c r="U20" s="10">
        <f>-'Balance Sheet and Cflow'!K93</f>
        <v>1052</v>
      </c>
      <c r="V20" s="10">
        <f>-'Balance Sheet and Cflow'!L93</f>
        <v>1021</v>
      </c>
      <c r="W20" s="10">
        <f>-'Balance Sheet and Cflow'!M93</f>
        <v>1068</v>
      </c>
      <c r="X20" s="10">
        <f>-'Balance Sheet and Cflow'!N93</f>
        <v>1075</v>
      </c>
      <c r="Y20" s="10">
        <f>-'Balance Sheet and Cflow'!O93</f>
        <v>1413</v>
      </c>
      <c r="Z20" s="10">
        <f>-'Balance Sheet and Cflow'!P93</f>
        <v>1520</v>
      </c>
      <c r="AA20" s="10">
        <f>-'Balance Sheet and Cflow'!Q93</f>
        <v>1408</v>
      </c>
      <c r="AB20" s="10">
        <f>-'Balance Sheet and Cflow'!R93</f>
        <v>1525</v>
      </c>
      <c r="AC20" s="10">
        <f>-'Balance Sheet and Cflow'!S93</f>
        <v>1456.0383046639474</v>
      </c>
      <c r="AD20" s="10">
        <f>-'Balance Sheet and Cflow'!T93</f>
        <v>1378.4585291306005</v>
      </c>
      <c r="AE20" s="10">
        <f>-'Balance Sheet and Cflow'!U93</f>
        <v>1330.0496987573997</v>
      </c>
      <c r="AF20" s="10">
        <f>-'Balance Sheet and Cflow'!V93</f>
        <v>1303.8214625706964</v>
      </c>
      <c r="AG20" s="10">
        <f>-'Balance Sheet and Cflow'!W93</f>
        <v>1294.7690431608307</v>
      </c>
      <c r="AH20" s="10">
        <f>-'Balance Sheet and Cflow'!X93</f>
        <v>1299.1634178655656</v>
      </c>
      <c r="AI20" s="10">
        <f>-'Balance Sheet and Cflow'!Y93</f>
        <v>1313.3534258016905</v>
      </c>
      <c r="AJ20" s="10">
        <f>-'Balance Sheet and Cflow'!Z93</f>
        <v>1334.6988946034251</v>
      </c>
      <c r="AK20" s="10">
        <f>-'Balance Sheet and Cflow'!AA93</f>
        <v>1361.2965681055894</v>
      </c>
      <c r="AL20" s="11"/>
      <c r="AM20" s="11"/>
      <c r="AN20" s="11"/>
    </row>
    <row r="21" spans="2:40">
      <c r="B21" s="7" t="s">
        <v>305</v>
      </c>
      <c r="C21" s="9"/>
      <c r="D21" s="10"/>
      <c r="E21" s="10"/>
      <c r="F21" s="10"/>
      <c r="G21" s="10"/>
      <c r="H21" s="10"/>
      <c r="I21" s="10"/>
      <c r="J21" s="10"/>
      <c r="K21" s="10"/>
      <c r="L21" s="10">
        <f>-'Balance Sheet and Cflow'!B105</f>
        <v>0</v>
      </c>
      <c r="M21" s="10">
        <f>-'Balance Sheet and Cflow'!C105</f>
        <v>0</v>
      </c>
      <c r="N21" s="10">
        <f>-'Balance Sheet and Cflow'!D105</f>
        <v>0</v>
      </c>
      <c r="O21" s="10">
        <f>-'Balance Sheet and Cflow'!E105</f>
        <v>0</v>
      </c>
      <c r="P21" s="10">
        <f>-'Balance Sheet and Cflow'!F105</f>
        <v>0</v>
      </c>
      <c r="Q21" s="10">
        <f>-'Balance Sheet and Cflow'!G105</f>
        <v>0</v>
      </c>
      <c r="R21" s="10">
        <f>-'Balance Sheet and Cflow'!H105</f>
        <v>0</v>
      </c>
      <c r="S21" s="10">
        <f>-'Balance Sheet and Cflow'!I105</f>
        <v>0</v>
      </c>
      <c r="T21" s="10">
        <f>-'Balance Sheet and Cflow'!J105</f>
        <v>279</v>
      </c>
      <c r="U21" s="10">
        <f>-'Balance Sheet and Cflow'!K105</f>
        <v>341</v>
      </c>
      <c r="V21" s="10">
        <f>-'Balance Sheet and Cflow'!L105</f>
        <v>399</v>
      </c>
      <c r="W21" s="10">
        <f>-'Balance Sheet and Cflow'!M105</f>
        <v>0</v>
      </c>
      <c r="X21" s="10">
        <f>-'Balance Sheet and Cflow'!N105</f>
        <v>190</v>
      </c>
      <c r="Y21" s="10">
        <f>-'Balance Sheet and Cflow'!O105</f>
        <v>62</v>
      </c>
      <c r="Z21" s="10">
        <f>-'Balance Sheet and Cflow'!P105</f>
        <v>181</v>
      </c>
      <c r="AA21" s="10">
        <f>-'Balance Sheet and Cflow'!Q105</f>
        <v>313</v>
      </c>
      <c r="AB21" s="10">
        <f>-'Balance Sheet and Cflow'!R105</f>
        <v>378</v>
      </c>
      <c r="AC21" s="10">
        <f>-'Balance Sheet and Cflow'!S105</f>
        <v>367.68523507430262</v>
      </c>
      <c r="AD21" s="10">
        <f>-'Balance Sheet and Cflow'!T105</f>
        <v>357.65193675038404</v>
      </c>
      <c r="AE21" s="10">
        <f>-'Balance Sheet and Cflow'!U105</f>
        <v>347.89242444138773</v>
      </c>
      <c r="AF21" s="10">
        <f>-'Balance Sheet and Cflow'!V105</f>
        <v>338.39922714629813</v>
      </c>
      <c r="AG21" s="10">
        <f>-'Balance Sheet and Cflow'!W105</f>
        <v>329.16507773081736</v>
      </c>
      <c r="AH21" s="10">
        <f>-'Balance Sheet and Cflow'!X105</f>
        <v>320.18290736430333</v>
      </c>
      <c r="AI21" s="10">
        <f>-'Balance Sheet and Cflow'!Y105</f>
        <v>311.44584010851196</v>
      </c>
      <c r="AJ21" s="10">
        <f>-'Balance Sheet and Cflow'!Z105</f>
        <v>302.94718765399972</v>
      </c>
      <c r="AK21" s="10">
        <f>-'Balance Sheet and Cflow'!AA105</f>
        <v>294.68044420015804</v>
      </c>
      <c r="AL21" s="11"/>
      <c r="AM21" s="11"/>
      <c r="AN21" s="11"/>
    </row>
    <row r="22" spans="2:40">
      <c r="B22" s="8" t="s">
        <v>306</v>
      </c>
      <c r="C22" s="9"/>
      <c r="D22" s="10"/>
      <c r="E22" s="10"/>
      <c r="F22" s="10"/>
      <c r="G22" s="10"/>
      <c r="H22" s="10"/>
      <c r="I22" s="10"/>
      <c r="J22" s="10"/>
      <c r="K22" s="10"/>
      <c r="L22" s="10">
        <f>'Income Statement'!B473</f>
        <v>1124</v>
      </c>
      <c r="M22" s="10">
        <f>'Income Statement'!G473</f>
        <v>802.8</v>
      </c>
      <c r="N22" s="10">
        <f>'Income Statement'!L473</f>
        <v>590</v>
      </c>
      <c r="O22" s="10">
        <f>'Income Statement'!Q473</f>
        <v>1444</v>
      </c>
      <c r="P22" s="10">
        <f>'Income Statement'!V473</f>
        <v>989</v>
      </c>
      <c r="Q22" s="10">
        <f>'Income Statement'!AA473</f>
        <v>990</v>
      </c>
      <c r="R22" s="10">
        <f>'Income Statement'!AF473</f>
        <v>815</v>
      </c>
      <c r="S22" s="10">
        <f>'Income Statement'!AK473</f>
        <v>1140</v>
      </c>
      <c r="T22" s="10">
        <f>'Income Statement'!AP473</f>
        <v>1304</v>
      </c>
      <c r="U22" s="10">
        <f>'Income Statement'!AU473</f>
        <v>1189</v>
      </c>
      <c r="V22" s="10">
        <f>'Income Statement'!AZ473</f>
        <v>1028</v>
      </c>
      <c r="W22" s="10">
        <f>'Income Statement'!BE473</f>
        <v>1038</v>
      </c>
      <c r="X22" s="10">
        <f>'Income Statement'!BJ473</f>
        <v>1213</v>
      </c>
      <c r="Y22" s="10">
        <f>'Income Statement'!BO473</f>
        <v>1245</v>
      </c>
      <c r="Z22" s="10">
        <f>'Income Statement'!BT473</f>
        <v>1187</v>
      </c>
      <c r="AA22" s="10">
        <f>'Income Statement'!BY473</f>
        <v>1114</v>
      </c>
      <c r="AB22" s="10">
        <f>'Income Statement'!CD473</f>
        <v>813</v>
      </c>
      <c r="AC22" s="10">
        <f>'Income Statement'!CE473</f>
        <v>1169.1711871344103</v>
      </c>
      <c r="AD22" s="10">
        <f>'Income Statement'!CF473</f>
        <v>1199.4569589834009</v>
      </c>
      <c r="AE22" s="10">
        <f>'Income Statement'!CG473</f>
        <v>1233.0654208185015</v>
      </c>
      <c r="AF22" s="10">
        <f>'Income Statement'!CH473</f>
        <v>1270.3482867987418</v>
      </c>
      <c r="AG22" s="10">
        <f>'Income Statement'!CI473</f>
        <v>1311.0181441182078</v>
      </c>
      <c r="AH22" s="10">
        <f>'Income Statement'!CJ473</f>
        <v>1351.6338799978996</v>
      </c>
      <c r="AI22" s="10">
        <f>'Income Statement'!CK473</f>
        <v>1392.2826707675792</v>
      </c>
      <c r="AJ22" s="10">
        <f>'Income Statement'!CL473</f>
        <v>1433.0492427206093</v>
      </c>
      <c r="AK22" s="10">
        <f>'Income Statement'!CM473</f>
        <v>1608.0176021326579</v>
      </c>
      <c r="AL22" s="11"/>
      <c r="AM22" s="11"/>
      <c r="AN22" s="11"/>
    </row>
    <row r="23" spans="2:40">
      <c r="B23" s="8" t="s">
        <v>307</v>
      </c>
      <c r="C23" s="9"/>
      <c r="D23" s="10"/>
      <c r="E23" s="10"/>
      <c r="F23" s="10"/>
      <c r="G23" s="10"/>
      <c r="H23" s="10"/>
      <c r="I23" s="10"/>
      <c r="J23" s="10">
        <f>J19-J22</f>
        <v>0</v>
      </c>
      <c r="K23" s="10">
        <f>K19-K22</f>
        <v>0</v>
      </c>
      <c r="L23" s="10">
        <f>L19-L22</f>
        <v>-1124</v>
      </c>
      <c r="M23" s="10">
        <f>M19-M22</f>
        <v>3599.4000000000005</v>
      </c>
      <c r="N23" s="10">
        <f t="shared" ref="N23:Y23" si="11">N19-N22</f>
        <v>3630</v>
      </c>
      <c r="O23" s="10">
        <f t="shared" si="11"/>
        <v>2972</v>
      </c>
      <c r="P23" s="10">
        <f t="shared" si="11"/>
        <v>3434</v>
      </c>
      <c r="Q23" s="10">
        <f t="shared" si="11"/>
        <v>3369</v>
      </c>
      <c r="R23" s="10">
        <f t="shared" si="11"/>
        <v>3549</v>
      </c>
      <c r="S23" s="10">
        <f t="shared" si="11"/>
        <v>3132</v>
      </c>
      <c r="T23" s="10">
        <f t="shared" si="11"/>
        <v>3027</v>
      </c>
      <c r="U23" s="10">
        <f t="shared" si="11"/>
        <v>3362</v>
      </c>
      <c r="V23" s="10">
        <f t="shared" si="11"/>
        <v>3280</v>
      </c>
      <c r="W23" s="10">
        <f t="shared" si="11"/>
        <v>2779</v>
      </c>
      <c r="X23" s="10">
        <f t="shared" si="11"/>
        <v>2678</v>
      </c>
      <c r="Y23" s="10">
        <f t="shared" si="11"/>
        <v>2514</v>
      </c>
      <c r="Z23" s="10">
        <f t="shared" ref="Z23:AG23" si="12">Z19-Z22</f>
        <v>2671</v>
      </c>
      <c r="AA23" s="10">
        <f t="shared" si="12"/>
        <v>2815</v>
      </c>
      <c r="AB23" s="10">
        <f t="shared" si="12"/>
        <v>3147</v>
      </c>
      <c r="AC23" s="10">
        <f t="shared" si="12"/>
        <v>3001.886439771024</v>
      </c>
      <c r="AD23" s="10">
        <f t="shared" si="12"/>
        <v>3097.0768759181083</v>
      </c>
      <c r="AE23" s="10">
        <f t="shared" si="12"/>
        <v>3203.328558382841</v>
      </c>
      <c r="AF23" s="10">
        <f t="shared" si="12"/>
        <v>3319.3263955595298</v>
      </c>
      <c r="AG23" s="10">
        <f t="shared" si="12"/>
        <v>3444.096806226129</v>
      </c>
      <c r="AH23" s="10">
        <f t="shared" ref="AH23:AK23" si="13">AH19-AH22</f>
        <v>3569.7539969676927</v>
      </c>
      <c r="AI23" s="10">
        <f t="shared" si="13"/>
        <v>3696.5299236475967</v>
      </c>
      <c r="AJ23" s="10">
        <f t="shared" si="13"/>
        <v>3824.6552625643126</v>
      </c>
      <c r="AK23" s="10">
        <f t="shared" si="13"/>
        <v>3820.3583719531089</v>
      </c>
      <c r="AL23" s="11"/>
      <c r="AM23" s="11"/>
      <c r="AN23" s="11"/>
    </row>
    <row r="24" spans="2:40">
      <c r="B24" s="8" t="s">
        <v>308</v>
      </c>
      <c r="C24" s="9"/>
      <c r="D24" s="10"/>
      <c r="E24" s="10"/>
      <c r="F24" s="10"/>
      <c r="G24" s="10"/>
      <c r="H24" s="10"/>
      <c r="I24" s="10"/>
      <c r="J24" s="10" t="e">
        <f>J23*(1-[6]Financials!G168)</f>
        <v>#REF!</v>
      </c>
      <c r="K24" s="10" t="e">
        <f>K23*(1-[6]Financials!L168)</f>
        <v>#REF!</v>
      </c>
      <c r="L24" s="10">
        <f>L23*(1-'DCF and Valuation'!$B41)</f>
        <v>-843</v>
      </c>
      <c r="M24" s="10">
        <f>M23*(1-'DCF and Valuation'!$B41)</f>
        <v>2699.55</v>
      </c>
      <c r="N24" s="10">
        <f>N23*(1-'DCF and Valuation'!$B41)</f>
        <v>2722.5</v>
      </c>
      <c r="O24" s="10">
        <f>O23*(1-'DCF and Valuation'!$B41)</f>
        <v>2229</v>
      </c>
      <c r="P24" s="10">
        <f>P23*(1-'DCF and Valuation'!$B41)</f>
        <v>2575.5</v>
      </c>
      <c r="Q24" s="10">
        <f>Q23*(1-'DCF and Valuation'!$B41)</f>
        <v>2526.75</v>
      </c>
      <c r="R24" s="10">
        <f>R23*(1-'DCF and Valuation'!$B41)</f>
        <v>2661.75</v>
      </c>
      <c r="S24" s="10">
        <f>S23*(1-'DCF and Valuation'!$B41)</f>
        <v>2349</v>
      </c>
      <c r="T24" s="10">
        <f>T23*(1-'DCF and Valuation'!$B41)</f>
        <v>2270.25</v>
      </c>
      <c r="U24" s="10">
        <f>U23*(1-'DCF and Valuation'!$B41)</f>
        <v>2521.5</v>
      </c>
      <c r="V24" s="10">
        <f>V23*(1-'DCF and Valuation'!$B41)</f>
        <v>2460</v>
      </c>
      <c r="W24" s="10">
        <f>W23*(1-'DCF and Valuation'!$B41)</f>
        <v>2084.25</v>
      </c>
      <c r="X24" s="10">
        <f>X23*(1-'DCF and Valuation'!$B41)</f>
        <v>2008.5</v>
      </c>
      <c r="Y24" s="10">
        <f>Y23*(1-'DCF and Valuation'!$B41)</f>
        <v>1885.5</v>
      </c>
      <c r="Z24" s="10">
        <f>Z23*(1-'DCF and Valuation'!$B41)</f>
        <v>2003.25</v>
      </c>
      <c r="AA24" s="10">
        <f>AA23*(1-'DCF and Valuation'!$B41)</f>
        <v>2111.25</v>
      </c>
      <c r="AB24" s="10">
        <f>AB23*(1-'DCF and Valuation'!$B41)</f>
        <v>2360.25</v>
      </c>
      <c r="AC24" s="10">
        <f>AC23*(1-'DCF and Valuation'!$B41)</f>
        <v>2251.414829828268</v>
      </c>
      <c r="AD24" s="10">
        <f>AD23*(1-'DCF and Valuation'!$B41)</f>
        <v>2322.8076569385812</v>
      </c>
      <c r="AE24" s="10">
        <f>AE23*(1-'DCF and Valuation'!$B41)</f>
        <v>2402.496418787131</v>
      </c>
      <c r="AF24" s="10">
        <f>AF23*(1-'DCF and Valuation'!$B41)</f>
        <v>2489.4947966696473</v>
      </c>
      <c r="AG24" s="10">
        <f>AG23*(1-'DCF and Valuation'!$B41)</f>
        <v>2583.0726046695968</v>
      </c>
      <c r="AH24" s="10">
        <f>AH23*(1-'DCF and Valuation'!$B41)</f>
        <v>2677.3154977257695</v>
      </c>
      <c r="AI24" s="10">
        <f>AI23*(1-'DCF and Valuation'!$B41)</f>
        <v>2772.3974427356975</v>
      </c>
      <c r="AJ24" s="10">
        <f>AJ23*(1-'DCF and Valuation'!$B41)</f>
        <v>2868.4914469232344</v>
      </c>
      <c r="AK24" s="10">
        <f>AK23*(1-'DCF and Valuation'!$B41)</f>
        <v>2865.2687789648317</v>
      </c>
      <c r="AL24" s="11"/>
      <c r="AM24" s="11"/>
      <c r="AN24" s="11"/>
    </row>
    <row r="25" spans="2:40">
      <c r="B25" s="8" t="s">
        <v>293</v>
      </c>
      <c r="C25" s="9"/>
      <c r="D25" s="10"/>
      <c r="E25" s="10"/>
      <c r="F25" s="10"/>
      <c r="G25" s="10"/>
      <c r="H25" s="10"/>
      <c r="I25" s="10"/>
      <c r="J25" s="10">
        <f>J7</f>
        <v>0</v>
      </c>
      <c r="K25" s="10">
        <f>K7</f>
        <v>0</v>
      </c>
      <c r="L25" s="10">
        <f>L7</f>
        <v>0</v>
      </c>
      <c r="M25" s="10">
        <f>M7</f>
        <v>0</v>
      </c>
      <c r="N25" s="10">
        <f t="shared" ref="N25:Y25" si="14">N7</f>
        <v>3874</v>
      </c>
      <c r="O25" s="10">
        <f t="shared" si="14"/>
        <v>4557</v>
      </c>
      <c r="P25" s="10">
        <f t="shared" si="14"/>
        <v>5437</v>
      </c>
      <c r="Q25" s="10">
        <f t="shared" si="14"/>
        <v>6035.8657954545452</v>
      </c>
      <c r="R25" s="10">
        <f t="shared" si="14"/>
        <v>6715</v>
      </c>
      <c r="S25" s="10">
        <f t="shared" si="14"/>
        <v>7467</v>
      </c>
      <c r="T25" s="10">
        <f t="shared" si="14"/>
        <v>8582</v>
      </c>
      <c r="U25" s="10">
        <f t="shared" si="14"/>
        <v>9182.1881259346228</v>
      </c>
      <c r="V25" s="10">
        <f t="shared" si="14"/>
        <v>7044.1881259346228</v>
      </c>
      <c r="W25" s="10">
        <f t="shared" si="14"/>
        <v>7079.7609999999995</v>
      </c>
      <c r="X25" s="10">
        <f t="shared" si="14"/>
        <v>8365</v>
      </c>
      <c r="Y25" s="10">
        <f t="shared" si="14"/>
        <v>9028</v>
      </c>
      <c r="Z25" s="10">
        <f t="shared" ref="Z25:AG25" si="15">Z7</f>
        <v>8899</v>
      </c>
      <c r="AA25" s="10">
        <f t="shared" si="15"/>
        <v>9237</v>
      </c>
      <c r="AB25" s="10">
        <f t="shared" si="15"/>
        <v>9203</v>
      </c>
      <c r="AC25" s="10">
        <f t="shared" si="15"/>
        <v>8604.890687474779</v>
      </c>
      <c r="AD25" s="10">
        <f t="shared" si="15"/>
        <v>8152.3738875259796</v>
      </c>
      <c r="AE25" s="10">
        <f t="shared" si="15"/>
        <v>7783.577819341338</v>
      </c>
      <c r="AF25" s="10">
        <f t="shared" si="15"/>
        <v>7480.1534197715027</v>
      </c>
      <c r="AG25" s="10">
        <f t="shared" si="15"/>
        <v>7229.2509489681961</v>
      </c>
      <c r="AH25" s="10">
        <f t="shared" ref="AH25:AK25" si="16">AH7</f>
        <v>7021.9245199056213</v>
      </c>
      <c r="AI25" s="10">
        <f t="shared" si="16"/>
        <v>6848.0538679851688</v>
      </c>
      <c r="AJ25" s="10">
        <f t="shared" si="16"/>
        <v>6700.2350268326227</v>
      </c>
      <c r="AK25" s="10">
        <f t="shared" si="16"/>
        <v>6707.0519303798128</v>
      </c>
      <c r="AL25" s="11"/>
      <c r="AM25" s="11"/>
      <c r="AN25" s="11"/>
    </row>
    <row r="26" spans="2:40">
      <c r="B26" s="8" t="s">
        <v>309</v>
      </c>
      <c r="C26" s="9"/>
      <c r="D26" s="10"/>
      <c r="E26" s="10"/>
      <c r="F26" s="10"/>
      <c r="G26" s="10"/>
      <c r="H26" s="10"/>
      <c r="I26" s="10"/>
      <c r="J26" s="10"/>
      <c r="K26" s="10"/>
      <c r="L26" s="10">
        <v>0</v>
      </c>
      <c r="M26" s="10">
        <v>0</v>
      </c>
      <c r="N26" s="10">
        <v>0</v>
      </c>
      <c r="O26" s="10">
        <v>0</v>
      </c>
      <c r="P26" s="10">
        <v>0</v>
      </c>
      <c r="Q26" s="10">
        <v>0</v>
      </c>
      <c r="R26" s="10">
        <v>0</v>
      </c>
      <c r="S26" s="10">
        <v>0</v>
      </c>
      <c r="T26" s="10">
        <v>0</v>
      </c>
      <c r="U26" s="10">
        <v>0</v>
      </c>
      <c r="V26" s="10">
        <v>0</v>
      </c>
      <c r="W26" s="10">
        <v>0</v>
      </c>
      <c r="X26" s="10">
        <v>0</v>
      </c>
      <c r="Y26" s="10">
        <v>0</v>
      </c>
      <c r="Z26" s="10">
        <v>0</v>
      </c>
      <c r="AA26" s="10">
        <v>0</v>
      </c>
      <c r="AB26" s="10">
        <v>0</v>
      </c>
      <c r="AC26" s="10">
        <v>0</v>
      </c>
      <c r="AD26" s="10">
        <v>0</v>
      </c>
      <c r="AE26" s="10">
        <v>0</v>
      </c>
      <c r="AF26" s="10">
        <v>0</v>
      </c>
      <c r="AG26" s="10">
        <v>0</v>
      </c>
      <c r="AH26" s="10">
        <v>0</v>
      </c>
      <c r="AI26" s="10">
        <v>0</v>
      </c>
      <c r="AJ26" s="10">
        <v>0</v>
      </c>
      <c r="AK26" s="10">
        <v>0</v>
      </c>
      <c r="AL26" s="11"/>
      <c r="AM26" s="11"/>
      <c r="AN26" s="11"/>
    </row>
    <row r="27" spans="2:40">
      <c r="B27" s="8" t="s">
        <v>310</v>
      </c>
      <c r="C27" s="9"/>
      <c r="D27" s="10"/>
      <c r="E27" s="10"/>
      <c r="F27" s="10"/>
      <c r="G27" s="10"/>
      <c r="H27" s="10"/>
      <c r="I27" s="10"/>
      <c r="J27" s="10"/>
      <c r="K27" s="10"/>
      <c r="L27" s="10">
        <f>'Balance Sheet and Cflow'!B37</f>
        <v>0</v>
      </c>
      <c r="M27" s="10">
        <f>'Balance Sheet and Cflow'!C37</f>
        <v>0</v>
      </c>
      <c r="N27" s="10">
        <f>'Balance Sheet and Cflow'!D37</f>
        <v>8945</v>
      </c>
      <c r="O27" s="10">
        <f>'Balance Sheet and Cflow'!E37</f>
        <v>8667</v>
      </c>
      <c r="P27" s="10">
        <f>'Balance Sheet and Cflow'!F37</f>
        <v>8088</v>
      </c>
      <c r="Q27" s="10">
        <f>'Balance Sheet and Cflow'!G37</f>
        <v>7081</v>
      </c>
      <c r="R27" s="10">
        <f>'Balance Sheet and Cflow'!H37</f>
        <v>6016</v>
      </c>
      <c r="S27" s="10">
        <f>'Balance Sheet and Cflow'!I37</f>
        <v>4739</v>
      </c>
      <c r="T27" s="10">
        <f>'Balance Sheet and Cflow'!J37</f>
        <v>4220</v>
      </c>
      <c r="U27" s="10">
        <f>'Balance Sheet and Cflow'!K37</f>
        <v>4721</v>
      </c>
      <c r="V27" s="10">
        <f>'Balance Sheet and Cflow'!L37</f>
        <v>7041</v>
      </c>
      <c r="W27" s="10">
        <f>'Balance Sheet and Cflow'!M37</f>
        <v>7149</v>
      </c>
      <c r="X27" s="10">
        <f>'Balance Sheet and Cflow'!N37</f>
        <v>7070</v>
      </c>
      <c r="Y27" s="10">
        <f>'Balance Sheet and Cflow'!O37</f>
        <v>7050</v>
      </c>
      <c r="Z27" s="10">
        <f>'Balance Sheet and Cflow'!P37</f>
        <v>6725</v>
      </c>
      <c r="AA27" s="10">
        <f>'Balance Sheet and Cflow'!Q37</f>
        <v>6371</v>
      </c>
      <c r="AB27" s="10">
        <f>'Balance Sheet and Cflow'!R37</f>
        <v>5744</v>
      </c>
      <c r="AC27" s="10">
        <f>'Balance Sheet and Cflow'!S37</f>
        <v>5772.5000489014928</v>
      </c>
      <c r="AD27" s="10">
        <f>'Balance Sheet and Cflow'!T37</f>
        <v>5804.6294583661638</v>
      </c>
      <c r="AE27" s="10">
        <f>'Balance Sheet and Cflow'!U37</f>
        <v>5840.0570871461205</v>
      </c>
      <c r="AF27" s="10">
        <f>'Balance Sheet and Cflow'!V37</f>
        <v>5878.5866708706826</v>
      </c>
      <c r="AG27" s="10">
        <f>'Balance Sheet and Cflow'!W37</f>
        <v>5920.0915245163897</v>
      </c>
      <c r="AH27" s="10">
        <f>'Balance Sheet and Cflow'!X37</f>
        <v>5964.3404376536682</v>
      </c>
      <c r="AI27" s="10">
        <f>'Balance Sheet and Cflow'!Y37</f>
        <v>6011.1684388964986</v>
      </c>
      <c r="AJ27" s="10">
        <f>'Balance Sheet and Cflow'!Z37</f>
        <v>6060.4623364802028</v>
      </c>
      <c r="AK27" s="10">
        <f>'Balance Sheet and Cflow'!AA37</f>
        <v>6112.1476440917613</v>
      </c>
      <c r="AL27" s="11"/>
      <c r="AM27" s="11"/>
      <c r="AN27" s="11"/>
    </row>
    <row r="28" spans="2:40">
      <c r="B28" s="8" t="s">
        <v>311</v>
      </c>
      <c r="C28" s="9"/>
      <c r="D28" s="10"/>
      <c r="E28" s="10"/>
      <c r="F28" s="10"/>
      <c r="G28" s="10"/>
      <c r="H28" s="10"/>
      <c r="I28" s="10"/>
      <c r="J28" s="10"/>
      <c r="K28" s="10"/>
      <c r="L28" s="10">
        <f>'Balance Sheet and Cflow'!B126</f>
        <v>-8.6000000000000014</v>
      </c>
      <c r="M28" s="10">
        <f>'Balance Sheet and Cflow'!C126</f>
        <v>17.899999999999999</v>
      </c>
      <c r="N28" s="10">
        <f>'Balance Sheet and Cflow'!D126</f>
        <v>-48</v>
      </c>
      <c r="O28" s="10">
        <f>'Balance Sheet and Cflow'!E126</f>
        <v>-211</v>
      </c>
      <c r="P28" s="10">
        <f>'Balance Sheet and Cflow'!F126</f>
        <v>-228</v>
      </c>
      <c r="Q28" s="10">
        <f>'Balance Sheet and Cflow'!G126</f>
        <v>-288</v>
      </c>
      <c r="R28" s="10">
        <f>'Balance Sheet and Cflow'!H126</f>
        <v>-329</v>
      </c>
      <c r="S28" s="10">
        <f>'Balance Sheet and Cflow'!I126</f>
        <v>-389</v>
      </c>
      <c r="T28" s="10">
        <f>'Balance Sheet and Cflow'!J126</f>
        <v>-412</v>
      </c>
      <c r="U28" s="10">
        <f>'Balance Sheet and Cflow'!K126</f>
        <v>-669</v>
      </c>
      <c r="V28" s="10">
        <f>'Balance Sheet and Cflow'!L126</f>
        <v>-384</v>
      </c>
      <c r="W28" s="10">
        <f>'Balance Sheet and Cflow'!M126</f>
        <v>-344.279</v>
      </c>
      <c r="X28" s="10">
        <f>'Balance Sheet and Cflow'!N126</f>
        <v>-399</v>
      </c>
      <c r="Y28" s="10">
        <f>'Balance Sheet and Cflow'!O126</f>
        <v>-405</v>
      </c>
      <c r="Z28" s="10">
        <f>'Balance Sheet and Cflow'!P126</f>
        <v>-413</v>
      </c>
      <c r="AA28" s="10">
        <f>'Balance Sheet and Cflow'!Q126</f>
        <v>-407</v>
      </c>
      <c r="AB28" s="10">
        <f>'Balance Sheet and Cflow'!R126</f>
        <v>-446</v>
      </c>
      <c r="AC28" s="10">
        <f>'Balance Sheet and Cflow'!S126</f>
        <v>-447.33082706766919</v>
      </c>
      <c r="AD28" s="10">
        <f>'Balance Sheet and Cflow'!T126</f>
        <v>-418.46273804246124</v>
      </c>
      <c r="AE28" s="10">
        <f>'Balance Sheet and Cflow'!U126</f>
        <v>-396.60993733874074</v>
      </c>
      <c r="AF28" s="10">
        <f>'Balance Sheet and Cflow'!V126</f>
        <v>-378.81507767052676</v>
      </c>
      <c r="AG28" s="10">
        <f>'Balance Sheet and Cflow'!W126</f>
        <v>-364.19058640551424</v>
      </c>
      <c r="AH28" s="10">
        <f>'Balance Sheet and Cflow'!X126</f>
        <v>-352.11400925051061</v>
      </c>
      <c r="AI28" s="10">
        <f>'Balance Sheet and Cflow'!Y126</f>
        <v>-342.14657898294593</v>
      </c>
      <c r="AJ28" s="10">
        <f>'Balance Sheet and Cflow'!Z126</f>
        <v>-333.79858411389534</v>
      </c>
      <c r="AK28" s="10">
        <f>'Balance Sheet and Cflow'!AA126</f>
        <v>-326.71178767611491</v>
      </c>
      <c r="AL28" s="11"/>
      <c r="AM28" s="11"/>
      <c r="AN28" s="11"/>
    </row>
    <row r="29" spans="2:40">
      <c r="B29" s="8" t="s">
        <v>312</v>
      </c>
      <c r="C29" s="9"/>
      <c r="D29" s="10"/>
      <c r="E29" s="10"/>
      <c r="F29" s="10"/>
      <c r="G29" s="10"/>
      <c r="H29" s="10"/>
      <c r="I29" s="10"/>
      <c r="J29" s="10"/>
      <c r="K29" s="10"/>
      <c r="L29" s="10">
        <f>'Income Statement'!B457</f>
        <v>1979.9</v>
      </c>
      <c r="M29" s="10">
        <f>'Income Statement'!G457</f>
        <v>2400.6000000000013</v>
      </c>
      <c r="N29" s="10">
        <f>'Income Statement'!L457</f>
        <v>2232</v>
      </c>
      <c r="O29" s="10">
        <f>'Income Statement'!Q457</f>
        <v>2295</v>
      </c>
      <c r="P29" s="10">
        <f>'Income Statement'!V457</f>
        <v>2531</v>
      </c>
      <c r="Q29" s="10">
        <f>'Income Statement'!AA457</f>
        <v>1993</v>
      </c>
      <c r="R29" s="10">
        <f>'Income Statement'!AF457</f>
        <v>2103</v>
      </c>
      <c r="S29" s="10">
        <f>'Income Statement'!AK457</f>
        <v>1607.561874065377</v>
      </c>
      <c r="T29" s="10">
        <f>'Income Statement'!AP457</f>
        <v>2064.1792126289793</v>
      </c>
      <c r="U29" s="10">
        <f>'Income Statement'!AU457</f>
        <v>1971</v>
      </c>
      <c r="V29" s="10">
        <f>'Income Statement'!AZ457</f>
        <v>2061</v>
      </c>
      <c r="W29" s="10">
        <f>'Income Statement'!BE457</f>
        <v>1765</v>
      </c>
      <c r="X29" s="10">
        <f>'Income Statement'!BJ457</f>
        <v>1527</v>
      </c>
      <c r="Y29" s="10">
        <f>'Income Statement'!BO457</f>
        <v>1410</v>
      </c>
      <c r="Z29" s="10">
        <f>'Income Statement'!BT457</f>
        <v>1216</v>
      </c>
      <c r="AA29" s="10">
        <f>'Income Statement'!BY457</f>
        <v>1151</v>
      </c>
      <c r="AB29" s="10">
        <f>'Income Statement'!CD457</f>
        <v>992</v>
      </c>
      <c r="AC29" s="10">
        <f>'Income Statement'!CE457</f>
        <v>1425.0024450746369</v>
      </c>
      <c r="AD29" s="10">
        <f>'Income Statement'!CF457</f>
        <v>1606.4704732335476</v>
      </c>
      <c r="AE29" s="10">
        <f>'Income Statement'!CG457</f>
        <v>1771.3814389978606</v>
      </c>
      <c r="AF29" s="10">
        <f>'Income Statement'!CH457</f>
        <v>1926.4791862280626</v>
      </c>
      <c r="AG29" s="10">
        <f>'Income Statement'!CI457</f>
        <v>2075.2426822853809</v>
      </c>
      <c r="AH29" s="10">
        <f>'Income Statement'!CJ457</f>
        <v>2212.4456568639089</v>
      </c>
      <c r="AI29" s="10">
        <f>'Income Statement'!CK457</f>
        <v>2341.4000621415207</v>
      </c>
      <c r="AJ29" s="10">
        <f>'Income Statement'!CL457</f>
        <v>2464.694879185201</v>
      </c>
      <c r="AK29" s="10">
        <f>'Income Statement'!CM457</f>
        <v>2584.2653805779282</v>
      </c>
      <c r="AL29" s="11"/>
      <c r="AM29" s="11"/>
      <c r="AN29" s="11"/>
    </row>
    <row r="30" spans="2:40">
      <c r="B30" s="8" t="s">
        <v>228</v>
      </c>
      <c r="C30" s="9"/>
      <c r="D30" s="10"/>
      <c r="E30" s="10"/>
      <c r="F30" s="10"/>
      <c r="G30" s="10"/>
      <c r="H30" s="10"/>
      <c r="I30" s="10"/>
      <c r="J30" s="10"/>
      <c r="K30" s="10"/>
      <c r="L30" s="10">
        <f>'Balance Sheet and Cflow'!B271</f>
        <v>2015.5500000000002</v>
      </c>
      <c r="M30" s="10">
        <f>'Balance Sheet and Cflow'!C271</f>
        <v>2646.8780000000006</v>
      </c>
      <c r="N30" s="10">
        <f>'Balance Sheet and Cflow'!D271</f>
        <v>2232</v>
      </c>
      <c r="O30" s="10">
        <f>'Balance Sheet and Cflow'!E271</f>
        <v>2295</v>
      </c>
      <c r="P30" s="10">
        <f>'Balance Sheet and Cflow'!F271</f>
        <v>2531</v>
      </c>
      <c r="Q30" s="10">
        <f>'Balance Sheet and Cflow'!G271</f>
        <v>1993</v>
      </c>
      <c r="R30" s="10">
        <f>'Balance Sheet and Cflow'!H271</f>
        <v>2103</v>
      </c>
      <c r="S30" s="10">
        <f>'Balance Sheet and Cflow'!I271</f>
        <v>1607.561874065377</v>
      </c>
      <c r="T30" s="10">
        <f>'Balance Sheet and Cflow'!J271</f>
        <v>2064.1792126289793</v>
      </c>
      <c r="U30" s="10">
        <f>'Balance Sheet and Cflow'!K271</f>
        <v>1970.9999999999998</v>
      </c>
      <c r="V30" s="10">
        <f>'Balance Sheet and Cflow'!L271</f>
        <v>1975.399361022364</v>
      </c>
      <c r="W30" s="10">
        <f>'Balance Sheet and Cflow'!M271</f>
        <v>1835.6000000000001</v>
      </c>
      <c r="X30" s="10">
        <f>'Balance Sheet and Cflow'!N271</f>
        <v>1491.0907928388747</v>
      </c>
      <c r="Y30" s="10">
        <f>'Balance Sheet and Cflow'!O271</f>
        <v>1377.9999999999998</v>
      </c>
      <c r="Z30" s="10">
        <f>'Balance Sheet and Cflow'!P271</f>
        <v>1308.83631713555</v>
      </c>
      <c r="AA30" s="10">
        <f>'Balance Sheet and Cflow'!Q271</f>
        <v>1151.5142227070496</v>
      </c>
      <c r="AB30" s="10">
        <f>'Balance Sheet and Cflow'!R271</f>
        <v>993.01483375959072</v>
      </c>
      <c r="AC30" s="10">
        <f>'Balance Sheet and Cflow'!S271</f>
        <v>1425.0024450746369</v>
      </c>
      <c r="AD30" s="10">
        <f>'Balance Sheet and Cflow'!T271</f>
        <v>1606.4704732335476</v>
      </c>
      <c r="AE30" s="10">
        <f>'Balance Sheet and Cflow'!U271</f>
        <v>1771.3814389978606</v>
      </c>
      <c r="AF30" s="10">
        <f>'Balance Sheet and Cflow'!V271</f>
        <v>1926.4791862280626</v>
      </c>
      <c r="AG30" s="10">
        <f>'Balance Sheet and Cflow'!W271</f>
        <v>2075.2426822853809</v>
      </c>
      <c r="AH30" s="10">
        <f>'Balance Sheet and Cflow'!X271</f>
        <v>2212.4456568639089</v>
      </c>
      <c r="AI30" s="10">
        <f>'Balance Sheet and Cflow'!Y271</f>
        <v>2341.4000621415207</v>
      </c>
      <c r="AJ30" s="10">
        <f>'Balance Sheet and Cflow'!Z271</f>
        <v>2464.694879185201</v>
      </c>
      <c r="AK30" s="10">
        <f>'Balance Sheet and Cflow'!AA271</f>
        <v>2584.2653805779282</v>
      </c>
      <c r="AL30" s="11"/>
      <c r="AM30" s="11"/>
      <c r="AN30" s="11"/>
    </row>
    <row r="31" spans="2:40">
      <c r="B31" s="8" t="s">
        <v>313</v>
      </c>
      <c r="C31" s="9"/>
      <c r="D31" s="10"/>
      <c r="E31" s="10"/>
      <c r="F31" s="10"/>
      <c r="G31" s="10"/>
      <c r="H31" s="10"/>
      <c r="I31" s="10"/>
      <c r="J31" s="10">
        <f>J30+J20-J22</f>
        <v>0</v>
      </c>
      <c r="K31" s="10"/>
      <c r="L31" s="87">
        <f t="shared" ref="L31:Q31" si="17">L30+L20-L22</f>
        <v>1785.5500000000002</v>
      </c>
      <c r="M31" s="87">
        <f t="shared" si="17"/>
        <v>3036.2780000000002</v>
      </c>
      <c r="N31" s="87">
        <f t="shared" si="17"/>
        <v>2807</v>
      </c>
      <c r="O31" s="87">
        <f t="shared" si="17"/>
        <v>1924</v>
      </c>
      <c r="P31" s="87">
        <f t="shared" si="17"/>
        <v>2733</v>
      </c>
      <c r="Q31" s="87">
        <f t="shared" si="17"/>
        <v>2365</v>
      </c>
      <c r="R31" s="87">
        <f>R30+R20-R22</f>
        <v>2654</v>
      </c>
      <c r="S31" s="87">
        <f t="shared" ref="S31:X31" si="18">S30+S20-S22</f>
        <v>1894.5618740653772</v>
      </c>
      <c r="T31" s="87">
        <f t="shared" si="18"/>
        <v>1751.1792126289793</v>
      </c>
      <c r="U31" s="87">
        <f t="shared" si="18"/>
        <v>1834</v>
      </c>
      <c r="V31" s="87">
        <f t="shared" si="18"/>
        <v>1968.3993610223642</v>
      </c>
      <c r="W31" s="87">
        <f t="shared" si="18"/>
        <v>1865.6000000000004</v>
      </c>
      <c r="X31" s="87">
        <f t="shared" si="18"/>
        <v>1353.0907928388747</v>
      </c>
      <c r="Y31" s="87">
        <f t="shared" ref="Y31:AG31" si="19">Y30+Y20-Y22</f>
        <v>1546</v>
      </c>
      <c r="Z31" s="87">
        <f t="shared" si="19"/>
        <v>1641.83631713555</v>
      </c>
      <c r="AA31" s="87">
        <f t="shared" si="19"/>
        <v>1445.5142227070496</v>
      </c>
      <c r="AB31" s="87">
        <f t="shared" si="19"/>
        <v>1705.0148337595906</v>
      </c>
      <c r="AC31" s="87">
        <f t="shared" si="19"/>
        <v>1711.8695626041738</v>
      </c>
      <c r="AD31" s="87">
        <f t="shared" si="19"/>
        <v>1785.472043380747</v>
      </c>
      <c r="AE31" s="87">
        <f t="shared" si="19"/>
        <v>1868.3657169367589</v>
      </c>
      <c r="AF31" s="87">
        <f t="shared" si="19"/>
        <v>1959.9523620000173</v>
      </c>
      <c r="AG31" s="87">
        <f t="shared" si="19"/>
        <v>2058.9935813280035</v>
      </c>
      <c r="AH31" s="87">
        <f t="shared" ref="AH31:AK31" si="20">AH30+AH20-AH22</f>
        <v>2159.9751947315754</v>
      </c>
      <c r="AI31" s="87">
        <f t="shared" si="20"/>
        <v>2262.470817175632</v>
      </c>
      <c r="AJ31" s="87">
        <f t="shared" si="20"/>
        <v>2366.3445310680172</v>
      </c>
      <c r="AK31" s="87">
        <f t="shared" si="20"/>
        <v>2337.5443465508597</v>
      </c>
      <c r="AL31" s="11"/>
      <c r="AM31" s="11"/>
      <c r="AN31" s="11"/>
    </row>
    <row r="32" spans="2:40">
      <c r="B32" s="7" t="s">
        <v>314</v>
      </c>
      <c r="C32" s="9"/>
      <c r="D32" s="10"/>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1"/>
      <c r="AM32" s="11"/>
      <c r="AN32" s="11"/>
    </row>
    <row r="33" spans="2:40">
      <c r="B33" s="8" t="s">
        <v>315</v>
      </c>
      <c r="C33" s="9"/>
      <c r="D33" s="10"/>
      <c r="E33" s="10"/>
      <c r="F33" s="10"/>
      <c r="G33" s="10"/>
      <c r="H33" s="10"/>
      <c r="I33" s="10"/>
      <c r="J33" s="10"/>
      <c r="K33" s="10">
        <f>K30+K20-K22</f>
        <v>0</v>
      </c>
      <c r="L33" s="10">
        <f>'Balance Sheet and Cflow'!B95</f>
        <v>0</v>
      </c>
      <c r="M33" s="10">
        <f>'Balance Sheet and Cflow'!C95</f>
        <v>0</v>
      </c>
      <c r="N33" s="10">
        <f>'Balance Sheet and Cflow'!D95</f>
        <v>4555</v>
      </c>
      <c r="O33" s="10">
        <f>'Balance Sheet and Cflow'!E95</f>
        <v>5007</v>
      </c>
      <c r="P33" s="10">
        <f>'Balance Sheet and Cflow'!F95</f>
        <v>4971</v>
      </c>
      <c r="Q33" s="10">
        <f>'Balance Sheet and Cflow'!G95</f>
        <v>4849</v>
      </c>
      <c r="R33" s="10">
        <f>'Balance Sheet and Cflow'!H95</f>
        <v>4038</v>
      </c>
      <c r="S33" s="10">
        <f>'Balance Sheet and Cflow'!I95</f>
        <v>4008</v>
      </c>
      <c r="T33" s="10">
        <f>'Balance Sheet and Cflow'!J95</f>
        <v>4227</v>
      </c>
      <c r="U33" s="10">
        <f>'Balance Sheet and Cflow'!K95</f>
        <v>4502</v>
      </c>
      <c r="V33" s="10">
        <f>'Balance Sheet and Cflow'!L95</f>
        <v>4841</v>
      </c>
      <c r="W33" s="10">
        <f>'Balance Sheet and Cflow'!M95</f>
        <v>5190</v>
      </c>
      <c r="X33" s="10">
        <f>'Balance Sheet and Cflow'!N95</f>
        <v>4922</v>
      </c>
      <c r="Y33" s="10">
        <f>'Balance Sheet and Cflow'!O95</f>
        <v>4931</v>
      </c>
      <c r="Z33" s="10">
        <f>'Balance Sheet and Cflow'!P95</f>
        <v>5193</v>
      </c>
      <c r="AA33" s="10">
        <f>'Balance Sheet and Cflow'!Q95</f>
        <v>5639</v>
      </c>
      <c r="AB33" s="10">
        <f>'Balance Sheet and Cflow'!R95</f>
        <v>5384</v>
      </c>
      <c r="AC33" s="10">
        <f>'Balance Sheet and Cflow'!S95</f>
        <v>5097.1328824704633</v>
      </c>
      <c r="AD33" s="10">
        <f>'Balance Sheet and Cflow'!T95</f>
        <v>4918.131312323264</v>
      </c>
      <c r="AE33" s="10">
        <f>'Balance Sheet and Cflow'!U95</f>
        <v>4821.1470343843657</v>
      </c>
      <c r="AF33" s="10">
        <f>'Balance Sheet and Cflow'!V95</f>
        <v>4787.6738586124102</v>
      </c>
      <c r="AG33" s="10">
        <f>'Balance Sheet and Cflow'!W95</f>
        <v>4803.9229595697871</v>
      </c>
      <c r="AH33" s="10">
        <f>'Balance Sheet and Cflow'!X95</f>
        <v>4856.3934217021206</v>
      </c>
      <c r="AI33" s="10">
        <f>'Balance Sheet and Cflow'!Y95</f>
        <v>4935.3226666680093</v>
      </c>
      <c r="AJ33" s="10">
        <f>'Balance Sheet and Cflow'!Z95</f>
        <v>5033.6730147851931</v>
      </c>
      <c r="AK33" s="10">
        <f>'Balance Sheet and Cflow'!AA95</f>
        <v>5280.3940488122616</v>
      </c>
      <c r="AL33" s="11"/>
      <c r="AM33" s="11"/>
      <c r="AN33" s="11"/>
    </row>
    <row r="34" spans="2:40">
      <c r="B34" s="7" t="s">
        <v>316</v>
      </c>
      <c r="C34" s="9"/>
      <c r="D34" s="9"/>
      <c r="E34" s="17"/>
      <c r="F34" s="17"/>
      <c r="G34" s="17"/>
      <c r="H34" s="17"/>
      <c r="I34" s="17"/>
      <c r="J34" s="17"/>
      <c r="K34" s="17"/>
      <c r="L34" s="17"/>
      <c r="M34" s="17"/>
      <c r="N34" s="17"/>
      <c r="O34" s="9"/>
      <c r="P34" s="9"/>
      <c r="Q34" s="9"/>
      <c r="R34" s="9"/>
      <c r="S34" s="9"/>
      <c r="T34" s="9"/>
      <c r="U34" s="9"/>
      <c r="V34" s="9"/>
      <c r="W34" s="9"/>
      <c r="X34" s="9"/>
      <c r="Y34" s="9"/>
      <c r="Z34" s="9"/>
      <c r="AA34" s="9"/>
      <c r="AB34" s="9"/>
      <c r="AC34" s="9"/>
      <c r="AD34" s="9"/>
      <c r="AE34" s="9"/>
      <c r="AF34" s="9"/>
      <c r="AG34" s="9"/>
      <c r="AH34" s="9"/>
      <c r="AI34" s="9"/>
      <c r="AJ34" s="9"/>
      <c r="AK34" s="9"/>
      <c r="AL34" s="11"/>
      <c r="AM34" s="11"/>
      <c r="AN34" s="11"/>
    </row>
    <row r="35" spans="2:40">
      <c r="B35" s="7" t="s">
        <v>317</v>
      </c>
      <c r="C35" s="9"/>
      <c r="D35" s="9"/>
      <c r="E35" s="17"/>
      <c r="F35" s="17"/>
      <c r="G35" s="17"/>
      <c r="H35" s="17"/>
      <c r="I35" s="17"/>
      <c r="J35" s="17"/>
      <c r="K35" s="17"/>
      <c r="L35" s="17"/>
      <c r="M35" s="17"/>
      <c r="N35" s="17"/>
      <c r="O35" s="9"/>
      <c r="P35" s="9"/>
      <c r="Q35" s="9"/>
      <c r="R35" s="9"/>
      <c r="S35" s="9"/>
      <c r="T35" s="9"/>
      <c r="U35" s="9"/>
      <c r="V35" s="9"/>
      <c r="W35" s="9"/>
      <c r="X35" s="9"/>
      <c r="Y35" s="9"/>
      <c r="Z35" s="9"/>
      <c r="AA35" s="9"/>
      <c r="AB35" s="9"/>
      <c r="AC35" s="9"/>
      <c r="AD35" s="9"/>
      <c r="AE35" s="9"/>
      <c r="AF35" s="9"/>
      <c r="AG35" s="9"/>
      <c r="AH35" s="9"/>
      <c r="AI35" s="9"/>
      <c r="AJ35" s="9"/>
      <c r="AK35" s="9"/>
      <c r="AL35" s="11"/>
      <c r="AM35" s="11"/>
      <c r="AN35" s="11"/>
    </row>
    <row r="36" spans="2:40">
      <c r="B36" s="7" t="s">
        <v>318</v>
      </c>
      <c r="C36" s="9"/>
      <c r="D36" s="9"/>
      <c r="E36" s="17"/>
      <c r="F36" s="17"/>
      <c r="G36" s="17"/>
      <c r="H36" s="17"/>
      <c r="I36" s="17"/>
      <c r="J36" s="17"/>
      <c r="K36" s="17"/>
      <c r="L36" s="17"/>
      <c r="M36" s="17"/>
      <c r="N36" s="17"/>
      <c r="O36" s="9"/>
      <c r="P36" s="9"/>
      <c r="Q36" s="9"/>
      <c r="R36" s="9"/>
      <c r="S36" s="9"/>
      <c r="T36" s="9"/>
      <c r="U36" s="9"/>
      <c r="V36" s="9"/>
      <c r="W36" s="9"/>
      <c r="X36" s="9"/>
      <c r="Y36" s="9"/>
      <c r="Z36" s="9"/>
      <c r="AA36" s="9"/>
      <c r="AB36" s="9"/>
      <c r="AC36" s="9"/>
      <c r="AD36" s="9"/>
      <c r="AE36" s="9"/>
      <c r="AF36" s="9"/>
      <c r="AG36" s="9"/>
      <c r="AH36" s="9"/>
      <c r="AI36" s="9"/>
      <c r="AJ36" s="9"/>
      <c r="AK36" s="9"/>
      <c r="AL36" s="11"/>
      <c r="AM36" s="11"/>
      <c r="AN36" s="11"/>
    </row>
    <row r="37" spans="2:40">
      <c r="B37" s="7" t="s">
        <v>319</v>
      </c>
      <c r="C37" s="9"/>
      <c r="D37" s="9"/>
      <c r="E37" s="17"/>
      <c r="F37" s="17"/>
      <c r="G37" s="17"/>
      <c r="H37" s="17"/>
      <c r="I37" s="17"/>
      <c r="J37" s="17"/>
      <c r="K37" s="17"/>
      <c r="L37" s="17"/>
      <c r="M37" s="17"/>
      <c r="N37" s="17"/>
      <c r="O37" s="9"/>
      <c r="P37" s="9"/>
      <c r="Q37" s="9"/>
      <c r="R37" s="9"/>
      <c r="S37" s="9"/>
      <c r="T37" s="9"/>
      <c r="U37" s="9"/>
      <c r="V37" s="9"/>
      <c r="W37" s="9"/>
      <c r="X37" s="9"/>
      <c r="Y37" s="9"/>
      <c r="Z37" s="9"/>
      <c r="AA37" s="9"/>
      <c r="AB37" s="9"/>
      <c r="AC37" s="9"/>
      <c r="AD37" s="9"/>
      <c r="AE37" s="9"/>
      <c r="AF37" s="9"/>
      <c r="AG37" s="9"/>
      <c r="AH37" s="9"/>
      <c r="AI37" s="9"/>
      <c r="AJ37" s="9"/>
      <c r="AK37" s="9"/>
      <c r="AL37" s="11"/>
      <c r="AM37" s="11"/>
      <c r="AN37" s="11"/>
    </row>
    <row r="38" spans="2:40">
      <c r="B38" s="7" t="s">
        <v>320</v>
      </c>
      <c r="C38" s="9"/>
      <c r="D38" s="9"/>
      <c r="E38" s="17"/>
      <c r="F38" s="17"/>
      <c r="G38" s="17"/>
      <c r="H38" s="17"/>
      <c r="I38" s="17"/>
      <c r="J38" s="17"/>
      <c r="K38" s="17"/>
      <c r="L38" s="17"/>
      <c r="M38" s="17"/>
      <c r="N38" s="17"/>
      <c r="O38" s="9"/>
      <c r="P38" s="9"/>
      <c r="Q38" s="9"/>
      <c r="R38" s="9"/>
      <c r="S38" s="9"/>
      <c r="T38" s="9"/>
      <c r="U38" s="9"/>
      <c r="V38" s="9"/>
      <c r="W38" s="9"/>
      <c r="X38" s="9"/>
      <c r="Y38" s="9"/>
      <c r="Z38" s="9"/>
      <c r="AA38" s="9"/>
      <c r="AB38" s="9"/>
      <c r="AC38" s="9"/>
      <c r="AD38" s="9"/>
      <c r="AE38" s="9"/>
      <c r="AF38" s="9"/>
      <c r="AG38" s="9"/>
      <c r="AH38" s="9"/>
      <c r="AI38" s="9"/>
      <c r="AJ38" s="9"/>
      <c r="AK38" s="9"/>
      <c r="AL38" s="11"/>
      <c r="AM38" s="11"/>
      <c r="AN38" s="11"/>
    </row>
    <row r="39" spans="2:40">
      <c r="B39" s="7" t="s">
        <v>321</v>
      </c>
      <c r="C39" s="9"/>
      <c r="D39" s="9"/>
      <c r="E39" s="17"/>
      <c r="F39" s="17"/>
      <c r="G39" s="17"/>
      <c r="H39" s="17"/>
      <c r="I39" s="17"/>
      <c r="J39" s="17"/>
      <c r="K39" s="17"/>
      <c r="L39" s="17"/>
      <c r="M39" s="17"/>
      <c r="N39" s="17"/>
      <c r="O39" s="9"/>
      <c r="P39" s="9"/>
      <c r="Q39" s="9"/>
      <c r="R39" s="9"/>
      <c r="S39" s="9"/>
      <c r="T39" s="9"/>
      <c r="U39" s="9"/>
      <c r="V39" s="9"/>
      <c r="W39" s="9"/>
      <c r="X39" s="9"/>
      <c r="Y39" s="9"/>
      <c r="Z39" s="9"/>
      <c r="AA39" s="9"/>
      <c r="AB39" s="9"/>
      <c r="AC39" s="9"/>
      <c r="AD39" s="9"/>
      <c r="AE39" s="9"/>
      <c r="AF39" s="9"/>
      <c r="AG39" s="9"/>
      <c r="AH39" s="9"/>
      <c r="AI39" s="9"/>
      <c r="AJ39" s="9"/>
      <c r="AK39" s="9"/>
      <c r="AL39" s="11"/>
      <c r="AM39" s="11"/>
      <c r="AN39" s="11"/>
    </row>
    <row r="40" spans="2:40">
      <c r="B40" s="7" t="s">
        <v>322</v>
      </c>
      <c r="C40" s="9"/>
      <c r="D40" s="9"/>
      <c r="E40" s="17"/>
      <c r="F40" s="17"/>
      <c r="G40" s="17"/>
      <c r="H40" s="17"/>
      <c r="I40" s="17"/>
      <c r="J40" s="17"/>
      <c r="K40" s="17"/>
      <c r="L40" s="17"/>
      <c r="M40" s="17"/>
      <c r="N40" s="17"/>
      <c r="O40" s="9"/>
      <c r="P40" s="9"/>
      <c r="Q40" s="9"/>
      <c r="R40" s="9"/>
      <c r="S40" s="9"/>
      <c r="T40" s="9"/>
      <c r="U40" s="9"/>
      <c r="V40" s="9"/>
      <c r="W40" s="9"/>
      <c r="X40" s="9"/>
      <c r="Y40" s="9"/>
      <c r="Z40" s="9"/>
      <c r="AA40" s="9"/>
      <c r="AB40" s="9"/>
      <c r="AC40" s="9"/>
      <c r="AD40" s="9"/>
      <c r="AE40" s="9"/>
      <c r="AF40" s="9"/>
      <c r="AG40" s="9"/>
      <c r="AH40" s="9"/>
      <c r="AI40" s="9"/>
      <c r="AJ40" s="9"/>
      <c r="AK40" s="9"/>
      <c r="AL40" s="11"/>
      <c r="AM40" s="11"/>
      <c r="AN40" s="11"/>
    </row>
    <row r="41" spans="2:40">
      <c r="B41" s="7" t="s">
        <v>323</v>
      </c>
      <c r="C41" s="9"/>
      <c r="D41" s="9"/>
      <c r="E41" s="17"/>
      <c r="F41" s="17"/>
      <c r="G41" s="17"/>
      <c r="H41" s="17"/>
      <c r="I41" s="17"/>
      <c r="J41" s="17"/>
      <c r="K41" s="17"/>
      <c r="L41" s="17"/>
      <c r="M41" s="17"/>
      <c r="N41" s="17"/>
      <c r="O41" s="9"/>
      <c r="P41" s="9"/>
      <c r="Q41" s="9"/>
      <c r="R41" s="9"/>
      <c r="S41" s="9"/>
      <c r="T41" s="9"/>
      <c r="U41" s="9"/>
      <c r="V41" s="9"/>
      <c r="W41" s="9"/>
      <c r="X41" s="9"/>
      <c r="Y41" s="9"/>
      <c r="Z41" s="9"/>
      <c r="AA41" s="9"/>
      <c r="AB41" s="9"/>
      <c r="AC41" s="9"/>
      <c r="AD41" s="9"/>
      <c r="AE41" s="9"/>
      <c r="AF41" s="9"/>
      <c r="AG41" s="9"/>
      <c r="AH41" s="9"/>
      <c r="AI41" s="9"/>
      <c r="AJ41" s="9"/>
      <c r="AK41" s="9"/>
      <c r="AL41" s="11"/>
      <c r="AM41" s="11"/>
      <c r="AN41" s="11"/>
    </row>
    <row r="42" spans="2:40">
      <c r="B42" s="7" t="s">
        <v>324</v>
      </c>
      <c r="C42" s="9"/>
      <c r="D42" s="9"/>
      <c r="E42" s="17"/>
      <c r="F42" s="17"/>
      <c r="G42" s="17"/>
      <c r="H42" s="17"/>
      <c r="I42" s="17"/>
      <c r="J42" s="17"/>
      <c r="K42" s="17"/>
      <c r="L42" s="17"/>
      <c r="M42" s="17"/>
      <c r="N42" s="17"/>
      <c r="O42" s="9"/>
      <c r="P42" s="9"/>
      <c r="Q42" s="9"/>
      <c r="R42" s="9"/>
      <c r="S42" s="9"/>
      <c r="T42" s="9"/>
      <c r="U42" s="9"/>
      <c r="V42" s="9"/>
      <c r="W42" s="9"/>
      <c r="X42" s="9"/>
      <c r="Y42" s="9"/>
      <c r="Z42" s="9"/>
      <c r="AA42" s="9"/>
      <c r="AB42" s="9"/>
      <c r="AC42" s="9"/>
      <c r="AD42" s="9"/>
      <c r="AE42" s="9"/>
      <c r="AF42" s="9"/>
      <c r="AG42" s="9"/>
      <c r="AH42" s="9"/>
      <c r="AI42" s="9"/>
      <c r="AJ42" s="9"/>
      <c r="AK42" s="9"/>
      <c r="AL42" s="11"/>
      <c r="AM42" s="11"/>
      <c r="AN42" s="11"/>
    </row>
    <row r="43" spans="2:40">
      <c r="B43" s="7" t="s">
        <v>325</v>
      </c>
      <c r="C43" s="9"/>
      <c r="D43" s="9"/>
      <c r="E43" s="17"/>
      <c r="F43" s="17"/>
      <c r="G43" s="17"/>
      <c r="H43" s="17"/>
      <c r="I43" s="17"/>
      <c r="J43" s="17"/>
      <c r="K43" s="17"/>
      <c r="L43" s="17"/>
      <c r="M43" s="17"/>
      <c r="N43" s="17"/>
      <c r="O43" s="9"/>
      <c r="P43" s="9"/>
      <c r="Q43" s="9"/>
      <c r="R43" s="9"/>
      <c r="S43" s="9"/>
      <c r="T43" s="9"/>
      <c r="U43" s="9"/>
      <c r="V43" s="9"/>
      <c r="W43" s="9"/>
      <c r="X43" s="9"/>
      <c r="Y43" s="9"/>
      <c r="Z43" s="9"/>
      <c r="AA43" s="9"/>
      <c r="AB43" s="9"/>
      <c r="AC43" s="9"/>
      <c r="AD43" s="9"/>
      <c r="AE43" s="9"/>
      <c r="AF43" s="9"/>
      <c r="AG43" s="9"/>
      <c r="AH43" s="9"/>
      <c r="AI43" s="9"/>
      <c r="AJ43" s="9"/>
      <c r="AK43" s="9"/>
      <c r="AL43" s="11"/>
      <c r="AM43" s="11"/>
      <c r="AN43" s="11"/>
    </row>
    <row r="44" spans="2:40">
      <c r="B44" s="7" t="s">
        <v>326</v>
      </c>
      <c r="C44" s="9"/>
      <c r="D44" s="9"/>
      <c r="E44" s="17"/>
      <c r="F44" s="17"/>
      <c r="G44" s="17"/>
      <c r="H44" s="17"/>
      <c r="I44" s="17"/>
      <c r="J44" s="17"/>
      <c r="K44" s="17"/>
      <c r="L44" s="17"/>
      <c r="M44" s="17"/>
      <c r="N44" s="17"/>
      <c r="O44" s="9"/>
      <c r="P44" s="9"/>
      <c r="Q44" s="9"/>
      <c r="R44" s="9"/>
      <c r="S44" s="9"/>
      <c r="T44" s="9"/>
      <c r="U44" s="9"/>
      <c r="V44" s="9"/>
      <c r="W44" s="9"/>
      <c r="X44" s="9"/>
      <c r="Y44" s="9"/>
      <c r="Z44" s="9"/>
      <c r="AA44" s="9"/>
      <c r="AB44" s="9"/>
      <c r="AC44" s="9"/>
      <c r="AD44" s="9"/>
      <c r="AE44" s="9"/>
      <c r="AF44" s="9"/>
      <c r="AG44" s="9"/>
      <c r="AH44" s="9"/>
      <c r="AI44" s="9"/>
      <c r="AJ44" s="9"/>
      <c r="AK44" s="9"/>
      <c r="AL44" s="11"/>
      <c r="AM44" s="11"/>
      <c r="AN44" s="11"/>
    </row>
    <row r="45" spans="2:40">
      <c r="B45" s="7" t="s">
        <v>327</v>
      </c>
      <c r="C45" s="9"/>
      <c r="D45" s="9"/>
      <c r="E45" s="17"/>
      <c r="F45" s="17"/>
      <c r="G45" s="17"/>
      <c r="H45" s="17"/>
      <c r="I45" s="17"/>
      <c r="J45" s="17"/>
      <c r="K45" s="17"/>
      <c r="L45" s="17"/>
      <c r="M45" s="17"/>
      <c r="N45" s="17"/>
      <c r="O45" s="9"/>
      <c r="P45" s="9"/>
      <c r="Q45" s="9"/>
      <c r="R45" s="9"/>
      <c r="S45" s="9"/>
      <c r="T45" s="9"/>
      <c r="U45" s="9"/>
      <c r="V45" s="9"/>
      <c r="W45" s="9"/>
      <c r="X45" s="9"/>
      <c r="Y45" s="9"/>
      <c r="Z45" s="9"/>
      <c r="AA45" s="9"/>
      <c r="AB45" s="9"/>
      <c r="AC45" s="9"/>
      <c r="AD45" s="9"/>
      <c r="AE45" s="9"/>
      <c r="AF45" s="9"/>
      <c r="AG45" s="9"/>
      <c r="AH45" s="9"/>
      <c r="AI45" s="9"/>
      <c r="AJ45" s="9"/>
      <c r="AK45" s="9"/>
      <c r="AL45" s="11"/>
      <c r="AM45" s="11"/>
      <c r="AN45" s="11"/>
    </row>
    <row r="46" spans="2:40">
      <c r="B46" s="7" t="s">
        <v>328</v>
      </c>
      <c r="C46" s="9"/>
      <c r="D46" s="9"/>
      <c r="E46" s="17"/>
      <c r="F46" s="17"/>
      <c r="G46" s="17"/>
      <c r="H46" s="17"/>
      <c r="I46" s="17"/>
      <c r="J46" s="17"/>
      <c r="K46" s="17"/>
      <c r="L46" s="17"/>
      <c r="M46" s="17"/>
      <c r="N46" s="17"/>
      <c r="O46" s="9"/>
      <c r="P46" s="9"/>
      <c r="Q46" s="9"/>
      <c r="R46" s="9"/>
      <c r="S46" s="9"/>
      <c r="T46" s="9"/>
      <c r="U46" s="9"/>
      <c r="V46" s="9"/>
      <c r="W46" s="9"/>
      <c r="X46" s="9"/>
      <c r="Y46" s="9"/>
      <c r="Z46" s="9"/>
      <c r="AA46" s="9"/>
      <c r="AB46" s="9"/>
      <c r="AC46" s="9"/>
      <c r="AD46" s="9"/>
      <c r="AE46" s="9"/>
      <c r="AF46" s="9"/>
      <c r="AG46" s="9"/>
      <c r="AH46" s="9"/>
      <c r="AI46" s="9"/>
      <c r="AJ46" s="9"/>
      <c r="AK46" s="9"/>
      <c r="AL46" s="11"/>
      <c r="AM46" s="11"/>
      <c r="AN46" s="11"/>
    </row>
    <row r="47" spans="2:40">
      <c r="B47" s="7" t="s">
        <v>329</v>
      </c>
      <c r="C47" s="9"/>
      <c r="D47" s="9"/>
      <c r="E47" s="17"/>
      <c r="F47" s="17"/>
      <c r="G47" s="17"/>
      <c r="H47" s="17"/>
      <c r="I47" s="17"/>
      <c r="J47" s="17"/>
      <c r="K47" s="17"/>
      <c r="L47" s="17"/>
      <c r="M47" s="17"/>
      <c r="N47" s="17"/>
      <c r="O47" s="9"/>
      <c r="P47" s="9"/>
      <c r="Q47" s="9"/>
      <c r="R47" s="9"/>
      <c r="S47" s="9"/>
      <c r="T47" s="9"/>
      <c r="U47" s="9"/>
      <c r="V47" s="9"/>
      <c r="W47" s="9"/>
      <c r="X47" s="9"/>
      <c r="Y47" s="9"/>
      <c r="Z47" s="9"/>
      <c r="AA47" s="9"/>
      <c r="AB47" s="9"/>
      <c r="AC47" s="9"/>
      <c r="AD47" s="9"/>
      <c r="AE47" s="9"/>
      <c r="AF47" s="9"/>
      <c r="AG47" s="9"/>
      <c r="AH47" s="9"/>
      <c r="AI47" s="9"/>
      <c r="AJ47" s="9"/>
      <c r="AK47" s="9"/>
      <c r="AL47" s="11"/>
      <c r="AM47" s="11"/>
      <c r="AN47" s="11"/>
    </row>
    <row r="48" spans="2:40">
      <c r="B48" s="7" t="s">
        <v>330</v>
      </c>
      <c r="C48" s="9"/>
      <c r="D48" s="9"/>
      <c r="E48" s="17"/>
      <c r="F48" s="17"/>
      <c r="G48" s="17"/>
      <c r="H48" s="17"/>
      <c r="I48" s="17"/>
      <c r="J48" s="17"/>
      <c r="K48" s="17"/>
      <c r="L48" s="17"/>
      <c r="M48" s="17"/>
      <c r="N48" s="17"/>
      <c r="O48" s="9"/>
      <c r="P48" s="9"/>
      <c r="Q48" s="9"/>
      <c r="R48" s="9"/>
      <c r="S48" s="9"/>
      <c r="T48" s="9"/>
      <c r="U48" s="9"/>
      <c r="V48" s="9"/>
      <c r="W48" s="9"/>
      <c r="X48" s="9"/>
      <c r="Y48" s="9"/>
      <c r="Z48" s="9"/>
      <c r="AA48" s="9"/>
      <c r="AB48" s="9"/>
      <c r="AC48" s="9"/>
      <c r="AD48" s="9"/>
      <c r="AE48" s="9"/>
      <c r="AF48" s="9"/>
      <c r="AG48" s="9"/>
      <c r="AH48" s="9"/>
      <c r="AI48" s="9"/>
      <c r="AJ48" s="9"/>
      <c r="AK48" s="9"/>
      <c r="AL48" s="11"/>
      <c r="AM48" s="11"/>
      <c r="AN48" s="11"/>
    </row>
    <row r="49" spans="2:40">
      <c r="B49" s="7" t="s">
        <v>331</v>
      </c>
      <c r="C49" s="9"/>
      <c r="D49" s="9"/>
      <c r="E49" s="17"/>
      <c r="F49" s="17"/>
      <c r="G49" s="17"/>
      <c r="H49" s="17"/>
      <c r="I49" s="17"/>
      <c r="J49" s="17"/>
      <c r="K49" s="17"/>
      <c r="L49" s="17"/>
      <c r="M49" s="17"/>
      <c r="N49" s="17"/>
      <c r="O49" s="9"/>
      <c r="P49" s="9"/>
      <c r="Q49" s="9"/>
      <c r="R49" s="9"/>
      <c r="S49" s="9"/>
      <c r="T49" s="9"/>
      <c r="U49" s="9"/>
      <c r="V49" s="9"/>
      <c r="W49" s="9"/>
      <c r="X49" s="9"/>
      <c r="Y49" s="9"/>
      <c r="Z49" s="9"/>
      <c r="AA49" s="9"/>
      <c r="AB49" s="9"/>
      <c r="AC49" s="9"/>
      <c r="AD49" s="9"/>
      <c r="AE49" s="9"/>
      <c r="AF49" s="9"/>
      <c r="AG49" s="9"/>
      <c r="AH49" s="9"/>
      <c r="AI49" s="9"/>
      <c r="AJ49" s="9"/>
      <c r="AK49" s="9"/>
      <c r="AL49" s="11"/>
      <c r="AM49" s="11"/>
      <c r="AN49" s="11"/>
    </row>
    <row r="50" spans="2:40">
      <c r="B50" s="7" t="s">
        <v>332</v>
      </c>
      <c r="C50" s="9"/>
      <c r="D50" s="9"/>
      <c r="E50" s="17"/>
      <c r="F50" s="17"/>
      <c r="G50" s="17"/>
      <c r="H50" s="17"/>
      <c r="I50" s="17"/>
      <c r="J50" s="17"/>
      <c r="K50" s="17"/>
      <c r="L50" s="17"/>
      <c r="M50" s="17"/>
      <c r="N50" s="17"/>
      <c r="O50" s="9"/>
      <c r="P50" s="9"/>
      <c r="Q50" s="9"/>
      <c r="R50" s="9"/>
      <c r="S50" s="9"/>
      <c r="T50" s="9"/>
      <c r="U50" s="9"/>
      <c r="V50" s="9"/>
      <c r="W50" s="9"/>
      <c r="X50" s="9"/>
      <c r="Y50" s="9"/>
      <c r="Z50" s="9"/>
      <c r="AA50" s="9"/>
      <c r="AB50" s="9"/>
      <c r="AC50" s="9"/>
      <c r="AD50" s="9"/>
      <c r="AE50" s="9"/>
      <c r="AF50" s="9"/>
      <c r="AG50" s="9"/>
      <c r="AH50" s="9"/>
      <c r="AI50" s="9"/>
      <c r="AJ50" s="9"/>
      <c r="AK50" s="9"/>
      <c r="AL50" s="11"/>
      <c r="AM50" s="11"/>
      <c r="AN50" s="11"/>
    </row>
    <row r="51" spans="2:40">
      <c r="B51" s="8" t="s">
        <v>333</v>
      </c>
      <c r="C51" s="9"/>
      <c r="D51" s="10"/>
      <c r="E51" s="10"/>
      <c r="F51" s="10"/>
      <c r="G51" s="10"/>
      <c r="H51" s="10"/>
      <c r="I51" s="10"/>
      <c r="J51" s="10"/>
      <c r="K51" s="10"/>
      <c r="L51" s="10">
        <f>'Income Statement'!B116</f>
        <v>9765</v>
      </c>
      <c r="M51" s="10">
        <f>'Income Statement'!G116</f>
        <v>11234.1</v>
      </c>
      <c r="N51" s="10">
        <f>'Income Statement'!L116</f>
        <v>12291</v>
      </c>
      <c r="O51" s="10">
        <f>'Income Statement'!Q116</f>
        <v>13954</v>
      </c>
      <c r="P51" s="10">
        <f>'Income Statement'!V116</f>
        <v>12735</v>
      </c>
      <c r="Q51" s="10">
        <f>'Income Statement'!AA116</f>
        <v>14091</v>
      </c>
      <c r="R51" s="10">
        <f>'Income Statement'!AF116</f>
        <v>12893</v>
      </c>
      <c r="S51" s="10">
        <f>'Income Statement'!AK116</f>
        <v>12913</v>
      </c>
      <c r="T51" s="10">
        <f>'Income Statement'!AP116</f>
        <v>12694</v>
      </c>
      <c r="U51" s="10">
        <f>'Income Statement'!AU116</f>
        <v>11926</v>
      </c>
      <c r="V51" s="10">
        <f>'Income Statement'!AZ116</f>
        <v>10928</v>
      </c>
      <c r="W51" s="10">
        <f>'Income Statement'!BE116</f>
        <v>10761</v>
      </c>
      <c r="X51" s="10">
        <f>'Income Statement'!BJ116</f>
        <v>11130</v>
      </c>
      <c r="Y51" s="10">
        <f>'Income Statement'!BO116</f>
        <v>11132</v>
      </c>
      <c r="Z51" s="10">
        <f>'Income Statement'!BT116</f>
        <v>11618</v>
      </c>
      <c r="AA51" s="10">
        <f>'Income Statement'!BY116</f>
        <v>11738</v>
      </c>
      <c r="AB51" s="10">
        <f>'Income Statement'!CD116</f>
        <v>12511</v>
      </c>
      <c r="AC51" s="10">
        <f>'Income Statement'!CE116</f>
        <v>12812.301213576728</v>
      </c>
      <c r="AD51" s="10">
        <f>'Income Statement'!CF116</f>
        <v>13037.520082713105</v>
      </c>
      <c r="AE51" s="10">
        <f>'Income Statement'!CG116</f>
        <v>13248.474518022122</v>
      </c>
      <c r="AF51" s="10">
        <f>'Income Statement'!CH116</f>
        <v>13446.562992775167</v>
      </c>
      <c r="AG51" s="10">
        <f>'Income Statement'!CI116</f>
        <v>13633.05060714542</v>
      </c>
      <c r="AH51" s="10">
        <f>'Income Statement'!CJ116</f>
        <v>13809.081826244215</v>
      </c>
      <c r="AI51" s="10">
        <f>'Income Statement'!CK116</f>
        <v>13975.692001679479</v>
      </c>
      <c r="AJ51" s="10">
        <f>'Income Statement'!CL116</f>
        <v>14133.817792809883</v>
      </c>
      <c r="AK51" s="10">
        <f>'Income Statement'!CM116</f>
        <v>14284.306592773788</v>
      </c>
      <c r="AL51" s="11"/>
      <c r="AM51" s="11"/>
      <c r="AN51" s="11"/>
    </row>
    <row r="52" spans="2:40">
      <c r="B52" s="7" t="s">
        <v>334</v>
      </c>
      <c r="C52" s="9"/>
      <c r="D52" s="9"/>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1"/>
      <c r="AM52" s="11"/>
      <c r="AN52" s="11"/>
    </row>
    <row r="53" spans="2:40">
      <c r="B53" s="7" t="s">
        <v>335</v>
      </c>
      <c r="C53" s="9"/>
      <c r="D53" s="9"/>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1"/>
      <c r="AM53" s="11"/>
      <c r="AN53" s="11"/>
    </row>
    <row r="54" spans="2:40">
      <c r="B54" s="7" t="s">
        <v>336</v>
      </c>
      <c r="C54" s="9"/>
      <c r="D54" s="9"/>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1"/>
      <c r="AM54" s="11"/>
      <c r="AN54" s="11"/>
    </row>
    <row r="55" spans="2:40">
      <c r="B55" s="8" t="s">
        <v>337</v>
      </c>
      <c r="C55" s="9"/>
      <c r="D55" s="10"/>
      <c r="E55" s="10"/>
      <c r="F55" s="10"/>
      <c r="G55" s="10"/>
      <c r="H55" s="10"/>
      <c r="I55" s="10"/>
      <c r="J55" s="10"/>
      <c r="K55" s="10"/>
      <c r="L55" s="10">
        <f>'Income Statement'!B68</f>
        <v>27174</v>
      </c>
      <c r="M55" s="10">
        <f>'Income Statement'!G68</f>
        <v>27728</v>
      </c>
      <c r="N55" s="10">
        <f>'Income Statement'!L68</f>
        <v>28231.504111999999</v>
      </c>
      <c r="O55" s="10">
        <f>'Income Statement'!Q68</f>
        <v>28725.555433960002</v>
      </c>
      <c r="P55" s="10">
        <f>'Income Statement'!V68</f>
        <v>29228.252654054304</v>
      </c>
      <c r="Q55" s="10">
        <f>'Income Statement'!AA68</f>
        <v>29739.747075500258</v>
      </c>
      <c r="R55" s="10">
        <f>'Income Statement'!AF68</f>
        <v>30260.192649321514</v>
      </c>
      <c r="S55" s="10">
        <f>'Income Statement'!AK68</f>
        <v>30789.746020684644</v>
      </c>
      <c r="T55" s="10">
        <f>'Income Statement'!AP68</f>
        <v>31328.566576046629</v>
      </c>
      <c r="U55" s="10">
        <f>'Income Statement'!AU68</f>
        <v>31876.816491127447</v>
      </c>
      <c r="V55" s="10">
        <f>'Income Statement'!AZ68</f>
        <v>32022.6</v>
      </c>
      <c r="W55" s="10">
        <f>'Income Statement'!BE68</f>
        <v>32382.3</v>
      </c>
      <c r="X55" s="10">
        <f>'Income Statement'!BJ68</f>
        <v>32523</v>
      </c>
      <c r="Y55" s="10">
        <f>'Income Statement'!BO68</f>
        <v>32657</v>
      </c>
      <c r="Z55" s="10">
        <f>'Income Statement'!BT68</f>
        <v>33573.874000000003</v>
      </c>
      <c r="AA55" s="10">
        <f>'Income Statement'!BY68</f>
        <v>33938.22</v>
      </c>
      <c r="AB55" s="10">
        <f>'Income Statement'!CD68</f>
        <v>34306.519907961767</v>
      </c>
      <c r="AC55" s="10">
        <f>'Income Statement'!CE68</f>
        <v>34649.585107041385</v>
      </c>
      <c r="AD55" s="10">
        <f>'Income Statement'!CF68</f>
        <v>34822.833032576586</v>
      </c>
      <c r="AE55" s="10">
        <f>'Income Statement'!CG68</f>
        <v>34996.947197739464</v>
      </c>
      <c r="AF55" s="10">
        <f>'Income Statement'!CH68</f>
        <v>35171.931933728156</v>
      </c>
      <c r="AG55" s="10">
        <f>'Income Statement'!CI68</f>
        <v>35347.791593396796</v>
      </c>
      <c r="AH55" s="10">
        <f>'Income Statement'!CJ68</f>
        <v>35524.53055136378</v>
      </c>
      <c r="AI55" s="10">
        <f>'Income Statement'!CK68</f>
        <v>35702.153204120594</v>
      </c>
      <c r="AJ55" s="10">
        <f>'Income Statement'!CL68</f>
        <v>35880.663970141191</v>
      </c>
      <c r="AK55" s="10">
        <f>'Income Statement'!CM68</f>
        <v>36060.067289991894</v>
      </c>
      <c r="AL55" s="11"/>
      <c r="AM55" s="11"/>
      <c r="AN55" s="11"/>
    </row>
    <row r="56" spans="2:40">
      <c r="B56" s="7" t="s">
        <v>338</v>
      </c>
      <c r="C56" s="9"/>
      <c r="D56" s="9"/>
      <c r="E56" s="17"/>
      <c r="F56" s="17"/>
      <c r="G56" s="17"/>
      <c r="H56" s="17"/>
      <c r="I56" s="17"/>
      <c r="J56" s="17"/>
      <c r="K56" s="17"/>
      <c r="L56" s="17"/>
      <c r="M56" s="17"/>
      <c r="N56" s="17"/>
      <c r="O56" s="9"/>
      <c r="P56" s="9"/>
      <c r="Q56" s="9"/>
      <c r="R56" s="9"/>
      <c r="S56" s="9"/>
      <c r="T56" s="9"/>
      <c r="U56" s="9"/>
      <c r="V56" s="9"/>
      <c r="W56" s="9"/>
      <c r="X56" s="9"/>
      <c r="Y56" s="9"/>
      <c r="Z56" s="9"/>
      <c r="AA56" s="9"/>
      <c r="AB56" s="9"/>
      <c r="AC56" s="9"/>
      <c r="AD56" s="9"/>
      <c r="AE56" s="9"/>
      <c r="AF56" s="9"/>
      <c r="AG56" s="9"/>
      <c r="AH56" s="9"/>
      <c r="AI56" s="9"/>
      <c r="AJ56" s="9"/>
      <c r="AK56" s="9"/>
      <c r="AL56" s="11"/>
      <c r="AM56" s="11"/>
      <c r="AN56" s="11"/>
    </row>
    <row r="57" spans="2:40">
      <c r="B57" s="7" t="s">
        <v>339</v>
      </c>
      <c r="C57" s="9"/>
      <c r="D57" s="9"/>
      <c r="E57" s="17"/>
      <c r="F57" s="17"/>
      <c r="G57" s="17"/>
      <c r="H57" s="17"/>
      <c r="I57" s="17"/>
      <c r="J57" s="17"/>
      <c r="K57" s="17"/>
      <c r="L57" s="17"/>
      <c r="M57" s="17"/>
      <c r="N57" s="17"/>
      <c r="O57" s="9"/>
      <c r="P57" s="9"/>
      <c r="Q57" s="9"/>
      <c r="R57" s="9"/>
      <c r="S57" s="9"/>
      <c r="T57" s="9"/>
      <c r="U57" s="9"/>
      <c r="V57" s="9"/>
      <c r="W57" s="9"/>
      <c r="X57" s="9"/>
      <c r="Y57" s="9"/>
      <c r="Z57" s="9"/>
      <c r="AA57" s="9"/>
      <c r="AB57" s="9"/>
      <c r="AC57" s="9"/>
      <c r="AD57" s="9"/>
      <c r="AE57" s="9"/>
      <c r="AF57" s="9"/>
      <c r="AG57" s="9"/>
      <c r="AH57" s="9"/>
      <c r="AI57" s="9"/>
      <c r="AJ57" s="9"/>
      <c r="AK57" s="9"/>
      <c r="AL57" s="11"/>
      <c r="AM57" s="11"/>
      <c r="AN57" s="11"/>
    </row>
    <row r="58" spans="2:40">
      <c r="B58" s="7" t="s">
        <v>340</v>
      </c>
      <c r="C58" s="9"/>
      <c r="D58" s="9"/>
      <c r="E58" s="17"/>
      <c r="F58" s="17"/>
      <c r="G58" s="17"/>
      <c r="H58" s="17"/>
      <c r="I58" s="17"/>
      <c r="J58" s="17"/>
      <c r="K58" s="17"/>
      <c r="L58" s="17"/>
      <c r="M58" s="17"/>
      <c r="N58" s="17"/>
      <c r="O58" s="9"/>
      <c r="P58" s="9"/>
      <c r="Q58" s="9"/>
      <c r="R58" s="9"/>
      <c r="S58" s="9"/>
      <c r="T58" s="9"/>
      <c r="U58" s="9"/>
      <c r="V58" s="9"/>
      <c r="W58" s="9"/>
      <c r="X58" s="9"/>
      <c r="Y58" s="9"/>
      <c r="Z58" s="9"/>
      <c r="AA58" s="9"/>
      <c r="AB58" s="9"/>
      <c r="AC58" s="9"/>
      <c r="AD58" s="9"/>
      <c r="AE58" s="9"/>
      <c r="AF58" s="9"/>
      <c r="AG58" s="9"/>
      <c r="AH58" s="9"/>
      <c r="AI58" s="9"/>
      <c r="AJ58" s="9"/>
      <c r="AK58" s="9"/>
      <c r="AL58" s="11"/>
      <c r="AM58" s="11"/>
      <c r="AN58" s="11"/>
    </row>
    <row r="59" spans="2:40">
      <c r="B59" s="7" t="s">
        <v>341</v>
      </c>
      <c r="C59" s="9"/>
      <c r="D59" s="9"/>
      <c r="E59" s="17"/>
      <c r="F59" s="17"/>
      <c r="G59" s="17"/>
      <c r="H59" s="17"/>
      <c r="I59" s="17"/>
      <c r="J59" s="17"/>
      <c r="K59" s="17"/>
      <c r="L59" s="17"/>
      <c r="M59" s="17"/>
      <c r="N59" s="17"/>
      <c r="O59" s="9"/>
      <c r="P59" s="9"/>
      <c r="Q59" s="9"/>
      <c r="R59" s="9"/>
      <c r="S59" s="9"/>
      <c r="T59" s="9"/>
      <c r="U59" s="9"/>
      <c r="V59" s="9"/>
      <c r="W59" s="9"/>
      <c r="X59" s="9"/>
      <c r="Y59" s="9"/>
      <c r="Z59" s="9"/>
      <c r="AA59" s="9"/>
      <c r="AB59" s="9"/>
      <c r="AC59" s="9"/>
      <c r="AD59" s="9"/>
      <c r="AE59" s="9"/>
      <c r="AF59" s="9"/>
      <c r="AG59" s="9"/>
      <c r="AH59" s="9"/>
      <c r="AI59" s="9"/>
      <c r="AJ59" s="9"/>
      <c r="AK59" s="9"/>
      <c r="AL59" s="11"/>
      <c r="AM59" s="11"/>
      <c r="AN59" s="11"/>
    </row>
    <row r="60" spans="2:40">
      <c r="B60" s="7" t="s">
        <v>342</v>
      </c>
      <c r="C60" s="9"/>
      <c r="D60" s="9"/>
      <c r="E60" s="17"/>
      <c r="F60" s="17"/>
      <c r="G60" s="17"/>
      <c r="H60" s="17"/>
      <c r="I60" s="17"/>
      <c r="J60" s="17"/>
      <c r="K60" s="17"/>
      <c r="L60" s="17"/>
      <c r="M60" s="17"/>
      <c r="N60" s="17"/>
      <c r="O60" s="9"/>
      <c r="P60" s="9"/>
      <c r="Q60" s="9"/>
      <c r="R60" s="9"/>
      <c r="S60" s="9"/>
      <c r="T60" s="9"/>
      <c r="U60" s="9"/>
      <c r="V60" s="9"/>
      <c r="W60" s="9"/>
      <c r="X60" s="9"/>
      <c r="Y60" s="9"/>
      <c r="Z60" s="9"/>
      <c r="AA60" s="9"/>
      <c r="AB60" s="9"/>
      <c r="AC60" s="9"/>
      <c r="AD60" s="9"/>
      <c r="AE60" s="9"/>
      <c r="AF60" s="9"/>
      <c r="AG60" s="9"/>
      <c r="AH60" s="9"/>
      <c r="AI60" s="9"/>
      <c r="AJ60" s="9"/>
      <c r="AK60" s="9"/>
      <c r="AL60" s="11"/>
      <c r="AM60" s="11"/>
      <c r="AN60" s="11"/>
    </row>
    <row r="61" spans="2:40">
      <c r="B61" s="7" t="s">
        <v>343</v>
      </c>
      <c r="C61" s="9"/>
      <c r="D61" s="9"/>
      <c r="E61" s="17"/>
      <c r="F61" s="17"/>
      <c r="G61" s="17"/>
      <c r="H61" s="17"/>
      <c r="I61" s="17"/>
      <c r="J61" s="17"/>
      <c r="K61" s="17"/>
      <c r="L61" s="17"/>
      <c r="M61" s="17"/>
      <c r="N61" s="17"/>
      <c r="O61" s="9"/>
      <c r="P61" s="9"/>
      <c r="Q61" s="9"/>
      <c r="R61" s="9"/>
      <c r="S61" s="9"/>
      <c r="T61" s="9"/>
      <c r="U61" s="9"/>
      <c r="V61" s="9"/>
      <c r="W61" s="9"/>
      <c r="X61" s="9"/>
      <c r="Y61" s="9"/>
      <c r="Z61" s="9"/>
      <c r="AA61" s="9"/>
      <c r="AB61" s="9"/>
      <c r="AC61" s="9"/>
      <c r="AD61" s="9"/>
      <c r="AE61" s="9"/>
      <c r="AF61" s="9"/>
      <c r="AG61" s="9"/>
      <c r="AH61" s="9"/>
      <c r="AI61" s="9"/>
      <c r="AJ61" s="9"/>
      <c r="AK61" s="9"/>
      <c r="AL61" s="11"/>
      <c r="AM61" s="11"/>
      <c r="AN61" s="11"/>
    </row>
    <row r="62" spans="2:40">
      <c r="B62" s="7" t="s">
        <v>344</v>
      </c>
      <c r="C62" s="9"/>
      <c r="D62" s="9"/>
      <c r="E62" s="17"/>
      <c r="F62" s="17"/>
      <c r="G62" s="17"/>
      <c r="H62" s="17"/>
      <c r="I62" s="17"/>
      <c r="J62" s="17"/>
      <c r="K62" s="17"/>
      <c r="L62" s="17"/>
      <c r="M62" s="17"/>
      <c r="N62" s="17"/>
      <c r="O62" s="9"/>
      <c r="P62" s="9"/>
      <c r="Q62" s="9"/>
      <c r="R62" s="9"/>
      <c r="S62" s="9"/>
      <c r="T62" s="9"/>
      <c r="U62" s="9"/>
      <c r="V62" s="9"/>
      <c r="W62" s="9"/>
      <c r="X62" s="9"/>
      <c r="Y62" s="9"/>
      <c r="Z62" s="9"/>
      <c r="AA62" s="9"/>
      <c r="AB62" s="9"/>
      <c r="AC62" s="9"/>
      <c r="AD62" s="9"/>
      <c r="AE62" s="9"/>
      <c r="AF62" s="9"/>
      <c r="AG62" s="9"/>
      <c r="AH62" s="9"/>
      <c r="AI62" s="9"/>
      <c r="AJ62" s="9"/>
      <c r="AK62" s="9"/>
      <c r="AL62" s="11"/>
      <c r="AM62" s="11"/>
      <c r="AN62" s="11"/>
    </row>
    <row r="63" spans="2:40">
      <c r="B63" s="7" t="s">
        <v>345</v>
      </c>
      <c r="C63" s="9"/>
      <c r="D63" s="9"/>
      <c r="E63" s="17"/>
      <c r="F63" s="17"/>
      <c r="G63" s="17"/>
      <c r="H63" s="17"/>
      <c r="I63" s="17"/>
      <c r="J63" s="17"/>
      <c r="K63" s="17"/>
      <c r="L63" s="17"/>
      <c r="M63" s="17"/>
      <c r="N63" s="17"/>
      <c r="O63" s="9"/>
      <c r="P63" s="9"/>
      <c r="Q63" s="9"/>
      <c r="R63" s="9"/>
      <c r="S63" s="9"/>
      <c r="T63" s="9"/>
      <c r="U63" s="9"/>
      <c r="V63" s="9"/>
      <c r="W63" s="9"/>
      <c r="X63" s="9"/>
      <c r="Y63" s="9"/>
      <c r="Z63" s="9"/>
      <c r="AA63" s="9"/>
      <c r="AB63" s="9"/>
      <c r="AC63" s="9"/>
      <c r="AD63" s="9"/>
      <c r="AE63" s="9"/>
      <c r="AF63" s="9"/>
      <c r="AG63" s="9"/>
      <c r="AH63" s="9"/>
      <c r="AI63" s="9"/>
      <c r="AJ63" s="9"/>
      <c r="AK63" s="9"/>
      <c r="AL63" s="11"/>
      <c r="AM63" s="11"/>
      <c r="AN63" s="11"/>
    </row>
    <row r="64" spans="2:40">
      <c r="B64" s="7" t="s">
        <v>346</v>
      </c>
      <c r="C64" s="9"/>
      <c r="D64" s="9"/>
      <c r="E64" s="17"/>
      <c r="F64" s="17"/>
      <c r="G64" s="17"/>
      <c r="H64" s="17"/>
      <c r="I64" s="17"/>
      <c r="J64" s="17"/>
      <c r="K64" s="17"/>
      <c r="L64" s="17"/>
      <c r="M64" s="17"/>
      <c r="N64" s="17"/>
      <c r="O64" s="9"/>
      <c r="P64" s="9"/>
      <c r="Q64" s="9"/>
      <c r="R64" s="9"/>
      <c r="S64" s="9"/>
      <c r="T64" s="9"/>
      <c r="U64" s="9"/>
      <c r="V64" s="9"/>
      <c r="W64" s="9"/>
      <c r="X64" s="9"/>
      <c r="Y64" s="9"/>
      <c r="Z64" s="9"/>
      <c r="AA64" s="9"/>
      <c r="AB64" s="9"/>
      <c r="AC64" s="9"/>
      <c r="AD64" s="9"/>
      <c r="AE64" s="9"/>
      <c r="AF64" s="9"/>
      <c r="AG64" s="9"/>
      <c r="AH64" s="9"/>
      <c r="AI64" s="9"/>
      <c r="AJ64" s="9"/>
      <c r="AK64" s="9"/>
      <c r="AL64" s="11"/>
      <c r="AM64" s="11"/>
      <c r="AN64" s="11"/>
    </row>
    <row r="65" spans="2:40">
      <c r="B65" s="7" t="s">
        <v>347</v>
      </c>
      <c r="C65" s="9"/>
      <c r="D65" s="9"/>
      <c r="E65" s="17"/>
      <c r="F65" s="17"/>
      <c r="G65" s="17"/>
      <c r="H65" s="17"/>
      <c r="I65" s="17"/>
      <c r="J65" s="17"/>
      <c r="K65" s="17"/>
      <c r="L65" s="17"/>
      <c r="M65" s="17"/>
      <c r="N65" s="17"/>
      <c r="O65" s="9"/>
      <c r="P65" s="9"/>
      <c r="Q65" s="9"/>
      <c r="R65" s="9"/>
      <c r="S65" s="9"/>
      <c r="T65" s="9"/>
      <c r="U65" s="9"/>
      <c r="V65" s="9"/>
      <c r="W65" s="9"/>
      <c r="X65" s="9"/>
      <c r="Y65" s="9"/>
      <c r="Z65" s="9"/>
      <c r="AA65" s="9"/>
      <c r="AB65" s="9"/>
      <c r="AC65" s="9"/>
      <c r="AD65" s="9"/>
      <c r="AE65" s="9"/>
      <c r="AF65" s="9"/>
      <c r="AG65" s="9"/>
      <c r="AH65" s="9"/>
      <c r="AI65" s="9"/>
      <c r="AJ65" s="9"/>
      <c r="AK65" s="9"/>
      <c r="AL65" s="11"/>
      <c r="AM65" s="11"/>
      <c r="AN65" s="11"/>
    </row>
    <row r="66" spans="2:40">
      <c r="B66" s="7" t="s">
        <v>348</v>
      </c>
      <c r="C66" s="9"/>
      <c r="D66" s="9"/>
      <c r="E66" s="17"/>
      <c r="F66" s="17"/>
      <c r="G66" s="17"/>
      <c r="H66" s="17"/>
      <c r="I66" s="17"/>
      <c r="J66" s="17"/>
      <c r="K66" s="17"/>
      <c r="L66" s="17"/>
      <c r="M66" s="17"/>
      <c r="N66" s="17"/>
      <c r="O66" s="9"/>
      <c r="P66" s="9"/>
      <c r="Q66" s="9"/>
      <c r="R66" s="9"/>
      <c r="S66" s="9"/>
      <c r="T66" s="9"/>
      <c r="U66" s="9"/>
      <c r="V66" s="9"/>
      <c r="W66" s="9"/>
      <c r="X66" s="9"/>
      <c r="Y66" s="9"/>
      <c r="Z66" s="9"/>
      <c r="AA66" s="9"/>
      <c r="AB66" s="9"/>
      <c r="AC66" s="9"/>
      <c r="AD66" s="9"/>
      <c r="AE66" s="9"/>
      <c r="AF66" s="9"/>
      <c r="AG66" s="9"/>
      <c r="AH66" s="9"/>
      <c r="AI66" s="9"/>
      <c r="AJ66" s="9"/>
      <c r="AK66" s="9"/>
      <c r="AL66" s="11"/>
      <c r="AM66" s="11"/>
      <c r="AN66" s="11"/>
    </row>
    <row r="67" spans="2:40">
      <c r="B67" s="7" t="s">
        <v>349</v>
      </c>
      <c r="C67" s="9"/>
      <c r="D67" s="9"/>
      <c r="E67" s="17"/>
      <c r="F67" s="17"/>
      <c r="G67" s="17"/>
      <c r="H67" s="17"/>
      <c r="I67" s="17"/>
      <c r="J67" s="17"/>
      <c r="K67" s="17"/>
      <c r="L67" s="17"/>
      <c r="M67" s="17"/>
      <c r="N67" s="17"/>
      <c r="O67" s="9"/>
      <c r="P67" s="9"/>
      <c r="Q67" s="9"/>
      <c r="R67" s="9"/>
      <c r="S67" s="9"/>
      <c r="T67" s="9"/>
      <c r="U67" s="9"/>
      <c r="V67" s="9"/>
      <c r="W67" s="9"/>
      <c r="X67" s="9"/>
      <c r="Y67" s="9"/>
      <c r="Z67" s="9"/>
      <c r="AA67" s="9"/>
      <c r="AB67" s="9"/>
      <c r="AC67" s="9"/>
      <c r="AD67" s="9"/>
      <c r="AE67" s="9"/>
      <c r="AF67" s="9"/>
      <c r="AG67" s="9"/>
      <c r="AH67" s="9"/>
      <c r="AI67" s="9"/>
      <c r="AJ67" s="9"/>
      <c r="AK67" s="9"/>
      <c r="AL67" s="11"/>
      <c r="AM67" s="11"/>
      <c r="AN67" s="11"/>
    </row>
    <row r="68" spans="2:40">
      <c r="B68" s="7" t="s">
        <v>350</v>
      </c>
      <c r="C68" s="9"/>
      <c r="D68" s="9"/>
      <c r="E68" s="17"/>
      <c r="F68" s="17"/>
      <c r="G68" s="17"/>
      <c r="H68" s="17"/>
      <c r="I68" s="17"/>
      <c r="J68" s="17"/>
      <c r="K68" s="17"/>
      <c r="L68" s="17"/>
      <c r="M68" s="17"/>
      <c r="N68" s="17"/>
      <c r="O68" s="9"/>
      <c r="P68" s="9"/>
      <c r="Q68" s="9"/>
      <c r="R68" s="9"/>
      <c r="S68" s="9"/>
      <c r="T68" s="9"/>
      <c r="U68" s="9"/>
      <c r="V68" s="9"/>
      <c r="W68" s="9"/>
      <c r="X68" s="9"/>
      <c r="Y68" s="9"/>
      <c r="Z68" s="9"/>
      <c r="AA68" s="9"/>
      <c r="AB68" s="9"/>
      <c r="AC68" s="9"/>
      <c r="AD68" s="9"/>
      <c r="AE68" s="9"/>
      <c r="AF68" s="9"/>
      <c r="AG68" s="9"/>
      <c r="AH68" s="9"/>
      <c r="AI68" s="9"/>
      <c r="AJ68" s="9"/>
      <c r="AK68" s="9"/>
      <c r="AL68" s="11"/>
      <c r="AM68" s="11"/>
      <c r="AN68" s="11"/>
    </row>
    <row r="69" spans="2:40">
      <c r="B69" s="7" t="s">
        <v>351</v>
      </c>
      <c r="C69" s="9"/>
      <c r="D69" s="9"/>
      <c r="E69" s="17"/>
      <c r="F69" s="17"/>
      <c r="G69" s="17"/>
      <c r="H69" s="17"/>
      <c r="I69" s="17"/>
      <c r="J69" s="17"/>
      <c r="K69" s="17"/>
      <c r="L69" s="17"/>
      <c r="M69" s="17"/>
      <c r="N69" s="17"/>
      <c r="O69" s="9"/>
      <c r="P69" s="9"/>
      <c r="Q69" s="9"/>
      <c r="R69" s="9"/>
      <c r="S69" s="9"/>
      <c r="T69" s="9"/>
      <c r="U69" s="9"/>
      <c r="V69" s="9"/>
      <c r="W69" s="9"/>
      <c r="X69" s="9"/>
      <c r="Y69" s="9"/>
      <c r="Z69" s="9"/>
      <c r="AA69" s="9"/>
      <c r="AB69" s="9"/>
      <c r="AC69" s="9"/>
      <c r="AD69" s="9"/>
      <c r="AE69" s="9"/>
      <c r="AF69" s="9"/>
      <c r="AG69" s="9"/>
      <c r="AH69" s="9"/>
      <c r="AI69" s="9"/>
      <c r="AJ69" s="9"/>
      <c r="AK69" s="9"/>
      <c r="AL69" s="11"/>
      <c r="AM69" s="11"/>
      <c r="AN69" s="11"/>
    </row>
    <row r="70" spans="2:40">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row>
    <row r="71" spans="2:40">
      <c r="B71" s="5" t="s">
        <v>352</v>
      </c>
      <c r="C71" s="6">
        <v>1998</v>
      </c>
      <c r="D71" s="6">
        <v>1999</v>
      </c>
      <c r="E71" s="6">
        <v>2000</v>
      </c>
      <c r="F71" s="6">
        <f t="shared" ref="F71:AN71" si="21">E71+1</f>
        <v>2001</v>
      </c>
      <c r="G71" s="6">
        <f t="shared" si="21"/>
        <v>2002</v>
      </c>
      <c r="H71" s="6">
        <f t="shared" si="21"/>
        <v>2003</v>
      </c>
      <c r="I71" s="6">
        <f t="shared" si="21"/>
        <v>2004</v>
      </c>
      <c r="J71" s="6">
        <f>I71+1</f>
        <v>2005</v>
      </c>
      <c r="K71" s="6">
        <f>J71+1</f>
        <v>2006</v>
      </c>
      <c r="L71" s="6">
        <f>K71+1</f>
        <v>2007</v>
      </c>
      <c r="M71" s="6">
        <f>L71+1</f>
        <v>2008</v>
      </c>
      <c r="N71" s="6">
        <f>M71+1</f>
        <v>2009</v>
      </c>
      <c r="O71" s="6">
        <f t="shared" si="21"/>
        <v>2010</v>
      </c>
      <c r="P71" s="6">
        <f t="shared" si="21"/>
        <v>2011</v>
      </c>
      <c r="Q71" s="6">
        <f t="shared" si="21"/>
        <v>2012</v>
      </c>
      <c r="R71" s="6">
        <f>Q71+1</f>
        <v>2013</v>
      </c>
      <c r="S71" s="6">
        <f>R71+1</f>
        <v>2014</v>
      </c>
      <c r="T71" s="6">
        <f t="shared" si="21"/>
        <v>2015</v>
      </c>
      <c r="U71" s="6">
        <f t="shared" si="21"/>
        <v>2016</v>
      </c>
      <c r="V71" s="6">
        <f t="shared" si="21"/>
        <v>2017</v>
      </c>
      <c r="W71" s="6">
        <f t="shared" si="21"/>
        <v>2018</v>
      </c>
      <c r="X71" s="6">
        <f t="shared" si="21"/>
        <v>2019</v>
      </c>
      <c r="Y71" s="6">
        <f t="shared" si="21"/>
        <v>2020</v>
      </c>
      <c r="Z71" s="6">
        <f t="shared" si="21"/>
        <v>2021</v>
      </c>
      <c r="AA71" s="6">
        <f t="shared" si="21"/>
        <v>2022</v>
      </c>
      <c r="AB71" s="6">
        <f t="shared" si="21"/>
        <v>2023</v>
      </c>
      <c r="AC71" s="6">
        <f t="shared" si="21"/>
        <v>2024</v>
      </c>
      <c r="AD71" s="6">
        <f t="shared" si="21"/>
        <v>2025</v>
      </c>
      <c r="AE71" s="6">
        <f t="shared" si="21"/>
        <v>2026</v>
      </c>
      <c r="AF71" s="6">
        <f t="shared" si="21"/>
        <v>2027</v>
      </c>
      <c r="AG71" s="6">
        <f t="shared" si="21"/>
        <v>2028</v>
      </c>
      <c r="AH71" s="6">
        <f t="shared" ref="AH71" si="22">AG71+1</f>
        <v>2029</v>
      </c>
      <c r="AI71" s="6">
        <f t="shared" ref="AI71" si="23">AH71+1</f>
        <v>2030</v>
      </c>
      <c r="AJ71" s="6">
        <f t="shared" ref="AJ71" si="24">AI71+1</f>
        <v>2031</v>
      </c>
      <c r="AK71" s="6">
        <f t="shared" ref="AK71" si="25">AJ71+1</f>
        <v>2032</v>
      </c>
      <c r="AL71" s="5">
        <f t="shared" si="21"/>
        <v>2033</v>
      </c>
      <c r="AM71" s="5">
        <f t="shared" si="21"/>
        <v>2034</v>
      </c>
      <c r="AN71" s="5">
        <f t="shared" si="21"/>
        <v>2035</v>
      </c>
    </row>
    <row r="72" spans="2:40">
      <c r="B72" s="18" t="s">
        <v>353</v>
      </c>
      <c r="C72" s="19"/>
      <c r="D72" s="19"/>
      <c r="E72" s="17"/>
      <c r="F72" s="17"/>
      <c r="G72" s="17"/>
      <c r="H72" s="17"/>
      <c r="I72" s="17"/>
      <c r="J72" s="17"/>
      <c r="K72" s="17"/>
      <c r="L72" s="17"/>
      <c r="M72" s="17"/>
      <c r="N72" s="17"/>
      <c r="O72" s="9"/>
      <c r="P72" s="9"/>
      <c r="Q72" s="9"/>
      <c r="R72" s="9"/>
      <c r="S72" s="9"/>
      <c r="T72" s="9"/>
      <c r="U72" s="9"/>
      <c r="V72" s="9"/>
      <c r="W72" s="9"/>
      <c r="X72" s="9"/>
      <c r="Y72" s="9"/>
      <c r="Z72" s="9"/>
      <c r="AA72" s="9"/>
      <c r="AB72" s="9"/>
      <c r="AC72" s="9"/>
      <c r="AD72" s="9"/>
      <c r="AE72" s="9"/>
      <c r="AF72" s="9"/>
      <c r="AG72" s="9"/>
      <c r="AH72" s="9"/>
      <c r="AI72" s="9"/>
      <c r="AJ72" s="9"/>
      <c r="AK72" s="9"/>
      <c r="AL72" s="11"/>
      <c r="AM72" s="11"/>
      <c r="AN72" s="11"/>
    </row>
    <row r="73" spans="2:40">
      <c r="B73" s="18" t="s">
        <v>354</v>
      </c>
      <c r="C73" s="19"/>
      <c r="D73" s="19"/>
      <c r="E73" s="17"/>
      <c r="F73" s="17"/>
      <c r="G73" s="17"/>
      <c r="H73" s="17"/>
      <c r="I73" s="17"/>
      <c r="J73" s="17"/>
      <c r="K73" s="17"/>
      <c r="L73" s="17"/>
      <c r="M73" s="17"/>
      <c r="N73" s="17"/>
      <c r="O73" s="9"/>
      <c r="P73" s="9"/>
      <c r="Q73" s="9"/>
      <c r="R73" s="9"/>
      <c r="S73" s="9"/>
      <c r="T73" s="9"/>
      <c r="U73" s="9"/>
      <c r="V73" s="9"/>
      <c r="W73" s="9"/>
      <c r="X73" s="9"/>
      <c r="Y73" s="9"/>
      <c r="Z73" s="9"/>
      <c r="AA73" s="9"/>
      <c r="AB73" s="9"/>
      <c r="AC73" s="9"/>
      <c r="AD73" s="9"/>
      <c r="AE73" s="9"/>
      <c r="AF73" s="9"/>
      <c r="AG73" s="9"/>
      <c r="AH73" s="9"/>
      <c r="AI73" s="9"/>
      <c r="AJ73" s="9"/>
      <c r="AK73" s="9"/>
      <c r="AL73" s="11"/>
      <c r="AM73" s="11"/>
      <c r="AN73" s="11"/>
    </row>
    <row r="74" spans="2:40">
      <c r="B74" s="18" t="s">
        <v>355</v>
      </c>
      <c r="C74" s="19"/>
      <c r="D74" s="19"/>
      <c r="E74" s="17"/>
      <c r="F74" s="17"/>
      <c r="G74" s="17"/>
      <c r="H74" s="17"/>
      <c r="I74" s="17"/>
      <c r="J74" s="17"/>
      <c r="K74" s="17"/>
      <c r="L74" s="17"/>
      <c r="M74" s="17"/>
      <c r="N74" s="17"/>
      <c r="O74" s="9"/>
      <c r="P74" s="9"/>
      <c r="Q74" s="9"/>
      <c r="R74" s="9"/>
      <c r="S74" s="9"/>
      <c r="T74" s="9"/>
      <c r="U74" s="9"/>
      <c r="V74" s="9"/>
      <c r="W74" s="9"/>
      <c r="X74" s="9"/>
      <c r="Y74" s="9"/>
      <c r="Z74" s="9"/>
      <c r="AA74" s="9"/>
      <c r="AB74" s="9"/>
      <c r="AC74" s="9"/>
      <c r="AD74" s="9"/>
      <c r="AE74" s="9"/>
      <c r="AF74" s="9"/>
      <c r="AG74" s="9"/>
      <c r="AH74" s="9"/>
      <c r="AI74" s="9"/>
      <c r="AJ74" s="9"/>
      <c r="AK74" s="9"/>
      <c r="AL74" s="11"/>
      <c r="AM74" s="11"/>
      <c r="AN74" s="11"/>
    </row>
    <row r="75" spans="2:40">
      <c r="B75" s="18" t="s">
        <v>356</v>
      </c>
      <c r="C75" s="19"/>
      <c r="D75" s="19"/>
      <c r="E75" s="17"/>
      <c r="F75" s="17"/>
      <c r="G75" s="17"/>
      <c r="H75" s="17"/>
      <c r="I75" s="17"/>
      <c r="J75" s="17"/>
      <c r="K75" s="17"/>
      <c r="L75" s="17"/>
      <c r="M75" s="17"/>
      <c r="N75" s="17"/>
      <c r="O75" s="9"/>
      <c r="P75" s="9"/>
      <c r="Q75" s="9"/>
      <c r="R75" s="9"/>
      <c r="S75" s="9"/>
      <c r="T75" s="9"/>
      <c r="U75" s="9"/>
      <c r="V75" s="9"/>
      <c r="W75" s="9"/>
      <c r="X75" s="9"/>
      <c r="Y75" s="9"/>
      <c r="Z75" s="9"/>
      <c r="AA75" s="9"/>
      <c r="AB75" s="9"/>
      <c r="AC75" s="9"/>
      <c r="AD75" s="9"/>
      <c r="AE75" s="9"/>
      <c r="AF75" s="9"/>
      <c r="AG75" s="9"/>
      <c r="AH75" s="9"/>
      <c r="AI75" s="9"/>
      <c r="AJ75" s="9"/>
      <c r="AK75" s="9"/>
      <c r="AL75" s="11"/>
      <c r="AM75" s="11"/>
      <c r="AN75" s="11"/>
    </row>
    <row r="76" spans="2:40">
      <c r="B76" s="18" t="s">
        <v>357</v>
      </c>
      <c r="C76" s="19"/>
      <c r="D76" s="19"/>
      <c r="E76" s="17"/>
      <c r="F76" s="17"/>
      <c r="G76" s="17"/>
      <c r="H76" s="17"/>
      <c r="I76" s="17"/>
      <c r="J76" s="17"/>
      <c r="K76" s="17"/>
      <c r="L76" s="17"/>
      <c r="M76" s="17"/>
      <c r="N76" s="17"/>
      <c r="O76" s="9"/>
      <c r="P76" s="9"/>
      <c r="Q76" s="9"/>
      <c r="R76" s="9"/>
      <c r="S76" s="9"/>
      <c r="T76" s="9"/>
      <c r="U76" s="9"/>
      <c r="V76" s="9"/>
      <c r="W76" s="9"/>
      <c r="X76" s="9"/>
      <c r="Y76" s="9"/>
      <c r="Z76" s="9"/>
      <c r="AA76" s="9"/>
      <c r="AB76" s="9"/>
      <c r="AC76" s="9"/>
      <c r="AD76" s="9"/>
      <c r="AE76" s="9"/>
      <c r="AF76" s="9"/>
      <c r="AG76" s="9"/>
      <c r="AH76" s="9"/>
      <c r="AI76" s="9"/>
      <c r="AJ76" s="9"/>
      <c r="AK76" s="9"/>
      <c r="AL76" s="11"/>
      <c r="AM76" s="11"/>
      <c r="AN76" s="11"/>
    </row>
    <row r="77" spans="2:40">
      <c r="B77" s="18" t="s">
        <v>358</v>
      </c>
      <c r="C77" s="19"/>
      <c r="D77" s="19"/>
      <c r="E77" s="17"/>
      <c r="F77" s="17"/>
      <c r="G77" s="17"/>
      <c r="H77" s="17"/>
      <c r="I77" s="17"/>
      <c r="J77" s="17"/>
      <c r="K77" s="17"/>
      <c r="L77" s="17"/>
      <c r="M77" s="17"/>
      <c r="N77" s="17"/>
      <c r="O77" s="9"/>
      <c r="P77" s="9"/>
      <c r="Q77" s="9"/>
      <c r="R77" s="9"/>
      <c r="S77" s="9"/>
      <c r="T77" s="9"/>
      <c r="U77" s="9"/>
      <c r="V77" s="9"/>
      <c r="W77" s="9"/>
      <c r="X77" s="9"/>
      <c r="Y77" s="9"/>
      <c r="Z77" s="9"/>
      <c r="AA77" s="9"/>
      <c r="AB77" s="9"/>
      <c r="AC77" s="9"/>
      <c r="AD77" s="9"/>
      <c r="AE77" s="9"/>
      <c r="AF77" s="9"/>
      <c r="AG77" s="9"/>
      <c r="AH77" s="9"/>
      <c r="AI77" s="9"/>
      <c r="AJ77" s="9"/>
      <c r="AK77" s="9"/>
      <c r="AL77" s="11"/>
      <c r="AM77" s="11"/>
      <c r="AN77" s="11"/>
    </row>
    <row r="78" spans="2:40">
      <c r="B78" s="18" t="s">
        <v>359</v>
      </c>
      <c r="C78" s="19"/>
      <c r="D78" s="19"/>
      <c r="E78" s="17"/>
      <c r="F78" s="17"/>
      <c r="G78" s="17"/>
      <c r="H78" s="17"/>
      <c r="I78" s="17"/>
      <c r="J78" s="17"/>
      <c r="K78" s="17"/>
      <c r="L78" s="17"/>
      <c r="M78" s="17"/>
      <c r="N78" s="17"/>
      <c r="O78" s="9"/>
      <c r="P78" s="9"/>
      <c r="Q78" s="9"/>
      <c r="R78" s="9"/>
      <c r="S78" s="9"/>
      <c r="T78" s="9"/>
      <c r="U78" s="9"/>
      <c r="V78" s="9"/>
      <c r="W78" s="9"/>
      <c r="X78" s="9"/>
      <c r="Y78" s="9"/>
      <c r="Z78" s="9"/>
      <c r="AA78" s="9"/>
      <c r="AB78" s="9"/>
      <c r="AC78" s="9"/>
      <c r="AD78" s="9"/>
      <c r="AE78" s="9"/>
      <c r="AF78" s="9"/>
      <c r="AG78" s="9"/>
      <c r="AH78" s="9"/>
      <c r="AI78" s="9"/>
      <c r="AJ78" s="9"/>
      <c r="AK78" s="9"/>
      <c r="AL78" s="11"/>
      <c r="AM78" s="11"/>
      <c r="AN78" s="11"/>
    </row>
    <row r="79" spans="2:40">
      <c r="B79" s="18" t="s">
        <v>360</v>
      </c>
      <c r="C79" s="19"/>
      <c r="D79" s="19"/>
      <c r="E79" s="17"/>
      <c r="F79" s="17"/>
      <c r="G79" s="17"/>
      <c r="H79" s="17"/>
      <c r="I79" s="17"/>
      <c r="J79" s="17"/>
      <c r="K79" s="17"/>
      <c r="L79" s="17"/>
      <c r="M79" s="17"/>
      <c r="N79" s="17"/>
      <c r="O79" s="9"/>
      <c r="P79" s="9"/>
      <c r="Q79" s="9"/>
      <c r="R79" s="9"/>
      <c r="S79" s="9"/>
      <c r="T79" s="9"/>
      <c r="U79" s="9"/>
      <c r="V79" s="9"/>
      <c r="W79" s="9"/>
      <c r="X79" s="9"/>
      <c r="Y79" s="9"/>
      <c r="Z79" s="9"/>
      <c r="AA79" s="9"/>
      <c r="AB79" s="9"/>
      <c r="AC79" s="9"/>
      <c r="AD79" s="9"/>
      <c r="AE79" s="9"/>
      <c r="AF79" s="9"/>
      <c r="AG79" s="9"/>
      <c r="AH79" s="9"/>
      <c r="AI79" s="9"/>
      <c r="AJ79" s="9"/>
      <c r="AK79" s="9"/>
      <c r="AL79" s="11"/>
      <c r="AM79" s="11"/>
      <c r="AN79" s="11"/>
    </row>
    <row r="80" spans="2:40">
      <c r="B80" s="18" t="s">
        <v>361</v>
      </c>
      <c r="C80" s="19"/>
      <c r="D80" s="19"/>
      <c r="E80" s="17"/>
      <c r="F80" s="17"/>
      <c r="G80" s="17"/>
      <c r="H80" s="17"/>
      <c r="I80" s="17"/>
      <c r="J80" s="17"/>
      <c r="K80" s="17"/>
      <c r="L80" s="17"/>
      <c r="M80" s="17"/>
      <c r="N80" s="17"/>
      <c r="O80" s="9"/>
      <c r="P80" s="9"/>
      <c r="Q80" s="9"/>
      <c r="R80" s="9"/>
      <c r="S80" s="9"/>
      <c r="T80" s="9"/>
      <c r="U80" s="9"/>
      <c r="V80" s="9"/>
      <c r="W80" s="9"/>
      <c r="X80" s="9"/>
      <c r="Y80" s="9"/>
      <c r="Z80" s="9"/>
      <c r="AA80" s="9"/>
      <c r="AB80" s="9"/>
      <c r="AC80" s="9"/>
      <c r="AD80" s="9"/>
      <c r="AE80" s="9"/>
      <c r="AF80" s="9"/>
      <c r="AG80" s="9"/>
      <c r="AH80" s="9"/>
      <c r="AI80" s="9"/>
      <c r="AJ80" s="9"/>
      <c r="AK80" s="9"/>
      <c r="AL80" s="11"/>
      <c r="AM80" s="11"/>
      <c r="AN80" s="11"/>
    </row>
    <row r="81" spans="2:40">
      <c r="B81" s="18" t="s">
        <v>362</v>
      </c>
      <c r="C81" s="19"/>
      <c r="D81" s="19"/>
      <c r="E81" s="17"/>
      <c r="F81" s="17"/>
      <c r="G81" s="17"/>
      <c r="H81" s="17"/>
      <c r="I81" s="17"/>
      <c r="J81" s="17"/>
      <c r="K81" s="17"/>
      <c r="L81" s="17"/>
      <c r="M81" s="17"/>
      <c r="N81" s="17"/>
      <c r="O81" s="9"/>
      <c r="P81" s="9"/>
      <c r="Q81" s="9"/>
      <c r="R81" s="9"/>
      <c r="S81" s="9"/>
      <c r="T81" s="9"/>
      <c r="U81" s="9"/>
      <c r="V81" s="9"/>
      <c r="W81" s="9"/>
      <c r="X81" s="9"/>
      <c r="Y81" s="9"/>
      <c r="Z81" s="9"/>
      <c r="AA81" s="9"/>
      <c r="AB81" s="9"/>
      <c r="AC81" s="9"/>
      <c r="AD81" s="9"/>
      <c r="AE81" s="9"/>
      <c r="AF81" s="9"/>
      <c r="AG81" s="9"/>
      <c r="AH81" s="9"/>
      <c r="AI81" s="9"/>
      <c r="AJ81" s="9"/>
      <c r="AK81" s="9"/>
      <c r="AL81" s="11"/>
      <c r="AM81" s="11"/>
      <c r="AN81" s="11"/>
    </row>
    <row r="82" spans="2:40">
      <c r="B82" s="18" t="s">
        <v>363</v>
      </c>
      <c r="C82" s="19"/>
      <c r="D82" s="19"/>
      <c r="E82" s="17"/>
      <c r="F82" s="17"/>
      <c r="G82" s="17"/>
      <c r="H82" s="17"/>
      <c r="I82" s="17"/>
      <c r="J82" s="17"/>
      <c r="K82" s="17"/>
      <c r="L82" s="17"/>
      <c r="M82" s="17"/>
      <c r="N82" s="17"/>
      <c r="O82" s="9"/>
      <c r="P82" s="9"/>
      <c r="Q82" s="9"/>
      <c r="R82" s="9"/>
      <c r="S82" s="9"/>
      <c r="T82" s="9"/>
      <c r="U82" s="9"/>
      <c r="V82" s="9"/>
      <c r="W82" s="9"/>
      <c r="X82" s="9"/>
      <c r="Y82" s="9"/>
      <c r="Z82" s="9"/>
      <c r="AA82" s="9"/>
      <c r="AB82" s="9"/>
      <c r="AC82" s="9"/>
      <c r="AD82" s="9"/>
      <c r="AE82" s="9"/>
      <c r="AF82" s="9"/>
      <c r="AG82" s="9"/>
      <c r="AH82" s="9"/>
      <c r="AI82" s="9"/>
      <c r="AJ82" s="9"/>
      <c r="AK82" s="9"/>
      <c r="AL82" s="11"/>
      <c r="AM82" s="11"/>
      <c r="AN82" s="11"/>
    </row>
    <row r="83" spans="2:40">
      <c r="B83" s="18" t="s">
        <v>170</v>
      </c>
      <c r="C83" s="19"/>
      <c r="D83" s="19"/>
      <c r="E83" s="17"/>
      <c r="F83" s="17"/>
      <c r="G83" s="17"/>
      <c r="H83" s="17"/>
      <c r="I83" s="17"/>
      <c r="J83" s="17"/>
      <c r="K83" s="17"/>
      <c r="L83" s="17"/>
      <c r="M83" s="17"/>
      <c r="N83" s="17"/>
      <c r="O83" s="9"/>
      <c r="P83" s="9"/>
      <c r="Q83" s="9"/>
      <c r="R83" s="9"/>
      <c r="S83" s="9"/>
      <c r="T83" s="9"/>
      <c r="U83" s="9"/>
      <c r="V83" s="9"/>
      <c r="W83" s="9"/>
      <c r="X83" s="9"/>
      <c r="Y83" s="9"/>
      <c r="Z83" s="9"/>
      <c r="AA83" s="9"/>
      <c r="AB83" s="9"/>
      <c r="AC83" s="9"/>
      <c r="AD83" s="9"/>
      <c r="AE83" s="9"/>
      <c r="AF83" s="9"/>
      <c r="AG83" s="9"/>
      <c r="AH83" s="9"/>
      <c r="AI83" s="9"/>
      <c r="AJ83" s="9"/>
      <c r="AK83" s="9"/>
      <c r="AL83" s="11"/>
      <c r="AM83" s="11"/>
      <c r="AN83" s="11"/>
    </row>
    <row r="84" spans="2:40">
      <c r="B84" s="18" t="s">
        <v>364</v>
      </c>
      <c r="C84" s="19"/>
      <c r="D84" s="19"/>
      <c r="E84" s="17"/>
      <c r="F84" s="17"/>
      <c r="G84" s="17"/>
      <c r="H84" s="17"/>
      <c r="I84" s="17"/>
      <c r="J84" s="17"/>
      <c r="K84" s="17"/>
      <c r="L84" s="17"/>
      <c r="M84" s="17"/>
      <c r="N84" s="17"/>
      <c r="O84" s="9"/>
      <c r="P84" s="9"/>
      <c r="Q84" s="9"/>
      <c r="R84" s="9"/>
      <c r="S84" s="9"/>
      <c r="T84" s="9"/>
      <c r="U84" s="9"/>
      <c r="V84" s="9"/>
      <c r="W84" s="9"/>
      <c r="X84" s="9"/>
      <c r="Y84" s="9"/>
      <c r="Z84" s="9"/>
      <c r="AA84" s="9"/>
      <c r="AB84" s="9"/>
      <c r="AC84" s="9"/>
      <c r="AD84" s="9"/>
      <c r="AE84" s="9"/>
      <c r="AF84" s="9"/>
      <c r="AG84" s="9"/>
      <c r="AH84" s="9"/>
      <c r="AI84" s="9"/>
      <c r="AJ84" s="9"/>
      <c r="AK84" s="9"/>
      <c r="AL84" s="11"/>
      <c r="AM84" s="11"/>
      <c r="AN84" s="11"/>
    </row>
    <row r="85" spans="2:40">
      <c r="B85" s="18" t="s">
        <v>150</v>
      </c>
      <c r="C85" s="19"/>
      <c r="D85" s="19"/>
      <c r="E85" s="17"/>
      <c r="F85" s="17"/>
      <c r="G85" s="17"/>
      <c r="H85" s="17"/>
      <c r="I85" s="17"/>
      <c r="J85" s="17"/>
      <c r="K85" s="17"/>
      <c r="L85" s="17"/>
      <c r="M85" s="17"/>
      <c r="N85" s="17"/>
      <c r="O85" s="9"/>
      <c r="P85" s="9"/>
      <c r="Q85" s="9"/>
      <c r="R85" s="9"/>
      <c r="S85" s="9"/>
      <c r="T85" s="9"/>
      <c r="U85" s="9"/>
      <c r="V85" s="9"/>
      <c r="W85" s="9"/>
      <c r="X85" s="9"/>
      <c r="Y85" s="9"/>
      <c r="Z85" s="9"/>
      <c r="AA85" s="9"/>
      <c r="AB85" s="9"/>
      <c r="AC85" s="9"/>
      <c r="AD85" s="9"/>
      <c r="AE85" s="9"/>
      <c r="AF85" s="9"/>
      <c r="AG85" s="9"/>
      <c r="AH85" s="9"/>
      <c r="AI85" s="9"/>
      <c r="AJ85" s="9"/>
      <c r="AK85" s="9"/>
      <c r="AL85" s="11"/>
      <c r="AM85" s="11"/>
      <c r="AN85" s="11"/>
    </row>
    <row r="86" spans="2:40">
      <c r="B86" s="18" t="s">
        <v>365</v>
      </c>
      <c r="C86" s="19"/>
      <c r="D86" s="19"/>
      <c r="E86" s="17"/>
      <c r="F86" s="17"/>
      <c r="G86" s="17"/>
      <c r="H86" s="17"/>
      <c r="I86" s="17"/>
      <c r="J86" s="17"/>
      <c r="K86" s="17"/>
      <c r="L86" s="17"/>
      <c r="M86" s="17"/>
      <c r="N86" s="17"/>
      <c r="O86" s="9"/>
      <c r="P86" s="9"/>
      <c r="Q86" s="9"/>
      <c r="R86" s="9"/>
      <c r="S86" s="9"/>
      <c r="T86" s="9"/>
      <c r="U86" s="9"/>
      <c r="V86" s="9"/>
      <c r="W86" s="9"/>
      <c r="X86" s="9"/>
      <c r="Y86" s="9"/>
      <c r="Z86" s="9"/>
      <c r="AA86" s="9"/>
      <c r="AB86" s="9"/>
      <c r="AC86" s="9"/>
      <c r="AD86" s="9"/>
      <c r="AE86" s="9"/>
      <c r="AF86" s="9"/>
      <c r="AG86" s="9"/>
      <c r="AH86" s="9"/>
      <c r="AI86" s="9"/>
      <c r="AJ86" s="9"/>
      <c r="AK86" s="9"/>
      <c r="AL86" s="11"/>
      <c r="AM86" s="11"/>
      <c r="AN86" s="11"/>
    </row>
    <row r="87" spans="2:40">
      <c r="B87" s="18" t="s">
        <v>366</v>
      </c>
      <c r="C87" s="19"/>
      <c r="D87" s="19"/>
      <c r="E87" s="17"/>
      <c r="F87" s="17"/>
      <c r="G87" s="17"/>
      <c r="H87" s="17"/>
      <c r="I87" s="17"/>
      <c r="J87" s="17"/>
      <c r="K87" s="17"/>
      <c r="L87" s="17"/>
      <c r="M87" s="17"/>
      <c r="N87" s="17"/>
      <c r="O87" s="9"/>
      <c r="P87" s="9"/>
      <c r="Q87" s="9"/>
      <c r="R87" s="9"/>
      <c r="S87" s="9"/>
      <c r="T87" s="9"/>
      <c r="U87" s="9"/>
      <c r="V87" s="9"/>
      <c r="W87" s="9"/>
      <c r="X87" s="9"/>
      <c r="Y87" s="9"/>
      <c r="Z87" s="9"/>
      <c r="AA87" s="9"/>
      <c r="AB87" s="9"/>
      <c r="AC87" s="9"/>
      <c r="AD87" s="9"/>
      <c r="AE87" s="9"/>
      <c r="AF87" s="9"/>
      <c r="AG87" s="9"/>
      <c r="AH87" s="9"/>
      <c r="AI87" s="9"/>
      <c r="AJ87" s="9"/>
      <c r="AK87" s="9"/>
      <c r="AL87" s="11"/>
      <c r="AM87" s="11"/>
      <c r="AN87" s="11"/>
    </row>
    <row r="88" spans="2:40">
      <c r="B88" s="18" t="s">
        <v>2</v>
      </c>
      <c r="C88" s="19"/>
      <c r="D88" s="19"/>
      <c r="E88" s="17"/>
      <c r="F88" s="17"/>
      <c r="G88" s="17"/>
      <c r="H88" s="17"/>
      <c r="I88" s="17"/>
      <c r="J88" s="17"/>
      <c r="K88" s="17"/>
      <c r="L88" s="17"/>
      <c r="M88" s="17"/>
      <c r="N88" s="17"/>
      <c r="O88" s="9"/>
      <c r="P88" s="9"/>
      <c r="Q88" s="9"/>
      <c r="R88" s="9"/>
      <c r="S88" s="9"/>
      <c r="T88" s="9"/>
      <c r="U88" s="9"/>
      <c r="V88" s="9"/>
      <c r="W88" s="9"/>
      <c r="X88" s="9"/>
      <c r="Y88" s="9"/>
      <c r="Z88" s="9"/>
      <c r="AA88" s="9"/>
      <c r="AB88" s="9"/>
      <c r="AC88" s="9"/>
      <c r="AD88" s="9"/>
      <c r="AE88" s="9"/>
      <c r="AF88" s="9"/>
      <c r="AG88" s="9"/>
      <c r="AH88" s="9"/>
      <c r="AI88" s="9"/>
      <c r="AJ88" s="9"/>
      <c r="AK88" s="9"/>
      <c r="AL88" s="11"/>
      <c r="AM88" s="11"/>
      <c r="AN88" s="11"/>
    </row>
    <row r="89" spans="2:40">
      <c r="B89" s="18" t="s">
        <v>367</v>
      </c>
      <c r="C89" s="19"/>
      <c r="D89" s="19"/>
      <c r="E89" s="17"/>
      <c r="F89" s="17"/>
      <c r="G89" s="17"/>
      <c r="H89" s="17"/>
      <c r="I89" s="17"/>
      <c r="J89" s="17"/>
      <c r="K89" s="17"/>
      <c r="L89" s="17"/>
      <c r="M89" s="17"/>
      <c r="N89" s="17"/>
      <c r="O89" s="9"/>
      <c r="P89" s="9"/>
      <c r="Q89" s="9"/>
      <c r="R89" s="9"/>
      <c r="S89" s="9"/>
      <c r="T89" s="9"/>
      <c r="U89" s="9"/>
      <c r="V89" s="9"/>
      <c r="W89" s="9"/>
      <c r="X89" s="9"/>
      <c r="Y89" s="9"/>
      <c r="Z89" s="9"/>
      <c r="AA89" s="9"/>
      <c r="AB89" s="9"/>
      <c r="AC89" s="9"/>
      <c r="AD89" s="9"/>
      <c r="AE89" s="9"/>
      <c r="AF89" s="9"/>
      <c r="AG89" s="9"/>
      <c r="AH89" s="9"/>
      <c r="AI89" s="9"/>
      <c r="AJ89" s="9"/>
      <c r="AK89" s="9"/>
      <c r="AL89" s="11"/>
      <c r="AM89" s="11"/>
      <c r="AN89" s="11"/>
    </row>
    <row r="90" spans="2:40">
      <c r="B90" s="18" t="s">
        <v>368</v>
      </c>
      <c r="C90" s="19"/>
      <c r="D90" s="19"/>
      <c r="E90" s="17"/>
      <c r="F90" s="17"/>
      <c r="G90" s="17"/>
      <c r="H90" s="17"/>
      <c r="I90" s="17"/>
      <c r="J90" s="17"/>
      <c r="K90" s="17"/>
      <c r="L90" s="17"/>
      <c r="M90" s="17"/>
      <c r="N90" s="17"/>
      <c r="O90" s="9"/>
      <c r="P90" s="9"/>
      <c r="Q90" s="9"/>
      <c r="R90" s="9"/>
      <c r="S90" s="9"/>
      <c r="T90" s="9"/>
      <c r="U90" s="9"/>
      <c r="V90" s="9"/>
      <c r="W90" s="9"/>
      <c r="X90" s="9"/>
      <c r="Y90" s="9"/>
      <c r="Z90" s="9"/>
      <c r="AA90" s="9"/>
      <c r="AB90" s="9"/>
      <c r="AC90" s="9"/>
      <c r="AD90" s="9"/>
      <c r="AE90" s="9"/>
      <c r="AF90" s="9"/>
      <c r="AG90" s="9"/>
      <c r="AH90" s="9"/>
      <c r="AI90" s="9"/>
      <c r="AJ90" s="9"/>
      <c r="AK90" s="9"/>
      <c r="AL90" s="11"/>
      <c r="AM90" s="11"/>
      <c r="AN90" s="11"/>
    </row>
    <row r="91" spans="2:40">
      <c r="B91" s="18" t="s">
        <v>369</v>
      </c>
      <c r="C91" s="19"/>
      <c r="D91" s="19"/>
      <c r="E91" s="17"/>
      <c r="F91" s="17"/>
      <c r="G91" s="17"/>
      <c r="H91" s="17"/>
      <c r="I91" s="17"/>
      <c r="J91" s="17"/>
      <c r="K91" s="17"/>
      <c r="L91" s="17"/>
      <c r="M91" s="17"/>
      <c r="N91" s="17"/>
      <c r="O91" s="9"/>
      <c r="P91" s="9"/>
      <c r="Q91" s="9"/>
      <c r="R91" s="9"/>
      <c r="S91" s="9"/>
      <c r="T91" s="9"/>
      <c r="U91" s="9"/>
      <c r="V91" s="9"/>
      <c r="W91" s="9"/>
      <c r="X91" s="9"/>
      <c r="Y91" s="9"/>
      <c r="Z91" s="9"/>
      <c r="AA91" s="9"/>
      <c r="AB91" s="9"/>
      <c r="AC91" s="9"/>
      <c r="AD91" s="9"/>
      <c r="AE91" s="9"/>
      <c r="AF91" s="9"/>
      <c r="AG91" s="9"/>
      <c r="AH91" s="9"/>
      <c r="AI91" s="9"/>
      <c r="AJ91" s="9"/>
      <c r="AK91" s="9"/>
      <c r="AL91" s="11"/>
      <c r="AM91" s="11"/>
      <c r="AN91" s="11"/>
    </row>
    <row r="92" spans="2:40">
      <c r="B92" s="18" t="s">
        <v>370</v>
      </c>
      <c r="C92" s="19"/>
      <c r="D92" s="19"/>
      <c r="E92" s="17"/>
      <c r="F92" s="17"/>
      <c r="G92" s="17"/>
      <c r="H92" s="17"/>
      <c r="I92" s="17"/>
      <c r="J92" s="17"/>
      <c r="K92" s="17"/>
      <c r="L92" s="17"/>
      <c r="M92" s="17"/>
      <c r="N92" s="17"/>
      <c r="O92" s="9"/>
      <c r="P92" s="9"/>
      <c r="Q92" s="9"/>
      <c r="R92" s="9"/>
      <c r="S92" s="9"/>
      <c r="T92" s="9"/>
      <c r="U92" s="9"/>
      <c r="V92" s="9"/>
      <c r="W92" s="9"/>
      <c r="X92" s="9"/>
      <c r="Y92" s="9"/>
      <c r="Z92" s="9"/>
      <c r="AA92" s="9"/>
      <c r="AB92" s="9"/>
      <c r="AC92" s="9"/>
      <c r="AD92" s="9"/>
      <c r="AE92" s="9"/>
      <c r="AF92" s="9"/>
      <c r="AG92" s="9"/>
      <c r="AH92" s="9"/>
      <c r="AI92" s="9"/>
      <c r="AJ92" s="9"/>
      <c r="AK92" s="9"/>
      <c r="AL92" s="11"/>
      <c r="AM92" s="11"/>
      <c r="AN92" s="11"/>
    </row>
    <row r="93" spans="2:40">
      <c r="B93" s="18" t="s">
        <v>371</v>
      </c>
      <c r="C93" s="19"/>
      <c r="D93" s="19"/>
      <c r="E93" s="17"/>
      <c r="F93" s="17"/>
      <c r="G93" s="17"/>
      <c r="H93" s="17"/>
      <c r="I93" s="17"/>
      <c r="J93" s="17"/>
      <c r="K93" s="17"/>
      <c r="L93" s="17"/>
      <c r="M93" s="17"/>
      <c r="N93" s="17"/>
      <c r="O93" s="9"/>
      <c r="P93" s="9"/>
      <c r="Q93" s="9"/>
      <c r="R93" s="9"/>
      <c r="S93" s="9"/>
      <c r="T93" s="9"/>
      <c r="U93" s="9"/>
      <c r="V93" s="9"/>
      <c r="W93" s="9"/>
      <c r="X93" s="9"/>
      <c r="Y93" s="9"/>
      <c r="Z93" s="9"/>
      <c r="AA93" s="9"/>
      <c r="AB93" s="9"/>
      <c r="AC93" s="9"/>
      <c r="AD93" s="9"/>
      <c r="AE93" s="9"/>
      <c r="AF93" s="9"/>
      <c r="AG93" s="9"/>
      <c r="AH93" s="9"/>
      <c r="AI93" s="9"/>
      <c r="AJ93" s="9"/>
      <c r="AK93" s="9"/>
      <c r="AL93" s="11"/>
      <c r="AM93" s="11"/>
      <c r="AN93" s="11"/>
    </row>
    <row r="94" spans="2:40">
      <c r="B94" s="18" t="s">
        <v>372</v>
      </c>
      <c r="C94" s="19"/>
      <c r="D94" s="19"/>
      <c r="E94" s="17"/>
      <c r="F94" s="17"/>
      <c r="G94" s="17"/>
      <c r="H94" s="17"/>
      <c r="I94" s="17"/>
      <c r="J94" s="17"/>
      <c r="K94" s="17"/>
      <c r="L94" s="17"/>
      <c r="M94" s="17"/>
      <c r="N94" s="17"/>
      <c r="O94" s="9"/>
      <c r="P94" s="9"/>
      <c r="Q94" s="9"/>
      <c r="R94" s="9"/>
      <c r="S94" s="9"/>
      <c r="T94" s="9"/>
      <c r="U94" s="9"/>
      <c r="V94" s="9"/>
      <c r="W94" s="9"/>
      <c r="X94" s="9"/>
      <c r="Y94" s="9"/>
      <c r="Z94" s="9"/>
      <c r="AA94" s="9"/>
      <c r="AB94" s="9"/>
      <c r="AC94" s="9"/>
      <c r="AD94" s="9"/>
      <c r="AE94" s="9"/>
      <c r="AF94" s="9"/>
      <c r="AG94" s="9"/>
      <c r="AH94" s="9"/>
      <c r="AI94" s="9"/>
      <c r="AJ94" s="9"/>
      <c r="AK94" s="9"/>
      <c r="AL94" s="11"/>
      <c r="AM94" s="11"/>
      <c r="AN94" s="11"/>
    </row>
    <row r="95" spans="2:40">
      <c r="B95" s="18" t="s">
        <v>373</v>
      </c>
      <c r="C95" s="19"/>
      <c r="D95" s="19"/>
      <c r="E95" s="17"/>
      <c r="F95" s="17"/>
      <c r="G95" s="17"/>
      <c r="H95" s="17"/>
      <c r="I95" s="17"/>
      <c r="J95" s="17"/>
      <c r="K95" s="17"/>
      <c r="L95" s="17"/>
      <c r="M95" s="17"/>
      <c r="N95" s="17"/>
      <c r="O95" s="9"/>
      <c r="P95" s="9"/>
      <c r="Q95" s="9"/>
      <c r="R95" s="9"/>
      <c r="S95" s="9"/>
      <c r="T95" s="9"/>
      <c r="U95" s="9"/>
      <c r="V95" s="9"/>
      <c r="W95" s="9"/>
      <c r="X95" s="9"/>
      <c r="Y95" s="9"/>
      <c r="Z95" s="9"/>
      <c r="AA95" s="9"/>
      <c r="AB95" s="9"/>
      <c r="AC95" s="9"/>
      <c r="AD95" s="9"/>
      <c r="AE95" s="9"/>
      <c r="AF95" s="9"/>
      <c r="AG95" s="9"/>
      <c r="AH95" s="9"/>
      <c r="AI95" s="9"/>
      <c r="AJ95" s="9"/>
      <c r="AK95" s="9"/>
      <c r="AL95" s="11"/>
      <c r="AM95" s="11"/>
      <c r="AN95" s="11"/>
    </row>
    <row r="96" spans="2:40">
      <c r="B96" s="18" t="s">
        <v>374</v>
      </c>
      <c r="C96" s="19"/>
      <c r="D96" s="19"/>
      <c r="E96" s="17"/>
      <c r="F96" s="17"/>
      <c r="G96" s="17"/>
      <c r="H96" s="17"/>
      <c r="I96" s="17"/>
      <c r="J96" s="17"/>
      <c r="K96" s="17"/>
      <c r="L96" s="17"/>
      <c r="M96" s="17"/>
      <c r="N96" s="17"/>
      <c r="O96" s="9"/>
      <c r="P96" s="9"/>
      <c r="Q96" s="9"/>
      <c r="R96" s="9"/>
      <c r="S96" s="9"/>
      <c r="T96" s="9"/>
      <c r="U96" s="9"/>
      <c r="V96" s="9"/>
      <c r="W96" s="9"/>
      <c r="X96" s="9"/>
      <c r="Y96" s="9"/>
      <c r="Z96" s="9"/>
      <c r="AA96" s="9"/>
      <c r="AB96" s="9"/>
      <c r="AC96" s="9"/>
      <c r="AD96" s="9"/>
      <c r="AE96" s="9"/>
      <c r="AF96" s="9"/>
      <c r="AG96" s="9"/>
      <c r="AH96" s="9"/>
      <c r="AI96" s="9"/>
      <c r="AJ96" s="9"/>
      <c r="AK96" s="9"/>
      <c r="AL96" s="11"/>
      <c r="AM96" s="11"/>
      <c r="AN96" s="11"/>
    </row>
    <row r="97" spans="2:40">
      <c r="B97" s="18" t="s">
        <v>375</v>
      </c>
      <c r="C97" s="19"/>
      <c r="D97" s="19"/>
      <c r="E97" s="17"/>
      <c r="F97" s="17"/>
      <c r="G97" s="17"/>
      <c r="H97" s="17"/>
      <c r="I97" s="17"/>
      <c r="J97" s="17"/>
      <c r="K97" s="17"/>
      <c r="L97" s="17"/>
      <c r="M97" s="17"/>
      <c r="N97" s="17"/>
      <c r="O97" s="9"/>
      <c r="P97" s="9"/>
      <c r="Q97" s="9"/>
      <c r="R97" s="9"/>
      <c r="S97" s="9"/>
      <c r="T97" s="9"/>
      <c r="U97" s="9"/>
      <c r="V97" s="9"/>
      <c r="W97" s="9"/>
      <c r="X97" s="9"/>
      <c r="Y97" s="9"/>
      <c r="Z97" s="9"/>
      <c r="AA97" s="9"/>
      <c r="AB97" s="9"/>
      <c r="AC97" s="9"/>
      <c r="AD97" s="9"/>
      <c r="AE97" s="9"/>
      <c r="AF97" s="9"/>
      <c r="AG97" s="9"/>
      <c r="AH97" s="9"/>
      <c r="AI97" s="9"/>
      <c r="AJ97" s="9"/>
      <c r="AK97" s="9"/>
      <c r="AL97" s="11"/>
      <c r="AM97" s="11"/>
      <c r="AN97" s="11"/>
    </row>
    <row r="98" spans="2:40">
      <c r="B98" s="18" t="s">
        <v>376</v>
      </c>
      <c r="C98" s="19"/>
      <c r="D98" s="19"/>
      <c r="E98" s="17"/>
      <c r="F98" s="17"/>
      <c r="G98" s="17"/>
      <c r="H98" s="17"/>
      <c r="I98" s="17"/>
      <c r="J98" s="17"/>
      <c r="K98" s="17"/>
      <c r="L98" s="17"/>
      <c r="M98" s="17"/>
      <c r="N98" s="17"/>
      <c r="O98" s="9"/>
      <c r="P98" s="9"/>
      <c r="Q98" s="9"/>
      <c r="R98" s="9"/>
      <c r="S98" s="9"/>
      <c r="T98" s="9"/>
      <c r="U98" s="9"/>
      <c r="V98" s="9"/>
      <c r="W98" s="9"/>
      <c r="X98" s="9"/>
      <c r="Y98" s="9"/>
      <c r="Z98" s="9"/>
      <c r="AA98" s="9"/>
      <c r="AB98" s="9"/>
      <c r="AC98" s="9"/>
      <c r="AD98" s="9"/>
      <c r="AE98" s="9"/>
      <c r="AF98" s="9"/>
      <c r="AG98" s="9"/>
      <c r="AH98" s="9"/>
      <c r="AI98" s="9"/>
      <c r="AJ98" s="9"/>
      <c r="AK98" s="9"/>
      <c r="AL98" s="11"/>
      <c r="AM98" s="11"/>
      <c r="AN98" s="11"/>
    </row>
    <row r="99" spans="2:40">
      <c r="B99" s="18" t="s">
        <v>377</v>
      </c>
      <c r="C99" s="19"/>
      <c r="D99" s="19"/>
      <c r="E99" s="17"/>
      <c r="F99" s="17"/>
      <c r="G99" s="17"/>
      <c r="H99" s="17"/>
      <c r="I99" s="17"/>
      <c r="J99" s="17"/>
      <c r="K99" s="17"/>
      <c r="L99" s="17"/>
      <c r="M99" s="17"/>
      <c r="N99" s="17"/>
      <c r="O99" s="9"/>
      <c r="P99" s="9"/>
      <c r="Q99" s="9"/>
      <c r="R99" s="9"/>
      <c r="S99" s="9"/>
      <c r="T99" s="9"/>
      <c r="U99" s="9"/>
      <c r="V99" s="9"/>
      <c r="W99" s="9"/>
      <c r="X99" s="9"/>
      <c r="Y99" s="9"/>
      <c r="Z99" s="9"/>
      <c r="AA99" s="9"/>
      <c r="AB99" s="9"/>
      <c r="AC99" s="9"/>
      <c r="AD99" s="9"/>
      <c r="AE99" s="9"/>
      <c r="AF99" s="9"/>
      <c r="AG99" s="9"/>
      <c r="AH99" s="9"/>
      <c r="AI99" s="9"/>
      <c r="AJ99" s="9"/>
      <c r="AK99" s="9"/>
      <c r="AL99" s="11"/>
      <c r="AM99" s="11"/>
      <c r="AN99" s="11"/>
    </row>
    <row r="100" spans="2:40">
      <c r="B100" s="18" t="s">
        <v>378</v>
      </c>
      <c r="C100" s="19"/>
      <c r="D100" s="19"/>
      <c r="E100" s="17"/>
      <c r="F100" s="17"/>
      <c r="G100" s="17"/>
      <c r="H100" s="17"/>
      <c r="I100" s="17"/>
      <c r="J100" s="17"/>
      <c r="K100" s="17"/>
      <c r="L100" s="17"/>
      <c r="M100" s="17"/>
      <c r="N100" s="17"/>
      <c r="O100" s="9"/>
      <c r="P100" s="9"/>
      <c r="Q100" s="9"/>
      <c r="R100" s="9"/>
      <c r="S100" s="9"/>
      <c r="T100" s="9"/>
      <c r="U100" s="9"/>
      <c r="V100" s="9"/>
      <c r="W100" s="9"/>
      <c r="X100" s="9"/>
      <c r="Y100" s="9"/>
      <c r="Z100" s="9"/>
      <c r="AA100" s="9"/>
      <c r="AB100" s="9"/>
      <c r="AC100" s="9"/>
      <c r="AD100" s="9"/>
      <c r="AE100" s="9"/>
      <c r="AF100" s="9"/>
      <c r="AG100" s="9"/>
      <c r="AH100" s="9"/>
      <c r="AI100" s="9"/>
      <c r="AJ100" s="9"/>
      <c r="AK100" s="9"/>
      <c r="AL100" s="11"/>
      <c r="AM100" s="11"/>
      <c r="AN100" s="11"/>
    </row>
    <row r="101" spans="2:40">
      <c r="B101" s="18" t="s">
        <v>379</v>
      </c>
      <c r="C101" s="19"/>
      <c r="D101" s="19"/>
      <c r="E101" s="17"/>
      <c r="F101" s="17"/>
      <c r="G101" s="17"/>
      <c r="H101" s="17"/>
      <c r="I101" s="17"/>
      <c r="J101" s="17"/>
      <c r="K101" s="17"/>
      <c r="L101" s="17"/>
      <c r="M101" s="17"/>
      <c r="N101" s="17"/>
      <c r="O101" s="9"/>
      <c r="P101" s="9"/>
      <c r="Q101" s="9"/>
      <c r="R101" s="9"/>
      <c r="S101" s="9"/>
      <c r="T101" s="9"/>
      <c r="U101" s="9"/>
      <c r="V101" s="9"/>
      <c r="W101" s="9"/>
      <c r="X101" s="9"/>
      <c r="Y101" s="9"/>
      <c r="Z101" s="9"/>
      <c r="AA101" s="9"/>
      <c r="AB101" s="9"/>
      <c r="AC101" s="9"/>
      <c r="AD101" s="9"/>
      <c r="AE101" s="9"/>
      <c r="AF101" s="9"/>
      <c r="AG101" s="9"/>
      <c r="AH101" s="9"/>
      <c r="AI101" s="9"/>
      <c r="AJ101" s="9"/>
      <c r="AK101" s="9"/>
      <c r="AL101" s="11"/>
      <c r="AM101" s="11"/>
      <c r="AN101" s="11"/>
    </row>
    <row r="102" spans="2:40">
      <c r="B102" s="18" t="s">
        <v>380</v>
      </c>
      <c r="C102" s="19"/>
      <c r="D102" s="19"/>
      <c r="E102" s="17"/>
      <c r="F102" s="17"/>
      <c r="G102" s="17"/>
      <c r="H102" s="17"/>
      <c r="I102" s="17"/>
      <c r="J102" s="17"/>
      <c r="K102" s="17"/>
      <c r="L102" s="17"/>
      <c r="M102" s="17"/>
      <c r="N102" s="17"/>
      <c r="O102" s="9"/>
      <c r="P102" s="9"/>
      <c r="Q102" s="9"/>
      <c r="R102" s="9"/>
      <c r="S102" s="9"/>
      <c r="T102" s="9"/>
      <c r="U102" s="9"/>
      <c r="V102" s="9"/>
      <c r="W102" s="9"/>
      <c r="X102" s="9"/>
      <c r="Y102" s="9"/>
      <c r="Z102" s="9"/>
      <c r="AA102" s="9"/>
      <c r="AB102" s="9"/>
      <c r="AC102" s="9"/>
      <c r="AD102" s="9"/>
      <c r="AE102" s="9"/>
      <c r="AF102" s="9"/>
      <c r="AG102" s="9"/>
      <c r="AH102" s="9"/>
      <c r="AI102" s="9"/>
      <c r="AJ102" s="9"/>
      <c r="AK102" s="9"/>
      <c r="AL102" s="11"/>
      <c r="AM102" s="11"/>
      <c r="AN102" s="11"/>
    </row>
    <row r="103" spans="2:40">
      <c r="B103" s="18" t="s">
        <v>381</v>
      </c>
      <c r="C103" s="19"/>
      <c r="D103" s="19"/>
      <c r="E103" s="17"/>
      <c r="F103" s="17"/>
      <c r="G103" s="17"/>
      <c r="H103" s="17"/>
      <c r="I103" s="17"/>
      <c r="J103" s="17"/>
      <c r="K103" s="17"/>
      <c r="L103" s="17"/>
      <c r="M103" s="17"/>
      <c r="N103" s="17"/>
      <c r="O103" s="9"/>
      <c r="P103" s="9"/>
      <c r="Q103" s="9"/>
      <c r="R103" s="9"/>
      <c r="S103" s="9"/>
      <c r="T103" s="9"/>
      <c r="U103" s="9"/>
      <c r="V103" s="9"/>
      <c r="W103" s="9"/>
      <c r="X103" s="9"/>
      <c r="Y103" s="9"/>
      <c r="Z103" s="9"/>
      <c r="AA103" s="9"/>
      <c r="AB103" s="9"/>
      <c r="AC103" s="9"/>
      <c r="AD103" s="9"/>
      <c r="AE103" s="9"/>
      <c r="AF103" s="9"/>
      <c r="AG103" s="9"/>
      <c r="AH103" s="9"/>
      <c r="AI103" s="9"/>
      <c r="AJ103" s="9"/>
      <c r="AK103" s="9"/>
      <c r="AL103" s="11"/>
      <c r="AM103" s="11"/>
      <c r="AN103" s="11"/>
    </row>
    <row r="104" spans="2:40">
      <c r="B104" s="18" t="s">
        <v>382</v>
      </c>
      <c r="C104" s="19"/>
      <c r="D104" s="19"/>
      <c r="E104" s="17"/>
      <c r="F104" s="17"/>
      <c r="G104" s="17"/>
      <c r="H104" s="17"/>
      <c r="I104" s="17"/>
      <c r="J104" s="17"/>
      <c r="K104" s="17"/>
      <c r="L104" s="17"/>
      <c r="M104" s="17"/>
      <c r="N104" s="17"/>
      <c r="O104" s="9"/>
      <c r="P104" s="9"/>
      <c r="Q104" s="9"/>
      <c r="R104" s="9"/>
      <c r="S104" s="9"/>
      <c r="T104" s="9"/>
      <c r="U104" s="9"/>
      <c r="V104" s="9"/>
      <c r="W104" s="9"/>
      <c r="X104" s="9"/>
      <c r="Y104" s="9"/>
      <c r="Z104" s="9"/>
      <c r="AA104" s="9"/>
      <c r="AB104" s="9"/>
      <c r="AC104" s="9"/>
      <c r="AD104" s="9"/>
      <c r="AE104" s="9"/>
      <c r="AF104" s="9"/>
      <c r="AG104" s="9"/>
      <c r="AH104" s="9"/>
      <c r="AI104" s="9"/>
      <c r="AJ104" s="9"/>
      <c r="AK104" s="9"/>
      <c r="AL104" s="11"/>
      <c r="AM104" s="11"/>
      <c r="AN104" s="11"/>
    </row>
    <row r="105" spans="2:40">
      <c r="B105" s="18" t="s">
        <v>383</v>
      </c>
      <c r="C105" s="19"/>
      <c r="D105" s="19"/>
      <c r="E105" s="17"/>
      <c r="F105" s="17"/>
      <c r="G105" s="17"/>
      <c r="H105" s="17"/>
      <c r="I105" s="17"/>
      <c r="J105" s="17"/>
      <c r="K105" s="17"/>
      <c r="L105" s="17"/>
      <c r="M105" s="17"/>
      <c r="N105" s="17"/>
      <c r="O105" s="9"/>
      <c r="P105" s="9"/>
      <c r="Q105" s="9"/>
      <c r="R105" s="9"/>
      <c r="S105" s="9"/>
      <c r="T105" s="9"/>
      <c r="U105" s="9"/>
      <c r="V105" s="9"/>
      <c r="W105" s="9"/>
      <c r="X105" s="9"/>
      <c r="Y105" s="9"/>
      <c r="Z105" s="9"/>
      <c r="AA105" s="9"/>
      <c r="AB105" s="9"/>
      <c r="AC105" s="9"/>
      <c r="AD105" s="9"/>
      <c r="AE105" s="9"/>
      <c r="AF105" s="9"/>
      <c r="AG105" s="9"/>
      <c r="AH105" s="9"/>
      <c r="AI105" s="9"/>
      <c r="AJ105" s="9"/>
      <c r="AK105" s="9"/>
      <c r="AL105" s="11"/>
      <c r="AM105" s="11"/>
      <c r="AN105" s="11"/>
    </row>
    <row r="106" spans="2:40">
      <c r="B106" s="18" t="s">
        <v>5</v>
      </c>
      <c r="C106" s="19"/>
      <c r="D106" s="19"/>
      <c r="E106" s="17"/>
      <c r="F106" s="17"/>
      <c r="G106" s="17"/>
      <c r="H106" s="17"/>
      <c r="I106" s="17"/>
      <c r="J106" s="17"/>
      <c r="K106" s="17"/>
      <c r="L106" s="17"/>
      <c r="M106" s="17"/>
      <c r="N106" s="17"/>
      <c r="O106" s="9"/>
      <c r="P106" s="9"/>
      <c r="Q106" s="9"/>
      <c r="R106" s="9"/>
      <c r="S106" s="9"/>
      <c r="T106" s="9"/>
      <c r="U106" s="9"/>
      <c r="V106" s="9"/>
      <c r="W106" s="9"/>
      <c r="X106" s="9"/>
      <c r="Y106" s="9"/>
      <c r="Z106" s="9"/>
      <c r="AA106" s="9"/>
      <c r="AB106" s="9"/>
      <c r="AC106" s="9"/>
      <c r="AD106" s="9"/>
      <c r="AE106" s="9"/>
      <c r="AF106" s="9"/>
      <c r="AG106" s="9"/>
      <c r="AH106" s="9"/>
      <c r="AI106" s="9"/>
      <c r="AJ106" s="9"/>
      <c r="AK106" s="9"/>
      <c r="AL106" s="11"/>
      <c r="AM106" s="11"/>
      <c r="AN106" s="11"/>
    </row>
    <row r="107" spans="2:40">
      <c r="B107" s="20"/>
      <c r="C107" s="21"/>
      <c r="D107" s="21"/>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row>
    <row r="108" spans="2:40">
      <c r="B108" s="5" t="s">
        <v>384</v>
      </c>
      <c r="C108" s="6">
        <v>1998</v>
      </c>
      <c r="D108" s="6">
        <v>1999</v>
      </c>
      <c r="E108" s="6">
        <v>2000</v>
      </c>
      <c r="F108" s="6">
        <f t="shared" ref="F108:AN108" si="26">E108+1</f>
        <v>2001</v>
      </c>
      <c r="G108" s="6">
        <f t="shared" si="26"/>
        <v>2002</v>
      </c>
      <c r="H108" s="6">
        <f t="shared" si="26"/>
        <v>2003</v>
      </c>
      <c r="I108" s="6">
        <f t="shared" si="26"/>
        <v>2004</v>
      </c>
      <c r="J108" s="6">
        <f>I108+1</f>
        <v>2005</v>
      </c>
      <c r="K108" s="6">
        <f>J108+1</f>
        <v>2006</v>
      </c>
      <c r="L108" s="6">
        <f>K108+1</f>
        <v>2007</v>
      </c>
      <c r="M108" s="6">
        <f>L108+1</f>
        <v>2008</v>
      </c>
      <c r="N108" s="6">
        <f>M108+1</f>
        <v>2009</v>
      </c>
      <c r="O108" s="6">
        <f t="shared" si="26"/>
        <v>2010</v>
      </c>
      <c r="P108" s="6">
        <f t="shared" si="26"/>
        <v>2011</v>
      </c>
      <c r="Q108" s="6">
        <f t="shared" si="26"/>
        <v>2012</v>
      </c>
      <c r="R108" s="6">
        <f>Q108+1</f>
        <v>2013</v>
      </c>
      <c r="S108" s="6">
        <f>R108+1</f>
        <v>2014</v>
      </c>
      <c r="T108" s="6">
        <f t="shared" si="26"/>
        <v>2015</v>
      </c>
      <c r="U108" s="6">
        <f t="shared" si="26"/>
        <v>2016</v>
      </c>
      <c r="V108" s="6">
        <f t="shared" si="26"/>
        <v>2017</v>
      </c>
      <c r="W108" s="6">
        <f t="shared" si="26"/>
        <v>2018</v>
      </c>
      <c r="X108" s="6">
        <f t="shared" si="26"/>
        <v>2019</v>
      </c>
      <c r="Y108" s="6">
        <f t="shared" si="26"/>
        <v>2020</v>
      </c>
      <c r="Z108" s="6">
        <f t="shared" si="26"/>
        <v>2021</v>
      </c>
      <c r="AA108" s="6">
        <f t="shared" si="26"/>
        <v>2022</v>
      </c>
      <c r="AB108" s="6">
        <f t="shared" si="26"/>
        <v>2023</v>
      </c>
      <c r="AC108" s="6">
        <f t="shared" si="26"/>
        <v>2024</v>
      </c>
      <c r="AD108" s="6">
        <f t="shared" si="26"/>
        <v>2025</v>
      </c>
      <c r="AE108" s="6">
        <f t="shared" si="26"/>
        <v>2026</v>
      </c>
      <c r="AF108" s="6">
        <f t="shared" si="26"/>
        <v>2027</v>
      </c>
      <c r="AG108" s="6">
        <f t="shared" si="26"/>
        <v>2028</v>
      </c>
      <c r="AH108" s="6">
        <f t="shared" ref="AH108" si="27">AG108+1</f>
        <v>2029</v>
      </c>
      <c r="AI108" s="6">
        <f t="shared" ref="AI108" si="28">AH108+1</f>
        <v>2030</v>
      </c>
      <c r="AJ108" s="6">
        <f t="shared" ref="AJ108" si="29">AI108+1</f>
        <v>2031</v>
      </c>
      <c r="AK108" s="6">
        <f t="shared" ref="AK108" si="30">AJ108+1</f>
        <v>2032</v>
      </c>
      <c r="AL108" s="5">
        <f t="shared" si="26"/>
        <v>2033</v>
      </c>
      <c r="AM108" s="5">
        <f t="shared" si="26"/>
        <v>2034</v>
      </c>
      <c r="AN108" s="5">
        <f t="shared" si="26"/>
        <v>2035</v>
      </c>
    </row>
    <row r="109" spans="2:40">
      <c r="B109" s="8" t="s">
        <v>141</v>
      </c>
      <c r="C109" s="9"/>
      <c r="D109" s="10"/>
      <c r="E109" s="10"/>
      <c r="F109" s="10"/>
      <c r="G109" s="10"/>
      <c r="H109" s="10"/>
      <c r="I109" s="10"/>
      <c r="J109" s="10">
        <f>J23</f>
        <v>0</v>
      </c>
      <c r="K109" s="10">
        <f>K23</f>
        <v>0</v>
      </c>
      <c r="L109" s="10">
        <f>L23</f>
        <v>-1124</v>
      </c>
      <c r="M109" s="10">
        <f>M23</f>
        <v>3599.4000000000005</v>
      </c>
      <c r="N109" s="10">
        <f t="shared" ref="N109:AA109" si="31">N23</f>
        <v>3630</v>
      </c>
      <c r="O109" s="10">
        <f t="shared" si="31"/>
        <v>2972</v>
      </c>
      <c r="P109" s="10">
        <f t="shared" si="31"/>
        <v>3434</v>
      </c>
      <c r="Q109" s="10">
        <f t="shared" si="31"/>
        <v>3369</v>
      </c>
      <c r="R109" s="10">
        <f t="shared" si="31"/>
        <v>3549</v>
      </c>
      <c r="S109" s="10">
        <f t="shared" si="31"/>
        <v>3132</v>
      </c>
      <c r="T109" s="10">
        <f t="shared" si="31"/>
        <v>3027</v>
      </c>
      <c r="U109" s="10">
        <f t="shared" si="31"/>
        <v>3362</v>
      </c>
      <c r="V109" s="10">
        <f t="shared" si="31"/>
        <v>3280</v>
      </c>
      <c r="W109" s="10">
        <f t="shared" si="31"/>
        <v>2779</v>
      </c>
      <c r="X109" s="10">
        <f t="shared" si="31"/>
        <v>2678</v>
      </c>
      <c r="Y109" s="10">
        <f t="shared" si="31"/>
        <v>2514</v>
      </c>
      <c r="Z109" s="10">
        <f t="shared" si="31"/>
        <v>2671</v>
      </c>
      <c r="AA109" s="10">
        <f t="shared" si="31"/>
        <v>2815</v>
      </c>
      <c r="AB109" s="10">
        <f t="shared" ref="AB109:AG109" si="32">AB23</f>
        <v>3147</v>
      </c>
      <c r="AC109" s="10">
        <f t="shared" si="32"/>
        <v>3001.886439771024</v>
      </c>
      <c r="AD109" s="10">
        <f t="shared" si="32"/>
        <v>3097.0768759181083</v>
      </c>
      <c r="AE109" s="10">
        <f t="shared" si="32"/>
        <v>3203.328558382841</v>
      </c>
      <c r="AF109" s="10">
        <f t="shared" si="32"/>
        <v>3319.3263955595298</v>
      </c>
      <c r="AG109" s="10">
        <f t="shared" si="32"/>
        <v>3444.096806226129</v>
      </c>
      <c r="AH109" s="10">
        <f t="shared" ref="AH109:AK109" si="33">AH23</f>
        <v>3569.7539969676927</v>
      </c>
      <c r="AI109" s="10">
        <f t="shared" si="33"/>
        <v>3696.5299236475967</v>
      </c>
      <c r="AJ109" s="10">
        <f t="shared" si="33"/>
        <v>3824.6552625643126</v>
      </c>
      <c r="AK109" s="10">
        <f t="shared" si="33"/>
        <v>3820.3583719531089</v>
      </c>
      <c r="AL109" s="11"/>
      <c r="AM109" s="11"/>
      <c r="AN109" s="11"/>
    </row>
    <row r="110" spans="2:40">
      <c r="B110" s="8" t="s">
        <v>142</v>
      </c>
      <c r="C110" s="9"/>
      <c r="D110" s="10"/>
      <c r="E110" s="10"/>
      <c r="F110" s="10"/>
      <c r="G110" s="10"/>
      <c r="H110" s="10"/>
      <c r="I110" s="10"/>
      <c r="J110" s="10"/>
      <c r="K110" s="10"/>
      <c r="L110" s="10">
        <f>L28</f>
        <v>-8.6000000000000014</v>
      </c>
      <c r="M110" s="10">
        <f t="shared" ref="M110:AA110" si="34">M28</f>
        <v>17.899999999999999</v>
      </c>
      <c r="N110" s="10">
        <f t="shared" si="34"/>
        <v>-48</v>
      </c>
      <c r="O110" s="10">
        <f t="shared" si="34"/>
        <v>-211</v>
      </c>
      <c r="P110" s="10">
        <f t="shared" si="34"/>
        <v>-228</v>
      </c>
      <c r="Q110" s="10">
        <f t="shared" si="34"/>
        <v>-288</v>
      </c>
      <c r="R110" s="10">
        <f t="shared" si="34"/>
        <v>-329</v>
      </c>
      <c r="S110" s="10">
        <f t="shared" si="34"/>
        <v>-389</v>
      </c>
      <c r="T110" s="10">
        <f t="shared" si="34"/>
        <v>-412</v>
      </c>
      <c r="U110" s="10">
        <f t="shared" si="34"/>
        <v>-669</v>
      </c>
      <c r="V110" s="10">
        <f t="shared" si="34"/>
        <v>-384</v>
      </c>
      <c r="W110" s="10">
        <f t="shared" si="34"/>
        <v>-344.279</v>
      </c>
      <c r="X110" s="10">
        <f t="shared" si="34"/>
        <v>-399</v>
      </c>
      <c r="Y110" s="10">
        <f t="shared" si="34"/>
        <v>-405</v>
      </c>
      <c r="Z110" s="10">
        <f t="shared" si="34"/>
        <v>-413</v>
      </c>
      <c r="AA110" s="10">
        <f t="shared" si="34"/>
        <v>-407</v>
      </c>
      <c r="AB110" s="10">
        <f t="shared" ref="AB110:AG110" si="35">AB28</f>
        <v>-446</v>
      </c>
      <c r="AC110" s="10">
        <f t="shared" si="35"/>
        <v>-447.33082706766919</v>
      </c>
      <c r="AD110" s="10">
        <f t="shared" si="35"/>
        <v>-418.46273804246124</v>
      </c>
      <c r="AE110" s="10">
        <f t="shared" si="35"/>
        <v>-396.60993733874074</v>
      </c>
      <c r="AF110" s="10">
        <f t="shared" si="35"/>
        <v>-378.81507767052676</v>
      </c>
      <c r="AG110" s="10">
        <f t="shared" si="35"/>
        <v>-364.19058640551424</v>
      </c>
      <c r="AH110" s="10">
        <f t="shared" ref="AH110:AK110" si="36">AH28</f>
        <v>-352.11400925051061</v>
      </c>
      <c r="AI110" s="10">
        <f t="shared" si="36"/>
        <v>-342.14657898294593</v>
      </c>
      <c r="AJ110" s="10">
        <f t="shared" si="36"/>
        <v>-333.79858411389534</v>
      </c>
      <c r="AK110" s="10">
        <f t="shared" si="36"/>
        <v>-326.71178767611491</v>
      </c>
      <c r="AL110" s="11"/>
      <c r="AM110" s="11"/>
      <c r="AN110" s="11"/>
    </row>
    <row r="111" spans="2:40">
      <c r="B111" s="8" t="s">
        <v>385</v>
      </c>
      <c r="C111" s="9"/>
      <c r="D111" s="10"/>
      <c r="E111" s="10"/>
      <c r="F111" s="10"/>
      <c r="G111" s="10"/>
      <c r="H111" s="10"/>
      <c r="I111" s="10"/>
      <c r="J111" s="10"/>
      <c r="K111" s="10"/>
      <c r="L111" s="10">
        <f>-'Balance Sheet and Cflow'!B194</f>
        <v>-188</v>
      </c>
      <c r="M111" s="10">
        <f>-'Balance Sheet and Cflow'!C194</f>
        <v>-214</v>
      </c>
      <c r="N111" s="10">
        <f>-'Balance Sheet and Cflow'!D194</f>
        <v>-222</v>
      </c>
      <c r="O111" s="10">
        <f>-'Balance Sheet and Cflow'!E194</f>
        <v>-837</v>
      </c>
      <c r="P111" s="10">
        <f>-'Balance Sheet and Cflow'!F194</f>
        <v>-473</v>
      </c>
      <c r="Q111" s="10">
        <f>-'Balance Sheet and Cflow'!G194</f>
        <v>-716</v>
      </c>
      <c r="R111" s="10">
        <f>-'Balance Sheet and Cflow'!H194</f>
        <v>-724</v>
      </c>
      <c r="S111" s="10">
        <f>-'Balance Sheet and Cflow'!I194</f>
        <v>-688.76864535768641</v>
      </c>
      <c r="T111" s="10">
        <f>-'Balance Sheet and Cflow'!J194</f>
        <v>-713</v>
      </c>
      <c r="U111" s="10">
        <f>-'Balance Sheet and Cflow'!K194</f>
        <v>-709</v>
      </c>
      <c r="V111" s="10">
        <f>-'Balance Sheet and Cflow'!L194</f>
        <v>-676</v>
      </c>
      <c r="W111" s="10">
        <f>-'Balance Sheet and Cflow'!M194</f>
        <v>-585</v>
      </c>
      <c r="X111" s="10">
        <f>-'Balance Sheet and Cflow'!N194</f>
        <v>-509</v>
      </c>
      <c r="Y111" s="10">
        <f>-'Balance Sheet and Cflow'!O194</f>
        <v>-469</v>
      </c>
      <c r="Z111" s="10">
        <f>-'Balance Sheet and Cflow'!P194</f>
        <v>-454</v>
      </c>
      <c r="AA111" s="10">
        <f>-'Balance Sheet and Cflow'!Q194</f>
        <v>-651</v>
      </c>
      <c r="AB111" s="10">
        <f>-'Balance Sheet and Cflow'!R194</f>
        <v>-452</v>
      </c>
      <c r="AC111" s="10">
        <f>-'Balance Sheet and Cflow'!S194</f>
        <v>-475.00081502487893</v>
      </c>
      <c r="AD111" s="10">
        <f>-'Balance Sheet and Cflow'!T194</f>
        <v>-535.49015774451584</v>
      </c>
      <c r="AE111" s="10">
        <f>-'Balance Sheet and Cflow'!U194</f>
        <v>-590.46047966595359</v>
      </c>
      <c r="AF111" s="10">
        <f>-'Balance Sheet and Cflow'!V194</f>
        <v>-642.15972874268755</v>
      </c>
      <c r="AG111" s="10">
        <f>-'Balance Sheet and Cflow'!W194</f>
        <v>-691.74756076179358</v>
      </c>
      <c r="AH111" s="10">
        <f>-'Balance Sheet and Cflow'!X194</f>
        <v>-737.48188562130304</v>
      </c>
      <c r="AI111" s="10">
        <f>-'Balance Sheet and Cflow'!Y194</f>
        <v>-780.46668738050687</v>
      </c>
      <c r="AJ111" s="10">
        <f>-'Balance Sheet and Cflow'!Z194</f>
        <v>-821.56495972840037</v>
      </c>
      <c r="AK111" s="10">
        <f>-'Balance Sheet and Cflow'!AA194</f>
        <v>-861.42179352597611</v>
      </c>
      <c r="AL111" s="11"/>
      <c r="AM111" s="11"/>
      <c r="AN111" s="11"/>
    </row>
    <row r="112" spans="2:40">
      <c r="B112" s="8" t="s">
        <v>386</v>
      </c>
      <c r="C112" s="9"/>
      <c r="D112" s="10"/>
      <c r="E112" s="10"/>
      <c r="F112" s="10"/>
      <c r="G112" s="10"/>
      <c r="H112" s="10"/>
      <c r="I112" s="10"/>
      <c r="J112" s="10"/>
      <c r="K112" s="10"/>
      <c r="L112" s="10">
        <v>-211</v>
      </c>
      <c r="M112" s="10">
        <f>'Balance Sheet and Cflow'!C169</f>
        <v>0</v>
      </c>
      <c r="N112" s="10">
        <f>'Balance Sheet and Cflow'!D169</f>
        <v>2318</v>
      </c>
      <c r="O112" s="10">
        <f>'Balance Sheet and Cflow'!E169</f>
        <v>-225</v>
      </c>
      <c r="P112" s="10">
        <f>'Balance Sheet and Cflow'!F169</f>
        <v>-169</v>
      </c>
      <c r="Q112" s="10">
        <f>'Balance Sheet and Cflow'!G169</f>
        <v>36.512272727272801</v>
      </c>
      <c r="R112" s="10">
        <f>'Balance Sheet and Cflow'!H169</f>
        <v>-253.5122727272728</v>
      </c>
      <c r="S112" s="10">
        <f>'Balance Sheet and Cflow'!I169</f>
        <v>548</v>
      </c>
      <c r="T112" s="10">
        <f>'Balance Sheet and Cflow'!J169</f>
        <v>10</v>
      </c>
      <c r="U112" s="10">
        <f>'Balance Sheet and Cflow'!K169</f>
        <v>-220</v>
      </c>
      <c r="V112" s="10">
        <f>'Balance Sheet and Cflow'!L169</f>
        <v>-333</v>
      </c>
      <c r="W112" s="10">
        <f>'Balance Sheet and Cflow'!M169</f>
        <v>357</v>
      </c>
      <c r="X112" s="10">
        <f>'Balance Sheet and Cflow'!N169</f>
        <v>13</v>
      </c>
      <c r="Y112" s="10">
        <f>'Balance Sheet and Cflow'!O169</f>
        <v>-14</v>
      </c>
      <c r="Z112" s="10">
        <f>'Balance Sheet and Cflow'!P169</f>
        <v>332</v>
      </c>
      <c r="AA112" s="10">
        <f>'Balance Sheet and Cflow'!Q169</f>
        <v>-561</v>
      </c>
      <c r="AB112" s="10">
        <f>'Balance Sheet and Cflow'!R169</f>
        <v>1</v>
      </c>
      <c r="AC112" s="10">
        <f>'Balance Sheet and Cflow'!S169</f>
        <v>-22.689504205625298</v>
      </c>
      <c r="AD112" s="10">
        <f>'Balance Sheet and Cflow'!T169</f>
        <v>-55.711291143549417</v>
      </c>
      <c r="AE112" s="10">
        <f>'Balance Sheet and Cflow'!U169</f>
        <v>-52.605841906160592</v>
      </c>
      <c r="AF112" s="10">
        <f>'Balance Sheet and Cflow'!V169</f>
        <v>-49.682479831278002</v>
      </c>
      <c r="AG112" s="10">
        <f>'Balance Sheet and Cflow'!W169</f>
        <v>-47.786706243428156</v>
      </c>
      <c r="AH112" s="10">
        <f>'Balance Sheet and Cflow'!X169</f>
        <v>-50.424066684147142</v>
      </c>
      <c r="AI112" s="10">
        <f>'Balance Sheet and Cflow'!Y169</f>
        <v>-52.742373652977676</v>
      </c>
      <c r="AJ112" s="10">
        <f>'Balance Sheet and Cflow'!Z169</f>
        <v>-54.779250439254035</v>
      </c>
      <c r="AK112" s="10">
        <f>'Balance Sheet and Cflow'!AA169</f>
        <v>-56.568636070435176</v>
      </c>
      <c r="AL112" s="11"/>
      <c r="AM112" s="11"/>
      <c r="AN112" s="11"/>
    </row>
    <row r="113" spans="2:40">
      <c r="B113" s="8" t="s">
        <v>145</v>
      </c>
      <c r="C113" s="9"/>
      <c r="D113" s="9"/>
      <c r="E113" s="9"/>
      <c r="F113" s="9"/>
      <c r="G113" s="9"/>
      <c r="H113" s="10"/>
      <c r="I113" s="10"/>
      <c r="J113" s="10"/>
      <c r="K113" s="10"/>
      <c r="L113" s="10">
        <v>0</v>
      </c>
      <c r="M113" s="10">
        <v>0</v>
      </c>
      <c r="N113" s="10">
        <v>0</v>
      </c>
      <c r="O113" s="10">
        <v>0</v>
      </c>
      <c r="P113" s="10">
        <v>0</v>
      </c>
      <c r="Q113" s="10">
        <v>0</v>
      </c>
      <c r="R113" s="10">
        <v>0</v>
      </c>
      <c r="S113" s="10">
        <v>0</v>
      </c>
      <c r="T113" s="10">
        <v>0</v>
      </c>
      <c r="U113" s="10">
        <v>0</v>
      </c>
      <c r="V113" s="10">
        <v>0</v>
      </c>
      <c r="W113" s="10">
        <v>0</v>
      </c>
      <c r="X113" s="10">
        <v>0</v>
      </c>
      <c r="Y113" s="10">
        <v>0</v>
      </c>
      <c r="Z113" s="10">
        <v>0</v>
      </c>
      <c r="AA113" s="10">
        <v>0</v>
      </c>
      <c r="AB113" s="10">
        <v>0</v>
      </c>
      <c r="AC113" s="10">
        <v>0</v>
      </c>
      <c r="AD113" s="10">
        <v>0</v>
      </c>
      <c r="AE113" s="10">
        <v>0</v>
      </c>
      <c r="AF113" s="10">
        <v>0</v>
      </c>
      <c r="AG113" s="10">
        <v>0</v>
      </c>
      <c r="AH113" s="10">
        <v>0</v>
      </c>
      <c r="AI113" s="10">
        <v>0</v>
      </c>
      <c r="AJ113" s="10">
        <v>0</v>
      </c>
      <c r="AK113" s="10">
        <v>0</v>
      </c>
      <c r="AL113" s="11"/>
      <c r="AM113" s="11"/>
      <c r="AN113" s="11"/>
    </row>
    <row r="114" spans="2:40">
      <c r="B114" s="8" t="s">
        <v>215</v>
      </c>
      <c r="C114" s="9"/>
      <c r="D114" s="9"/>
      <c r="E114" s="17"/>
      <c r="F114" s="17"/>
      <c r="G114" s="17"/>
      <c r="H114" s="10"/>
      <c r="I114" s="10"/>
      <c r="J114" s="10">
        <f>-(J119-I119)-(SUM(J109:J113)+SUM(J115:J117))</f>
        <v>0</v>
      </c>
      <c r="K114" s="10">
        <f>-(K119-J119)-(SUM(K109:K113)+SUM(K115:K117))</f>
        <v>0</v>
      </c>
      <c r="L114" s="10">
        <f t="shared" ref="L114:T114" si="37">-(K119-L119)-(SUM(L109:L113)+SUM(L115:L117))</f>
        <v>1531.6</v>
      </c>
      <c r="M114" s="10">
        <f t="shared" si="37"/>
        <v>-3403.3000000000006</v>
      </c>
      <c r="N114" s="10">
        <f t="shared" si="37"/>
        <v>-6997</v>
      </c>
      <c r="O114" s="10">
        <f t="shared" si="37"/>
        <v>618</v>
      </c>
      <c r="P114" s="10">
        <f t="shared" si="37"/>
        <v>-444</v>
      </c>
      <c r="Q114" s="10">
        <f t="shared" si="37"/>
        <v>0</v>
      </c>
      <c r="R114" s="10">
        <f t="shared" si="37"/>
        <v>78</v>
      </c>
      <c r="S114" s="10">
        <f t="shared" si="37"/>
        <v>-354.66948057693662</v>
      </c>
      <c r="T114" s="10">
        <f t="shared" si="37"/>
        <v>-701.99999999999955</v>
      </c>
      <c r="U114" s="10">
        <f>-(T119-U119)-(SUM(U109:U113)+SUM(U115:U117))</f>
        <v>-47</v>
      </c>
      <c r="V114" s="10">
        <f t="shared" ref="V114:AG114" si="38">-(U119-V119)-(SUM(V109:V113)+SUM(V115:V117))</f>
        <v>1811</v>
      </c>
      <c r="W114" s="10">
        <f t="shared" si="38"/>
        <v>84.726125934623269</v>
      </c>
      <c r="X114" s="10">
        <f t="shared" si="38"/>
        <v>-1504.2390000000005</v>
      </c>
      <c r="Y114" s="10">
        <f t="shared" si="38"/>
        <v>116.89999999999964</v>
      </c>
      <c r="Z114" s="10">
        <f t="shared" si="38"/>
        <v>-676.75000000000023</v>
      </c>
      <c r="AA114" s="10">
        <f t="shared" si="38"/>
        <v>31.600000000000136</v>
      </c>
      <c r="AB114" s="10">
        <f t="shared" si="38"/>
        <v>-962.87999999999988</v>
      </c>
      <c r="AC114" s="10">
        <f t="shared" si="38"/>
        <v>-62.253584774485034</v>
      </c>
      <c r="AD114" s="10">
        <f t="shared" si="38"/>
        <v>-60.554825269905905</v>
      </c>
      <c r="AE114" s="10">
        <f t="shared" si="38"/>
        <v>-58.902421069441061</v>
      </c>
      <c r="AF114" s="10">
        <f t="shared" si="38"/>
        <v>-57.295107241701089</v>
      </c>
      <c r="AG114" s="10">
        <f t="shared" si="38"/>
        <v>-55.731653372413575</v>
      </c>
      <c r="AH114" s="10">
        <f t="shared" ref="AH114" si="39">-(AG119-AH119)-(SUM(AH109:AH113)+SUM(AH115:AH117))</f>
        <v>-54.210862622527202</v>
      </c>
      <c r="AI114" s="10">
        <f t="shared" ref="AI114" si="40">-(AH119-AI119)-(SUM(AI109:AI113)+SUM(AI115:AI117))</f>
        <v>-52.73157081202362</v>
      </c>
      <c r="AJ114" s="10">
        <f t="shared" ref="AJ114" si="41">-(AI119-AJ119)-(SUM(AJ109:AJ113)+SUM(AJ115:AJ117))</f>
        <v>-51.292645528719731</v>
      </c>
      <c r="AK114" s="10">
        <f t="shared" ref="AK114" si="42">-(AJ119-AK119)-(SUM(AK109:AK113)+SUM(AK115:AK117))</f>
        <v>-49.892985261402828</v>
      </c>
      <c r="AL114" s="11"/>
      <c r="AM114" s="11"/>
      <c r="AN114" s="11"/>
    </row>
    <row r="115" spans="2:40">
      <c r="B115" s="8" t="s">
        <v>387</v>
      </c>
      <c r="C115" s="9"/>
      <c r="D115" s="17"/>
      <c r="E115" s="17"/>
      <c r="F115" s="17"/>
      <c r="G115" s="17"/>
      <c r="H115" s="10"/>
      <c r="I115" s="10"/>
      <c r="J115" s="10"/>
      <c r="K115" s="10"/>
      <c r="L115" s="10">
        <f>'Balance Sheet and Cflow'!B63</f>
        <v>0</v>
      </c>
      <c r="M115" s="10">
        <f>'Balance Sheet and Cflow'!C63</f>
        <v>0</v>
      </c>
      <c r="N115" s="10">
        <f>'Balance Sheet and Cflow'!D63</f>
        <v>0</v>
      </c>
      <c r="O115" s="10">
        <f>'Balance Sheet and Cflow'!E63</f>
        <v>0</v>
      </c>
      <c r="P115" s="10">
        <f>'Balance Sheet and Cflow'!F63</f>
        <v>0</v>
      </c>
      <c r="Q115" s="10">
        <f>'Balance Sheet and Cflow'!G63</f>
        <v>0</v>
      </c>
      <c r="R115" s="10">
        <f>'Balance Sheet and Cflow'!H63</f>
        <v>0</v>
      </c>
      <c r="S115" s="10">
        <f>'Balance Sheet and Cflow'!I63</f>
        <v>0</v>
      </c>
      <c r="T115" s="10">
        <f>'Balance Sheet and Cflow'!J63</f>
        <v>0</v>
      </c>
      <c r="U115" s="10">
        <f>'Balance Sheet and Cflow'!K63</f>
        <v>-816.75</v>
      </c>
      <c r="V115" s="10">
        <f>'Balance Sheet and Cflow'!L63</f>
        <v>0</v>
      </c>
      <c r="W115" s="10">
        <f>'Balance Sheet and Cflow'!M63</f>
        <v>-765.02</v>
      </c>
      <c r="X115" s="10">
        <f>'Balance Sheet and Cflow'!N63</f>
        <v>0</v>
      </c>
      <c r="Y115" s="10">
        <f>'Balance Sheet and Cflow'!O63</f>
        <v>-1075.6500000000001</v>
      </c>
      <c r="Z115" s="10">
        <f>'Balance Sheet and Cflow'!P63</f>
        <v>0</v>
      </c>
      <c r="AA115" s="10">
        <f>'Balance Sheet and Cflow'!Q63</f>
        <v>0</v>
      </c>
      <c r="AB115" s="10">
        <f>'Balance Sheet and Cflow'!R63</f>
        <v>0</v>
      </c>
      <c r="AC115" s="10">
        <f>'Balance Sheet and Cflow'!S63</f>
        <v>0</v>
      </c>
      <c r="AD115" s="10">
        <f>'Balance Sheet and Cflow'!T63</f>
        <v>0</v>
      </c>
      <c r="AE115" s="10">
        <f>'Balance Sheet and Cflow'!U63</f>
        <v>0</v>
      </c>
      <c r="AF115" s="10">
        <f>'Balance Sheet and Cflow'!V63</f>
        <v>0</v>
      </c>
      <c r="AG115" s="10">
        <f>'Balance Sheet and Cflow'!W63</f>
        <v>0</v>
      </c>
      <c r="AH115" s="10">
        <f>'Balance Sheet and Cflow'!X63</f>
        <v>0</v>
      </c>
      <c r="AI115" s="10">
        <f>'Balance Sheet and Cflow'!Y63</f>
        <v>0</v>
      </c>
      <c r="AJ115" s="10">
        <f>'Balance Sheet and Cflow'!Z63</f>
        <v>0</v>
      </c>
      <c r="AK115" s="10">
        <f>'Balance Sheet and Cflow'!AA63</f>
        <v>0</v>
      </c>
      <c r="AL115" s="11"/>
      <c r="AM115" s="11"/>
      <c r="AN115" s="11"/>
    </row>
    <row r="116" spans="2:40">
      <c r="B116" s="8" t="s">
        <v>147</v>
      </c>
      <c r="C116" s="9"/>
      <c r="D116" s="10"/>
      <c r="E116" s="10"/>
      <c r="F116" s="10"/>
      <c r="G116" s="10"/>
      <c r="H116" s="10"/>
      <c r="I116" s="10"/>
      <c r="J116" s="10"/>
      <c r="K116" s="10"/>
      <c r="L116" s="10">
        <f>'Balance Sheet and Cflow'!B61</f>
        <v>0</v>
      </c>
      <c r="M116" s="10">
        <f>'Balance Sheet and Cflow'!C61</f>
        <v>0</v>
      </c>
      <c r="N116" s="10">
        <f>'Balance Sheet and Cflow'!D61</f>
        <v>-2555</v>
      </c>
      <c r="O116" s="10">
        <f>'Balance Sheet and Cflow'!E61</f>
        <v>-3000</v>
      </c>
      <c r="P116" s="10">
        <f>'Balance Sheet and Cflow'!F61</f>
        <v>-3000</v>
      </c>
      <c r="Q116" s="10">
        <f>'Balance Sheet and Cflow'!G61</f>
        <v>-3000</v>
      </c>
      <c r="R116" s="10">
        <f>'Balance Sheet and Cflow'!H61</f>
        <v>-3000</v>
      </c>
      <c r="S116" s="10">
        <f>'Balance Sheet and Cflow'!I61</f>
        <v>-3000</v>
      </c>
      <c r="T116" s="10">
        <f>'Balance Sheet and Cflow'!J61</f>
        <v>-2325.0000000000005</v>
      </c>
      <c r="U116" s="10">
        <f>'Balance Sheet and Cflow'!K61</f>
        <v>-1500</v>
      </c>
      <c r="V116" s="10">
        <f>'Balance Sheet and Cflow'!L61</f>
        <v>-1560</v>
      </c>
      <c r="W116" s="10">
        <f>'Balance Sheet and Cflow'!M61</f>
        <v>-1562</v>
      </c>
      <c r="X116" s="10">
        <f>'Balance Sheet and Cflow'!N61</f>
        <v>-1564</v>
      </c>
      <c r="Y116" s="10">
        <f>'Balance Sheet and Cflow'!O61</f>
        <v>-1330.2499999999998</v>
      </c>
      <c r="Z116" s="10">
        <f>'Balance Sheet and Cflow'!P61</f>
        <v>-1330.2499999999998</v>
      </c>
      <c r="AA116" s="10">
        <f>'Balance Sheet and Cflow'!Q61</f>
        <v>-1565.6000000000001</v>
      </c>
      <c r="AB116" s="10">
        <f>'Balance Sheet and Cflow'!R61</f>
        <v>-1253.1200000000001</v>
      </c>
      <c r="AC116" s="10">
        <f>'Balance Sheet and Cflow'!S61</f>
        <v>-1396.5023961731442</v>
      </c>
      <c r="AD116" s="10">
        <f>'Balance Sheet and Cflow'!T61</f>
        <v>-1574.3410637688767</v>
      </c>
      <c r="AE116" s="10">
        <f>'Balance Sheet and Cflow'!U61</f>
        <v>-1735.9538102179035</v>
      </c>
      <c r="AF116" s="10">
        <f>'Balance Sheet and Cflow'!V61</f>
        <v>-1887.9496025035012</v>
      </c>
      <c r="AG116" s="10">
        <f>'Balance Sheet and Cflow'!W61</f>
        <v>-2033.7378286396731</v>
      </c>
      <c r="AH116" s="10">
        <f>'Balance Sheet and Cflow'!X61</f>
        <v>-2168.1967437266303</v>
      </c>
      <c r="AI116" s="10">
        <f>'Balance Sheet and Cflow'!Y61</f>
        <v>-2294.5720608986903</v>
      </c>
      <c r="AJ116" s="10">
        <f>'Balance Sheet and Cflow'!Z61</f>
        <v>-2415.4009816014968</v>
      </c>
      <c r="AK116" s="10">
        <f>'Balance Sheet and Cflow'!AA61</f>
        <v>-2532.5800729663697</v>
      </c>
      <c r="AL116" s="11"/>
      <c r="AM116" s="11"/>
      <c r="AN116" s="11"/>
    </row>
    <row r="117" spans="2:40">
      <c r="B117" s="8" t="s">
        <v>148</v>
      </c>
      <c r="C117" s="9"/>
      <c r="D117" s="10"/>
      <c r="E117" s="10"/>
      <c r="F117" s="10"/>
      <c r="G117" s="10"/>
      <c r="H117" s="10"/>
      <c r="I117" s="10"/>
      <c r="J117" s="10"/>
      <c r="K117" s="10"/>
      <c r="L117" s="10">
        <v>0</v>
      </c>
      <c r="M117" s="10">
        <v>0</v>
      </c>
      <c r="N117" s="10">
        <v>0</v>
      </c>
      <c r="O117" s="10">
        <v>0</v>
      </c>
      <c r="P117" s="10">
        <v>0</v>
      </c>
      <c r="Q117" s="10">
        <v>0</v>
      </c>
      <c r="R117" s="10">
        <v>0</v>
      </c>
      <c r="S117" s="10">
        <v>0</v>
      </c>
      <c r="T117" s="10">
        <v>0</v>
      </c>
      <c r="U117" s="10">
        <v>0</v>
      </c>
      <c r="V117" s="10">
        <v>0</v>
      </c>
      <c r="W117" s="10">
        <v>0</v>
      </c>
      <c r="X117" s="10">
        <v>0</v>
      </c>
      <c r="Y117" s="10">
        <v>0</v>
      </c>
      <c r="Z117" s="10">
        <v>0</v>
      </c>
      <c r="AA117" s="10">
        <v>0</v>
      </c>
      <c r="AB117" s="10">
        <v>0</v>
      </c>
      <c r="AC117" s="10">
        <v>0</v>
      </c>
      <c r="AD117" s="10">
        <v>0</v>
      </c>
      <c r="AE117" s="10">
        <v>0</v>
      </c>
      <c r="AF117" s="10">
        <v>0</v>
      </c>
      <c r="AG117" s="10">
        <v>0</v>
      </c>
      <c r="AH117" s="10">
        <v>0</v>
      </c>
      <c r="AI117" s="10">
        <v>0</v>
      </c>
      <c r="AJ117" s="10">
        <v>0</v>
      </c>
      <c r="AK117" s="10">
        <v>0</v>
      </c>
      <c r="AL117" s="11"/>
      <c r="AM117" s="11"/>
      <c r="AN117" s="11"/>
    </row>
    <row r="118" spans="2:40">
      <c r="B118" s="8" t="s">
        <v>139</v>
      </c>
      <c r="C118" s="9"/>
      <c r="D118" s="9"/>
      <c r="E118" s="17"/>
      <c r="F118" s="17"/>
      <c r="G118" s="17"/>
      <c r="H118" s="10"/>
      <c r="I118" s="10"/>
      <c r="J118" s="10">
        <f>SUM(J109:J117)</f>
        <v>0</v>
      </c>
      <c r="K118" s="10">
        <f>SUM(K109:K117)</f>
        <v>0</v>
      </c>
      <c r="L118" s="10">
        <f>SUM(L109:L117)</f>
        <v>0</v>
      </c>
      <c r="M118" s="10">
        <f>SUM(M109:M117)</f>
        <v>0</v>
      </c>
      <c r="N118" s="10">
        <f t="shared" ref="N118:Y118" si="43">SUM(N109:N117)</f>
        <v>-3874</v>
      </c>
      <c r="O118" s="10">
        <f t="shared" si="43"/>
        <v>-683</v>
      </c>
      <c r="P118" s="10">
        <f t="shared" si="43"/>
        <v>-880</v>
      </c>
      <c r="Q118" s="10">
        <f t="shared" si="43"/>
        <v>-598.48772727272717</v>
      </c>
      <c r="R118" s="10">
        <f t="shared" si="43"/>
        <v>-679.51227272727283</v>
      </c>
      <c r="S118" s="10">
        <f t="shared" si="43"/>
        <v>-752.4381259346228</v>
      </c>
      <c r="T118" s="10">
        <f t="shared" si="43"/>
        <v>-1115</v>
      </c>
      <c r="U118" s="10">
        <f t="shared" si="43"/>
        <v>-599.75</v>
      </c>
      <c r="V118" s="10">
        <f t="shared" si="43"/>
        <v>2138</v>
      </c>
      <c r="W118" s="10">
        <f t="shared" si="43"/>
        <v>-35.572874065376709</v>
      </c>
      <c r="X118" s="10">
        <f t="shared" si="43"/>
        <v>-1285.2390000000005</v>
      </c>
      <c r="Y118" s="10">
        <f t="shared" si="43"/>
        <v>-663.00000000000023</v>
      </c>
      <c r="Z118" s="10">
        <f t="shared" ref="Z118:AG118" si="44">SUM(Z109:Z117)</f>
        <v>129</v>
      </c>
      <c r="AA118" s="10">
        <f t="shared" si="44"/>
        <v>-338</v>
      </c>
      <c r="AB118" s="10">
        <f t="shared" si="44"/>
        <v>34</v>
      </c>
      <c r="AC118" s="10">
        <f t="shared" si="44"/>
        <v>598.10931252522096</v>
      </c>
      <c r="AD118" s="10">
        <f t="shared" si="44"/>
        <v>452.51679994879942</v>
      </c>
      <c r="AE118" s="10">
        <f t="shared" si="44"/>
        <v>368.79606818464163</v>
      </c>
      <c r="AF118" s="10">
        <f t="shared" si="44"/>
        <v>303.42439956983549</v>
      </c>
      <c r="AG118" s="10">
        <f t="shared" si="44"/>
        <v>250.90247080330687</v>
      </c>
      <c r="AH118" s="10">
        <f t="shared" ref="AH118:AK118" si="45">SUM(AH109:AH117)</f>
        <v>207.32642906257479</v>
      </c>
      <c r="AI118" s="10">
        <f t="shared" si="45"/>
        <v>173.87065192045247</v>
      </c>
      <c r="AJ118" s="10">
        <f t="shared" si="45"/>
        <v>147.81884115254616</v>
      </c>
      <c r="AK118" s="10">
        <f t="shared" si="45"/>
        <v>-6.8169035471901225</v>
      </c>
      <c r="AL118" s="11"/>
      <c r="AM118" s="11"/>
      <c r="AN118" s="11"/>
    </row>
    <row r="119" spans="2:40">
      <c r="B119" s="8" t="s">
        <v>172</v>
      </c>
      <c r="C119" s="9"/>
      <c r="D119" s="9"/>
      <c r="E119" s="9"/>
      <c r="F119" s="9"/>
      <c r="G119" s="9"/>
      <c r="H119" s="10"/>
      <c r="I119" s="10"/>
      <c r="J119" s="10"/>
      <c r="K119" s="10"/>
      <c r="L119" s="10">
        <f>-'Balance Sheet and Cflow'!B66</f>
        <v>0</v>
      </c>
      <c r="M119" s="10">
        <f>-'Balance Sheet and Cflow'!C66</f>
        <v>0</v>
      </c>
      <c r="N119" s="10">
        <f>-'Balance Sheet and Cflow'!D66</f>
        <v>-3874</v>
      </c>
      <c r="O119" s="10">
        <f>-'Balance Sheet and Cflow'!E66</f>
        <v>-4557</v>
      </c>
      <c r="P119" s="10">
        <f>-'Balance Sheet and Cflow'!F66</f>
        <v>-5437</v>
      </c>
      <c r="Q119" s="10">
        <f>-'Balance Sheet and Cflow'!G66</f>
        <v>-6035.4877272727272</v>
      </c>
      <c r="R119" s="10">
        <f>-'Balance Sheet and Cflow'!H66</f>
        <v>-6715</v>
      </c>
      <c r="S119" s="10">
        <f>-'Balance Sheet and Cflow'!I66</f>
        <v>-7467.4381259346228</v>
      </c>
      <c r="T119" s="10">
        <f>-'Balance Sheet and Cflow'!J66</f>
        <v>-8582.4381259346228</v>
      </c>
      <c r="U119" s="10">
        <f>-'Balance Sheet and Cflow'!K66</f>
        <v>-9182.1881259346228</v>
      </c>
      <c r="V119" s="10">
        <f>-'Balance Sheet and Cflow'!L66</f>
        <v>-7044.1881259346228</v>
      </c>
      <c r="W119" s="10">
        <f>-'Balance Sheet and Cflow'!M66</f>
        <v>-7079.7609999999995</v>
      </c>
      <c r="X119" s="10">
        <f>-'Balance Sheet and Cflow'!N66</f>
        <v>-8365</v>
      </c>
      <c r="Y119" s="10">
        <f>-'Balance Sheet and Cflow'!O66</f>
        <v>-9028</v>
      </c>
      <c r="Z119" s="10">
        <f>-'Balance Sheet and Cflow'!P66</f>
        <v>-8899</v>
      </c>
      <c r="AA119" s="10">
        <f>-'Balance Sheet and Cflow'!Q66</f>
        <v>-9237</v>
      </c>
      <c r="AB119" s="10">
        <f>-'Balance Sheet and Cflow'!R66</f>
        <v>-9203</v>
      </c>
      <c r="AC119" s="10">
        <f>-'Balance Sheet and Cflow'!S66</f>
        <v>-8604.890687474779</v>
      </c>
      <c r="AD119" s="10">
        <f>-'Balance Sheet and Cflow'!T66</f>
        <v>-8152.3738875259796</v>
      </c>
      <c r="AE119" s="10">
        <f>-'Balance Sheet and Cflow'!U66</f>
        <v>-7783.577819341338</v>
      </c>
      <c r="AF119" s="10">
        <f>-'Balance Sheet and Cflow'!V66</f>
        <v>-7480.1534197715027</v>
      </c>
      <c r="AG119" s="10">
        <f>-'Balance Sheet and Cflow'!W66</f>
        <v>-7229.2509489681961</v>
      </c>
      <c r="AH119" s="10">
        <f>-'Balance Sheet and Cflow'!X66</f>
        <v>-7021.9245199056213</v>
      </c>
      <c r="AI119" s="10">
        <f>-'Balance Sheet and Cflow'!Y66</f>
        <v>-6848.0538679851688</v>
      </c>
      <c r="AJ119" s="10">
        <f>-'Balance Sheet and Cflow'!Z66</f>
        <v>-6700.2350268326227</v>
      </c>
      <c r="AK119" s="10">
        <f>-'Balance Sheet and Cflow'!AA66</f>
        <v>-6707.0519303798128</v>
      </c>
      <c r="AL119" s="11"/>
      <c r="AM119" s="11"/>
      <c r="AN119" s="11"/>
    </row>
    <row r="120" spans="2:40">
      <c r="C120" s="14"/>
      <c r="D120" s="14"/>
      <c r="E120" s="22"/>
      <c r="F120" s="22"/>
      <c r="G120" s="14"/>
      <c r="H120" s="14"/>
      <c r="I120" s="14"/>
      <c r="J120" s="15">
        <f t="shared" ref="J120:S120" si="46">J119-I119</f>
        <v>0</v>
      </c>
      <c r="K120" s="15">
        <f t="shared" si="46"/>
        <v>0</v>
      </c>
      <c r="L120" s="15">
        <f t="shared" si="46"/>
        <v>0</v>
      </c>
      <c r="M120" s="15">
        <f t="shared" si="46"/>
        <v>0</v>
      </c>
      <c r="N120" s="15">
        <f t="shared" si="46"/>
        <v>-3874</v>
      </c>
      <c r="O120" s="15">
        <f t="shared" si="46"/>
        <v>-683</v>
      </c>
      <c r="P120" s="15">
        <f t="shared" si="46"/>
        <v>-880</v>
      </c>
      <c r="Q120" s="15">
        <f t="shared" si="46"/>
        <v>-598.48772727272717</v>
      </c>
      <c r="R120" s="15">
        <f t="shared" si="46"/>
        <v>-679.51227272727283</v>
      </c>
      <c r="S120" s="15">
        <f t="shared" si="46"/>
        <v>-752.4381259346228</v>
      </c>
      <c r="T120" s="15">
        <f>T119-S119</f>
        <v>-1115</v>
      </c>
      <c r="U120" s="15">
        <f t="shared" ref="U120:AG120" si="47">U119-T119</f>
        <v>-599.75</v>
      </c>
      <c r="V120" s="15">
        <f t="shared" si="47"/>
        <v>2138</v>
      </c>
      <c r="W120" s="15">
        <f t="shared" si="47"/>
        <v>-35.572874065376709</v>
      </c>
      <c r="X120" s="15">
        <f t="shared" si="47"/>
        <v>-1285.2390000000005</v>
      </c>
      <c r="Y120" s="15">
        <f t="shared" si="47"/>
        <v>-663</v>
      </c>
      <c r="Z120" s="15">
        <f t="shared" si="47"/>
        <v>129</v>
      </c>
      <c r="AA120" s="15">
        <f t="shared" si="47"/>
        <v>-338</v>
      </c>
      <c r="AB120" s="15">
        <f t="shared" si="47"/>
        <v>34</v>
      </c>
      <c r="AC120" s="15">
        <f t="shared" si="47"/>
        <v>598.10931252522096</v>
      </c>
      <c r="AD120" s="15">
        <f t="shared" si="47"/>
        <v>452.51679994879942</v>
      </c>
      <c r="AE120" s="15">
        <f t="shared" si="47"/>
        <v>368.79606818464163</v>
      </c>
      <c r="AF120" s="15">
        <f t="shared" si="47"/>
        <v>303.42439956983526</v>
      </c>
      <c r="AG120" s="15">
        <f t="shared" si="47"/>
        <v>250.90247080330664</v>
      </c>
      <c r="AH120" s="15">
        <f t="shared" ref="AH120" si="48">AH119-AG119</f>
        <v>207.32642906257479</v>
      </c>
      <c r="AI120" s="15">
        <f t="shared" ref="AI120" si="49">AI119-AH119</f>
        <v>173.87065192045247</v>
      </c>
      <c r="AJ120" s="15">
        <f t="shared" ref="AJ120" si="50">AJ119-AI119</f>
        <v>147.81884115254616</v>
      </c>
      <c r="AK120" s="15">
        <f t="shared" ref="AK120" si="51">AK119-AJ119</f>
        <v>-6.8169035471901225</v>
      </c>
    </row>
    <row r="121" spans="2:40">
      <c r="B121" s="5" t="s">
        <v>388</v>
      </c>
      <c r="C121" s="6">
        <v>1998</v>
      </c>
      <c r="D121" s="6">
        <v>1999</v>
      </c>
      <c r="E121" s="6">
        <v>2000</v>
      </c>
      <c r="F121" s="6">
        <f t="shared" ref="F121:AN121" si="52">E121+1</f>
        <v>2001</v>
      </c>
      <c r="G121" s="6">
        <f t="shared" si="52"/>
        <v>2002</v>
      </c>
      <c r="H121" s="6">
        <f t="shared" si="52"/>
        <v>2003</v>
      </c>
      <c r="I121" s="6">
        <f t="shared" si="52"/>
        <v>2004</v>
      </c>
      <c r="J121" s="6">
        <f>I121+1</f>
        <v>2005</v>
      </c>
      <c r="K121" s="6">
        <f>J121+1</f>
        <v>2006</v>
      </c>
      <c r="L121" s="6">
        <f>K121+1</f>
        <v>2007</v>
      </c>
      <c r="M121" s="6">
        <f>L121+1</f>
        <v>2008</v>
      </c>
      <c r="N121" s="6">
        <f>M121+1</f>
        <v>2009</v>
      </c>
      <c r="O121" s="6">
        <f t="shared" si="52"/>
        <v>2010</v>
      </c>
      <c r="P121" s="6">
        <f t="shared" si="52"/>
        <v>2011</v>
      </c>
      <c r="Q121" s="6">
        <f t="shared" si="52"/>
        <v>2012</v>
      </c>
      <c r="R121" s="6">
        <f>Q121+1</f>
        <v>2013</v>
      </c>
      <c r="S121" s="6">
        <f>R121+1</f>
        <v>2014</v>
      </c>
      <c r="T121" s="6">
        <f t="shared" si="52"/>
        <v>2015</v>
      </c>
      <c r="U121" s="6">
        <f t="shared" si="52"/>
        <v>2016</v>
      </c>
      <c r="V121" s="6">
        <f t="shared" si="52"/>
        <v>2017</v>
      </c>
      <c r="W121" s="6">
        <f t="shared" si="52"/>
        <v>2018</v>
      </c>
      <c r="X121" s="6">
        <f t="shared" si="52"/>
        <v>2019</v>
      </c>
      <c r="Y121" s="6">
        <f t="shared" si="52"/>
        <v>2020</v>
      </c>
      <c r="Z121" s="6">
        <f t="shared" si="52"/>
        <v>2021</v>
      </c>
      <c r="AA121" s="6">
        <f t="shared" si="52"/>
        <v>2022</v>
      </c>
      <c r="AB121" s="6">
        <f t="shared" si="52"/>
        <v>2023</v>
      </c>
      <c r="AC121" s="6">
        <f t="shared" si="52"/>
        <v>2024</v>
      </c>
      <c r="AD121" s="6">
        <f t="shared" si="52"/>
        <v>2025</v>
      </c>
      <c r="AE121" s="6">
        <f t="shared" si="52"/>
        <v>2026</v>
      </c>
      <c r="AF121" s="6">
        <f t="shared" si="52"/>
        <v>2027</v>
      </c>
      <c r="AG121" s="6">
        <f t="shared" si="52"/>
        <v>2028</v>
      </c>
      <c r="AH121" s="6">
        <f t="shared" ref="AH121" si="53">AG121+1</f>
        <v>2029</v>
      </c>
      <c r="AI121" s="6">
        <f t="shared" ref="AI121" si="54">AH121+1</f>
        <v>2030</v>
      </c>
      <c r="AJ121" s="6">
        <f t="shared" ref="AJ121" si="55">AI121+1</f>
        <v>2031</v>
      </c>
      <c r="AK121" s="6">
        <f t="shared" ref="AK121" si="56">AJ121+1</f>
        <v>2032</v>
      </c>
      <c r="AL121" s="5">
        <f t="shared" si="52"/>
        <v>2033</v>
      </c>
      <c r="AM121" s="5">
        <f t="shared" si="52"/>
        <v>2034</v>
      </c>
      <c r="AN121" s="5">
        <f t="shared" si="52"/>
        <v>2035</v>
      </c>
    </row>
    <row r="122" spans="2:40">
      <c r="B122" s="8" t="s">
        <v>389</v>
      </c>
      <c r="C122" s="9"/>
      <c r="D122" s="10"/>
      <c r="E122" s="10"/>
      <c r="F122" s="10"/>
      <c r="G122" s="10"/>
      <c r="H122" s="10"/>
      <c r="I122" s="10"/>
      <c r="J122" s="10"/>
      <c r="K122" s="10"/>
      <c r="L122" s="10"/>
      <c r="M122" s="10"/>
      <c r="N122" s="10"/>
      <c r="O122" s="10"/>
      <c r="P122" s="10"/>
      <c r="Q122" s="10"/>
      <c r="R122" s="10"/>
      <c r="S122" s="10"/>
      <c r="T122" s="9"/>
      <c r="U122" s="9"/>
      <c r="V122" s="9"/>
      <c r="W122" s="9"/>
      <c r="X122" s="9"/>
      <c r="Y122" s="9"/>
      <c r="Z122" s="9"/>
      <c r="AA122" s="9"/>
      <c r="AB122" s="9"/>
      <c r="AC122" s="9"/>
      <c r="AD122" s="9"/>
      <c r="AE122" s="9"/>
      <c r="AF122" s="9"/>
      <c r="AG122" s="9"/>
      <c r="AH122" s="9"/>
      <c r="AI122" s="9"/>
      <c r="AJ122" s="9"/>
      <c r="AK122" s="9"/>
      <c r="AL122" s="11"/>
      <c r="AM122" s="11"/>
      <c r="AN122" s="11"/>
    </row>
    <row r="123" spans="2:40">
      <c r="B123" s="8" t="s">
        <v>390</v>
      </c>
      <c r="C123" s="9"/>
      <c r="D123" s="9"/>
      <c r="E123" s="17"/>
      <c r="F123" s="17"/>
      <c r="G123" s="17"/>
      <c r="H123" s="17"/>
      <c r="I123" s="17"/>
      <c r="J123" s="17"/>
      <c r="K123" s="17"/>
      <c r="L123" s="17"/>
      <c r="M123" s="17"/>
      <c r="N123" s="17"/>
      <c r="O123" s="9"/>
      <c r="P123" s="9"/>
      <c r="Q123" s="9"/>
      <c r="R123" s="9"/>
      <c r="S123" s="9"/>
      <c r="T123" s="9"/>
      <c r="U123" s="9"/>
      <c r="V123" s="9"/>
      <c r="W123" s="9"/>
      <c r="X123" s="9"/>
      <c r="Y123" s="9"/>
      <c r="Z123" s="9"/>
      <c r="AA123" s="9"/>
      <c r="AB123" s="9"/>
      <c r="AC123" s="9"/>
      <c r="AD123" s="9"/>
      <c r="AE123" s="9"/>
      <c r="AF123" s="9"/>
      <c r="AG123" s="9"/>
      <c r="AH123" s="9"/>
      <c r="AI123" s="9"/>
      <c r="AJ123" s="9"/>
      <c r="AK123" s="9"/>
      <c r="AL123" s="11"/>
      <c r="AM123" s="11"/>
      <c r="AN123" s="11"/>
    </row>
    <row r="124" spans="2:40">
      <c r="B124" s="8" t="s">
        <v>391</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11"/>
      <c r="AM124" s="11"/>
      <c r="AN124" s="11"/>
    </row>
    <row r="125" spans="2:40">
      <c r="B125" s="8" t="s">
        <v>392</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11"/>
      <c r="AM125" s="11"/>
      <c r="AN125" s="11"/>
    </row>
    <row r="126" spans="2:40">
      <c r="B126" s="8" t="s">
        <v>393</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11"/>
      <c r="AM126" s="11"/>
      <c r="AN126" s="11"/>
    </row>
    <row r="127" spans="2:40">
      <c r="B127" s="8" t="s">
        <v>394</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11"/>
      <c r="AM127" s="11"/>
      <c r="AN127" s="11"/>
    </row>
    <row r="128" spans="2:40">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row>
    <row r="129" spans="2:40">
      <c r="B129" s="5" t="s">
        <v>395</v>
      </c>
      <c r="C129" s="6">
        <v>1998</v>
      </c>
      <c r="D129" s="6">
        <v>1999</v>
      </c>
      <c r="E129" s="6">
        <v>2000</v>
      </c>
      <c r="F129" s="6">
        <f t="shared" ref="F129:AN129" si="57">E129+1</f>
        <v>2001</v>
      </c>
      <c r="G129" s="6">
        <f t="shared" si="57"/>
        <v>2002</v>
      </c>
      <c r="H129" s="6">
        <f t="shared" si="57"/>
        <v>2003</v>
      </c>
      <c r="I129" s="6">
        <f t="shared" si="57"/>
        <v>2004</v>
      </c>
      <c r="J129" s="6">
        <f>I129+1</f>
        <v>2005</v>
      </c>
      <c r="K129" s="6">
        <f>J129+1</f>
        <v>2006</v>
      </c>
      <c r="L129" s="6">
        <f>K129+1</f>
        <v>2007</v>
      </c>
      <c r="M129" s="6">
        <f>L129+1</f>
        <v>2008</v>
      </c>
      <c r="N129" s="6">
        <f>M129+1</f>
        <v>2009</v>
      </c>
      <c r="O129" s="6">
        <f t="shared" si="57"/>
        <v>2010</v>
      </c>
      <c r="P129" s="6">
        <f t="shared" si="57"/>
        <v>2011</v>
      </c>
      <c r="Q129" s="6">
        <f t="shared" si="57"/>
        <v>2012</v>
      </c>
      <c r="R129" s="6">
        <f>Q129+1</f>
        <v>2013</v>
      </c>
      <c r="S129" s="6">
        <f>R129+1</f>
        <v>2014</v>
      </c>
      <c r="T129" s="6">
        <f t="shared" si="57"/>
        <v>2015</v>
      </c>
      <c r="U129" s="6">
        <f t="shared" si="57"/>
        <v>2016</v>
      </c>
      <c r="V129" s="6">
        <f t="shared" si="57"/>
        <v>2017</v>
      </c>
      <c r="W129" s="6">
        <f t="shared" si="57"/>
        <v>2018</v>
      </c>
      <c r="X129" s="6">
        <f t="shared" si="57"/>
        <v>2019</v>
      </c>
      <c r="Y129" s="6">
        <f t="shared" si="57"/>
        <v>2020</v>
      </c>
      <c r="Z129" s="6">
        <f t="shared" si="57"/>
        <v>2021</v>
      </c>
      <c r="AA129" s="6">
        <f t="shared" si="57"/>
        <v>2022</v>
      </c>
      <c r="AB129" s="6">
        <f t="shared" si="57"/>
        <v>2023</v>
      </c>
      <c r="AC129" s="6">
        <f t="shared" si="57"/>
        <v>2024</v>
      </c>
      <c r="AD129" s="6">
        <f t="shared" si="57"/>
        <v>2025</v>
      </c>
      <c r="AE129" s="6">
        <f t="shared" si="57"/>
        <v>2026</v>
      </c>
      <c r="AF129" s="6">
        <f t="shared" si="57"/>
        <v>2027</v>
      </c>
      <c r="AG129" s="6">
        <f t="shared" si="57"/>
        <v>2028</v>
      </c>
      <c r="AH129" s="6">
        <f t="shared" ref="AH129" si="58">AG129+1</f>
        <v>2029</v>
      </c>
      <c r="AI129" s="6">
        <f t="shared" ref="AI129" si="59">AH129+1</f>
        <v>2030</v>
      </c>
      <c r="AJ129" s="6">
        <f t="shared" ref="AJ129" si="60">AI129+1</f>
        <v>2031</v>
      </c>
      <c r="AK129" s="6">
        <f t="shared" ref="AK129" si="61">AJ129+1</f>
        <v>2032</v>
      </c>
      <c r="AL129" s="5">
        <f t="shared" si="57"/>
        <v>2033</v>
      </c>
      <c r="AM129" s="5">
        <f t="shared" si="57"/>
        <v>2034</v>
      </c>
      <c r="AN129" s="5">
        <f t="shared" si="57"/>
        <v>2035</v>
      </c>
    </row>
    <row r="130" spans="2:40">
      <c r="B130" s="23"/>
      <c r="C130" s="24"/>
      <c r="D130" s="24"/>
      <c r="E130" s="17"/>
      <c r="F130" s="17"/>
      <c r="G130" s="17"/>
      <c r="H130" s="17"/>
      <c r="I130" s="17"/>
      <c r="J130" s="17"/>
      <c r="K130" s="17"/>
      <c r="L130" s="17"/>
      <c r="M130" s="17"/>
      <c r="N130" s="17"/>
      <c r="O130" s="17"/>
      <c r="P130" s="17"/>
      <c r="Q130" s="17"/>
      <c r="R130" s="17"/>
      <c r="S130" s="17"/>
      <c r="T130" s="9"/>
      <c r="U130" s="9"/>
      <c r="V130" s="9"/>
      <c r="W130" s="9"/>
      <c r="X130" s="9"/>
      <c r="Y130" s="9"/>
      <c r="Z130" s="9"/>
      <c r="AA130" s="9"/>
      <c r="AB130" s="9"/>
      <c r="AC130" s="9"/>
      <c r="AD130" s="9"/>
      <c r="AE130" s="9"/>
      <c r="AF130" s="9"/>
      <c r="AG130" s="9"/>
      <c r="AH130" s="9"/>
      <c r="AI130" s="9"/>
      <c r="AJ130" s="9"/>
      <c r="AK130" s="9"/>
      <c r="AL130" s="11"/>
      <c r="AM130" s="11"/>
      <c r="AN130" s="11"/>
    </row>
    <row r="131" spans="2:40">
      <c r="B131" s="8"/>
      <c r="C131" s="9"/>
      <c r="D131" s="10"/>
      <c r="E131" s="10"/>
      <c r="F131" s="10"/>
      <c r="G131" s="10"/>
      <c r="H131" s="10"/>
      <c r="I131" s="10"/>
      <c r="J131" s="10"/>
      <c r="K131" s="10"/>
      <c r="L131" s="10"/>
      <c r="M131" s="10"/>
      <c r="N131" s="10"/>
      <c r="O131" s="10"/>
      <c r="P131" s="10"/>
      <c r="Q131" s="10"/>
      <c r="R131" s="10"/>
      <c r="S131" s="10"/>
      <c r="T131" s="10"/>
      <c r="U131" s="10"/>
      <c r="V131" s="10"/>
      <c r="W131" s="10"/>
      <c r="X131" s="9"/>
      <c r="Y131" s="9"/>
      <c r="Z131" s="9"/>
      <c r="AA131" s="9"/>
      <c r="AB131" s="9"/>
      <c r="AC131" s="9"/>
      <c r="AD131" s="9"/>
      <c r="AE131" s="9"/>
      <c r="AF131" s="9"/>
      <c r="AG131" s="9"/>
      <c r="AH131" s="9"/>
      <c r="AI131" s="9"/>
      <c r="AJ131" s="9"/>
      <c r="AK131" s="9"/>
      <c r="AL131" s="11"/>
      <c r="AM131" s="11"/>
      <c r="AN131" s="11"/>
    </row>
    <row r="132" spans="2:40">
      <c r="B132" s="25"/>
      <c r="C132" s="9"/>
      <c r="D132" s="10"/>
      <c r="E132" s="10"/>
      <c r="F132" s="10"/>
      <c r="G132" s="10"/>
      <c r="H132" s="10"/>
      <c r="I132" s="10"/>
      <c r="J132" s="10"/>
      <c r="K132" s="10"/>
      <c r="L132" s="10"/>
      <c r="M132" s="10"/>
      <c r="N132" s="10"/>
      <c r="O132" s="10"/>
      <c r="P132" s="10"/>
      <c r="Q132" s="10"/>
      <c r="R132" s="10"/>
      <c r="S132" s="10"/>
      <c r="T132" s="10"/>
      <c r="U132" s="10"/>
      <c r="V132" s="10"/>
      <c r="W132" s="10"/>
      <c r="X132" s="9"/>
      <c r="Y132" s="9"/>
      <c r="Z132" s="9"/>
      <c r="AA132" s="9"/>
      <c r="AB132" s="9"/>
      <c r="AC132" s="9"/>
      <c r="AD132" s="9"/>
      <c r="AE132" s="9"/>
      <c r="AF132" s="9"/>
      <c r="AG132" s="9"/>
      <c r="AH132" s="9"/>
      <c r="AI132" s="9"/>
      <c r="AJ132" s="9"/>
      <c r="AK132" s="9"/>
      <c r="AL132" s="11"/>
      <c r="AM132" s="11"/>
      <c r="AN132" s="11"/>
    </row>
    <row r="133" spans="2:40">
      <c r="B133" s="25"/>
      <c r="C133" s="9"/>
      <c r="D133" s="10"/>
      <c r="E133" s="10"/>
      <c r="F133" s="10"/>
      <c r="G133" s="10"/>
      <c r="H133" s="10"/>
      <c r="I133" s="10"/>
      <c r="J133" s="10"/>
      <c r="K133" s="10"/>
      <c r="L133" s="10"/>
      <c r="M133" s="10"/>
      <c r="N133" s="10"/>
      <c r="O133" s="10"/>
      <c r="P133" s="10"/>
      <c r="Q133" s="10"/>
      <c r="R133" s="10"/>
      <c r="S133" s="10"/>
      <c r="T133" s="10"/>
      <c r="U133" s="10"/>
      <c r="V133" s="10"/>
      <c r="W133" s="10"/>
      <c r="X133" s="9"/>
      <c r="Y133" s="9"/>
      <c r="Z133" s="9"/>
      <c r="AA133" s="9"/>
      <c r="AB133" s="9"/>
      <c r="AC133" s="9"/>
      <c r="AD133" s="9"/>
      <c r="AE133" s="9"/>
      <c r="AF133" s="9"/>
      <c r="AG133" s="9"/>
      <c r="AH133" s="9"/>
      <c r="AI133" s="9"/>
      <c r="AJ133" s="9"/>
      <c r="AK133" s="9"/>
      <c r="AL133" s="11"/>
      <c r="AM133" s="11"/>
      <c r="AN133" s="11"/>
    </row>
    <row r="134" spans="2:40">
      <c r="B134" s="25"/>
      <c r="C134" s="9"/>
      <c r="D134" s="10"/>
      <c r="E134" s="10"/>
      <c r="F134" s="10"/>
      <c r="G134" s="10"/>
      <c r="H134" s="10"/>
      <c r="I134" s="10"/>
      <c r="J134" s="10"/>
      <c r="K134" s="10"/>
      <c r="L134" s="10"/>
      <c r="M134" s="10"/>
      <c r="N134" s="10"/>
      <c r="O134" s="10"/>
      <c r="P134" s="10"/>
      <c r="Q134" s="10"/>
      <c r="R134" s="10"/>
      <c r="S134" s="10"/>
      <c r="T134" s="10"/>
      <c r="U134" s="10"/>
      <c r="V134" s="10"/>
      <c r="W134" s="10"/>
      <c r="X134" s="9"/>
      <c r="Y134" s="9"/>
      <c r="Z134" s="9"/>
      <c r="AA134" s="9"/>
      <c r="AB134" s="9"/>
      <c r="AC134" s="9"/>
      <c r="AD134" s="9"/>
      <c r="AE134" s="9"/>
      <c r="AF134" s="9"/>
      <c r="AG134" s="9"/>
      <c r="AH134" s="9"/>
      <c r="AI134" s="9"/>
      <c r="AJ134" s="9"/>
      <c r="AK134" s="9"/>
      <c r="AL134" s="11"/>
      <c r="AM134" s="11"/>
      <c r="AN134" s="11"/>
    </row>
    <row r="135" spans="2:40">
      <c r="B135" s="25"/>
      <c r="C135" s="9"/>
      <c r="D135" s="10"/>
      <c r="E135" s="10"/>
      <c r="F135" s="10"/>
      <c r="G135" s="10"/>
      <c r="H135" s="10"/>
      <c r="I135" s="10"/>
      <c r="J135" s="10"/>
      <c r="K135" s="10"/>
      <c r="L135" s="10"/>
      <c r="M135" s="10"/>
      <c r="N135" s="10"/>
      <c r="O135" s="10"/>
      <c r="P135" s="10"/>
      <c r="Q135" s="10"/>
      <c r="R135" s="10"/>
      <c r="S135" s="10"/>
      <c r="T135" s="10"/>
      <c r="U135" s="10"/>
      <c r="V135" s="10"/>
      <c r="W135" s="10"/>
      <c r="X135" s="9"/>
      <c r="Y135" s="9"/>
      <c r="Z135" s="9"/>
      <c r="AA135" s="9"/>
      <c r="AB135" s="9"/>
      <c r="AC135" s="9"/>
      <c r="AD135" s="9"/>
      <c r="AE135" s="9"/>
      <c r="AF135" s="9"/>
      <c r="AG135" s="9"/>
      <c r="AH135" s="9"/>
      <c r="AI135" s="9"/>
      <c r="AJ135" s="9"/>
      <c r="AK135" s="9"/>
      <c r="AL135" s="11"/>
      <c r="AM135" s="11"/>
      <c r="AN135" s="11"/>
    </row>
    <row r="136" spans="2:40">
      <c r="B136" s="25"/>
      <c r="C136" s="9"/>
      <c r="D136" s="10"/>
      <c r="E136" s="10"/>
      <c r="F136" s="10"/>
      <c r="G136" s="10"/>
      <c r="H136" s="10"/>
      <c r="I136" s="10"/>
      <c r="J136" s="10"/>
      <c r="K136" s="10"/>
      <c r="L136" s="10"/>
      <c r="M136" s="10"/>
      <c r="N136" s="10"/>
      <c r="O136" s="10"/>
      <c r="P136" s="10"/>
      <c r="Q136" s="10"/>
      <c r="R136" s="10"/>
      <c r="S136" s="10"/>
      <c r="T136" s="10"/>
      <c r="U136" s="10"/>
      <c r="V136" s="10"/>
      <c r="W136" s="10"/>
      <c r="X136" s="9"/>
      <c r="Y136" s="9"/>
      <c r="Z136" s="9"/>
      <c r="AA136" s="9"/>
      <c r="AB136" s="9"/>
      <c r="AC136" s="9"/>
      <c r="AD136" s="9"/>
      <c r="AE136" s="9"/>
      <c r="AF136" s="9"/>
      <c r="AG136" s="9"/>
      <c r="AH136" s="9"/>
      <c r="AI136" s="9"/>
      <c r="AJ136" s="9"/>
      <c r="AK136" s="9"/>
      <c r="AL136" s="11"/>
      <c r="AM136" s="11"/>
      <c r="AN136" s="11"/>
    </row>
    <row r="137" spans="2:40">
      <c r="B137" s="26"/>
      <c r="C137" s="9"/>
      <c r="D137" s="10"/>
      <c r="E137" s="10"/>
      <c r="F137" s="10"/>
      <c r="G137" s="10"/>
      <c r="H137" s="10"/>
      <c r="I137" s="10"/>
      <c r="J137" s="10"/>
      <c r="K137" s="10"/>
      <c r="L137" s="10"/>
      <c r="M137" s="10"/>
      <c r="N137" s="10"/>
      <c r="O137" s="10"/>
      <c r="P137" s="10"/>
      <c r="Q137" s="10"/>
      <c r="R137" s="10"/>
      <c r="S137" s="10"/>
      <c r="T137" s="10"/>
      <c r="U137" s="10"/>
      <c r="V137" s="10"/>
      <c r="W137" s="10"/>
      <c r="X137" s="9"/>
      <c r="Y137" s="9"/>
      <c r="Z137" s="9"/>
      <c r="AA137" s="9"/>
      <c r="AB137" s="9"/>
      <c r="AC137" s="9"/>
      <c r="AD137" s="9"/>
      <c r="AE137" s="9"/>
      <c r="AF137" s="9"/>
      <c r="AG137" s="9"/>
      <c r="AH137" s="9"/>
      <c r="AI137" s="9"/>
      <c r="AJ137" s="9"/>
      <c r="AK137" s="9"/>
      <c r="AL137" s="11"/>
      <c r="AM137" s="11"/>
      <c r="AN137" s="11"/>
    </row>
    <row r="138" spans="2:40">
      <c r="B138" s="25"/>
      <c r="C138" s="9"/>
      <c r="D138" s="10"/>
      <c r="E138" s="10"/>
      <c r="F138" s="10"/>
      <c r="G138" s="10"/>
      <c r="H138" s="10"/>
      <c r="I138" s="10"/>
      <c r="J138" s="10"/>
      <c r="K138" s="10"/>
      <c r="L138" s="10"/>
      <c r="M138" s="10"/>
      <c r="N138" s="10"/>
      <c r="O138" s="10"/>
      <c r="P138" s="10"/>
      <c r="Q138" s="10"/>
      <c r="R138" s="10"/>
      <c r="S138" s="10"/>
      <c r="T138" s="9"/>
      <c r="U138" s="9"/>
      <c r="V138" s="9"/>
      <c r="W138" s="9"/>
      <c r="X138" s="9"/>
      <c r="Y138" s="9"/>
      <c r="Z138" s="9"/>
      <c r="AA138" s="9"/>
      <c r="AB138" s="9"/>
      <c r="AC138" s="9"/>
      <c r="AD138" s="9"/>
      <c r="AE138" s="9"/>
      <c r="AF138" s="9"/>
      <c r="AG138" s="9"/>
      <c r="AH138" s="9"/>
      <c r="AI138" s="9"/>
      <c r="AJ138" s="9"/>
      <c r="AK138" s="9"/>
      <c r="AL138" s="11"/>
      <c r="AM138" s="11"/>
      <c r="AN138" s="11"/>
    </row>
    <row r="139" spans="2:40">
      <c r="B139" s="25"/>
      <c r="C139" s="9"/>
      <c r="D139" s="10"/>
      <c r="E139" s="10"/>
      <c r="F139" s="10"/>
      <c r="G139" s="10"/>
      <c r="H139" s="10"/>
      <c r="I139" s="10"/>
      <c r="J139" s="10"/>
      <c r="K139" s="10"/>
      <c r="L139" s="10"/>
      <c r="M139" s="10"/>
      <c r="N139" s="10"/>
      <c r="O139" s="10"/>
      <c r="P139" s="10"/>
      <c r="Q139" s="10"/>
      <c r="R139" s="10"/>
      <c r="S139" s="10"/>
      <c r="T139" s="9"/>
      <c r="U139" s="9"/>
      <c r="V139" s="9"/>
      <c r="W139" s="9"/>
      <c r="X139" s="9"/>
      <c r="Y139" s="9"/>
      <c r="Z139" s="9"/>
      <c r="AA139" s="9"/>
      <c r="AB139" s="9"/>
      <c r="AC139" s="9"/>
      <c r="AD139" s="9"/>
      <c r="AE139" s="9"/>
      <c r="AF139" s="9"/>
      <c r="AG139" s="9"/>
      <c r="AH139" s="9"/>
      <c r="AI139" s="9"/>
      <c r="AJ139" s="9"/>
      <c r="AK139" s="9"/>
      <c r="AL139" s="11"/>
      <c r="AM139" s="11"/>
      <c r="AN139" s="11"/>
    </row>
    <row r="140" spans="2:40">
      <c r="B140" s="25"/>
      <c r="C140" s="9"/>
      <c r="D140" s="10"/>
      <c r="E140" s="10"/>
      <c r="F140" s="10"/>
      <c r="G140" s="10"/>
      <c r="H140" s="10"/>
      <c r="I140" s="10"/>
      <c r="J140" s="10"/>
      <c r="K140" s="10"/>
      <c r="L140" s="10"/>
      <c r="M140" s="10"/>
      <c r="N140" s="10"/>
      <c r="O140" s="10"/>
      <c r="P140" s="10"/>
      <c r="Q140" s="10"/>
      <c r="R140" s="10"/>
      <c r="S140" s="10"/>
      <c r="T140" s="9"/>
      <c r="U140" s="9"/>
      <c r="V140" s="9"/>
      <c r="W140" s="9"/>
      <c r="X140" s="9"/>
      <c r="Y140" s="9"/>
      <c r="Z140" s="9"/>
      <c r="AA140" s="9"/>
      <c r="AB140" s="9"/>
      <c r="AC140" s="9"/>
      <c r="AD140" s="9"/>
      <c r="AE140" s="9"/>
      <c r="AF140" s="9"/>
      <c r="AG140" s="9"/>
      <c r="AH140" s="9"/>
      <c r="AI140" s="9"/>
      <c r="AJ140" s="9"/>
      <c r="AK140" s="9"/>
      <c r="AL140" s="11"/>
      <c r="AM140" s="11"/>
      <c r="AN140" s="11"/>
    </row>
    <row r="141" spans="2:40">
      <c r="B141" s="26"/>
      <c r="C141" s="9"/>
      <c r="D141" s="10"/>
      <c r="E141" s="10"/>
      <c r="F141" s="10"/>
      <c r="G141" s="10"/>
      <c r="H141" s="10"/>
      <c r="I141" s="10"/>
      <c r="J141" s="10"/>
      <c r="K141" s="10"/>
      <c r="L141" s="10"/>
      <c r="M141" s="10"/>
      <c r="N141" s="10"/>
      <c r="O141" s="10"/>
      <c r="P141" s="10"/>
      <c r="Q141" s="10"/>
      <c r="R141" s="10"/>
      <c r="S141" s="10"/>
      <c r="T141" s="9"/>
      <c r="U141" s="9"/>
      <c r="V141" s="9"/>
      <c r="W141" s="9"/>
      <c r="X141" s="9"/>
      <c r="Y141" s="9"/>
      <c r="Z141" s="9"/>
      <c r="AA141" s="9"/>
      <c r="AB141" s="9"/>
      <c r="AC141" s="9"/>
      <c r="AD141" s="9"/>
      <c r="AE141" s="9"/>
      <c r="AF141" s="9"/>
      <c r="AG141" s="9"/>
      <c r="AH141" s="9"/>
      <c r="AI141" s="9"/>
      <c r="AJ141" s="9"/>
      <c r="AK141" s="9"/>
      <c r="AL141" s="11"/>
      <c r="AM141" s="11"/>
      <c r="AN141" s="11"/>
    </row>
    <row r="142" spans="2:40">
      <c r="B142" s="26"/>
      <c r="C142" s="9"/>
      <c r="D142" s="10"/>
      <c r="E142" s="10"/>
      <c r="F142" s="10"/>
      <c r="G142" s="10"/>
      <c r="H142" s="10"/>
      <c r="I142" s="10"/>
      <c r="J142" s="10"/>
      <c r="K142" s="10"/>
      <c r="L142" s="10"/>
      <c r="M142" s="10"/>
      <c r="N142" s="10"/>
      <c r="O142" s="10"/>
      <c r="P142" s="10"/>
      <c r="Q142" s="10"/>
      <c r="R142" s="10"/>
      <c r="S142" s="10"/>
      <c r="T142" s="9"/>
      <c r="U142" s="9"/>
      <c r="V142" s="9"/>
      <c r="W142" s="9"/>
      <c r="X142" s="9"/>
      <c r="Y142" s="9"/>
      <c r="Z142" s="9"/>
      <c r="AA142" s="9"/>
      <c r="AB142" s="9"/>
      <c r="AC142" s="9"/>
      <c r="AD142" s="9"/>
      <c r="AE142" s="9"/>
      <c r="AF142" s="9"/>
      <c r="AG142" s="9"/>
      <c r="AH142" s="9"/>
      <c r="AI142" s="9"/>
      <c r="AJ142" s="9"/>
      <c r="AK142" s="9"/>
      <c r="AL142" s="11"/>
      <c r="AM142" s="11"/>
      <c r="AN142" s="11"/>
    </row>
    <row r="143" spans="2:40">
      <c r="B143" s="23" t="s">
        <v>2</v>
      </c>
      <c r="C143" s="24"/>
      <c r="D143" s="24"/>
      <c r="E143" s="17"/>
      <c r="F143" s="17"/>
      <c r="G143" s="17"/>
      <c r="H143" s="17"/>
      <c r="I143" s="17"/>
      <c r="J143" s="17"/>
      <c r="K143" s="17"/>
      <c r="L143" s="17"/>
      <c r="M143" s="17"/>
      <c r="N143" s="17"/>
      <c r="O143" s="9"/>
      <c r="P143" s="9"/>
      <c r="Q143" s="9"/>
      <c r="R143" s="9"/>
      <c r="S143" s="9"/>
      <c r="T143" s="9"/>
      <c r="U143" s="9"/>
      <c r="V143" s="9"/>
      <c r="W143" s="9"/>
      <c r="X143" s="9"/>
      <c r="Y143" s="9"/>
      <c r="Z143" s="9"/>
      <c r="AA143" s="9"/>
      <c r="AB143" s="9"/>
      <c r="AC143" s="9"/>
      <c r="AD143" s="9"/>
      <c r="AE143" s="9"/>
      <c r="AF143" s="9"/>
      <c r="AG143" s="9"/>
      <c r="AH143" s="9"/>
      <c r="AI143" s="9"/>
      <c r="AJ143" s="9"/>
      <c r="AK143" s="9"/>
      <c r="AL143" s="11"/>
      <c r="AM143" s="11"/>
      <c r="AN143" s="11"/>
    </row>
    <row r="144" spans="2:40">
      <c r="B144" s="8"/>
      <c r="C144" s="9"/>
      <c r="D144" s="10"/>
      <c r="E144" s="10"/>
      <c r="F144" s="10"/>
      <c r="G144" s="10"/>
      <c r="H144" s="10"/>
      <c r="I144" s="10"/>
      <c r="J144" s="10"/>
      <c r="K144" s="10"/>
      <c r="L144" s="10"/>
      <c r="M144" s="10"/>
      <c r="N144" s="10"/>
      <c r="O144" s="10"/>
      <c r="P144" s="10"/>
      <c r="Q144" s="10"/>
      <c r="R144" s="10"/>
      <c r="S144" s="10"/>
      <c r="T144" s="9"/>
      <c r="U144" s="9"/>
      <c r="V144" s="9"/>
      <c r="W144" s="9"/>
      <c r="X144" s="9"/>
      <c r="Y144" s="9"/>
      <c r="Z144" s="9"/>
      <c r="AA144" s="9"/>
      <c r="AB144" s="9"/>
      <c r="AC144" s="9"/>
      <c r="AD144" s="9"/>
      <c r="AE144" s="9"/>
      <c r="AF144" s="9"/>
      <c r="AG144" s="9"/>
      <c r="AH144" s="9"/>
      <c r="AI144" s="9"/>
      <c r="AJ144" s="9"/>
      <c r="AK144" s="9"/>
      <c r="AL144" s="11"/>
      <c r="AM144" s="11"/>
      <c r="AN144" s="11"/>
    </row>
    <row r="145" spans="2:40">
      <c r="B145" s="8"/>
      <c r="C145" s="9"/>
      <c r="D145" s="10"/>
      <c r="E145" s="10"/>
      <c r="F145" s="10"/>
      <c r="G145" s="10"/>
      <c r="H145" s="10"/>
      <c r="I145" s="10"/>
      <c r="J145" s="10"/>
      <c r="K145" s="10"/>
      <c r="L145" s="10"/>
      <c r="M145" s="10"/>
      <c r="N145" s="10"/>
      <c r="O145" s="10"/>
      <c r="P145" s="10"/>
      <c r="Q145" s="10"/>
      <c r="R145" s="10"/>
      <c r="S145" s="10"/>
      <c r="T145" s="9"/>
      <c r="U145" s="9"/>
      <c r="V145" s="9"/>
      <c r="W145" s="9"/>
      <c r="X145" s="9"/>
      <c r="Y145" s="9"/>
      <c r="Z145" s="9"/>
      <c r="AA145" s="9"/>
      <c r="AB145" s="9"/>
      <c r="AC145" s="9"/>
      <c r="AD145" s="9"/>
      <c r="AE145" s="9"/>
      <c r="AF145" s="9"/>
      <c r="AG145" s="9"/>
      <c r="AH145" s="9"/>
      <c r="AI145" s="9"/>
      <c r="AJ145" s="9"/>
      <c r="AK145" s="9"/>
      <c r="AL145" s="11"/>
      <c r="AM145" s="11"/>
      <c r="AN145" s="11"/>
    </row>
    <row r="146" spans="2:40">
      <c r="B146" s="8"/>
      <c r="C146" s="9"/>
      <c r="D146" s="10"/>
      <c r="E146" s="10"/>
      <c r="F146" s="10"/>
      <c r="G146" s="10"/>
      <c r="H146" s="10"/>
      <c r="I146" s="10"/>
      <c r="J146" s="10"/>
      <c r="K146" s="10"/>
      <c r="L146" s="10"/>
      <c r="M146" s="10"/>
      <c r="N146" s="10"/>
      <c r="O146" s="10"/>
      <c r="P146" s="10"/>
      <c r="Q146" s="10"/>
      <c r="R146" s="10"/>
      <c r="S146" s="10"/>
      <c r="T146" s="9"/>
      <c r="U146" s="9"/>
      <c r="V146" s="9"/>
      <c r="W146" s="9"/>
      <c r="X146" s="9"/>
      <c r="Y146" s="9"/>
      <c r="Z146" s="9"/>
      <c r="AA146" s="9"/>
      <c r="AB146" s="9"/>
      <c r="AC146" s="9"/>
      <c r="AD146" s="9"/>
      <c r="AE146" s="9"/>
      <c r="AF146" s="9"/>
      <c r="AG146" s="9"/>
      <c r="AH146" s="9"/>
      <c r="AI146" s="9"/>
      <c r="AJ146" s="9"/>
      <c r="AK146" s="9"/>
      <c r="AL146" s="11"/>
      <c r="AM146" s="11"/>
      <c r="AN146" s="11"/>
    </row>
    <row r="147" spans="2:40">
      <c r="B147" s="8"/>
      <c r="C147" s="9"/>
      <c r="D147" s="10"/>
      <c r="E147" s="10"/>
      <c r="F147" s="10"/>
      <c r="G147" s="10"/>
      <c r="H147" s="10"/>
      <c r="I147" s="10"/>
      <c r="J147" s="10"/>
      <c r="K147" s="10"/>
      <c r="L147" s="10"/>
      <c r="M147" s="10"/>
      <c r="N147" s="10"/>
      <c r="O147" s="10"/>
      <c r="P147" s="10"/>
      <c r="Q147" s="10"/>
      <c r="R147" s="10"/>
      <c r="S147" s="10"/>
      <c r="T147" s="9"/>
      <c r="U147" s="9"/>
      <c r="V147" s="9"/>
      <c r="W147" s="9"/>
      <c r="X147" s="9"/>
      <c r="Y147" s="9"/>
      <c r="Z147" s="9"/>
      <c r="AA147" s="9"/>
      <c r="AB147" s="9"/>
      <c r="AC147" s="9"/>
      <c r="AD147" s="9"/>
      <c r="AE147" s="9"/>
      <c r="AF147" s="9"/>
      <c r="AG147" s="9"/>
      <c r="AH147" s="9"/>
      <c r="AI147" s="9"/>
      <c r="AJ147" s="9"/>
      <c r="AK147" s="9"/>
      <c r="AL147" s="11"/>
      <c r="AM147" s="11"/>
      <c r="AN147" s="11"/>
    </row>
    <row r="148" spans="2:40">
      <c r="B148" s="8"/>
      <c r="C148" s="9"/>
      <c r="D148" s="10"/>
      <c r="E148" s="10"/>
      <c r="F148" s="10"/>
      <c r="G148" s="10"/>
      <c r="H148" s="10"/>
      <c r="I148" s="10"/>
      <c r="J148" s="10"/>
      <c r="K148" s="10"/>
      <c r="L148" s="10"/>
      <c r="M148" s="10"/>
      <c r="N148" s="10"/>
      <c r="O148" s="10"/>
      <c r="P148" s="10"/>
      <c r="Q148" s="10"/>
      <c r="R148" s="10"/>
      <c r="S148" s="10"/>
      <c r="T148" s="9"/>
      <c r="U148" s="9"/>
      <c r="V148" s="9"/>
      <c r="W148" s="9"/>
      <c r="X148" s="9"/>
      <c r="Y148" s="9"/>
      <c r="Z148" s="9"/>
      <c r="AA148" s="9"/>
      <c r="AB148" s="9"/>
      <c r="AC148" s="9"/>
      <c r="AD148" s="9"/>
      <c r="AE148" s="9"/>
      <c r="AF148" s="9"/>
      <c r="AG148" s="9"/>
      <c r="AH148" s="9"/>
      <c r="AI148" s="9"/>
      <c r="AJ148" s="9"/>
      <c r="AK148" s="9"/>
      <c r="AL148" s="11"/>
      <c r="AM148" s="11"/>
      <c r="AN148" s="11"/>
    </row>
    <row r="149" spans="2:40">
      <c r="B149" s="8"/>
      <c r="C149" s="9"/>
      <c r="D149" s="10"/>
      <c r="E149" s="10"/>
      <c r="F149" s="10"/>
      <c r="G149" s="10"/>
      <c r="H149" s="10"/>
      <c r="I149" s="10"/>
      <c r="J149" s="10"/>
      <c r="K149" s="10"/>
      <c r="L149" s="10"/>
      <c r="M149" s="10"/>
      <c r="N149" s="10"/>
      <c r="O149" s="10"/>
      <c r="P149" s="10"/>
      <c r="Q149" s="10"/>
      <c r="R149" s="10"/>
      <c r="S149" s="10"/>
      <c r="T149" s="9"/>
      <c r="U149" s="9"/>
      <c r="V149" s="9"/>
      <c r="W149" s="9"/>
      <c r="X149" s="9"/>
      <c r="Y149" s="9"/>
      <c r="Z149" s="9"/>
      <c r="AA149" s="9"/>
      <c r="AB149" s="9"/>
      <c r="AC149" s="9"/>
      <c r="AD149" s="9"/>
      <c r="AE149" s="9"/>
      <c r="AF149" s="9"/>
      <c r="AG149" s="9"/>
      <c r="AH149" s="9"/>
      <c r="AI149" s="9"/>
      <c r="AJ149" s="9"/>
      <c r="AK149" s="9"/>
      <c r="AL149" s="11"/>
      <c r="AM149" s="11"/>
      <c r="AN149" s="11"/>
    </row>
    <row r="150" spans="2:40">
      <c r="B150" s="8"/>
      <c r="C150" s="9"/>
      <c r="D150" s="10"/>
      <c r="E150" s="10"/>
      <c r="F150" s="10"/>
      <c r="G150" s="10"/>
      <c r="H150" s="10"/>
      <c r="I150" s="10"/>
      <c r="J150" s="10"/>
      <c r="K150" s="10"/>
      <c r="L150" s="10"/>
      <c r="M150" s="10"/>
      <c r="N150" s="10"/>
      <c r="O150" s="10"/>
      <c r="P150" s="10"/>
      <c r="Q150" s="10"/>
      <c r="R150" s="10"/>
      <c r="S150" s="10"/>
      <c r="T150" s="9"/>
      <c r="U150" s="9"/>
      <c r="V150" s="9"/>
      <c r="W150" s="9"/>
      <c r="X150" s="9"/>
      <c r="Y150" s="9"/>
      <c r="Z150" s="9"/>
      <c r="AA150" s="9"/>
      <c r="AB150" s="9"/>
      <c r="AC150" s="9"/>
      <c r="AD150" s="9"/>
      <c r="AE150" s="9"/>
      <c r="AF150" s="9"/>
      <c r="AG150" s="9"/>
      <c r="AH150" s="9"/>
      <c r="AI150" s="9"/>
      <c r="AJ150" s="9"/>
      <c r="AK150" s="9"/>
      <c r="AL150" s="11"/>
      <c r="AM150" s="11"/>
      <c r="AN150" s="11"/>
    </row>
    <row r="151" spans="2:40">
      <c r="B151" s="25"/>
      <c r="C151" s="9"/>
      <c r="D151" s="10"/>
      <c r="E151" s="10"/>
      <c r="F151" s="10"/>
      <c r="G151" s="10"/>
      <c r="H151" s="10"/>
      <c r="I151" s="10"/>
      <c r="J151" s="10"/>
      <c r="K151" s="10"/>
      <c r="L151" s="10"/>
      <c r="M151" s="10"/>
      <c r="N151" s="10"/>
      <c r="O151" s="10"/>
      <c r="P151" s="10"/>
      <c r="Q151" s="10"/>
      <c r="R151" s="10"/>
      <c r="S151" s="10"/>
      <c r="T151" s="9"/>
      <c r="U151" s="9"/>
      <c r="V151" s="9"/>
      <c r="W151" s="9"/>
      <c r="X151" s="9"/>
      <c r="Y151" s="9"/>
      <c r="Z151" s="9"/>
      <c r="AA151" s="9"/>
      <c r="AB151" s="9"/>
      <c r="AC151" s="9"/>
      <c r="AD151" s="9"/>
      <c r="AE151" s="9"/>
      <c r="AF151" s="9"/>
      <c r="AG151" s="9"/>
      <c r="AH151" s="9"/>
      <c r="AI151" s="9"/>
      <c r="AJ151" s="9"/>
      <c r="AK151" s="9"/>
      <c r="AL151" s="11"/>
      <c r="AM151" s="11"/>
      <c r="AN151" s="11"/>
    </row>
    <row r="152" spans="2:40">
      <c r="B152" s="25"/>
      <c r="C152" s="9"/>
      <c r="D152" s="10"/>
      <c r="E152" s="10"/>
      <c r="F152" s="10"/>
      <c r="G152" s="10"/>
      <c r="H152" s="10"/>
      <c r="I152" s="10"/>
      <c r="J152" s="10"/>
      <c r="K152" s="10"/>
      <c r="L152" s="10"/>
      <c r="M152" s="10"/>
      <c r="N152" s="10"/>
      <c r="O152" s="10"/>
      <c r="P152" s="10"/>
      <c r="Q152" s="10"/>
      <c r="R152" s="10"/>
      <c r="S152" s="10"/>
      <c r="T152" s="9"/>
      <c r="U152" s="9"/>
      <c r="V152" s="9"/>
      <c r="W152" s="9"/>
      <c r="X152" s="9"/>
      <c r="Y152" s="9"/>
      <c r="Z152" s="9"/>
      <c r="AA152" s="9"/>
      <c r="AB152" s="9"/>
      <c r="AC152" s="9"/>
      <c r="AD152" s="9"/>
      <c r="AE152" s="9"/>
      <c r="AF152" s="9"/>
      <c r="AG152" s="9"/>
      <c r="AH152" s="9"/>
      <c r="AI152" s="9"/>
      <c r="AJ152" s="9"/>
      <c r="AK152" s="9"/>
      <c r="AL152" s="11"/>
      <c r="AM152" s="11"/>
      <c r="AN152" s="11"/>
    </row>
    <row r="153" spans="2:40">
      <c r="B153" s="25"/>
      <c r="C153" s="9"/>
      <c r="D153" s="10"/>
      <c r="E153" s="10"/>
      <c r="F153" s="10"/>
      <c r="G153" s="10"/>
      <c r="H153" s="10"/>
      <c r="I153" s="10"/>
      <c r="J153" s="10"/>
      <c r="K153" s="10"/>
      <c r="L153" s="10"/>
      <c r="M153" s="10"/>
      <c r="N153" s="10"/>
      <c r="O153" s="10"/>
      <c r="P153" s="10"/>
      <c r="Q153" s="10"/>
      <c r="R153" s="10"/>
      <c r="S153" s="10"/>
      <c r="T153" s="9"/>
      <c r="U153" s="9"/>
      <c r="V153" s="9"/>
      <c r="W153" s="9"/>
      <c r="X153" s="9"/>
      <c r="Y153" s="9"/>
      <c r="Z153" s="9"/>
      <c r="AA153" s="9"/>
      <c r="AB153" s="9"/>
      <c r="AC153" s="9"/>
      <c r="AD153" s="9"/>
      <c r="AE153" s="9"/>
      <c r="AF153" s="9"/>
      <c r="AG153" s="9"/>
      <c r="AH153" s="9"/>
      <c r="AI153" s="9"/>
      <c r="AJ153" s="9"/>
      <c r="AK153" s="9"/>
      <c r="AL153" s="11"/>
      <c r="AM153" s="11"/>
      <c r="AN153" s="11"/>
    </row>
    <row r="154" spans="2:40">
      <c r="B154" s="26"/>
      <c r="C154" s="9"/>
      <c r="D154" s="10"/>
      <c r="E154" s="10"/>
      <c r="F154" s="10"/>
      <c r="G154" s="10"/>
      <c r="H154" s="10"/>
      <c r="I154" s="10"/>
      <c r="J154" s="10"/>
      <c r="K154" s="10"/>
      <c r="L154" s="10"/>
      <c r="M154" s="10"/>
      <c r="N154" s="10"/>
      <c r="O154" s="10"/>
      <c r="P154" s="10"/>
      <c r="Q154" s="10"/>
      <c r="R154" s="10"/>
      <c r="S154" s="10"/>
      <c r="T154" s="9"/>
      <c r="U154" s="9"/>
      <c r="V154" s="9"/>
      <c r="W154" s="9"/>
      <c r="X154" s="9"/>
      <c r="Y154" s="9"/>
      <c r="Z154" s="9"/>
      <c r="AA154" s="9"/>
      <c r="AB154" s="9"/>
      <c r="AC154" s="9"/>
      <c r="AD154" s="9"/>
      <c r="AE154" s="9"/>
      <c r="AF154" s="9"/>
      <c r="AG154" s="9"/>
      <c r="AH154" s="9"/>
      <c r="AI154" s="9"/>
      <c r="AJ154" s="9"/>
      <c r="AK154" s="9"/>
      <c r="AL154" s="11"/>
      <c r="AM154" s="11"/>
      <c r="AN154" s="11"/>
    </row>
    <row r="155" spans="2:40">
      <c r="B155" s="26"/>
      <c r="C155" s="9"/>
      <c r="D155" s="10"/>
      <c r="E155" s="10"/>
      <c r="F155" s="10"/>
      <c r="G155" s="10"/>
      <c r="H155" s="10"/>
      <c r="I155" s="10"/>
      <c r="J155" s="10"/>
      <c r="K155" s="10"/>
      <c r="L155" s="10"/>
      <c r="M155" s="10"/>
      <c r="N155" s="10"/>
      <c r="O155" s="10"/>
      <c r="P155" s="10"/>
      <c r="Q155" s="10"/>
      <c r="R155" s="10"/>
      <c r="S155" s="10"/>
      <c r="T155" s="9"/>
      <c r="U155" s="9"/>
      <c r="V155" s="9"/>
      <c r="W155" s="9"/>
      <c r="X155" s="9"/>
      <c r="Y155" s="9"/>
      <c r="Z155" s="9"/>
      <c r="AA155" s="9"/>
      <c r="AB155" s="9"/>
      <c r="AC155" s="9"/>
      <c r="AD155" s="9"/>
      <c r="AE155" s="9"/>
      <c r="AF155" s="9"/>
      <c r="AG155" s="9"/>
      <c r="AH155" s="9"/>
      <c r="AI155" s="9"/>
      <c r="AJ155" s="9"/>
      <c r="AK155" s="9"/>
      <c r="AL155" s="11"/>
      <c r="AM155" s="11"/>
      <c r="AN155" s="11"/>
    </row>
    <row r="156" spans="2:40">
      <c r="B156" s="23" t="s">
        <v>248</v>
      </c>
      <c r="C156" s="24"/>
      <c r="D156" s="27"/>
      <c r="E156" s="27"/>
      <c r="F156" s="27"/>
      <c r="G156" s="27"/>
      <c r="H156" s="27"/>
      <c r="I156" s="27"/>
      <c r="J156" s="27"/>
      <c r="K156" s="27"/>
      <c r="L156" s="27"/>
      <c r="M156" s="27"/>
      <c r="N156" s="27"/>
      <c r="O156" s="27"/>
      <c r="P156" s="27"/>
      <c r="Q156" s="27"/>
      <c r="R156" s="27"/>
      <c r="S156" s="27"/>
      <c r="T156" s="9"/>
      <c r="U156" s="9"/>
      <c r="V156" s="9"/>
      <c r="W156" s="9"/>
      <c r="X156" s="9"/>
      <c r="Y156" s="9"/>
      <c r="Z156" s="9"/>
      <c r="AA156" s="9"/>
      <c r="AB156" s="9"/>
      <c r="AC156" s="9"/>
      <c r="AD156" s="9"/>
      <c r="AE156" s="9"/>
      <c r="AF156" s="9"/>
      <c r="AG156" s="9"/>
      <c r="AH156" s="9"/>
      <c r="AI156" s="9"/>
      <c r="AJ156" s="9"/>
      <c r="AK156" s="9"/>
      <c r="AL156" s="11"/>
      <c r="AM156" s="11"/>
      <c r="AN156" s="11"/>
    </row>
    <row r="157" spans="2:40">
      <c r="B157" s="8"/>
      <c r="C157" s="9"/>
      <c r="D157" s="10"/>
      <c r="E157" s="10"/>
      <c r="F157" s="10"/>
      <c r="G157" s="10"/>
      <c r="H157" s="10"/>
      <c r="I157" s="10"/>
      <c r="J157" s="10"/>
      <c r="K157" s="10"/>
      <c r="L157" s="10"/>
      <c r="M157" s="10"/>
      <c r="N157" s="10"/>
      <c r="O157" s="10"/>
      <c r="P157" s="10"/>
      <c r="Q157" s="10"/>
      <c r="R157" s="10"/>
      <c r="S157" s="10"/>
      <c r="T157" s="9"/>
      <c r="U157" s="9"/>
      <c r="V157" s="9"/>
      <c r="W157" s="9"/>
      <c r="X157" s="9"/>
      <c r="Y157" s="9"/>
      <c r="Z157" s="9"/>
      <c r="AA157" s="9"/>
      <c r="AB157" s="9"/>
      <c r="AC157" s="9"/>
      <c r="AD157" s="9"/>
      <c r="AE157" s="9"/>
      <c r="AF157" s="9"/>
      <c r="AG157" s="9"/>
      <c r="AH157" s="9"/>
      <c r="AI157" s="9"/>
      <c r="AJ157" s="9"/>
      <c r="AK157" s="9"/>
      <c r="AL157" s="11"/>
      <c r="AM157" s="11"/>
      <c r="AN157" s="11"/>
    </row>
    <row r="158" spans="2:40">
      <c r="B158" s="8"/>
      <c r="C158" s="9"/>
      <c r="D158" s="10"/>
      <c r="E158" s="10"/>
      <c r="F158" s="10"/>
      <c r="G158" s="10"/>
      <c r="H158" s="10"/>
      <c r="I158" s="10"/>
      <c r="J158" s="10"/>
      <c r="K158" s="10"/>
      <c r="L158" s="10"/>
      <c r="M158" s="10"/>
      <c r="N158" s="10"/>
      <c r="O158" s="10"/>
      <c r="P158" s="10"/>
      <c r="Q158" s="10"/>
      <c r="R158" s="10"/>
      <c r="S158" s="10"/>
      <c r="T158" s="9"/>
      <c r="U158" s="9"/>
      <c r="V158" s="9"/>
      <c r="W158" s="9"/>
      <c r="X158" s="9"/>
      <c r="Y158" s="9"/>
      <c r="Z158" s="9"/>
      <c r="AA158" s="9"/>
      <c r="AB158" s="9"/>
      <c r="AC158" s="9"/>
      <c r="AD158" s="9"/>
      <c r="AE158" s="9"/>
      <c r="AF158" s="9"/>
      <c r="AG158" s="9"/>
      <c r="AH158" s="9"/>
      <c r="AI158" s="9"/>
      <c r="AJ158" s="9"/>
      <c r="AK158" s="9"/>
      <c r="AL158" s="11"/>
      <c r="AM158" s="11"/>
      <c r="AN158" s="11"/>
    </row>
    <row r="159" spans="2:40">
      <c r="B159" s="8"/>
      <c r="C159" s="9"/>
      <c r="D159" s="10"/>
      <c r="E159" s="10"/>
      <c r="F159" s="10"/>
      <c r="G159" s="10"/>
      <c r="H159" s="10"/>
      <c r="I159" s="10"/>
      <c r="J159" s="10"/>
      <c r="K159" s="10"/>
      <c r="L159" s="10"/>
      <c r="M159" s="10"/>
      <c r="N159" s="10"/>
      <c r="O159" s="10"/>
      <c r="P159" s="10"/>
      <c r="Q159" s="10"/>
      <c r="R159" s="10"/>
      <c r="S159" s="10"/>
      <c r="T159" s="9"/>
      <c r="U159" s="9"/>
      <c r="V159" s="9"/>
      <c r="W159" s="9"/>
      <c r="X159" s="9"/>
      <c r="Y159" s="9"/>
      <c r="Z159" s="9"/>
      <c r="AA159" s="9"/>
      <c r="AB159" s="9"/>
      <c r="AC159" s="9"/>
      <c r="AD159" s="9"/>
      <c r="AE159" s="9"/>
      <c r="AF159" s="9"/>
      <c r="AG159" s="9"/>
      <c r="AH159" s="9"/>
      <c r="AI159" s="9"/>
      <c r="AJ159" s="9"/>
      <c r="AK159" s="9"/>
      <c r="AL159" s="11"/>
      <c r="AM159" s="11"/>
      <c r="AN159" s="11"/>
    </row>
    <row r="160" spans="2:40">
      <c r="B160" s="8"/>
      <c r="C160" s="9"/>
      <c r="D160" s="10"/>
      <c r="E160" s="10"/>
      <c r="F160" s="10"/>
      <c r="G160" s="10"/>
      <c r="H160" s="10"/>
      <c r="I160" s="10"/>
      <c r="J160" s="10"/>
      <c r="K160" s="10"/>
      <c r="L160" s="10"/>
      <c r="M160" s="10"/>
      <c r="N160" s="10"/>
      <c r="O160" s="10"/>
      <c r="P160" s="10"/>
      <c r="Q160" s="10"/>
      <c r="R160" s="10"/>
      <c r="S160" s="10"/>
      <c r="T160" s="9"/>
      <c r="U160" s="9"/>
      <c r="V160" s="9"/>
      <c r="W160" s="9"/>
      <c r="X160" s="9"/>
      <c r="Y160" s="9"/>
      <c r="Z160" s="9"/>
      <c r="AA160" s="9"/>
      <c r="AB160" s="9"/>
      <c r="AC160" s="9"/>
      <c r="AD160" s="9"/>
      <c r="AE160" s="9"/>
      <c r="AF160" s="9"/>
      <c r="AG160" s="9"/>
      <c r="AH160" s="9"/>
      <c r="AI160" s="9"/>
      <c r="AJ160" s="9"/>
      <c r="AK160" s="9"/>
      <c r="AL160" s="11"/>
      <c r="AM160" s="11"/>
      <c r="AN160" s="11"/>
    </row>
    <row r="161" spans="2:40">
      <c r="B161" s="8"/>
      <c r="C161" s="9"/>
      <c r="D161" s="10"/>
      <c r="E161" s="10"/>
      <c r="F161" s="10"/>
      <c r="G161" s="10"/>
      <c r="H161" s="10"/>
      <c r="I161" s="10"/>
      <c r="J161" s="10"/>
      <c r="K161" s="10"/>
      <c r="L161" s="10"/>
      <c r="M161" s="10"/>
      <c r="N161" s="10"/>
      <c r="O161" s="10"/>
      <c r="P161" s="10"/>
      <c r="Q161" s="10"/>
      <c r="R161" s="10"/>
      <c r="S161" s="10"/>
      <c r="T161" s="9"/>
      <c r="U161" s="9"/>
      <c r="V161" s="9"/>
      <c r="W161" s="9"/>
      <c r="X161" s="9"/>
      <c r="Y161" s="9"/>
      <c r="Z161" s="9"/>
      <c r="AA161" s="9"/>
      <c r="AB161" s="9"/>
      <c r="AC161" s="9"/>
      <c r="AD161" s="9"/>
      <c r="AE161" s="9"/>
      <c r="AF161" s="9"/>
      <c r="AG161" s="9"/>
      <c r="AH161" s="9"/>
      <c r="AI161" s="9"/>
      <c r="AJ161" s="9"/>
      <c r="AK161" s="9"/>
      <c r="AL161" s="11"/>
      <c r="AM161" s="11"/>
      <c r="AN161" s="11"/>
    </row>
    <row r="162" spans="2:40">
      <c r="B162" s="8"/>
      <c r="C162" s="9"/>
      <c r="D162" s="10"/>
      <c r="E162" s="10"/>
      <c r="F162" s="10"/>
      <c r="G162" s="10"/>
      <c r="H162" s="10"/>
      <c r="I162" s="10"/>
      <c r="J162" s="10"/>
      <c r="K162" s="10"/>
      <c r="L162" s="10"/>
      <c r="M162" s="10"/>
      <c r="N162" s="10"/>
      <c r="O162" s="10"/>
      <c r="P162" s="10"/>
      <c r="Q162" s="10"/>
      <c r="R162" s="10"/>
      <c r="S162" s="10"/>
      <c r="T162" s="9"/>
      <c r="U162" s="9"/>
      <c r="V162" s="9"/>
      <c r="W162" s="9"/>
      <c r="X162" s="9"/>
      <c r="Y162" s="9"/>
      <c r="Z162" s="9"/>
      <c r="AA162" s="9"/>
      <c r="AB162" s="9"/>
      <c r="AC162" s="9"/>
      <c r="AD162" s="9"/>
      <c r="AE162" s="9"/>
      <c r="AF162" s="9"/>
      <c r="AG162" s="9"/>
      <c r="AH162" s="9"/>
      <c r="AI162" s="9"/>
      <c r="AJ162" s="9"/>
      <c r="AK162" s="9"/>
      <c r="AL162" s="11"/>
      <c r="AM162" s="11"/>
      <c r="AN162" s="11"/>
    </row>
    <row r="163" spans="2:40">
      <c r="B163" s="8"/>
      <c r="C163" s="9"/>
      <c r="D163" s="10"/>
      <c r="E163" s="10"/>
      <c r="F163" s="10"/>
      <c r="G163" s="10"/>
      <c r="H163" s="10"/>
      <c r="I163" s="10"/>
      <c r="J163" s="10"/>
      <c r="K163" s="10"/>
      <c r="L163" s="10"/>
      <c r="M163" s="10"/>
      <c r="N163" s="10"/>
      <c r="O163" s="10"/>
      <c r="P163" s="10"/>
      <c r="Q163" s="10"/>
      <c r="R163" s="10"/>
      <c r="S163" s="10"/>
      <c r="T163" s="9"/>
      <c r="U163" s="9"/>
      <c r="V163" s="9"/>
      <c r="W163" s="9"/>
      <c r="X163" s="9"/>
      <c r="Y163" s="9"/>
      <c r="Z163" s="9"/>
      <c r="AA163" s="9"/>
      <c r="AB163" s="9"/>
      <c r="AC163" s="9"/>
      <c r="AD163" s="9"/>
      <c r="AE163" s="9"/>
      <c r="AF163" s="9"/>
      <c r="AG163" s="9"/>
      <c r="AH163" s="9"/>
      <c r="AI163" s="9"/>
      <c r="AJ163" s="9"/>
      <c r="AK163" s="9"/>
      <c r="AL163" s="11"/>
      <c r="AM163" s="11"/>
      <c r="AN163" s="11"/>
    </row>
    <row r="164" spans="2:40">
      <c r="B164" s="25"/>
      <c r="C164" s="9"/>
      <c r="D164" s="10"/>
      <c r="E164" s="10"/>
      <c r="F164" s="10"/>
      <c r="G164" s="10"/>
      <c r="H164" s="10"/>
      <c r="I164" s="10"/>
      <c r="J164" s="10"/>
      <c r="K164" s="10"/>
      <c r="L164" s="10"/>
      <c r="M164" s="10"/>
      <c r="N164" s="10"/>
      <c r="O164" s="10"/>
      <c r="P164" s="10"/>
      <c r="Q164" s="10"/>
      <c r="R164" s="10"/>
      <c r="S164" s="10"/>
      <c r="T164" s="9"/>
      <c r="U164" s="9"/>
      <c r="V164" s="9"/>
      <c r="W164" s="9"/>
      <c r="X164" s="9"/>
      <c r="Y164" s="9"/>
      <c r="Z164" s="9"/>
      <c r="AA164" s="9"/>
      <c r="AB164" s="9"/>
      <c r="AC164" s="9"/>
      <c r="AD164" s="9"/>
      <c r="AE164" s="9"/>
      <c r="AF164" s="9"/>
      <c r="AG164" s="9"/>
      <c r="AH164" s="9"/>
      <c r="AI164" s="9"/>
      <c r="AJ164" s="9"/>
      <c r="AK164" s="9"/>
      <c r="AL164" s="11"/>
      <c r="AM164" s="11"/>
      <c r="AN164" s="11"/>
    </row>
    <row r="165" spans="2:40">
      <c r="B165" s="25"/>
      <c r="C165" s="9"/>
      <c r="D165" s="10"/>
      <c r="E165" s="10"/>
      <c r="F165" s="10"/>
      <c r="G165" s="10"/>
      <c r="H165" s="10"/>
      <c r="I165" s="10"/>
      <c r="J165" s="10"/>
      <c r="K165" s="10"/>
      <c r="L165" s="10"/>
      <c r="M165" s="10"/>
      <c r="N165" s="10"/>
      <c r="O165" s="10"/>
      <c r="P165" s="10"/>
      <c r="Q165" s="10"/>
      <c r="R165" s="10"/>
      <c r="S165" s="10"/>
      <c r="T165" s="9"/>
      <c r="U165" s="9"/>
      <c r="V165" s="9"/>
      <c r="W165" s="9"/>
      <c r="X165" s="9"/>
      <c r="Y165" s="9"/>
      <c r="Z165" s="9"/>
      <c r="AA165" s="9"/>
      <c r="AB165" s="9"/>
      <c r="AC165" s="9"/>
      <c r="AD165" s="9"/>
      <c r="AE165" s="9"/>
      <c r="AF165" s="9"/>
      <c r="AG165" s="9"/>
      <c r="AH165" s="9"/>
      <c r="AI165" s="9"/>
      <c r="AJ165" s="9"/>
      <c r="AK165" s="9"/>
      <c r="AL165" s="11"/>
      <c r="AM165" s="11"/>
      <c r="AN165" s="11"/>
    </row>
    <row r="166" spans="2:40">
      <c r="B166" s="25"/>
      <c r="C166" s="9"/>
      <c r="D166" s="10"/>
      <c r="E166" s="10"/>
      <c r="F166" s="10"/>
      <c r="G166" s="10"/>
      <c r="H166" s="10"/>
      <c r="I166" s="10"/>
      <c r="J166" s="10"/>
      <c r="K166" s="10"/>
      <c r="L166" s="10"/>
      <c r="M166" s="10"/>
      <c r="N166" s="10"/>
      <c r="O166" s="10"/>
      <c r="P166" s="10"/>
      <c r="Q166" s="10"/>
      <c r="R166" s="10"/>
      <c r="S166" s="10"/>
      <c r="T166" s="9"/>
      <c r="U166" s="9"/>
      <c r="V166" s="9"/>
      <c r="W166" s="9"/>
      <c r="X166" s="9"/>
      <c r="Y166" s="9"/>
      <c r="Z166" s="9"/>
      <c r="AA166" s="9"/>
      <c r="AB166" s="9"/>
      <c r="AC166" s="9"/>
      <c r="AD166" s="9"/>
      <c r="AE166" s="9"/>
      <c r="AF166" s="9"/>
      <c r="AG166" s="9"/>
      <c r="AH166" s="9"/>
      <c r="AI166" s="9"/>
      <c r="AJ166" s="9"/>
      <c r="AK166" s="9"/>
      <c r="AL166" s="11"/>
      <c r="AM166" s="11"/>
      <c r="AN166" s="11"/>
    </row>
    <row r="167" spans="2:40">
      <c r="B167" s="26"/>
      <c r="C167" s="9"/>
      <c r="D167" s="10"/>
      <c r="E167" s="10"/>
      <c r="F167" s="10"/>
      <c r="G167" s="10"/>
      <c r="H167" s="10"/>
      <c r="I167" s="10"/>
      <c r="J167" s="10"/>
      <c r="K167" s="10"/>
      <c r="L167" s="10"/>
      <c r="M167" s="10"/>
      <c r="N167" s="10"/>
      <c r="O167" s="10"/>
      <c r="P167" s="10"/>
      <c r="Q167" s="10"/>
      <c r="R167" s="10"/>
      <c r="S167" s="10"/>
      <c r="T167" s="9"/>
      <c r="U167" s="9"/>
      <c r="V167" s="9"/>
      <c r="W167" s="9"/>
      <c r="X167" s="9"/>
      <c r="Y167" s="9"/>
      <c r="Z167" s="9"/>
      <c r="AA167" s="9"/>
      <c r="AB167" s="9"/>
      <c r="AC167" s="9"/>
      <c r="AD167" s="9"/>
      <c r="AE167" s="9"/>
      <c r="AF167" s="9"/>
      <c r="AG167" s="9"/>
      <c r="AH167" s="9"/>
      <c r="AI167" s="9"/>
      <c r="AJ167" s="9"/>
      <c r="AK167" s="9"/>
      <c r="AL167" s="11"/>
      <c r="AM167" s="11"/>
      <c r="AN167" s="11"/>
    </row>
    <row r="168" spans="2:40">
      <c r="B168" s="25"/>
      <c r="C168" s="9"/>
      <c r="D168" s="10"/>
      <c r="E168" s="10"/>
      <c r="F168" s="10"/>
      <c r="G168" s="10"/>
      <c r="H168" s="10"/>
      <c r="I168" s="10"/>
      <c r="J168" s="10"/>
      <c r="K168" s="10"/>
      <c r="L168" s="10"/>
      <c r="M168" s="10"/>
      <c r="N168" s="10"/>
      <c r="O168" s="10"/>
      <c r="P168" s="10"/>
      <c r="Q168" s="10"/>
      <c r="R168" s="10"/>
      <c r="S168" s="10"/>
      <c r="T168" s="9"/>
      <c r="U168" s="9"/>
      <c r="V168" s="9"/>
      <c r="W168" s="9"/>
      <c r="X168" s="9"/>
      <c r="Y168" s="9"/>
      <c r="Z168" s="9"/>
      <c r="AA168" s="9"/>
      <c r="AB168" s="9"/>
      <c r="AC168" s="9"/>
      <c r="AD168" s="9"/>
      <c r="AE168" s="9"/>
      <c r="AF168" s="9"/>
      <c r="AG168" s="9"/>
      <c r="AH168" s="9"/>
      <c r="AI168" s="9"/>
      <c r="AJ168" s="9"/>
      <c r="AK168" s="9"/>
      <c r="AL168" s="11"/>
      <c r="AM168" s="11"/>
      <c r="AN168" s="11"/>
    </row>
    <row r="169" spans="2:40">
      <c r="B169" s="28"/>
      <c r="C169" s="24"/>
      <c r="D169" s="24"/>
      <c r="E169" s="17"/>
      <c r="F169" s="17"/>
      <c r="G169" s="17"/>
      <c r="H169" s="17"/>
      <c r="I169" s="17"/>
      <c r="J169" s="17"/>
      <c r="K169" s="17"/>
      <c r="L169" s="17"/>
      <c r="M169" s="17"/>
      <c r="N169" s="17"/>
      <c r="O169" s="9"/>
      <c r="P169" s="9"/>
      <c r="Q169" s="9"/>
      <c r="R169" s="9"/>
      <c r="S169" s="9"/>
      <c r="T169" s="9"/>
      <c r="U169" s="9"/>
      <c r="V169" s="9"/>
      <c r="W169" s="9"/>
      <c r="X169" s="9"/>
      <c r="Y169" s="9"/>
      <c r="Z169" s="9"/>
      <c r="AA169" s="9"/>
      <c r="AB169" s="9"/>
      <c r="AC169" s="9"/>
      <c r="AD169" s="9"/>
      <c r="AE169" s="9"/>
      <c r="AF169" s="9"/>
      <c r="AG169" s="9"/>
      <c r="AH169" s="9"/>
      <c r="AI169" s="9"/>
      <c r="AJ169" s="9"/>
      <c r="AK169" s="9"/>
      <c r="AL169" s="11"/>
      <c r="AM169" s="11"/>
      <c r="AN169" s="11"/>
    </row>
    <row r="170" spans="2:40">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row>
    <row r="171" spans="2:40">
      <c r="B171" s="5" t="s">
        <v>396</v>
      </c>
      <c r="C171" s="6">
        <v>1998</v>
      </c>
      <c r="D171" s="6">
        <v>1999</v>
      </c>
      <c r="E171" s="6">
        <v>2000</v>
      </c>
      <c r="F171" s="6">
        <f t="shared" ref="F171:AN171" si="62">E171+1</f>
        <v>2001</v>
      </c>
      <c r="G171" s="6">
        <f t="shared" si="62"/>
        <v>2002</v>
      </c>
      <c r="H171" s="6">
        <f t="shared" si="62"/>
        <v>2003</v>
      </c>
      <c r="I171" s="6">
        <f t="shared" si="62"/>
        <v>2004</v>
      </c>
      <c r="J171" s="6">
        <f>I171+1</f>
        <v>2005</v>
      </c>
      <c r="K171" s="6">
        <f>J171+1</f>
        <v>2006</v>
      </c>
      <c r="L171" s="6">
        <f>K171+1</f>
        <v>2007</v>
      </c>
      <c r="M171" s="6">
        <f>L171+1</f>
        <v>2008</v>
      </c>
      <c r="N171" s="6">
        <f>M171+1</f>
        <v>2009</v>
      </c>
      <c r="O171" s="6">
        <f t="shared" si="62"/>
        <v>2010</v>
      </c>
      <c r="P171" s="6">
        <f t="shared" si="62"/>
        <v>2011</v>
      </c>
      <c r="Q171" s="6">
        <f t="shared" si="62"/>
        <v>2012</v>
      </c>
      <c r="R171" s="6">
        <f>Q171+1</f>
        <v>2013</v>
      </c>
      <c r="S171" s="6">
        <f>R171+1</f>
        <v>2014</v>
      </c>
      <c r="T171" s="6">
        <f t="shared" si="62"/>
        <v>2015</v>
      </c>
      <c r="U171" s="6">
        <f t="shared" si="62"/>
        <v>2016</v>
      </c>
      <c r="V171" s="6">
        <f t="shared" si="62"/>
        <v>2017</v>
      </c>
      <c r="W171" s="6">
        <f t="shared" si="62"/>
        <v>2018</v>
      </c>
      <c r="X171" s="6">
        <f t="shared" si="62"/>
        <v>2019</v>
      </c>
      <c r="Y171" s="6">
        <f t="shared" si="62"/>
        <v>2020</v>
      </c>
      <c r="Z171" s="6">
        <f t="shared" si="62"/>
        <v>2021</v>
      </c>
      <c r="AA171" s="6">
        <f t="shared" si="62"/>
        <v>2022</v>
      </c>
      <c r="AB171" s="6">
        <f t="shared" si="62"/>
        <v>2023</v>
      </c>
      <c r="AC171" s="6">
        <f t="shared" si="62"/>
        <v>2024</v>
      </c>
      <c r="AD171" s="6">
        <f t="shared" si="62"/>
        <v>2025</v>
      </c>
      <c r="AE171" s="6">
        <f t="shared" si="62"/>
        <v>2026</v>
      </c>
      <c r="AF171" s="6">
        <f t="shared" si="62"/>
        <v>2027</v>
      </c>
      <c r="AG171" s="6">
        <f t="shared" si="62"/>
        <v>2028</v>
      </c>
      <c r="AH171" s="6">
        <f t="shared" ref="AH171" si="63">AG171+1</f>
        <v>2029</v>
      </c>
      <c r="AI171" s="6">
        <f t="shared" ref="AI171" si="64">AH171+1</f>
        <v>2030</v>
      </c>
      <c r="AJ171" s="6">
        <f t="shared" ref="AJ171" si="65">AI171+1</f>
        <v>2031</v>
      </c>
      <c r="AK171" s="6">
        <f t="shared" ref="AK171" si="66">AJ171+1</f>
        <v>2032</v>
      </c>
      <c r="AL171" s="5">
        <f t="shared" si="62"/>
        <v>2033</v>
      </c>
      <c r="AM171" s="5">
        <f t="shared" si="62"/>
        <v>2034</v>
      </c>
      <c r="AN171" s="5">
        <f t="shared" si="62"/>
        <v>2035</v>
      </c>
    </row>
    <row r="172" spans="2:40">
      <c r="B172" s="7" t="str">
        <f>[6]DCF!A34</f>
        <v>Rf</v>
      </c>
      <c r="C172" s="29">
        <f>'DCF and Valuation'!B40</f>
        <v>3.9E-2</v>
      </c>
      <c r="D172" s="30"/>
      <c r="E172" s="30"/>
      <c r="F172" s="30"/>
      <c r="G172" s="30"/>
      <c r="H172" s="30"/>
      <c r="I172" s="30"/>
      <c r="J172" s="30"/>
      <c r="K172" s="30"/>
      <c r="L172" s="9"/>
      <c r="M172" s="17"/>
      <c r="N172" s="17"/>
      <c r="O172" s="9"/>
      <c r="P172" s="9"/>
      <c r="Q172" s="9"/>
      <c r="R172" s="9"/>
      <c r="S172" s="9"/>
      <c r="T172" s="9"/>
      <c r="U172" s="9"/>
      <c r="V172" s="9"/>
      <c r="W172" s="9"/>
      <c r="X172" s="9"/>
      <c r="Y172" s="9"/>
      <c r="Z172" s="9"/>
      <c r="AA172" s="9"/>
      <c r="AB172" s="9"/>
      <c r="AC172" s="9"/>
      <c r="AD172" s="9"/>
      <c r="AE172" s="9"/>
      <c r="AF172" s="9"/>
      <c r="AG172" s="9"/>
      <c r="AH172" s="9"/>
      <c r="AI172" s="9"/>
      <c r="AJ172" s="9"/>
      <c r="AK172" s="9"/>
      <c r="AL172" s="11"/>
      <c r="AM172" s="11"/>
      <c r="AN172" s="11"/>
    </row>
    <row r="173" spans="2:40">
      <c r="B173" s="7" t="str">
        <f>[6]DCF!A35</f>
        <v>Tax rate</v>
      </c>
      <c r="C173" s="29">
        <f>'DCF and Valuation'!B41</f>
        <v>0.25</v>
      </c>
      <c r="D173" s="17"/>
      <c r="E173" s="17"/>
      <c r="F173" s="9"/>
      <c r="G173" s="10"/>
      <c r="H173" s="10"/>
      <c r="I173" s="10"/>
      <c r="J173" s="17"/>
      <c r="K173" s="17"/>
      <c r="L173" s="17"/>
      <c r="M173" s="17"/>
      <c r="N173" s="17"/>
      <c r="O173" s="9"/>
      <c r="P173" s="9"/>
      <c r="Q173" s="9"/>
      <c r="R173" s="9"/>
      <c r="S173" s="9"/>
      <c r="T173" s="9"/>
      <c r="U173" s="9"/>
      <c r="V173" s="9"/>
      <c r="W173" s="9"/>
      <c r="X173" s="9"/>
      <c r="Y173" s="9"/>
      <c r="Z173" s="9"/>
      <c r="AA173" s="9"/>
      <c r="AB173" s="9"/>
      <c r="AC173" s="9"/>
      <c r="AD173" s="9"/>
      <c r="AE173" s="9"/>
      <c r="AF173" s="9"/>
      <c r="AG173" s="9"/>
      <c r="AH173" s="9"/>
      <c r="AI173" s="9"/>
      <c r="AJ173" s="9"/>
      <c r="AK173" s="9"/>
      <c r="AL173" s="11"/>
      <c r="AM173" s="11"/>
      <c r="AN173" s="11"/>
    </row>
    <row r="174" spans="2:40">
      <c r="B174" s="7" t="str">
        <f>[6]DCF!A36</f>
        <v>Equity premium</v>
      </c>
      <c r="C174" s="29">
        <f>'DCF and Valuation'!B42</f>
        <v>0.04</v>
      </c>
      <c r="D174" s="17"/>
      <c r="E174" s="17"/>
      <c r="F174" s="9"/>
      <c r="G174" s="10"/>
      <c r="H174" s="10"/>
      <c r="I174" s="10"/>
      <c r="J174" s="17"/>
      <c r="K174" s="17"/>
      <c r="L174" s="17"/>
      <c r="M174" s="17"/>
      <c r="N174" s="17"/>
      <c r="O174" s="9"/>
      <c r="P174" s="9"/>
      <c r="Q174" s="9"/>
      <c r="R174" s="9"/>
      <c r="S174" s="9"/>
      <c r="T174" s="9"/>
      <c r="U174" s="9"/>
      <c r="V174" s="9"/>
      <c r="W174" s="9"/>
      <c r="X174" s="9"/>
      <c r="Y174" s="9"/>
      <c r="Z174" s="9"/>
      <c r="AA174" s="9"/>
      <c r="AB174" s="9"/>
      <c r="AC174" s="9"/>
      <c r="AD174" s="9"/>
      <c r="AE174" s="9"/>
      <c r="AF174" s="9"/>
      <c r="AG174" s="9"/>
      <c r="AH174" s="9"/>
      <c r="AI174" s="9"/>
      <c r="AJ174" s="9"/>
      <c r="AK174" s="9"/>
      <c r="AL174" s="11"/>
      <c r="AM174" s="11"/>
      <c r="AN174" s="11"/>
    </row>
    <row r="175" spans="2:40">
      <c r="B175" s="7" t="str">
        <f>[6]DCF!A37</f>
        <v>Debt Premium</v>
      </c>
      <c r="C175" s="29">
        <f>'DCF and Valuation'!B43</f>
        <v>0.03</v>
      </c>
      <c r="D175" s="17"/>
      <c r="E175" s="17"/>
      <c r="F175" s="9"/>
      <c r="G175" s="10"/>
      <c r="H175" s="10"/>
      <c r="I175" s="10"/>
      <c r="J175" s="17"/>
      <c r="K175" s="17"/>
      <c r="L175" s="17"/>
      <c r="M175" s="17"/>
      <c r="N175" s="17"/>
      <c r="O175" s="9"/>
      <c r="P175" s="9"/>
      <c r="Q175" s="9"/>
      <c r="R175" s="9"/>
      <c r="S175" s="9"/>
      <c r="T175" s="9"/>
      <c r="U175" s="9"/>
      <c r="V175" s="9"/>
      <c r="W175" s="9"/>
      <c r="X175" s="9"/>
      <c r="Y175" s="9"/>
      <c r="Z175" s="9"/>
      <c r="AA175" s="9"/>
      <c r="AB175" s="9"/>
      <c r="AC175" s="9"/>
      <c r="AD175" s="9"/>
      <c r="AE175" s="9"/>
      <c r="AF175" s="9"/>
      <c r="AG175" s="9"/>
      <c r="AH175" s="9"/>
      <c r="AI175" s="9"/>
      <c r="AJ175" s="9"/>
      <c r="AK175" s="9"/>
      <c r="AL175" s="11"/>
      <c r="AM175" s="11"/>
      <c r="AN175" s="11"/>
    </row>
    <row r="176" spans="2:40">
      <c r="B176" s="7" t="str">
        <f>[6]DCF!A38</f>
        <v>Cost of Equity</v>
      </c>
      <c r="C176" s="29">
        <f>'DCF and Valuation'!B44</f>
        <v>7.9000000000000001E-2</v>
      </c>
      <c r="D176" s="17"/>
      <c r="E176" s="17"/>
      <c r="F176" s="9"/>
      <c r="G176" s="10"/>
      <c r="H176" s="10"/>
      <c r="I176" s="10"/>
      <c r="J176" s="17"/>
      <c r="K176" s="17"/>
      <c r="L176" s="17"/>
      <c r="M176" s="17"/>
      <c r="N176" s="17"/>
      <c r="O176" s="9"/>
      <c r="P176" s="9"/>
      <c r="Q176" s="9"/>
      <c r="R176" s="9"/>
      <c r="S176" s="9"/>
      <c r="T176" s="9"/>
      <c r="U176" s="9"/>
      <c r="V176" s="9"/>
      <c r="W176" s="9"/>
      <c r="X176" s="9"/>
      <c r="Y176" s="9"/>
      <c r="Z176" s="9"/>
      <c r="AA176" s="9"/>
      <c r="AB176" s="9"/>
      <c r="AC176" s="9"/>
      <c r="AD176" s="9"/>
      <c r="AE176" s="9"/>
      <c r="AF176" s="9"/>
      <c r="AG176" s="9"/>
      <c r="AH176" s="9"/>
      <c r="AI176" s="9"/>
      <c r="AJ176" s="9"/>
      <c r="AK176" s="9"/>
      <c r="AL176" s="11"/>
      <c r="AM176" s="11"/>
      <c r="AN176" s="11"/>
    </row>
    <row r="177" spans="2:40">
      <c r="B177" s="7" t="str">
        <f>[6]DCF!A39</f>
        <v>Cost of Debt</v>
      </c>
      <c r="C177" s="29">
        <f>'DCF and Valuation'!B45</f>
        <v>5.1750000000000004E-2</v>
      </c>
      <c r="D177" s="17"/>
      <c r="E177" s="17"/>
      <c r="F177" s="9"/>
      <c r="G177" s="10"/>
      <c r="H177" s="10"/>
      <c r="I177" s="10"/>
      <c r="J177" s="17"/>
      <c r="K177" s="17"/>
      <c r="L177" s="17"/>
      <c r="M177" s="17"/>
      <c r="N177" s="17"/>
      <c r="O177" s="9"/>
      <c r="P177" s="9"/>
      <c r="Q177" s="9"/>
      <c r="R177" s="9"/>
      <c r="S177" s="9"/>
      <c r="T177" s="9"/>
      <c r="U177" s="9"/>
      <c r="V177" s="9"/>
      <c r="W177" s="9"/>
      <c r="X177" s="9"/>
      <c r="Y177" s="9"/>
      <c r="Z177" s="9"/>
      <c r="AA177" s="9"/>
      <c r="AB177" s="9"/>
      <c r="AC177" s="9"/>
      <c r="AD177" s="9"/>
      <c r="AE177" s="9"/>
      <c r="AF177" s="9"/>
      <c r="AG177" s="9"/>
      <c r="AH177" s="9"/>
      <c r="AI177" s="9"/>
      <c r="AJ177" s="9"/>
      <c r="AK177" s="9"/>
      <c r="AL177" s="11"/>
      <c r="AM177" s="11"/>
      <c r="AN177" s="11"/>
    </row>
    <row r="178" spans="2:40">
      <c r="B178" s="7" t="str">
        <f>[6]DCF!A40</f>
        <v>Debt/Equity</v>
      </c>
      <c r="C178" s="29">
        <f>'DCF and Valuation'!B46</f>
        <v>0.3</v>
      </c>
      <c r="D178" s="17"/>
      <c r="E178" s="17"/>
      <c r="F178" s="17"/>
      <c r="G178" s="10"/>
      <c r="H178" s="10"/>
      <c r="I178" s="10"/>
      <c r="J178" s="17"/>
      <c r="K178" s="17"/>
      <c r="L178" s="17"/>
      <c r="M178" s="17"/>
      <c r="N178" s="17"/>
      <c r="O178" s="9"/>
      <c r="P178" s="9"/>
      <c r="Q178" s="9"/>
      <c r="R178" s="9"/>
      <c r="S178" s="9"/>
      <c r="T178" s="9"/>
      <c r="U178" s="9"/>
      <c r="V178" s="9"/>
      <c r="W178" s="9"/>
      <c r="X178" s="9"/>
      <c r="Y178" s="9"/>
      <c r="Z178" s="9"/>
      <c r="AA178" s="9"/>
      <c r="AB178" s="9"/>
      <c r="AC178" s="9"/>
      <c r="AD178" s="9"/>
      <c r="AE178" s="9"/>
      <c r="AF178" s="9"/>
      <c r="AG178" s="9"/>
      <c r="AH178" s="9"/>
      <c r="AI178" s="9"/>
      <c r="AJ178" s="9"/>
      <c r="AK178" s="9"/>
      <c r="AL178" s="11"/>
      <c r="AM178" s="11"/>
      <c r="AN178" s="11"/>
    </row>
    <row r="179" spans="2:40">
      <c r="B179" s="7" t="str">
        <f>[6]DCF!A41</f>
        <v>WACC</v>
      </c>
      <c r="C179" s="29">
        <f>'DCF and Valuation'!B47</f>
        <v>7.0824999999999999E-2</v>
      </c>
      <c r="D179" s="17"/>
      <c r="E179" s="17"/>
      <c r="F179" s="17"/>
      <c r="G179" s="10"/>
      <c r="H179" s="10"/>
      <c r="I179" s="10"/>
      <c r="J179" s="17"/>
      <c r="K179" s="17"/>
      <c r="L179" s="17"/>
      <c r="M179" s="17"/>
      <c r="N179" s="17"/>
      <c r="O179" s="9"/>
      <c r="P179" s="9"/>
      <c r="Q179" s="9"/>
      <c r="R179" s="9"/>
      <c r="S179" s="9"/>
      <c r="T179" s="9"/>
      <c r="U179" s="9"/>
      <c r="V179" s="9"/>
      <c r="W179" s="9"/>
      <c r="X179" s="9"/>
      <c r="Y179" s="9"/>
      <c r="Z179" s="9"/>
      <c r="AA179" s="9"/>
      <c r="AB179" s="9"/>
      <c r="AC179" s="9"/>
      <c r="AD179" s="9"/>
      <c r="AE179" s="9"/>
      <c r="AF179" s="9"/>
      <c r="AG179" s="9"/>
      <c r="AH179" s="9"/>
      <c r="AI179" s="9"/>
      <c r="AJ179" s="9"/>
      <c r="AK179" s="9"/>
      <c r="AL179" s="11"/>
      <c r="AM179" s="11"/>
      <c r="AN179" s="11"/>
    </row>
    <row r="180" spans="2:40">
      <c r="B180" s="7" t="str">
        <f>[6]DCF!A42</f>
        <v>Terminal growth</v>
      </c>
      <c r="C180" s="29">
        <f>'DCF and Valuation'!B48</f>
        <v>2.5000000000000001E-2</v>
      </c>
      <c r="D180" s="17"/>
      <c r="E180" s="17"/>
      <c r="F180" s="17"/>
      <c r="G180" s="17"/>
      <c r="H180" s="17"/>
      <c r="I180" s="17"/>
      <c r="J180" s="17"/>
      <c r="K180" s="17"/>
      <c r="L180" s="17"/>
      <c r="M180" s="17"/>
      <c r="N180" s="17"/>
      <c r="O180" s="9"/>
      <c r="P180" s="9"/>
      <c r="Q180" s="9"/>
      <c r="R180" s="9"/>
      <c r="S180" s="9"/>
      <c r="T180" s="9"/>
      <c r="U180" s="9"/>
      <c r="V180" s="9"/>
      <c r="W180" s="9"/>
      <c r="X180" s="9"/>
      <c r="Y180" s="9"/>
      <c r="Z180" s="9"/>
      <c r="AA180" s="9"/>
      <c r="AB180" s="9"/>
      <c r="AC180" s="9"/>
      <c r="AD180" s="9"/>
      <c r="AE180" s="9"/>
      <c r="AF180" s="9"/>
      <c r="AG180" s="9"/>
      <c r="AH180" s="9"/>
      <c r="AI180" s="9"/>
      <c r="AJ180" s="9"/>
      <c r="AK180" s="9"/>
      <c r="AL180" s="11"/>
      <c r="AM180" s="11"/>
      <c r="AN180" s="11"/>
    </row>
    <row r="181" spans="2:40">
      <c r="C181" s="17"/>
      <c r="D181" s="17"/>
      <c r="E181" s="17"/>
      <c r="F181" s="17"/>
      <c r="G181" s="17"/>
      <c r="H181" s="17"/>
      <c r="I181" s="17"/>
      <c r="J181" s="17"/>
      <c r="K181" s="17"/>
      <c r="L181" s="17"/>
      <c r="M181" s="17"/>
      <c r="N181" s="17"/>
      <c r="O181" s="9"/>
      <c r="P181" s="9"/>
      <c r="Q181" s="9"/>
      <c r="R181" s="9"/>
      <c r="S181" s="9"/>
      <c r="T181" s="9"/>
      <c r="U181" s="9"/>
      <c r="V181" s="9"/>
      <c r="W181" s="9"/>
      <c r="X181" s="9"/>
      <c r="Y181" s="9"/>
      <c r="Z181" s="9"/>
      <c r="AA181" s="9"/>
      <c r="AB181" s="9"/>
      <c r="AC181" s="9"/>
      <c r="AD181" s="9"/>
      <c r="AE181" s="9"/>
      <c r="AF181" s="9"/>
      <c r="AG181" s="9"/>
      <c r="AH181" s="9"/>
      <c r="AI181" s="9"/>
      <c r="AJ181" s="9"/>
      <c r="AK181" s="9"/>
      <c r="AL181" s="11"/>
      <c r="AM181" s="11"/>
      <c r="AN181" s="11"/>
    </row>
    <row r="182" spans="2:40">
      <c r="C182" s="17"/>
      <c r="D182" s="17"/>
      <c r="E182" s="17"/>
      <c r="F182" s="17"/>
      <c r="G182" s="17"/>
      <c r="H182" s="17"/>
      <c r="I182" s="17"/>
      <c r="J182" s="17"/>
      <c r="K182" s="17"/>
      <c r="L182" s="17"/>
      <c r="M182" s="17"/>
      <c r="N182" s="17"/>
      <c r="O182" s="9"/>
      <c r="P182" s="9"/>
      <c r="Q182" s="9"/>
      <c r="R182" s="9"/>
      <c r="S182" s="9"/>
      <c r="T182" s="9"/>
      <c r="U182" s="9"/>
      <c r="V182" s="9"/>
      <c r="W182" s="9"/>
      <c r="X182" s="9"/>
      <c r="Y182" s="9"/>
      <c r="Z182" s="9"/>
      <c r="AA182" s="9"/>
      <c r="AB182" s="9"/>
      <c r="AC182" s="9"/>
      <c r="AD182" s="9"/>
      <c r="AE182" s="9"/>
      <c r="AF182" s="9"/>
      <c r="AG182" s="9"/>
      <c r="AH182" s="9"/>
      <c r="AI182" s="9"/>
      <c r="AJ182" s="9"/>
      <c r="AK182" s="9"/>
      <c r="AL182" s="11"/>
      <c r="AM182" s="11"/>
      <c r="AN182" s="11"/>
    </row>
    <row r="183" spans="2:40">
      <c r="C183" s="17"/>
      <c r="D183" s="17"/>
      <c r="E183" s="17"/>
      <c r="F183" s="17"/>
      <c r="G183" s="17"/>
      <c r="H183" s="17"/>
      <c r="I183" s="17"/>
      <c r="J183" s="17"/>
      <c r="K183" s="17"/>
      <c r="L183" s="17"/>
      <c r="M183" s="17"/>
      <c r="N183" s="17"/>
      <c r="O183" s="9"/>
      <c r="P183" s="9"/>
      <c r="Q183" s="9"/>
      <c r="R183" s="9"/>
      <c r="S183" s="9"/>
      <c r="T183" s="9"/>
      <c r="U183" s="9"/>
      <c r="V183" s="9"/>
      <c r="W183" s="9"/>
      <c r="X183" s="9"/>
      <c r="Y183" s="9"/>
      <c r="Z183" s="9"/>
      <c r="AA183" s="9"/>
      <c r="AB183" s="9"/>
      <c r="AC183" s="9"/>
      <c r="AD183" s="9"/>
      <c r="AE183" s="9"/>
      <c r="AF183" s="9"/>
      <c r="AG183" s="9"/>
      <c r="AH183" s="9"/>
      <c r="AI183" s="9"/>
      <c r="AJ183" s="9"/>
      <c r="AK183" s="9"/>
      <c r="AL183" s="11"/>
      <c r="AM183" s="11"/>
      <c r="AN183" s="11"/>
    </row>
    <row r="184" spans="2:40">
      <c r="C184" s="9"/>
      <c r="D184" s="9"/>
      <c r="E184" s="31"/>
      <c r="F184" s="31"/>
      <c r="G184" s="31"/>
      <c r="H184" s="31"/>
      <c r="I184" s="31"/>
      <c r="J184" s="31"/>
      <c r="K184" s="31"/>
      <c r="L184" s="31"/>
      <c r="M184" s="31"/>
      <c r="N184" s="31"/>
      <c r="O184" s="31"/>
      <c r="P184" s="31"/>
      <c r="Q184" s="31"/>
      <c r="R184" s="31"/>
      <c r="S184" s="31"/>
      <c r="T184" s="31"/>
      <c r="U184" s="31"/>
      <c r="V184" s="31"/>
      <c r="W184" s="31"/>
      <c r="X184" s="9"/>
      <c r="Y184" s="9"/>
      <c r="Z184" s="9"/>
      <c r="AA184" s="9"/>
      <c r="AB184" s="9"/>
      <c r="AC184" s="9"/>
      <c r="AD184" s="9"/>
      <c r="AE184" s="9"/>
      <c r="AF184" s="9"/>
      <c r="AG184" s="9"/>
      <c r="AH184" s="9"/>
      <c r="AI184" s="9"/>
      <c r="AJ184" s="9"/>
      <c r="AK184" s="9"/>
      <c r="AL184" s="11"/>
      <c r="AM184" s="11"/>
      <c r="AN184" s="11"/>
    </row>
    <row r="185" spans="2:40">
      <c r="C185" s="9"/>
      <c r="D185" s="9"/>
      <c r="E185" s="31"/>
      <c r="F185" s="31"/>
      <c r="G185" s="31"/>
      <c r="H185" s="31"/>
      <c r="I185" s="31"/>
      <c r="J185" s="31"/>
      <c r="K185" s="31"/>
      <c r="L185" s="31"/>
      <c r="M185" s="31"/>
      <c r="N185" s="31"/>
      <c r="O185" s="9"/>
      <c r="P185" s="9"/>
      <c r="Q185" s="9"/>
      <c r="R185" s="9"/>
      <c r="S185" s="9"/>
      <c r="T185" s="9"/>
      <c r="U185" s="9"/>
      <c r="V185" s="9"/>
      <c r="W185" s="9"/>
      <c r="X185" s="9"/>
      <c r="Y185" s="9"/>
      <c r="Z185" s="9"/>
      <c r="AA185" s="9"/>
      <c r="AB185" s="9"/>
      <c r="AC185" s="9"/>
      <c r="AD185" s="9"/>
      <c r="AE185" s="9"/>
      <c r="AF185" s="9"/>
      <c r="AG185" s="9"/>
      <c r="AH185" s="9"/>
      <c r="AI185" s="9"/>
      <c r="AJ185" s="9"/>
      <c r="AK185" s="9"/>
      <c r="AL185" s="11"/>
      <c r="AM185" s="11"/>
      <c r="AN185" s="11"/>
    </row>
    <row r="186" spans="2:40">
      <c r="C186" s="9"/>
      <c r="D186" s="9"/>
      <c r="E186" s="32"/>
      <c r="F186" s="32"/>
      <c r="G186" s="32"/>
      <c r="H186" s="32"/>
      <c r="I186" s="32"/>
      <c r="J186" s="32"/>
      <c r="K186" s="32"/>
      <c r="L186" s="32"/>
      <c r="M186" s="32"/>
      <c r="N186" s="32"/>
      <c r="O186" s="9"/>
      <c r="P186" s="9"/>
      <c r="Q186" s="9"/>
      <c r="R186" s="9"/>
      <c r="S186" s="9"/>
      <c r="T186" s="9"/>
      <c r="U186" s="9"/>
      <c r="V186" s="9"/>
      <c r="W186" s="9"/>
      <c r="X186" s="9"/>
      <c r="Y186" s="9"/>
      <c r="Z186" s="9"/>
      <c r="AA186" s="9"/>
      <c r="AB186" s="9"/>
      <c r="AC186" s="9"/>
      <c r="AD186" s="9"/>
      <c r="AE186" s="9"/>
      <c r="AF186" s="9"/>
      <c r="AG186" s="9"/>
      <c r="AH186" s="9"/>
      <c r="AI186" s="9"/>
      <c r="AJ186" s="9"/>
      <c r="AK186" s="9"/>
      <c r="AL186" s="11"/>
      <c r="AM186" s="11"/>
      <c r="AN186" s="11"/>
    </row>
    <row r="187" spans="2:40">
      <c r="C187" s="9"/>
      <c r="D187" s="9"/>
      <c r="E187" s="32"/>
      <c r="F187" s="32"/>
      <c r="G187" s="32"/>
      <c r="H187" s="32"/>
      <c r="I187" s="32"/>
      <c r="J187" s="32"/>
      <c r="K187" s="32"/>
      <c r="L187" s="32"/>
      <c r="M187" s="32"/>
      <c r="N187" s="32"/>
      <c r="O187" s="9"/>
      <c r="P187" s="9"/>
      <c r="Q187" s="9"/>
      <c r="R187" s="9"/>
      <c r="S187" s="9"/>
      <c r="T187" s="9"/>
      <c r="U187" s="9"/>
      <c r="V187" s="9"/>
      <c r="W187" s="9"/>
      <c r="X187" s="9"/>
      <c r="Y187" s="9"/>
      <c r="Z187" s="9"/>
      <c r="AA187" s="9"/>
      <c r="AB187" s="9"/>
      <c r="AC187" s="9"/>
      <c r="AD187" s="9"/>
      <c r="AE187" s="9"/>
      <c r="AF187" s="9"/>
      <c r="AG187" s="9"/>
      <c r="AH187" s="9"/>
      <c r="AI187" s="9"/>
      <c r="AJ187" s="9"/>
      <c r="AK187" s="9"/>
      <c r="AL187" s="11"/>
      <c r="AM187" s="11"/>
      <c r="AN187" s="11"/>
    </row>
    <row r="188" spans="2:40">
      <c r="C188" s="9"/>
      <c r="D188" s="9"/>
      <c r="E188" s="32"/>
      <c r="F188" s="32"/>
      <c r="G188" s="32"/>
      <c r="H188" s="32"/>
      <c r="I188" s="32"/>
      <c r="J188" s="32"/>
      <c r="K188" s="32"/>
      <c r="L188" s="32"/>
      <c r="M188" s="32"/>
      <c r="N188" s="32"/>
      <c r="O188" s="9"/>
      <c r="P188" s="9"/>
      <c r="Q188" s="9"/>
      <c r="R188" s="9"/>
      <c r="S188" s="9"/>
      <c r="T188" s="9"/>
      <c r="U188" s="9"/>
      <c r="V188" s="9"/>
      <c r="W188" s="9"/>
      <c r="X188" s="9"/>
      <c r="Y188" s="9"/>
      <c r="Z188" s="9"/>
      <c r="AA188" s="9"/>
      <c r="AB188" s="9"/>
      <c r="AC188" s="9"/>
      <c r="AD188" s="9"/>
      <c r="AE188" s="9"/>
      <c r="AF188" s="9"/>
      <c r="AG188" s="9"/>
      <c r="AH188" s="9"/>
      <c r="AI188" s="9"/>
      <c r="AJ188" s="9"/>
      <c r="AK188" s="9"/>
      <c r="AL188" s="11"/>
      <c r="AM188" s="11"/>
      <c r="AN188" s="11"/>
    </row>
    <row r="189" spans="2:40">
      <c r="C189" s="9"/>
      <c r="D189" s="9"/>
      <c r="E189" s="32"/>
      <c r="F189" s="32"/>
      <c r="G189" s="32"/>
      <c r="H189" s="32"/>
      <c r="I189" s="32"/>
      <c r="J189" s="32"/>
      <c r="K189" s="32"/>
      <c r="L189" s="32"/>
      <c r="M189" s="32"/>
      <c r="N189" s="32"/>
      <c r="O189" s="9"/>
      <c r="P189" s="9"/>
      <c r="Q189" s="9"/>
      <c r="R189" s="9"/>
      <c r="S189" s="9"/>
      <c r="T189" s="9"/>
      <c r="U189" s="9"/>
      <c r="V189" s="9"/>
      <c r="W189" s="9"/>
      <c r="X189" s="9"/>
      <c r="Y189" s="9"/>
      <c r="Z189" s="9"/>
      <c r="AA189" s="9"/>
      <c r="AB189" s="9"/>
      <c r="AC189" s="9"/>
      <c r="AD189" s="9"/>
      <c r="AE189" s="9"/>
      <c r="AF189" s="9"/>
      <c r="AG189" s="9"/>
      <c r="AH189" s="9"/>
      <c r="AI189" s="9"/>
      <c r="AJ189" s="9"/>
      <c r="AK189" s="9"/>
      <c r="AL189" s="11"/>
      <c r="AM189" s="11"/>
      <c r="AN189" s="11"/>
    </row>
    <row r="190" spans="2:40">
      <c r="C190" s="9"/>
      <c r="D190" s="9"/>
      <c r="E190" s="32"/>
      <c r="F190" s="32"/>
      <c r="G190" s="32"/>
      <c r="H190" s="32"/>
      <c r="I190" s="32"/>
      <c r="J190" s="32"/>
      <c r="K190" s="32"/>
      <c r="L190" s="32"/>
      <c r="M190" s="32"/>
      <c r="N190" s="32"/>
      <c r="O190" s="9"/>
      <c r="P190" s="9"/>
      <c r="Q190" s="9"/>
      <c r="R190" s="9"/>
      <c r="S190" s="9"/>
      <c r="T190" s="9"/>
      <c r="U190" s="9"/>
      <c r="V190" s="9"/>
      <c r="W190" s="9"/>
      <c r="X190" s="9"/>
      <c r="Y190" s="9"/>
      <c r="Z190" s="9"/>
      <c r="AA190" s="9"/>
      <c r="AB190" s="9"/>
      <c r="AC190" s="9"/>
      <c r="AD190" s="9"/>
      <c r="AE190" s="9"/>
      <c r="AF190" s="9"/>
      <c r="AG190" s="9"/>
      <c r="AH190" s="9"/>
      <c r="AI190" s="9"/>
      <c r="AJ190" s="9"/>
      <c r="AK190" s="9"/>
      <c r="AL190" s="11"/>
      <c r="AM190" s="11"/>
      <c r="AN190" s="11"/>
    </row>
    <row r="191" spans="2:40">
      <c r="C191" s="9"/>
      <c r="D191" s="9"/>
      <c r="E191" s="32"/>
      <c r="F191" s="32"/>
      <c r="G191" s="32"/>
      <c r="H191" s="32"/>
      <c r="I191" s="32"/>
      <c r="J191" s="32"/>
      <c r="K191" s="32"/>
      <c r="L191" s="32"/>
      <c r="M191" s="32"/>
      <c r="N191" s="32"/>
      <c r="O191" s="9"/>
      <c r="P191" s="9"/>
      <c r="Q191" s="9"/>
      <c r="R191" s="9"/>
      <c r="S191" s="9"/>
      <c r="T191" s="9"/>
      <c r="U191" s="9"/>
      <c r="V191" s="9"/>
      <c r="W191" s="9"/>
      <c r="X191" s="9"/>
      <c r="Y191" s="9"/>
      <c r="Z191" s="9"/>
      <c r="AA191" s="9"/>
      <c r="AB191" s="9"/>
      <c r="AC191" s="9"/>
      <c r="AD191" s="9"/>
      <c r="AE191" s="9"/>
      <c r="AF191" s="9"/>
      <c r="AG191" s="9"/>
      <c r="AH191" s="9"/>
      <c r="AI191" s="9"/>
      <c r="AJ191" s="9"/>
      <c r="AK191" s="9"/>
      <c r="AL191" s="11"/>
      <c r="AM191" s="11"/>
      <c r="AN191" s="11"/>
    </row>
    <row r="192" spans="2:40">
      <c r="C192" s="9"/>
      <c r="D192" s="9"/>
      <c r="E192" s="32"/>
      <c r="F192" s="32"/>
      <c r="G192" s="32"/>
      <c r="H192" s="32"/>
      <c r="I192" s="32"/>
      <c r="J192" s="32"/>
      <c r="K192" s="32"/>
      <c r="L192" s="32"/>
      <c r="M192" s="32"/>
      <c r="N192" s="32"/>
      <c r="O192" s="9"/>
      <c r="P192" s="9"/>
      <c r="Q192" s="9"/>
      <c r="R192" s="9"/>
      <c r="S192" s="9"/>
      <c r="T192" s="9"/>
      <c r="U192" s="9"/>
      <c r="V192" s="9"/>
      <c r="W192" s="9"/>
      <c r="X192" s="9"/>
      <c r="Y192" s="9"/>
      <c r="Z192" s="9"/>
      <c r="AA192" s="9"/>
      <c r="AB192" s="9"/>
      <c r="AC192" s="9"/>
      <c r="AD192" s="9"/>
      <c r="AE192" s="9"/>
      <c r="AF192" s="9"/>
      <c r="AG192" s="9"/>
      <c r="AH192" s="9"/>
      <c r="AI192" s="9"/>
      <c r="AJ192" s="9"/>
      <c r="AK192" s="9"/>
      <c r="AL192" s="11"/>
      <c r="AM192" s="11"/>
      <c r="AN192" s="11"/>
    </row>
    <row r="193" spans="2:40">
      <c r="C193" s="9"/>
      <c r="D193" s="9"/>
      <c r="E193" s="32"/>
      <c r="F193" s="32"/>
      <c r="G193" s="32"/>
      <c r="H193" s="32"/>
      <c r="I193" s="32"/>
      <c r="J193" s="32"/>
      <c r="K193" s="32"/>
      <c r="L193" s="32"/>
      <c r="M193" s="32"/>
      <c r="N193" s="32"/>
      <c r="O193" s="9"/>
      <c r="P193" s="9"/>
      <c r="Q193" s="9"/>
      <c r="R193" s="9"/>
      <c r="S193" s="9"/>
      <c r="T193" s="9"/>
      <c r="U193" s="9"/>
      <c r="V193" s="9"/>
      <c r="W193" s="9"/>
      <c r="X193" s="9"/>
      <c r="Y193" s="9"/>
      <c r="Z193" s="9"/>
      <c r="AA193" s="9"/>
      <c r="AB193" s="9"/>
      <c r="AC193" s="9"/>
      <c r="AD193" s="9"/>
      <c r="AE193" s="9"/>
      <c r="AF193" s="9"/>
      <c r="AG193" s="9"/>
      <c r="AH193" s="9"/>
      <c r="AI193" s="9"/>
      <c r="AJ193" s="9"/>
      <c r="AK193" s="9"/>
      <c r="AL193" s="11"/>
      <c r="AM193" s="11"/>
      <c r="AN193" s="11"/>
    </row>
    <row r="194" spans="2:40">
      <c r="C194" s="9"/>
      <c r="D194" s="9"/>
      <c r="E194" s="32"/>
      <c r="F194" s="32"/>
      <c r="G194" s="32"/>
      <c r="H194" s="32"/>
      <c r="I194" s="32"/>
      <c r="J194" s="32"/>
      <c r="K194" s="32"/>
      <c r="L194" s="32"/>
      <c r="M194" s="32"/>
      <c r="N194" s="32"/>
      <c r="O194" s="9"/>
      <c r="P194" s="9"/>
      <c r="Q194" s="9"/>
      <c r="R194" s="9"/>
      <c r="S194" s="9"/>
      <c r="T194" s="9"/>
      <c r="U194" s="9"/>
      <c r="V194" s="9"/>
      <c r="W194" s="9"/>
      <c r="X194" s="9"/>
      <c r="Y194" s="9"/>
      <c r="Z194" s="9"/>
      <c r="AA194" s="9"/>
      <c r="AB194" s="9"/>
      <c r="AC194" s="9"/>
      <c r="AD194" s="9"/>
      <c r="AE194" s="9"/>
      <c r="AF194" s="9"/>
      <c r="AG194" s="9"/>
      <c r="AH194" s="9"/>
      <c r="AI194" s="9"/>
      <c r="AJ194" s="9"/>
      <c r="AK194" s="9"/>
      <c r="AL194" s="11"/>
      <c r="AM194" s="11"/>
      <c r="AN194" s="11"/>
    </row>
    <row r="195" spans="2:40">
      <c r="C195" s="9"/>
      <c r="D195" s="9"/>
      <c r="E195" s="32"/>
      <c r="F195" s="32"/>
      <c r="G195" s="32"/>
      <c r="H195" s="32"/>
      <c r="I195" s="32"/>
      <c r="J195" s="32"/>
      <c r="K195" s="32"/>
      <c r="L195" s="32"/>
      <c r="M195" s="32"/>
      <c r="N195" s="32"/>
      <c r="O195" s="9"/>
      <c r="P195" s="9"/>
      <c r="Q195" s="9"/>
      <c r="R195" s="9"/>
      <c r="S195" s="9"/>
      <c r="T195" s="9"/>
      <c r="U195" s="9"/>
      <c r="V195" s="9"/>
      <c r="W195" s="9"/>
      <c r="X195" s="9"/>
      <c r="Y195" s="9"/>
      <c r="Z195" s="9"/>
      <c r="AA195" s="9"/>
      <c r="AB195" s="9"/>
      <c r="AC195" s="9"/>
      <c r="AD195" s="9"/>
      <c r="AE195" s="9"/>
      <c r="AF195" s="9"/>
      <c r="AG195" s="9"/>
      <c r="AH195" s="9"/>
      <c r="AI195" s="9"/>
      <c r="AJ195" s="9"/>
      <c r="AK195" s="9"/>
      <c r="AL195" s="11"/>
      <c r="AM195" s="11"/>
      <c r="AN195" s="11"/>
    </row>
    <row r="196" spans="2:40">
      <c r="C196" s="9"/>
      <c r="D196" s="9"/>
      <c r="E196" s="32"/>
      <c r="F196" s="32"/>
      <c r="G196" s="32"/>
      <c r="H196" s="32"/>
      <c r="I196" s="32"/>
      <c r="J196" s="32"/>
      <c r="K196" s="32"/>
      <c r="L196" s="32"/>
      <c r="M196" s="32"/>
      <c r="N196" s="32"/>
      <c r="O196" s="9"/>
      <c r="P196" s="9"/>
      <c r="Q196" s="9"/>
      <c r="R196" s="9"/>
      <c r="S196" s="9"/>
      <c r="T196" s="9"/>
      <c r="U196" s="9"/>
      <c r="V196" s="9"/>
      <c r="W196" s="9"/>
      <c r="X196" s="9"/>
      <c r="Y196" s="9"/>
      <c r="Z196" s="9"/>
      <c r="AA196" s="9"/>
      <c r="AB196" s="9"/>
      <c r="AC196" s="9"/>
      <c r="AD196" s="9"/>
      <c r="AE196" s="9"/>
      <c r="AF196" s="9"/>
      <c r="AG196" s="9"/>
      <c r="AH196" s="9"/>
      <c r="AI196" s="9"/>
      <c r="AJ196" s="9"/>
      <c r="AK196" s="9"/>
      <c r="AL196" s="11"/>
      <c r="AM196" s="11"/>
      <c r="AN196" s="11"/>
    </row>
    <row r="197" spans="2:40">
      <c r="C197" s="9"/>
      <c r="D197" s="9"/>
      <c r="E197" s="32"/>
      <c r="F197" s="32"/>
      <c r="G197" s="32"/>
      <c r="H197" s="32"/>
      <c r="I197" s="32"/>
      <c r="J197" s="32"/>
      <c r="K197" s="32"/>
      <c r="L197" s="32"/>
      <c r="M197" s="32"/>
      <c r="N197" s="32"/>
      <c r="O197" s="9"/>
      <c r="P197" s="9"/>
      <c r="Q197" s="9"/>
      <c r="R197" s="9"/>
      <c r="S197" s="9"/>
      <c r="T197" s="9"/>
      <c r="U197" s="9"/>
      <c r="V197" s="9"/>
      <c r="W197" s="9"/>
      <c r="X197" s="9"/>
      <c r="Y197" s="9"/>
      <c r="Z197" s="9"/>
      <c r="AA197" s="9"/>
      <c r="AB197" s="9"/>
      <c r="AC197" s="9"/>
      <c r="AD197" s="9"/>
      <c r="AE197" s="9"/>
      <c r="AF197" s="9"/>
      <c r="AG197" s="9"/>
      <c r="AH197" s="9"/>
      <c r="AI197" s="9"/>
      <c r="AJ197" s="9"/>
      <c r="AK197" s="9"/>
      <c r="AL197" s="11"/>
      <c r="AM197" s="11"/>
      <c r="AN197" s="11"/>
    </row>
    <row r="198" spans="2:40">
      <c r="C198" s="9"/>
      <c r="D198" s="9"/>
      <c r="E198" s="32"/>
      <c r="F198" s="32"/>
      <c r="G198" s="32"/>
      <c r="H198" s="32"/>
      <c r="I198" s="32"/>
      <c r="J198" s="32"/>
      <c r="K198" s="32"/>
      <c r="L198" s="32"/>
      <c r="M198" s="32"/>
      <c r="N198" s="32"/>
      <c r="O198" s="9"/>
      <c r="P198" s="9"/>
      <c r="Q198" s="9"/>
      <c r="R198" s="9"/>
      <c r="S198" s="9"/>
      <c r="T198" s="9"/>
      <c r="U198" s="9"/>
      <c r="V198" s="9"/>
      <c r="W198" s="9"/>
      <c r="X198" s="9"/>
      <c r="Y198" s="9"/>
      <c r="Z198" s="9"/>
      <c r="AA198" s="9"/>
      <c r="AB198" s="9"/>
      <c r="AC198" s="9"/>
      <c r="AD198" s="9"/>
      <c r="AE198" s="9"/>
      <c r="AF198" s="9"/>
      <c r="AG198" s="9"/>
      <c r="AH198" s="9"/>
      <c r="AI198" s="9"/>
      <c r="AJ198" s="9"/>
      <c r="AK198" s="9"/>
      <c r="AL198" s="11"/>
      <c r="AM198" s="11"/>
      <c r="AN198" s="11"/>
    </row>
    <row r="199" spans="2:40">
      <c r="C199" s="9"/>
      <c r="D199" s="9"/>
      <c r="E199" s="32"/>
      <c r="F199" s="32"/>
      <c r="G199" s="32"/>
      <c r="H199" s="32"/>
      <c r="I199" s="32"/>
      <c r="J199" s="32"/>
      <c r="K199" s="32"/>
      <c r="L199" s="32"/>
      <c r="M199" s="32"/>
      <c r="N199" s="32"/>
      <c r="O199" s="9"/>
      <c r="P199" s="9"/>
      <c r="Q199" s="9"/>
      <c r="R199" s="9"/>
      <c r="S199" s="9"/>
      <c r="T199" s="9"/>
      <c r="U199" s="9"/>
      <c r="V199" s="9"/>
      <c r="W199" s="9"/>
      <c r="X199" s="9"/>
      <c r="Y199" s="9"/>
      <c r="Z199" s="9"/>
      <c r="AA199" s="9"/>
      <c r="AB199" s="9"/>
      <c r="AC199" s="9"/>
      <c r="AD199" s="9"/>
      <c r="AE199" s="9"/>
      <c r="AF199" s="9"/>
      <c r="AG199" s="9"/>
      <c r="AH199" s="9"/>
      <c r="AI199" s="9"/>
      <c r="AJ199" s="9"/>
      <c r="AK199" s="9"/>
      <c r="AL199" s="11"/>
      <c r="AM199" s="11"/>
      <c r="AN199" s="11"/>
    </row>
    <row r="200" spans="2:40">
      <c r="C200" s="9"/>
      <c r="D200" s="9"/>
      <c r="E200" s="32"/>
      <c r="F200" s="32"/>
      <c r="G200" s="32"/>
      <c r="H200" s="32"/>
      <c r="I200" s="32"/>
      <c r="J200" s="32"/>
      <c r="K200" s="32"/>
      <c r="L200" s="32"/>
      <c r="M200" s="32"/>
      <c r="N200" s="32"/>
      <c r="O200" s="9"/>
      <c r="P200" s="9"/>
      <c r="Q200" s="9"/>
      <c r="R200" s="9"/>
      <c r="S200" s="9"/>
      <c r="T200" s="9"/>
      <c r="U200" s="9"/>
      <c r="V200" s="9"/>
      <c r="W200" s="9"/>
      <c r="X200" s="9"/>
      <c r="Y200" s="9"/>
      <c r="Z200" s="9"/>
      <c r="AA200" s="9"/>
      <c r="AB200" s="9"/>
      <c r="AC200" s="9"/>
      <c r="AD200" s="9"/>
      <c r="AE200" s="9"/>
      <c r="AF200" s="9"/>
      <c r="AG200" s="9"/>
      <c r="AH200" s="9"/>
      <c r="AI200" s="9"/>
      <c r="AJ200" s="9"/>
      <c r="AK200" s="9"/>
      <c r="AL200" s="11"/>
      <c r="AM200" s="11"/>
      <c r="AN200" s="11"/>
    </row>
    <row r="201" spans="2:40">
      <c r="C201" s="9"/>
      <c r="D201" s="9"/>
      <c r="E201" s="32"/>
      <c r="F201" s="32"/>
      <c r="G201" s="32"/>
      <c r="H201" s="32"/>
      <c r="I201" s="32"/>
      <c r="J201" s="32"/>
      <c r="K201" s="32"/>
      <c r="L201" s="32"/>
      <c r="M201" s="32"/>
      <c r="N201" s="32"/>
      <c r="O201" s="9"/>
      <c r="P201" s="9"/>
      <c r="Q201" s="9"/>
      <c r="R201" s="9"/>
      <c r="S201" s="9"/>
      <c r="T201" s="9"/>
      <c r="U201" s="9"/>
      <c r="V201" s="9"/>
      <c r="W201" s="9"/>
      <c r="X201" s="9"/>
      <c r="Y201" s="9"/>
      <c r="Z201" s="9"/>
      <c r="AA201" s="9"/>
      <c r="AB201" s="9"/>
      <c r="AC201" s="9"/>
      <c r="AD201" s="9"/>
      <c r="AE201" s="9"/>
      <c r="AF201" s="9"/>
      <c r="AG201" s="9"/>
      <c r="AH201" s="9"/>
      <c r="AI201" s="9"/>
      <c r="AJ201" s="9"/>
      <c r="AK201" s="9"/>
      <c r="AL201" s="11"/>
      <c r="AM201" s="11"/>
      <c r="AN201" s="11"/>
    </row>
    <row r="202" spans="2:40">
      <c r="C202" s="9"/>
      <c r="D202" s="9"/>
      <c r="E202" s="32"/>
      <c r="F202" s="32"/>
      <c r="G202" s="32"/>
      <c r="H202" s="32"/>
      <c r="I202" s="32"/>
      <c r="J202" s="32"/>
      <c r="K202" s="32"/>
      <c r="L202" s="32"/>
      <c r="M202" s="32"/>
      <c r="N202" s="32"/>
      <c r="O202" s="9"/>
      <c r="P202" s="9"/>
      <c r="Q202" s="9"/>
      <c r="R202" s="9"/>
      <c r="S202" s="9"/>
      <c r="T202" s="9"/>
      <c r="U202" s="9"/>
      <c r="V202" s="9"/>
      <c r="W202" s="9"/>
      <c r="X202" s="9"/>
      <c r="Y202" s="9"/>
      <c r="Z202" s="9"/>
      <c r="AA202" s="9"/>
      <c r="AB202" s="9"/>
      <c r="AC202" s="9"/>
      <c r="AD202" s="9"/>
      <c r="AE202" s="9"/>
      <c r="AF202" s="9"/>
      <c r="AG202" s="9"/>
      <c r="AH202" s="9"/>
      <c r="AI202" s="9"/>
      <c r="AJ202" s="9"/>
      <c r="AK202" s="9"/>
      <c r="AL202" s="11"/>
      <c r="AM202" s="11"/>
      <c r="AN202" s="11"/>
    </row>
    <row r="203" spans="2:40">
      <c r="C203" s="17"/>
      <c r="D203" s="9"/>
      <c r="E203" s="17"/>
      <c r="F203" s="17"/>
      <c r="G203" s="17"/>
      <c r="H203" s="17"/>
      <c r="I203" s="17"/>
      <c r="J203" s="17"/>
      <c r="K203" s="17"/>
      <c r="L203" s="17"/>
      <c r="M203" s="17"/>
      <c r="N203" s="17"/>
      <c r="O203" s="9"/>
      <c r="P203" s="9"/>
      <c r="Q203" s="9"/>
      <c r="R203" s="9"/>
      <c r="S203" s="9"/>
      <c r="T203" s="9"/>
      <c r="U203" s="9"/>
      <c r="V203" s="9"/>
      <c r="W203" s="9"/>
      <c r="X203" s="9"/>
      <c r="Y203" s="9"/>
      <c r="Z203" s="9"/>
      <c r="AA203" s="9"/>
      <c r="AB203" s="9"/>
      <c r="AC203" s="9"/>
      <c r="AD203" s="9"/>
      <c r="AE203" s="9"/>
      <c r="AF203" s="9"/>
      <c r="AG203" s="9"/>
      <c r="AH203" s="9"/>
      <c r="AI203" s="9"/>
      <c r="AJ203" s="9"/>
      <c r="AK203" s="9"/>
      <c r="AL203" s="11"/>
      <c r="AM203" s="11"/>
      <c r="AN203" s="11"/>
    </row>
    <row r="204" spans="2:40">
      <c r="B204" s="33"/>
      <c r="C204" s="17"/>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11"/>
      <c r="AM204" s="11"/>
      <c r="AN204" s="11"/>
    </row>
    <row r="205" spans="2:40">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11"/>
      <c r="AM205" s="11"/>
      <c r="AN205" s="11"/>
    </row>
    <row r="206" spans="2:40">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11"/>
      <c r="AM206" s="11"/>
      <c r="AN206" s="11"/>
    </row>
    <row r="207" spans="2:40">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11"/>
      <c r="AM207" s="11"/>
      <c r="AN207" s="11"/>
    </row>
    <row r="208" spans="2:40">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11"/>
      <c r="AM208" s="11"/>
      <c r="AN208" s="11"/>
    </row>
    <row r="209" spans="1:40">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11"/>
      <c r="AM209" s="11"/>
      <c r="AN209" s="11"/>
    </row>
    <row r="210" spans="1:40">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11"/>
      <c r="AM210" s="11"/>
      <c r="AN210" s="11"/>
    </row>
    <row r="211" spans="1:40">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11"/>
      <c r="AM211" s="11"/>
      <c r="AN211" s="11"/>
    </row>
    <row r="212" spans="1:40">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11"/>
      <c r="AM212" s="11"/>
      <c r="AN212" s="11"/>
    </row>
    <row r="213" spans="1:40">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11"/>
      <c r="AM213" s="11"/>
      <c r="AN213" s="11"/>
    </row>
    <row r="214" spans="1:40">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11"/>
      <c r="AM214" s="11"/>
      <c r="AN214" s="11"/>
    </row>
    <row r="215" spans="1:40">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11"/>
      <c r="AM215" s="11"/>
      <c r="AN215" s="11"/>
    </row>
    <row r="216" spans="1:40">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11"/>
      <c r="AM216" s="11"/>
      <c r="AN216" s="11"/>
    </row>
    <row r="217" spans="1:40">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11"/>
      <c r="AM217" s="11"/>
      <c r="AN217" s="11"/>
    </row>
    <row r="218" spans="1:40">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11"/>
      <c r="AM218" s="11"/>
      <c r="AN218" s="11"/>
    </row>
    <row r="219" spans="1:40">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11"/>
      <c r="AM219" s="11"/>
      <c r="AN219" s="11"/>
    </row>
    <row r="220" spans="1:40">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11"/>
      <c r="AM220" s="11"/>
      <c r="AN220" s="11"/>
    </row>
    <row r="221" spans="1:40">
      <c r="B221" s="34" t="s">
        <v>397</v>
      </c>
      <c r="C221" s="35">
        <f>C$2</f>
        <v>1998</v>
      </c>
      <c r="D221" s="35">
        <f t="shared" ref="D221:AN221" si="67">D$2</f>
        <v>1999</v>
      </c>
      <c r="E221" s="35">
        <f t="shared" si="67"/>
        <v>2000</v>
      </c>
      <c r="F221" s="35">
        <f t="shared" si="67"/>
        <v>2001</v>
      </c>
      <c r="G221" s="35">
        <f t="shared" si="67"/>
        <v>2002</v>
      </c>
      <c r="H221" s="35">
        <f t="shared" si="67"/>
        <v>2003</v>
      </c>
      <c r="I221" s="35">
        <f t="shared" si="67"/>
        <v>2004</v>
      </c>
      <c r="J221" s="35">
        <f t="shared" si="67"/>
        <v>2005</v>
      </c>
      <c r="K221" s="35">
        <f t="shared" si="67"/>
        <v>2006</v>
      </c>
      <c r="L221" s="35">
        <f t="shared" si="67"/>
        <v>2007</v>
      </c>
      <c r="M221" s="35">
        <f t="shared" si="67"/>
        <v>2008</v>
      </c>
      <c r="N221" s="35">
        <f t="shared" si="67"/>
        <v>2009</v>
      </c>
      <c r="O221" s="35">
        <f t="shared" si="67"/>
        <v>2010</v>
      </c>
      <c r="P221" s="35">
        <f t="shared" si="67"/>
        <v>2011</v>
      </c>
      <c r="Q221" s="35">
        <f t="shared" si="67"/>
        <v>2012</v>
      </c>
      <c r="R221" s="35">
        <f t="shared" si="67"/>
        <v>2013</v>
      </c>
      <c r="S221" s="35">
        <f t="shared" si="67"/>
        <v>2014</v>
      </c>
      <c r="T221" s="35">
        <f t="shared" si="67"/>
        <v>2015</v>
      </c>
      <c r="U221" s="35">
        <f t="shared" si="67"/>
        <v>2016</v>
      </c>
      <c r="V221" s="35">
        <f t="shared" si="67"/>
        <v>2017</v>
      </c>
      <c r="W221" s="35">
        <f t="shared" si="67"/>
        <v>2018</v>
      </c>
      <c r="X221" s="35">
        <f t="shared" si="67"/>
        <v>2019</v>
      </c>
      <c r="Y221" s="35">
        <f t="shared" si="67"/>
        <v>2020</v>
      </c>
      <c r="Z221" s="35">
        <f t="shared" si="67"/>
        <v>2021</v>
      </c>
      <c r="AA221" s="35">
        <f t="shared" si="67"/>
        <v>2022</v>
      </c>
      <c r="AB221" s="35">
        <f t="shared" si="67"/>
        <v>2023</v>
      </c>
      <c r="AC221" s="35">
        <f t="shared" si="67"/>
        <v>2024</v>
      </c>
      <c r="AD221" s="35">
        <f t="shared" si="67"/>
        <v>2025</v>
      </c>
      <c r="AE221" s="35">
        <f t="shared" si="67"/>
        <v>2026</v>
      </c>
      <c r="AF221" s="35">
        <f t="shared" si="67"/>
        <v>2027</v>
      </c>
      <c r="AG221" s="35">
        <f t="shared" si="67"/>
        <v>2028</v>
      </c>
      <c r="AH221" s="35">
        <f t="shared" si="67"/>
        <v>2029</v>
      </c>
      <c r="AI221" s="35">
        <f t="shared" si="67"/>
        <v>2030</v>
      </c>
      <c r="AJ221" s="35">
        <f t="shared" si="67"/>
        <v>2031</v>
      </c>
      <c r="AK221" s="35">
        <f t="shared" si="67"/>
        <v>2032</v>
      </c>
      <c r="AL221" s="35">
        <f t="shared" si="67"/>
        <v>2033</v>
      </c>
      <c r="AM221" s="35">
        <f t="shared" si="67"/>
        <v>2034</v>
      </c>
      <c r="AN221" s="35">
        <f t="shared" si="67"/>
        <v>2035</v>
      </c>
    </row>
    <row r="222" spans="1:40" ht="15">
      <c r="A222"/>
      <c r="B222" s="3"/>
      <c r="C222" s="36"/>
      <c r="D222" s="36"/>
      <c r="E222" s="36"/>
      <c r="F222" s="36"/>
      <c r="G222" s="36"/>
      <c r="H222" s="36"/>
      <c r="I222" s="36"/>
      <c r="J222" s="36"/>
      <c r="K222" s="36"/>
      <c r="L222" s="36"/>
      <c r="M222" s="36"/>
      <c r="N222" s="36"/>
      <c r="O222" s="36"/>
      <c r="P222" s="36"/>
      <c r="Q222" s="36"/>
      <c r="R222" s="36"/>
      <c r="S222" s="36"/>
      <c r="T222" s="36"/>
      <c r="U222" s="37"/>
      <c r="V222" s="38"/>
      <c r="W222" s="38"/>
      <c r="X222" s="38"/>
      <c r="Y222" s="38"/>
      <c r="Z222" s="38"/>
      <c r="AA222" s="38"/>
      <c r="AB222" s="38"/>
      <c r="AC222" s="38"/>
      <c r="AD222" s="38"/>
      <c r="AE222" s="38"/>
      <c r="AF222" s="38"/>
      <c r="AG222" s="38"/>
      <c r="AH222" s="38"/>
      <c r="AI222" s="38"/>
      <c r="AJ222" s="38"/>
      <c r="AK222" s="38"/>
      <c r="AL222" s="39"/>
      <c r="AM222" s="39"/>
      <c r="AN222" s="39"/>
    </row>
    <row r="223" spans="1:40" ht="15">
      <c r="A223"/>
      <c r="B223" s="40" t="s">
        <v>53</v>
      </c>
      <c r="C223" s="36"/>
      <c r="D223" s="36"/>
      <c r="E223" s="41"/>
      <c r="F223" s="41"/>
      <c r="G223" s="42"/>
      <c r="H223" s="41"/>
      <c r="I223" s="41">
        <f>I55</f>
        <v>0</v>
      </c>
      <c r="J223" s="41">
        <f t="shared" ref="J223:AA223" si="68">J55</f>
        <v>0</v>
      </c>
      <c r="K223" s="41">
        <f t="shared" si="68"/>
        <v>0</v>
      </c>
      <c r="L223" s="41">
        <f t="shared" si="68"/>
        <v>27174</v>
      </c>
      <c r="M223" s="41">
        <f t="shared" si="68"/>
        <v>27728</v>
      </c>
      <c r="N223" s="41">
        <f t="shared" si="68"/>
        <v>28231.504111999999</v>
      </c>
      <c r="O223" s="41">
        <f t="shared" si="68"/>
        <v>28725.555433960002</v>
      </c>
      <c r="P223" s="41">
        <f t="shared" si="68"/>
        <v>29228.252654054304</v>
      </c>
      <c r="Q223" s="41">
        <f t="shared" si="68"/>
        <v>29739.747075500258</v>
      </c>
      <c r="R223" s="41">
        <f t="shared" si="68"/>
        <v>30260.192649321514</v>
      </c>
      <c r="S223" s="41">
        <f t="shared" si="68"/>
        <v>30789.746020684644</v>
      </c>
      <c r="T223" s="41">
        <f t="shared" si="68"/>
        <v>31328.566576046629</v>
      </c>
      <c r="U223" s="41">
        <f t="shared" si="68"/>
        <v>31876.816491127447</v>
      </c>
      <c r="V223" s="41">
        <f t="shared" si="68"/>
        <v>32022.6</v>
      </c>
      <c r="W223" s="41">
        <f t="shared" si="68"/>
        <v>32382.3</v>
      </c>
      <c r="X223" s="41">
        <f t="shared" si="68"/>
        <v>32523</v>
      </c>
      <c r="Y223" s="41">
        <f t="shared" si="68"/>
        <v>32657</v>
      </c>
      <c r="Z223" s="41">
        <f t="shared" si="68"/>
        <v>33573.874000000003</v>
      </c>
      <c r="AA223" s="41">
        <f t="shared" si="68"/>
        <v>33938.22</v>
      </c>
      <c r="AB223" s="41">
        <f t="shared" ref="AB223:AG223" si="69">AB55</f>
        <v>34306.519907961767</v>
      </c>
      <c r="AC223" s="41">
        <f t="shared" si="69"/>
        <v>34649.585107041385</v>
      </c>
      <c r="AD223" s="41">
        <f t="shared" si="69"/>
        <v>34822.833032576586</v>
      </c>
      <c r="AE223" s="41">
        <f t="shared" si="69"/>
        <v>34996.947197739464</v>
      </c>
      <c r="AF223" s="41">
        <f t="shared" si="69"/>
        <v>35171.931933728156</v>
      </c>
      <c r="AG223" s="41">
        <f t="shared" si="69"/>
        <v>35347.791593396796</v>
      </c>
      <c r="AH223" s="41">
        <f t="shared" ref="AH223:AK223" si="70">AH55</f>
        <v>35524.53055136378</v>
      </c>
      <c r="AI223" s="41">
        <f t="shared" si="70"/>
        <v>35702.153204120594</v>
      </c>
      <c r="AJ223" s="41">
        <f t="shared" si="70"/>
        <v>35880.663970141191</v>
      </c>
      <c r="AK223" s="41">
        <f t="shared" si="70"/>
        <v>36060.067289991894</v>
      </c>
      <c r="AL223" s="39"/>
      <c r="AM223" s="39"/>
      <c r="AN223" s="39"/>
    </row>
    <row r="224" spans="1:40" ht="15">
      <c r="A224"/>
      <c r="B224" s="40" t="s">
        <v>398</v>
      </c>
      <c r="C224" s="36"/>
      <c r="D224" s="36"/>
      <c r="E224" s="41"/>
      <c r="F224" s="41"/>
      <c r="G224" s="42"/>
      <c r="H224" s="41"/>
      <c r="I224" s="41"/>
      <c r="J224" s="41"/>
      <c r="K224" s="41"/>
      <c r="L224" s="41">
        <f>L51</f>
        <v>9765</v>
      </c>
      <c r="M224" s="41">
        <f t="shared" ref="M224:AA224" si="71">M51</f>
        <v>11234.1</v>
      </c>
      <c r="N224" s="41">
        <f t="shared" si="71"/>
        <v>12291</v>
      </c>
      <c r="O224" s="41">
        <f t="shared" si="71"/>
        <v>13954</v>
      </c>
      <c r="P224" s="41">
        <f t="shared" si="71"/>
        <v>12735</v>
      </c>
      <c r="Q224" s="41">
        <f t="shared" si="71"/>
        <v>14091</v>
      </c>
      <c r="R224" s="41">
        <f t="shared" si="71"/>
        <v>12893</v>
      </c>
      <c r="S224" s="41">
        <f t="shared" si="71"/>
        <v>12913</v>
      </c>
      <c r="T224" s="41">
        <f t="shared" si="71"/>
        <v>12694</v>
      </c>
      <c r="U224" s="41">
        <f t="shared" si="71"/>
        <v>11926</v>
      </c>
      <c r="V224" s="41">
        <f t="shared" si="71"/>
        <v>10928</v>
      </c>
      <c r="W224" s="41">
        <f t="shared" si="71"/>
        <v>10761</v>
      </c>
      <c r="X224" s="41">
        <f t="shared" si="71"/>
        <v>11130</v>
      </c>
      <c r="Y224" s="41">
        <f t="shared" si="71"/>
        <v>11132</v>
      </c>
      <c r="Z224" s="41">
        <f t="shared" si="71"/>
        <v>11618</v>
      </c>
      <c r="AA224" s="41">
        <f t="shared" si="71"/>
        <v>11738</v>
      </c>
      <c r="AB224" s="41">
        <f t="shared" ref="AB224:AG224" si="72">AB51</f>
        <v>12511</v>
      </c>
      <c r="AC224" s="41">
        <f t="shared" si="72"/>
        <v>12812.301213576728</v>
      </c>
      <c r="AD224" s="41">
        <f t="shared" si="72"/>
        <v>13037.520082713105</v>
      </c>
      <c r="AE224" s="41">
        <f t="shared" si="72"/>
        <v>13248.474518022122</v>
      </c>
      <c r="AF224" s="41">
        <f t="shared" si="72"/>
        <v>13446.562992775167</v>
      </c>
      <c r="AG224" s="41">
        <f t="shared" si="72"/>
        <v>13633.05060714542</v>
      </c>
      <c r="AH224" s="41">
        <f t="shared" ref="AH224:AK224" si="73">AH51</f>
        <v>13809.081826244215</v>
      </c>
      <c r="AI224" s="41">
        <f t="shared" si="73"/>
        <v>13975.692001679479</v>
      </c>
      <c r="AJ224" s="41">
        <f t="shared" si="73"/>
        <v>14133.817792809883</v>
      </c>
      <c r="AK224" s="41">
        <f t="shared" si="73"/>
        <v>14284.306592773788</v>
      </c>
      <c r="AL224" s="39"/>
      <c r="AM224" s="39"/>
      <c r="AN224" s="39"/>
    </row>
    <row r="225" spans="1:40" ht="15">
      <c r="A225"/>
      <c r="B225" s="40" t="s">
        <v>399</v>
      </c>
      <c r="C225" s="36"/>
      <c r="D225" s="36"/>
      <c r="E225" s="43"/>
      <c r="F225" s="41"/>
      <c r="G225" s="44"/>
      <c r="H225" s="43"/>
      <c r="I225" s="43"/>
      <c r="J225" s="43"/>
      <c r="K225" s="43"/>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6"/>
      <c r="AM225" s="46"/>
      <c r="AN225" s="46"/>
    </row>
    <row r="226" spans="1:40" ht="15">
      <c r="A226"/>
      <c r="B226" s="40" t="s">
        <v>263</v>
      </c>
      <c r="C226" s="36"/>
      <c r="D226" s="36"/>
      <c r="E226" s="41"/>
      <c r="F226" s="41"/>
      <c r="G226" s="42"/>
      <c r="H226" s="42"/>
      <c r="I226" s="41"/>
      <c r="J226" s="41"/>
      <c r="K226" s="41"/>
      <c r="L226" s="41">
        <f>'Income Statement'!B221</f>
        <v>5789.5680000000002</v>
      </c>
      <c r="M226" s="41">
        <f>'Income Statement'!G221</f>
        <v>7383.2835600000008</v>
      </c>
      <c r="N226" s="41">
        <f>'Income Statement'!L221</f>
        <v>7869.1459499999992</v>
      </c>
      <c r="O226" s="41">
        <f>'Income Statement'!Q221</f>
        <v>8030.97</v>
      </c>
      <c r="P226" s="41">
        <f>'Income Statement'!V221</f>
        <v>8326.9680000000008</v>
      </c>
      <c r="Q226" s="41">
        <f>'Income Statement'!AA221</f>
        <v>8124.6419999999998</v>
      </c>
      <c r="R226" s="41">
        <f>'Income Statement'!AF221</f>
        <v>7749.2670000000007</v>
      </c>
      <c r="S226" s="41">
        <f>'Income Statement'!AK221</f>
        <v>7471.6649999999991</v>
      </c>
      <c r="T226" s="41">
        <f>'Income Statement'!AU221</f>
        <v>7422.8714999999993</v>
      </c>
      <c r="U226" s="41">
        <f>'Income Statement'!AU221</f>
        <v>7422.8714999999993</v>
      </c>
      <c r="V226" s="41">
        <f>'Income Statement'!AZ221</f>
        <v>7711</v>
      </c>
      <c r="W226" s="41">
        <f>'Income Statement'!BE221</f>
        <v>7471</v>
      </c>
      <c r="X226" s="41">
        <f>'Income Statement'!BJ221</f>
        <v>7124.6605</v>
      </c>
      <c r="Y226" s="41">
        <f>'Income Statement'!BO221</f>
        <v>6628.0355500000005</v>
      </c>
      <c r="Z226" s="41">
        <f>'Income Statement'!BT221</f>
        <v>6715.3884499999995</v>
      </c>
      <c r="AA226" s="41">
        <f>'Income Statement'!BY221</f>
        <v>7064.1380000000008</v>
      </c>
      <c r="AB226" s="41">
        <f>'Income Statement'!CD221</f>
        <v>7222.7324000000008</v>
      </c>
      <c r="AC226" s="41">
        <f>'Income Statement'!CE221</f>
        <v>7308.3334501544177</v>
      </c>
      <c r="AD226" s="41">
        <f>'Income Statement'!CF221</f>
        <v>7413.014783175995</v>
      </c>
      <c r="AE226" s="41">
        <f>'Income Statement'!CG221</f>
        <v>7513.580904803639</v>
      </c>
      <c r="AF226" s="41">
        <f>'Income Statement'!CH221</f>
        <v>7642.2927278304833</v>
      </c>
      <c r="AG226" s="41">
        <f>'Income Statement'!CI221</f>
        <v>7801.5731855623471</v>
      </c>
      <c r="AH226" s="41">
        <f>'Income Statement'!CJ221</f>
        <v>7956.7710987023947</v>
      </c>
      <c r="AI226" s="41">
        <f>'Income Statement'!CK221</f>
        <v>8108.3685212642031</v>
      </c>
      <c r="AJ226" s="41">
        <f>'Income Statement'!CL221</f>
        <v>8256.8062988598631</v>
      </c>
      <c r="AK226" s="41">
        <f>'Income Statement'!CM221</f>
        <v>8402.4877254670009</v>
      </c>
      <c r="AL226" s="46"/>
      <c r="AM226" s="46"/>
      <c r="AN226" s="46"/>
    </row>
    <row r="227" spans="1:40" ht="15">
      <c r="A227"/>
      <c r="B227" s="40" t="s">
        <v>400</v>
      </c>
      <c r="C227" s="36"/>
      <c r="D227" s="36"/>
      <c r="E227" s="41"/>
      <c r="F227" s="41"/>
      <c r="G227" s="42"/>
      <c r="H227" s="42"/>
      <c r="I227" s="41"/>
      <c r="J227" s="41"/>
      <c r="K227" s="41"/>
      <c r="L227" s="41">
        <f>L18</f>
        <v>7690</v>
      </c>
      <c r="M227" s="41">
        <f t="shared" ref="M227:AA227" si="74">M18</f>
        <v>8449.9</v>
      </c>
      <c r="N227" s="41">
        <f t="shared" si="74"/>
        <v>8612</v>
      </c>
      <c r="O227" s="41">
        <f t="shared" si="74"/>
        <v>8869</v>
      </c>
      <c r="P227" s="41">
        <f t="shared" si="74"/>
        <v>8783</v>
      </c>
      <c r="Q227" s="41">
        <f t="shared" si="74"/>
        <v>8880</v>
      </c>
      <c r="R227" s="41">
        <f t="shared" si="74"/>
        <v>9028.3719999999994</v>
      </c>
      <c r="S227" s="41">
        <f t="shared" si="74"/>
        <v>8404</v>
      </c>
      <c r="T227" s="41">
        <f t="shared" si="74"/>
        <v>8601</v>
      </c>
      <c r="U227" s="41">
        <f t="shared" si="74"/>
        <v>8612</v>
      </c>
      <c r="V227" s="41">
        <f t="shared" si="74"/>
        <v>9419</v>
      </c>
      <c r="W227" s="41">
        <f t="shared" si="74"/>
        <v>9192</v>
      </c>
      <c r="X227" s="41">
        <f t="shared" si="74"/>
        <v>9313</v>
      </c>
      <c r="Y227" s="41">
        <f t="shared" si="74"/>
        <v>8966</v>
      </c>
      <c r="Z227" s="41">
        <f t="shared" si="74"/>
        <v>9241</v>
      </c>
      <c r="AA227" s="41">
        <f t="shared" si="74"/>
        <v>9789</v>
      </c>
      <c r="AB227" s="41">
        <f t="shared" ref="AB227:AG227" si="75">AB18</f>
        <v>10180</v>
      </c>
      <c r="AC227" s="41">
        <f t="shared" si="75"/>
        <v>10628.828973949185</v>
      </c>
      <c r="AD227" s="41">
        <f t="shared" si="75"/>
        <v>10904.154172576371</v>
      </c>
      <c r="AE227" s="41">
        <f t="shared" si="75"/>
        <v>11209.68564380456</v>
      </c>
      <c r="AF227" s="41">
        <f t="shared" si="75"/>
        <v>11548.62078907947</v>
      </c>
      <c r="AG227" s="41">
        <f t="shared" si="75"/>
        <v>11918.346764710979</v>
      </c>
      <c r="AH227" s="41">
        <f t="shared" ref="AH227:AK227" si="76">AH18</f>
        <v>12287.580727253633</v>
      </c>
      <c r="AI227" s="41">
        <f t="shared" si="76"/>
        <v>12657.115188796175</v>
      </c>
      <c r="AJ227" s="41">
        <f t="shared" si="76"/>
        <v>13027.720388369175</v>
      </c>
      <c r="AK227" s="41">
        <f t="shared" si="76"/>
        <v>13400.146684438816</v>
      </c>
      <c r="AL227" s="46"/>
      <c r="AM227" s="46"/>
      <c r="AN227" s="46"/>
    </row>
    <row r="228" spans="1:40" ht="15">
      <c r="A228"/>
      <c r="B228" s="40" t="s">
        <v>2</v>
      </c>
      <c r="C228" s="36"/>
      <c r="D228" s="36"/>
      <c r="E228" s="41"/>
      <c r="F228" s="41"/>
      <c r="G228" s="42"/>
      <c r="H228" s="41"/>
      <c r="I228" s="41"/>
      <c r="J228" s="41"/>
      <c r="K228" s="41"/>
      <c r="L228" s="41">
        <f>L19</f>
        <v>0</v>
      </c>
      <c r="M228" s="41">
        <f t="shared" ref="M228:AA228" si="77">M19</f>
        <v>4402.2000000000007</v>
      </c>
      <c r="N228" s="41">
        <f t="shared" si="77"/>
        <v>4220</v>
      </c>
      <c r="O228" s="41">
        <f t="shared" si="77"/>
        <v>4416</v>
      </c>
      <c r="P228" s="41">
        <f t="shared" si="77"/>
        <v>4423</v>
      </c>
      <c r="Q228" s="41">
        <f t="shared" si="77"/>
        <v>4359</v>
      </c>
      <c r="R228" s="41">
        <f t="shared" si="77"/>
        <v>4364</v>
      </c>
      <c r="S228" s="41">
        <f t="shared" si="77"/>
        <v>4272</v>
      </c>
      <c r="T228" s="41">
        <f t="shared" si="77"/>
        <v>4331</v>
      </c>
      <c r="U228" s="41">
        <f t="shared" si="77"/>
        <v>4551</v>
      </c>
      <c r="V228" s="41">
        <f t="shared" si="77"/>
        <v>4308</v>
      </c>
      <c r="W228" s="41">
        <f t="shared" si="77"/>
        <v>3817</v>
      </c>
      <c r="X228" s="41">
        <f t="shared" si="77"/>
        <v>3891</v>
      </c>
      <c r="Y228" s="41">
        <f t="shared" si="77"/>
        <v>3759</v>
      </c>
      <c r="Z228" s="41">
        <f t="shared" si="77"/>
        <v>3858</v>
      </c>
      <c r="AA228" s="41">
        <f t="shared" si="77"/>
        <v>3929</v>
      </c>
      <c r="AB228" s="41">
        <f t="shared" ref="AB228:AG228" si="78">AB19</f>
        <v>3960</v>
      </c>
      <c r="AC228" s="41">
        <f t="shared" si="78"/>
        <v>4171.0576269054345</v>
      </c>
      <c r="AD228" s="41">
        <f t="shared" si="78"/>
        <v>4296.5338349015092</v>
      </c>
      <c r="AE228" s="41">
        <f t="shared" si="78"/>
        <v>4436.3939792013425</v>
      </c>
      <c r="AF228" s="41">
        <f t="shared" si="78"/>
        <v>4589.6746823582716</v>
      </c>
      <c r="AG228" s="41">
        <f t="shared" si="78"/>
        <v>4755.1149503443366</v>
      </c>
      <c r="AH228" s="41">
        <f t="shared" ref="AH228:AK228" si="79">AH19</f>
        <v>4921.3878769655921</v>
      </c>
      <c r="AI228" s="41">
        <f t="shared" si="79"/>
        <v>5088.8125944151761</v>
      </c>
      <c r="AJ228" s="41">
        <f t="shared" si="79"/>
        <v>5257.7045052849217</v>
      </c>
      <c r="AK228" s="41">
        <f t="shared" si="79"/>
        <v>5428.3759740857668</v>
      </c>
      <c r="AL228" s="46"/>
      <c r="AM228" s="46"/>
      <c r="AN228" s="46"/>
    </row>
    <row r="229" spans="1:40" ht="15">
      <c r="A229"/>
      <c r="B229" s="40" t="s">
        <v>141</v>
      </c>
      <c r="C229" s="36"/>
      <c r="D229" s="36"/>
      <c r="E229" s="41"/>
      <c r="F229" s="41"/>
      <c r="G229" s="42"/>
      <c r="H229" s="41"/>
      <c r="I229" s="41"/>
      <c r="J229" s="41"/>
      <c r="K229" s="41"/>
      <c r="L229" s="41">
        <f>L23</f>
        <v>-1124</v>
      </c>
      <c r="M229" s="41">
        <f t="shared" ref="M229:AA229" si="80">M23</f>
        <v>3599.4000000000005</v>
      </c>
      <c r="N229" s="41">
        <f t="shared" si="80"/>
        <v>3630</v>
      </c>
      <c r="O229" s="41">
        <f t="shared" si="80"/>
        <v>2972</v>
      </c>
      <c r="P229" s="41">
        <f t="shared" si="80"/>
        <v>3434</v>
      </c>
      <c r="Q229" s="41">
        <f t="shared" si="80"/>
        <v>3369</v>
      </c>
      <c r="R229" s="41">
        <f t="shared" si="80"/>
        <v>3549</v>
      </c>
      <c r="S229" s="41">
        <f t="shared" si="80"/>
        <v>3132</v>
      </c>
      <c r="T229" s="41">
        <f t="shared" si="80"/>
        <v>3027</v>
      </c>
      <c r="U229" s="41">
        <f t="shared" si="80"/>
        <v>3362</v>
      </c>
      <c r="V229" s="41">
        <f t="shared" si="80"/>
        <v>3280</v>
      </c>
      <c r="W229" s="41">
        <f t="shared" si="80"/>
        <v>2779</v>
      </c>
      <c r="X229" s="41">
        <f t="shared" si="80"/>
        <v>2678</v>
      </c>
      <c r="Y229" s="41">
        <f t="shared" si="80"/>
        <v>2514</v>
      </c>
      <c r="Z229" s="41">
        <f t="shared" si="80"/>
        <v>2671</v>
      </c>
      <c r="AA229" s="41">
        <f t="shared" si="80"/>
        <v>2815</v>
      </c>
      <c r="AB229" s="41">
        <f t="shared" ref="AB229:AG229" si="81">AB23</f>
        <v>3147</v>
      </c>
      <c r="AC229" s="41">
        <f t="shared" si="81"/>
        <v>3001.886439771024</v>
      </c>
      <c r="AD229" s="41">
        <f t="shared" si="81"/>
        <v>3097.0768759181083</v>
      </c>
      <c r="AE229" s="41">
        <f t="shared" si="81"/>
        <v>3203.328558382841</v>
      </c>
      <c r="AF229" s="41">
        <f t="shared" si="81"/>
        <v>3319.3263955595298</v>
      </c>
      <c r="AG229" s="41">
        <f t="shared" si="81"/>
        <v>3444.096806226129</v>
      </c>
      <c r="AH229" s="41">
        <f t="shared" ref="AH229:AK229" si="82">AH23</f>
        <v>3569.7539969676927</v>
      </c>
      <c r="AI229" s="41">
        <f t="shared" si="82"/>
        <v>3696.5299236475967</v>
      </c>
      <c r="AJ229" s="41">
        <f t="shared" si="82"/>
        <v>3824.6552625643126</v>
      </c>
      <c r="AK229" s="41">
        <f t="shared" si="82"/>
        <v>3820.3583719531089</v>
      </c>
      <c r="AL229" s="46"/>
      <c r="AM229" s="46"/>
      <c r="AN229" s="46"/>
    </row>
    <row r="230" spans="1:40" ht="15">
      <c r="A230"/>
      <c r="B230" s="40" t="s">
        <v>250</v>
      </c>
      <c r="C230" s="36"/>
      <c r="D230" s="36"/>
      <c r="E230" s="41"/>
      <c r="F230" s="41"/>
      <c r="G230" s="41"/>
      <c r="H230" s="41"/>
      <c r="I230" s="41"/>
      <c r="J230" s="41"/>
      <c r="K230" s="41"/>
      <c r="L230" s="41">
        <f>L24</f>
        <v>-843</v>
      </c>
      <c r="M230" s="41">
        <f t="shared" ref="M230:AA230" si="83">M24</f>
        <v>2699.55</v>
      </c>
      <c r="N230" s="41">
        <f t="shared" si="83"/>
        <v>2722.5</v>
      </c>
      <c r="O230" s="41">
        <f t="shared" si="83"/>
        <v>2229</v>
      </c>
      <c r="P230" s="41">
        <f t="shared" si="83"/>
        <v>2575.5</v>
      </c>
      <c r="Q230" s="41">
        <f t="shared" si="83"/>
        <v>2526.75</v>
      </c>
      <c r="R230" s="41">
        <f t="shared" si="83"/>
        <v>2661.75</v>
      </c>
      <c r="S230" s="41">
        <f t="shared" si="83"/>
        <v>2349</v>
      </c>
      <c r="T230" s="41">
        <f t="shared" si="83"/>
        <v>2270.25</v>
      </c>
      <c r="U230" s="41">
        <f t="shared" si="83"/>
        <v>2521.5</v>
      </c>
      <c r="V230" s="41">
        <f t="shared" si="83"/>
        <v>2460</v>
      </c>
      <c r="W230" s="41">
        <f t="shared" si="83"/>
        <v>2084.25</v>
      </c>
      <c r="X230" s="41">
        <f t="shared" si="83"/>
        <v>2008.5</v>
      </c>
      <c r="Y230" s="41">
        <f t="shared" si="83"/>
        <v>1885.5</v>
      </c>
      <c r="Z230" s="41">
        <f t="shared" si="83"/>
        <v>2003.25</v>
      </c>
      <c r="AA230" s="41">
        <f t="shared" si="83"/>
        <v>2111.25</v>
      </c>
      <c r="AB230" s="41">
        <f t="shared" ref="AB230:AG230" si="84">AB24</f>
        <v>2360.25</v>
      </c>
      <c r="AC230" s="41">
        <f t="shared" si="84"/>
        <v>2251.414829828268</v>
      </c>
      <c r="AD230" s="41">
        <f t="shared" si="84"/>
        <v>2322.8076569385812</v>
      </c>
      <c r="AE230" s="41">
        <f t="shared" si="84"/>
        <v>2402.496418787131</v>
      </c>
      <c r="AF230" s="41">
        <f t="shared" si="84"/>
        <v>2489.4947966696473</v>
      </c>
      <c r="AG230" s="41">
        <f t="shared" si="84"/>
        <v>2583.0726046695968</v>
      </c>
      <c r="AH230" s="41">
        <f t="shared" ref="AH230:AK230" si="85">AH24</f>
        <v>2677.3154977257695</v>
      </c>
      <c r="AI230" s="41">
        <f t="shared" si="85"/>
        <v>2772.3974427356975</v>
      </c>
      <c r="AJ230" s="41">
        <f t="shared" si="85"/>
        <v>2868.4914469232344</v>
      </c>
      <c r="AK230" s="41">
        <f t="shared" si="85"/>
        <v>2865.2687789648317</v>
      </c>
      <c r="AL230" s="46"/>
      <c r="AM230" s="46"/>
      <c r="AN230" s="46"/>
    </row>
    <row r="231" spans="1:40" ht="15">
      <c r="A231"/>
      <c r="B231" s="40" t="s">
        <v>401</v>
      </c>
      <c r="C231" s="36"/>
      <c r="D231" s="36"/>
      <c r="E231" s="41"/>
      <c r="F231" s="41"/>
      <c r="G231" s="41"/>
      <c r="H231" s="41"/>
      <c r="I231" s="41"/>
      <c r="J231" s="41"/>
      <c r="K231" s="41"/>
      <c r="L231" s="41">
        <f>'Income Statement'!B122</f>
        <v>179</v>
      </c>
      <c r="M231" s="41">
        <f>'Income Statement'!G122</f>
        <v>184</v>
      </c>
      <c r="N231" s="41">
        <f>'Income Statement'!L122</f>
        <v>175.5</v>
      </c>
      <c r="O231" s="41">
        <f>'Income Statement'!Q122</f>
        <v>172.25</v>
      </c>
      <c r="P231" s="41">
        <f>'Income Statement'!V122</f>
        <v>183</v>
      </c>
      <c r="Q231" s="41">
        <f>'Income Statement'!AA122</f>
        <v>171</v>
      </c>
      <c r="R231" s="41">
        <f>'Income Statement'!AF122</f>
        <v>156</v>
      </c>
      <c r="S231" s="41">
        <f>'Income Statement'!AK122</f>
        <v>160.36799999999999</v>
      </c>
      <c r="T231" s="41">
        <f>'Income Statement'!AU122</f>
        <v>138.68624639999999</v>
      </c>
      <c r="U231" s="41">
        <f>'Income Statement'!AU122</f>
        <v>138.68624639999999</v>
      </c>
      <c r="V231" s="41">
        <f>'Income Statement'!AZ122</f>
        <v>134.52565900799999</v>
      </c>
      <c r="W231" s="41">
        <f>'Income Statement'!BE122</f>
        <v>127.79937605759999</v>
      </c>
      <c r="X231" s="41">
        <f>'Income Statement'!BJ122</f>
        <v>123.96539477587199</v>
      </c>
      <c r="Y231" s="41">
        <f>'Income Statement'!BO122</f>
        <v>120.24643293259582</v>
      </c>
      <c r="Z231" s="41">
        <f>'Income Statement'!BT122</f>
        <v>116.63903994461795</v>
      </c>
      <c r="AA231" s="41">
        <f>'Income Statement'!BY122</f>
        <v>113.1398687462794</v>
      </c>
      <c r="AB231" s="41">
        <f>'Income Statement'!CD122</f>
        <v>109.74567268389102</v>
      </c>
      <c r="AC231" s="41">
        <f>'Income Statement'!CE122</f>
        <v>106.45330250337429</v>
      </c>
      <c r="AD231" s="41">
        <f>'Income Statement'!CF122</f>
        <v>103.25970342827306</v>
      </c>
      <c r="AE231" s="41">
        <f>'Income Statement'!CG122</f>
        <v>101.1945093597076</v>
      </c>
      <c r="AF231" s="41">
        <f>'Income Statement'!CH122</f>
        <v>99.17061917251344</v>
      </c>
      <c r="AG231" s="41">
        <f>'Income Statement'!CI122</f>
        <v>97.187206789063168</v>
      </c>
      <c r="AH231" s="41">
        <f>'Income Statement'!CJ122</f>
        <v>95.24346265328191</v>
      </c>
      <c r="AI231" s="41">
        <f>'Income Statement'!CK122</f>
        <v>93.338593400216268</v>
      </c>
      <c r="AJ231" s="41">
        <f>'Income Statement'!CL122</f>
        <v>91.471821532211948</v>
      </c>
      <c r="AK231" s="41">
        <f>'Income Statement'!CM122</f>
        <v>89.642385101567712</v>
      </c>
      <c r="AL231" s="46"/>
      <c r="AM231" s="46"/>
      <c r="AN231" s="46"/>
    </row>
    <row r="232" spans="1:40" ht="15">
      <c r="A232"/>
      <c r="B232" s="40" t="s">
        <v>48</v>
      </c>
      <c r="C232" s="36"/>
      <c r="D232" s="36"/>
      <c r="E232" s="41"/>
      <c r="F232" s="41"/>
      <c r="G232" s="42"/>
      <c r="H232" s="41"/>
      <c r="I232" s="41"/>
      <c r="J232" s="41"/>
      <c r="K232" s="41"/>
      <c r="L232" s="41">
        <f>'Income Statement'!B169</f>
        <v>64</v>
      </c>
      <c r="M232" s="41">
        <f>'Income Statement'!G169</f>
        <v>58.6</v>
      </c>
      <c r="N232" s="41">
        <f>'Income Statement'!L169</f>
        <v>55.75</v>
      </c>
      <c r="O232" s="41">
        <f>'Income Statement'!Q169</f>
        <v>51</v>
      </c>
      <c r="P232" s="41">
        <f>'Income Statement'!V169</f>
        <v>52</v>
      </c>
      <c r="Q232" s="41">
        <f>'Income Statement'!AA169</f>
        <v>50.477409975397009</v>
      </c>
      <c r="R232" s="41">
        <f>'Income Statement'!AF169</f>
        <v>47.86334494515269</v>
      </c>
      <c r="S232" s="41">
        <f>'Income Statement'!AK169</f>
        <v>48.255347593582883</v>
      </c>
      <c r="T232" s="41">
        <f>'Income Statement'!AU169</f>
        <v>50.25</v>
      </c>
      <c r="U232" s="41">
        <f>'Income Statement'!AU169</f>
        <v>50.25</v>
      </c>
      <c r="V232" s="41">
        <f>'Income Statement'!AZ169</f>
        <v>51.25</v>
      </c>
      <c r="W232" s="41">
        <f>'Income Statement'!BE169</f>
        <v>52.5</v>
      </c>
      <c r="X232" s="41">
        <f>'Income Statement'!BJ169</f>
        <v>51</v>
      </c>
      <c r="Y232" s="41">
        <f>'Income Statement'!BO169</f>
        <v>48.25</v>
      </c>
      <c r="Z232" s="41">
        <f>'Income Statement'!BT169</f>
        <v>46.725000000000001</v>
      </c>
      <c r="AA232" s="41">
        <f>'Income Statement'!BY169</f>
        <v>47.25</v>
      </c>
      <c r="AB232" s="41">
        <f>'Income Statement'!CD169</f>
        <v>46.600000000000009</v>
      </c>
      <c r="AC232" s="41">
        <f>'Income Statement'!CE169</f>
        <v>45.186456222339558</v>
      </c>
      <c r="AD232" s="41">
        <f>'Income Statement'!CF169</f>
        <v>44.941012056283398</v>
      </c>
      <c r="AE232" s="41">
        <f>'Income Statement'!CG169</f>
        <v>44.832929805427419</v>
      </c>
      <c r="AF232" s="41">
        <f>'Income Statement'!CH169</f>
        <v>44.949557415671251</v>
      </c>
      <c r="AG232" s="41">
        <f>'Income Statement'!CI169</f>
        <v>45.291520122133058</v>
      </c>
      <c r="AH232" s="41">
        <f>'Income Statement'!CJ169</f>
        <v>45.635782356086288</v>
      </c>
      <c r="AI232" s="41">
        <f>'Income Statement'!CK169</f>
        <v>45.982358111790823</v>
      </c>
      <c r="AJ232" s="41">
        <f>'Income Statement'!CL169</f>
        <v>46.331261531472592</v>
      </c>
      <c r="AK232" s="41">
        <f>'Income Statement'!CM169</f>
        <v>46.682506895170881</v>
      </c>
      <c r="AL232" s="46"/>
      <c r="AM232" s="46"/>
      <c r="AN232" s="46"/>
    </row>
    <row r="233" spans="1:40" ht="15">
      <c r="A233"/>
      <c r="B233" s="40" t="s">
        <v>402</v>
      </c>
      <c r="C233" s="36"/>
      <c r="D233" s="36"/>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6"/>
      <c r="AM233" s="46"/>
      <c r="AN233" s="46"/>
    </row>
    <row r="234" spans="1:40" ht="15">
      <c r="A234"/>
      <c r="B234" s="40" t="s">
        <v>403</v>
      </c>
      <c r="C234" s="36"/>
      <c r="D234" s="36"/>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6"/>
      <c r="AM234" s="46"/>
      <c r="AN234" s="46"/>
    </row>
    <row r="235" spans="1:40" ht="15">
      <c r="A235"/>
      <c r="B235" s="40" t="s">
        <v>404</v>
      </c>
      <c r="C235" s="36"/>
      <c r="D235" s="36"/>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6"/>
      <c r="AM235" s="46"/>
      <c r="AN235" s="46"/>
    </row>
    <row r="236" spans="1:40" ht="15">
      <c r="A236"/>
      <c r="B236" s="40"/>
      <c r="C236" s="36"/>
      <c r="D236" s="36"/>
      <c r="E236" s="41"/>
      <c r="F236" s="45"/>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6"/>
      <c r="AM236" s="46"/>
      <c r="AN236" s="46"/>
    </row>
    <row r="237" spans="1:40" ht="15">
      <c r="A237"/>
      <c r="B237" s="524" t="s">
        <v>798</v>
      </c>
      <c r="C237" s="35">
        <f>C$2</f>
        <v>1998</v>
      </c>
      <c r="D237" s="35">
        <f t="shared" ref="D237:AN237" si="86">D$2</f>
        <v>1999</v>
      </c>
      <c r="E237" s="35">
        <f t="shared" si="86"/>
        <v>2000</v>
      </c>
      <c r="F237" s="35">
        <f t="shared" si="86"/>
        <v>2001</v>
      </c>
      <c r="G237" s="35">
        <f t="shared" si="86"/>
        <v>2002</v>
      </c>
      <c r="H237" s="35">
        <f t="shared" si="86"/>
        <v>2003</v>
      </c>
      <c r="I237" s="35">
        <f t="shared" si="86"/>
        <v>2004</v>
      </c>
      <c r="J237" s="35">
        <f t="shared" si="86"/>
        <v>2005</v>
      </c>
      <c r="K237" s="35">
        <f t="shared" si="86"/>
        <v>2006</v>
      </c>
      <c r="L237" s="35">
        <f t="shared" si="86"/>
        <v>2007</v>
      </c>
      <c r="M237" s="35">
        <f t="shared" si="86"/>
        <v>2008</v>
      </c>
      <c r="N237" s="35">
        <f t="shared" si="86"/>
        <v>2009</v>
      </c>
      <c r="O237" s="35">
        <f t="shared" si="86"/>
        <v>2010</v>
      </c>
      <c r="P237" s="35">
        <f t="shared" si="86"/>
        <v>2011</v>
      </c>
      <c r="Q237" s="35">
        <f t="shared" si="86"/>
        <v>2012</v>
      </c>
      <c r="R237" s="35">
        <f t="shared" si="86"/>
        <v>2013</v>
      </c>
      <c r="S237" s="35">
        <f t="shared" si="86"/>
        <v>2014</v>
      </c>
      <c r="T237" s="35">
        <f t="shared" si="86"/>
        <v>2015</v>
      </c>
      <c r="U237" s="35">
        <f t="shared" si="86"/>
        <v>2016</v>
      </c>
      <c r="V237" s="35">
        <f t="shared" si="86"/>
        <v>2017</v>
      </c>
      <c r="W237" s="35">
        <f t="shared" si="86"/>
        <v>2018</v>
      </c>
      <c r="X237" s="35">
        <f t="shared" si="86"/>
        <v>2019</v>
      </c>
      <c r="Y237" s="35">
        <f t="shared" si="86"/>
        <v>2020</v>
      </c>
      <c r="Z237" s="35">
        <f t="shared" si="86"/>
        <v>2021</v>
      </c>
      <c r="AA237" s="35">
        <f t="shared" si="86"/>
        <v>2022</v>
      </c>
      <c r="AB237" s="35">
        <f t="shared" si="86"/>
        <v>2023</v>
      </c>
      <c r="AC237" s="35">
        <f t="shared" si="86"/>
        <v>2024</v>
      </c>
      <c r="AD237" s="35">
        <f t="shared" si="86"/>
        <v>2025</v>
      </c>
      <c r="AE237" s="35">
        <f t="shared" si="86"/>
        <v>2026</v>
      </c>
      <c r="AF237" s="35">
        <f t="shared" si="86"/>
        <v>2027</v>
      </c>
      <c r="AG237" s="35">
        <f t="shared" si="86"/>
        <v>2028</v>
      </c>
      <c r="AH237" s="35">
        <f t="shared" si="86"/>
        <v>2029</v>
      </c>
      <c r="AI237" s="35">
        <f t="shared" si="86"/>
        <v>2030</v>
      </c>
      <c r="AJ237" s="35">
        <f t="shared" si="86"/>
        <v>2031</v>
      </c>
      <c r="AK237" s="35">
        <f t="shared" si="86"/>
        <v>2032</v>
      </c>
      <c r="AL237" s="35">
        <f t="shared" si="86"/>
        <v>2033</v>
      </c>
      <c r="AM237" s="35">
        <f t="shared" si="86"/>
        <v>2034</v>
      </c>
      <c r="AN237" s="35">
        <f t="shared" si="86"/>
        <v>2035</v>
      </c>
    </row>
    <row r="238" spans="1:40" ht="15">
      <c r="A238"/>
      <c r="B238" s="525"/>
      <c r="C238" s="36"/>
      <c r="D238" s="36"/>
      <c r="E238" s="41"/>
      <c r="F238" s="45"/>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6"/>
      <c r="AM238" s="46"/>
      <c r="AN238" s="46"/>
    </row>
    <row r="239" spans="1:40" ht="15">
      <c r="A239"/>
      <c r="B239" s="526" t="s">
        <v>53</v>
      </c>
      <c r="C239" s="36"/>
      <c r="D239" s="36"/>
      <c r="E239" s="41"/>
      <c r="F239" s="45"/>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6"/>
      <c r="AM239" s="46"/>
      <c r="AN239" s="46"/>
    </row>
    <row r="240" spans="1:40" ht="15">
      <c r="A240"/>
      <c r="B240" s="526" t="s">
        <v>799</v>
      </c>
      <c r="C240" s="36"/>
      <c r="D240" s="36"/>
      <c r="E240" s="36"/>
      <c r="F240" s="45"/>
      <c r="G240" s="36"/>
      <c r="H240" s="36"/>
      <c r="I240" s="36"/>
      <c r="J240" s="36"/>
      <c r="K240" s="36"/>
      <c r="L240" s="41"/>
      <c r="M240" s="41"/>
      <c r="N240" s="41"/>
      <c r="O240" s="41"/>
      <c r="P240" s="41"/>
      <c r="Q240" s="41"/>
      <c r="R240" s="41"/>
      <c r="S240" s="41"/>
      <c r="T240" s="41"/>
      <c r="U240" s="41"/>
      <c r="V240" s="41"/>
      <c r="W240" s="41"/>
      <c r="X240" s="41"/>
      <c r="Y240" s="41">
        <f>'Income Statement'!BO263</f>
        <v>385.33333333333331</v>
      </c>
      <c r="Z240" s="41">
        <f>'Income Statement'!BT263</f>
        <v>494</v>
      </c>
      <c r="AA240" s="41">
        <f>'Income Statement'!BY263</f>
        <v>587</v>
      </c>
      <c r="AB240" s="41">
        <f>'Income Statement'!CD263</f>
        <v>678</v>
      </c>
      <c r="AC240" s="41">
        <f>'Income Statement'!CE263</f>
        <v>781.27689024073254</v>
      </c>
      <c r="AD240" s="41">
        <f>'Income Statement'!CF263</f>
        <v>874.53710880992264</v>
      </c>
      <c r="AE240" s="41">
        <f>'Income Statement'!CG263</f>
        <v>966.28181416976156</v>
      </c>
      <c r="AF240" s="41">
        <f>'Income Statement'!CH263</f>
        <v>1056.5395539688946</v>
      </c>
      <c r="AG240" s="41">
        <f>'Income Statement'!CI263</f>
        <v>1145.3525559600362</v>
      </c>
      <c r="AH240" s="41">
        <f>'Income Statement'!CJ263</f>
        <v>1232.7738931058293</v>
      </c>
      <c r="AI240" s="41">
        <f>'Income Statement'!CK263</f>
        <v>1318.8650656344169</v>
      </c>
      <c r="AJ240" s="41">
        <f>'Income Statement'!CL263</f>
        <v>1403.6939462638281</v>
      </c>
      <c r="AK240" s="41">
        <f>'Income Statement'!CM263</f>
        <v>1487.3330412837502</v>
      </c>
      <c r="AL240" s="46"/>
      <c r="AM240" s="46"/>
      <c r="AN240" s="46"/>
    </row>
    <row r="241" spans="1:41" ht="15">
      <c r="A241"/>
      <c r="B241" s="526" t="s">
        <v>399</v>
      </c>
      <c r="C241" s="36"/>
      <c r="D241" s="36"/>
      <c r="E241" s="47"/>
      <c r="F241" s="45"/>
      <c r="G241" s="45"/>
      <c r="H241" s="48"/>
      <c r="I241" s="48"/>
      <c r="J241" s="48"/>
      <c r="K241" s="48"/>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6"/>
      <c r="AM241" s="46"/>
      <c r="AN241" s="46"/>
    </row>
    <row r="242" spans="1:41" ht="15">
      <c r="A242"/>
      <c r="B242" s="526" t="s">
        <v>48</v>
      </c>
      <c r="C242" s="36"/>
      <c r="D242" s="36"/>
      <c r="E242" s="36"/>
      <c r="F242" s="45"/>
      <c r="G242" s="41"/>
      <c r="H242" s="41"/>
      <c r="I242" s="41"/>
      <c r="J242" s="41"/>
      <c r="K242" s="41"/>
      <c r="L242" s="41"/>
      <c r="M242" s="41"/>
      <c r="N242" s="41"/>
      <c r="O242" s="41"/>
      <c r="P242" s="41"/>
      <c r="Q242" s="41"/>
      <c r="R242" s="41"/>
      <c r="S242" s="41"/>
      <c r="T242" s="41"/>
      <c r="U242" s="41"/>
      <c r="V242" s="45"/>
      <c r="W242" s="45"/>
      <c r="X242" s="45"/>
      <c r="Y242" s="41">
        <f>'Income Statement'!BO258</f>
        <v>104.66666666666667</v>
      </c>
      <c r="Z242" s="41">
        <f>'Income Statement'!BT258</f>
        <v>109.93176648976498</v>
      </c>
      <c r="AA242" s="41">
        <f>'Income Statement'!BY258</f>
        <v>108.38729571384521</v>
      </c>
      <c r="AB242" s="41">
        <f>'Income Statement'!CD258</f>
        <v>106.58761528326745</v>
      </c>
      <c r="AC242" s="41">
        <f>'Income Statement'!CE258</f>
        <v>105.52173913043478</v>
      </c>
      <c r="AD242" s="41">
        <f>'Income Statement'!CF258</f>
        <v>104.9941304347826</v>
      </c>
      <c r="AE242" s="41">
        <f>'Income Statement'!CG258</f>
        <v>104.9941304347826</v>
      </c>
      <c r="AF242" s="41">
        <f>'Income Statement'!CH258</f>
        <v>105.51910108695651</v>
      </c>
      <c r="AG242" s="41">
        <f>'Income Statement'!CI258</f>
        <v>106.04669659239129</v>
      </c>
      <c r="AH242" s="41">
        <f>'Income Statement'!CJ258</f>
        <v>106.57693007535323</v>
      </c>
      <c r="AI242" s="41">
        <f>'Income Statement'!CK258</f>
        <v>107.10981472572999</v>
      </c>
      <c r="AJ242" s="41">
        <f>'Income Statement'!CL258</f>
        <v>107.64536379935863</v>
      </c>
      <c r="AK242" s="41">
        <f>'Income Statement'!CM258</f>
        <v>108.18359061835541</v>
      </c>
      <c r="AL242" s="46"/>
      <c r="AM242" s="46"/>
      <c r="AN242" s="46"/>
    </row>
    <row r="243" spans="1:41" ht="15">
      <c r="A243"/>
      <c r="B243" s="526" t="s">
        <v>263</v>
      </c>
      <c r="C243" s="49"/>
      <c r="D243" s="49"/>
      <c r="E243" s="49"/>
      <c r="F243" s="45"/>
      <c r="G243" s="49"/>
      <c r="H243" s="49"/>
      <c r="I243" s="49"/>
      <c r="J243" s="49"/>
      <c r="K243" s="49"/>
      <c r="L243" s="49"/>
      <c r="M243" s="49"/>
      <c r="N243" s="49"/>
      <c r="O243" s="49"/>
      <c r="P243" s="49"/>
      <c r="Q243" s="49"/>
      <c r="R243" s="49"/>
      <c r="S243" s="49"/>
      <c r="T243" s="37"/>
      <c r="U243" s="37"/>
      <c r="V243" s="45"/>
      <c r="W243" s="45"/>
      <c r="X243" s="45"/>
      <c r="Y243" s="41">
        <f>'Income Statement'!BO271</f>
        <v>0</v>
      </c>
      <c r="Z243" s="41">
        <f>'Income Statement'!BT271</f>
        <v>0</v>
      </c>
      <c r="AA243" s="41">
        <f>'Income Statement'!BY271</f>
        <v>703</v>
      </c>
      <c r="AB243" s="41">
        <f>'Income Statement'!CD271</f>
        <v>809</v>
      </c>
      <c r="AC243" s="41">
        <f>'Income Statement'!CE271</f>
        <v>909.9303345275772</v>
      </c>
      <c r="AD243" s="41">
        <f>'Income Statement'!CF271</f>
        <v>1027.3184062374492</v>
      </c>
      <c r="AE243" s="41">
        <f>'Income Statement'!CG271</f>
        <v>1142.1012041276826</v>
      </c>
      <c r="AF243" s="41">
        <f>'Income Statement'!CH271</f>
        <v>1261.2962768383172</v>
      </c>
      <c r="AG243" s="41">
        <f>'Income Statement'!CI271</f>
        <v>1379.8175932967367</v>
      </c>
      <c r="AH243" s="41">
        <f>'Income Statement'!CJ271</f>
        <v>1497.7062691683584</v>
      </c>
      <c r="AI243" s="41">
        <f>'Income Statement'!CK271</f>
        <v>1615.0166005655117</v>
      </c>
      <c r="AJ243" s="41">
        <f>'Income Statement'!CL271</f>
        <v>1731.8135369816328</v>
      </c>
      <c r="AK243" s="41">
        <f>'Income Statement'!CM271</f>
        <v>1848.1705076687817</v>
      </c>
      <c r="AL243" s="46"/>
      <c r="AM243" s="46"/>
      <c r="AN243" s="46"/>
    </row>
    <row r="244" spans="1:41" ht="15">
      <c r="A244"/>
      <c r="B244" s="526" t="s">
        <v>400</v>
      </c>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6"/>
      <c r="AM244" s="46"/>
      <c r="AN244" s="46"/>
    </row>
    <row r="245" spans="1:41" ht="15">
      <c r="A245"/>
      <c r="B245" s="526" t="s">
        <v>2</v>
      </c>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6"/>
      <c r="AM245" s="46"/>
      <c r="AN245" s="46"/>
    </row>
    <row r="246" spans="1:41" ht="15">
      <c r="A246"/>
      <c r="B246" s="526" t="s">
        <v>800</v>
      </c>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6"/>
      <c r="AM246" s="46"/>
      <c r="AN246" s="46"/>
    </row>
    <row r="247" spans="1:41" ht="15">
      <c r="A247"/>
      <c r="B247" s="526" t="s">
        <v>141</v>
      </c>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row>
    <row r="248" spans="1:41" ht="15">
      <c r="A248"/>
      <c r="B248" s="526" t="s">
        <v>250</v>
      </c>
    </row>
    <row r="250" spans="1:41" s="527" customFormat="1" ht="15">
      <c r="B250" s="528" t="s">
        <v>652</v>
      </c>
      <c r="C250" s="35">
        <f>C$2</f>
        <v>1998</v>
      </c>
      <c r="D250" s="35">
        <f t="shared" ref="D250:AN250" si="87">D$2</f>
        <v>1999</v>
      </c>
      <c r="E250" s="35">
        <f t="shared" si="87"/>
        <v>2000</v>
      </c>
      <c r="F250" s="35">
        <f t="shared" si="87"/>
        <v>2001</v>
      </c>
      <c r="G250" s="35">
        <f t="shared" si="87"/>
        <v>2002</v>
      </c>
      <c r="H250" s="35">
        <f t="shared" si="87"/>
        <v>2003</v>
      </c>
      <c r="I250" s="35">
        <f t="shared" si="87"/>
        <v>2004</v>
      </c>
      <c r="J250" s="35">
        <f t="shared" si="87"/>
        <v>2005</v>
      </c>
      <c r="K250" s="35">
        <f t="shared" si="87"/>
        <v>2006</v>
      </c>
      <c r="L250" s="35">
        <f t="shared" si="87"/>
        <v>2007</v>
      </c>
      <c r="M250" s="35">
        <f t="shared" si="87"/>
        <v>2008</v>
      </c>
      <c r="N250" s="35">
        <f t="shared" si="87"/>
        <v>2009</v>
      </c>
      <c r="O250" s="35">
        <f t="shared" si="87"/>
        <v>2010</v>
      </c>
      <c r="P250" s="35">
        <f t="shared" si="87"/>
        <v>2011</v>
      </c>
      <c r="Q250" s="35">
        <f t="shared" si="87"/>
        <v>2012</v>
      </c>
      <c r="R250" s="35">
        <f t="shared" si="87"/>
        <v>2013</v>
      </c>
      <c r="S250" s="35">
        <f t="shared" si="87"/>
        <v>2014</v>
      </c>
      <c r="T250" s="35">
        <f t="shared" si="87"/>
        <v>2015</v>
      </c>
      <c r="U250" s="35">
        <f t="shared" si="87"/>
        <v>2016</v>
      </c>
      <c r="V250" s="35">
        <f t="shared" si="87"/>
        <v>2017</v>
      </c>
      <c r="W250" s="35">
        <f t="shared" si="87"/>
        <v>2018</v>
      </c>
      <c r="X250" s="35">
        <f t="shared" si="87"/>
        <v>2019</v>
      </c>
      <c r="Y250" s="35">
        <f t="shared" si="87"/>
        <v>2020</v>
      </c>
      <c r="Z250" s="35">
        <f t="shared" si="87"/>
        <v>2021</v>
      </c>
      <c r="AA250" s="35">
        <f t="shared" si="87"/>
        <v>2022</v>
      </c>
      <c r="AB250" s="35">
        <f t="shared" si="87"/>
        <v>2023</v>
      </c>
      <c r="AC250" s="35">
        <f t="shared" si="87"/>
        <v>2024</v>
      </c>
      <c r="AD250" s="35">
        <f t="shared" si="87"/>
        <v>2025</v>
      </c>
      <c r="AE250" s="35">
        <f t="shared" si="87"/>
        <v>2026</v>
      </c>
      <c r="AF250" s="35">
        <f t="shared" si="87"/>
        <v>2027</v>
      </c>
      <c r="AG250" s="35">
        <f t="shared" si="87"/>
        <v>2028</v>
      </c>
      <c r="AH250" s="35">
        <f t="shared" si="87"/>
        <v>2029</v>
      </c>
      <c r="AI250" s="35">
        <f t="shared" si="87"/>
        <v>2030</v>
      </c>
      <c r="AJ250" s="35">
        <f t="shared" si="87"/>
        <v>2031</v>
      </c>
      <c r="AK250" s="35">
        <f t="shared" si="87"/>
        <v>2032</v>
      </c>
      <c r="AL250" s="35">
        <f t="shared" si="87"/>
        <v>2033</v>
      </c>
      <c r="AM250" s="35">
        <f t="shared" si="87"/>
        <v>2034</v>
      </c>
      <c r="AN250" s="35">
        <f t="shared" si="87"/>
        <v>2035</v>
      </c>
      <c r="AO250" s="7"/>
    </row>
    <row r="251" spans="1:41" s="527" customFormat="1" ht="15">
      <c r="B251" s="529"/>
      <c r="C251" s="530"/>
      <c r="D251" s="530"/>
      <c r="E251" s="530"/>
      <c r="F251" s="530"/>
      <c r="G251" s="530"/>
      <c r="H251" s="530"/>
      <c r="I251" s="530"/>
      <c r="J251" s="530"/>
      <c r="K251" s="530"/>
      <c r="L251" s="530"/>
      <c r="M251" s="530"/>
      <c r="N251" s="530"/>
      <c r="O251" s="530"/>
      <c r="P251" s="530"/>
      <c r="Q251" s="530"/>
      <c r="R251" s="530"/>
      <c r="S251" s="530"/>
      <c r="T251" s="530"/>
      <c r="U251" s="530"/>
      <c r="V251" s="531"/>
      <c r="W251" s="531"/>
      <c r="X251" s="532"/>
      <c r="Y251" s="532"/>
      <c r="Z251" s="533"/>
      <c r="AA251" s="533"/>
      <c r="AB251" s="533"/>
      <c r="AC251" s="533"/>
      <c r="AD251" s="533"/>
      <c r="AE251" s="533"/>
      <c r="AF251" s="533"/>
      <c r="AG251" s="533"/>
      <c r="AH251" s="533"/>
      <c r="AI251" s="533"/>
      <c r="AJ251" s="533"/>
      <c r="AK251" s="534"/>
      <c r="AL251" s="534"/>
      <c r="AM251" s="534"/>
      <c r="AN251" s="534"/>
      <c r="AO251" s="7"/>
    </row>
    <row r="252" spans="1:41" s="527" customFormat="1" ht="15">
      <c r="B252" s="529" t="s">
        <v>801</v>
      </c>
      <c r="C252" s="530"/>
      <c r="D252" s="530"/>
      <c r="E252" s="530"/>
      <c r="F252" s="530"/>
      <c r="G252" s="530"/>
      <c r="H252" s="530"/>
      <c r="I252" s="530"/>
      <c r="J252" s="530"/>
      <c r="K252" s="530"/>
      <c r="L252" s="530"/>
      <c r="M252" s="530"/>
      <c r="N252" s="530"/>
      <c r="O252" s="530"/>
      <c r="P252" s="530"/>
      <c r="Q252" s="530"/>
      <c r="R252" s="530"/>
      <c r="S252" s="530"/>
      <c r="T252" s="530"/>
      <c r="U252" s="530"/>
      <c r="V252" s="531"/>
      <c r="W252" s="531"/>
      <c r="X252" s="532"/>
      <c r="Y252" s="532"/>
      <c r="Z252" s="533"/>
      <c r="AA252" s="533"/>
      <c r="AB252" s="533"/>
      <c r="AC252" s="533"/>
      <c r="AD252" s="533"/>
      <c r="AE252" s="533"/>
      <c r="AF252" s="533"/>
      <c r="AG252" s="533"/>
      <c r="AH252" s="533"/>
      <c r="AI252" s="533"/>
      <c r="AJ252" s="533"/>
      <c r="AK252" s="534"/>
      <c r="AL252" s="534"/>
      <c r="AM252" s="534"/>
      <c r="AN252" s="534"/>
      <c r="AO252" s="7"/>
    </row>
    <row r="253" spans="1:41" s="527" customFormat="1" ht="15">
      <c r="B253" s="529" t="s">
        <v>263</v>
      </c>
      <c r="C253" s="530"/>
      <c r="D253" s="530"/>
      <c r="E253" s="530"/>
      <c r="F253" s="530"/>
      <c r="G253" s="530"/>
      <c r="H253" s="530"/>
      <c r="I253" s="530"/>
      <c r="J253" s="530"/>
      <c r="K253" s="530"/>
      <c r="L253" s="530"/>
      <c r="M253" s="530"/>
      <c r="N253" s="530"/>
      <c r="O253" s="530"/>
      <c r="P253" s="530"/>
      <c r="Q253" s="530"/>
      <c r="R253" s="530"/>
      <c r="S253" s="530"/>
      <c r="T253" s="535"/>
      <c r="U253" s="535"/>
      <c r="V253" s="535"/>
      <c r="W253" s="535"/>
      <c r="X253" s="535"/>
      <c r="Y253" s="41">
        <f>'Income Statement'!BO274</f>
        <v>0</v>
      </c>
      <c r="Z253" s="41">
        <f>'Income Statement'!BT274</f>
        <v>0</v>
      </c>
      <c r="AA253" s="41">
        <f>'Income Statement'!BY274</f>
        <v>1525</v>
      </c>
      <c r="AB253" s="41">
        <f>'Income Statement'!CD274</f>
        <v>1508</v>
      </c>
      <c r="AC253" s="41">
        <f>'Income Statement'!CE274</f>
        <v>1583.4</v>
      </c>
      <c r="AD253" s="41">
        <f>'Income Statement'!CF274</f>
        <v>1662.5700000000002</v>
      </c>
      <c r="AE253" s="41">
        <f>'Income Statement'!CG274</f>
        <v>1745.6985000000002</v>
      </c>
      <c r="AF253" s="41">
        <f>'Income Statement'!CH274</f>
        <v>1832.9834250000004</v>
      </c>
      <c r="AG253" s="41">
        <f>'Income Statement'!CI274</f>
        <v>1924.6325962500005</v>
      </c>
      <c r="AH253" s="41">
        <f>'Income Statement'!CJ274</f>
        <v>2020.8642260625006</v>
      </c>
      <c r="AI253" s="41">
        <f>'Income Statement'!CK274</f>
        <v>2121.9074373656258</v>
      </c>
      <c r="AJ253" s="41">
        <f>'Income Statement'!CL274</f>
        <v>2228.0028092339071</v>
      </c>
      <c r="AK253" s="41">
        <f>'Income Statement'!CM274</f>
        <v>2339.4029496956027</v>
      </c>
      <c r="AL253" s="534"/>
      <c r="AM253" s="534"/>
      <c r="AN253" s="534"/>
      <c r="AO253" s="7"/>
    </row>
    <row r="254" spans="1:41" s="527" customFormat="1" ht="15">
      <c r="B254" s="529"/>
      <c r="C254" s="529"/>
      <c r="D254" s="4"/>
      <c r="E254" s="4"/>
      <c r="F254" s="4"/>
      <c r="G254" s="4"/>
      <c r="H254" s="4"/>
      <c r="I254" s="4"/>
      <c r="J254" s="4"/>
      <c r="K254" s="4"/>
      <c r="L254" s="4"/>
      <c r="M254" s="4"/>
      <c r="N254" s="4"/>
      <c r="O254" s="4"/>
      <c r="P254" s="4"/>
      <c r="Q254" s="4"/>
      <c r="R254" s="4"/>
      <c r="S254" s="4"/>
      <c r="T254" s="536"/>
      <c r="U254" s="536"/>
      <c r="V254" s="536"/>
      <c r="W254" s="536"/>
      <c r="X254" s="536"/>
      <c r="Y254" s="536"/>
      <c r="Z254" s="536"/>
      <c r="AA254" s="536"/>
      <c r="AB254" s="536"/>
      <c r="AC254" s="536"/>
      <c r="AD254" s="536"/>
      <c r="AE254" s="536"/>
      <c r="AF254" s="536"/>
      <c r="AG254" s="536"/>
      <c r="AH254" s="536"/>
      <c r="AI254" s="536"/>
      <c r="AJ254" s="536"/>
      <c r="AO254" s="7"/>
    </row>
    <row r="255" spans="1:41">
      <c r="B255" s="1" t="s">
        <v>696</v>
      </c>
    </row>
    <row r="256" spans="1:41">
      <c r="B256" s="3" t="s">
        <v>702</v>
      </c>
    </row>
    <row r="257" spans="2:37">
      <c r="B257" s="1" t="s">
        <v>697</v>
      </c>
    </row>
    <row r="258" spans="2:37">
      <c r="B258" s="1" t="s">
        <v>2</v>
      </c>
      <c r="C258" s="544">
        <f>C19</f>
        <v>0</v>
      </c>
      <c r="D258" s="544">
        <f t="shared" ref="D258:K258" si="88">D19</f>
        <v>0</v>
      </c>
      <c r="E258" s="544">
        <f t="shared" si="88"/>
        <v>0</v>
      </c>
      <c r="F258" s="544">
        <f t="shared" si="88"/>
        <v>0</v>
      </c>
      <c r="G258" s="544">
        <f t="shared" si="88"/>
        <v>0</v>
      </c>
      <c r="H258" s="544">
        <f t="shared" si="88"/>
        <v>0</v>
      </c>
      <c r="I258" s="544">
        <f t="shared" si="88"/>
        <v>0</v>
      </c>
      <c r="J258" s="544">
        <f t="shared" si="88"/>
        <v>0</v>
      </c>
      <c r="K258" s="544">
        <f t="shared" si="88"/>
        <v>0</v>
      </c>
      <c r="L258" s="544">
        <f t="shared" ref="L258:Y258" si="89">L19</f>
        <v>0</v>
      </c>
      <c r="M258" s="544">
        <f t="shared" si="89"/>
        <v>4402.2000000000007</v>
      </c>
      <c r="N258" s="544">
        <f t="shared" si="89"/>
        <v>4220</v>
      </c>
      <c r="O258" s="544">
        <f t="shared" si="89"/>
        <v>4416</v>
      </c>
      <c r="P258" s="544">
        <f t="shared" si="89"/>
        <v>4423</v>
      </c>
      <c r="Q258" s="544">
        <f t="shared" si="89"/>
        <v>4359</v>
      </c>
      <c r="R258" s="544">
        <f t="shared" si="89"/>
        <v>4364</v>
      </c>
      <c r="S258" s="544">
        <f t="shared" si="89"/>
        <v>4272</v>
      </c>
      <c r="T258" s="544">
        <f t="shared" si="89"/>
        <v>4331</v>
      </c>
      <c r="U258" s="544">
        <f t="shared" si="89"/>
        <v>4551</v>
      </c>
      <c r="V258" s="544">
        <f t="shared" si="89"/>
        <v>4308</v>
      </c>
      <c r="W258" s="544">
        <f t="shared" si="89"/>
        <v>3817</v>
      </c>
      <c r="X258" s="544">
        <f t="shared" si="89"/>
        <v>3891</v>
      </c>
      <c r="Y258" s="544">
        <f t="shared" si="89"/>
        <v>3759</v>
      </c>
      <c r="Z258" s="544">
        <f t="shared" ref="Z258:AG258" si="90">Z19</f>
        <v>3858</v>
      </c>
      <c r="AA258" s="544">
        <f t="shared" si="90"/>
        <v>3929</v>
      </c>
      <c r="AB258" s="544">
        <f t="shared" si="90"/>
        <v>3960</v>
      </c>
      <c r="AC258" s="544">
        <f t="shared" si="90"/>
        <v>4171.0576269054345</v>
      </c>
      <c r="AD258" s="544">
        <f t="shared" si="90"/>
        <v>4296.5338349015092</v>
      </c>
      <c r="AE258" s="544">
        <f t="shared" si="90"/>
        <v>4436.3939792013425</v>
      </c>
      <c r="AF258" s="544">
        <f t="shared" si="90"/>
        <v>4589.6746823582716</v>
      </c>
      <c r="AG258" s="544">
        <f t="shared" si="90"/>
        <v>4755.1149503443366</v>
      </c>
      <c r="AH258" s="544">
        <f t="shared" ref="AH258:AK258" si="91">AH19</f>
        <v>4921.3878769655921</v>
      </c>
      <c r="AI258" s="544">
        <f t="shared" si="91"/>
        <v>5088.8125944151761</v>
      </c>
      <c r="AJ258" s="544">
        <f t="shared" si="91"/>
        <v>5257.7045052849217</v>
      </c>
      <c r="AK258" s="544">
        <f t="shared" si="91"/>
        <v>5428.3759740857668</v>
      </c>
    </row>
    <row r="259" spans="2:37">
      <c r="B259" s="1" t="s">
        <v>698</v>
      </c>
      <c r="C259" s="544">
        <f t="shared" ref="C259:AG259" si="92">C20+C21</f>
        <v>0</v>
      </c>
      <c r="D259" s="544">
        <f t="shared" si="92"/>
        <v>0</v>
      </c>
      <c r="E259" s="544">
        <f t="shared" si="92"/>
        <v>0</v>
      </c>
      <c r="F259" s="544">
        <f t="shared" si="92"/>
        <v>0</v>
      </c>
      <c r="G259" s="544">
        <f t="shared" si="92"/>
        <v>0</v>
      </c>
      <c r="H259" s="544">
        <f t="shared" si="92"/>
        <v>0</v>
      </c>
      <c r="I259" s="544">
        <f t="shared" si="92"/>
        <v>0</v>
      </c>
      <c r="J259" s="544">
        <f t="shared" si="92"/>
        <v>0</v>
      </c>
      <c r="K259" s="544">
        <f t="shared" si="92"/>
        <v>0</v>
      </c>
      <c r="L259" s="544">
        <f t="shared" si="92"/>
        <v>894</v>
      </c>
      <c r="M259" s="544">
        <f t="shared" si="92"/>
        <v>1192.2</v>
      </c>
      <c r="N259" s="544">
        <f t="shared" si="92"/>
        <v>1165</v>
      </c>
      <c r="O259" s="544">
        <f t="shared" si="92"/>
        <v>1073</v>
      </c>
      <c r="P259" s="544">
        <f t="shared" si="92"/>
        <v>1191</v>
      </c>
      <c r="Q259" s="544">
        <f t="shared" si="92"/>
        <v>1362</v>
      </c>
      <c r="R259" s="544">
        <f t="shared" si="92"/>
        <v>1366</v>
      </c>
      <c r="S259" s="544">
        <f t="shared" si="92"/>
        <v>1427</v>
      </c>
      <c r="T259" s="544">
        <f t="shared" si="92"/>
        <v>1270</v>
      </c>
      <c r="U259" s="544">
        <f t="shared" si="92"/>
        <v>1393</v>
      </c>
      <c r="V259" s="544">
        <f t="shared" si="92"/>
        <v>1420</v>
      </c>
      <c r="W259" s="544">
        <f t="shared" si="92"/>
        <v>1068</v>
      </c>
      <c r="X259" s="544">
        <f t="shared" si="92"/>
        <v>1265</v>
      </c>
      <c r="Y259" s="544">
        <f t="shared" si="92"/>
        <v>1475</v>
      </c>
      <c r="Z259" s="544">
        <f t="shared" si="92"/>
        <v>1701</v>
      </c>
      <c r="AA259" s="544">
        <f t="shared" si="92"/>
        <v>1721</v>
      </c>
      <c r="AB259" s="544">
        <f t="shared" si="92"/>
        <v>1903</v>
      </c>
      <c r="AC259" s="544">
        <f t="shared" si="92"/>
        <v>1823.7235397382501</v>
      </c>
      <c r="AD259" s="544">
        <f t="shared" si="92"/>
        <v>1736.1104658809845</v>
      </c>
      <c r="AE259" s="544">
        <f t="shared" si="92"/>
        <v>1677.9421231987874</v>
      </c>
      <c r="AF259" s="544">
        <f t="shared" si="92"/>
        <v>1642.2206897169945</v>
      </c>
      <c r="AG259" s="544">
        <f t="shared" si="92"/>
        <v>1623.934120891648</v>
      </c>
      <c r="AH259" s="544">
        <f t="shared" ref="AH259:AK259" si="93">AH20+AH21</f>
        <v>1619.3463252298689</v>
      </c>
      <c r="AI259" s="544">
        <f t="shared" si="93"/>
        <v>1624.7992659102024</v>
      </c>
      <c r="AJ259" s="544">
        <f t="shared" si="93"/>
        <v>1637.6460822574247</v>
      </c>
      <c r="AK259" s="544">
        <f t="shared" si="93"/>
        <v>1655.9770123057474</v>
      </c>
    </row>
    <row r="260" spans="2:37">
      <c r="B260" s="1" t="s">
        <v>76</v>
      </c>
      <c r="C260" s="544">
        <f>C258-C259</f>
        <v>0</v>
      </c>
      <c r="D260" s="544">
        <f t="shared" ref="D260:K260" si="94">D258-D259</f>
        <v>0</v>
      </c>
      <c r="E260" s="544">
        <f t="shared" si="94"/>
        <v>0</v>
      </c>
      <c r="F260" s="544">
        <f t="shared" si="94"/>
        <v>0</v>
      </c>
      <c r="G260" s="544">
        <f t="shared" si="94"/>
        <v>0</v>
      </c>
      <c r="H260" s="544">
        <f t="shared" si="94"/>
        <v>0</v>
      </c>
      <c r="I260" s="544">
        <f t="shared" si="94"/>
        <v>0</v>
      </c>
      <c r="J260" s="544">
        <f t="shared" si="94"/>
        <v>0</v>
      </c>
      <c r="K260" s="544">
        <f t="shared" si="94"/>
        <v>0</v>
      </c>
      <c r="L260" s="544">
        <f t="shared" ref="L260" si="95">L258-L259</f>
        <v>-894</v>
      </c>
      <c r="M260" s="544">
        <f t="shared" ref="M260" si="96">M258-M259</f>
        <v>3210.0000000000009</v>
      </c>
      <c r="N260" s="544">
        <f t="shared" ref="N260" si="97">N258-N259</f>
        <v>3055</v>
      </c>
      <c r="O260" s="544">
        <f t="shared" ref="O260" si="98">O258-O259</f>
        <v>3343</v>
      </c>
      <c r="P260" s="544">
        <f t="shared" ref="P260" si="99">P258-P259</f>
        <v>3232</v>
      </c>
      <c r="Q260" s="544">
        <f t="shared" ref="Q260" si="100">Q258-Q259</f>
        <v>2997</v>
      </c>
      <c r="R260" s="544">
        <f t="shared" ref="R260" si="101">R258-R259</f>
        <v>2998</v>
      </c>
      <c r="S260" s="544">
        <f t="shared" ref="S260" si="102">S258-S259</f>
        <v>2845</v>
      </c>
      <c r="T260" s="544">
        <f t="shared" ref="T260" si="103">T258-T259</f>
        <v>3061</v>
      </c>
      <c r="U260" s="544">
        <f t="shared" ref="U260" si="104">U258-U259</f>
        <v>3158</v>
      </c>
      <c r="V260" s="544">
        <f t="shared" ref="V260" si="105">V258-V259</f>
        <v>2888</v>
      </c>
      <c r="W260" s="544">
        <f t="shared" ref="W260" si="106">W258-W259</f>
        <v>2749</v>
      </c>
      <c r="X260" s="544">
        <f t="shared" ref="X260" si="107">X258-X259</f>
        <v>2626</v>
      </c>
      <c r="Y260" s="544">
        <f t="shared" ref="Y260" si="108">Y258-Y259</f>
        <v>2284</v>
      </c>
      <c r="Z260" s="544">
        <f t="shared" ref="Z260" si="109">Z258-Z259</f>
        <v>2157</v>
      </c>
      <c r="AA260" s="544">
        <f t="shared" ref="AA260" si="110">AA258-AA259</f>
        <v>2208</v>
      </c>
      <c r="AB260" s="544">
        <f t="shared" ref="AB260" si="111">AB258-AB259</f>
        <v>2057</v>
      </c>
      <c r="AC260" s="544">
        <f t="shared" ref="AC260" si="112">AC258-AC259</f>
        <v>2347.3340871671844</v>
      </c>
      <c r="AD260" s="544">
        <f t="shared" ref="AD260" si="113">AD258-AD259</f>
        <v>2560.4233690205247</v>
      </c>
      <c r="AE260" s="544">
        <f t="shared" ref="AE260" si="114">AE258-AE259</f>
        <v>2758.4518560025554</v>
      </c>
      <c r="AF260" s="544">
        <f t="shared" ref="AF260" si="115">AF258-AF259</f>
        <v>2947.4539926412772</v>
      </c>
      <c r="AG260" s="544">
        <f t="shared" ref="AG260:AK260" si="116">AG258-AG259</f>
        <v>3131.1808294526886</v>
      </c>
      <c r="AH260" s="544">
        <f t="shared" si="116"/>
        <v>3302.0415517357233</v>
      </c>
      <c r="AI260" s="544">
        <f t="shared" si="116"/>
        <v>3464.0133285049737</v>
      </c>
      <c r="AJ260" s="544">
        <f t="shared" si="116"/>
        <v>3620.0584230274972</v>
      </c>
      <c r="AK260" s="544">
        <f t="shared" si="116"/>
        <v>3772.3989617800194</v>
      </c>
    </row>
    <row r="261" spans="2:37">
      <c r="B261" s="1" t="s">
        <v>699</v>
      </c>
      <c r="C261" s="544">
        <f>25%*C260</f>
        <v>0</v>
      </c>
      <c r="D261" s="544">
        <f t="shared" ref="D261:K261" si="117">25%*D260</f>
        <v>0</v>
      </c>
      <c r="E261" s="544">
        <f t="shared" si="117"/>
        <v>0</v>
      </c>
      <c r="F261" s="544">
        <f t="shared" si="117"/>
        <v>0</v>
      </c>
      <c r="G261" s="544">
        <f t="shared" si="117"/>
        <v>0</v>
      </c>
      <c r="H261" s="544">
        <f t="shared" si="117"/>
        <v>0</v>
      </c>
      <c r="I261" s="544">
        <f t="shared" si="117"/>
        <v>0</v>
      </c>
      <c r="J261" s="544">
        <f t="shared" si="117"/>
        <v>0</v>
      </c>
      <c r="K261" s="544">
        <f t="shared" si="117"/>
        <v>0</v>
      </c>
      <c r="L261" s="544">
        <f t="shared" ref="L261" si="118">25%*L260</f>
        <v>-223.5</v>
      </c>
      <c r="M261" s="544">
        <f t="shared" ref="M261" si="119">25%*M260</f>
        <v>802.50000000000023</v>
      </c>
      <c r="N261" s="544">
        <f t="shared" ref="N261" si="120">25%*N260</f>
        <v>763.75</v>
      </c>
      <c r="O261" s="544">
        <f t="shared" ref="O261" si="121">25%*O260</f>
        <v>835.75</v>
      </c>
      <c r="P261" s="544">
        <f t="shared" ref="P261" si="122">25%*P260</f>
        <v>808</v>
      </c>
      <c r="Q261" s="544">
        <f t="shared" ref="Q261" si="123">25%*Q260</f>
        <v>749.25</v>
      </c>
      <c r="R261" s="544">
        <f t="shared" ref="R261" si="124">25%*R260</f>
        <v>749.5</v>
      </c>
      <c r="S261" s="544">
        <f t="shared" ref="S261" si="125">25%*S260</f>
        <v>711.25</v>
      </c>
      <c r="T261" s="544">
        <f t="shared" ref="T261" si="126">25%*T260</f>
        <v>765.25</v>
      </c>
      <c r="U261" s="544">
        <f t="shared" ref="U261" si="127">25%*U260</f>
        <v>789.5</v>
      </c>
      <c r="V261" s="544">
        <f t="shared" ref="V261" si="128">25%*V260</f>
        <v>722</v>
      </c>
      <c r="W261" s="544">
        <f t="shared" ref="W261" si="129">25%*W260</f>
        <v>687.25</v>
      </c>
      <c r="X261" s="544">
        <f t="shared" ref="X261" si="130">25%*X260</f>
        <v>656.5</v>
      </c>
      <c r="Y261" s="544">
        <f t="shared" ref="Y261" si="131">25%*Y260</f>
        <v>571</v>
      </c>
      <c r="Z261" s="544">
        <f t="shared" ref="Z261" si="132">25%*Z260</f>
        <v>539.25</v>
      </c>
      <c r="AA261" s="544">
        <f t="shared" ref="AA261" si="133">25%*AA260</f>
        <v>552</v>
      </c>
      <c r="AB261" s="544">
        <f t="shared" ref="AB261" si="134">25%*AB260</f>
        <v>514.25</v>
      </c>
      <c r="AC261" s="544">
        <f t="shared" ref="AC261" si="135">25%*AC260</f>
        <v>586.8335217917961</v>
      </c>
      <c r="AD261" s="544">
        <f t="shared" ref="AD261" si="136">25%*AD260</f>
        <v>640.10584225513117</v>
      </c>
      <c r="AE261" s="544">
        <f t="shared" ref="AE261" si="137">25%*AE260</f>
        <v>689.61296400063884</v>
      </c>
      <c r="AF261" s="544">
        <f t="shared" ref="AF261" si="138">25%*AF260</f>
        <v>736.8634981603193</v>
      </c>
      <c r="AG261" s="544">
        <f t="shared" ref="AG261:AK261" si="139">25%*AG260</f>
        <v>782.79520736317215</v>
      </c>
      <c r="AH261" s="544">
        <f t="shared" si="139"/>
        <v>825.51038793393082</v>
      </c>
      <c r="AI261" s="544">
        <f t="shared" si="139"/>
        <v>866.00333212624344</v>
      </c>
      <c r="AJ261" s="544">
        <f t="shared" si="139"/>
        <v>905.01460575687429</v>
      </c>
      <c r="AK261" s="544">
        <f t="shared" si="139"/>
        <v>943.09974044500484</v>
      </c>
    </row>
    <row r="262" spans="2:37">
      <c r="B262" s="163" t="s">
        <v>700</v>
      </c>
      <c r="C262" s="544">
        <f>C260-C261</f>
        <v>0</v>
      </c>
      <c r="D262" s="544">
        <f t="shared" ref="D262:K262" si="140">D260-D261</f>
        <v>0</v>
      </c>
      <c r="E262" s="544">
        <f t="shared" si="140"/>
        <v>0</v>
      </c>
      <c r="F262" s="544">
        <f t="shared" si="140"/>
        <v>0</v>
      </c>
      <c r="G262" s="544">
        <f t="shared" si="140"/>
        <v>0</v>
      </c>
      <c r="H262" s="544">
        <f t="shared" si="140"/>
        <v>0</v>
      </c>
      <c r="I262" s="544">
        <f t="shared" si="140"/>
        <v>0</v>
      </c>
      <c r="J262" s="544">
        <f t="shared" si="140"/>
        <v>0</v>
      </c>
      <c r="K262" s="544">
        <f t="shared" si="140"/>
        <v>0</v>
      </c>
      <c r="L262" s="544">
        <f t="shared" ref="L262" si="141">L260-L261</f>
        <v>-670.5</v>
      </c>
      <c r="M262" s="544">
        <f t="shared" ref="M262" si="142">M260-M261</f>
        <v>2407.5000000000009</v>
      </c>
      <c r="N262" s="544">
        <f t="shared" ref="N262" si="143">N260-N261</f>
        <v>2291.25</v>
      </c>
      <c r="O262" s="544">
        <f t="shared" ref="O262" si="144">O260-O261</f>
        <v>2507.25</v>
      </c>
      <c r="P262" s="544">
        <f t="shared" ref="P262" si="145">P260-P261</f>
        <v>2424</v>
      </c>
      <c r="Q262" s="544">
        <f t="shared" ref="Q262" si="146">Q260-Q261</f>
        <v>2247.75</v>
      </c>
      <c r="R262" s="544">
        <f t="shared" ref="R262" si="147">R260-R261</f>
        <v>2248.5</v>
      </c>
      <c r="S262" s="544">
        <f t="shared" ref="S262" si="148">S260-S261</f>
        <v>2133.75</v>
      </c>
      <c r="T262" s="544">
        <f t="shared" ref="T262" si="149">T260-T261</f>
        <v>2295.75</v>
      </c>
      <c r="U262" s="544">
        <f t="shared" ref="U262" si="150">U260-U261</f>
        <v>2368.5</v>
      </c>
      <c r="V262" s="544">
        <f t="shared" ref="V262" si="151">V260-V261</f>
        <v>2166</v>
      </c>
      <c r="W262" s="544">
        <f t="shared" ref="W262" si="152">W260-W261</f>
        <v>2061.75</v>
      </c>
      <c r="X262" s="544">
        <f t="shared" ref="X262" si="153">X260-X261</f>
        <v>1969.5</v>
      </c>
      <c r="Y262" s="544">
        <f t="shared" ref="Y262" si="154">Y260-Y261</f>
        <v>1713</v>
      </c>
      <c r="Z262" s="544">
        <f t="shared" ref="Z262" si="155">Z260-Z261</f>
        <v>1617.75</v>
      </c>
      <c r="AA262" s="544">
        <f t="shared" ref="AA262" si="156">AA260-AA261</f>
        <v>1656</v>
      </c>
      <c r="AB262" s="544">
        <f t="shared" ref="AB262" si="157">AB260-AB261</f>
        <v>1542.75</v>
      </c>
      <c r="AC262" s="544">
        <f t="shared" ref="AC262" si="158">AC260-AC261</f>
        <v>1760.5005653753883</v>
      </c>
      <c r="AD262" s="544">
        <f t="shared" ref="AD262" si="159">AD260-AD261</f>
        <v>1920.3175267653935</v>
      </c>
      <c r="AE262" s="544">
        <f t="shared" ref="AE262" si="160">AE260-AE261</f>
        <v>2068.8388920019165</v>
      </c>
      <c r="AF262" s="544">
        <f t="shared" ref="AF262" si="161">AF260-AF261</f>
        <v>2210.5904944809581</v>
      </c>
      <c r="AG262" s="544">
        <f t="shared" ref="AG262:AK262" si="162">AG260-AG261</f>
        <v>2348.3856220895163</v>
      </c>
      <c r="AH262" s="544">
        <f t="shared" si="162"/>
        <v>2476.5311638017924</v>
      </c>
      <c r="AI262" s="544">
        <f t="shared" si="162"/>
        <v>2598.0099963787302</v>
      </c>
      <c r="AJ262" s="544">
        <f t="shared" si="162"/>
        <v>2715.0438172706226</v>
      </c>
      <c r="AK262" s="544">
        <f t="shared" si="162"/>
        <v>2829.2992213350144</v>
      </c>
    </row>
    <row r="263" spans="2:37" ht="15">
      <c r="B263"/>
      <c r="C263" s="544"/>
      <c r="D263" s="544"/>
      <c r="E263" s="544"/>
      <c r="F263" s="544"/>
      <c r="G263" s="544"/>
      <c r="H263" s="544"/>
      <c r="I263" s="544"/>
      <c r="J263" s="544"/>
      <c r="K263" s="544"/>
      <c r="L263" s="544"/>
      <c r="M263" s="544"/>
      <c r="N263" s="544"/>
      <c r="O263" s="544"/>
      <c r="P263" s="544"/>
      <c r="Q263" s="544"/>
      <c r="R263" s="544"/>
      <c r="S263" s="544"/>
      <c r="T263" s="544"/>
      <c r="U263" s="544"/>
      <c r="V263" s="544"/>
      <c r="W263" s="544"/>
      <c r="X263" s="544"/>
      <c r="Y263" s="544"/>
      <c r="Z263" s="544"/>
      <c r="AA263" s="544"/>
      <c r="AB263" s="544"/>
      <c r="AC263" s="544"/>
      <c r="AD263" s="544"/>
      <c r="AE263" s="544"/>
      <c r="AF263" s="544"/>
      <c r="AG263" s="544"/>
      <c r="AH263" s="544"/>
      <c r="AI263" s="544"/>
      <c r="AJ263" s="544"/>
      <c r="AK263" s="544"/>
    </row>
    <row r="264" spans="2:37">
      <c r="B264" s="1" t="s">
        <v>248</v>
      </c>
      <c r="C264" s="544">
        <f>C22</f>
        <v>0</v>
      </c>
      <c r="D264" s="544">
        <f t="shared" ref="D264:K264" si="163">D22</f>
        <v>0</v>
      </c>
      <c r="E264" s="544">
        <f t="shared" si="163"/>
        <v>0</v>
      </c>
      <c r="F264" s="544">
        <f t="shared" si="163"/>
        <v>0</v>
      </c>
      <c r="G264" s="544">
        <f t="shared" si="163"/>
        <v>0</v>
      </c>
      <c r="H264" s="544">
        <f t="shared" si="163"/>
        <v>0</v>
      </c>
      <c r="I264" s="544">
        <f t="shared" si="163"/>
        <v>0</v>
      </c>
      <c r="J264" s="544">
        <f t="shared" si="163"/>
        <v>0</v>
      </c>
      <c r="K264" s="544">
        <f t="shared" si="163"/>
        <v>0</v>
      </c>
      <c r="L264" s="544">
        <f t="shared" ref="L264:Y264" si="164">L22</f>
        <v>1124</v>
      </c>
      <c r="M264" s="544">
        <f t="shared" si="164"/>
        <v>802.8</v>
      </c>
      <c r="N264" s="544">
        <f t="shared" si="164"/>
        <v>590</v>
      </c>
      <c r="O264" s="544">
        <f t="shared" si="164"/>
        <v>1444</v>
      </c>
      <c r="P264" s="544">
        <f t="shared" si="164"/>
        <v>989</v>
      </c>
      <c r="Q264" s="544">
        <f t="shared" si="164"/>
        <v>990</v>
      </c>
      <c r="R264" s="544">
        <f t="shared" si="164"/>
        <v>815</v>
      </c>
      <c r="S264" s="544">
        <f t="shared" si="164"/>
        <v>1140</v>
      </c>
      <c r="T264" s="544">
        <f t="shared" si="164"/>
        <v>1304</v>
      </c>
      <c r="U264" s="544">
        <f t="shared" si="164"/>
        <v>1189</v>
      </c>
      <c r="V264" s="544">
        <f t="shared" si="164"/>
        <v>1028</v>
      </c>
      <c r="W264" s="544">
        <f t="shared" si="164"/>
        <v>1038</v>
      </c>
      <c r="X264" s="544">
        <f t="shared" si="164"/>
        <v>1213</v>
      </c>
      <c r="Y264" s="544">
        <f t="shared" si="164"/>
        <v>1245</v>
      </c>
      <c r="Z264" s="544">
        <f t="shared" ref="Z264:AG264" si="165">Z22</f>
        <v>1187</v>
      </c>
      <c r="AA264" s="544">
        <f t="shared" si="165"/>
        <v>1114</v>
      </c>
      <c r="AB264" s="544">
        <f t="shared" si="165"/>
        <v>813</v>
      </c>
      <c r="AC264" s="544">
        <f t="shared" si="165"/>
        <v>1169.1711871344103</v>
      </c>
      <c r="AD264" s="544">
        <f t="shared" si="165"/>
        <v>1199.4569589834009</v>
      </c>
      <c r="AE264" s="544">
        <f t="shared" si="165"/>
        <v>1233.0654208185015</v>
      </c>
      <c r="AF264" s="544">
        <f t="shared" si="165"/>
        <v>1270.3482867987418</v>
      </c>
      <c r="AG264" s="544">
        <f t="shared" si="165"/>
        <v>1311.0181441182078</v>
      </c>
      <c r="AH264" s="544">
        <f t="shared" ref="AH264:AK264" si="166">AH22</f>
        <v>1351.6338799978996</v>
      </c>
      <c r="AI264" s="544">
        <f t="shared" si="166"/>
        <v>1392.2826707675792</v>
      </c>
      <c r="AJ264" s="544">
        <f t="shared" si="166"/>
        <v>1433.0492427206093</v>
      </c>
      <c r="AK264" s="544">
        <f t="shared" si="166"/>
        <v>1608.0176021326579</v>
      </c>
    </row>
    <row r="265" spans="2:37">
      <c r="B265" s="1" t="s">
        <v>701</v>
      </c>
      <c r="C265" s="544"/>
      <c r="D265" s="544"/>
      <c r="E265" s="544"/>
      <c r="F265" s="544"/>
      <c r="G265" s="544"/>
      <c r="H265" s="544"/>
      <c r="I265" s="544"/>
      <c r="J265" s="544"/>
      <c r="K265" s="544"/>
      <c r="L265" s="544"/>
      <c r="M265" s="544"/>
      <c r="N265" s="544"/>
      <c r="O265" s="544"/>
      <c r="P265" s="544">
        <f>AVERAGE(L264:P264)*5</f>
        <v>4949.8</v>
      </c>
      <c r="Q265" s="544">
        <f t="shared" ref="Q265:Y265" si="167">AVERAGE(M264:Q264)*5</f>
        <v>4815.8</v>
      </c>
      <c r="R265" s="544">
        <f t="shared" si="167"/>
        <v>4828</v>
      </c>
      <c r="S265" s="544">
        <f t="shared" si="167"/>
        <v>5378</v>
      </c>
      <c r="T265" s="544">
        <f t="shared" si="167"/>
        <v>5238</v>
      </c>
      <c r="U265" s="544">
        <f t="shared" si="167"/>
        <v>5438</v>
      </c>
      <c r="V265" s="544">
        <f t="shared" si="167"/>
        <v>5476</v>
      </c>
      <c r="W265" s="544">
        <f t="shared" si="167"/>
        <v>5699</v>
      </c>
      <c r="X265" s="544">
        <f t="shared" si="167"/>
        <v>5772</v>
      </c>
      <c r="Y265" s="544">
        <f t="shared" si="167"/>
        <v>5713</v>
      </c>
      <c r="Z265" s="544">
        <f t="shared" ref="Z265" si="168">AVERAGE(V264:Z264)*5</f>
        <v>5711</v>
      </c>
      <c r="AA265" s="544">
        <f t="shared" ref="AA265" si="169">AVERAGE(W264:AA264)*5</f>
        <v>5797</v>
      </c>
      <c r="AB265" s="544">
        <f t="shared" ref="AB265" si="170">AVERAGE(X264:AB264)*5</f>
        <v>5572</v>
      </c>
      <c r="AC265" s="544">
        <f t="shared" ref="AC265" si="171">AVERAGE(Y264:AC264)*5</f>
        <v>5528.1711871344105</v>
      </c>
      <c r="AD265" s="544">
        <f t="shared" ref="AD265" si="172">AVERAGE(Z264:AD264)*5</f>
        <v>5482.6281461178114</v>
      </c>
      <c r="AE265" s="544">
        <f t="shared" ref="AE265" si="173">AVERAGE(AA264:AE264)*5</f>
        <v>5528.6935669363129</v>
      </c>
      <c r="AF265" s="544">
        <f t="shared" ref="AF265" si="174">AVERAGE(AB264:AF264)*5</f>
        <v>5685.0418537350542</v>
      </c>
      <c r="AG265" s="544">
        <f t="shared" ref="AG265" si="175">AVERAGE(AC264:AG264)*5</f>
        <v>6183.0599978532618</v>
      </c>
      <c r="AH265" s="544">
        <f t="shared" ref="AH265" si="176">AVERAGE(AD264:AH264)*5</f>
        <v>6365.5226907167516</v>
      </c>
      <c r="AI265" s="544">
        <f t="shared" ref="AI265" si="177">AVERAGE(AE264:AI264)*5</f>
        <v>6558.3484025009311</v>
      </c>
      <c r="AJ265" s="544">
        <f t="shared" ref="AJ265" si="178">AVERAGE(AF264:AJ264)*5</f>
        <v>6758.3322244030378</v>
      </c>
      <c r="AK265" s="544">
        <f t="shared" ref="AK265" si="179">AVERAGE(AG264:AK264)*5</f>
        <v>7096.0015397369534</v>
      </c>
    </row>
    <row r="266" spans="2:37" ht="15">
      <c r="B266"/>
    </row>
    <row r="267" spans="2:37">
      <c r="B267" s="3" t="s">
        <v>705</v>
      </c>
      <c r="P267" s="2">
        <f>P262/P265</f>
        <v>0.48971675623257505</v>
      </c>
      <c r="Q267" s="2">
        <f t="shared" ref="Q267:AG267" si="180">Q262/Q265</f>
        <v>0.46674488143195314</v>
      </c>
      <c r="R267" s="2">
        <f t="shared" si="180"/>
        <v>0.46572079536039768</v>
      </c>
      <c r="S267" s="2">
        <f t="shared" si="180"/>
        <v>0.39675529936779474</v>
      </c>
      <c r="T267" s="2">
        <f t="shared" si="180"/>
        <v>0.43828751431844215</v>
      </c>
      <c r="U267" s="2">
        <f t="shared" si="180"/>
        <v>0.43554615667524826</v>
      </c>
      <c r="V267" s="2">
        <f t="shared" si="180"/>
        <v>0.39554419284149012</v>
      </c>
      <c r="W267" s="2">
        <f t="shared" si="180"/>
        <v>0.36177399543779609</v>
      </c>
      <c r="X267" s="2">
        <f t="shared" si="180"/>
        <v>0.34121621621621623</v>
      </c>
      <c r="Y267" s="2">
        <f t="shared" si="180"/>
        <v>0.29984246455452479</v>
      </c>
      <c r="Z267" s="2">
        <f t="shared" si="180"/>
        <v>0.283269129749606</v>
      </c>
      <c r="AA267" s="2">
        <f t="shared" si="180"/>
        <v>0.28566499913748489</v>
      </c>
      <c r="AB267" s="2">
        <f t="shared" si="180"/>
        <v>0.27687544867193109</v>
      </c>
      <c r="AC267" s="2">
        <f t="shared" si="180"/>
        <v>0.31845984970084901</v>
      </c>
      <c r="AD267" s="2">
        <f t="shared" si="180"/>
        <v>0.35025492803577224</v>
      </c>
      <c r="AE267" s="2">
        <f t="shared" si="180"/>
        <v>0.37420031820435096</v>
      </c>
      <c r="AF267" s="2">
        <f t="shared" si="180"/>
        <v>0.38884331045489268</v>
      </c>
      <c r="AG267" s="2">
        <f t="shared" si="180"/>
        <v>0.37980961253891571</v>
      </c>
      <c r="AH267" s="2">
        <f t="shared" ref="AH267:AK267" si="181">AH262/AH265</f>
        <v>0.38905385843859702</v>
      </c>
      <c r="AI267" s="2">
        <f t="shared" si="181"/>
        <v>0.39613784400170271</v>
      </c>
      <c r="AJ267" s="2">
        <f t="shared" si="181"/>
        <v>0.40173281323269688</v>
      </c>
      <c r="AK267" s="2">
        <f t="shared" si="181"/>
        <v>0.3987173911238886</v>
      </c>
    </row>
    <row r="269" spans="2:37">
      <c r="B269" s="3" t="s">
        <v>703</v>
      </c>
    </row>
    <row r="270" spans="2:37">
      <c r="B270" s="7" t="s">
        <v>704</v>
      </c>
      <c r="C270" s="544"/>
      <c r="D270" s="544"/>
      <c r="E270" s="544"/>
      <c r="F270" s="544"/>
      <c r="G270" s="544"/>
      <c r="H270" s="544"/>
      <c r="I270" s="544"/>
      <c r="J270" s="544"/>
      <c r="K270" s="544"/>
      <c r="L270" s="544"/>
      <c r="M270" s="544"/>
      <c r="N270" s="544">
        <f>'Balance Sheet and Cflow'!D50</f>
        <v>14540</v>
      </c>
      <c r="O270" s="544">
        <f>'Balance Sheet and Cflow'!E50</f>
        <v>14915</v>
      </c>
      <c r="P270" s="544">
        <f>'Balance Sheet and Cflow'!F50</f>
        <v>15069</v>
      </c>
      <c r="Q270" s="544">
        <f>'Balance Sheet and Cflow'!G50</f>
        <v>14510.487727272728</v>
      </c>
      <c r="R270" s="544">
        <f>'Balance Sheet and Cflow'!H50</f>
        <v>14579</v>
      </c>
      <c r="S270" s="544">
        <f>'Balance Sheet and Cflow'!I50</f>
        <v>14807</v>
      </c>
      <c r="T270" s="544">
        <f>'Balance Sheet and Cflow'!J50</f>
        <v>15168</v>
      </c>
      <c r="U270" s="544">
        <f>'Balance Sheet and Cflow'!K50</f>
        <v>15747</v>
      </c>
      <c r="V270" s="544">
        <f>'Balance Sheet and Cflow'!L50</f>
        <v>15521.75</v>
      </c>
      <c r="W270" s="544">
        <f>'Balance Sheet and Cflow'!M50</f>
        <v>15465.456999999999</v>
      </c>
      <c r="X270" s="544">
        <f>'Balance Sheet and Cflow'!N50</f>
        <v>16833</v>
      </c>
      <c r="Y270" s="544">
        <f>'Balance Sheet and Cflow'!O50</f>
        <v>17726</v>
      </c>
      <c r="Z270" s="544">
        <f>'Balance Sheet and Cflow'!P50</f>
        <v>18203</v>
      </c>
      <c r="AA270" s="544">
        <f>'Balance Sheet and Cflow'!Q50</f>
        <v>18885</v>
      </c>
      <c r="AB270" s="544">
        <f>'Balance Sheet and Cflow'!R50</f>
        <v>18216</v>
      </c>
      <c r="AC270" s="544">
        <f>'Balance Sheet and Cflow'!S50</f>
        <v>17671.477542484041</v>
      </c>
      <c r="AD270" s="544">
        <f>'Balance Sheet and Cflow'!T50</f>
        <v>17266.479153769938</v>
      </c>
      <c r="AE270" s="544">
        <f>'Balance Sheet and Cflow'!U50</f>
        <v>16950.188062806199</v>
      </c>
      <c r="AF270" s="544">
        <f>'Balance Sheet and Cflow'!V50</f>
        <v>16704.23765734024</v>
      </c>
      <c r="AG270" s="544">
        <f>'Balance Sheet and Cflow'!W50</f>
        <v>16515.50547045124</v>
      </c>
      <c r="AH270" s="544">
        <f>'Balance Sheet and Cflow'!X50</f>
        <v>16373.06588425942</v>
      </c>
      <c r="AI270" s="544">
        <f>'Balance Sheet and Cflow'!Y50</f>
        <v>16266.677959379218</v>
      </c>
      <c r="AJ270" s="544">
        <f>'Balance Sheet and Cflow'!Z50</f>
        <v>16188.867589342497</v>
      </c>
      <c r="AK270" s="544">
        <f>'Balance Sheet and Cflow'!AA50</f>
        <v>16268.186162236379</v>
      </c>
    </row>
    <row r="272" spans="2:37">
      <c r="B272" s="28" t="s">
        <v>706</v>
      </c>
      <c r="N272" s="2">
        <f>N262/N270</f>
        <v>0.1575825309491059</v>
      </c>
      <c r="O272" s="2">
        <f t="shared" ref="O272:AG272" si="182">O262/O270</f>
        <v>0.16810258129399933</v>
      </c>
      <c r="P272" s="2">
        <f t="shared" si="182"/>
        <v>0.16086004379852678</v>
      </c>
      <c r="Q272" s="2">
        <f t="shared" si="182"/>
        <v>0.15490519975943418</v>
      </c>
      <c r="R272" s="2">
        <f t="shared" si="182"/>
        <v>0.15422868509499965</v>
      </c>
      <c r="S272" s="2">
        <f t="shared" si="182"/>
        <v>0.1441041399338151</v>
      </c>
      <c r="T272" s="2">
        <f t="shared" si="182"/>
        <v>0.15135482594936708</v>
      </c>
      <c r="U272" s="2">
        <f t="shared" si="182"/>
        <v>0.1504096018289198</v>
      </c>
      <c r="V272" s="2">
        <f t="shared" si="182"/>
        <v>0.13954612076602188</v>
      </c>
      <c r="W272" s="2">
        <f t="shared" si="182"/>
        <v>0.13331322831261955</v>
      </c>
      <c r="X272" s="2">
        <f t="shared" si="182"/>
        <v>0.11700231687756193</v>
      </c>
      <c r="Y272" s="2">
        <f t="shared" si="182"/>
        <v>9.663770732257701E-2</v>
      </c>
      <c r="Z272" s="2">
        <f t="shared" si="182"/>
        <v>8.8872713289018287E-2</v>
      </c>
      <c r="AA272" s="2">
        <f t="shared" si="182"/>
        <v>8.7688641779189835E-2</v>
      </c>
      <c r="AB272" s="2">
        <f t="shared" si="182"/>
        <v>8.4692028985507248E-2</v>
      </c>
      <c r="AC272" s="2">
        <f t="shared" si="182"/>
        <v>9.9623846457828139E-2</v>
      </c>
      <c r="AD272" s="2">
        <f t="shared" si="182"/>
        <v>0.11121650856921309</v>
      </c>
      <c r="AE272" s="2">
        <f t="shared" si="182"/>
        <v>0.12205403765056566</v>
      </c>
      <c r="AF272" s="2">
        <f t="shared" si="182"/>
        <v>0.13233710749496982</v>
      </c>
      <c r="AG272" s="2">
        <f t="shared" si="182"/>
        <v>0.14219277916083989</v>
      </c>
      <c r="AH272" s="2">
        <f t="shared" ref="AH272:AK272" si="183">AH262/AH270</f>
        <v>0.15125640984457628</v>
      </c>
      <c r="AI272" s="2">
        <f t="shared" si="183"/>
        <v>0.15971361840852952</v>
      </c>
      <c r="AJ272" s="2">
        <f t="shared" si="183"/>
        <v>0.16771054567510318</v>
      </c>
      <c r="AK272" s="2">
        <f t="shared" si="183"/>
        <v>0.17391608339857306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2F22-EFBB-40E5-B233-F167EF4144D5}">
  <dimension ref="B2:BF1242"/>
  <sheetViews>
    <sheetView topLeftCell="B1" zoomScale="70" zoomScaleNormal="70" workbookViewId="0">
      <selection activeCell="J76" sqref="J76"/>
    </sheetView>
  </sheetViews>
  <sheetFormatPr defaultRowHeight="14.4"/>
  <cols>
    <col min="2" max="2" width="17.21875" bestFit="1" customWidth="1"/>
    <col min="52" max="52" width="11.5546875" bestFit="1" customWidth="1"/>
    <col min="53" max="53" width="9" bestFit="1" customWidth="1"/>
    <col min="54" max="54" width="10" bestFit="1" customWidth="1"/>
    <col min="55" max="55" width="9" bestFit="1" customWidth="1"/>
  </cols>
  <sheetData>
    <row r="2" spans="2:58">
      <c r="B2" s="179"/>
      <c r="C2" s="184">
        <v>43861</v>
      </c>
      <c r="D2" s="184">
        <v>43889</v>
      </c>
      <c r="E2" s="188">
        <f>EOMONTH(D2,1)</f>
        <v>43921</v>
      </c>
      <c r="F2" s="188">
        <f>EOMONTH(E2,1)</f>
        <v>43951</v>
      </c>
      <c r="G2" s="184">
        <v>43979</v>
      </c>
      <c r="H2" s="188">
        <f>EOMONTH(G2,1)</f>
        <v>44012</v>
      </c>
      <c r="I2" s="184">
        <v>44042</v>
      </c>
      <c r="J2" s="184">
        <v>44071</v>
      </c>
      <c r="K2" s="188">
        <f>EOMONTH(J2,1)</f>
        <v>44104</v>
      </c>
      <c r="L2" s="184">
        <v>44134</v>
      </c>
      <c r="M2" s="188">
        <f>EOMONTH(L2,1)</f>
        <v>44165</v>
      </c>
      <c r="N2" s="188">
        <f>EOMONTH(M2,1)</f>
        <v>44196</v>
      </c>
      <c r="O2" s="184">
        <v>44225</v>
      </c>
      <c r="P2" s="184">
        <v>44253</v>
      </c>
      <c r="Q2" s="188">
        <f>EOMONTH(P2,1)</f>
        <v>44286</v>
      </c>
      <c r="R2" s="188">
        <f>EOMONTH(Q2,1)</f>
        <v>44316</v>
      </c>
      <c r="S2" s="188">
        <f>EOMONTH(R2,1)</f>
        <v>44347</v>
      </c>
      <c r="T2" s="188">
        <f>EOMONTH(S2,1)</f>
        <v>44377</v>
      </c>
      <c r="U2" s="184">
        <v>44407</v>
      </c>
      <c r="V2" s="184">
        <v>44438</v>
      </c>
      <c r="W2" s="188">
        <f>EOMONTH(V2,1)</f>
        <v>44469</v>
      </c>
      <c r="X2" s="184">
        <v>44498</v>
      </c>
      <c r="Y2" s="188">
        <f>EOMONTH(X2,1)</f>
        <v>44530</v>
      </c>
      <c r="Z2" s="188">
        <f>EOMONTH(Y2,1)</f>
        <v>44561</v>
      </c>
      <c r="AA2" s="188">
        <f>EOMONTH(Z2,1)</f>
        <v>44592</v>
      </c>
      <c r="AB2" s="188">
        <f>EOMONTH(AA2,1)</f>
        <v>44620</v>
      </c>
      <c r="AC2" s="188">
        <f>EOMONTH(AB2,1)</f>
        <v>44651</v>
      </c>
      <c r="AD2" s="184">
        <v>44680</v>
      </c>
      <c r="AE2" s="188">
        <f>EOMONTH(AD2,1)</f>
        <v>44712</v>
      </c>
      <c r="AF2" s="188">
        <f>EOMONTH(AE2,1)</f>
        <v>44742</v>
      </c>
      <c r="AG2" s="184">
        <v>44771</v>
      </c>
      <c r="AH2" s="184">
        <v>44803</v>
      </c>
      <c r="AI2" s="188">
        <f>EOMONTH(AH2,1)</f>
        <v>44834</v>
      </c>
      <c r="AJ2" s="188">
        <f>EOMONTH(AI2,1)</f>
        <v>44865</v>
      </c>
      <c r="AK2" s="188">
        <f>EOMONTH(AJ2,1)</f>
        <v>44895</v>
      </c>
      <c r="AL2" s="184">
        <v>44925</v>
      </c>
      <c r="AM2" s="188">
        <f>EOMONTH(AL2,1)</f>
        <v>44957</v>
      </c>
      <c r="AN2" s="188">
        <f>EOMONTH(AM2,1)</f>
        <v>44985</v>
      </c>
      <c r="AO2" s="188">
        <f>EOMONTH(AN2,1)</f>
        <v>45016</v>
      </c>
      <c r="AP2" s="184">
        <v>45044</v>
      </c>
      <c r="AQ2" s="184">
        <v>45076</v>
      </c>
      <c r="AR2" s="184">
        <v>45107</v>
      </c>
      <c r="AS2" s="176"/>
      <c r="AT2" s="176"/>
      <c r="AZ2" t="s">
        <v>741</v>
      </c>
      <c r="BA2" t="s">
        <v>742</v>
      </c>
      <c r="BB2" t="s">
        <v>743</v>
      </c>
      <c r="BC2" t="s">
        <v>744</v>
      </c>
      <c r="BE2" s="159" t="s">
        <v>745</v>
      </c>
    </row>
    <row r="3" spans="2:58">
      <c r="AZ3" s="185">
        <v>45076</v>
      </c>
      <c r="BA3" s="186">
        <v>4.28</v>
      </c>
      <c r="BB3" s="186">
        <v>238550</v>
      </c>
      <c r="BC3" s="186">
        <v>1597947</v>
      </c>
      <c r="BE3" s="184">
        <v>43861</v>
      </c>
      <c r="BF3" s="189">
        <f t="shared" ref="BF3:BF12" si="0">_xlfn.XLOOKUP(BE3,$AZ$3:$AZ$1242,$BA$3:$BA$1242)</f>
        <v>5.31</v>
      </c>
    </row>
    <row r="4" spans="2:58">
      <c r="C4" s="186">
        <v>1</v>
      </c>
      <c r="D4" s="189">
        <f>IF(C4=12,1,C4+1)</f>
        <v>2</v>
      </c>
      <c r="E4" s="189">
        <f t="shared" ref="E4:AR4" si="1">IF(D4=12,1,D4+1)</f>
        <v>3</v>
      </c>
      <c r="F4" s="189">
        <f t="shared" si="1"/>
        <v>4</v>
      </c>
      <c r="G4" s="189">
        <f t="shared" si="1"/>
        <v>5</v>
      </c>
      <c r="H4" s="189">
        <f t="shared" si="1"/>
        <v>6</v>
      </c>
      <c r="I4" s="189">
        <f t="shared" si="1"/>
        <v>7</v>
      </c>
      <c r="J4" s="189">
        <f t="shared" si="1"/>
        <v>8</v>
      </c>
      <c r="K4" s="189">
        <f t="shared" si="1"/>
        <v>9</v>
      </c>
      <c r="L4" s="189">
        <f t="shared" si="1"/>
        <v>10</v>
      </c>
      <c r="M4" s="189">
        <f t="shared" si="1"/>
        <v>11</v>
      </c>
      <c r="N4" s="189">
        <f t="shared" si="1"/>
        <v>12</v>
      </c>
      <c r="O4" s="189">
        <f t="shared" si="1"/>
        <v>1</v>
      </c>
      <c r="P4" s="189">
        <f t="shared" si="1"/>
        <v>2</v>
      </c>
      <c r="Q4" s="189">
        <f t="shared" si="1"/>
        <v>3</v>
      </c>
      <c r="R4" s="189">
        <f t="shared" si="1"/>
        <v>4</v>
      </c>
      <c r="S4" s="189">
        <f t="shared" si="1"/>
        <v>5</v>
      </c>
      <c r="T4" s="189">
        <f t="shared" si="1"/>
        <v>6</v>
      </c>
      <c r="U4" s="189">
        <f t="shared" si="1"/>
        <v>7</v>
      </c>
      <c r="V4" s="189">
        <f t="shared" si="1"/>
        <v>8</v>
      </c>
      <c r="W4" s="189">
        <f t="shared" si="1"/>
        <v>9</v>
      </c>
      <c r="X4" s="189">
        <f t="shared" si="1"/>
        <v>10</v>
      </c>
      <c r="Y4" s="189">
        <f t="shared" si="1"/>
        <v>11</v>
      </c>
      <c r="Z4" s="189">
        <f t="shared" si="1"/>
        <v>12</v>
      </c>
      <c r="AA4" s="189">
        <f t="shared" si="1"/>
        <v>1</v>
      </c>
      <c r="AB4" s="189">
        <f t="shared" si="1"/>
        <v>2</v>
      </c>
      <c r="AC4" s="189">
        <f t="shared" si="1"/>
        <v>3</v>
      </c>
      <c r="AD4" s="189">
        <f t="shared" si="1"/>
        <v>4</v>
      </c>
      <c r="AE4" s="189">
        <f t="shared" si="1"/>
        <v>5</v>
      </c>
      <c r="AF4" s="189">
        <f t="shared" si="1"/>
        <v>6</v>
      </c>
      <c r="AG4" s="189">
        <f t="shared" si="1"/>
        <v>7</v>
      </c>
      <c r="AH4" s="189">
        <f t="shared" si="1"/>
        <v>8</v>
      </c>
      <c r="AI4" s="189">
        <f t="shared" si="1"/>
        <v>9</v>
      </c>
      <c r="AJ4" s="189">
        <f t="shared" si="1"/>
        <v>10</v>
      </c>
      <c r="AK4" s="189">
        <f t="shared" si="1"/>
        <v>11</v>
      </c>
      <c r="AL4" s="189">
        <f t="shared" si="1"/>
        <v>12</v>
      </c>
      <c r="AM4" s="189">
        <f t="shared" si="1"/>
        <v>1</v>
      </c>
      <c r="AN4" s="189">
        <f t="shared" si="1"/>
        <v>2</v>
      </c>
      <c r="AO4" s="189">
        <f t="shared" si="1"/>
        <v>3</v>
      </c>
      <c r="AP4" s="189">
        <f t="shared" si="1"/>
        <v>4</v>
      </c>
      <c r="AQ4" s="189">
        <f t="shared" si="1"/>
        <v>5</v>
      </c>
      <c r="AR4" s="189">
        <f t="shared" si="1"/>
        <v>6</v>
      </c>
      <c r="AZ4" s="185">
        <v>45075</v>
      </c>
      <c r="BA4" s="186">
        <v>4.26</v>
      </c>
      <c r="BB4" s="186">
        <v>562700</v>
      </c>
      <c r="BC4" s="186">
        <v>1730157</v>
      </c>
      <c r="BE4" s="184">
        <v>43889</v>
      </c>
      <c r="BF4" s="189">
        <f t="shared" si="0"/>
        <v>5.43</v>
      </c>
    </row>
    <row r="5" spans="2:58">
      <c r="B5" s="159" t="s">
        <v>729</v>
      </c>
      <c r="C5" s="189">
        <f t="shared" ref="C5:AQ5" si="2">_xlfn.XLOOKUP(C$2,$AZ2:$AZ1242,$BA2:$BA1242,,0)</f>
        <v>5.31</v>
      </c>
      <c r="D5" s="189">
        <f t="shared" si="2"/>
        <v>5.43</v>
      </c>
      <c r="E5" s="189">
        <f t="shared" si="2"/>
        <v>5.35</v>
      </c>
      <c r="F5" s="189">
        <f t="shared" si="2"/>
        <v>5.48</v>
      </c>
      <c r="G5" s="189">
        <f t="shared" si="2"/>
        <v>5.39</v>
      </c>
      <c r="H5" s="189">
        <f t="shared" si="2"/>
        <v>5.37</v>
      </c>
      <c r="I5" s="189">
        <f t="shared" si="2"/>
        <v>5.3</v>
      </c>
      <c r="J5" s="189">
        <f t="shared" si="2"/>
        <v>5</v>
      </c>
      <c r="K5" s="189">
        <f t="shared" si="2"/>
        <v>5.08</v>
      </c>
      <c r="L5" s="189">
        <f t="shared" si="2"/>
        <v>4.8</v>
      </c>
      <c r="M5" s="189">
        <f t="shared" si="2"/>
        <v>4.9000000000000004</v>
      </c>
      <c r="N5" s="189">
        <f t="shared" si="2"/>
        <v>5.05</v>
      </c>
      <c r="O5" s="189">
        <f t="shared" si="2"/>
        <v>4.7699999999999996</v>
      </c>
      <c r="P5" s="189">
        <f t="shared" si="2"/>
        <v>4.75</v>
      </c>
      <c r="Q5" s="189">
        <f t="shared" si="2"/>
        <v>4.5199999999999996</v>
      </c>
      <c r="R5" s="189">
        <f t="shared" si="2"/>
        <v>4.5999999999999996</v>
      </c>
      <c r="S5" s="189">
        <f t="shared" si="2"/>
        <v>4.6500000000000004</v>
      </c>
      <c r="T5" s="189">
        <f t="shared" si="2"/>
        <v>4.3899999999999997</v>
      </c>
      <c r="U5" s="189">
        <f t="shared" si="2"/>
        <v>4.26</v>
      </c>
      <c r="V5" s="189">
        <f t="shared" si="2"/>
        <v>4.6900000000000004</v>
      </c>
      <c r="W5" s="189">
        <f t="shared" si="2"/>
        <v>4.6900000000000004</v>
      </c>
      <c r="X5" s="189">
        <f t="shared" si="2"/>
        <v>4.67</v>
      </c>
      <c r="Y5" s="189">
        <f t="shared" si="2"/>
        <v>4.68</v>
      </c>
      <c r="Z5" s="189">
        <f t="shared" si="2"/>
        <v>4.8499999999999996</v>
      </c>
      <c r="AA5" s="189">
        <f t="shared" si="2"/>
        <v>4.2300000000000004</v>
      </c>
      <c r="AB5" s="189">
        <f t="shared" si="2"/>
        <v>4.0199999999999996</v>
      </c>
      <c r="AC5" s="189">
        <f t="shared" si="2"/>
        <v>3.93</v>
      </c>
      <c r="AD5" s="189">
        <f t="shared" si="2"/>
        <v>3.8</v>
      </c>
      <c r="AE5" s="189">
        <f t="shared" si="2"/>
        <v>3.79</v>
      </c>
      <c r="AF5" s="189">
        <f t="shared" si="2"/>
        <v>3.3</v>
      </c>
      <c r="AG5" s="189">
        <f t="shared" si="2"/>
        <v>3.67</v>
      </c>
      <c r="AH5" s="189">
        <f t="shared" si="2"/>
        <v>3.85</v>
      </c>
      <c r="AI5" s="189">
        <f t="shared" si="2"/>
        <v>3.51</v>
      </c>
      <c r="AJ5" s="189">
        <f t="shared" si="2"/>
        <v>3.85</v>
      </c>
      <c r="AK5" s="189">
        <f t="shared" si="2"/>
        <v>3.84</v>
      </c>
      <c r="AL5" s="189">
        <f t="shared" si="2"/>
        <v>3.84</v>
      </c>
      <c r="AM5" s="189">
        <f t="shared" si="2"/>
        <v>3.96</v>
      </c>
      <c r="AN5" s="189">
        <f t="shared" si="2"/>
        <v>3.91</v>
      </c>
      <c r="AO5" s="189">
        <f t="shared" si="2"/>
        <v>4.13</v>
      </c>
      <c r="AP5" s="189">
        <f t="shared" si="2"/>
        <v>4.4000000000000004</v>
      </c>
      <c r="AQ5" s="189">
        <f t="shared" si="2"/>
        <v>4.28</v>
      </c>
      <c r="AR5" s="193">
        <v>4.16</v>
      </c>
      <c r="AZ5" s="185">
        <v>45072</v>
      </c>
      <c r="BA5" s="186">
        <v>4.2699999999999996</v>
      </c>
      <c r="BB5" s="186">
        <v>871500</v>
      </c>
      <c r="BC5" s="186">
        <v>1834457</v>
      </c>
      <c r="BE5" s="188">
        <f>EOMONTH(BE4,1)</f>
        <v>43921</v>
      </c>
      <c r="BF5" s="189">
        <f t="shared" si="0"/>
        <v>5.35</v>
      </c>
    </row>
    <row r="6" spans="2:58">
      <c r="B6" t="s">
        <v>730</v>
      </c>
      <c r="C6" s="190">
        <f>'Income Statement'!BJ469</f>
        <v>7820</v>
      </c>
      <c r="D6" s="190">
        <f>C6</f>
        <v>7820</v>
      </c>
      <c r="E6" s="190">
        <f t="shared" ref="E6:N6" si="3">D6</f>
        <v>7820</v>
      </c>
      <c r="F6" s="190">
        <f t="shared" si="3"/>
        <v>7820</v>
      </c>
      <c r="G6" s="190">
        <f t="shared" si="3"/>
        <v>7820</v>
      </c>
      <c r="H6" s="190">
        <f t="shared" si="3"/>
        <v>7820</v>
      </c>
      <c r="I6" s="190">
        <f t="shared" si="3"/>
        <v>7820</v>
      </c>
      <c r="J6" s="190">
        <f t="shared" si="3"/>
        <v>7820</v>
      </c>
      <c r="K6" s="190">
        <f t="shared" si="3"/>
        <v>7820</v>
      </c>
      <c r="L6" s="190">
        <f t="shared" si="3"/>
        <v>7820</v>
      </c>
      <c r="M6" s="190">
        <f t="shared" si="3"/>
        <v>7820</v>
      </c>
      <c r="N6" s="190">
        <f t="shared" si="3"/>
        <v>7820</v>
      </c>
      <c r="O6" s="190">
        <f>'Income Statement'!BO469</f>
        <v>7825</v>
      </c>
      <c r="P6" s="190">
        <f>O6</f>
        <v>7825</v>
      </c>
      <c r="Q6" s="190">
        <f t="shared" ref="Q6:Z6" si="4">P6</f>
        <v>7825</v>
      </c>
      <c r="R6" s="190">
        <f t="shared" si="4"/>
        <v>7825</v>
      </c>
      <c r="S6" s="190">
        <f t="shared" si="4"/>
        <v>7825</v>
      </c>
      <c r="T6" s="190">
        <f t="shared" si="4"/>
        <v>7825</v>
      </c>
      <c r="U6" s="190">
        <f t="shared" si="4"/>
        <v>7825</v>
      </c>
      <c r="V6" s="190">
        <f t="shared" si="4"/>
        <v>7825</v>
      </c>
      <c r="W6" s="190">
        <f t="shared" si="4"/>
        <v>7825</v>
      </c>
      <c r="X6" s="190">
        <f t="shared" si="4"/>
        <v>7825</v>
      </c>
      <c r="Y6" s="190">
        <f t="shared" si="4"/>
        <v>7825</v>
      </c>
      <c r="Z6" s="190">
        <f t="shared" si="4"/>
        <v>7825</v>
      </c>
      <c r="AA6" s="190">
        <f>'Income Statement'!BT469</f>
        <v>7825</v>
      </c>
      <c r="AB6" s="190">
        <f>AA6</f>
        <v>7825</v>
      </c>
      <c r="AC6" s="190">
        <f t="shared" ref="AC6:AL6" si="5">AB6</f>
        <v>7825</v>
      </c>
      <c r="AD6" s="190">
        <f t="shared" si="5"/>
        <v>7825</v>
      </c>
      <c r="AE6" s="190">
        <f t="shared" si="5"/>
        <v>7825</v>
      </c>
      <c r="AF6" s="190">
        <f t="shared" si="5"/>
        <v>7825</v>
      </c>
      <c r="AG6" s="190">
        <f t="shared" si="5"/>
        <v>7825</v>
      </c>
      <c r="AH6" s="190">
        <f t="shared" si="5"/>
        <v>7825</v>
      </c>
      <c r="AI6" s="190">
        <f t="shared" si="5"/>
        <v>7825</v>
      </c>
      <c r="AJ6" s="190">
        <f t="shared" si="5"/>
        <v>7825</v>
      </c>
      <c r="AK6" s="190">
        <f t="shared" si="5"/>
        <v>7825</v>
      </c>
      <c r="AL6" s="190">
        <f t="shared" si="5"/>
        <v>7825</v>
      </c>
      <c r="AM6" s="190">
        <f>'Income Statement'!BY469</f>
        <v>7828</v>
      </c>
      <c r="AN6" s="190">
        <f>AM6</f>
        <v>7828</v>
      </c>
      <c r="AO6" s="190">
        <f t="shared" ref="AO6:AR6" si="6">AN6</f>
        <v>7828</v>
      </c>
      <c r="AP6" s="190">
        <f t="shared" si="6"/>
        <v>7828</v>
      </c>
      <c r="AQ6" s="190">
        <f t="shared" si="6"/>
        <v>7828</v>
      </c>
      <c r="AR6" s="190">
        <f t="shared" si="6"/>
        <v>7828</v>
      </c>
      <c r="AS6" s="182"/>
      <c r="AT6" s="182"/>
      <c r="AU6" s="182"/>
      <c r="AV6" s="182"/>
      <c r="AW6" s="182"/>
      <c r="AX6" s="182"/>
      <c r="AY6" s="182"/>
      <c r="AZ6" s="185">
        <v>45071</v>
      </c>
      <c r="BA6" s="186">
        <v>4.22</v>
      </c>
      <c r="BB6" s="186">
        <v>1887866</v>
      </c>
      <c r="BC6" s="186">
        <v>1892518</v>
      </c>
      <c r="BE6" s="188">
        <f>EOMONTH(BE5,1)</f>
        <v>43951</v>
      </c>
      <c r="BF6" s="189">
        <f t="shared" si="0"/>
        <v>5.48</v>
      </c>
    </row>
    <row r="7" spans="2:58">
      <c r="B7" s="159" t="s">
        <v>731</v>
      </c>
      <c r="C7" s="189">
        <f>C5*C6</f>
        <v>41524.199999999997</v>
      </c>
      <c r="D7" s="189">
        <f t="shared" ref="D7:N7" si="7">D5*D6</f>
        <v>42462.6</v>
      </c>
      <c r="E7" s="189">
        <f t="shared" si="7"/>
        <v>41837</v>
      </c>
      <c r="F7" s="189">
        <f t="shared" si="7"/>
        <v>42853.600000000006</v>
      </c>
      <c r="G7" s="189">
        <f t="shared" si="7"/>
        <v>42149.799999999996</v>
      </c>
      <c r="H7" s="189">
        <f t="shared" si="7"/>
        <v>41993.4</v>
      </c>
      <c r="I7" s="189">
        <f t="shared" si="7"/>
        <v>41446</v>
      </c>
      <c r="J7" s="189">
        <f t="shared" si="7"/>
        <v>39100</v>
      </c>
      <c r="K7" s="189">
        <f t="shared" si="7"/>
        <v>39725.599999999999</v>
      </c>
      <c r="L7" s="189">
        <f t="shared" si="7"/>
        <v>37536</v>
      </c>
      <c r="M7" s="189">
        <f t="shared" si="7"/>
        <v>38318</v>
      </c>
      <c r="N7" s="189">
        <f t="shared" si="7"/>
        <v>39491</v>
      </c>
      <c r="O7" s="189">
        <f t="shared" ref="O7" si="8">O5*O6</f>
        <v>37325.25</v>
      </c>
      <c r="P7" s="189">
        <f t="shared" ref="P7" si="9">P5*P6</f>
        <v>37168.75</v>
      </c>
      <c r="Q7" s="189">
        <f t="shared" ref="Q7" si="10">Q5*Q6</f>
        <v>35369</v>
      </c>
      <c r="R7" s="189">
        <f t="shared" ref="R7" si="11">R5*R6</f>
        <v>35995</v>
      </c>
      <c r="S7" s="189">
        <f t="shared" ref="S7" si="12">S5*S6</f>
        <v>36386.25</v>
      </c>
      <c r="T7" s="189">
        <f t="shared" ref="T7" si="13">T5*T6</f>
        <v>34351.75</v>
      </c>
      <c r="U7" s="189">
        <f t="shared" ref="U7" si="14">U5*U6</f>
        <v>33334.5</v>
      </c>
      <c r="V7" s="189">
        <f t="shared" ref="V7" si="15">V5*V6</f>
        <v>36699.25</v>
      </c>
      <c r="W7" s="189">
        <f t="shared" ref="W7" si="16">W5*W6</f>
        <v>36699.25</v>
      </c>
      <c r="X7" s="189">
        <f t="shared" ref="X7" si="17">X5*X6</f>
        <v>36542.75</v>
      </c>
      <c r="Y7" s="189">
        <f t="shared" ref="Y7" si="18">Y5*Y6</f>
        <v>36621</v>
      </c>
      <c r="Z7" s="189">
        <f t="shared" ref="Z7" si="19">Z5*Z6</f>
        <v>37951.25</v>
      </c>
      <c r="AA7" s="189">
        <f t="shared" ref="AA7" si="20">AA5*AA6</f>
        <v>33099.75</v>
      </c>
      <c r="AB7" s="189">
        <f t="shared" ref="AB7" si="21">AB5*AB6</f>
        <v>31456.499999999996</v>
      </c>
      <c r="AC7" s="189">
        <f t="shared" ref="AC7" si="22">AC5*AC6</f>
        <v>30752.25</v>
      </c>
      <c r="AD7" s="189">
        <f t="shared" ref="AD7" si="23">AD5*AD6</f>
        <v>29735</v>
      </c>
      <c r="AE7" s="189">
        <f t="shared" ref="AE7" si="24">AE5*AE6</f>
        <v>29656.75</v>
      </c>
      <c r="AF7" s="189">
        <f t="shared" ref="AF7" si="25">AF5*AF6</f>
        <v>25822.5</v>
      </c>
      <c r="AG7" s="189">
        <f t="shared" ref="AG7" si="26">AG5*AG6</f>
        <v>28717.75</v>
      </c>
      <c r="AH7" s="189">
        <f t="shared" ref="AH7" si="27">AH5*AH6</f>
        <v>30126.25</v>
      </c>
      <c r="AI7" s="189">
        <f t="shared" ref="AI7" si="28">AI5*AI6</f>
        <v>27465.75</v>
      </c>
      <c r="AJ7" s="189">
        <f t="shared" ref="AJ7" si="29">AJ5*AJ6</f>
        <v>30126.25</v>
      </c>
      <c r="AK7" s="189">
        <f t="shared" ref="AK7" si="30">AK5*AK6</f>
        <v>30048</v>
      </c>
      <c r="AL7" s="189">
        <f t="shared" ref="AL7" si="31">AL5*AL6</f>
        <v>30048</v>
      </c>
      <c r="AM7" s="189">
        <f t="shared" ref="AM7" si="32">AM5*AM6</f>
        <v>30998.880000000001</v>
      </c>
      <c r="AN7" s="189">
        <f t="shared" ref="AN7" si="33">AN5*AN6</f>
        <v>30607.48</v>
      </c>
      <c r="AO7" s="189">
        <f t="shared" ref="AO7" si="34">AO5*AO6</f>
        <v>32329.64</v>
      </c>
      <c r="AP7" s="189">
        <f t="shared" ref="AP7" si="35">AP5*AP6</f>
        <v>34443.200000000004</v>
      </c>
      <c r="AQ7" s="189">
        <f t="shared" ref="AQ7:AR7" si="36">AQ5*AQ6</f>
        <v>33503.840000000004</v>
      </c>
      <c r="AR7" s="189">
        <f t="shared" si="36"/>
        <v>32564.48</v>
      </c>
      <c r="AZ7" s="185">
        <v>45070</v>
      </c>
      <c r="BA7" s="186">
        <v>4.18</v>
      </c>
      <c r="BB7" s="186">
        <v>2589955</v>
      </c>
      <c r="BC7" s="186">
        <v>2175896</v>
      </c>
      <c r="BE7" s="184">
        <v>43979</v>
      </c>
      <c r="BF7" s="189">
        <f t="shared" si="0"/>
        <v>5.39</v>
      </c>
    </row>
    <row r="8" spans="2:58">
      <c r="B8" t="s">
        <v>733</v>
      </c>
      <c r="C8" s="186">
        <v>9496.2992850628307</v>
      </c>
      <c r="D8" s="186">
        <v>9496.2992850628307</v>
      </c>
      <c r="E8" s="186">
        <v>9496.2992850628307</v>
      </c>
      <c r="F8" s="186">
        <v>9496.2992850628307</v>
      </c>
      <c r="G8" s="186">
        <v>9496.2992850628307</v>
      </c>
      <c r="H8" s="186">
        <v>9496.2992850628307</v>
      </c>
      <c r="I8" s="186">
        <v>9496.2992850628307</v>
      </c>
      <c r="J8" s="186">
        <v>9496.2992850628307</v>
      </c>
      <c r="K8" s="186">
        <v>9496.2992850628307</v>
      </c>
      <c r="L8" s="186">
        <v>9496.2992850628307</v>
      </c>
      <c r="M8" s="186">
        <v>9496.2992850628307</v>
      </c>
      <c r="N8" s="186">
        <v>9496.2992850628307</v>
      </c>
      <c r="O8" s="186">
        <v>9231.1229223147875</v>
      </c>
      <c r="P8" s="186">
        <v>9231.1229223147875</v>
      </c>
      <c r="Q8" s="186">
        <v>9231.1229223147875</v>
      </c>
      <c r="R8" s="186">
        <v>9231.1229223147875</v>
      </c>
      <c r="S8" s="186">
        <v>9231.1229223147875</v>
      </c>
      <c r="T8" s="186">
        <v>9231.1229223147875</v>
      </c>
      <c r="U8" s="186">
        <v>9231.1229223147875</v>
      </c>
      <c r="V8" s="186">
        <v>9231.1229223147875</v>
      </c>
      <c r="W8" s="186">
        <v>9231.1229223147875</v>
      </c>
      <c r="X8" s="186">
        <v>9231.1229223147875</v>
      </c>
      <c r="Y8" s="186">
        <v>9231.1229223147875</v>
      </c>
      <c r="Z8" s="186">
        <v>9231.1229223147875</v>
      </c>
      <c r="AA8" s="186">
        <v>8999.2999999999993</v>
      </c>
      <c r="AB8" s="186">
        <v>8999.2999999999993</v>
      </c>
      <c r="AC8" s="186">
        <v>8999.2999999999993</v>
      </c>
      <c r="AD8" s="186">
        <v>8999.2999999999993</v>
      </c>
      <c r="AE8" s="186">
        <v>8999.2999999999993</v>
      </c>
      <c r="AF8" s="186">
        <v>8999.2999999999993</v>
      </c>
      <c r="AG8" s="186">
        <v>8999.2999999999993</v>
      </c>
      <c r="AH8" s="186">
        <v>8999.2999999999993</v>
      </c>
      <c r="AI8" s="186">
        <v>8999.2999999999993</v>
      </c>
      <c r="AJ8" s="186">
        <v>8999.2999999999993</v>
      </c>
      <c r="AK8" s="186">
        <v>8999.2999999999993</v>
      </c>
      <c r="AL8" s="186">
        <v>8999.2999999999993</v>
      </c>
      <c r="AM8" s="186">
        <v>8379.3435699734364</v>
      </c>
      <c r="AN8" s="186">
        <v>8379.3435699734364</v>
      </c>
      <c r="AO8" s="186">
        <v>8379.3435699734364</v>
      </c>
      <c r="AP8" s="186">
        <v>8379.3435699734364</v>
      </c>
      <c r="AQ8" s="186">
        <v>8379.3435699734364</v>
      </c>
      <c r="AR8" s="186">
        <v>8379.3435699734364</v>
      </c>
      <c r="AT8" t="s">
        <v>746</v>
      </c>
      <c r="AZ8" s="185">
        <v>45069</v>
      </c>
      <c r="BA8" s="186">
        <v>4.16</v>
      </c>
      <c r="BB8" s="186">
        <v>1108846</v>
      </c>
      <c r="BC8" s="186">
        <v>2111233</v>
      </c>
      <c r="BE8" s="188">
        <f>EOMONTH(BE7,1)</f>
        <v>44012</v>
      </c>
      <c r="BF8" s="189">
        <f t="shared" si="0"/>
        <v>5.37</v>
      </c>
    </row>
    <row r="9" spans="2:58">
      <c r="B9" s="159" t="s">
        <v>732</v>
      </c>
      <c r="C9" s="189">
        <f>C7+C8</f>
        <v>51020.499285062826</v>
      </c>
      <c r="D9" s="189">
        <f t="shared" ref="D9:N9" si="37">D7+D8</f>
        <v>51958.899285062827</v>
      </c>
      <c r="E9" s="189">
        <f t="shared" si="37"/>
        <v>51333.299285062829</v>
      </c>
      <c r="F9" s="189">
        <f t="shared" si="37"/>
        <v>52349.899285062835</v>
      </c>
      <c r="G9" s="189">
        <f t="shared" si="37"/>
        <v>51646.099285062824</v>
      </c>
      <c r="H9" s="189">
        <f t="shared" si="37"/>
        <v>51489.69928506283</v>
      </c>
      <c r="I9" s="189">
        <f t="shared" si="37"/>
        <v>50942.299285062829</v>
      </c>
      <c r="J9" s="189">
        <f t="shared" si="37"/>
        <v>48596.299285062829</v>
      </c>
      <c r="K9" s="189">
        <f t="shared" si="37"/>
        <v>49221.899285062827</v>
      </c>
      <c r="L9" s="189">
        <f t="shared" si="37"/>
        <v>47032.299285062829</v>
      </c>
      <c r="M9" s="189">
        <f t="shared" si="37"/>
        <v>47814.299285062829</v>
      </c>
      <c r="N9" s="189">
        <f t="shared" si="37"/>
        <v>48987.299285062829</v>
      </c>
      <c r="O9" s="189">
        <f t="shared" ref="O9" si="38">O7+O8</f>
        <v>46556.372922314789</v>
      </c>
      <c r="P9" s="189">
        <f t="shared" ref="P9" si="39">P7+P8</f>
        <v>46399.872922314789</v>
      </c>
      <c r="Q9" s="189">
        <f t="shared" ref="Q9" si="40">Q7+Q8</f>
        <v>44600.122922314789</v>
      </c>
      <c r="R9" s="189">
        <f t="shared" ref="R9" si="41">R7+R8</f>
        <v>45226.122922314789</v>
      </c>
      <c r="S9" s="189">
        <f t="shared" ref="S9" si="42">S7+S8</f>
        <v>45617.372922314789</v>
      </c>
      <c r="T9" s="189">
        <f t="shared" ref="T9" si="43">T7+T8</f>
        <v>43582.872922314789</v>
      </c>
      <c r="U9" s="189">
        <f t="shared" ref="U9" si="44">U7+U8</f>
        <v>42565.622922314789</v>
      </c>
      <c r="V9" s="189">
        <f t="shared" ref="V9" si="45">V7+V8</f>
        <v>45930.372922314789</v>
      </c>
      <c r="W9" s="189">
        <f t="shared" ref="W9" si="46">W7+W8</f>
        <v>45930.372922314789</v>
      </c>
      <c r="X9" s="189">
        <f t="shared" ref="X9" si="47">X7+X8</f>
        <v>45773.872922314789</v>
      </c>
      <c r="Y9" s="189">
        <f t="shared" ref="Y9" si="48">Y7+Y8</f>
        <v>45852.122922314789</v>
      </c>
      <c r="Z9" s="189">
        <f t="shared" ref="Z9" si="49">Z7+Z8</f>
        <v>47182.372922314789</v>
      </c>
      <c r="AA9" s="189">
        <f t="shared" ref="AA9" si="50">AA7+AA8</f>
        <v>42099.05</v>
      </c>
      <c r="AB9" s="189">
        <f t="shared" ref="AB9" si="51">AB7+AB8</f>
        <v>40455.799999999996</v>
      </c>
      <c r="AC9" s="189">
        <f t="shared" ref="AC9" si="52">AC7+AC8</f>
        <v>39751.550000000003</v>
      </c>
      <c r="AD9" s="189">
        <f t="shared" ref="AD9" si="53">AD7+AD8</f>
        <v>38734.300000000003</v>
      </c>
      <c r="AE9" s="189">
        <f t="shared" ref="AE9" si="54">AE7+AE8</f>
        <v>38656.050000000003</v>
      </c>
      <c r="AF9" s="189">
        <f t="shared" ref="AF9" si="55">AF7+AF8</f>
        <v>34821.800000000003</v>
      </c>
      <c r="AG9" s="189">
        <f t="shared" ref="AG9" si="56">AG7+AG8</f>
        <v>37717.050000000003</v>
      </c>
      <c r="AH9" s="189">
        <f t="shared" ref="AH9" si="57">AH7+AH8</f>
        <v>39125.550000000003</v>
      </c>
      <c r="AI9" s="189">
        <f t="shared" ref="AI9" si="58">AI7+AI8</f>
        <v>36465.050000000003</v>
      </c>
      <c r="AJ9" s="189">
        <f t="shared" ref="AJ9" si="59">AJ7+AJ8</f>
        <v>39125.550000000003</v>
      </c>
      <c r="AK9" s="189">
        <f t="shared" ref="AK9" si="60">AK7+AK8</f>
        <v>39047.300000000003</v>
      </c>
      <c r="AL9" s="189">
        <f t="shared" ref="AL9" si="61">AL7+AL8</f>
        <v>39047.300000000003</v>
      </c>
      <c r="AM9" s="189">
        <f t="shared" ref="AM9" si="62">AM7+AM8</f>
        <v>39378.223569973437</v>
      </c>
      <c r="AN9" s="189">
        <f t="shared" ref="AN9" si="63">AN7+AN8</f>
        <v>38986.823569973436</v>
      </c>
      <c r="AO9" s="189">
        <f t="shared" ref="AO9" si="64">AO7+AO8</f>
        <v>40708.983569973439</v>
      </c>
      <c r="AP9" s="189">
        <f t="shared" ref="AP9" si="65">AP7+AP8</f>
        <v>42822.543569973437</v>
      </c>
      <c r="AQ9" s="189">
        <f t="shared" ref="AQ9:AR9" si="66">AQ7+AQ8</f>
        <v>41883.183569973437</v>
      </c>
      <c r="AR9" s="189">
        <f t="shared" si="66"/>
        <v>40943.823569973436</v>
      </c>
      <c r="AZ9" s="185">
        <v>45068</v>
      </c>
      <c r="BA9" s="186">
        <v>4.18</v>
      </c>
      <c r="BB9" s="186">
        <v>3011935</v>
      </c>
      <c r="BC9" s="186">
        <v>2232544</v>
      </c>
      <c r="BE9" s="184">
        <v>44042</v>
      </c>
      <c r="BF9" s="189">
        <f t="shared" si="0"/>
        <v>5.3</v>
      </c>
    </row>
    <row r="10" spans="2:58">
      <c r="AZ10" s="185">
        <v>45065</v>
      </c>
      <c r="BA10" s="186">
        <v>4.3499999999999996</v>
      </c>
      <c r="BB10" s="186">
        <v>1165281</v>
      </c>
      <c r="BC10" s="186">
        <v>2233886</v>
      </c>
      <c r="BE10" s="184">
        <v>44071</v>
      </c>
      <c r="BF10" s="189">
        <f t="shared" si="0"/>
        <v>5</v>
      </c>
    </row>
    <row r="11" spans="2:58">
      <c r="B11" s="180" t="s">
        <v>737</v>
      </c>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Z11" s="185">
        <v>45064</v>
      </c>
      <c r="BA11" s="186">
        <v>4.34</v>
      </c>
      <c r="BB11" s="186">
        <v>973535</v>
      </c>
      <c r="BC11" s="186">
        <v>2315632</v>
      </c>
      <c r="BE11" s="188">
        <f>EOMONTH(BE10,1)</f>
        <v>44104</v>
      </c>
      <c r="BF11" s="189">
        <f t="shared" si="0"/>
        <v>5.08</v>
      </c>
    </row>
    <row r="12" spans="2:58">
      <c r="B12" s="159" t="s">
        <v>2</v>
      </c>
      <c r="AZ12" s="185">
        <v>45063</v>
      </c>
      <c r="BA12" s="186">
        <v>4.3499999999999996</v>
      </c>
      <c r="BB12" s="186">
        <v>2026800</v>
      </c>
      <c r="BC12" s="186">
        <v>2342694</v>
      </c>
      <c r="BE12" s="184">
        <v>44134</v>
      </c>
      <c r="BF12" s="189">
        <f t="shared" si="0"/>
        <v>4.8</v>
      </c>
    </row>
    <row r="13" spans="2:58">
      <c r="B13" s="187">
        <v>2020</v>
      </c>
      <c r="C13" s="186">
        <v>3525.5853316138723</v>
      </c>
      <c r="D13" s="186">
        <v>3525.5853316138723</v>
      </c>
      <c r="E13" s="186">
        <v>3525.5853316138723</v>
      </c>
      <c r="F13" s="186">
        <v>3525.5853316138723</v>
      </c>
      <c r="G13" s="186">
        <v>3525.5853316138723</v>
      </c>
      <c r="H13" s="186">
        <v>3525.5853316138723</v>
      </c>
      <c r="I13" s="186">
        <v>3525.5853316138723</v>
      </c>
      <c r="J13" s="186">
        <v>3525.5853316138723</v>
      </c>
      <c r="K13" s="186">
        <v>3525.5853316138723</v>
      </c>
      <c r="L13" s="186">
        <v>3525.5853316138723</v>
      </c>
      <c r="M13" s="186">
        <v>3525.5853316138723</v>
      </c>
      <c r="N13" s="186">
        <v>3525.5853316138723</v>
      </c>
      <c r="AZ13" s="183"/>
      <c r="BE13" s="177"/>
    </row>
    <row r="14" spans="2:58">
      <c r="B14" s="191">
        <f>B13+1</f>
        <v>2021</v>
      </c>
      <c r="C14" s="186">
        <v>3975</v>
      </c>
      <c r="D14" s="186">
        <v>3975</v>
      </c>
      <c r="E14" s="186">
        <v>3975</v>
      </c>
      <c r="F14" s="186">
        <v>3975</v>
      </c>
      <c r="G14" s="186">
        <v>3975</v>
      </c>
      <c r="H14" s="186">
        <v>3975</v>
      </c>
      <c r="I14" s="186">
        <v>3975</v>
      </c>
      <c r="J14" s="186">
        <v>3975</v>
      </c>
      <c r="K14" s="186">
        <v>3975</v>
      </c>
      <c r="L14" s="186">
        <v>3975</v>
      </c>
      <c r="M14" s="186">
        <v>3975</v>
      </c>
      <c r="N14" s="186">
        <v>3975</v>
      </c>
      <c r="O14" s="186">
        <v>3975</v>
      </c>
      <c r="P14" s="186">
        <v>3975</v>
      </c>
      <c r="Q14" s="186">
        <v>3975</v>
      </c>
      <c r="R14" s="186">
        <v>3975</v>
      </c>
      <c r="S14" s="186">
        <v>3975</v>
      </c>
      <c r="T14" s="186">
        <v>3975</v>
      </c>
      <c r="U14" s="186">
        <v>3975</v>
      </c>
      <c r="V14" s="186">
        <v>3975</v>
      </c>
      <c r="W14" s="186">
        <v>3975</v>
      </c>
      <c r="X14" s="186">
        <v>3975</v>
      </c>
      <c r="Y14" s="186">
        <v>3975</v>
      </c>
      <c r="Z14" s="186">
        <v>3975</v>
      </c>
      <c r="AZ14" s="185">
        <v>45062</v>
      </c>
      <c r="BA14" s="186">
        <v>4.38</v>
      </c>
      <c r="BB14" s="186">
        <v>601600</v>
      </c>
      <c r="BC14" s="186">
        <v>2346482</v>
      </c>
      <c r="BE14" s="188">
        <f>EOMONTH(BE12,1)</f>
        <v>44165</v>
      </c>
      <c r="BF14" s="189">
        <f>_xlfn.XLOOKUP(BE14,$AZ$3:$AZ$1242,$BA$3:$BA$1242)</f>
        <v>4.9000000000000004</v>
      </c>
    </row>
    <row r="15" spans="2:58">
      <c r="B15" s="191">
        <f>B14+1</f>
        <v>2022</v>
      </c>
      <c r="O15" s="186">
        <v>4046</v>
      </c>
      <c r="P15" s="186">
        <v>4046</v>
      </c>
      <c r="Q15" s="186">
        <v>4046</v>
      </c>
      <c r="R15" s="186">
        <v>4046</v>
      </c>
      <c r="S15" s="186">
        <v>4046</v>
      </c>
      <c r="T15" s="186">
        <v>4046</v>
      </c>
      <c r="U15" s="186">
        <v>4046</v>
      </c>
      <c r="V15" s="186">
        <v>4046</v>
      </c>
      <c r="W15" s="186">
        <v>4046</v>
      </c>
      <c r="X15" s="186">
        <v>4046</v>
      </c>
      <c r="Y15" s="186">
        <v>4046</v>
      </c>
      <c r="Z15" s="186">
        <v>4046</v>
      </c>
      <c r="AA15" s="186">
        <v>4046</v>
      </c>
      <c r="AB15" s="186">
        <v>4046</v>
      </c>
      <c r="AC15" s="186">
        <v>4046</v>
      </c>
      <c r="AD15" s="186">
        <v>4046</v>
      </c>
      <c r="AE15" s="186">
        <v>4046</v>
      </c>
      <c r="AF15" s="186">
        <v>4046</v>
      </c>
      <c r="AG15" s="186">
        <v>4046</v>
      </c>
      <c r="AH15" s="186">
        <v>4046</v>
      </c>
      <c r="AI15" s="186">
        <v>4046</v>
      </c>
      <c r="AJ15" s="186">
        <v>4046</v>
      </c>
      <c r="AK15" s="186">
        <v>4046</v>
      </c>
      <c r="AL15" s="186">
        <v>4046</v>
      </c>
      <c r="AZ15" s="185">
        <v>45061</v>
      </c>
      <c r="BA15" s="186">
        <v>4.37</v>
      </c>
      <c r="BB15" s="186">
        <v>1204057</v>
      </c>
      <c r="BC15" s="186">
        <v>2399490</v>
      </c>
      <c r="BE15" s="188">
        <f>EOMONTH(BE14,1)</f>
        <v>44196</v>
      </c>
      <c r="BF15" s="189">
        <f>_xlfn.XLOOKUP(BE15,$AZ$3:$AZ$1242,$BA$3:$BA$1242)</f>
        <v>5.05</v>
      </c>
    </row>
    <row r="16" spans="2:58">
      <c r="B16" s="191">
        <f t="shared" ref="B16:B17" si="67">B15+1</f>
        <v>2023</v>
      </c>
      <c r="AA16" s="186">
        <v>4688</v>
      </c>
      <c r="AB16" s="186">
        <v>4688</v>
      </c>
      <c r="AC16" s="186">
        <v>4688</v>
      </c>
      <c r="AD16" s="186">
        <v>4688</v>
      </c>
      <c r="AE16" s="186">
        <v>4688</v>
      </c>
      <c r="AF16" s="186">
        <v>4688</v>
      </c>
      <c r="AG16" s="186">
        <v>4688</v>
      </c>
      <c r="AH16" s="186">
        <v>4688</v>
      </c>
      <c r="AI16" s="186">
        <v>4688</v>
      </c>
      <c r="AJ16" s="186">
        <v>4688</v>
      </c>
      <c r="AK16" s="186">
        <v>4688</v>
      </c>
      <c r="AL16" s="186">
        <v>4688</v>
      </c>
      <c r="AM16" s="186">
        <v>4688</v>
      </c>
      <c r="AN16" s="186">
        <v>4688</v>
      </c>
      <c r="AO16" s="186">
        <v>4688</v>
      </c>
      <c r="AP16" s="186">
        <v>4688</v>
      </c>
      <c r="AQ16" s="186">
        <v>4688</v>
      </c>
      <c r="AR16" s="186">
        <v>4688</v>
      </c>
      <c r="AZ16" s="185">
        <v>45058</v>
      </c>
      <c r="BA16" s="186">
        <v>4.33</v>
      </c>
      <c r="BB16" s="186">
        <v>2872800</v>
      </c>
      <c r="BC16" s="186">
        <v>2509999</v>
      </c>
      <c r="BE16" s="184">
        <v>44225</v>
      </c>
      <c r="BF16" s="189">
        <f>_xlfn.XLOOKUP(BE16,$AZ$3:$AZ$1242,$BA$3:$BA$1242)</f>
        <v>4.7699999999999996</v>
      </c>
    </row>
    <row r="17" spans="2:58">
      <c r="B17" s="191">
        <f t="shared" si="67"/>
        <v>2024</v>
      </c>
      <c r="AM17" s="186">
        <v>5014</v>
      </c>
      <c r="AN17" s="186">
        <v>5014</v>
      </c>
      <c r="AO17" s="186">
        <v>5014</v>
      </c>
      <c r="AP17" s="186">
        <v>5014</v>
      </c>
      <c r="AQ17" s="186">
        <v>5014</v>
      </c>
      <c r="AR17" s="186">
        <v>5014</v>
      </c>
      <c r="AZ17" s="185">
        <v>45057</v>
      </c>
      <c r="BA17" s="186">
        <v>4.4000000000000004</v>
      </c>
      <c r="BB17" s="186">
        <v>3009232</v>
      </c>
      <c r="BC17" s="186">
        <v>2560662</v>
      </c>
      <c r="BE17" s="184">
        <v>44253</v>
      </c>
      <c r="BF17" s="189">
        <f>_xlfn.XLOOKUP(BE17,$AZ$3:$AZ$1242,$BA$3:$BA$1242)</f>
        <v>4.75</v>
      </c>
    </row>
    <row r="18" spans="2:58">
      <c r="B18" s="159" t="s">
        <v>109</v>
      </c>
      <c r="AZ18" s="185">
        <v>45056</v>
      </c>
      <c r="BA18" s="186">
        <v>4.42</v>
      </c>
      <c r="BB18" s="186">
        <v>1844542</v>
      </c>
      <c r="BC18" s="186">
        <v>2512447</v>
      </c>
      <c r="BE18" s="188">
        <f>EOMONTH(BE17,1)</f>
        <v>44286</v>
      </c>
      <c r="BF18" s="189">
        <f>_xlfn.XLOOKUP(BE18,$AZ$3:$AZ$1242,$BA$3:$BA$1242)</f>
        <v>4.5199999999999996</v>
      </c>
    </row>
    <row r="19" spans="2:58">
      <c r="B19" s="187">
        <v>2020</v>
      </c>
      <c r="C19" s="186">
        <v>1361</v>
      </c>
      <c r="D19" s="186">
        <v>1361</v>
      </c>
      <c r="E19" s="186">
        <v>1361</v>
      </c>
      <c r="F19" s="186">
        <v>1361</v>
      </c>
      <c r="G19" s="186">
        <v>1361</v>
      </c>
      <c r="H19" s="186">
        <v>1361</v>
      </c>
      <c r="I19" s="186">
        <v>1361</v>
      </c>
      <c r="J19" s="186">
        <v>1361</v>
      </c>
      <c r="K19" s="186">
        <v>1361</v>
      </c>
      <c r="L19" s="186">
        <v>1361</v>
      </c>
      <c r="M19" s="186">
        <v>1361</v>
      </c>
      <c r="N19" s="186">
        <v>1361</v>
      </c>
      <c r="AZ19" s="183"/>
      <c r="BE19" s="177"/>
    </row>
    <row r="20" spans="2:58">
      <c r="B20" s="191">
        <f>B19+1</f>
        <v>2021</v>
      </c>
      <c r="C20" s="186">
        <v>1583</v>
      </c>
      <c r="D20" s="186">
        <v>1583</v>
      </c>
      <c r="E20" s="186">
        <v>1583</v>
      </c>
      <c r="F20" s="186">
        <v>1583</v>
      </c>
      <c r="G20" s="186">
        <v>1583</v>
      </c>
      <c r="H20" s="186">
        <v>1583</v>
      </c>
      <c r="I20" s="186">
        <v>1583</v>
      </c>
      <c r="J20" s="186">
        <v>1583</v>
      </c>
      <c r="K20" s="186">
        <v>1583</v>
      </c>
      <c r="L20" s="186">
        <v>1583</v>
      </c>
      <c r="M20" s="186">
        <v>1583</v>
      </c>
      <c r="N20" s="186">
        <v>1583</v>
      </c>
      <c r="O20" s="186">
        <v>1583</v>
      </c>
      <c r="P20" s="186">
        <v>1583</v>
      </c>
      <c r="Q20" s="186">
        <v>1583</v>
      </c>
      <c r="R20" s="186">
        <v>1583</v>
      </c>
      <c r="S20" s="186">
        <v>1583</v>
      </c>
      <c r="T20" s="186">
        <v>1583</v>
      </c>
      <c r="U20" s="186">
        <v>1583</v>
      </c>
      <c r="V20" s="186">
        <v>1583</v>
      </c>
      <c r="W20" s="186">
        <v>1583</v>
      </c>
      <c r="X20" s="186">
        <v>1583</v>
      </c>
      <c r="Y20" s="186">
        <v>1583</v>
      </c>
      <c r="Z20" s="186">
        <v>1583</v>
      </c>
      <c r="AZ20" s="185">
        <v>45055</v>
      </c>
      <c r="BA20" s="186">
        <v>4.34</v>
      </c>
      <c r="BB20" s="186">
        <v>2221711</v>
      </c>
      <c r="BC20" s="186">
        <v>2510808</v>
      </c>
      <c r="BE20" s="188">
        <f>EOMONTH(BE18,1)</f>
        <v>44316</v>
      </c>
      <c r="BF20" s="189">
        <f t="shared" ref="BF20:BF45" si="68">_xlfn.XLOOKUP(BE20,$AZ$3:$AZ$1242,$BA$3:$BA$1242)</f>
        <v>4.5999999999999996</v>
      </c>
    </row>
    <row r="21" spans="2:58">
      <c r="B21" s="191">
        <f>B20+1</f>
        <v>2022</v>
      </c>
      <c r="O21" s="186">
        <v>1446</v>
      </c>
      <c r="P21" s="186">
        <v>1446</v>
      </c>
      <c r="Q21" s="186">
        <v>1446</v>
      </c>
      <c r="R21" s="186">
        <v>1446</v>
      </c>
      <c r="S21" s="186">
        <v>1446</v>
      </c>
      <c r="T21" s="186">
        <v>1446</v>
      </c>
      <c r="U21" s="186">
        <v>1446</v>
      </c>
      <c r="V21" s="186">
        <v>1446</v>
      </c>
      <c r="W21" s="186">
        <v>1446</v>
      </c>
      <c r="X21" s="186">
        <v>1446</v>
      </c>
      <c r="Y21" s="186">
        <v>1446</v>
      </c>
      <c r="Z21" s="186">
        <v>1446</v>
      </c>
      <c r="AA21" s="186">
        <v>1446</v>
      </c>
      <c r="AB21" s="186">
        <v>1446</v>
      </c>
      <c r="AC21" s="186">
        <v>1446</v>
      </c>
      <c r="AD21" s="186">
        <v>1446</v>
      </c>
      <c r="AE21" s="186">
        <v>1446</v>
      </c>
      <c r="AF21" s="186">
        <v>1446</v>
      </c>
      <c r="AG21" s="186">
        <v>1446</v>
      </c>
      <c r="AH21" s="186">
        <v>1446</v>
      </c>
      <c r="AI21" s="186">
        <v>1446</v>
      </c>
      <c r="AJ21" s="186">
        <v>1446</v>
      </c>
      <c r="AK21" s="186">
        <v>1446</v>
      </c>
      <c r="AL21" s="186">
        <v>1446</v>
      </c>
      <c r="AZ21" s="185">
        <v>45054</v>
      </c>
      <c r="BA21" s="186">
        <v>4.37</v>
      </c>
      <c r="BB21" s="186">
        <v>2127194</v>
      </c>
      <c r="BC21" s="186">
        <v>2576761</v>
      </c>
      <c r="BE21" s="188">
        <f>EOMONTH(BE20,1)</f>
        <v>44347</v>
      </c>
      <c r="BF21" s="189">
        <f t="shared" si="68"/>
        <v>4.6500000000000004</v>
      </c>
    </row>
    <row r="22" spans="2:58">
      <c r="B22" s="191">
        <f t="shared" ref="B22:B23" si="69">B21+1</f>
        <v>2023</v>
      </c>
      <c r="AA22" s="186">
        <v>1998</v>
      </c>
      <c r="AB22" s="186">
        <v>1998</v>
      </c>
      <c r="AC22" s="186">
        <v>1998</v>
      </c>
      <c r="AD22" s="186">
        <v>1998</v>
      </c>
      <c r="AE22" s="186">
        <v>1998</v>
      </c>
      <c r="AF22" s="186">
        <v>1998</v>
      </c>
      <c r="AG22" s="186">
        <v>1998</v>
      </c>
      <c r="AH22" s="186">
        <v>1998</v>
      </c>
      <c r="AI22" s="186">
        <v>1998</v>
      </c>
      <c r="AJ22" s="186">
        <v>1998</v>
      </c>
      <c r="AK22" s="186">
        <v>1998</v>
      </c>
      <c r="AL22" s="186">
        <v>1998</v>
      </c>
      <c r="AM22" s="186">
        <v>1998</v>
      </c>
      <c r="AN22" s="186">
        <v>1998</v>
      </c>
      <c r="AO22" s="186">
        <v>1998</v>
      </c>
      <c r="AP22" s="186">
        <v>1998</v>
      </c>
      <c r="AQ22" s="186">
        <v>1998</v>
      </c>
      <c r="AR22" s="186">
        <v>1998</v>
      </c>
      <c r="AZ22" s="185">
        <v>45051</v>
      </c>
      <c r="BA22" s="186">
        <v>4.59</v>
      </c>
      <c r="BB22" s="186">
        <v>1742414</v>
      </c>
      <c r="BC22" s="186">
        <v>2484093</v>
      </c>
      <c r="BE22" s="188">
        <f>EOMONTH(BE21,1)</f>
        <v>44377</v>
      </c>
      <c r="BF22" s="189">
        <f t="shared" si="68"/>
        <v>4.3899999999999997</v>
      </c>
    </row>
    <row r="23" spans="2:58">
      <c r="B23" s="191">
        <f t="shared" si="69"/>
        <v>2024</v>
      </c>
      <c r="AM23" s="186">
        <v>2287</v>
      </c>
      <c r="AN23" s="186">
        <v>2287</v>
      </c>
      <c r="AO23" s="186">
        <v>2287</v>
      </c>
      <c r="AP23" s="186">
        <v>2287</v>
      </c>
      <c r="AQ23" s="186">
        <v>2287</v>
      </c>
      <c r="AR23" s="186">
        <v>2287</v>
      </c>
      <c r="AZ23" s="185">
        <v>45049</v>
      </c>
      <c r="BA23" s="186">
        <v>4.5199999999999996</v>
      </c>
      <c r="BB23" s="186">
        <v>6138541</v>
      </c>
      <c r="BC23" s="186">
        <v>2481292</v>
      </c>
      <c r="BE23" s="184">
        <v>44407</v>
      </c>
      <c r="BF23" s="189">
        <f t="shared" si="68"/>
        <v>4.26</v>
      </c>
    </row>
    <row r="24" spans="2:58">
      <c r="B24" s="178"/>
      <c r="AZ24" s="185">
        <v>45048</v>
      </c>
      <c r="BA24" s="186">
        <v>4.43</v>
      </c>
      <c r="BB24" s="186">
        <v>1620007</v>
      </c>
      <c r="BC24" s="186">
        <v>2212777</v>
      </c>
      <c r="BE24" s="184">
        <v>44438</v>
      </c>
      <c r="BF24" s="189">
        <f t="shared" si="68"/>
        <v>4.6900000000000004</v>
      </c>
    </row>
    <row r="25" spans="2:58">
      <c r="B25" s="180" t="s">
        <v>735</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Z25" s="185">
        <v>45044</v>
      </c>
      <c r="BA25" s="186">
        <v>4.4000000000000004</v>
      </c>
      <c r="BB25" s="186">
        <v>2928504</v>
      </c>
      <c r="BC25" s="186">
        <v>2201324</v>
      </c>
      <c r="BE25" s="188">
        <f>EOMONTH(BE24,1)</f>
        <v>44469</v>
      </c>
      <c r="BF25" s="189">
        <f t="shared" si="68"/>
        <v>4.6900000000000004</v>
      </c>
    </row>
    <row r="26" spans="2:58">
      <c r="B26" s="159" t="s">
        <v>734</v>
      </c>
      <c r="C26" s="192">
        <f>C$9/(((13-C$4)*C13/12)+((C$4-1)*C14/12))</f>
        <v>14.471497492221435</v>
      </c>
      <c r="D26" s="192">
        <f t="shared" ref="D26:N26" si="70">D$9/(((13-D$4)*D13/12)+((D$4-1)*D14/12))</f>
        <v>14.582757852156314</v>
      </c>
      <c r="E26" s="192">
        <f t="shared" si="70"/>
        <v>14.257318028496362</v>
      </c>
      <c r="F26" s="192">
        <f t="shared" si="70"/>
        <v>14.389988205855047</v>
      </c>
      <c r="G26" s="192">
        <f t="shared" si="70"/>
        <v>14.051868285687556</v>
      </c>
      <c r="H26" s="192">
        <f t="shared" si="70"/>
        <v>13.868003810401643</v>
      </c>
      <c r="I26" s="192">
        <f t="shared" si="70"/>
        <v>13.583553024948191</v>
      </c>
      <c r="J26" s="192">
        <f t="shared" si="70"/>
        <v>12.82987992847376</v>
      </c>
      <c r="K26" s="192">
        <f t="shared" si="70"/>
        <v>12.867814023253963</v>
      </c>
      <c r="L26" s="192">
        <f t="shared" si="70"/>
        <v>12.176185762704726</v>
      </c>
      <c r="M26" s="192">
        <f t="shared" si="70"/>
        <v>12.25977007176817</v>
      </c>
      <c r="N26" s="192">
        <f t="shared" si="70"/>
        <v>12.441064746502594</v>
      </c>
      <c r="O26" s="192">
        <f>O$9/(((13-O$4)*O14/12)+((O$4-1)*O15/12))</f>
        <v>11.712295074796174</v>
      </c>
      <c r="P26" s="192">
        <f t="shared" ref="P26:Z26" si="71">P$9/(((13-P$4)*P14/12)+((P$4-1)*P15/12))</f>
        <v>11.655575036481913</v>
      </c>
      <c r="Q26" s="192">
        <f t="shared" si="71"/>
        <v>11.186854125408166</v>
      </c>
      <c r="R26" s="192">
        <f t="shared" si="71"/>
        <v>11.327061028693203</v>
      </c>
      <c r="S26" s="192">
        <f t="shared" si="71"/>
        <v>11.408145945893995</v>
      </c>
      <c r="T26" s="192">
        <f t="shared" si="71"/>
        <v>10.883247842425918</v>
      </c>
      <c r="U26" s="192">
        <f t="shared" si="71"/>
        <v>10.613545174495647</v>
      </c>
      <c r="V26" s="192">
        <f t="shared" si="71"/>
        <v>11.435659378545916</v>
      </c>
      <c r="W26" s="192">
        <f t="shared" si="71"/>
        <v>11.418838051458057</v>
      </c>
      <c r="X26" s="192">
        <f t="shared" si="71"/>
        <v>11.363215520961903</v>
      </c>
      <c r="Y26" s="192">
        <f t="shared" si="71"/>
        <v>11.36594660334182</v>
      </c>
      <c r="Z26" s="192">
        <f t="shared" si="71"/>
        <v>11.678564284312976</v>
      </c>
      <c r="AA26" s="192">
        <f>AA$9/(((13-AA$4)*AA15/12)+((AA$4-1)*AA16/12))</f>
        <v>10.405103806228375</v>
      </c>
      <c r="AB26" s="192">
        <f t="shared" ref="AB26:AL26" si="72">AB$9/(((13-AB$4)*AB15/12)+((AB$4-1)*AB16/12))</f>
        <v>9.8684717648493709</v>
      </c>
      <c r="AC26" s="192">
        <f t="shared" si="72"/>
        <v>9.5717673970623647</v>
      </c>
      <c r="AD26" s="192">
        <f t="shared" si="72"/>
        <v>9.20820159277309</v>
      </c>
      <c r="AE26" s="192">
        <f t="shared" si="72"/>
        <v>9.0741901408450705</v>
      </c>
      <c r="AF26" s="192">
        <f t="shared" si="72"/>
        <v>8.072748348209112</v>
      </c>
      <c r="AG26" s="192">
        <f t="shared" si="72"/>
        <v>8.6368330661781556</v>
      </c>
      <c r="AH26" s="192">
        <f t="shared" si="72"/>
        <v>8.8509331523583317</v>
      </c>
      <c r="AI26" s="192">
        <f t="shared" si="72"/>
        <v>8.1504358515869466</v>
      </c>
      <c r="AJ26" s="192">
        <f t="shared" si="72"/>
        <v>8.6417559359469909</v>
      </c>
      <c r="AK26" s="192">
        <f t="shared" si="72"/>
        <v>8.5237502728661863</v>
      </c>
      <c r="AL26" s="192">
        <f t="shared" si="72"/>
        <v>8.4253533282986304</v>
      </c>
      <c r="AM26" s="192">
        <f>AM$9/(((13-AM$4)*AM16/12)+((AM$4-1)*AM17/12))</f>
        <v>8.3997917171445042</v>
      </c>
      <c r="AN26" s="192">
        <f t="shared" ref="AN26:AQ26" si="73">AN$9/(((13-AN$4)*AN16/12)+((AN$4-1)*AN17/12))</f>
        <v>8.2683871697656723</v>
      </c>
      <c r="AO26" s="192">
        <f t="shared" si="73"/>
        <v>8.5841674780291228</v>
      </c>
      <c r="AP26" s="192">
        <f t="shared" si="73"/>
        <v>8.9784135800342675</v>
      </c>
      <c r="AQ26" s="192">
        <f t="shared" si="73"/>
        <v>8.7317269430104449</v>
      </c>
      <c r="AR26" s="192">
        <f t="shared" ref="AR26" si="74">AR$9/(((13-AR$4)*AR16/12)+((AR$4-1)*AR17/12))</f>
        <v>8.4878188653505386</v>
      </c>
      <c r="AZ26" s="185">
        <v>45043</v>
      </c>
      <c r="BA26" s="186">
        <v>4.3899999999999997</v>
      </c>
      <c r="BB26" s="186">
        <v>3032069</v>
      </c>
      <c r="BC26" s="186">
        <v>2019983</v>
      </c>
      <c r="BE26" s="184">
        <v>44498</v>
      </c>
      <c r="BF26" s="189">
        <f t="shared" si="68"/>
        <v>4.67</v>
      </c>
    </row>
    <row r="27" spans="2:58">
      <c r="B27" s="159" t="s">
        <v>736</v>
      </c>
      <c r="C27" s="192">
        <f>C$7/(((13-C$4)*C19/12)+((C$4-1)*C20/12))</f>
        <v>30.510066127847168</v>
      </c>
      <c r="D27" s="192">
        <f t="shared" ref="D27:N27" si="75">D$7/(((13-D$4)*D19/12)+((D$4-1)*D20/12))</f>
        <v>30.781152591518666</v>
      </c>
      <c r="E27" s="192">
        <f t="shared" si="75"/>
        <v>29.926323319027183</v>
      </c>
      <c r="F27" s="192">
        <f t="shared" si="75"/>
        <v>30.253159195199441</v>
      </c>
      <c r="G27" s="192">
        <f t="shared" si="75"/>
        <v>29.372682926829267</v>
      </c>
      <c r="H27" s="192">
        <f t="shared" si="75"/>
        <v>28.89122807017544</v>
      </c>
      <c r="I27" s="192">
        <f t="shared" si="75"/>
        <v>28.15625</v>
      </c>
      <c r="J27" s="192">
        <f t="shared" si="75"/>
        <v>26.232807782623279</v>
      </c>
      <c r="K27" s="192">
        <f t="shared" si="75"/>
        <v>26.325778661365142</v>
      </c>
      <c r="L27" s="192">
        <f t="shared" si="75"/>
        <v>24.573486088379706</v>
      </c>
      <c r="M27" s="192">
        <f t="shared" si="75"/>
        <v>24.785252263906855</v>
      </c>
      <c r="N27" s="192">
        <f t="shared" si="75"/>
        <v>25.241930329178651</v>
      </c>
      <c r="O27" s="192">
        <f>O$7/(((13-O$4)*O20/12)+((O$4-1)*O21/12))</f>
        <v>23.57880606443462</v>
      </c>
      <c r="P27" s="192">
        <f t="shared" ref="P27:Z27" si="76">P$7/(((13-P$4)*P20/12)+((P$4-1)*P21/12))</f>
        <v>23.650511692030332</v>
      </c>
      <c r="Q27" s="192">
        <f t="shared" si="76"/>
        <v>22.67001388740519</v>
      </c>
      <c r="R27" s="192">
        <f t="shared" si="76"/>
        <v>23.241323648103307</v>
      </c>
      <c r="S27" s="192">
        <f t="shared" si="76"/>
        <v>23.668419340849958</v>
      </c>
      <c r="T27" s="192">
        <f t="shared" si="76"/>
        <v>22.512205777947685</v>
      </c>
      <c r="U27" s="192">
        <f t="shared" si="76"/>
        <v>22.010234400792342</v>
      </c>
      <c r="V27" s="192">
        <f t="shared" si="76"/>
        <v>24.415978266895824</v>
      </c>
      <c r="W27" s="192">
        <f t="shared" si="76"/>
        <v>24.602849162011175</v>
      </c>
      <c r="X27" s="192">
        <f t="shared" si="76"/>
        <v>24.686877216686369</v>
      </c>
      <c r="Y27" s="192">
        <f t="shared" si="76"/>
        <v>24.932032225121979</v>
      </c>
      <c r="Z27" s="192">
        <f t="shared" si="76"/>
        <v>26.040082337469265</v>
      </c>
      <c r="AA27" s="192">
        <f>AA$7/(((13-AA$4)*AA21/12)+((AA$4-1)*AA22/12))</f>
        <v>22.890560165975103</v>
      </c>
      <c r="AB27" s="192">
        <f t="shared" ref="AB27:AL27" si="77">AB$7/(((13-AB$4)*AB21/12)+((AB$4-1)*AB22/12))</f>
        <v>21.083445040214475</v>
      </c>
      <c r="AC27" s="192">
        <f t="shared" si="77"/>
        <v>19.994960988296491</v>
      </c>
      <c r="AD27" s="192">
        <f t="shared" si="77"/>
        <v>18.772095959595958</v>
      </c>
      <c r="AE27" s="192">
        <f t="shared" si="77"/>
        <v>18.194325153374233</v>
      </c>
      <c r="AF27" s="192">
        <f t="shared" si="77"/>
        <v>15.407219570405728</v>
      </c>
      <c r="AG27" s="192">
        <f t="shared" si="77"/>
        <v>16.67697444831591</v>
      </c>
      <c r="AH27" s="192">
        <f t="shared" si="77"/>
        <v>17.039734162895929</v>
      </c>
      <c r="AI27" s="192">
        <f t="shared" si="77"/>
        <v>15.140986769570011</v>
      </c>
      <c r="AJ27" s="192">
        <f t="shared" si="77"/>
        <v>16.196908602150536</v>
      </c>
      <c r="AK27" s="192">
        <f t="shared" si="77"/>
        <v>15.76495278069255</v>
      </c>
      <c r="AL27" s="192">
        <f t="shared" si="77"/>
        <v>15.39344262295082</v>
      </c>
      <c r="AM27" s="192">
        <f>AM$7/(((13-AM$4)*AM22/12)+((AM$4-1)*AM23/12))</f>
        <v>15.514954954954955</v>
      </c>
      <c r="AN27" s="192">
        <f t="shared" ref="AN27:AQ27" si="78">AN$7/(((13-AN$4)*AN22/12)+((AN$4-1)*AN23/12))</f>
        <v>15.136606635071091</v>
      </c>
      <c r="AO27" s="192">
        <f t="shared" si="78"/>
        <v>15.80010100187342</v>
      </c>
      <c r="AP27" s="192">
        <f t="shared" si="78"/>
        <v>16.63721772732762</v>
      </c>
      <c r="AQ27" s="192">
        <f t="shared" si="78"/>
        <v>15.997377049180329</v>
      </c>
      <c r="AR27" s="192">
        <f t="shared" ref="AR27" si="79">AR$7/(((13-AR$4)*AR22/12)+((AR$4-1)*AR23/12))</f>
        <v>15.372084497069354</v>
      </c>
      <c r="AZ27" s="185">
        <v>45042</v>
      </c>
      <c r="BA27" s="186">
        <v>4.3</v>
      </c>
      <c r="BB27" s="186">
        <v>2391468</v>
      </c>
      <c r="BC27" s="186">
        <v>1863905</v>
      </c>
      <c r="BE27" s="188">
        <f>EOMONTH(BE26,1)</f>
        <v>44530</v>
      </c>
      <c r="BF27" s="189">
        <f t="shared" si="68"/>
        <v>4.68</v>
      </c>
    </row>
    <row r="28" spans="2:58">
      <c r="AZ28" s="185">
        <v>45041</v>
      </c>
      <c r="BA28" s="186">
        <v>4.3499999999999996</v>
      </c>
      <c r="BB28" s="186">
        <v>1379472</v>
      </c>
      <c r="BC28" s="186">
        <v>1786347</v>
      </c>
      <c r="BE28" s="188">
        <f>EOMONTH(BE27,1)</f>
        <v>44561</v>
      </c>
      <c r="BF28" s="189">
        <f t="shared" si="68"/>
        <v>4.8499999999999996</v>
      </c>
    </row>
    <row r="29" spans="2:58">
      <c r="C29" t="str">
        <f>CHAR(64+COLUMN(C4))</f>
        <v>C</v>
      </c>
      <c r="D29" t="str">
        <f t="shared" ref="D29:G29" si="80">CHAR(64+COLUMN(D4))</f>
        <v>D</v>
      </c>
      <c r="E29" t="str">
        <f t="shared" si="80"/>
        <v>E</v>
      </c>
      <c r="F29" t="str">
        <f t="shared" si="80"/>
        <v>F</v>
      </c>
      <c r="G29" t="str">
        <f t="shared" si="80"/>
        <v>G</v>
      </c>
      <c r="AZ29" s="185">
        <v>45036</v>
      </c>
      <c r="BA29" s="186">
        <v>4.34</v>
      </c>
      <c r="BB29" s="186">
        <v>2083613</v>
      </c>
      <c r="BC29" s="186">
        <v>1933620</v>
      </c>
      <c r="BE29" s="188">
        <f>EOMONTH(BE28,1)</f>
        <v>44592</v>
      </c>
      <c r="BF29" s="189">
        <f t="shared" si="68"/>
        <v>4.2300000000000004</v>
      </c>
    </row>
    <row r="30" spans="2:58">
      <c r="C30" s="189" cm="1">
        <f t="array" aca="1" ref="C30" ca="1">INDIRECT(C29&amp;5)</f>
        <v>5.31</v>
      </c>
      <c r="AZ30" s="185">
        <v>45035</v>
      </c>
      <c r="BA30" s="186">
        <v>4.29</v>
      </c>
      <c r="BB30" s="186">
        <v>1396718</v>
      </c>
      <c r="BC30" s="186">
        <v>1910874</v>
      </c>
      <c r="BE30" s="188">
        <f>EOMONTH(BE29,1)</f>
        <v>44620</v>
      </c>
      <c r="BF30" s="189">
        <f t="shared" si="68"/>
        <v>4.0199999999999996</v>
      </c>
    </row>
    <row r="31" spans="2:58">
      <c r="AZ31" s="185">
        <v>45034</v>
      </c>
      <c r="BA31" s="186">
        <v>4.3</v>
      </c>
      <c r="BB31" s="186">
        <v>2861700</v>
      </c>
      <c r="BC31" s="186">
        <v>1876467</v>
      </c>
      <c r="BE31" s="188">
        <f>EOMONTH(BE30,1)</f>
        <v>44651</v>
      </c>
      <c r="BF31" s="189">
        <f t="shared" si="68"/>
        <v>3.93</v>
      </c>
    </row>
    <row r="32" spans="2:58">
      <c r="AZ32" s="185">
        <v>45033</v>
      </c>
      <c r="BA32" s="186">
        <v>4.28</v>
      </c>
      <c r="BB32" s="186">
        <v>3632745</v>
      </c>
      <c r="BC32" s="186">
        <v>1736761</v>
      </c>
      <c r="BE32" s="184">
        <v>44680</v>
      </c>
      <c r="BF32" s="189">
        <f t="shared" si="68"/>
        <v>3.8</v>
      </c>
    </row>
    <row r="33" spans="2:58">
      <c r="AZ33" s="185">
        <v>45030</v>
      </c>
      <c r="BA33" s="186">
        <v>4.1900000000000004</v>
      </c>
      <c r="BB33" s="186">
        <v>2286010</v>
      </c>
      <c r="BC33" s="186">
        <v>1526324</v>
      </c>
      <c r="BE33" s="188">
        <f>EOMONTH(BE32,1)</f>
        <v>44712</v>
      </c>
      <c r="BF33" s="189">
        <f t="shared" si="68"/>
        <v>3.79</v>
      </c>
    </row>
    <row r="34" spans="2:58">
      <c r="AZ34" s="185">
        <v>45029</v>
      </c>
      <c r="BA34" s="186">
        <v>4.17</v>
      </c>
      <c r="BB34" s="186">
        <v>1819949</v>
      </c>
      <c r="BC34" s="186">
        <v>1436856</v>
      </c>
      <c r="BE34" s="188">
        <f>EOMONTH(BE33,1)</f>
        <v>44742</v>
      </c>
      <c r="BF34" s="189">
        <f t="shared" si="68"/>
        <v>3.3</v>
      </c>
    </row>
    <row r="35" spans="2:58">
      <c r="AZ35" s="185">
        <v>45028</v>
      </c>
      <c r="BA35" s="186">
        <v>4.16</v>
      </c>
      <c r="BB35" s="186">
        <v>3211015</v>
      </c>
      <c r="BC35" s="186">
        <v>1350933</v>
      </c>
      <c r="BE35" s="184">
        <v>44771</v>
      </c>
      <c r="BF35" s="189">
        <f t="shared" si="68"/>
        <v>3.67</v>
      </c>
    </row>
    <row r="36" spans="2:58">
      <c r="AZ36" s="185">
        <v>45027</v>
      </c>
      <c r="BA36" s="186">
        <v>4.12</v>
      </c>
      <c r="BB36" s="186">
        <v>737162</v>
      </c>
      <c r="BC36" s="186">
        <v>1205472</v>
      </c>
      <c r="BE36" s="184">
        <v>44803</v>
      </c>
      <c r="BF36" s="189">
        <f t="shared" si="68"/>
        <v>3.85</v>
      </c>
    </row>
    <row r="37" spans="2:58">
      <c r="AZ37" s="185">
        <v>45026</v>
      </c>
      <c r="BA37" s="186">
        <v>4.12</v>
      </c>
      <c r="BB37" s="186">
        <v>1700400</v>
      </c>
      <c r="BC37" s="186">
        <v>1233145</v>
      </c>
      <c r="BE37" s="188">
        <f>EOMONTH(BE36,1)</f>
        <v>44834</v>
      </c>
      <c r="BF37" s="189">
        <f t="shared" si="68"/>
        <v>3.51</v>
      </c>
    </row>
    <row r="38" spans="2:58">
      <c r="AZ38" s="185">
        <v>45023</v>
      </c>
      <c r="BA38" s="186">
        <v>4.09</v>
      </c>
      <c r="BB38" s="186">
        <v>2110826</v>
      </c>
      <c r="BC38" s="186">
        <v>1172339</v>
      </c>
      <c r="BE38" s="188">
        <f>EOMONTH(BE37,1)</f>
        <v>44865</v>
      </c>
      <c r="BF38" s="189">
        <f t="shared" si="68"/>
        <v>3.85</v>
      </c>
    </row>
    <row r="39" spans="2:58">
      <c r="AZ39" s="185">
        <v>45022</v>
      </c>
      <c r="BA39" s="186">
        <v>4.08</v>
      </c>
      <c r="BB39" s="186">
        <v>1448201</v>
      </c>
      <c r="BC39" s="186">
        <v>1172944</v>
      </c>
      <c r="BE39" s="188">
        <f>EOMONTH(BE38,1)</f>
        <v>44895</v>
      </c>
      <c r="BF39" s="189">
        <f t="shared" si="68"/>
        <v>3.84</v>
      </c>
    </row>
    <row r="40" spans="2:58">
      <c r="AZ40" s="185">
        <v>45021</v>
      </c>
      <c r="BA40" s="186">
        <v>4.08</v>
      </c>
      <c r="BB40" s="186">
        <v>208400</v>
      </c>
      <c r="BC40" s="186">
        <v>1139742</v>
      </c>
      <c r="BE40" s="184">
        <v>44925</v>
      </c>
      <c r="BF40" s="189">
        <f t="shared" si="68"/>
        <v>3.84</v>
      </c>
    </row>
    <row r="41" spans="2:58">
      <c r="AZ41" s="185">
        <v>45020</v>
      </c>
      <c r="BA41" s="186">
        <v>4.0999999999999996</v>
      </c>
      <c r="BB41" s="186">
        <v>690900</v>
      </c>
      <c r="BC41" s="186">
        <v>1219853</v>
      </c>
      <c r="BE41" s="188">
        <f>EOMONTH(BE40,1)</f>
        <v>44957</v>
      </c>
      <c r="BF41" s="189">
        <f t="shared" si="68"/>
        <v>3.96</v>
      </c>
    </row>
    <row r="42" spans="2:58">
      <c r="AZ42" s="185">
        <v>45019</v>
      </c>
      <c r="BA42" s="186">
        <v>4.12</v>
      </c>
      <c r="BB42" s="186">
        <v>1228100</v>
      </c>
      <c r="BC42" s="186">
        <v>1332235</v>
      </c>
      <c r="BE42" s="188">
        <f>EOMONTH(BE41,1)</f>
        <v>44985</v>
      </c>
      <c r="BF42" s="189">
        <f t="shared" si="68"/>
        <v>3.91</v>
      </c>
    </row>
    <row r="43" spans="2:58">
      <c r="AZ43" s="185">
        <v>45016</v>
      </c>
      <c r="BA43" s="186">
        <v>4.13</v>
      </c>
      <c r="BB43" s="186">
        <v>3588554</v>
      </c>
      <c r="BC43" s="186">
        <v>1336522</v>
      </c>
      <c r="BE43" s="188">
        <f>EOMONTH(BE42,1)</f>
        <v>45016</v>
      </c>
      <c r="BF43" s="189">
        <f t="shared" si="68"/>
        <v>4.13</v>
      </c>
    </row>
    <row r="44" spans="2:58">
      <c r="AZ44" s="185">
        <v>45015</v>
      </c>
      <c r="BA44" s="186">
        <v>4.0999999999999996</v>
      </c>
      <c r="BB44" s="186">
        <v>1742425</v>
      </c>
      <c r="BC44" s="186">
        <v>1211406</v>
      </c>
      <c r="BE44" s="184">
        <v>45044</v>
      </c>
      <c r="BF44" s="189">
        <f t="shared" si="68"/>
        <v>4.4000000000000004</v>
      </c>
    </row>
    <row r="45" spans="2:58">
      <c r="AZ45" s="185">
        <v>45014</v>
      </c>
      <c r="BA45" s="186">
        <v>4.03</v>
      </c>
      <c r="BB45" s="186">
        <v>880621</v>
      </c>
      <c r="BC45" s="186">
        <v>1142123</v>
      </c>
      <c r="BE45" s="184">
        <v>45076</v>
      </c>
      <c r="BF45" s="189">
        <f t="shared" si="68"/>
        <v>4.28</v>
      </c>
    </row>
    <row r="46" spans="2:58">
      <c r="AZ46" s="185">
        <v>45013</v>
      </c>
      <c r="BA46" s="186">
        <v>4</v>
      </c>
      <c r="BB46" s="186">
        <v>766100</v>
      </c>
      <c r="BC46" s="186">
        <v>1148201</v>
      </c>
    </row>
    <row r="47" spans="2:58">
      <c r="AZ47" s="185">
        <v>45012</v>
      </c>
      <c r="BA47" s="186">
        <v>3.94</v>
      </c>
      <c r="BB47" s="186">
        <v>476191</v>
      </c>
      <c r="BC47" s="186">
        <v>1138559</v>
      </c>
    </row>
    <row r="48" spans="2:58">
      <c r="B48" s="180" t="s">
        <v>737</v>
      </c>
      <c r="AZ48" s="185">
        <v>45009</v>
      </c>
      <c r="BA48" s="186">
        <v>3.98</v>
      </c>
      <c r="BB48" s="186">
        <v>944000</v>
      </c>
      <c r="BC48" s="186">
        <v>1154865</v>
      </c>
    </row>
    <row r="49" spans="2:55">
      <c r="B49" s="159" t="s">
        <v>2</v>
      </c>
      <c r="AZ49" s="185">
        <v>45008</v>
      </c>
      <c r="BA49" s="186">
        <v>4.0199999999999996</v>
      </c>
      <c r="BB49" s="186">
        <v>531100</v>
      </c>
      <c r="BC49" s="186">
        <v>1160936</v>
      </c>
    </row>
    <row r="50" spans="2:55">
      <c r="B50" s="187">
        <v>2020</v>
      </c>
      <c r="C50">
        <v>3085</v>
      </c>
      <c r="D50">
        <v>3085</v>
      </c>
      <c r="E50">
        <v>3085</v>
      </c>
      <c r="F50">
        <v>3085</v>
      </c>
      <c r="G50">
        <v>3085</v>
      </c>
      <c r="H50">
        <v>3085</v>
      </c>
      <c r="I50">
        <v>3085</v>
      </c>
      <c r="J50">
        <v>3085</v>
      </c>
      <c r="K50">
        <v>3085</v>
      </c>
      <c r="L50">
        <v>3085</v>
      </c>
      <c r="M50">
        <v>3085</v>
      </c>
      <c r="N50">
        <v>3085</v>
      </c>
      <c r="AZ50" s="185">
        <v>45007</v>
      </c>
      <c r="BA50" s="186">
        <v>4.01</v>
      </c>
      <c r="BB50" s="186">
        <v>1029100</v>
      </c>
      <c r="BC50" s="186">
        <v>1196184</v>
      </c>
    </row>
    <row r="51" spans="2:55">
      <c r="B51" s="191">
        <f>B50+1</f>
        <v>2021</v>
      </c>
      <c r="C51">
        <v>3107</v>
      </c>
      <c r="D51">
        <v>3107</v>
      </c>
      <c r="E51">
        <v>3107</v>
      </c>
      <c r="F51">
        <v>3107</v>
      </c>
      <c r="G51">
        <v>3107</v>
      </c>
      <c r="H51">
        <v>3107</v>
      </c>
      <c r="I51">
        <v>3107</v>
      </c>
      <c r="J51">
        <v>3107</v>
      </c>
      <c r="K51">
        <v>3107</v>
      </c>
      <c r="L51">
        <v>3107</v>
      </c>
      <c r="M51">
        <v>3107</v>
      </c>
      <c r="N51">
        <v>3107</v>
      </c>
      <c r="O51">
        <v>3107</v>
      </c>
      <c r="P51">
        <v>3107</v>
      </c>
      <c r="Q51">
        <v>3107</v>
      </c>
      <c r="R51">
        <v>3107</v>
      </c>
      <c r="S51">
        <v>3107</v>
      </c>
      <c r="T51">
        <v>3107</v>
      </c>
      <c r="U51">
        <v>3107</v>
      </c>
      <c r="V51">
        <v>3107</v>
      </c>
      <c r="W51">
        <v>3107</v>
      </c>
      <c r="X51">
        <v>3107</v>
      </c>
      <c r="Y51">
        <v>3107</v>
      </c>
      <c r="Z51">
        <v>3107</v>
      </c>
      <c r="AZ51" s="185">
        <v>45006</v>
      </c>
      <c r="BA51" s="186">
        <v>3.94</v>
      </c>
      <c r="BB51" s="186">
        <v>1152262</v>
      </c>
      <c r="BC51" s="186">
        <v>1209397</v>
      </c>
    </row>
    <row r="52" spans="2:55">
      <c r="B52" s="191">
        <f>B51+1</f>
        <v>2022</v>
      </c>
      <c r="O52">
        <v>3205</v>
      </c>
      <c r="P52">
        <v>3205</v>
      </c>
      <c r="Q52">
        <v>3205</v>
      </c>
      <c r="R52">
        <v>3205</v>
      </c>
      <c r="S52">
        <v>3205</v>
      </c>
      <c r="T52">
        <v>3205</v>
      </c>
      <c r="U52">
        <v>3205</v>
      </c>
      <c r="V52">
        <v>3205</v>
      </c>
      <c r="W52">
        <v>3205</v>
      </c>
      <c r="X52">
        <v>3205</v>
      </c>
      <c r="Y52">
        <v>3205</v>
      </c>
      <c r="Z52">
        <v>3205</v>
      </c>
      <c r="AA52">
        <v>3205</v>
      </c>
      <c r="AB52">
        <v>3205</v>
      </c>
      <c r="AC52">
        <v>3205</v>
      </c>
      <c r="AD52">
        <v>3205</v>
      </c>
      <c r="AE52">
        <v>3205</v>
      </c>
      <c r="AF52">
        <v>3205</v>
      </c>
      <c r="AG52">
        <v>3205</v>
      </c>
      <c r="AH52">
        <v>3205</v>
      </c>
      <c r="AI52">
        <v>3205</v>
      </c>
      <c r="AJ52">
        <v>3205</v>
      </c>
      <c r="AK52">
        <v>3205</v>
      </c>
      <c r="AL52">
        <v>3205</v>
      </c>
      <c r="AZ52" s="185">
        <v>45005</v>
      </c>
      <c r="BA52" s="186">
        <v>3.92</v>
      </c>
      <c r="BB52" s="186">
        <v>788300</v>
      </c>
      <c r="BC52" s="186">
        <v>1564822</v>
      </c>
    </row>
    <row r="53" spans="2:55">
      <c r="B53" s="191">
        <f t="shared" ref="B53:B54" si="81">B52+1</f>
        <v>2023</v>
      </c>
      <c r="AZ53" s="185">
        <v>45002</v>
      </c>
      <c r="BA53" s="186">
        <v>3.86</v>
      </c>
      <c r="BB53" s="186">
        <v>2119905</v>
      </c>
      <c r="BC53" s="186">
        <v>1581692</v>
      </c>
    </row>
    <row r="54" spans="2:55">
      <c r="B54" s="191">
        <f t="shared" si="81"/>
        <v>2024</v>
      </c>
      <c r="AZ54" s="185">
        <v>45001</v>
      </c>
      <c r="BA54" s="186">
        <v>3.75</v>
      </c>
      <c r="BB54" s="186">
        <v>950171</v>
      </c>
      <c r="BC54" s="186">
        <v>1536962</v>
      </c>
    </row>
    <row r="55" spans="2:55">
      <c r="B55" s="159" t="s">
        <v>109</v>
      </c>
      <c r="AZ55" s="185">
        <v>45000</v>
      </c>
      <c r="BA55" s="186">
        <v>3.84</v>
      </c>
      <c r="BB55" s="186">
        <v>1410062</v>
      </c>
      <c r="BC55" s="186">
        <v>1554273</v>
      </c>
    </row>
    <row r="56" spans="2:55">
      <c r="B56" s="187">
        <v>2020</v>
      </c>
      <c r="C56">
        <v>1272</v>
      </c>
      <c r="D56">
        <v>1272</v>
      </c>
      <c r="E56">
        <v>1272</v>
      </c>
      <c r="F56">
        <v>1272</v>
      </c>
      <c r="G56">
        <v>1272</v>
      </c>
      <c r="H56">
        <v>1272</v>
      </c>
      <c r="I56">
        <v>1272</v>
      </c>
      <c r="J56">
        <v>1272</v>
      </c>
      <c r="K56">
        <v>1272</v>
      </c>
      <c r="L56">
        <v>1272</v>
      </c>
      <c r="M56">
        <v>1272</v>
      </c>
      <c r="N56">
        <v>1272</v>
      </c>
      <c r="AZ56" s="185">
        <v>44999</v>
      </c>
      <c r="BA56" s="186">
        <v>3.77</v>
      </c>
      <c r="BB56" s="186">
        <v>2376638</v>
      </c>
      <c r="BC56" s="186">
        <v>1525162</v>
      </c>
    </row>
    <row r="57" spans="2:55">
      <c r="B57" s="191">
        <f>B56+1</f>
        <v>2021</v>
      </c>
      <c r="C57">
        <v>1244</v>
      </c>
      <c r="D57">
        <v>1244</v>
      </c>
      <c r="E57">
        <v>1244</v>
      </c>
      <c r="F57">
        <v>1244</v>
      </c>
      <c r="G57">
        <v>1244</v>
      </c>
      <c r="H57">
        <v>1244</v>
      </c>
      <c r="I57">
        <v>1244</v>
      </c>
      <c r="J57">
        <v>1244</v>
      </c>
      <c r="K57">
        <v>1244</v>
      </c>
      <c r="L57">
        <v>1244</v>
      </c>
      <c r="M57">
        <v>1244</v>
      </c>
      <c r="N57">
        <v>1244</v>
      </c>
      <c r="O57">
        <v>1244</v>
      </c>
      <c r="P57">
        <v>1244</v>
      </c>
      <c r="Q57">
        <v>1244</v>
      </c>
      <c r="R57">
        <v>1244</v>
      </c>
      <c r="S57">
        <v>1244</v>
      </c>
      <c r="T57">
        <v>1244</v>
      </c>
      <c r="U57">
        <v>1244</v>
      </c>
      <c r="V57">
        <v>1244</v>
      </c>
      <c r="W57">
        <v>1244</v>
      </c>
      <c r="X57">
        <v>1244</v>
      </c>
      <c r="Y57">
        <v>1244</v>
      </c>
      <c r="Z57">
        <v>1244</v>
      </c>
      <c r="AZ57" s="185">
        <v>44998</v>
      </c>
      <c r="BA57" s="186">
        <v>3.88</v>
      </c>
      <c r="BB57" s="186">
        <v>1292400</v>
      </c>
      <c r="BC57" s="186">
        <v>1468447</v>
      </c>
    </row>
    <row r="58" spans="2:55">
      <c r="B58" s="191">
        <f>B57+1</f>
        <v>2022</v>
      </c>
      <c r="O58">
        <v>1584</v>
      </c>
      <c r="P58">
        <v>1584</v>
      </c>
      <c r="Q58">
        <v>1584</v>
      </c>
      <c r="R58">
        <v>1584</v>
      </c>
      <c r="S58">
        <v>1584</v>
      </c>
      <c r="T58">
        <v>1584</v>
      </c>
      <c r="U58">
        <v>1584</v>
      </c>
      <c r="V58">
        <v>1584</v>
      </c>
      <c r="W58">
        <v>1584</v>
      </c>
      <c r="X58">
        <v>1584</v>
      </c>
      <c r="Y58">
        <v>1584</v>
      </c>
      <c r="Z58">
        <v>1584</v>
      </c>
      <c r="AA58">
        <v>1584</v>
      </c>
      <c r="AB58">
        <v>1584</v>
      </c>
      <c r="AC58">
        <v>1584</v>
      </c>
      <c r="AD58">
        <v>1584</v>
      </c>
      <c r="AE58">
        <v>1584</v>
      </c>
      <c r="AF58">
        <v>1584</v>
      </c>
      <c r="AG58">
        <v>1584</v>
      </c>
      <c r="AH58">
        <v>1584</v>
      </c>
      <c r="AI58">
        <v>1584</v>
      </c>
      <c r="AJ58">
        <v>1584</v>
      </c>
      <c r="AK58">
        <v>1584</v>
      </c>
      <c r="AL58">
        <v>1584</v>
      </c>
      <c r="AZ58" s="185">
        <v>44995</v>
      </c>
      <c r="BA58" s="186">
        <v>3.93</v>
      </c>
      <c r="BB58" s="186">
        <v>1711813</v>
      </c>
      <c r="BC58" s="186">
        <v>1438327</v>
      </c>
    </row>
    <row r="59" spans="2:55">
      <c r="B59" s="191">
        <f t="shared" ref="B59:B60" si="82">B58+1</f>
        <v>2023</v>
      </c>
      <c r="AZ59" s="185">
        <v>44994</v>
      </c>
      <c r="BA59" s="186">
        <v>4.0199999999999996</v>
      </c>
      <c r="BB59" s="186">
        <v>703175</v>
      </c>
      <c r="BC59" s="186">
        <v>1386681</v>
      </c>
    </row>
    <row r="60" spans="2:55">
      <c r="B60" s="191">
        <f t="shared" si="82"/>
        <v>2024</v>
      </c>
      <c r="AZ60" s="185">
        <v>44993</v>
      </c>
      <c r="BA60" s="186">
        <v>4.04</v>
      </c>
      <c r="BB60" s="186">
        <v>971800</v>
      </c>
      <c r="BC60" s="186">
        <v>1461403</v>
      </c>
    </row>
    <row r="61" spans="2:55">
      <c r="AZ61" s="185">
        <v>44992</v>
      </c>
      <c r="BA61" s="186">
        <v>4</v>
      </c>
      <c r="BB61" s="186">
        <v>621471</v>
      </c>
      <c r="BC61" s="186">
        <v>1475534</v>
      </c>
    </row>
    <row r="62" spans="2:55">
      <c r="AZ62" s="185">
        <v>44991</v>
      </c>
      <c r="BA62" s="186">
        <v>3.99</v>
      </c>
      <c r="BB62" s="186">
        <v>720779</v>
      </c>
      <c r="BC62" s="186">
        <v>1495442</v>
      </c>
    </row>
    <row r="63" spans="2:55">
      <c r="AZ63" s="185">
        <v>44988</v>
      </c>
      <c r="BA63" s="186">
        <v>3.97</v>
      </c>
      <c r="BB63" s="186">
        <v>1035063</v>
      </c>
      <c r="BC63" s="186">
        <v>1496010</v>
      </c>
    </row>
    <row r="64" spans="2:55">
      <c r="AZ64" s="185">
        <v>44987</v>
      </c>
      <c r="BA64" s="186">
        <v>3.98</v>
      </c>
      <c r="BB64" s="186">
        <v>1059821</v>
      </c>
      <c r="BC64" s="186">
        <v>1466573</v>
      </c>
    </row>
    <row r="65" spans="52:55">
      <c r="AZ65" s="185">
        <v>44986</v>
      </c>
      <c r="BA65" s="186">
        <v>3.96</v>
      </c>
      <c r="BB65" s="186">
        <v>1227287</v>
      </c>
      <c r="BC65" s="186">
        <v>1513898</v>
      </c>
    </row>
    <row r="66" spans="52:55">
      <c r="AZ66" s="185">
        <v>44985</v>
      </c>
      <c r="BA66" s="186">
        <v>3.91</v>
      </c>
      <c r="BB66" s="186">
        <v>6483645</v>
      </c>
      <c r="BC66" s="186">
        <v>1553210</v>
      </c>
    </row>
    <row r="67" spans="52:55">
      <c r="AZ67" s="185">
        <v>44984</v>
      </c>
      <c r="BA67" s="186">
        <v>4</v>
      </c>
      <c r="BB67" s="186">
        <v>1041345</v>
      </c>
      <c r="BC67" s="186">
        <v>1290807</v>
      </c>
    </row>
    <row r="68" spans="52:55">
      <c r="AZ68" s="185">
        <v>44981</v>
      </c>
      <c r="BA68" s="186">
        <v>3.99</v>
      </c>
      <c r="BB68" s="186">
        <v>1448959</v>
      </c>
      <c r="BC68" s="186">
        <v>1328480</v>
      </c>
    </row>
    <row r="69" spans="52:55">
      <c r="AZ69" s="185">
        <v>44980</v>
      </c>
      <c r="BA69" s="186">
        <v>4.0199999999999996</v>
      </c>
      <c r="BB69" s="186">
        <v>1209840</v>
      </c>
      <c r="BC69" s="186">
        <v>1421133</v>
      </c>
    </row>
    <row r="70" spans="52:55">
      <c r="AZ70" s="185">
        <v>44979</v>
      </c>
      <c r="BA70" s="186">
        <v>4.0999999999999996</v>
      </c>
      <c r="BB70" s="186">
        <v>973400</v>
      </c>
      <c r="BC70" s="186">
        <v>1615713</v>
      </c>
    </row>
    <row r="71" spans="52:55">
      <c r="AZ71" s="185">
        <v>44978</v>
      </c>
      <c r="BA71" s="186">
        <v>4.17</v>
      </c>
      <c r="BB71" s="186">
        <v>1525900</v>
      </c>
      <c r="BC71" s="186">
        <v>1730171</v>
      </c>
    </row>
    <row r="72" spans="52:55">
      <c r="AZ72" s="185">
        <v>44977</v>
      </c>
      <c r="BA72" s="186">
        <v>4.1100000000000003</v>
      </c>
      <c r="BB72" s="186">
        <v>840600</v>
      </c>
      <c r="BC72" s="186">
        <v>1812633</v>
      </c>
    </row>
    <row r="73" spans="52:55">
      <c r="AZ73" s="185">
        <v>44974</v>
      </c>
      <c r="BA73" s="186">
        <v>4.05</v>
      </c>
      <c r="BB73" s="186">
        <v>937132</v>
      </c>
      <c r="BC73" s="186">
        <v>1818710</v>
      </c>
    </row>
    <row r="74" spans="52:55">
      <c r="AZ74" s="185">
        <v>44973</v>
      </c>
      <c r="BA74" s="186">
        <v>4.08</v>
      </c>
      <c r="BB74" s="186">
        <v>1824006</v>
      </c>
      <c r="BC74" s="186">
        <v>1866423</v>
      </c>
    </row>
    <row r="75" spans="52:55">
      <c r="AZ75" s="185">
        <v>44972</v>
      </c>
      <c r="BA75" s="186">
        <v>4.0599999999999996</v>
      </c>
      <c r="BB75" s="186">
        <v>1183758</v>
      </c>
      <c r="BC75" s="186">
        <v>2025129</v>
      </c>
    </row>
    <row r="76" spans="52:55">
      <c r="AZ76" s="185">
        <v>44971</v>
      </c>
      <c r="BA76" s="186">
        <v>4.04</v>
      </c>
      <c r="BB76" s="186">
        <v>920100</v>
      </c>
      <c r="BC76" s="186">
        <v>2107739</v>
      </c>
    </row>
    <row r="77" spans="52:55">
      <c r="AZ77" s="185">
        <v>44970</v>
      </c>
      <c r="BA77" s="186">
        <v>3.98</v>
      </c>
      <c r="BB77" s="186">
        <v>729298</v>
      </c>
      <c r="BC77" s="186">
        <v>2144134</v>
      </c>
    </row>
    <row r="78" spans="52:55">
      <c r="AZ78" s="185">
        <v>44967</v>
      </c>
      <c r="BA78" s="186">
        <v>3.97</v>
      </c>
      <c r="BB78" s="186">
        <v>593505</v>
      </c>
      <c r="BC78" s="186">
        <v>2251456</v>
      </c>
    </row>
    <row r="79" spans="52:55">
      <c r="AZ79" s="185">
        <v>44966</v>
      </c>
      <c r="BA79" s="186">
        <v>4.03</v>
      </c>
      <c r="BB79" s="186">
        <v>1769692</v>
      </c>
      <c r="BC79" s="186">
        <v>2240509</v>
      </c>
    </row>
    <row r="80" spans="52:55">
      <c r="AZ80" s="185">
        <v>44965</v>
      </c>
      <c r="BA80" s="186">
        <v>4.09</v>
      </c>
      <c r="BB80" s="186">
        <v>1816970</v>
      </c>
      <c r="BC80" s="186">
        <v>2242217</v>
      </c>
    </row>
    <row r="81" spans="52:55">
      <c r="AZ81" s="185">
        <v>44964</v>
      </c>
      <c r="BA81" s="186">
        <v>4.0999999999999996</v>
      </c>
      <c r="BB81" s="186">
        <v>2547600</v>
      </c>
      <c r="BC81" s="186">
        <v>2405891</v>
      </c>
    </row>
    <row r="82" spans="52:55">
      <c r="AZ82" s="185">
        <v>44960</v>
      </c>
      <c r="BA82" s="186">
        <v>4.0199999999999996</v>
      </c>
      <c r="BB82" s="186">
        <v>1606434</v>
      </c>
      <c r="BC82" s="186">
        <v>2403245</v>
      </c>
    </row>
    <row r="83" spans="52:55">
      <c r="AZ83" s="185">
        <v>44959</v>
      </c>
      <c r="BA83" s="186">
        <v>4.04</v>
      </c>
      <c r="BB83" s="186">
        <v>2838762</v>
      </c>
      <c r="BC83" s="186">
        <v>2391077</v>
      </c>
    </row>
    <row r="84" spans="52:55">
      <c r="AZ84" s="185">
        <v>44957</v>
      </c>
      <c r="BA84" s="186">
        <v>3.96</v>
      </c>
      <c r="BB84" s="186">
        <v>4128540</v>
      </c>
      <c r="BC84" s="186">
        <v>2299615</v>
      </c>
    </row>
    <row r="85" spans="52:55">
      <c r="AZ85" s="185">
        <v>44956</v>
      </c>
      <c r="BA85" s="186">
        <v>4.0599999999999996</v>
      </c>
      <c r="BB85" s="186">
        <v>2690261</v>
      </c>
      <c r="BC85" s="186">
        <v>2106929</v>
      </c>
    </row>
    <row r="86" spans="52:55">
      <c r="AZ86" s="185">
        <v>44953</v>
      </c>
      <c r="BA86" s="186">
        <v>3.99</v>
      </c>
      <c r="BB86" s="186">
        <v>2762839</v>
      </c>
      <c r="BC86" s="186">
        <v>2019050</v>
      </c>
    </row>
    <row r="87" spans="52:55">
      <c r="AZ87" s="185">
        <v>44952</v>
      </c>
      <c r="BA87" s="186">
        <v>4.08</v>
      </c>
      <c r="BB87" s="186">
        <v>931749</v>
      </c>
      <c r="BC87" s="186">
        <v>1993074</v>
      </c>
    </row>
    <row r="88" spans="52:55">
      <c r="AZ88" s="185">
        <v>44951</v>
      </c>
      <c r="BA88" s="186">
        <v>3.96</v>
      </c>
      <c r="BB88" s="186">
        <v>1652832</v>
      </c>
      <c r="BC88" s="186">
        <v>2031246</v>
      </c>
    </row>
    <row r="89" spans="52:55">
      <c r="AZ89" s="185">
        <v>44946</v>
      </c>
      <c r="BA89" s="186">
        <v>4.0999999999999996</v>
      </c>
      <c r="BB89" s="186">
        <v>4204593</v>
      </c>
      <c r="BC89" s="186">
        <v>2162404</v>
      </c>
    </row>
    <row r="90" spans="52:55">
      <c r="AZ90" s="185">
        <v>44945</v>
      </c>
      <c r="BA90" s="186">
        <v>3.98</v>
      </c>
      <c r="BB90" s="186">
        <v>2422914</v>
      </c>
      <c r="BC90" s="186">
        <v>2070678</v>
      </c>
    </row>
    <row r="91" spans="52:55">
      <c r="AZ91" s="185">
        <v>44944</v>
      </c>
      <c r="BA91" s="186">
        <v>3.91</v>
      </c>
      <c r="BB91" s="186">
        <v>1466019</v>
      </c>
      <c r="BC91" s="186">
        <v>2010297</v>
      </c>
    </row>
    <row r="92" spans="52:55">
      <c r="AZ92" s="185">
        <v>44943</v>
      </c>
      <c r="BA92" s="186">
        <v>3.85</v>
      </c>
      <c r="BB92" s="186">
        <v>2339127</v>
      </c>
      <c r="BC92" s="186">
        <v>1970802</v>
      </c>
    </row>
    <row r="93" spans="52:55">
      <c r="AZ93" s="185">
        <v>44942</v>
      </c>
      <c r="BA93" s="186">
        <v>3.83</v>
      </c>
      <c r="BB93" s="186">
        <v>429300</v>
      </c>
      <c r="BC93" s="186">
        <v>1913767</v>
      </c>
    </row>
    <row r="94" spans="52:55">
      <c r="AZ94" s="185">
        <v>44939</v>
      </c>
      <c r="BA94" s="186">
        <v>3.85</v>
      </c>
      <c r="BB94" s="186">
        <v>1795319</v>
      </c>
      <c r="BC94" s="186">
        <v>1908178</v>
      </c>
    </row>
    <row r="95" spans="52:55">
      <c r="AZ95" s="185">
        <v>44938</v>
      </c>
      <c r="BA95" s="186">
        <v>3.84</v>
      </c>
      <c r="BB95" s="186">
        <v>4272074</v>
      </c>
      <c r="BC95" s="186">
        <v>1840710</v>
      </c>
    </row>
    <row r="96" spans="52:55">
      <c r="AZ96" s="185">
        <v>44937</v>
      </c>
      <c r="BA96" s="186">
        <v>3.75</v>
      </c>
      <c r="BB96" s="186">
        <v>2507905</v>
      </c>
      <c r="BC96" s="186">
        <v>1613139</v>
      </c>
    </row>
    <row r="97" spans="52:55">
      <c r="AZ97" s="185">
        <v>44936</v>
      </c>
      <c r="BA97" s="186">
        <v>3.74</v>
      </c>
      <c r="BB97" s="186">
        <v>1423926</v>
      </c>
      <c r="BC97" s="186">
        <v>1511939</v>
      </c>
    </row>
    <row r="98" spans="52:55">
      <c r="AZ98" s="185">
        <v>44935</v>
      </c>
      <c r="BA98" s="186">
        <v>3.77</v>
      </c>
      <c r="BB98" s="186">
        <v>1466823</v>
      </c>
      <c r="BC98" s="186">
        <v>1658320</v>
      </c>
    </row>
    <row r="99" spans="52:55">
      <c r="AZ99" s="185">
        <v>44932</v>
      </c>
      <c r="BA99" s="186">
        <v>3.79</v>
      </c>
      <c r="BB99" s="186">
        <v>1238250</v>
      </c>
      <c r="BC99" s="186">
        <v>1882256</v>
      </c>
    </row>
    <row r="100" spans="52:55">
      <c r="AZ100" s="185">
        <v>44931</v>
      </c>
      <c r="BA100" s="186">
        <v>3.75</v>
      </c>
      <c r="BB100" s="186">
        <v>1372081</v>
      </c>
      <c r="BC100" s="186">
        <v>1947675</v>
      </c>
    </row>
    <row r="101" spans="52:55">
      <c r="AZ101" s="185">
        <v>44930</v>
      </c>
      <c r="BA101" s="186">
        <v>3.75</v>
      </c>
      <c r="BB101" s="186">
        <v>2373200</v>
      </c>
      <c r="BC101" s="186">
        <v>1940409</v>
      </c>
    </row>
    <row r="102" spans="52:55">
      <c r="AZ102" s="185">
        <v>44929</v>
      </c>
      <c r="BA102" s="186">
        <v>3.75</v>
      </c>
      <c r="BB102" s="186">
        <v>1504330</v>
      </c>
      <c r="BC102" s="186">
        <v>1877108</v>
      </c>
    </row>
    <row r="103" spans="52:55">
      <c r="AZ103" s="185">
        <v>44925</v>
      </c>
      <c r="BA103" s="186">
        <v>3.84</v>
      </c>
      <c r="BB103" s="186">
        <v>3620200</v>
      </c>
      <c r="BC103" s="186">
        <v>1861426</v>
      </c>
    </row>
    <row r="104" spans="52:55">
      <c r="AZ104" s="185">
        <v>44924</v>
      </c>
      <c r="BA104" s="186">
        <v>3.89</v>
      </c>
      <c r="BB104" s="186">
        <v>2828700</v>
      </c>
      <c r="BC104" s="186">
        <v>1729039</v>
      </c>
    </row>
    <row r="105" spans="52:55">
      <c r="AZ105" s="185">
        <v>44923</v>
      </c>
      <c r="BA105" s="186">
        <v>3.85</v>
      </c>
      <c r="BB105" s="186">
        <v>1517200</v>
      </c>
      <c r="BC105" s="186">
        <v>1761949</v>
      </c>
    </row>
    <row r="106" spans="52:55">
      <c r="AZ106" s="185">
        <v>44922</v>
      </c>
      <c r="BA106" s="186">
        <v>3.86</v>
      </c>
      <c r="BB106" s="186">
        <v>873600</v>
      </c>
      <c r="BC106" s="186">
        <v>1898931</v>
      </c>
    </row>
    <row r="107" spans="52:55">
      <c r="AZ107" s="185">
        <v>44918</v>
      </c>
      <c r="BA107" s="186">
        <v>3.81</v>
      </c>
      <c r="BB107" s="186">
        <v>1483600</v>
      </c>
      <c r="BC107" s="186">
        <v>1941774</v>
      </c>
    </row>
    <row r="108" spans="52:55">
      <c r="AZ108" s="185">
        <v>44917</v>
      </c>
      <c r="BA108" s="186">
        <v>3.8</v>
      </c>
      <c r="BB108" s="186">
        <v>345454</v>
      </c>
      <c r="BC108" s="186">
        <v>2000147</v>
      </c>
    </row>
    <row r="109" spans="52:55">
      <c r="AZ109" s="185">
        <v>44916</v>
      </c>
      <c r="BA109" s="186">
        <v>3.78</v>
      </c>
      <c r="BB109" s="186">
        <v>783300</v>
      </c>
      <c r="BC109" s="186">
        <v>2135022</v>
      </c>
    </row>
    <row r="110" spans="52:55">
      <c r="AZ110" s="185">
        <v>44915</v>
      </c>
      <c r="BA110" s="186">
        <v>3.8</v>
      </c>
      <c r="BB110" s="186">
        <v>858515</v>
      </c>
      <c r="BC110" s="186">
        <v>4556664</v>
      </c>
    </row>
    <row r="111" spans="52:55">
      <c r="AZ111" s="185">
        <v>44914</v>
      </c>
      <c r="BA111" s="186">
        <v>3.78</v>
      </c>
      <c r="BB111" s="186">
        <v>989900</v>
      </c>
      <c r="BC111" s="186">
        <v>4982005</v>
      </c>
    </row>
    <row r="112" spans="52:55">
      <c r="AZ112" s="185">
        <v>44911</v>
      </c>
      <c r="BA112" s="186">
        <v>3.73</v>
      </c>
      <c r="BB112" s="186">
        <v>3619650</v>
      </c>
      <c r="BC112" s="186">
        <v>5349045</v>
      </c>
    </row>
    <row r="113" spans="52:55">
      <c r="AZ113" s="185">
        <v>44910</v>
      </c>
      <c r="BA113" s="186">
        <v>3.75</v>
      </c>
      <c r="BB113" s="186">
        <v>4825855</v>
      </c>
      <c r="BC113" s="186">
        <v>5818742</v>
      </c>
    </row>
    <row r="114" spans="52:55">
      <c r="AZ114" s="185">
        <v>44909</v>
      </c>
      <c r="BA114" s="186">
        <v>3.88</v>
      </c>
      <c r="BB114" s="186">
        <v>2219532</v>
      </c>
      <c r="BC114" s="186">
        <v>5670781</v>
      </c>
    </row>
    <row r="115" spans="52:55">
      <c r="AZ115" s="185">
        <v>44908</v>
      </c>
      <c r="BA115" s="186">
        <v>3.86</v>
      </c>
      <c r="BB115" s="186">
        <v>1263100</v>
      </c>
      <c r="BC115" s="186">
        <v>5631853</v>
      </c>
    </row>
    <row r="116" spans="52:55">
      <c r="AZ116" s="185">
        <v>44907</v>
      </c>
      <c r="BA116" s="186">
        <v>3.88</v>
      </c>
      <c r="BB116" s="186">
        <v>1423676</v>
      </c>
      <c r="BC116" s="186">
        <v>5736180</v>
      </c>
    </row>
    <row r="117" spans="52:55">
      <c r="AZ117" s="185">
        <v>44904</v>
      </c>
      <c r="BA117" s="186">
        <v>3.88</v>
      </c>
      <c r="BB117" s="186">
        <v>1269100</v>
      </c>
      <c r="BC117" s="186">
        <v>5722322</v>
      </c>
    </row>
    <row r="118" spans="52:55">
      <c r="AZ118" s="185">
        <v>44903</v>
      </c>
      <c r="BA118" s="186">
        <v>3.85</v>
      </c>
      <c r="BB118" s="186">
        <v>1634400</v>
      </c>
      <c r="BC118" s="186">
        <v>5762235</v>
      </c>
    </row>
    <row r="119" spans="52:55">
      <c r="AZ119" s="185">
        <v>44902</v>
      </c>
      <c r="BA119" s="186">
        <v>3.88</v>
      </c>
      <c r="BB119" s="186">
        <v>3322352</v>
      </c>
      <c r="BC119" s="186">
        <v>5787115</v>
      </c>
    </row>
    <row r="120" spans="52:55">
      <c r="AZ120" s="185">
        <v>44901</v>
      </c>
      <c r="BA120" s="186">
        <v>3.88</v>
      </c>
      <c r="BB120" s="186">
        <v>3571924</v>
      </c>
      <c r="BC120" s="186">
        <v>5674526</v>
      </c>
    </row>
    <row r="121" spans="52:55">
      <c r="AZ121" s="185">
        <v>44900</v>
      </c>
      <c r="BA121" s="186">
        <v>3.89</v>
      </c>
      <c r="BB121" s="186">
        <v>1516253</v>
      </c>
      <c r="BC121" s="186">
        <v>5628738</v>
      </c>
    </row>
    <row r="122" spans="52:55">
      <c r="AZ122" s="185">
        <v>44897</v>
      </c>
      <c r="BA122" s="186">
        <v>3.9</v>
      </c>
      <c r="BB122" s="186">
        <v>2359200</v>
      </c>
      <c r="BC122" s="186">
        <v>5598219</v>
      </c>
    </row>
    <row r="123" spans="52:55">
      <c r="AZ123" s="185">
        <v>44896</v>
      </c>
      <c r="BA123" s="186">
        <v>3.95</v>
      </c>
      <c r="BB123" s="186">
        <v>2368564</v>
      </c>
      <c r="BC123" s="186">
        <v>5552284</v>
      </c>
    </row>
    <row r="124" spans="52:55">
      <c r="AZ124" s="185">
        <v>44895</v>
      </c>
      <c r="BA124" s="186">
        <v>3.84</v>
      </c>
      <c r="BB124" s="186">
        <v>37107936</v>
      </c>
      <c r="BC124" s="186">
        <v>5508608</v>
      </c>
    </row>
    <row r="125" spans="52:55">
      <c r="AZ125" s="185">
        <v>44894</v>
      </c>
      <c r="BA125" s="186">
        <v>3.91</v>
      </c>
      <c r="BB125" s="186">
        <v>7238631</v>
      </c>
      <c r="BC125" s="186">
        <v>3159413</v>
      </c>
    </row>
    <row r="126" spans="52:55">
      <c r="AZ126" s="185">
        <v>44890</v>
      </c>
      <c r="BA126" s="186">
        <v>3.97</v>
      </c>
      <c r="BB126" s="186">
        <v>6495500</v>
      </c>
      <c r="BC126" s="186">
        <v>2778771</v>
      </c>
    </row>
    <row r="127" spans="52:55">
      <c r="AZ127" s="185">
        <v>44889</v>
      </c>
      <c r="BA127" s="186">
        <v>4.1100000000000003</v>
      </c>
      <c r="BB127" s="186">
        <v>10665106</v>
      </c>
      <c r="BC127" s="186">
        <v>2475833</v>
      </c>
    </row>
    <row r="128" spans="52:55">
      <c r="AZ128" s="185">
        <v>44888</v>
      </c>
      <c r="BA128" s="186">
        <v>3.66</v>
      </c>
      <c r="BB128" s="186">
        <v>2606434</v>
      </c>
      <c r="BC128" s="186">
        <v>1915599</v>
      </c>
    </row>
    <row r="129" spans="52:55">
      <c r="AZ129" s="185">
        <v>44887</v>
      </c>
      <c r="BA129" s="186">
        <v>3.73</v>
      </c>
      <c r="BB129" s="186">
        <v>1635619</v>
      </c>
      <c r="BC129" s="186">
        <v>1865342</v>
      </c>
    </row>
    <row r="130" spans="52:55">
      <c r="AZ130" s="185">
        <v>44886</v>
      </c>
      <c r="BA130" s="186">
        <v>3.9</v>
      </c>
      <c r="BB130" s="186">
        <v>2828000</v>
      </c>
      <c r="BC130" s="186">
        <v>2002125</v>
      </c>
    </row>
    <row r="131" spans="52:55">
      <c r="AZ131" s="185">
        <v>44882</v>
      </c>
      <c r="BA131" s="186">
        <v>3.83</v>
      </c>
      <c r="BB131" s="186">
        <v>1215800</v>
      </c>
      <c r="BC131" s="186">
        <v>1948745</v>
      </c>
    </row>
    <row r="132" spans="52:55">
      <c r="AZ132" s="185">
        <v>44881</v>
      </c>
      <c r="BA132" s="186">
        <v>3.81</v>
      </c>
      <c r="BB132" s="186">
        <v>1867800</v>
      </c>
      <c r="BC132" s="186">
        <v>1968392</v>
      </c>
    </row>
    <row r="133" spans="52:55">
      <c r="AZ133" s="185">
        <v>44880</v>
      </c>
      <c r="BA133" s="186">
        <v>3.74</v>
      </c>
      <c r="BB133" s="186">
        <v>2007600</v>
      </c>
      <c r="BC133" s="186">
        <v>1965452</v>
      </c>
    </row>
    <row r="134" spans="52:55">
      <c r="AZ134" s="185">
        <v>44879</v>
      </c>
      <c r="BA134" s="186">
        <v>3.78</v>
      </c>
      <c r="BB134" s="186">
        <v>1633523</v>
      </c>
      <c r="BC134" s="186">
        <v>1942065</v>
      </c>
    </row>
    <row r="135" spans="52:55">
      <c r="AZ135" s="185">
        <v>44876</v>
      </c>
      <c r="BA135" s="186">
        <v>3.84</v>
      </c>
      <c r="BB135" s="186">
        <v>2885100</v>
      </c>
      <c r="BC135" s="186">
        <v>1931257</v>
      </c>
    </row>
    <row r="136" spans="52:55">
      <c r="AZ136" s="185">
        <v>44875</v>
      </c>
      <c r="BA136" s="186">
        <v>3.86</v>
      </c>
      <c r="BB136" s="186">
        <v>1058471</v>
      </c>
      <c r="BC136" s="186">
        <v>1860297</v>
      </c>
    </row>
    <row r="137" spans="52:55">
      <c r="AZ137" s="185">
        <v>44874</v>
      </c>
      <c r="BA137" s="186">
        <v>3.86</v>
      </c>
      <c r="BB137" s="186">
        <v>1670176</v>
      </c>
      <c r="BC137" s="186">
        <v>1953036</v>
      </c>
    </row>
    <row r="138" spans="52:55">
      <c r="AZ138" s="185">
        <v>44873</v>
      </c>
      <c r="BA138" s="186">
        <v>3.85</v>
      </c>
      <c r="BB138" s="186">
        <v>1713425</v>
      </c>
      <c r="BC138" s="186">
        <v>2130698</v>
      </c>
    </row>
    <row r="139" spans="52:55">
      <c r="AZ139" s="185">
        <v>44872</v>
      </c>
      <c r="BA139" s="186">
        <v>3.89</v>
      </c>
      <c r="BB139" s="186">
        <v>1870012</v>
      </c>
      <c r="BC139" s="186">
        <v>2113903</v>
      </c>
    </row>
    <row r="140" spans="52:55">
      <c r="AZ140" s="185">
        <v>44869</v>
      </c>
      <c r="BA140" s="186">
        <v>3.79</v>
      </c>
      <c r="BB140" s="186">
        <v>1529000</v>
      </c>
      <c r="BC140" s="186">
        <v>2151181</v>
      </c>
    </row>
    <row r="141" spans="52:55">
      <c r="AZ141" s="185">
        <v>44868</v>
      </c>
      <c r="BA141" s="186">
        <v>3.7</v>
      </c>
      <c r="BB141" s="186">
        <v>1951420</v>
      </c>
      <c r="BC141" s="186">
        <v>2191909</v>
      </c>
    </row>
    <row r="142" spans="52:55">
      <c r="AZ142" s="185">
        <v>44867</v>
      </c>
      <c r="BA142" s="186">
        <v>3.86</v>
      </c>
      <c r="BB142" s="186">
        <v>2261600</v>
      </c>
      <c r="BC142" s="186">
        <v>2139754</v>
      </c>
    </row>
    <row r="143" spans="52:55">
      <c r="AZ143" s="185">
        <v>44866</v>
      </c>
      <c r="BA143" s="186">
        <v>3.78</v>
      </c>
      <c r="BB143" s="186">
        <v>1852577</v>
      </c>
      <c r="BC143" s="186">
        <v>2104391</v>
      </c>
    </row>
    <row r="144" spans="52:55">
      <c r="AZ144" s="185">
        <v>44865</v>
      </c>
      <c r="BA144" s="186">
        <v>3.85</v>
      </c>
      <c r="BB144" s="186">
        <v>3687376</v>
      </c>
      <c r="BC144" s="186">
        <v>2100961</v>
      </c>
    </row>
    <row r="145" spans="52:55">
      <c r="AZ145" s="185">
        <v>44862</v>
      </c>
      <c r="BA145" s="186">
        <v>3.8</v>
      </c>
      <c r="BB145" s="186">
        <v>2027292</v>
      </c>
      <c r="BC145" s="186">
        <v>1923207</v>
      </c>
    </row>
    <row r="146" spans="52:55">
      <c r="AZ146" s="185">
        <v>44861</v>
      </c>
      <c r="BA146" s="186">
        <v>3.8</v>
      </c>
      <c r="BB146" s="186">
        <v>1510500</v>
      </c>
      <c r="BC146" s="186">
        <v>1853052</v>
      </c>
    </row>
    <row r="147" spans="52:55">
      <c r="AZ147" s="185">
        <v>44860</v>
      </c>
      <c r="BA147" s="186">
        <v>3.69</v>
      </c>
      <c r="BB147" s="186">
        <v>1823700</v>
      </c>
      <c r="BC147" s="186">
        <v>1841293</v>
      </c>
    </row>
    <row r="148" spans="52:55">
      <c r="AZ148" s="185">
        <v>44859</v>
      </c>
      <c r="BA148" s="186">
        <v>3.57</v>
      </c>
      <c r="BB148" s="186">
        <v>1656808</v>
      </c>
      <c r="BC148" s="186">
        <v>1808346</v>
      </c>
    </row>
    <row r="149" spans="52:55">
      <c r="AZ149" s="185">
        <v>44855</v>
      </c>
      <c r="BA149" s="186">
        <v>3.55</v>
      </c>
      <c r="BB149" s="186">
        <v>1471400</v>
      </c>
      <c r="BC149" s="186">
        <v>1821759</v>
      </c>
    </row>
    <row r="150" spans="52:55">
      <c r="AZ150" s="185">
        <v>44854</v>
      </c>
      <c r="BA150" s="186">
        <v>3.5</v>
      </c>
      <c r="BB150" s="186">
        <v>1820700</v>
      </c>
      <c r="BC150" s="186">
        <v>1762819</v>
      </c>
    </row>
    <row r="151" spans="52:55">
      <c r="AZ151" s="185">
        <v>44853</v>
      </c>
      <c r="BA151" s="186">
        <v>3.38</v>
      </c>
      <c r="BB151" s="186">
        <v>2449556</v>
      </c>
      <c r="BC151" s="186">
        <v>1870439</v>
      </c>
    </row>
    <row r="152" spans="52:55">
      <c r="AZ152" s="185">
        <v>44852</v>
      </c>
      <c r="BA152" s="186">
        <v>3.46</v>
      </c>
      <c r="BB152" s="186">
        <v>4335100</v>
      </c>
      <c r="BC152" s="186">
        <v>1784754</v>
      </c>
    </row>
    <row r="153" spans="52:55">
      <c r="AZ153" s="185">
        <v>44851</v>
      </c>
      <c r="BA153" s="186">
        <v>3.39</v>
      </c>
      <c r="BB153" s="186">
        <v>1461500</v>
      </c>
      <c r="BC153" s="186">
        <v>1602613</v>
      </c>
    </row>
    <row r="154" spans="52:55">
      <c r="AZ154" s="185">
        <v>44848</v>
      </c>
      <c r="BA154" s="186">
        <v>3.36</v>
      </c>
      <c r="BB154" s="186">
        <v>2429178</v>
      </c>
      <c r="BC154" s="186">
        <v>1584380</v>
      </c>
    </row>
    <row r="155" spans="52:55">
      <c r="AZ155" s="185">
        <v>44847</v>
      </c>
      <c r="BA155" s="186">
        <v>3.29</v>
      </c>
      <c r="BB155" s="186">
        <v>2139928</v>
      </c>
      <c r="BC155" s="186">
        <v>1475495</v>
      </c>
    </row>
    <row r="156" spans="52:55">
      <c r="AZ156" s="185">
        <v>44846</v>
      </c>
      <c r="BA156" s="186">
        <v>3.41</v>
      </c>
      <c r="BB156" s="186">
        <v>1169100</v>
      </c>
      <c r="BC156" s="186">
        <v>1457795</v>
      </c>
    </row>
    <row r="157" spans="52:55">
      <c r="AZ157" s="185">
        <v>44845</v>
      </c>
      <c r="BA157" s="186">
        <v>3.43</v>
      </c>
      <c r="BB157" s="186">
        <v>1731151</v>
      </c>
      <c r="BC157" s="186">
        <v>1505529</v>
      </c>
    </row>
    <row r="158" spans="52:55">
      <c r="AZ158" s="185">
        <v>44841</v>
      </c>
      <c r="BA158" s="186">
        <v>3.53</v>
      </c>
      <c r="BB158" s="186">
        <v>1801120</v>
      </c>
      <c r="BC158" s="186">
        <v>1563331</v>
      </c>
    </row>
    <row r="159" spans="52:55">
      <c r="AZ159" s="185">
        <v>44840</v>
      </c>
      <c r="BA159" s="186">
        <v>3.62</v>
      </c>
      <c r="BB159" s="186">
        <v>1021065</v>
      </c>
      <c r="BC159" s="186">
        <v>1684538</v>
      </c>
    </row>
    <row r="160" spans="52:55">
      <c r="AZ160" s="185">
        <v>44839</v>
      </c>
      <c r="BA160" s="186">
        <v>3.66</v>
      </c>
      <c r="BB160" s="186">
        <v>974972</v>
      </c>
      <c r="BC160" s="186">
        <v>1690958</v>
      </c>
    </row>
    <row r="161" spans="52:55">
      <c r="AZ161" s="185">
        <v>44838</v>
      </c>
      <c r="BA161" s="186">
        <v>3.69</v>
      </c>
      <c r="BB161" s="186">
        <v>1334117</v>
      </c>
      <c r="BC161" s="186">
        <v>1676953</v>
      </c>
    </row>
    <row r="162" spans="52:55">
      <c r="AZ162" s="185">
        <v>44837</v>
      </c>
      <c r="BA162" s="186">
        <v>3.51</v>
      </c>
      <c r="BB162" s="186">
        <v>1329500</v>
      </c>
      <c r="BC162" s="186">
        <v>1613992</v>
      </c>
    </row>
    <row r="163" spans="52:55">
      <c r="AZ163" s="185">
        <v>44834</v>
      </c>
      <c r="BA163" s="186">
        <v>3.51</v>
      </c>
      <c r="BB163" s="186">
        <v>1858000</v>
      </c>
      <c r="BC163" s="186">
        <v>1550972</v>
      </c>
    </row>
    <row r="164" spans="52:55">
      <c r="AZ164" s="185">
        <v>44833</v>
      </c>
      <c r="BA164" s="186">
        <v>3.55</v>
      </c>
      <c r="BB164" s="186">
        <v>587300</v>
      </c>
      <c r="BC164" s="186">
        <v>1509239</v>
      </c>
    </row>
    <row r="165" spans="52:55">
      <c r="AZ165" s="185">
        <v>44832</v>
      </c>
      <c r="BA165" s="186">
        <v>3.55</v>
      </c>
      <c r="BB165" s="186">
        <v>3435000</v>
      </c>
      <c r="BC165" s="186">
        <v>1519835</v>
      </c>
    </row>
    <row r="166" spans="52:55">
      <c r="AZ166" s="185">
        <v>44831</v>
      </c>
      <c r="BA166" s="186">
        <v>3.53</v>
      </c>
      <c r="BB166" s="186">
        <v>1164274</v>
      </c>
      <c r="BC166" s="186">
        <v>1511453</v>
      </c>
    </row>
    <row r="167" spans="52:55">
      <c r="AZ167" s="185">
        <v>44830</v>
      </c>
      <c r="BA167" s="186">
        <v>3.51</v>
      </c>
      <c r="BB167" s="186">
        <v>1602991</v>
      </c>
      <c r="BC167" s="186">
        <v>1459528</v>
      </c>
    </row>
    <row r="168" spans="52:55">
      <c r="AZ168" s="185">
        <v>44827</v>
      </c>
      <c r="BA168" s="186">
        <v>3.6</v>
      </c>
      <c r="BB168" s="186">
        <v>1188000</v>
      </c>
      <c r="BC168" s="186">
        <v>1409076</v>
      </c>
    </row>
    <row r="169" spans="52:55">
      <c r="AZ169" s="185">
        <v>44826</v>
      </c>
      <c r="BA169" s="186">
        <v>3.68</v>
      </c>
      <c r="BB169" s="186">
        <v>795900</v>
      </c>
      <c r="BC169" s="186">
        <v>1483963</v>
      </c>
    </row>
    <row r="170" spans="52:55">
      <c r="AZ170" s="185">
        <v>44825</v>
      </c>
      <c r="BA170" s="186">
        <v>3.68</v>
      </c>
      <c r="BB170" s="186">
        <v>1874439</v>
      </c>
      <c r="BC170" s="186">
        <v>1756220</v>
      </c>
    </row>
    <row r="171" spans="52:55">
      <c r="AZ171" s="185">
        <v>44824</v>
      </c>
      <c r="BA171" s="186">
        <v>3.71</v>
      </c>
      <c r="BB171" s="186">
        <v>1885100</v>
      </c>
      <c r="BC171" s="186">
        <v>1726505</v>
      </c>
    </row>
    <row r="172" spans="52:55">
      <c r="AZ172" s="185">
        <v>44823</v>
      </c>
      <c r="BA172" s="186">
        <v>3.64</v>
      </c>
      <c r="BB172" s="186">
        <v>2598190</v>
      </c>
      <c r="BC172" s="186">
        <v>1710985</v>
      </c>
    </row>
    <row r="173" spans="52:55">
      <c r="AZ173" s="185">
        <v>44819</v>
      </c>
      <c r="BA173" s="186">
        <v>3.78</v>
      </c>
      <c r="BB173" s="186">
        <v>3619223</v>
      </c>
      <c r="BC173" s="186">
        <v>1647050</v>
      </c>
    </row>
    <row r="174" spans="52:55">
      <c r="AZ174" s="185">
        <v>44818</v>
      </c>
      <c r="BA174" s="186">
        <v>3.75</v>
      </c>
      <c r="BB174" s="186">
        <v>1117360</v>
      </c>
      <c r="BC174" s="186">
        <v>1466101</v>
      </c>
    </row>
    <row r="175" spans="52:55">
      <c r="AZ175" s="185">
        <v>44817</v>
      </c>
      <c r="BA175" s="186">
        <v>3.87</v>
      </c>
      <c r="BB175" s="186">
        <v>764900</v>
      </c>
      <c r="BC175" s="186">
        <v>1479284</v>
      </c>
    </row>
    <row r="176" spans="52:55">
      <c r="AZ176" s="185">
        <v>44816</v>
      </c>
      <c r="BA176" s="186">
        <v>3.84</v>
      </c>
      <c r="BB176" s="186">
        <v>389700</v>
      </c>
      <c r="BC176" s="186">
        <v>1488675</v>
      </c>
    </row>
    <row r="177" spans="52:55">
      <c r="AZ177" s="185">
        <v>44813</v>
      </c>
      <c r="BA177" s="186">
        <v>3.84</v>
      </c>
      <c r="BB177" s="186">
        <v>384200</v>
      </c>
      <c r="BC177" s="186">
        <v>1598575</v>
      </c>
    </row>
    <row r="178" spans="52:55">
      <c r="AZ178" s="185">
        <v>44812</v>
      </c>
      <c r="BA178" s="186">
        <v>3.82</v>
      </c>
      <c r="BB178" s="186">
        <v>1232000</v>
      </c>
      <c r="BC178" s="186">
        <v>1760855</v>
      </c>
    </row>
    <row r="179" spans="52:55">
      <c r="AZ179" s="185">
        <v>44811</v>
      </c>
      <c r="BA179" s="186">
        <v>3.76</v>
      </c>
      <c r="BB179" s="186">
        <v>746249</v>
      </c>
      <c r="BC179" s="186">
        <v>1830095</v>
      </c>
    </row>
    <row r="180" spans="52:55">
      <c r="AZ180" s="185">
        <v>44810</v>
      </c>
      <c r="BA180" s="186">
        <v>3.75</v>
      </c>
      <c r="BB180" s="186">
        <v>3309268</v>
      </c>
      <c r="BC180" s="186">
        <v>2016858</v>
      </c>
    </row>
    <row r="181" spans="52:55">
      <c r="AZ181" s="185">
        <v>44809</v>
      </c>
      <c r="BA181" s="186">
        <v>3.69</v>
      </c>
      <c r="BB181" s="186">
        <v>385400</v>
      </c>
      <c r="BC181" s="186">
        <v>1904761</v>
      </c>
    </row>
    <row r="182" spans="52:55">
      <c r="AZ182" s="185">
        <v>44806</v>
      </c>
      <c r="BA182" s="186">
        <v>3.73</v>
      </c>
      <c r="BB182" s="186">
        <v>846208</v>
      </c>
      <c r="BC182" s="186">
        <v>1954634</v>
      </c>
    </row>
    <row r="183" spans="52:55">
      <c r="AZ183" s="185">
        <v>44805</v>
      </c>
      <c r="BA183" s="186">
        <v>3.71</v>
      </c>
      <c r="BB183" s="186">
        <v>2311300</v>
      </c>
      <c r="BC183" s="186">
        <v>2109267</v>
      </c>
    </row>
    <row r="184" spans="52:55">
      <c r="AZ184" s="185">
        <v>44803</v>
      </c>
      <c r="BA184" s="186">
        <v>3.85</v>
      </c>
      <c r="BB184" s="186">
        <v>4879759</v>
      </c>
      <c r="BC184" s="186">
        <v>2085801</v>
      </c>
    </row>
    <row r="185" spans="52:55">
      <c r="AZ185" s="185">
        <v>44802</v>
      </c>
      <c r="BA185" s="186">
        <v>3.85</v>
      </c>
      <c r="BB185" s="186">
        <v>1428724</v>
      </c>
      <c r="BC185" s="186">
        <v>1817330</v>
      </c>
    </row>
    <row r="186" spans="52:55">
      <c r="AZ186" s="185">
        <v>44799</v>
      </c>
      <c r="BA186" s="186">
        <v>3.91</v>
      </c>
      <c r="BB186" s="186">
        <v>1652300</v>
      </c>
      <c r="BC186" s="186">
        <v>1786625</v>
      </c>
    </row>
    <row r="187" spans="52:55">
      <c r="AZ187" s="185">
        <v>44798</v>
      </c>
      <c r="BA187" s="186">
        <v>3.91</v>
      </c>
      <c r="BB187" s="186">
        <v>1639153</v>
      </c>
      <c r="BC187" s="186">
        <v>1865636</v>
      </c>
    </row>
    <row r="188" spans="52:55">
      <c r="AZ188" s="185">
        <v>44797</v>
      </c>
      <c r="BA188" s="186">
        <v>3.74</v>
      </c>
      <c r="BB188" s="186">
        <v>905000</v>
      </c>
      <c r="BC188" s="186">
        <v>1995759</v>
      </c>
    </row>
    <row r="189" spans="52:55">
      <c r="AZ189" s="185">
        <v>44796</v>
      </c>
      <c r="BA189" s="186">
        <v>3.82</v>
      </c>
      <c r="BB189" s="186">
        <v>1315105</v>
      </c>
      <c r="BC189" s="186">
        <v>2056686</v>
      </c>
    </row>
    <row r="190" spans="52:55">
      <c r="AZ190" s="185">
        <v>44795</v>
      </c>
      <c r="BA190" s="186">
        <v>3.8</v>
      </c>
      <c r="BB190" s="186">
        <v>905751</v>
      </c>
      <c r="BC190" s="186">
        <v>2065612</v>
      </c>
    </row>
    <row r="191" spans="52:55">
      <c r="AZ191" s="185">
        <v>44792</v>
      </c>
      <c r="BA191" s="186">
        <v>3.84</v>
      </c>
      <c r="BB191" s="186">
        <v>2038200</v>
      </c>
      <c r="BC191" s="186">
        <v>2111253</v>
      </c>
    </row>
    <row r="192" spans="52:55">
      <c r="AZ192" s="185">
        <v>44791</v>
      </c>
      <c r="BA192" s="186">
        <v>3.94</v>
      </c>
      <c r="BB192" s="186">
        <v>2818400</v>
      </c>
      <c r="BC192" s="186">
        <v>2219075</v>
      </c>
    </row>
    <row r="193" spans="52:55">
      <c r="AZ193" s="185">
        <v>44790</v>
      </c>
      <c r="BA193" s="186">
        <v>3.95</v>
      </c>
      <c r="BB193" s="186">
        <v>2270600</v>
      </c>
      <c r="BC193" s="186">
        <v>2269103</v>
      </c>
    </row>
    <row r="194" spans="52:55">
      <c r="AZ194" s="185">
        <v>44789</v>
      </c>
      <c r="BA194" s="186">
        <v>3.98</v>
      </c>
      <c r="BB194" s="186">
        <v>3547700</v>
      </c>
      <c r="BC194" s="186">
        <v>2189622</v>
      </c>
    </row>
    <row r="195" spans="52:55">
      <c r="AZ195" s="185">
        <v>44788</v>
      </c>
      <c r="BA195" s="186">
        <v>3.83</v>
      </c>
      <c r="BB195" s="186">
        <v>1627809</v>
      </c>
      <c r="BC195" s="186">
        <v>2063929</v>
      </c>
    </row>
    <row r="196" spans="52:55">
      <c r="AZ196" s="185">
        <v>44785</v>
      </c>
      <c r="BA196" s="186">
        <v>3.79</v>
      </c>
      <c r="BB196" s="186">
        <v>1133501</v>
      </c>
      <c r="BC196" s="186">
        <v>2047172</v>
      </c>
    </row>
    <row r="197" spans="52:55">
      <c r="AZ197" s="185">
        <v>44784</v>
      </c>
      <c r="BA197" s="186">
        <v>3.79</v>
      </c>
      <c r="BB197" s="186">
        <v>3165700</v>
      </c>
      <c r="BC197" s="186">
        <v>2280518</v>
      </c>
    </row>
    <row r="198" spans="52:55">
      <c r="AZ198" s="185">
        <v>44783</v>
      </c>
      <c r="BA198" s="186">
        <v>3.8</v>
      </c>
      <c r="BB198" s="186">
        <v>1959311</v>
      </c>
      <c r="BC198" s="186">
        <v>2165085</v>
      </c>
    </row>
    <row r="199" spans="52:55">
      <c r="AZ199" s="185">
        <v>44782</v>
      </c>
      <c r="BA199" s="186">
        <v>3.74</v>
      </c>
      <c r="BB199" s="186">
        <v>852700</v>
      </c>
      <c r="BC199" s="186">
        <v>2085088</v>
      </c>
    </row>
    <row r="200" spans="52:55">
      <c r="AZ200" s="185">
        <v>44781</v>
      </c>
      <c r="BA200" s="186">
        <v>3.7</v>
      </c>
      <c r="BB200" s="186">
        <v>968140</v>
      </c>
      <c r="BC200" s="186">
        <v>2166286</v>
      </c>
    </row>
    <row r="201" spans="52:55">
      <c r="AZ201" s="185">
        <v>44778</v>
      </c>
      <c r="BA201" s="186">
        <v>3.78</v>
      </c>
      <c r="BB201" s="186">
        <v>2837475</v>
      </c>
      <c r="BC201" s="186">
        <v>2179367</v>
      </c>
    </row>
    <row r="202" spans="52:55">
      <c r="AZ202" s="185">
        <v>44777</v>
      </c>
      <c r="BA202" s="186">
        <v>3.8</v>
      </c>
      <c r="BB202" s="186">
        <v>3590998</v>
      </c>
      <c r="BC202" s="186">
        <v>2022939</v>
      </c>
    </row>
    <row r="203" spans="52:55">
      <c r="AZ203" s="185">
        <v>44776</v>
      </c>
      <c r="BA203" s="186">
        <v>3.63</v>
      </c>
      <c r="BB203" s="186">
        <v>1818900</v>
      </c>
      <c r="BC203" s="186">
        <v>1883572</v>
      </c>
    </row>
    <row r="204" spans="52:55">
      <c r="AZ204" s="185">
        <v>44775</v>
      </c>
      <c r="BA204" s="186">
        <v>3.65</v>
      </c>
      <c r="BB204" s="186">
        <v>1449000</v>
      </c>
      <c r="BC204" s="186">
        <v>1868599</v>
      </c>
    </row>
    <row r="205" spans="52:55">
      <c r="AZ205" s="185">
        <v>44774</v>
      </c>
      <c r="BA205" s="186">
        <v>3.65</v>
      </c>
      <c r="BB205" s="186">
        <v>1590353</v>
      </c>
      <c r="BC205" s="186">
        <v>1885239</v>
      </c>
    </row>
    <row r="206" spans="52:55">
      <c r="AZ206" s="185">
        <v>44771</v>
      </c>
      <c r="BA206" s="186">
        <v>3.67</v>
      </c>
      <c r="BB206" s="186">
        <v>3655529</v>
      </c>
      <c r="BC206" s="186">
        <v>1940469</v>
      </c>
    </row>
    <row r="207" spans="52:55">
      <c r="AZ207" s="185">
        <v>44770</v>
      </c>
      <c r="BA207" s="186">
        <v>3.62</v>
      </c>
      <c r="BB207" s="186">
        <v>3568827</v>
      </c>
      <c r="BC207" s="186">
        <v>1892540</v>
      </c>
    </row>
    <row r="208" spans="52:55">
      <c r="AZ208" s="185">
        <v>44769</v>
      </c>
      <c r="BA208" s="186">
        <v>3.47</v>
      </c>
      <c r="BB208" s="186">
        <v>1078391</v>
      </c>
      <c r="BC208" s="186">
        <v>1787318</v>
      </c>
    </row>
    <row r="209" spans="52:55">
      <c r="AZ209" s="185">
        <v>44768</v>
      </c>
      <c r="BA209" s="186">
        <v>3.39</v>
      </c>
      <c r="BB209" s="186">
        <v>1662300</v>
      </c>
      <c r="BC209" s="186">
        <v>1803773</v>
      </c>
    </row>
    <row r="210" spans="52:55">
      <c r="AZ210" s="185">
        <v>44767</v>
      </c>
      <c r="BA210" s="186">
        <v>3.49</v>
      </c>
      <c r="BB210" s="186">
        <v>1376450</v>
      </c>
      <c r="BC210" s="186">
        <v>1830526</v>
      </c>
    </row>
    <row r="211" spans="52:55">
      <c r="AZ211" s="185">
        <v>44764</v>
      </c>
      <c r="BA211" s="186">
        <v>3.53</v>
      </c>
      <c r="BB211" s="186">
        <v>4633700</v>
      </c>
      <c r="BC211" s="186">
        <v>1855803</v>
      </c>
    </row>
    <row r="212" spans="52:55">
      <c r="AZ212" s="185">
        <v>44763</v>
      </c>
      <c r="BA212" s="186">
        <v>3.42</v>
      </c>
      <c r="BB212" s="186">
        <v>1434200</v>
      </c>
      <c r="BC212" s="186">
        <v>1860080</v>
      </c>
    </row>
    <row r="213" spans="52:55">
      <c r="AZ213" s="185">
        <v>44762</v>
      </c>
      <c r="BA213" s="186">
        <v>3.39</v>
      </c>
      <c r="BB213" s="186">
        <v>759350</v>
      </c>
      <c r="BC213" s="186">
        <v>1912233</v>
      </c>
    </row>
    <row r="214" spans="52:55">
      <c r="AZ214" s="185">
        <v>44761</v>
      </c>
      <c r="BA214" s="186">
        <v>3.34</v>
      </c>
      <c r="BB214" s="186">
        <v>2070676</v>
      </c>
      <c r="BC214" s="186">
        <v>2029283</v>
      </c>
    </row>
    <row r="215" spans="52:55">
      <c r="AZ215" s="185">
        <v>44760</v>
      </c>
      <c r="BA215" s="186">
        <v>3.34</v>
      </c>
      <c r="BB215" s="186">
        <v>1164350</v>
      </c>
      <c r="BC215" s="186">
        <v>1952138</v>
      </c>
    </row>
    <row r="216" spans="52:55">
      <c r="AZ216" s="185">
        <v>44757</v>
      </c>
      <c r="BA216" s="186">
        <v>3.34</v>
      </c>
      <c r="BB216" s="186">
        <v>491057</v>
      </c>
      <c r="BC216" s="186">
        <v>1929700</v>
      </c>
    </row>
    <row r="217" spans="52:55">
      <c r="AZ217" s="185">
        <v>44756</v>
      </c>
      <c r="BA217" s="186">
        <v>3.35</v>
      </c>
      <c r="BB217" s="186">
        <v>1500500</v>
      </c>
      <c r="BC217" s="186">
        <v>1982070</v>
      </c>
    </row>
    <row r="218" spans="52:55">
      <c r="AZ218" s="185">
        <v>44755</v>
      </c>
      <c r="BA218" s="186">
        <v>3.33</v>
      </c>
      <c r="BB218" s="186">
        <v>1594300</v>
      </c>
      <c r="BC218" s="186">
        <v>1960275</v>
      </c>
    </row>
    <row r="219" spans="52:55">
      <c r="AZ219" s="185">
        <v>44754</v>
      </c>
      <c r="BA219" s="186">
        <v>3.37</v>
      </c>
      <c r="BB219" s="186">
        <v>1698600</v>
      </c>
      <c r="BC219" s="186">
        <v>2136732</v>
      </c>
    </row>
    <row r="220" spans="52:55">
      <c r="AZ220" s="185">
        <v>44750</v>
      </c>
      <c r="BA220" s="186">
        <v>3.37</v>
      </c>
      <c r="BB220" s="186">
        <v>2418800</v>
      </c>
      <c r="BC220" s="186">
        <v>2097385</v>
      </c>
    </row>
    <row r="221" spans="52:55">
      <c r="AZ221" s="185">
        <v>44749</v>
      </c>
      <c r="BA221" s="186">
        <v>3.34</v>
      </c>
      <c r="BB221" s="186">
        <v>2936600</v>
      </c>
      <c r="BC221" s="186">
        <v>2241378</v>
      </c>
    </row>
    <row r="222" spans="52:55">
      <c r="AZ222" s="185">
        <v>44748</v>
      </c>
      <c r="BA222" s="186">
        <v>3.26</v>
      </c>
      <c r="BB222" s="186">
        <v>1990493</v>
      </c>
      <c r="BC222" s="186">
        <v>2191477</v>
      </c>
    </row>
    <row r="223" spans="52:55">
      <c r="AZ223" s="185">
        <v>44747</v>
      </c>
      <c r="BA223" s="186">
        <v>3.27</v>
      </c>
      <c r="BB223" s="186">
        <v>1325220</v>
      </c>
      <c r="BC223" s="186">
        <v>2262934</v>
      </c>
    </row>
    <row r="224" spans="52:55">
      <c r="AZ224" s="185">
        <v>44746</v>
      </c>
      <c r="BA224" s="186">
        <v>3.3</v>
      </c>
      <c r="BB224" s="186">
        <v>2063600</v>
      </c>
      <c r="BC224" s="186">
        <v>2346502</v>
      </c>
    </row>
    <row r="225" spans="52:55">
      <c r="AZ225" s="185">
        <v>44743</v>
      </c>
      <c r="BA225" s="186">
        <v>3.31</v>
      </c>
      <c r="BB225" s="186">
        <v>1755600</v>
      </c>
      <c r="BC225" s="186">
        <v>2355140</v>
      </c>
    </row>
    <row r="226" spans="52:55">
      <c r="AZ226" s="185">
        <v>44742</v>
      </c>
      <c r="BA226" s="186">
        <v>3.3</v>
      </c>
      <c r="BB226" s="186">
        <v>4697850</v>
      </c>
      <c r="BC226" s="186">
        <v>2402155</v>
      </c>
    </row>
    <row r="227" spans="52:55">
      <c r="AZ227" s="185">
        <v>44741</v>
      </c>
      <c r="BA227" s="186">
        <v>3.33</v>
      </c>
      <c r="BB227" s="186">
        <v>2216503</v>
      </c>
      <c r="BC227" s="186">
        <v>2270710</v>
      </c>
    </row>
    <row r="228" spans="52:55">
      <c r="AZ228" s="185">
        <v>44740</v>
      </c>
      <c r="BA228" s="186">
        <v>3.29</v>
      </c>
      <c r="BB228" s="186">
        <v>2515100</v>
      </c>
      <c r="BC228" s="186">
        <v>2181766</v>
      </c>
    </row>
    <row r="229" spans="52:55">
      <c r="AZ229" s="185">
        <v>44739</v>
      </c>
      <c r="BA229" s="186">
        <v>3.21</v>
      </c>
      <c r="BB229" s="186">
        <v>913500</v>
      </c>
      <c r="BC229" s="186">
        <v>2133449</v>
      </c>
    </row>
    <row r="230" spans="52:55">
      <c r="AZ230" s="185">
        <v>44736</v>
      </c>
      <c r="BA230" s="186">
        <v>3.22</v>
      </c>
      <c r="BB230" s="186">
        <v>827783</v>
      </c>
      <c r="BC230" s="186">
        <v>2316334</v>
      </c>
    </row>
    <row r="231" spans="52:55">
      <c r="AZ231" s="185">
        <v>44735</v>
      </c>
      <c r="BA231" s="186">
        <v>3.21</v>
      </c>
      <c r="BB231" s="186">
        <v>1276600</v>
      </c>
      <c r="BC231" s="186">
        <v>2314366</v>
      </c>
    </row>
    <row r="232" spans="52:55">
      <c r="AZ232" s="185">
        <v>44734</v>
      </c>
      <c r="BA232" s="186">
        <v>3.2</v>
      </c>
      <c r="BB232" s="186">
        <v>1173572</v>
      </c>
      <c r="BC232" s="186">
        <v>2340886</v>
      </c>
    </row>
    <row r="233" spans="52:55">
      <c r="AZ233" s="185">
        <v>44733</v>
      </c>
      <c r="BA233" s="186">
        <v>3.29</v>
      </c>
      <c r="BB233" s="186">
        <v>4241158</v>
      </c>
      <c r="BC233" s="186">
        <v>3949565</v>
      </c>
    </row>
    <row r="234" spans="52:55">
      <c r="AZ234" s="185">
        <v>44732</v>
      </c>
      <c r="BA234" s="186">
        <v>3.17</v>
      </c>
      <c r="BB234" s="186">
        <v>1108401</v>
      </c>
      <c r="BC234" s="186">
        <v>3846491</v>
      </c>
    </row>
    <row r="235" spans="52:55">
      <c r="AZ235" s="185">
        <v>44729</v>
      </c>
      <c r="BA235" s="186">
        <v>3.22</v>
      </c>
      <c r="BB235" s="186">
        <v>4578688</v>
      </c>
      <c r="BC235" s="186">
        <v>4104963</v>
      </c>
    </row>
    <row r="236" spans="52:55">
      <c r="AZ236" s="185">
        <v>44728</v>
      </c>
      <c r="BA236" s="186">
        <v>3.29</v>
      </c>
      <c r="BB236" s="186">
        <v>2188084</v>
      </c>
      <c r="BC236" s="186">
        <v>4086933</v>
      </c>
    </row>
    <row r="237" spans="52:55">
      <c r="AZ237" s="185">
        <v>44727</v>
      </c>
      <c r="BA237" s="186">
        <v>3.25</v>
      </c>
      <c r="BB237" s="186">
        <v>3062354</v>
      </c>
      <c r="BC237" s="186">
        <v>4233081</v>
      </c>
    </row>
    <row r="238" spans="52:55">
      <c r="AZ238" s="185">
        <v>44726</v>
      </c>
      <c r="BA238" s="186">
        <v>3.28</v>
      </c>
      <c r="BB238" s="186">
        <v>2578740</v>
      </c>
      <c r="BC238" s="186">
        <v>4541991</v>
      </c>
    </row>
    <row r="239" spans="52:55">
      <c r="AZ239" s="185">
        <v>44725</v>
      </c>
      <c r="BA239" s="186">
        <v>3.28</v>
      </c>
      <c r="BB239" s="186">
        <v>2193168</v>
      </c>
      <c r="BC239" s="186">
        <v>4660761</v>
      </c>
    </row>
    <row r="240" spans="52:55">
      <c r="AZ240" s="185">
        <v>44722</v>
      </c>
      <c r="BA240" s="186">
        <v>3.39</v>
      </c>
      <c r="BB240" s="186">
        <v>2460817</v>
      </c>
      <c r="BC240" s="186">
        <v>4965091</v>
      </c>
    </row>
    <row r="241" spans="52:55">
      <c r="AZ241" s="185">
        <v>44721</v>
      </c>
      <c r="BA241" s="186">
        <v>3.42</v>
      </c>
      <c r="BB241" s="186">
        <v>2726176</v>
      </c>
      <c r="BC241" s="186">
        <v>5139410</v>
      </c>
    </row>
    <row r="242" spans="52:55">
      <c r="AZ242" s="185">
        <v>44720</v>
      </c>
      <c r="BA242" s="186">
        <v>3.52</v>
      </c>
      <c r="BB242" s="186">
        <v>882353</v>
      </c>
      <c r="BC242" s="186">
        <v>5351031</v>
      </c>
    </row>
    <row r="243" spans="52:55">
      <c r="AZ243" s="185">
        <v>44719</v>
      </c>
      <c r="BA243" s="186">
        <v>3.57</v>
      </c>
      <c r="BB243" s="186">
        <v>1790337</v>
      </c>
      <c r="BC243" s="186">
        <v>5538163</v>
      </c>
    </row>
    <row r="244" spans="52:55">
      <c r="AZ244" s="185">
        <v>44715</v>
      </c>
      <c r="BA244" s="186">
        <v>3.59</v>
      </c>
      <c r="BB244" s="186">
        <v>3656772</v>
      </c>
      <c r="BC244" s="186">
        <v>5588477</v>
      </c>
    </row>
    <row r="245" spans="52:55">
      <c r="AZ245" s="185">
        <v>44714</v>
      </c>
      <c r="BA245" s="186">
        <v>3.73</v>
      </c>
      <c r="BB245" s="186">
        <v>798274</v>
      </c>
      <c r="BC245" s="186">
        <v>5464279</v>
      </c>
    </row>
    <row r="246" spans="52:55">
      <c r="AZ246" s="185">
        <v>44713</v>
      </c>
      <c r="BA246" s="186">
        <v>3.73</v>
      </c>
      <c r="BB246" s="186">
        <v>1674400</v>
      </c>
      <c r="BC246" s="186">
        <v>5503094</v>
      </c>
    </row>
    <row r="247" spans="52:55">
      <c r="AZ247" s="185">
        <v>44712</v>
      </c>
      <c r="BA247" s="186">
        <v>3.79</v>
      </c>
      <c r="BB247" s="186">
        <v>25303744</v>
      </c>
      <c r="BC247" s="186">
        <v>5643028</v>
      </c>
    </row>
    <row r="248" spans="52:55">
      <c r="AZ248" s="185">
        <v>44711</v>
      </c>
      <c r="BA248" s="186">
        <v>3.6</v>
      </c>
      <c r="BB248" s="186">
        <v>2695051</v>
      </c>
      <c r="BC248" s="186">
        <v>4103621</v>
      </c>
    </row>
    <row r="249" spans="52:55">
      <c r="AZ249" s="185">
        <v>44708</v>
      </c>
      <c r="BA249" s="186">
        <v>3.61</v>
      </c>
      <c r="BB249" s="186">
        <v>4985490</v>
      </c>
      <c r="BC249" s="186">
        <v>4164105</v>
      </c>
    </row>
    <row r="250" spans="52:55">
      <c r="AZ250" s="185">
        <v>44707</v>
      </c>
      <c r="BA250" s="186">
        <v>3.6</v>
      </c>
      <c r="BB250" s="186">
        <v>4308233</v>
      </c>
      <c r="BC250" s="186">
        <v>4053745</v>
      </c>
    </row>
    <row r="251" spans="52:55">
      <c r="AZ251" s="185">
        <v>44706</v>
      </c>
      <c r="BA251" s="186">
        <v>3.59</v>
      </c>
      <c r="BB251" s="186">
        <v>4380300</v>
      </c>
      <c r="BC251" s="186">
        <v>3884130</v>
      </c>
    </row>
    <row r="252" spans="52:55">
      <c r="AZ252" s="185">
        <v>44705</v>
      </c>
      <c r="BA252" s="186">
        <v>3.57</v>
      </c>
      <c r="BB252" s="186">
        <v>7696000</v>
      </c>
      <c r="BC252" s="186">
        <v>3733454</v>
      </c>
    </row>
    <row r="253" spans="52:55">
      <c r="AZ253" s="185">
        <v>44704</v>
      </c>
      <c r="BA253" s="186">
        <v>3.57</v>
      </c>
      <c r="BB253" s="186">
        <v>4360295</v>
      </c>
      <c r="BC253" s="186">
        <v>3251108</v>
      </c>
    </row>
    <row r="254" spans="52:55">
      <c r="AZ254" s="185">
        <v>44701</v>
      </c>
      <c r="BA254" s="186">
        <v>3.61</v>
      </c>
      <c r="BB254" s="186">
        <v>6758119</v>
      </c>
      <c r="BC254" s="186">
        <v>3009508</v>
      </c>
    </row>
    <row r="255" spans="52:55">
      <c r="AZ255" s="185">
        <v>44700</v>
      </c>
      <c r="BA255" s="186">
        <v>3.58</v>
      </c>
      <c r="BB255" s="186">
        <v>5075600</v>
      </c>
      <c r="BC255" s="186">
        <v>2707239</v>
      </c>
    </row>
    <row r="256" spans="52:55">
      <c r="AZ256" s="185">
        <v>44699</v>
      </c>
      <c r="BA256" s="186">
        <v>3.64</v>
      </c>
      <c r="BB256" s="186">
        <v>5900500</v>
      </c>
      <c r="BC256" s="186">
        <v>2415893</v>
      </c>
    </row>
    <row r="257" spans="52:55">
      <c r="AZ257" s="185">
        <v>44698</v>
      </c>
      <c r="BA257" s="186">
        <v>3.66</v>
      </c>
      <c r="BB257" s="186">
        <v>3689325</v>
      </c>
      <c r="BC257" s="186">
        <v>2099153</v>
      </c>
    </row>
    <row r="258" spans="52:55">
      <c r="AZ258" s="185">
        <v>44694</v>
      </c>
      <c r="BA258" s="186">
        <v>3.71</v>
      </c>
      <c r="BB258" s="186">
        <v>2545051</v>
      </c>
      <c r="BC258" s="186">
        <v>1990215</v>
      </c>
    </row>
    <row r="259" spans="52:55">
      <c r="AZ259" s="185">
        <v>44693</v>
      </c>
      <c r="BA259" s="186">
        <v>3.71</v>
      </c>
      <c r="BB259" s="186">
        <v>1793800</v>
      </c>
      <c r="BC259" s="186">
        <v>1850750</v>
      </c>
    </row>
    <row r="260" spans="52:55">
      <c r="AZ260" s="185">
        <v>44692</v>
      </c>
      <c r="BA260" s="186">
        <v>3.76</v>
      </c>
      <c r="BB260" s="186">
        <v>1380500</v>
      </c>
      <c r="BC260" s="186">
        <v>1757137</v>
      </c>
    </row>
    <row r="261" spans="52:55">
      <c r="AZ261" s="185">
        <v>44691</v>
      </c>
      <c r="BA261" s="186">
        <v>3.81</v>
      </c>
      <c r="BB261" s="186">
        <v>3773405</v>
      </c>
      <c r="BC261" s="186">
        <v>1761131</v>
      </c>
    </row>
    <row r="262" spans="52:55">
      <c r="AZ262" s="185">
        <v>44690</v>
      </c>
      <c r="BA262" s="186">
        <v>3.69</v>
      </c>
      <c r="BB262" s="186">
        <v>2212642</v>
      </c>
      <c r="BC262" s="186">
        <v>1618797</v>
      </c>
    </row>
    <row r="263" spans="52:55">
      <c r="AZ263" s="185">
        <v>44687</v>
      </c>
      <c r="BA263" s="186">
        <v>3.7</v>
      </c>
      <c r="BB263" s="186">
        <v>3602307</v>
      </c>
      <c r="BC263" s="186">
        <v>1519661</v>
      </c>
    </row>
    <row r="264" spans="52:55">
      <c r="AZ264" s="185">
        <v>44686</v>
      </c>
      <c r="BA264" s="186">
        <v>3.75</v>
      </c>
      <c r="BB264" s="186">
        <v>3330100</v>
      </c>
      <c r="BC264" s="186">
        <v>1321212</v>
      </c>
    </row>
    <row r="265" spans="52:55">
      <c r="AZ265" s="185">
        <v>44680</v>
      </c>
      <c r="BA265" s="186">
        <v>3.8</v>
      </c>
      <c r="BB265" s="186">
        <v>1764000</v>
      </c>
      <c r="BC265" s="186">
        <v>1151685</v>
      </c>
    </row>
    <row r="266" spans="52:55">
      <c r="AZ266" s="185">
        <v>44679</v>
      </c>
      <c r="BA266" s="186">
        <v>3.81</v>
      </c>
      <c r="BB266" s="186">
        <v>2120165</v>
      </c>
      <c r="BC266" s="186">
        <v>1137541</v>
      </c>
    </row>
    <row r="267" spans="52:55">
      <c r="AZ267" s="185">
        <v>44678</v>
      </c>
      <c r="BA267" s="186">
        <v>3.83</v>
      </c>
      <c r="BB267" s="186">
        <v>460802</v>
      </c>
      <c r="BC267" s="186">
        <v>1097643</v>
      </c>
    </row>
    <row r="268" spans="52:55">
      <c r="AZ268" s="185">
        <v>44677</v>
      </c>
      <c r="BA268" s="186">
        <v>3.83</v>
      </c>
      <c r="BB268" s="186">
        <v>736300</v>
      </c>
      <c r="BC268" s="186">
        <v>1153483</v>
      </c>
    </row>
    <row r="269" spans="52:55">
      <c r="AZ269" s="185">
        <v>44676</v>
      </c>
      <c r="BA269" s="186">
        <v>3.81</v>
      </c>
      <c r="BB269" s="186">
        <v>2224093</v>
      </c>
      <c r="BC269" s="186">
        <v>1164616</v>
      </c>
    </row>
    <row r="270" spans="52:55">
      <c r="AZ270" s="185">
        <v>44673</v>
      </c>
      <c r="BA270" s="186">
        <v>3.91</v>
      </c>
      <c r="BB270" s="186">
        <v>705400</v>
      </c>
      <c r="BC270" s="186">
        <v>1148870</v>
      </c>
    </row>
    <row r="271" spans="52:55">
      <c r="AZ271" s="185">
        <v>44672</v>
      </c>
      <c r="BA271" s="186">
        <v>3.86</v>
      </c>
      <c r="BB271" s="186">
        <v>1149400</v>
      </c>
      <c r="BC271" s="186">
        <v>1416134</v>
      </c>
    </row>
    <row r="272" spans="52:55">
      <c r="AZ272" s="185">
        <v>44671</v>
      </c>
      <c r="BA272" s="186">
        <v>3.85</v>
      </c>
      <c r="BB272" s="186">
        <v>2055266</v>
      </c>
      <c r="BC272" s="186">
        <v>1531790</v>
      </c>
    </row>
    <row r="273" spans="52:55">
      <c r="AZ273" s="185">
        <v>44669</v>
      </c>
      <c r="BA273" s="186">
        <v>3.85</v>
      </c>
      <c r="BB273" s="186">
        <v>453075</v>
      </c>
      <c r="BC273" s="186">
        <v>1517548</v>
      </c>
    </row>
    <row r="274" spans="52:55">
      <c r="AZ274" s="185">
        <v>44666</v>
      </c>
      <c r="BA274" s="186">
        <v>3.87</v>
      </c>
      <c r="BB274" s="186">
        <v>389600</v>
      </c>
      <c r="BC274" s="186">
        <v>1646030</v>
      </c>
    </row>
    <row r="275" spans="52:55">
      <c r="AZ275" s="185">
        <v>44665</v>
      </c>
      <c r="BA275" s="186">
        <v>3.85</v>
      </c>
      <c r="BB275" s="186">
        <v>1440406</v>
      </c>
      <c r="BC275" s="186">
        <v>1696030</v>
      </c>
    </row>
    <row r="276" spans="52:55">
      <c r="AZ276" s="185">
        <v>44664</v>
      </c>
      <c r="BA276" s="186">
        <v>3.85</v>
      </c>
      <c r="BB276" s="186">
        <v>1638400</v>
      </c>
      <c r="BC276" s="186">
        <v>1687156</v>
      </c>
    </row>
    <row r="277" spans="52:55">
      <c r="AZ277" s="185">
        <v>44663</v>
      </c>
      <c r="BA277" s="186">
        <v>3.9</v>
      </c>
      <c r="BB277" s="186">
        <v>725600</v>
      </c>
      <c r="BC277" s="186">
        <v>1626649</v>
      </c>
    </row>
    <row r="278" spans="52:55">
      <c r="AZ278" s="185">
        <v>44662</v>
      </c>
      <c r="BA278" s="186">
        <v>3.92</v>
      </c>
      <c r="BB278" s="186">
        <v>625573</v>
      </c>
      <c r="BC278" s="186">
        <v>1624883</v>
      </c>
    </row>
    <row r="279" spans="52:55">
      <c r="AZ279" s="185">
        <v>44659</v>
      </c>
      <c r="BA279" s="186">
        <v>3.94</v>
      </c>
      <c r="BB279" s="186">
        <v>787200</v>
      </c>
      <c r="BC279" s="186">
        <v>1799278</v>
      </c>
    </row>
    <row r="280" spans="52:55">
      <c r="AZ280" s="185">
        <v>44658</v>
      </c>
      <c r="BA280" s="186">
        <v>3.91</v>
      </c>
      <c r="BB280" s="186">
        <v>1551833</v>
      </c>
      <c r="BC280" s="186">
        <v>3465925</v>
      </c>
    </row>
    <row r="281" spans="52:55">
      <c r="AZ281" s="185">
        <v>44657</v>
      </c>
      <c r="BA281" s="186">
        <v>3.92</v>
      </c>
      <c r="BB281" s="186">
        <v>1521700</v>
      </c>
      <c r="BC281" s="186">
        <v>3542389</v>
      </c>
    </row>
    <row r="282" spans="52:55">
      <c r="AZ282" s="185">
        <v>44656</v>
      </c>
      <c r="BA282" s="186">
        <v>3.93</v>
      </c>
      <c r="BB282" s="186">
        <v>1298400</v>
      </c>
      <c r="BC282" s="186">
        <v>3548652</v>
      </c>
    </row>
    <row r="283" spans="52:55">
      <c r="AZ283" s="185">
        <v>44655</v>
      </c>
      <c r="BA283" s="186">
        <v>3.95</v>
      </c>
      <c r="BB283" s="186">
        <v>903290</v>
      </c>
      <c r="BC283" s="186">
        <v>3546758</v>
      </c>
    </row>
    <row r="284" spans="52:55">
      <c r="AZ284" s="185">
        <v>44652</v>
      </c>
      <c r="BA284" s="186">
        <v>3.96</v>
      </c>
      <c r="BB284" s="186">
        <v>1987906</v>
      </c>
      <c r="BC284" s="186">
        <v>3680832</v>
      </c>
    </row>
    <row r="285" spans="52:55">
      <c r="AZ285" s="185">
        <v>44651</v>
      </c>
      <c r="BA285" s="186">
        <v>3.93</v>
      </c>
      <c r="BB285" s="186">
        <v>4714363</v>
      </c>
      <c r="BC285" s="186">
        <v>3642551</v>
      </c>
    </row>
    <row r="286" spans="52:55">
      <c r="AZ286" s="185">
        <v>44650</v>
      </c>
      <c r="BA286" s="186">
        <v>3.96</v>
      </c>
      <c r="BB286" s="186">
        <v>2884236</v>
      </c>
      <c r="BC286" s="186">
        <v>3496569</v>
      </c>
    </row>
    <row r="287" spans="52:55">
      <c r="AZ287" s="185">
        <v>44649</v>
      </c>
      <c r="BA287" s="186">
        <v>3.99</v>
      </c>
      <c r="BB287" s="186">
        <v>1841640</v>
      </c>
      <c r="BC287" s="186">
        <v>3491814</v>
      </c>
    </row>
    <row r="288" spans="52:55">
      <c r="AZ288" s="185">
        <v>44648</v>
      </c>
      <c r="BA288" s="186">
        <v>4.0199999999999996</v>
      </c>
      <c r="BB288" s="186">
        <v>2380300</v>
      </c>
      <c r="BC288" s="186">
        <v>3578831</v>
      </c>
    </row>
    <row r="289" spans="52:55">
      <c r="AZ289" s="185">
        <v>44645</v>
      </c>
      <c r="BA289" s="186">
        <v>4.12</v>
      </c>
      <c r="BB289" s="186">
        <v>1139600</v>
      </c>
      <c r="BC289" s="186">
        <v>3518838</v>
      </c>
    </row>
    <row r="290" spans="52:55">
      <c r="AZ290" s="185">
        <v>44644</v>
      </c>
      <c r="BA290" s="186">
        <v>4.13</v>
      </c>
      <c r="BB290" s="186">
        <v>1307300</v>
      </c>
      <c r="BC290" s="186">
        <v>3586511</v>
      </c>
    </row>
    <row r="291" spans="52:55">
      <c r="AZ291" s="185">
        <v>44643</v>
      </c>
      <c r="BA291" s="186">
        <v>4.1399999999999997</v>
      </c>
      <c r="BB291" s="186">
        <v>730800</v>
      </c>
      <c r="BC291" s="186">
        <v>3764278</v>
      </c>
    </row>
    <row r="292" spans="52:55">
      <c r="AZ292" s="185">
        <v>44642</v>
      </c>
      <c r="BA292" s="186">
        <v>4.1399999999999997</v>
      </c>
      <c r="BB292" s="186">
        <v>699100</v>
      </c>
      <c r="BC292" s="186">
        <v>3846771</v>
      </c>
    </row>
    <row r="293" spans="52:55">
      <c r="AZ293" s="185">
        <v>44641</v>
      </c>
      <c r="BA293" s="186">
        <v>4.1399999999999997</v>
      </c>
      <c r="BB293" s="186">
        <v>3241500</v>
      </c>
      <c r="BC293" s="186">
        <v>3954204</v>
      </c>
    </row>
    <row r="294" spans="52:55">
      <c r="AZ294" s="185">
        <v>44638</v>
      </c>
      <c r="BA294" s="186">
        <v>4.16</v>
      </c>
      <c r="BB294" s="186">
        <v>25786900</v>
      </c>
      <c r="BC294" s="186">
        <v>4365684</v>
      </c>
    </row>
    <row r="295" spans="52:55">
      <c r="AZ295" s="185">
        <v>44637</v>
      </c>
      <c r="BA295" s="186">
        <v>4.17</v>
      </c>
      <c r="BB295" s="186">
        <v>2698800</v>
      </c>
      <c r="BC295" s="186">
        <v>2985404</v>
      </c>
    </row>
    <row r="296" spans="52:55">
      <c r="AZ296" s="185">
        <v>44636</v>
      </c>
      <c r="BA296" s="186">
        <v>4.1900000000000004</v>
      </c>
      <c r="BB296" s="186">
        <v>1615637</v>
      </c>
      <c r="BC296" s="186">
        <v>3103504</v>
      </c>
    </row>
    <row r="297" spans="52:55">
      <c r="AZ297" s="185">
        <v>44635</v>
      </c>
      <c r="BA297" s="186">
        <v>4.08</v>
      </c>
      <c r="BB297" s="186">
        <v>1270000</v>
      </c>
      <c r="BC297" s="186">
        <v>3288582</v>
      </c>
    </row>
    <row r="298" spans="52:55">
      <c r="AZ298" s="185">
        <v>44634</v>
      </c>
      <c r="BA298" s="186">
        <v>4.1500000000000004</v>
      </c>
      <c r="BB298" s="186">
        <v>2914400</v>
      </c>
      <c r="BC298" s="186">
        <v>3466475</v>
      </c>
    </row>
    <row r="299" spans="52:55">
      <c r="AZ299" s="185">
        <v>44631</v>
      </c>
      <c r="BA299" s="186">
        <v>4.1500000000000004</v>
      </c>
      <c r="BB299" s="186">
        <v>1413680</v>
      </c>
      <c r="BC299" s="186">
        <v>3635615</v>
      </c>
    </row>
    <row r="300" spans="52:55">
      <c r="AZ300" s="185">
        <v>44630</v>
      </c>
      <c r="BA300" s="186">
        <v>4.17</v>
      </c>
      <c r="BB300" s="186">
        <v>2524645</v>
      </c>
      <c r="BC300" s="186">
        <v>3612843</v>
      </c>
    </row>
    <row r="301" spans="52:55">
      <c r="AZ301" s="185">
        <v>44629</v>
      </c>
      <c r="BA301" s="186">
        <v>4.0199999999999996</v>
      </c>
      <c r="BB301" s="186">
        <v>2812900</v>
      </c>
      <c r="BC301" s="186">
        <v>3616260</v>
      </c>
    </row>
    <row r="302" spans="52:55">
      <c r="AZ302" s="185">
        <v>44628</v>
      </c>
      <c r="BA302" s="186">
        <v>3.99</v>
      </c>
      <c r="BB302" s="186">
        <v>3146900</v>
      </c>
      <c r="BC302" s="186">
        <v>3503720</v>
      </c>
    </row>
    <row r="303" spans="52:55">
      <c r="AZ303" s="185">
        <v>44627</v>
      </c>
      <c r="BA303" s="186">
        <v>4.01</v>
      </c>
      <c r="BB303" s="186">
        <v>1480400</v>
      </c>
      <c r="BC303" s="186">
        <v>3387247</v>
      </c>
    </row>
    <row r="304" spans="52:55">
      <c r="AZ304" s="185">
        <v>44624</v>
      </c>
      <c r="BA304" s="186">
        <v>4.07</v>
      </c>
      <c r="BB304" s="186">
        <v>2154700</v>
      </c>
      <c r="BC304" s="186">
        <v>3354147</v>
      </c>
    </row>
    <row r="305" spans="52:55">
      <c r="AZ305" s="185">
        <v>44623</v>
      </c>
      <c r="BA305" s="186">
        <v>4.1399999999999997</v>
      </c>
      <c r="BB305" s="186">
        <v>3973800</v>
      </c>
      <c r="BC305" s="186">
        <v>3314053</v>
      </c>
    </row>
    <row r="306" spans="52:55">
      <c r="AZ306" s="185">
        <v>44622</v>
      </c>
      <c r="BA306" s="186">
        <v>4.01</v>
      </c>
      <c r="BB306" s="186">
        <v>1968200</v>
      </c>
      <c r="BC306" s="186">
        <v>3287133</v>
      </c>
    </row>
    <row r="307" spans="52:55">
      <c r="AZ307" s="185">
        <v>44621</v>
      </c>
      <c r="BA307" s="186">
        <v>3.99</v>
      </c>
      <c r="BB307" s="186">
        <v>2310600</v>
      </c>
      <c r="BC307" s="186">
        <v>3360867</v>
      </c>
    </row>
    <row r="308" spans="52:55">
      <c r="AZ308" s="185">
        <v>44620</v>
      </c>
      <c r="BA308" s="186">
        <v>4.0199999999999996</v>
      </c>
      <c r="BB308" s="186">
        <v>9413700</v>
      </c>
      <c r="BC308" s="186">
        <v>3274560</v>
      </c>
    </row>
    <row r="309" spans="52:55">
      <c r="AZ309" s="185">
        <v>44617</v>
      </c>
      <c r="BA309" s="186">
        <v>3.98</v>
      </c>
      <c r="BB309" s="186">
        <v>5082700</v>
      </c>
      <c r="BC309" s="186">
        <v>2729380</v>
      </c>
    </row>
    <row r="310" spans="52:55">
      <c r="AZ310" s="185">
        <v>44616</v>
      </c>
      <c r="BA310" s="186">
        <v>4.05</v>
      </c>
      <c r="BB310" s="186">
        <v>4470300</v>
      </c>
      <c r="BC310" s="186">
        <v>2456187</v>
      </c>
    </row>
    <row r="311" spans="52:55">
      <c r="AZ311" s="185">
        <v>44615</v>
      </c>
      <c r="BA311" s="186">
        <v>4.13</v>
      </c>
      <c r="BB311" s="186">
        <v>4391800</v>
      </c>
      <c r="BC311" s="186">
        <v>2297480</v>
      </c>
    </row>
    <row r="312" spans="52:55">
      <c r="AZ312" s="185">
        <v>44614</v>
      </c>
      <c r="BA312" s="186">
        <v>4.12</v>
      </c>
      <c r="BB312" s="186">
        <v>3938400</v>
      </c>
      <c r="BC312" s="186">
        <v>2064460</v>
      </c>
    </row>
    <row r="313" spans="52:55">
      <c r="AZ313" s="185">
        <v>44613</v>
      </c>
      <c r="BA313" s="186">
        <v>4.18</v>
      </c>
      <c r="BB313" s="186">
        <v>5451500</v>
      </c>
      <c r="BC313" s="186">
        <v>1870253</v>
      </c>
    </row>
    <row r="314" spans="52:55">
      <c r="AZ314" s="185">
        <v>44610</v>
      </c>
      <c r="BA314" s="186">
        <v>4.42</v>
      </c>
      <c r="BB314" s="186">
        <v>1072100</v>
      </c>
      <c r="BC314" s="186">
        <v>1545113</v>
      </c>
    </row>
    <row r="315" spans="52:55">
      <c r="AZ315" s="185">
        <v>44609</v>
      </c>
      <c r="BA315" s="186">
        <v>4.4000000000000004</v>
      </c>
      <c r="BB315" s="186">
        <v>2575900</v>
      </c>
      <c r="BC315" s="186">
        <v>1632107</v>
      </c>
    </row>
    <row r="316" spans="52:55">
      <c r="AZ316" s="185">
        <v>44608</v>
      </c>
      <c r="BA316" s="186">
        <v>4.5199999999999996</v>
      </c>
      <c r="BB316" s="186">
        <v>1124800</v>
      </c>
      <c r="BC316" s="186">
        <v>1569813</v>
      </c>
    </row>
    <row r="317" spans="52:55">
      <c r="AZ317" s="185">
        <v>44607</v>
      </c>
      <c r="BA317" s="186">
        <v>4.49</v>
      </c>
      <c r="BB317" s="186">
        <v>1399800</v>
      </c>
      <c r="BC317" s="186">
        <v>1629413</v>
      </c>
    </row>
    <row r="318" spans="52:55">
      <c r="AZ318" s="185">
        <v>44606</v>
      </c>
      <c r="BA318" s="186">
        <v>4.4800000000000004</v>
      </c>
      <c r="BB318" s="186">
        <v>983900</v>
      </c>
      <c r="BC318" s="186">
        <v>1640453</v>
      </c>
    </row>
    <row r="319" spans="52:55">
      <c r="AZ319" s="185">
        <v>44603</v>
      </c>
      <c r="BA319" s="186">
        <v>4.43</v>
      </c>
      <c r="BB319" s="186">
        <v>1553300</v>
      </c>
      <c r="BC319" s="186">
        <v>1669793</v>
      </c>
    </row>
    <row r="320" spans="52:55">
      <c r="AZ320" s="185">
        <v>44602</v>
      </c>
      <c r="BA320" s="186">
        <v>4.3600000000000003</v>
      </c>
      <c r="BB320" s="186">
        <v>3570000</v>
      </c>
      <c r="BC320" s="186">
        <v>1617700</v>
      </c>
    </row>
    <row r="321" spans="52:55">
      <c r="AZ321" s="185">
        <v>44601</v>
      </c>
      <c r="BA321" s="186">
        <v>4.33</v>
      </c>
      <c r="BB321" s="186">
        <v>3074200</v>
      </c>
      <c r="BC321" s="186">
        <v>1461780</v>
      </c>
    </row>
    <row r="322" spans="52:55">
      <c r="AZ322" s="185">
        <v>44600</v>
      </c>
      <c r="BA322" s="186">
        <v>4.26</v>
      </c>
      <c r="BB322" s="186">
        <v>1016000</v>
      </c>
      <c r="BC322" s="186">
        <v>1337973</v>
      </c>
    </row>
    <row r="323" spans="52:55">
      <c r="AZ323" s="185">
        <v>44599</v>
      </c>
      <c r="BA323" s="186">
        <v>4.25</v>
      </c>
      <c r="BB323" s="186">
        <v>1236000</v>
      </c>
      <c r="BC323" s="186">
        <v>1355660</v>
      </c>
    </row>
    <row r="324" spans="52:55">
      <c r="AZ324" s="185">
        <v>44596</v>
      </c>
      <c r="BA324" s="186">
        <v>4.3</v>
      </c>
      <c r="BB324" s="186">
        <v>984800</v>
      </c>
      <c r="BC324" s="186">
        <v>1341153</v>
      </c>
    </row>
    <row r="325" spans="52:55">
      <c r="AZ325" s="185">
        <v>44595</v>
      </c>
      <c r="BA325" s="186">
        <v>4.33</v>
      </c>
      <c r="BB325" s="186">
        <v>2089700</v>
      </c>
      <c r="BC325" s="186">
        <v>1329780</v>
      </c>
    </row>
    <row r="326" spans="52:55">
      <c r="AZ326" s="185">
        <v>44592</v>
      </c>
      <c r="BA326" s="186">
        <v>4.2300000000000004</v>
      </c>
      <c r="BB326" s="186">
        <v>896500</v>
      </c>
      <c r="BC326" s="186">
        <v>1235573</v>
      </c>
    </row>
    <row r="327" spans="52:55">
      <c r="AZ327" s="185">
        <v>44589</v>
      </c>
      <c r="BA327" s="186">
        <v>4.25</v>
      </c>
      <c r="BB327" s="186">
        <v>1025300</v>
      </c>
      <c r="BC327" s="186">
        <v>1252147</v>
      </c>
    </row>
    <row r="328" spans="52:55">
      <c r="AZ328" s="185">
        <v>44588</v>
      </c>
      <c r="BA328" s="186">
        <v>4.2300000000000004</v>
      </c>
      <c r="BB328" s="186">
        <v>574400</v>
      </c>
      <c r="BC328" s="186">
        <v>1300987</v>
      </c>
    </row>
    <row r="329" spans="52:55">
      <c r="AZ329" s="185">
        <v>44587</v>
      </c>
      <c r="BA329" s="186">
        <v>4.25</v>
      </c>
      <c r="BB329" s="186">
        <v>2377000</v>
      </c>
      <c r="BC329" s="186">
        <v>1338200</v>
      </c>
    </row>
    <row r="330" spans="52:55">
      <c r="AZ330" s="185">
        <v>44586</v>
      </c>
      <c r="BA330" s="186">
        <v>4.29</v>
      </c>
      <c r="BB330" s="186">
        <v>1641500</v>
      </c>
      <c r="BC330" s="186">
        <v>1243953</v>
      </c>
    </row>
    <row r="331" spans="52:55">
      <c r="AZ331" s="185">
        <v>44585</v>
      </c>
      <c r="BA331" s="186">
        <v>4.33</v>
      </c>
      <c r="BB331" s="186">
        <v>2018800</v>
      </c>
      <c r="BC331" s="186">
        <v>1188633</v>
      </c>
    </row>
    <row r="332" spans="52:55">
      <c r="AZ332" s="185">
        <v>44582</v>
      </c>
      <c r="BA332" s="186">
        <v>4.3499999999999996</v>
      </c>
      <c r="BB332" s="186">
        <v>1565400</v>
      </c>
      <c r="BC332" s="186">
        <v>1490413</v>
      </c>
    </row>
    <row r="333" spans="52:55">
      <c r="AZ333" s="185">
        <v>44581</v>
      </c>
      <c r="BA333" s="186">
        <v>4.37</v>
      </c>
      <c r="BB333" s="186">
        <v>1424000</v>
      </c>
      <c r="BC333" s="186">
        <v>1430293</v>
      </c>
    </row>
    <row r="334" spans="52:55">
      <c r="AZ334" s="185">
        <v>44580</v>
      </c>
      <c r="BA334" s="186">
        <v>4.4400000000000004</v>
      </c>
      <c r="BB334" s="186">
        <v>771900</v>
      </c>
      <c r="BC334" s="186">
        <v>1409153</v>
      </c>
    </row>
    <row r="335" spans="52:55">
      <c r="AZ335" s="185">
        <v>44578</v>
      </c>
      <c r="BA335" s="186">
        <v>4.42</v>
      </c>
      <c r="BB335" s="186">
        <v>1231200</v>
      </c>
      <c r="BC335" s="186">
        <v>1432393</v>
      </c>
    </row>
    <row r="336" spans="52:55">
      <c r="AZ336" s="185">
        <v>44575</v>
      </c>
      <c r="BA336" s="186">
        <v>4.5</v>
      </c>
      <c r="BB336" s="186">
        <v>1217100</v>
      </c>
      <c r="BC336" s="186">
        <v>1458287</v>
      </c>
    </row>
    <row r="337" spans="52:55">
      <c r="AZ337" s="185">
        <v>44574</v>
      </c>
      <c r="BA337" s="186">
        <v>4.58</v>
      </c>
      <c r="BB337" s="186">
        <v>1281300</v>
      </c>
      <c r="BC337" s="186">
        <v>1426747</v>
      </c>
    </row>
    <row r="338" spans="52:55">
      <c r="AZ338" s="185">
        <v>44573</v>
      </c>
      <c r="BA338" s="186">
        <v>4.58</v>
      </c>
      <c r="BB338" s="186">
        <v>1018400</v>
      </c>
      <c r="BC338" s="186">
        <v>1423727</v>
      </c>
    </row>
    <row r="339" spans="52:55">
      <c r="AZ339" s="185">
        <v>44572</v>
      </c>
      <c r="BA339" s="186">
        <v>4.58</v>
      </c>
      <c r="BB339" s="186">
        <v>814200</v>
      </c>
      <c r="BC339" s="186">
        <v>1410287</v>
      </c>
    </row>
    <row r="340" spans="52:55">
      <c r="AZ340" s="185">
        <v>44571</v>
      </c>
      <c r="BA340" s="186">
        <v>4.46</v>
      </c>
      <c r="BB340" s="186">
        <v>676600</v>
      </c>
      <c r="BC340" s="186">
        <v>1480613</v>
      </c>
    </row>
    <row r="341" spans="52:55">
      <c r="AZ341" s="185">
        <v>44568</v>
      </c>
      <c r="BA341" s="186">
        <v>4.45</v>
      </c>
      <c r="BB341" s="186">
        <v>1145100</v>
      </c>
      <c r="BC341" s="186">
        <v>1481420</v>
      </c>
    </row>
    <row r="342" spans="52:55">
      <c r="AZ342" s="185">
        <v>44567</v>
      </c>
      <c r="BA342" s="186">
        <v>4.41</v>
      </c>
      <c r="BB342" s="186">
        <v>1757900</v>
      </c>
      <c r="BC342" s="186">
        <v>1699200</v>
      </c>
    </row>
    <row r="343" spans="52:55">
      <c r="AZ343" s="185">
        <v>44566</v>
      </c>
      <c r="BA343" s="186">
        <v>4.53</v>
      </c>
      <c r="BB343" s="186">
        <v>1132600</v>
      </c>
      <c r="BC343" s="186">
        <v>1719260</v>
      </c>
    </row>
    <row r="344" spans="52:55">
      <c r="AZ344" s="185">
        <v>44565</v>
      </c>
      <c r="BA344" s="186">
        <v>4.5</v>
      </c>
      <c r="BB344" s="186">
        <v>963300</v>
      </c>
      <c r="BC344" s="186">
        <v>1730873</v>
      </c>
    </row>
    <row r="345" spans="52:55">
      <c r="AZ345" s="185">
        <v>44564</v>
      </c>
      <c r="BA345" s="186">
        <v>4.5999999999999996</v>
      </c>
      <c r="BB345" s="186">
        <v>811700</v>
      </c>
      <c r="BC345" s="186">
        <v>1879167</v>
      </c>
    </row>
    <row r="346" spans="52:55">
      <c r="AZ346" s="185">
        <v>44561</v>
      </c>
      <c r="BA346" s="186">
        <v>4.8499999999999996</v>
      </c>
      <c r="BB346" s="186">
        <v>6545500</v>
      </c>
      <c r="BC346" s="186">
        <v>1944680</v>
      </c>
    </row>
    <row r="347" spans="52:55">
      <c r="AZ347" s="185">
        <v>44560</v>
      </c>
      <c r="BA347" s="186">
        <v>4.49</v>
      </c>
      <c r="BB347" s="186">
        <v>663600</v>
      </c>
      <c r="BC347" s="186">
        <v>1552173</v>
      </c>
    </row>
    <row r="348" spans="52:55">
      <c r="AZ348" s="185">
        <v>44559</v>
      </c>
      <c r="BA348" s="186">
        <v>4.42</v>
      </c>
      <c r="BB348" s="186">
        <v>1106900</v>
      </c>
      <c r="BC348" s="186">
        <v>1562033</v>
      </c>
    </row>
    <row r="349" spans="52:55">
      <c r="AZ349" s="185">
        <v>44558</v>
      </c>
      <c r="BA349" s="186">
        <v>4.4000000000000004</v>
      </c>
      <c r="BB349" s="186">
        <v>1120500</v>
      </c>
      <c r="BC349" s="186">
        <v>1585353</v>
      </c>
    </row>
    <row r="350" spans="52:55">
      <c r="AZ350" s="185">
        <v>44557</v>
      </c>
      <c r="BA350" s="186">
        <v>4.4400000000000004</v>
      </c>
      <c r="BB350" s="186">
        <v>1619600</v>
      </c>
      <c r="BC350" s="186">
        <v>1605213</v>
      </c>
    </row>
    <row r="351" spans="52:55">
      <c r="AZ351" s="185">
        <v>44554</v>
      </c>
      <c r="BA351" s="186">
        <v>4.37</v>
      </c>
      <c r="BB351" s="186">
        <v>744000</v>
      </c>
      <c r="BC351" s="186">
        <v>1623373</v>
      </c>
    </row>
    <row r="352" spans="52:55">
      <c r="AZ352" s="185">
        <v>44553</v>
      </c>
      <c r="BA352" s="186">
        <v>4.32</v>
      </c>
      <c r="BB352" s="186">
        <v>1236000</v>
      </c>
      <c r="BC352" s="186">
        <v>1681913</v>
      </c>
    </row>
    <row r="353" spans="52:55">
      <c r="AZ353" s="185">
        <v>44552</v>
      </c>
      <c r="BA353" s="186">
        <v>4.29</v>
      </c>
      <c r="BB353" s="186">
        <v>816800</v>
      </c>
      <c r="BC353" s="186">
        <v>1692533</v>
      </c>
    </row>
    <row r="354" spans="52:55">
      <c r="AZ354" s="185">
        <v>44551</v>
      </c>
      <c r="BA354" s="186">
        <v>4.2699999999999996</v>
      </c>
      <c r="BB354" s="186">
        <v>1869100</v>
      </c>
      <c r="BC354" s="186">
        <v>2631480</v>
      </c>
    </row>
    <row r="355" spans="52:55">
      <c r="AZ355" s="185">
        <v>44550</v>
      </c>
      <c r="BA355" s="186">
        <v>4.2699999999999996</v>
      </c>
      <c r="BB355" s="186">
        <v>688700</v>
      </c>
      <c r="BC355" s="186">
        <v>2738913</v>
      </c>
    </row>
    <row r="356" spans="52:55">
      <c r="AZ356" s="185">
        <v>44547</v>
      </c>
      <c r="BA356" s="186">
        <v>4.28</v>
      </c>
      <c r="BB356" s="186">
        <v>4411800</v>
      </c>
      <c r="BC356" s="186">
        <v>2789253</v>
      </c>
    </row>
    <row r="357" spans="52:55">
      <c r="AZ357" s="185">
        <v>44546</v>
      </c>
      <c r="BA357" s="186">
        <v>4.2300000000000004</v>
      </c>
      <c r="BB357" s="186">
        <v>2058800</v>
      </c>
      <c r="BC357" s="186">
        <v>2553273</v>
      </c>
    </row>
    <row r="358" spans="52:55">
      <c r="AZ358" s="185">
        <v>44545</v>
      </c>
      <c r="BA358" s="186">
        <v>4.3</v>
      </c>
      <c r="BB358" s="186">
        <v>1306800</v>
      </c>
      <c r="BC358" s="186">
        <v>2492520</v>
      </c>
    </row>
    <row r="359" spans="52:55">
      <c r="AZ359" s="185">
        <v>44544</v>
      </c>
      <c r="BA359" s="186">
        <v>4.33</v>
      </c>
      <c r="BB359" s="186">
        <v>3187700</v>
      </c>
      <c r="BC359" s="186">
        <v>2468460</v>
      </c>
    </row>
    <row r="360" spans="52:55">
      <c r="AZ360" s="185">
        <v>44543</v>
      </c>
      <c r="BA360" s="186">
        <v>4.3899999999999997</v>
      </c>
      <c r="BB360" s="186">
        <v>1794400</v>
      </c>
      <c r="BC360" s="186">
        <v>2301167</v>
      </c>
    </row>
    <row r="361" spans="52:55">
      <c r="AZ361" s="185">
        <v>44540</v>
      </c>
      <c r="BA361" s="186">
        <v>4.41</v>
      </c>
      <c r="BB361" s="186">
        <v>657900</v>
      </c>
      <c r="BC361" s="186">
        <v>2276687</v>
      </c>
    </row>
    <row r="362" spans="52:55">
      <c r="AZ362" s="185">
        <v>44539</v>
      </c>
      <c r="BA362" s="186">
        <v>4.42</v>
      </c>
      <c r="BB362" s="186">
        <v>811500</v>
      </c>
      <c r="BC362" s="186">
        <v>2305340</v>
      </c>
    </row>
    <row r="363" spans="52:55">
      <c r="AZ363" s="185">
        <v>44538</v>
      </c>
      <c r="BA363" s="186">
        <v>4.38</v>
      </c>
      <c r="BB363" s="186">
        <v>1456700</v>
      </c>
      <c r="BC363" s="186">
        <v>2282180</v>
      </c>
    </row>
    <row r="364" spans="52:55">
      <c r="AZ364" s="185">
        <v>44537</v>
      </c>
      <c r="BA364" s="186">
        <v>4.37</v>
      </c>
      <c r="BB364" s="186">
        <v>1418400</v>
      </c>
      <c r="BC364" s="186">
        <v>2263127</v>
      </c>
    </row>
    <row r="365" spans="52:55">
      <c r="AZ365" s="185">
        <v>44536</v>
      </c>
      <c r="BA365" s="186">
        <v>4.3499999999999996</v>
      </c>
      <c r="BB365" s="186">
        <v>1892000</v>
      </c>
      <c r="BC365" s="186">
        <v>2276440</v>
      </c>
    </row>
    <row r="366" spans="52:55">
      <c r="AZ366" s="185">
        <v>44532</v>
      </c>
      <c r="BA366" s="186">
        <v>4.45</v>
      </c>
      <c r="BB366" s="186">
        <v>1622100</v>
      </c>
      <c r="BC366" s="186">
        <v>2202300</v>
      </c>
    </row>
    <row r="367" spans="52:55">
      <c r="AZ367" s="185">
        <v>44531</v>
      </c>
      <c r="BA367" s="186">
        <v>4.45</v>
      </c>
      <c r="BB367" s="186">
        <v>1395300</v>
      </c>
      <c r="BC367" s="186">
        <v>2140213</v>
      </c>
    </row>
    <row r="368" spans="52:55">
      <c r="AZ368" s="185">
        <v>44530</v>
      </c>
      <c r="BA368" s="186">
        <v>4.68</v>
      </c>
      <c r="BB368" s="186">
        <v>14901000</v>
      </c>
      <c r="BC368" s="186">
        <v>2124967</v>
      </c>
    </row>
    <row r="369" spans="52:55">
      <c r="AZ369" s="185">
        <v>44529</v>
      </c>
      <c r="BA369" s="186">
        <v>4.43</v>
      </c>
      <c r="BB369" s="186">
        <v>3480600</v>
      </c>
      <c r="BC369" s="186">
        <v>1216153</v>
      </c>
    </row>
    <row r="370" spans="52:55">
      <c r="AZ370" s="185">
        <v>44526</v>
      </c>
      <c r="BA370" s="186">
        <v>4.5199999999999996</v>
      </c>
      <c r="BB370" s="186">
        <v>1443800</v>
      </c>
      <c r="BC370" s="186">
        <v>1107280</v>
      </c>
    </row>
    <row r="371" spans="52:55">
      <c r="AZ371" s="185">
        <v>44525</v>
      </c>
      <c r="BA371" s="186">
        <v>4.59</v>
      </c>
      <c r="BB371" s="186">
        <v>872100</v>
      </c>
      <c r="BC371" s="186">
        <v>1186827</v>
      </c>
    </row>
    <row r="372" spans="52:55">
      <c r="AZ372" s="185">
        <v>44524</v>
      </c>
      <c r="BA372" s="186">
        <v>4.59</v>
      </c>
      <c r="BB372" s="186">
        <v>1147500</v>
      </c>
      <c r="BC372" s="186">
        <v>1226307</v>
      </c>
    </row>
    <row r="373" spans="52:55">
      <c r="AZ373" s="185">
        <v>44523</v>
      </c>
      <c r="BA373" s="186">
        <v>4.53</v>
      </c>
      <c r="BB373" s="186">
        <v>945900</v>
      </c>
      <c r="BC373" s="186">
        <v>1231473</v>
      </c>
    </row>
    <row r="374" spans="52:55">
      <c r="AZ374" s="185">
        <v>44522</v>
      </c>
      <c r="BA374" s="186">
        <v>4.54</v>
      </c>
      <c r="BB374" s="186">
        <v>678300</v>
      </c>
      <c r="BC374" s="186">
        <v>1224913</v>
      </c>
    </row>
    <row r="375" spans="52:55">
      <c r="AZ375" s="185">
        <v>44519</v>
      </c>
      <c r="BA375" s="186">
        <v>4.57</v>
      </c>
      <c r="BB375" s="186">
        <v>1427200</v>
      </c>
      <c r="BC375" s="186">
        <v>1278440</v>
      </c>
    </row>
    <row r="376" spans="52:55">
      <c r="AZ376" s="185">
        <v>44518</v>
      </c>
      <c r="BA376" s="186">
        <v>4.47</v>
      </c>
      <c r="BB376" s="186">
        <v>1087700</v>
      </c>
      <c r="BC376" s="186">
        <v>1250460</v>
      </c>
    </row>
    <row r="377" spans="52:55">
      <c r="AZ377" s="185">
        <v>44517</v>
      </c>
      <c r="BA377" s="186">
        <v>4.5199999999999996</v>
      </c>
      <c r="BB377" s="186">
        <v>464100</v>
      </c>
      <c r="BC377" s="186">
        <v>1225140</v>
      </c>
    </row>
    <row r="378" spans="52:55">
      <c r="AZ378" s="185">
        <v>44516</v>
      </c>
      <c r="BA378" s="186">
        <v>4.5199999999999996</v>
      </c>
      <c r="BB378" s="186">
        <v>1170900</v>
      </c>
      <c r="BC378" s="186">
        <v>1231813</v>
      </c>
    </row>
    <row r="379" spans="52:55">
      <c r="AZ379" s="185">
        <v>44515</v>
      </c>
      <c r="BA379" s="186">
        <v>4.45</v>
      </c>
      <c r="BB379" s="186">
        <v>1618100</v>
      </c>
      <c r="BC379" s="186">
        <v>1189907</v>
      </c>
    </row>
    <row r="380" spans="52:55">
      <c r="AZ380" s="185">
        <v>44512</v>
      </c>
      <c r="BA380" s="186">
        <v>4.5999999999999996</v>
      </c>
      <c r="BB380" s="186">
        <v>779900</v>
      </c>
      <c r="BC380" s="186">
        <v>1142207</v>
      </c>
    </row>
    <row r="381" spans="52:55">
      <c r="AZ381" s="185">
        <v>44511</v>
      </c>
      <c r="BA381" s="186">
        <v>4.58</v>
      </c>
      <c r="BB381" s="186">
        <v>690800</v>
      </c>
      <c r="BC381" s="186">
        <v>1186147</v>
      </c>
    </row>
    <row r="382" spans="52:55">
      <c r="AZ382" s="185">
        <v>44510</v>
      </c>
      <c r="BA382" s="186">
        <v>4.59</v>
      </c>
      <c r="BB382" s="186">
        <v>1166600</v>
      </c>
      <c r="BC382" s="186">
        <v>1213773</v>
      </c>
    </row>
    <row r="383" spans="52:55">
      <c r="AZ383" s="185">
        <v>44509</v>
      </c>
      <c r="BA383" s="186">
        <v>4.59</v>
      </c>
      <c r="BB383" s="186">
        <v>1268800</v>
      </c>
      <c r="BC383" s="186">
        <v>1230073</v>
      </c>
    </row>
    <row r="384" spans="52:55">
      <c r="AZ384" s="185">
        <v>44508</v>
      </c>
      <c r="BA384" s="186">
        <v>4.66</v>
      </c>
      <c r="BB384" s="186">
        <v>1847500</v>
      </c>
      <c r="BC384" s="186">
        <v>1215167</v>
      </c>
    </row>
    <row r="385" spans="52:55">
      <c r="AZ385" s="185">
        <v>44505</v>
      </c>
      <c r="BA385" s="186">
        <v>4.7</v>
      </c>
      <c r="BB385" s="186">
        <v>2637000</v>
      </c>
      <c r="BC385" s="186">
        <v>1140173</v>
      </c>
    </row>
    <row r="386" spans="52:55">
      <c r="AZ386" s="185">
        <v>44503</v>
      </c>
      <c r="BA386" s="186">
        <v>4.58</v>
      </c>
      <c r="BB386" s="186">
        <v>1464300</v>
      </c>
      <c r="BC386" s="186">
        <v>1064693</v>
      </c>
    </row>
    <row r="387" spans="52:55">
      <c r="AZ387" s="185">
        <v>44502</v>
      </c>
      <c r="BA387" s="186">
        <v>4.67</v>
      </c>
      <c r="BB387" s="186">
        <v>1225000</v>
      </c>
      <c r="BC387" s="186">
        <v>1029713</v>
      </c>
    </row>
    <row r="388" spans="52:55">
      <c r="AZ388" s="185">
        <v>44501</v>
      </c>
      <c r="BA388" s="186">
        <v>4.5999999999999996</v>
      </c>
      <c r="BB388" s="186">
        <v>847500</v>
      </c>
      <c r="BC388" s="186">
        <v>972853</v>
      </c>
    </row>
    <row r="389" spans="52:55">
      <c r="AZ389" s="185">
        <v>44498</v>
      </c>
      <c r="BA389" s="186">
        <v>4.67</v>
      </c>
      <c r="BB389" s="186">
        <v>1481200</v>
      </c>
      <c r="BC389" s="186">
        <v>938833</v>
      </c>
    </row>
    <row r="390" spans="52:55">
      <c r="AZ390" s="185">
        <v>44497</v>
      </c>
      <c r="BA390" s="186">
        <v>4.7</v>
      </c>
      <c r="BB390" s="186">
        <v>1007500</v>
      </c>
      <c r="BC390" s="186">
        <v>871020</v>
      </c>
    </row>
    <row r="391" spans="52:55">
      <c r="AZ391" s="185">
        <v>44496</v>
      </c>
      <c r="BA391" s="186">
        <v>4.8</v>
      </c>
      <c r="BB391" s="186">
        <v>707900</v>
      </c>
      <c r="BC391" s="186">
        <v>852180</v>
      </c>
    </row>
    <row r="392" spans="52:55">
      <c r="AZ392" s="185">
        <v>44495</v>
      </c>
      <c r="BA392" s="186">
        <v>4.8</v>
      </c>
      <c r="BB392" s="186">
        <v>564200</v>
      </c>
      <c r="BC392" s="186">
        <v>873047</v>
      </c>
    </row>
    <row r="393" spans="52:55">
      <c r="AZ393" s="185">
        <v>44494</v>
      </c>
      <c r="BA393" s="186">
        <v>4.8</v>
      </c>
      <c r="BB393" s="186">
        <v>542300</v>
      </c>
      <c r="BC393" s="186">
        <v>932620</v>
      </c>
    </row>
    <row r="394" spans="52:55">
      <c r="AZ394" s="185">
        <v>44491</v>
      </c>
      <c r="BA394" s="186">
        <v>4.78</v>
      </c>
      <c r="BB394" s="186">
        <v>902600</v>
      </c>
      <c r="BC394" s="186">
        <v>1099360</v>
      </c>
    </row>
    <row r="395" spans="52:55">
      <c r="AZ395" s="185">
        <v>44490</v>
      </c>
      <c r="BA395" s="186">
        <v>4.8</v>
      </c>
      <c r="BB395" s="186">
        <v>1439000</v>
      </c>
      <c r="BC395" s="186">
        <v>1192707</v>
      </c>
    </row>
    <row r="396" spans="52:55">
      <c r="AZ396" s="185">
        <v>44489</v>
      </c>
      <c r="BA396" s="186">
        <v>4.8499999999999996</v>
      </c>
      <c r="BB396" s="186">
        <v>1105200</v>
      </c>
      <c r="BC396" s="186">
        <v>1157460</v>
      </c>
    </row>
    <row r="397" spans="52:55">
      <c r="AZ397" s="185">
        <v>44487</v>
      </c>
      <c r="BA397" s="186">
        <v>4.8099999999999996</v>
      </c>
      <c r="BB397" s="186">
        <v>1411100</v>
      </c>
      <c r="BC397" s="186">
        <v>1158200</v>
      </c>
    </row>
    <row r="398" spans="52:55">
      <c r="AZ398" s="185">
        <v>44484</v>
      </c>
      <c r="BA398" s="186">
        <v>4.78</v>
      </c>
      <c r="BB398" s="186">
        <v>1045200</v>
      </c>
      <c r="BC398" s="186">
        <v>1151427</v>
      </c>
    </row>
    <row r="399" spans="52:55">
      <c r="AZ399" s="185">
        <v>44483</v>
      </c>
      <c r="BA399" s="186">
        <v>4.75</v>
      </c>
      <c r="BB399" s="186">
        <v>722600</v>
      </c>
      <c r="BC399" s="186">
        <v>1190133</v>
      </c>
    </row>
    <row r="400" spans="52:55">
      <c r="AZ400" s="185">
        <v>44482</v>
      </c>
      <c r="BA400" s="186">
        <v>4.75</v>
      </c>
      <c r="BB400" s="186">
        <v>1504800</v>
      </c>
      <c r="BC400" s="186">
        <v>1188427</v>
      </c>
    </row>
    <row r="401" spans="52:55">
      <c r="AZ401" s="185">
        <v>44481</v>
      </c>
      <c r="BA401" s="186">
        <v>4.68</v>
      </c>
      <c r="BB401" s="186">
        <v>939600</v>
      </c>
      <c r="BC401" s="186">
        <v>1161493</v>
      </c>
    </row>
    <row r="402" spans="52:55">
      <c r="AZ402" s="185">
        <v>44480</v>
      </c>
      <c r="BA402" s="186">
        <v>4.63</v>
      </c>
      <c r="BB402" s="186">
        <v>372100</v>
      </c>
      <c r="BC402" s="186">
        <v>1156320</v>
      </c>
    </row>
    <row r="403" spans="52:55">
      <c r="AZ403" s="185">
        <v>44477</v>
      </c>
      <c r="BA403" s="186">
        <v>4.68</v>
      </c>
      <c r="BB403" s="186">
        <v>337200</v>
      </c>
      <c r="BC403" s="186">
        <v>1217027</v>
      </c>
    </row>
    <row r="404" spans="52:55">
      <c r="AZ404" s="185">
        <v>44476</v>
      </c>
      <c r="BA404" s="186">
        <v>4.6500000000000004</v>
      </c>
      <c r="BB404" s="186">
        <v>464000</v>
      </c>
      <c r="BC404" s="186">
        <v>1558713</v>
      </c>
    </row>
    <row r="405" spans="52:55">
      <c r="AZ405" s="185">
        <v>44475</v>
      </c>
      <c r="BA405" s="186">
        <v>4.63</v>
      </c>
      <c r="BB405" s="186">
        <v>724900</v>
      </c>
      <c r="BC405" s="186">
        <v>1644653</v>
      </c>
    </row>
    <row r="406" spans="52:55">
      <c r="AZ406" s="185">
        <v>44474</v>
      </c>
      <c r="BA406" s="186">
        <v>4.55</v>
      </c>
      <c r="BB406" s="186">
        <v>1020900</v>
      </c>
      <c r="BC406" s="186">
        <v>1767840</v>
      </c>
    </row>
    <row r="407" spans="52:55">
      <c r="AZ407" s="185">
        <v>44473</v>
      </c>
      <c r="BA407" s="186">
        <v>4.55</v>
      </c>
      <c r="BB407" s="186">
        <v>1457800</v>
      </c>
      <c r="BC407" s="186">
        <v>1781173</v>
      </c>
    </row>
    <row r="408" spans="52:55">
      <c r="AZ408" s="185">
        <v>44470</v>
      </c>
      <c r="BA408" s="186">
        <v>4.54</v>
      </c>
      <c r="BB408" s="186">
        <v>3043400</v>
      </c>
      <c r="BC408" s="186">
        <v>1836000</v>
      </c>
    </row>
    <row r="409" spans="52:55">
      <c r="AZ409" s="185">
        <v>44469</v>
      </c>
      <c r="BA409" s="186">
        <v>4.6900000000000004</v>
      </c>
      <c r="BB409" s="186">
        <v>2302800</v>
      </c>
      <c r="BC409" s="186">
        <v>1737920</v>
      </c>
    </row>
    <row r="410" spans="52:55">
      <c r="AZ410" s="185">
        <v>44468</v>
      </c>
      <c r="BA410" s="186">
        <v>4.7</v>
      </c>
      <c r="BB410" s="186">
        <v>910300</v>
      </c>
      <c r="BC410" s="186">
        <v>1857967</v>
      </c>
    </row>
    <row r="411" spans="52:55">
      <c r="AZ411" s="185">
        <v>44467</v>
      </c>
      <c r="BA411" s="186">
        <v>4.68</v>
      </c>
      <c r="BB411" s="186">
        <v>1116300</v>
      </c>
      <c r="BC411" s="186">
        <v>1850533</v>
      </c>
    </row>
    <row r="412" spans="52:55">
      <c r="AZ412" s="185">
        <v>44466</v>
      </c>
      <c r="BA412" s="186">
        <v>4.68</v>
      </c>
      <c r="BB412" s="186">
        <v>1309500</v>
      </c>
      <c r="BC412" s="186">
        <v>1841380</v>
      </c>
    </row>
    <row r="413" spans="52:55">
      <c r="AZ413" s="185">
        <v>44463</v>
      </c>
      <c r="BA413" s="186">
        <v>4.72</v>
      </c>
      <c r="BB413" s="186">
        <v>1625800</v>
      </c>
      <c r="BC413" s="186">
        <v>1855613</v>
      </c>
    </row>
    <row r="414" spans="52:55">
      <c r="AZ414" s="185">
        <v>44462</v>
      </c>
      <c r="BA414" s="186">
        <v>4.68</v>
      </c>
      <c r="BB414" s="186">
        <v>697000</v>
      </c>
      <c r="BC414" s="186">
        <v>1886973</v>
      </c>
    </row>
    <row r="415" spans="52:55">
      <c r="AZ415" s="185">
        <v>44461</v>
      </c>
      <c r="BA415" s="186">
        <v>4.6399999999999997</v>
      </c>
      <c r="BB415" s="186">
        <v>1100800</v>
      </c>
      <c r="BC415" s="186">
        <v>2133960</v>
      </c>
    </row>
    <row r="416" spans="52:55">
      <c r="AZ416" s="185">
        <v>44460</v>
      </c>
      <c r="BA416" s="186">
        <v>4.72</v>
      </c>
      <c r="BB416" s="186">
        <v>862000</v>
      </c>
      <c r="BC416" s="186">
        <v>2839740</v>
      </c>
    </row>
    <row r="417" spans="52:55">
      <c r="AZ417" s="185">
        <v>44459</v>
      </c>
      <c r="BA417" s="186">
        <v>4.67</v>
      </c>
      <c r="BB417" s="186">
        <v>1282700</v>
      </c>
      <c r="BC417" s="186">
        <v>3026420</v>
      </c>
    </row>
    <row r="418" spans="52:55">
      <c r="AZ418" s="185">
        <v>44456</v>
      </c>
      <c r="BA418" s="186">
        <v>4.72</v>
      </c>
      <c r="BB418" s="186">
        <v>5462500</v>
      </c>
      <c r="BC418" s="186">
        <v>3258147</v>
      </c>
    </row>
    <row r="419" spans="52:55">
      <c r="AZ419" s="185">
        <v>44454</v>
      </c>
      <c r="BA419" s="186">
        <v>4.7</v>
      </c>
      <c r="BB419" s="186">
        <v>1753100</v>
      </c>
      <c r="BC419" s="186">
        <v>3054320</v>
      </c>
    </row>
    <row r="420" spans="52:55">
      <c r="AZ420" s="185">
        <v>44453</v>
      </c>
      <c r="BA420" s="186">
        <v>4.7699999999999996</v>
      </c>
      <c r="BB420" s="186">
        <v>2572700</v>
      </c>
      <c r="BC420" s="186">
        <v>3114373</v>
      </c>
    </row>
    <row r="421" spans="52:55">
      <c r="AZ421" s="185">
        <v>44452</v>
      </c>
      <c r="BA421" s="186">
        <v>4.76</v>
      </c>
      <c r="BB421" s="186">
        <v>1220900</v>
      </c>
      <c r="BC421" s="186">
        <v>3092467</v>
      </c>
    </row>
    <row r="422" spans="52:55">
      <c r="AZ422" s="185">
        <v>44449</v>
      </c>
      <c r="BA422" s="186">
        <v>4.66</v>
      </c>
      <c r="BB422" s="186">
        <v>2280200</v>
      </c>
      <c r="BC422" s="186">
        <v>3149660</v>
      </c>
    </row>
    <row r="423" spans="52:55">
      <c r="AZ423" s="185">
        <v>44448</v>
      </c>
      <c r="BA423" s="186">
        <v>4.72</v>
      </c>
      <c r="BB423" s="186">
        <v>1572200</v>
      </c>
      <c r="BC423" s="186">
        <v>3015720</v>
      </c>
    </row>
    <row r="424" spans="52:55">
      <c r="AZ424" s="185">
        <v>44447</v>
      </c>
      <c r="BA424" s="186">
        <v>4.78</v>
      </c>
      <c r="BB424" s="186">
        <v>4103500</v>
      </c>
      <c r="BC424" s="186">
        <v>2969413</v>
      </c>
    </row>
    <row r="425" spans="52:55">
      <c r="AZ425" s="185">
        <v>44446</v>
      </c>
      <c r="BA425" s="186">
        <v>4.62</v>
      </c>
      <c r="BB425" s="186">
        <v>798800</v>
      </c>
      <c r="BC425" s="186">
        <v>2806573</v>
      </c>
    </row>
    <row r="426" spans="52:55">
      <c r="AZ426" s="185">
        <v>44445</v>
      </c>
      <c r="BA426" s="186">
        <v>4.63</v>
      </c>
      <c r="BB426" s="186">
        <v>979000</v>
      </c>
      <c r="BC426" s="186">
        <v>2789753</v>
      </c>
    </row>
    <row r="427" spans="52:55">
      <c r="AZ427" s="185">
        <v>44442</v>
      </c>
      <c r="BA427" s="186">
        <v>4.6399999999999997</v>
      </c>
      <c r="BB427" s="186">
        <v>1523000</v>
      </c>
      <c r="BC427" s="186">
        <v>2753513</v>
      </c>
    </row>
    <row r="428" spans="52:55">
      <c r="AZ428" s="185">
        <v>44441</v>
      </c>
      <c r="BA428" s="186">
        <v>4.49</v>
      </c>
      <c r="BB428" s="186">
        <v>2096200</v>
      </c>
      <c r="BC428" s="186">
        <v>2677313</v>
      </c>
    </row>
    <row r="429" spans="52:55">
      <c r="AZ429" s="185">
        <v>44440</v>
      </c>
      <c r="BA429" s="186">
        <v>4.58</v>
      </c>
      <c r="BB429" s="186">
        <v>4401800</v>
      </c>
      <c r="BC429" s="186">
        <v>2585100</v>
      </c>
    </row>
    <row r="430" spans="52:55">
      <c r="AZ430" s="185">
        <v>44438</v>
      </c>
      <c r="BA430" s="186">
        <v>4.6900000000000004</v>
      </c>
      <c r="BB430" s="186">
        <v>11687500</v>
      </c>
      <c r="BC430" s="186">
        <v>2315047</v>
      </c>
    </row>
    <row r="431" spans="52:55">
      <c r="AZ431" s="185">
        <v>44435</v>
      </c>
      <c r="BA431" s="186">
        <v>4.7</v>
      </c>
      <c r="BB431" s="186">
        <v>3662200</v>
      </c>
      <c r="BC431" s="186">
        <v>1570427</v>
      </c>
    </row>
    <row r="432" spans="52:55">
      <c r="AZ432" s="185">
        <v>44434</v>
      </c>
      <c r="BA432" s="186">
        <v>4.67</v>
      </c>
      <c r="BB432" s="186">
        <v>4758600</v>
      </c>
      <c r="BC432" s="186">
        <v>1380913</v>
      </c>
    </row>
    <row r="433" spans="52:55">
      <c r="AZ433" s="185">
        <v>44433</v>
      </c>
      <c r="BA433" s="186">
        <v>4.6500000000000004</v>
      </c>
      <c r="BB433" s="186">
        <v>2405100</v>
      </c>
      <c r="BC433" s="186">
        <v>1168040</v>
      </c>
    </row>
    <row r="434" spans="52:55">
      <c r="AZ434" s="185">
        <v>44432</v>
      </c>
      <c r="BA434" s="186">
        <v>4.53</v>
      </c>
      <c r="BB434" s="186">
        <v>2653900</v>
      </c>
      <c r="BC434" s="186">
        <v>1141893</v>
      </c>
    </row>
    <row r="435" spans="52:55">
      <c r="AZ435" s="185">
        <v>44431</v>
      </c>
      <c r="BA435" s="186">
        <v>4.5199999999999996</v>
      </c>
      <c r="BB435" s="186">
        <v>2244100</v>
      </c>
      <c r="BC435" s="186">
        <v>1041667</v>
      </c>
    </row>
    <row r="436" spans="52:55">
      <c r="AZ436" s="185">
        <v>44428</v>
      </c>
      <c r="BA436" s="186">
        <v>4.5</v>
      </c>
      <c r="BB436" s="186">
        <v>2078800</v>
      </c>
      <c r="BC436" s="186">
        <v>1144793</v>
      </c>
    </row>
    <row r="437" spans="52:55">
      <c r="AZ437" s="185">
        <v>44427</v>
      </c>
      <c r="BA437" s="186">
        <v>4.4000000000000004</v>
      </c>
      <c r="BB437" s="186">
        <v>271100</v>
      </c>
      <c r="BC437" s="186">
        <v>1054927</v>
      </c>
    </row>
    <row r="438" spans="52:55">
      <c r="AZ438" s="185">
        <v>44426</v>
      </c>
      <c r="BA438" s="186">
        <v>4.37</v>
      </c>
      <c r="BB438" s="186">
        <v>877600</v>
      </c>
      <c r="BC438" s="186">
        <v>1069507</v>
      </c>
    </row>
    <row r="439" spans="52:55">
      <c r="AZ439" s="185">
        <v>44425</v>
      </c>
      <c r="BA439" s="186">
        <v>4.45</v>
      </c>
      <c r="BB439" s="186">
        <v>1660900</v>
      </c>
      <c r="BC439" s="186">
        <v>1058207</v>
      </c>
    </row>
    <row r="440" spans="52:55">
      <c r="AZ440" s="185">
        <v>44424</v>
      </c>
      <c r="BA440" s="186">
        <v>4.3899999999999997</v>
      </c>
      <c r="BB440" s="186">
        <v>546500</v>
      </c>
      <c r="BC440" s="186">
        <v>1017927</v>
      </c>
    </row>
    <row r="441" spans="52:55">
      <c r="AZ441" s="185">
        <v>44421</v>
      </c>
      <c r="BA441" s="186">
        <v>4.3600000000000003</v>
      </c>
      <c r="BB441" s="186">
        <v>435400</v>
      </c>
      <c r="BC441" s="186">
        <v>999027</v>
      </c>
    </row>
    <row r="442" spans="52:55">
      <c r="AZ442" s="185">
        <v>44420</v>
      </c>
      <c r="BA442" s="186">
        <v>4.34</v>
      </c>
      <c r="BB442" s="186">
        <v>380000</v>
      </c>
      <c r="BC442" s="186">
        <v>1014633</v>
      </c>
    </row>
    <row r="443" spans="52:55">
      <c r="AZ443" s="185">
        <v>44419</v>
      </c>
      <c r="BA443" s="186">
        <v>4.3</v>
      </c>
      <c r="BB443" s="186">
        <v>713000</v>
      </c>
      <c r="BC443" s="186">
        <v>1083400</v>
      </c>
    </row>
    <row r="444" spans="52:55">
      <c r="AZ444" s="185">
        <v>44417</v>
      </c>
      <c r="BA444" s="186">
        <v>4.29</v>
      </c>
      <c r="BB444" s="186">
        <v>351000</v>
      </c>
      <c r="BC444" s="186">
        <v>1136080</v>
      </c>
    </row>
    <row r="445" spans="52:55">
      <c r="AZ445" s="185">
        <v>44414</v>
      </c>
      <c r="BA445" s="186">
        <v>4.32</v>
      </c>
      <c r="BB445" s="186">
        <v>518200</v>
      </c>
      <c r="BC445" s="186">
        <v>1192353</v>
      </c>
    </row>
    <row r="446" spans="52:55">
      <c r="AZ446" s="185">
        <v>44413</v>
      </c>
      <c r="BA446" s="186">
        <v>4.37</v>
      </c>
      <c r="BB446" s="186">
        <v>819500</v>
      </c>
      <c r="BC446" s="186">
        <v>1190953</v>
      </c>
    </row>
    <row r="447" spans="52:55">
      <c r="AZ447" s="185">
        <v>44412</v>
      </c>
      <c r="BA447" s="186">
        <v>4.3099999999999996</v>
      </c>
      <c r="BB447" s="186">
        <v>1565500</v>
      </c>
      <c r="BC447" s="186">
        <v>1196040</v>
      </c>
    </row>
    <row r="448" spans="52:55">
      <c r="AZ448" s="185">
        <v>44411</v>
      </c>
      <c r="BA448" s="186">
        <v>4.32</v>
      </c>
      <c r="BB448" s="186">
        <v>2012900</v>
      </c>
      <c r="BC448" s="186">
        <v>1247453</v>
      </c>
    </row>
    <row r="449" spans="52:55">
      <c r="AZ449" s="185">
        <v>44410</v>
      </c>
      <c r="BA449" s="186">
        <v>4.28</v>
      </c>
      <c r="BB449" s="186">
        <v>1150500</v>
      </c>
      <c r="BC449" s="186">
        <v>1171493</v>
      </c>
    </row>
    <row r="450" spans="52:55">
      <c r="AZ450" s="185">
        <v>44407</v>
      </c>
      <c r="BA450" s="186">
        <v>4.26</v>
      </c>
      <c r="BB450" s="186">
        <v>3791000</v>
      </c>
      <c r="BC450" s="186">
        <v>1133013</v>
      </c>
    </row>
    <row r="451" spans="52:55">
      <c r="AZ451" s="185">
        <v>44406</v>
      </c>
      <c r="BA451" s="186">
        <v>4.32</v>
      </c>
      <c r="BB451" s="186">
        <v>730800</v>
      </c>
      <c r="BC451" s="186">
        <v>1002967</v>
      </c>
    </row>
    <row r="452" spans="52:55">
      <c r="AZ452" s="185">
        <v>44405</v>
      </c>
      <c r="BA452" s="186">
        <v>4.32</v>
      </c>
      <c r="BB452" s="186">
        <v>489800</v>
      </c>
      <c r="BC452" s="186">
        <v>1031047</v>
      </c>
    </row>
    <row r="453" spans="52:55">
      <c r="AZ453" s="185">
        <v>44404</v>
      </c>
      <c r="BA453" s="186">
        <v>4.29</v>
      </c>
      <c r="BB453" s="186">
        <v>708100</v>
      </c>
      <c r="BC453" s="186">
        <v>1030447</v>
      </c>
    </row>
    <row r="454" spans="52:55">
      <c r="AZ454" s="185">
        <v>44403</v>
      </c>
      <c r="BA454" s="186">
        <v>4.3099999999999996</v>
      </c>
      <c r="BB454" s="186">
        <v>1056700</v>
      </c>
      <c r="BC454" s="186">
        <v>1036673</v>
      </c>
    </row>
    <row r="455" spans="52:55">
      <c r="AZ455" s="185">
        <v>44400</v>
      </c>
      <c r="BA455" s="186">
        <v>4.3899999999999997</v>
      </c>
      <c r="BB455" s="186">
        <v>263000</v>
      </c>
      <c r="BC455" s="186">
        <v>1027587</v>
      </c>
    </row>
    <row r="456" spans="52:55">
      <c r="AZ456" s="185">
        <v>44399</v>
      </c>
      <c r="BA456" s="186">
        <v>4.38</v>
      </c>
      <c r="BB456" s="186">
        <v>669500</v>
      </c>
      <c r="BC456" s="186">
        <v>1124913</v>
      </c>
    </row>
    <row r="457" spans="52:55">
      <c r="AZ457" s="185">
        <v>44398</v>
      </c>
      <c r="BA457" s="186">
        <v>4.32</v>
      </c>
      <c r="BB457" s="186">
        <v>1411500</v>
      </c>
      <c r="BC457" s="186">
        <v>1267087</v>
      </c>
    </row>
    <row r="458" spans="52:55">
      <c r="AZ458" s="185">
        <v>44396</v>
      </c>
      <c r="BA458" s="186">
        <v>4.3600000000000003</v>
      </c>
      <c r="BB458" s="186">
        <v>1503200</v>
      </c>
      <c r="BC458" s="186">
        <v>1246780</v>
      </c>
    </row>
    <row r="459" spans="52:55">
      <c r="AZ459" s="185">
        <v>44393</v>
      </c>
      <c r="BA459" s="186">
        <v>4.38</v>
      </c>
      <c r="BB459" s="186">
        <v>1195100</v>
      </c>
      <c r="BC459" s="186">
        <v>1247093</v>
      </c>
    </row>
    <row r="460" spans="52:55">
      <c r="AZ460" s="185">
        <v>44392</v>
      </c>
      <c r="BA460" s="186">
        <v>4.3499999999999996</v>
      </c>
      <c r="BB460" s="186">
        <v>497200</v>
      </c>
      <c r="BC460" s="186">
        <v>1216093</v>
      </c>
    </row>
    <row r="461" spans="52:55">
      <c r="AZ461" s="185">
        <v>44391</v>
      </c>
      <c r="BA461" s="186">
        <v>4.33</v>
      </c>
      <c r="BB461" s="186">
        <v>895800</v>
      </c>
      <c r="BC461" s="186">
        <v>1355573</v>
      </c>
    </row>
    <row r="462" spans="52:55">
      <c r="AZ462" s="185">
        <v>44390</v>
      </c>
      <c r="BA462" s="186">
        <v>4.41</v>
      </c>
      <c r="BB462" s="186">
        <v>2336700</v>
      </c>
      <c r="BC462" s="186">
        <v>1378633</v>
      </c>
    </row>
    <row r="463" spans="52:55">
      <c r="AZ463" s="185">
        <v>44389</v>
      </c>
      <c r="BA463" s="186">
        <v>4.3899999999999997</v>
      </c>
      <c r="BB463" s="186">
        <v>873500</v>
      </c>
      <c r="BC463" s="186">
        <v>1266393</v>
      </c>
    </row>
    <row r="464" spans="52:55">
      <c r="AZ464" s="185">
        <v>44386</v>
      </c>
      <c r="BA464" s="186">
        <v>4.42</v>
      </c>
      <c r="BB464" s="186">
        <v>573300</v>
      </c>
      <c r="BC464" s="186">
        <v>1333213</v>
      </c>
    </row>
    <row r="465" spans="52:55">
      <c r="AZ465" s="185">
        <v>44385</v>
      </c>
      <c r="BA465" s="186">
        <v>4.3499999999999996</v>
      </c>
      <c r="BB465" s="186">
        <v>1840300</v>
      </c>
      <c r="BC465" s="186">
        <v>1793060</v>
      </c>
    </row>
    <row r="466" spans="52:55">
      <c r="AZ466" s="185">
        <v>44384</v>
      </c>
      <c r="BA466" s="186">
        <v>4.42</v>
      </c>
      <c r="BB466" s="186">
        <v>1152000</v>
      </c>
      <c r="BC466" s="186">
        <v>1796727</v>
      </c>
    </row>
    <row r="467" spans="52:55">
      <c r="AZ467" s="185">
        <v>44383</v>
      </c>
      <c r="BA467" s="186">
        <v>4.42</v>
      </c>
      <c r="BB467" s="186">
        <v>480800</v>
      </c>
      <c r="BC467" s="186">
        <v>1784593</v>
      </c>
    </row>
    <row r="468" spans="52:55">
      <c r="AZ468" s="185">
        <v>44382</v>
      </c>
      <c r="BA468" s="186">
        <v>4.43</v>
      </c>
      <c r="BB468" s="186">
        <v>801500</v>
      </c>
      <c r="BC468" s="186">
        <v>1826593</v>
      </c>
    </row>
    <row r="469" spans="52:55">
      <c r="AZ469" s="185">
        <v>44379</v>
      </c>
      <c r="BA469" s="186">
        <v>4.41</v>
      </c>
      <c r="BB469" s="186">
        <v>920400</v>
      </c>
      <c r="BC469" s="186">
        <v>1869360</v>
      </c>
    </row>
    <row r="470" spans="52:55">
      <c r="AZ470" s="185">
        <v>44378</v>
      </c>
      <c r="BA470" s="186">
        <v>4.4000000000000004</v>
      </c>
      <c r="BB470" s="186">
        <v>1722900</v>
      </c>
      <c r="BC470" s="186">
        <v>2085387</v>
      </c>
    </row>
    <row r="471" spans="52:55">
      <c r="AZ471" s="185">
        <v>44377</v>
      </c>
      <c r="BA471" s="186">
        <v>4.3899999999999997</v>
      </c>
      <c r="BB471" s="186">
        <v>2802100</v>
      </c>
      <c r="BC471" s="186">
        <v>2047673</v>
      </c>
    </row>
    <row r="472" spans="52:55">
      <c r="AZ472" s="185">
        <v>44376</v>
      </c>
      <c r="BA472" s="186">
        <v>4.43</v>
      </c>
      <c r="BB472" s="186">
        <v>1106900</v>
      </c>
      <c r="BC472" s="186">
        <v>1977267</v>
      </c>
    </row>
    <row r="473" spans="52:55">
      <c r="AZ473" s="185">
        <v>44375</v>
      </c>
      <c r="BA473" s="186">
        <v>4.42</v>
      </c>
      <c r="BB473" s="186">
        <v>1507900</v>
      </c>
      <c r="BC473" s="186">
        <v>2054833</v>
      </c>
    </row>
    <row r="474" spans="52:55">
      <c r="AZ474" s="185">
        <v>44372</v>
      </c>
      <c r="BA474" s="186">
        <v>4.47</v>
      </c>
      <c r="BB474" s="186">
        <v>730100</v>
      </c>
      <c r="BC474" s="186">
        <v>2081633</v>
      </c>
    </row>
    <row r="475" spans="52:55">
      <c r="AZ475" s="185">
        <v>44371</v>
      </c>
      <c r="BA475" s="186">
        <v>4.5</v>
      </c>
      <c r="BB475" s="186">
        <v>2589400</v>
      </c>
      <c r="BC475" s="186">
        <v>2124127</v>
      </c>
    </row>
    <row r="476" spans="52:55">
      <c r="AZ476" s="185">
        <v>44370</v>
      </c>
      <c r="BA476" s="186">
        <v>4.5199999999999996</v>
      </c>
      <c r="BB476" s="186">
        <v>1241700</v>
      </c>
      <c r="BC476" s="186">
        <v>2114600</v>
      </c>
    </row>
    <row r="477" spans="52:55">
      <c r="AZ477" s="185">
        <v>44369</v>
      </c>
      <c r="BA477" s="186">
        <v>4.5199999999999996</v>
      </c>
      <c r="BB477" s="186">
        <v>653100</v>
      </c>
      <c r="BC477" s="186">
        <v>2046253</v>
      </c>
    </row>
    <row r="478" spans="52:55">
      <c r="AZ478" s="185">
        <v>44368</v>
      </c>
      <c r="BA478" s="186">
        <v>4.5199999999999996</v>
      </c>
      <c r="BB478" s="186">
        <v>1875800</v>
      </c>
      <c r="BC478" s="186">
        <v>2055187</v>
      </c>
    </row>
    <row r="479" spans="52:55">
      <c r="AZ479" s="185">
        <v>44365</v>
      </c>
      <c r="BA479" s="186">
        <v>4.4400000000000004</v>
      </c>
      <c r="BB479" s="186">
        <v>7471000</v>
      </c>
      <c r="BC479" s="186">
        <v>2042433</v>
      </c>
    </row>
    <row r="480" spans="52:55">
      <c r="AZ480" s="185">
        <v>44364</v>
      </c>
      <c r="BA480" s="186">
        <v>4.4800000000000004</v>
      </c>
      <c r="BB480" s="186">
        <v>1895300</v>
      </c>
      <c r="BC480" s="186">
        <v>2068740</v>
      </c>
    </row>
    <row r="481" spans="52:55">
      <c r="AZ481" s="185">
        <v>44363</v>
      </c>
      <c r="BA481" s="186">
        <v>4.5599999999999996</v>
      </c>
      <c r="BB481" s="186">
        <v>970000</v>
      </c>
      <c r="BC481" s="186">
        <v>2094947</v>
      </c>
    </row>
    <row r="482" spans="52:55">
      <c r="AZ482" s="185">
        <v>44362</v>
      </c>
      <c r="BA482" s="186">
        <v>4.54</v>
      </c>
      <c r="BB482" s="186">
        <v>1110800</v>
      </c>
      <c r="BC482" s="186">
        <v>2107980</v>
      </c>
    </row>
    <row r="483" spans="52:55">
      <c r="AZ483" s="185">
        <v>44361</v>
      </c>
      <c r="BA483" s="186">
        <v>4.5</v>
      </c>
      <c r="BB483" s="186">
        <v>1443000</v>
      </c>
      <c r="BC483" s="186">
        <v>2108967</v>
      </c>
    </row>
    <row r="484" spans="52:55">
      <c r="AZ484" s="185">
        <v>44358</v>
      </c>
      <c r="BA484" s="186">
        <v>4.45</v>
      </c>
      <c r="BB484" s="186">
        <v>4160800</v>
      </c>
      <c r="BC484" s="186">
        <v>2135440</v>
      </c>
    </row>
    <row r="485" spans="52:55">
      <c r="AZ485" s="185">
        <v>44357</v>
      </c>
      <c r="BA485" s="186">
        <v>4.51</v>
      </c>
      <c r="BB485" s="186">
        <v>1157200</v>
      </c>
      <c r="BC485" s="186">
        <v>1914487</v>
      </c>
    </row>
    <row r="486" spans="52:55">
      <c r="AZ486" s="185">
        <v>44356</v>
      </c>
      <c r="BA486" s="186">
        <v>4.55</v>
      </c>
      <c r="BB486" s="186">
        <v>1746000</v>
      </c>
      <c r="BC486" s="186">
        <v>1920040</v>
      </c>
    </row>
    <row r="487" spans="52:55">
      <c r="AZ487" s="185">
        <v>44355</v>
      </c>
      <c r="BA487" s="186">
        <v>4.53</v>
      </c>
      <c r="BB487" s="186">
        <v>2270400</v>
      </c>
      <c r="BC487" s="186">
        <v>1956473</v>
      </c>
    </row>
    <row r="488" spans="52:55">
      <c r="AZ488" s="185">
        <v>44351</v>
      </c>
      <c r="BA488" s="186">
        <v>4.53</v>
      </c>
      <c r="BB488" s="186">
        <v>1909900</v>
      </c>
      <c r="BC488" s="186">
        <v>1861693</v>
      </c>
    </row>
    <row r="489" spans="52:55">
      <c r="AZ489" s="185">
        <v>44350</v>
      </c>
      <c r="BA489" s="186">
        <v>4.57</v>
      </c>
      <c r="BB489" s="186">
        <v>1367500</v>
      </c>
      <c r="BC489" s="186">
        <v>1776367</v>
      </c>
    </row>
    <row r="490" spans="52:55">
      <c r="AZ490" s="185">
        <v>44349</v>
      </c>
      <c r="BA490" s="186">
        <v>4.6100000000000003</v>
      </c>
      <c r="BB490" s="186">
        <v>2446500</v>
      </c>
      <c r="BC490" s="186">
        <v>1741560</v>
      </c>
    </row>
    <row r="491" spans="52:55">
      <c r="AZ491" s="185">
        <v>44348</v>
      </c>
      <c r="BA491" s="186">
        <v>4.63</v>
      </c>
      <c r="BB491" s="186">
        <v>216500</v>
      </c>
      <c r="BC491" s="186">
        <v>1640693</v>
      </c>
    </row>
    <row r="492" spans="52:55">
      <c r="AZ492" s="185">
        <v>44347</v>
      </c>
      <c r="BA492" s="186">
        <v>4.6500000000000004</v>
      </c>
      <c r="BB492" s="186">
        <v>787100</v>
      </c>
      <c r="BC492" s="186">
        <v>1742333</v>
      </c>
    </row>
    <row r="493" spans="52:55">
      <c r="AZ493" s="185">
        <v>44344</v>
      </c>
      <c r="BA493" s="186">
        <v>4.75</v>
      </c>
      <c r="BB493" s="186">
        <v>1684500</v>
      </c>
      <c r="BC493" s="186">
        <v>1766233</v>
      </c>
    </row>
    <row r="494" spans="52:55">
      <c r="AZ494" s="185">
        <v>44343</v>
      </c>
      <c r="BA494" s="186">
        <v>4.83</v>
      </c>
      <c r="BB494" s="186">
        <v>7865600</v>
      </c>
      <c r="BC494" s="186">
        <v>1694940</v>
      </c>
    </row>
    <row r="495" spans="52:55">
      <c r="AZ495" s="185">
        <v>44341</v>
      </c>
      <c r="BA495" s="186">
        <v>4.62</v>
      </c>
      <c r="BB495" s="186">
        <v>2288400</v>
      </c>
      <c r="BC495" s="186">
        <v>1227913</v>
      </c>
    </row>
    <row r="496" spans="52:55">
      <c r="AZ496" s="185">
        <v>44340</v>
      </c>
      <c r="BA496" s="186">
        <v>4.63</v>
      </c>
      <c r="BB496" s="186">
        <v>1165500</v>
      </c>
      <c r="BC496" s="186">
        <v>1255093</v>
      </c>
    </row>
    <row r="497" spans="52:55">
      <c r="AZ497" s="185">
        <v>44337</v>
      </c>
      <c r="BA497" s="186">
        <v>4.54</v>
      </c>
      <c r="BB497" s="186">
        <v>1125600</v>
      </c>
      <c r="BC497" s="186">
        <v>1247400</v>
      </c>
    </row>
    <row r="498" spans="52:55">
      <c r="AZ498" s="185">
        <v>44336</v>
      </c>
      <c r="BA498" s="186">
        <v>4.57</v>
      </c>
      <c r="BB498" s="186">
        <v>1840100</v>
      </c>
      <c r="BC498" s="186">
        <v>1278540</v>
      </c>
    </row>
    <row r="499" spans="52:55">
      <c r="AZ499" s="185">
        <v>44335</v>
      </c>
      <c r="BA499" s="186">
        <v>4.67</v>
      </c>
      <c r="BB499" s="186">
        <v>846500</v>
      </c>
      <c r="BC499" s="186">
        <v>1260620</v>
      </c>
    </row>
    <row r="500" spans="52:55">
      <c r="AZ500" s="185">
        <v>44334</v>
      </c>
      <c r="BA500" s="186">
        <v>4.7</v>
      </c>
      <c r="BB500" s="186">
        <v>1240500</v>
      </c>
      <c r="BC500" s="186">
        <v>1235873</v>
      </c>
    </row>
    <row r="501" spans="52:55">
      <c r="AZ501" s="185">
        <v>44333</v>
      </c>
      <c r="BA501" s="186">
        <v>4.63</v>
      </c>
      <c r="BB501" s="186">
        <v>2292500</v>
      </c>
      <c r="BC501" s="186">
        <v>1224173</v>
      </c>
    </row>
    <row r="502" spans="52:55">
      <c r="AZ502" s="185">
        <v>44328</v>
      </c>
      <c r="BA502" s="186">
        <v>4.53</v>
      </c>
      <c r="BB502" s="186">
        <v>848700</v>
      </c>
      <c r="BC502" s="186">
        <v>1162507</v>
      </c>
    </row>
    <row r="503" spans="52:55">
      <c r="AZ503" s="185">
        <v>44327</v>
      </c>
      <c r="BA503" s="186">
        <v>4.5599999999999996</v>
      </c>
      <c r="BB503" s="186">
        <v>630000</v>
      </c>
      <c r="BC503" s="186">
        <v>1180907</v>
      </c>
    </row>
    <row r="504" spans="52:55">
      <c r="AZ504" s="185">
        <v>44326</v>
      </c>
      <c r="BA504" s="186">
        <v>4.59</v>
      </c>
      <c r="BB504" s="186">
        <v>845400</v>
      </c>
      <c r="BC504" s="186">
        <v>1167413</v>
      </c>
    </row>
    <row r="505" spans="52:55">
      <c r="AZ505" s="185">
        <v>44323</v>
      </c>
      <c r="BA505" s="186">
        <v>4.5199999999999996</v>
      </c>
      <c r="BB505" s="186">
        <v>933500</v>
      </c>
      <c r="BC505" s="186">
        <v>1177533</v>
      </c>
    </row>
    <row r="506" spans="52:55">
      <c r="AZ506" s="185">
        <v>44322</v>
      </c>
      <c r="BA506" s="186">
        <v>4.57</v>
      </c>
      <c r="BB506" s="186">
        <v>1741100</v>
      </c>
      <c r="BC506" s="186">
        <v>1254387</v>
      </c>
    </row>
    <row r="507" spans="52:55">
      <c r="AZ507" s="185">
        <v>44321</v>
      </c>
      <c r="BA507" s="186">
        <v>4.5</v>
      </c>
      <c r="BB507" s="186">
        <v>1145600</v>
      </c>
      <c r="BC507" s="186">
        <v>1201993</v>
      </c>
    </row>
    <row r="508" spans="52:55">
      <c r="AZ508" s="185">
        <v>44320</v>
      </c>
      <c r="BA508" s="186">
        <v>4.5599999999999996</v>
      </c>
      <c r="BB508" s="186">
        <v>615100</v>
      </c>
      <c r="BC508" s="186">
        <v>1221793</v>
      </c>
    </row>
    <row r="509" spans="52:55">
      <c r="AZ509" s="185">
        <v>44319</v>
      </c>
      <c r="BA509" s="186">
        <v>4.5599999999999996</v>
      </c>
      <c r="BB509" s="186">
        <v>860200</v>
      </c>
      <c r="BC509" s="186">
        <v>1263580</v>
      </c>
    </row>
    <row r="510" spans="52:55">
      <c r="AZ510" s="185">
        <v>44316</v>
      </c>
      <c r="BA510" s="186">
        <v>4.5999999999999996</v>
      </c>
      <c r="BB510" s="186">
        <v>2696100</v>
      </c>
      <c r="BC510" s="186">
        <v>1564300</v>
      </c>
    </row>
    <row r="511" spans="52:55">
      <c r="AZ511" s="185">
        <v>44314</v>
      </c>
      <c r="BA511" s="186">
        <v>4.62</v>
      </c>
      <c r="BB511" s="186">
        <v>1050100</v>
      </c>
      <c r="BC511" s="186">
        <v>1616613</v>
      </c>
    </row>
    <row r="512" spans="52:55">
      <c r="AZ512" s="185">
        <v>44313</v>
      </c>
      <c r="BA512" s="186">
        <v>4.68</v>
      </c>
      <c r="BB512" s="186">
        <v>1592700</v>
      </c>
      <c r="BC512" s="186">
        <v>1681047</v>
      </c>
    </row>
    <row r="513" spans="52:55">
      <c r="AZ513" s="185">
        <v>44312</v>
      </c>
      <c r="BA513" s="186">
        <v>4.78</v>
      </c>
      <c r="BB513" s="186">
        <v>1571300</v>
      </c>
      <c r="BC513" s="186">
        <v>1716087</v>
      </c>
    </row>
    <row r="514" spans="52:55">
      <c r="AZ514" s="185">
        <v>44309</v>
      </c>
      <c r="BA514" s="186">
        <v>4.68</v>
      </c>
      <c r="BB514" s="186">
        <v>475300</v>
      </c>
      <c r="BC514" s="186">
        <v>1638760</v>
      </c>
    </row>
    <row r="515" spans="52:55">
      <c r="AZ515" s="185">
        <v>44308</v>
      </c>
      <c r="BA515" s="186">
        <v>4.7</v>
      </c>
      <c r="BB515" s="186">
        <v>1065000</v>
      </c>
      <c r="BC515" s="186">
        <v>1653860</v>
      </c>
    </row>
    <row r="516" spans="52:55">
      <c r="AZ516" s="185">
        <v>44307</v>
      </c>
      <c r="BA516" s="186">
        <v>4.68</v>
      </c>
      <c r="BB516" s="186">
        <v>1367500</v>
      </c>
      <c r="BC516" s="186">
        <v>1647700</v>
      </c>
    </row>
    <row r="517" spans="52:55">
      <c r="AZ517" s="185">
        <v>44306</v>
      </c>
      <c r="BA517" s="186">
        <v>4.78</v>
      </c>
      <c r="BB517" s="186">
        <v>1124700</v>
      </c>
      <c r="BC517" s="186">
        <v>1837000</v>
      </c>
    </row>
    <row r="518" spans="52:55">
      <c r="AZ518" s="185">
        <v>44305</v>
      </c>
      <c r="BA518" s="186">
        <v>4.72</v>
      </c>
      <c r="BB518" s="186">
        <v>427600</v>
      </c>
      <c r="BC518" s="186">
        <v>1817020</v>
      </c>
    </row>
    <row r="519" spans="52:55">
      <c r="AZ519" s="185">
        <v>44302</v>
      </c>
      <c r="BA519" s="186">
        <v>4.7</v>
      </c>
      <c r="BB519" s="186">
        <v>997200</v>
      </c>
      <c r="BC519" s="186">
        <v>1886913</v>
      </c>
    </row>
    <row r="520" spans="52:55">
      <c r="AZ520" s="185">
        <v>44301</v>
      </c>
      <c r="BA520" s="186">
        <v>4.62</v>
      </c>
      <c r="BB520" s="186">
        <v>2086300</v>
      </c>
      <c r="BC520" s="186">
        <v>1870447</v>
      </c>
    </row>
    <row r="521" spans="52:55">
      <c r="AZ521" s="185">
        <v>44300</v>
      </c>
      <c r="BA521" s="186">
        <v>4.7</v>
      </c>
      <c r="BB521" s="186">
        <v>955200</v>
      </c>
      <c r="BC521" s="186">
        <v>1803927</v>
      </c>
    </row>
    <row r="522" spans="52:55">
      <c r="AZ522" s="185">
        <v>44299</v>
      </c>
      <c r="BA522" s="186">
        <v>4.71</v>
      </c>
      <c r="BB522" s="186">
        <v>1442600</v>
      </c>
      <c r="BC522" s="186">
        <v>1837133</v>
      </c>
    </row>
    <row r="523" spans="52:55">
      <c r="AZ523" s="185">
        <v>44298</v>
      </c>
      <c r="BA523" s="186">
        <v>4.79</v>
      </c>
      <c r="BB523" s="186">
        <v>1241900</v>
      </c>
      <c r="BC523" s="186">
        <v>1804620</v>
      </c>
    </row>
    <row r="524" spans="52:55">
      <c r="AZ524" s="185">
        <v>44295</v>
      </c>
      <c r="BA524" s="186">
        <v>4.8</v>
      </c>
      <c r="BB524" s="186">
        <v>5371000</v>
      </c>
      <c r="BC524" s="186">
        <v>1840227</v>
      </c>
    </row>
    <row r="525" spans="52:55">
      <c r="AZ525" s="185">
        <v>44294</v>
      </c>
      <c r="BA525" s="186">
        <v>4.71</v>
      </c>
      <c r="BB525" s="186">
        <v>3480800</v>
      </c>
      <c r="BC525" s="186">
        <v>1771480</v>
      </c>
    </row>
    <row r="526" spans="52:55">
      <c r="AZ526" s="185">
        <v>44293</v>
      </c>
      <c r="BA526" s="186">
        <v>4.5999999999999996</v>
      </c>
      <c r="BB526" s="186">
        <v>2016600</v>
      </c>
      <c r="BC526" s="186">
        <v>1587133</v>
      </c>
    </row>
    <row r="527" spans="52:55">
      <c r="AZ527" s="185">
        <v>44292</v>
      </c>
      <c r="BA527" s="186">
        <v>4.49</v>
      </c>
      <c r="BB527" s="186">
        <v>2118300</v>
      </c>
      <c r="BC527" s="186">
        <v>1556913</v>
      </c>
    </row>
    <row r="528" spans="52:55">
      <c r="AZ528" s="185">
        <v>44291</v>
      </c>
      <c r="BA528" s="186">
        <v>4.53</v>
      </c>
      <c r="BB528" s="186">
        <v>411400</v>
      </c>
      <c r="BC528" s="186">
        <v>1514853</v>
      </c>
    </row>
    <row r="529" spans="52:55">
      <c r="AZ529" s="185">
        <v>44288</v>
      </c>
      <c r="BA529" s="186">
        <v>4.5</v>
      </c>
      <c r="BB529" s="186">
        <v>701800</v>
      </c>
      <c r="BC529" s="186">
        <v>1594313</v>
      </c>
    </row>
    <row r="530" spans="52:55">
      <c r="AZ530" s="185">
        <v>44287</v>
      </c>
      <c r="BA530" s="186">
        <v>4.51</v>
      </c>
      <c r="BB530" s="186">
        <v>972600</v>
      </c>
      <c r="BC530" s="186">
        <v>1702933</v>
      </c>
    </row>
    <row r="531" spans="52:55">
      <c r="AZ531" s="185">
        <v>44286</v>
      </c>
      <c r="BA531" s="186">
        <v>4.5199999999999996</v>
      </c>
      <c r="BB531" s="186">
        <v>4207000</v>
      </c>
      <c r="BC531" s="186">
        <v>1790280</v>
      </c>
    </row>
    <row r="532" spans="52:55">
      <c r="AZ532" s="185">
        <v>44285</v>
      </c>
      <c r="BA532" s="186">
        <v>4.6500000000000004</v>
      </c>
      <c r="BB532" s="186">
        <v>825000</v>
      </c>
      <c r="BC532" s="186">
        <v>1659153</v>
      </c>
    </row>
    <row r="533" spans="52:55">
      <c r="AZ533" s="185">
        <v>44284</v>
      </c>
      <c r="BA533" s="186">
        <v>4.6500000000000004</v>
      </c>
      <c r="BB533" s="186">
        <v>1476000</v>
      </c>
      <c r="BC533" s="186">
        <v>1816253</v>
      </c>
    </row>
    <row r="534" spans="52:55">
      <c r="AZ534" s="185">
        <v>44281</v>
      </c>
      <c r="BA534" s="186">
        <v>4.58</v>
      </c>
      <c r="BB534" s="186">
        <v>750200</v>
      </c>
      <c r="BC534" s="186">
        <v>1997500</v>
      </c>
    </row>
    <row r="535" spans="52:55">
      <c r="AZ535" s="185">
        <v>44280</v>
      </c>
      <c r="BA535" s="186">
        <v>4.58</v>
      </c>
      <c r="BB535" s="186">
        <v>1088500</v>
      </c>
      <c r="BC535" s="186">
        <v>2075133</v>
      </c>
    </row>
    <row r="536" spans="52:55">
      <c r="AZ536" s="185">
        <v>44279</v>
      </c>
      <c r="BA536" s="186">
        <v>4.5999999999999996</v>
      </c>
      <c r="BB536" s="186">
        <v>1453300</v>
      </c>
      <c r="BC536" s="186">
        <v>2171460</v>
      </c>
    </row>
    <row r="537" spans="52:55">
      <c r="AZ537" s="185">
        <v>44278</v>
      </c>
      <c r="BA537" s="186">
        <v>4.5999999999999996</v>
      </c>
      <c r="BB537" s="186">
        <v>954900</v>
      </c>
      <c r="BC537" s="186">
        <v>2282560</v>
      </c>
    </row>
    <row r="538" spans="52:55">
      <c r="AZ538" s="185">
        <v>44277</v>
      </c>
      <c r="BA538" s="186">
        <v>4.63</v>
      </c>
      <c r="BB538" s="186">
        <v>1776000</v>
      </c>
      <c r="BC538" s="186">
        <v>2439147</v>
      </c>
    </row>
    <row r="539" spans="52:55">
      <c r="AZ539" s="185">
        <v>44274</v>
      </c>
      <c r="BA539" s="186">
        <v>4.75</v>
      </c>
      <c r="BB539" s="186">
        <v>4339800</v>
      </c>
      <c r="BC539" s="186">
        <v>2543387</v>
      </c>
    </row>
    <row r="540" spans="52:55">
      <c r="AZ540" s="185">
        <v>44273</v>
      </c>
      <c r="BA540" s="186">
        <v>4.63</v>
      </c>
      <c r="BB540" s="186">
        <v>715600</v>
      </c>
      <c r="BC540" s="186">
        <v>2627367</v>
      </c>
    </row>
    <row r="541" spans="52:55">
      <c r="AZ541" s="185">
        <v>44272</v>
      </c>
      <c r="BA541" s="186">
        <v>4.6900000000000004</v>
      </c>
      <c r="BB541" s="186">
        <v>1563300</v>
      </c>
      <c r="BC541" s="186">
        <v>2747740</v>
      </c>
    </row>
    <row r="542" spans="52:55">
      <c r="AZ542" s="185">
        <v>44271</v>
      </c>
      <c r="BA542" s="186">
        <v>4.6100000000000003</v>
      </c>
      <c r="BB542" s="186">
        <v>1487400</v>
      </c>
      <c r="BC542" s="186">
        <v>2895273</v>
      </c>
    </row>
    <row r="543" spans="52:55">
      <c r="AZ543" s="185">
        <v>44270</v>
      </c>
      <c r="BA543" s="186">
        <v>4.63</v>
      </c>
      <c r="BB543" s="186">
        <v>1603300</v>
      </c>
      <c r="BC543" s="186">
        <v>3027353</v>
      </c>
    </row>
    <row r="544" spans="52:55">
      <c r="AZ544" s="185">
        <v>44267</v>
      </c>
      <c r="BA544" s="186">
        <v>4.53</v>
      </c>
      <c r="BB544" s="186">
        <v>2331100</v>
      </c>
      <c r="BC544" s="186">
        <v>3112060</v>
      </c>
    </row>
    <row r="545" spans="52:55">
      <c r="AZ545" s="185">
        <v>44266</v>
      </c>
      <c r="BA545" s="186">
        <v>4.63</v>
      </c>
      <c r="BB545" s="186">
        <v>2282800</v>
      </c>
      <c r="BC545" s="186">
        <v>3120973</v>
      </c>
    </row>
    <row r="546" spans="52:55">
      <c r="AZ546" s="185">
        <v>44265</v>
      </c>
      <c r="BA546" s="186">
        <v>4.72</v>
      </c>
      <c r="BB546" s="186">
        <v>2240100</v>
      </c>
      <c r="BC546" s="186">
        <v>3099140</v>
      </c>
    </row>
    <row r="547" spans="52:55">
      <c r="AZ547" s="185">
        <v>44264</v>
      </c>
      <c r="BA547" s="186">
        <v>4.5599999999999996</v>
      </c>
      <c r="BB547" s="186">
        <v>3181500</v>
      </c>
      <c r="BC547" s="186">
        <v>3083127</v>
      </c>
    </row>
    <row r="548" spans="52:55">
      <c r="AZ548" s="185">
        <v>44263</v>
      </c>
      <c r="BA548" s="186">
        <v>4.47</v>
      </c>
      <c r="BB548" s="186">
        <v>4194700</v>
      </c>
      <c r="BC548" s="186">
        <v>2921953</v>
      </c>
    </row>
    <row r="549" spans="52:55">
      <c r="AZ549" s="185">
        <v>44260</v>
      </c>
      <c r="BA549" s="186">
        <v>4.5599999999999996</v>
      </c>
      <c r="BB549" s="186">
        <v>1914700</v>
      </c>
      <c r="BC549" s="186">
        <v>2668753</v>
      </c>
    </row>
    <row r="550" spans="52:55">
      <c r="AZ550" s="185">
        <v>44259</v>
      </c>
      <c r="BA550" s="186">
        <v>4.57</v>
      </c>
      <c r="BB550" s="186">
        <v>2533400</v>
      </c>
      <c r="BC550" s="186">
        <v>2593900</v>
      </c>
    </row>
    <row r="551" spans="52:55">
      <c r="AZ551" s="185">
        <v>44258</v>
      </c>
      <c r="BA551" s="186">
        <v>4.62</v>
      </c>
      <c r="BB551" s="186">
        <v>3119800</v>
      </c>
      <c r="BC551" s="186">
        <v>2498633</v>
      </c>
    </row>
    <row r="552" spans="52:55">
      <c r="AZ552" s="185">
        <v>44257</v>
      </c>
      <c r="BA552" s="186">
        <v>4.6100000000000003</v>
      </c>
      <c r="BB552" s="186">
        <v>3303700</v>
      </c>
      <c r="BC552" s="186">
        <v>2363860</v>
      </c>
    </row>
    <row r="553" spans="52:55">
      <c r="AZ553" s="185">
        <v>44256</v>
      </c>
      <c r="BA553" s="186">
        <v>4.66</v>
      </c>
      <c r="BB553" s="186">
        <v>3339600</v>
      </c>
      <c r="BC553" s="186">
        <v>2210020</v>
      </c>
    </row>
    <row r="554" spans="52:55">
      <c r="AZ554" s="185">
        <v>44253</v>
      </c>
      <c r="BA554" s="186">
        <v>4.75</v>
      </c>
      <c r="BB554" s="186">
        <v>5599500</v>
      </c>
      <c r="BC554" s="186">
        <v>2043780</v>
      </c>
    </row>
    <row r="555" spans="52:55">
      <c r="AZ555" s="185">
        <v>44252</v>
      </c>
      <c r="BA555" s="186">
        <v>4.6900000000000004</v>
      </c>
      <c r="BB555" s="186">
        <v>2521200</v>
      </c>
      <c r="BC555" s="186">
        <v>1756640</v>
      </c>
    </row>
    <row r="556" spans="52:55">
      <c r="AZ556" s="185">
        <v>44251</v>
      </c>
      <c r="BA556" s="186">
        <v>4.66</v>
      </c>
      <c r="BB556" s="186">
        <v>3776300</v>
      </c>
      <c r="BC556" s="186">
        <v>1759627</v>
      </c>
    </row>
    <row r="557" spans="52:55">
      <c r="AZ557" s="185">
        <v>44250</v>
      </c>
      <c r="BA557" s="186">
        <v>4.68</v>
      </c>
      <c r="BB557" s="186">
        <v>3468600</v>
      </c>
      <c r="BC557" s="186">
        <v>1654760</v>
      </c>
    </row>
    <row r="558" spans="52:55">
      <c r="AZ558" s="185">
        <v>44249</v>
      </c>
      <c r="BA558" s="186">
        <v>4.66</v>
      </c>
      <c r="BB558" s="186">
        <v>2873900</v>
      </c>
      <c r="BC558" s="186">
        <v>1804967</v>
      </c>
    </row>
    <row r="559" spans="52:55">
      <c r="AZ559" s="185">
        <v>44246</v>
      </c>
      <c r="BA559" s="186">
        <v>4.75</v>
      </c>
      <c r="BB559" s="186">
        <v>2464800</v>
      </c>
      <c r="BC559" s="186">
        <v>1807413</v>
      </c>
    </row>
    <row r="560" spans="52:55">
      <c r="AZ560" s="185">
        <v>44245</v>
      </c>
      <c r="BA560" s="186">
        <v>4.67</v>
      </c>
      <c r="BB560" s="186">
        <v>1955300</v>
      </c>
      <c r="BC560" s="186">
        <v>1801660</v>
      </c>
    </row>
    <row r="561" spans="52:55">
      <c r="AZ561" s="185">
        <v>44244</v>
      </c>
      <c r="BA561" s="186">
        <v>4.8</v>
      </c>
      <c r="BB561" s="186">
        <v>1999900</v>
      </c>
      <c r="BC561" s="186">
        <v>1844907</v>
      </c>
    </row>
    <row r="562" spans="52:55">
      <c r="AZ562" s="185">
        <v>44243</v>
      </c>
      <c r="BA562" s="186">
        <v>4.88</v>
      </c>
      <c r="BB562" s="186">
        <v>763900</v>
      </c>
      <c r="BC562" s="186">
        <v>1857007</v>
      </c>
    </row>
    <row r="563" spans="52:55">
      <c r="AZ563" s="185">
        <v>44242</v>
      </c>
      <c r="BA563" s="186">
        <v>4.91</v>
      </c>
      <c r="BB563" s="186">
        <v>396700</v>
      </c>
      <c r="BC563" s="186">
        <v>1856660</v>
      </c>
    </row>
    <row r="564" spans="52:55">
      <c r="AZ564" s="185">
        <v>44238</v>
      </c>
      <c r="BA564" s="186">
        <v>4.83</v>
      </c>
      <c r="BB564" s="186">
        <v>791900</v>
      </c>
      <c r="BC564" s="186">
        <v>1937253</v>
      </c>
    </row>
    <row r="565" spans="52:55">
      <c r="AZ565" s="185">
        <v>44237</v>
      </c>
      <c r="BA565" s="186">
        <v>4.8499999999999996</v>
      </c>
      <c r="BB565" s="186">
        <v>1104400</v>
      </c>
      <c r="BC565" s="186">
        <v>1949267</v>
      </c>
    </row>
    <row r="566" spans="52:55">
      <c r="AZ566" s="185">
        <v>44236</v>
      </c>
      <c r="BA566" s="186">
        <v>4.84</v>
      </c>
      <c r="BB566" s="186">
        <v>1098200</v>
      </c>
      <c r="BC566" s="186">
        <v>1988073</v>
      </c>
    </row>
    <row r="567" spans="52:55">
      <c r="AZ567" s="185">
        <v>44235</v>
      </c>
      <c r="BA567" s="186">
        <v>4.83</v>
      </c>
      <c r="BB567" s="186">
        <v>996100</v>
      </c>
      <c r="BC567" s="186">
        <v>1956720</v>
      </c>
    </row>
    <row r="568" spans="52:55">
      <c r="AZ568" s="185">
        <v>44232</v>
      </c>
      <c r="BA568" s="186">
        <v>4.84</v>
      </c>
      <c r="BB568" s="186">
        <v>846000</v>
      </c>
      <c r="BC568" s="186">
        <v>2010073</v>
      </c>
    </row>
    <row r="569" spans="52:55">
      <c r="AZ569" s="185">
        <v>44231</v>
      </c>
      <c r="BA569" s="186">
        <v>4.8499999999999996</v>
      </c>
      <c r="BB569" s="186">
        <v>1292400</v>
      </c>
      <c r="BC569" s="186">
        <v>2074773</v>
      </c>
    </row>
    <row r="570" spans="52:55">
      <c r="AZ570" s="185">
        <v>44230</v>
      </c>
      <c r="BA570" s="186">
        <v>4.91</v>
      </c>
      <c r="BB570" s="186">
        <v>2566000</v>
      </c>
      <c r="BC570" s="186">
        <v>2063587</v>
      </c>
    </row>
    <row r="571" spans="52:55">
      <c r="AZ571" s="185">
        <v>44229</v>
      </c>
      <c r="BA571" s="186">
        <v>4.88</v>
      </c>
      <c r="BB571" s="186">
        <v>2203300</v>
      </c>
      <c r="BC571" s="186">
        <v>2011767</v>
      </c>
    </row>
    <row r="572" spans="52:55">
      <c r="AZ572" s="185">
        <v>44225</v>
      </c>
      <c r="BA572" s="186">
        <v>4.7699999999999996</v>
      </c>
      <c r="BB572" s="186">
        <v>5721700</v>
      </c>
      <c r="BC572" s="186">
        <v>2096347</v>
      </c>
    </row>
    <row r="573" spans="52:55">
      <c r="AZ573" s="185">
        <v>44223</v>
      </c>
      <c r="BA573" s="186">
        <v>4.8899999999999997</v>
      </c>
      <c r="BB573" s="186">
        <v>2910600</v>
      </c>
      <c r="BC573" s="186">
        <v>1880873</v>
      </c>
    </row>
    <row r="574" spans="52:55">
      <c r="AZ574" s="185">
        <v>44222</v>
      </c>
      <c r="BA574" s="186">
        <v>4.88</v>
      </c>
      <c r="BB574" s="186">
        <v>2378500</v>
      </c>
      <c r="BC574" s="186">
        <v>1760767</v>
      </c>
    </row>
    <row r="575" spans="52:55">
      <c r="AZ575" s="185">
        <v>44221</v>
      </c>
      <c r="BA575" s="186">
        <v>4.87</v>
      </c>
      <c r="BB575" s="186">
        <v>2604000</v>
      </c>
      <c r="BC575" s="186">
        <v>1689560</v>
      </c>
    </row>
    <row r="576" spans="52:55">
      <c r="AZ576" s="185">
        <v>44218</v>
      </c>
      <c r="BA576" s="186">
        <v>4.93</v>
      </c>
      <c r="BB576" s="186">
        <v>2181400</v>
      </c>
      <c r="BC576" s="186">
        <v>1572313</v>
      </c>
    </row>
    <row r="577" spans="52:55">
      <c r="AZ577" s="185">
        <v>44217</v>
      </c>
      <c r="BA577" s="186">
        <v>5.05</v>
      </c>
      <c r="BB577" s="186">
        <v>758700</v>
      </c>
      <c r="BC577" s="186">
        <v>1503253</v>
      </c>
    </row>
    <row r="578" spans="52:55">
      <c r="AZ578" s="185">
        <v>44216</v>
      </c>
      <c r="BA578" s="186">
        <v>5.04</v>
      </c>
      <c r="BB578" s="186">
        <v>1605600</v>
      </c>
      <c r="BC578" s="186">
        <v>1517147</v>
      </c>
    </row>
    <row r="579" spans="52:55">
      <c r="AZ579" s="185">
        <v>44215</v>
      </c>
      <c r="BA579" s="186">
        <v>5.04</v>
      </c>
      <c r="BB579" s="186">
        <v>972100</v>
      </c>
      <c r="BC579" s="186">
        <v>1441713</v>
      </c>
    </row>
    <row r="580" spans="52:55">
      <c r="AZ580" s="185">
        <v>44214</v>
      </c>
      <c r="BA580" s="186">
        <v>5.04</v>
      </c>
      <c r="BB580" s="186">
        <v>1686500</v>
      </c>
      <c r="BC580" s="186">
        <v>1393387</v>
      </c>
    </row>
    <row r="581" spans="52:55">
      <c r="AZ581" s="185">
        <v>44211</v>
      </c>
      <c r="BA581" s="186">
        <v>5.05</v>
      </c>
      <c r="BB581" s="186">
        <v>627900</v>
      </c>
      <c r="BC581" s="186">
        <v>1306013</v>
      </c>
    </row>
    <row r="582" spans="52:55">
      <c r="AZ582" s="185">
        <v>44210</v>
      </c>
      <c r="BA582" s="186">
        <v>5.07</v>
      </c>
      <c r="BB582" s="186">
        <v>1796400</v>
      </c>
      <c r="BC582" s="186">
        <v>1289920</v>
      </c>
    </row>
    <row r="583" spans="52:55">
      <c r="AZ583" s="185">
        <v>44209</v>
      </c>
      <c r="BA583" s="186">
        <v>5.05</v>
      </c>
      <c r="BB583" s="186">
        <v>1816500</v>
      </c>
      <c r="BC583" s="186">
        <v>1177153</v>
      </c>
    </row>
    <row r="584" spans="52:55">
      <c r="AZ584" s="185">
        <v>44208</v>
      </c>
      <c r="BA584" s="186">
        <v>5.04</v>
      </c>
      <c r="BB584" s="186">
        <v>1124600</v>
      </c>
      <c r="BC584" s="186">
        <v>1106873</v>
      </c>
    </row>
    <row r="585" spans="52:55">
      <c r="AZ585" s="185">
        <v>44207</v>
      </c>
      <c r="BA585" s="186">
        <v>5.0999999999999996</v>
      </c>
      <c r="BB585" s="186">
        <v>1788700</v>
      </c>
      <c r="BC585" s="186">
        <v>1298207</v>
      </c>
    </row>
    <row r="586" spans="52:55">
      <c r="AZ586" s="185">
        <v>44204</v>
      </c>
      <c r="BA586" s="186">
        <v>5.2</v>
      </c>
      <c r="BB586" s="186">
        <v>3472000</v>
      </c>
      <c r="BC586" s="186">
        <v>1279620</v>
      </c>
    </row>
    <row r="587" spans="52:55">
      <c r="AZ587" s="185">
        <v>44203</v>
      </c>
      <c r="BA587" s="186">
        <v>5.28</v>
      </c>
      <c r="BB587" s="186">
        <v>2489600</v>
      </c>
      <c r="BC587" s="186">
        <v>1162313</v>
      </c>
    </row>
    <row r="588" spans="52:55">
      <c r="AZ588" s="185">
        <v>44202</v>
      </c>
      <c r="BA588" s="186">
        <v>5.0599999999999996</v>
      </c>
      <c r="BB588" s="186">
        <v>1109000</v>
      </c>
      <c r="BC588" s="186">
        <v>1130433</v>
      </c>
    </row>
    <row r="589" spans="52:55">
      <c r="AZ589" s="185">
        <v>44201</v>
      </c>
      <c r="BA589" s="186">
        <v>5.15</v>
      </c>
      <c r="BB589" s="186">
        <v>1310400</v>
      </c>
      <c r="BC589" s="186">
        <v>1166813</v>
      </c>
    </row>
    <row r="590" spans="52:55">
      <c r="AZ590" s="185">
        <v>44200</v>
      </c>
      <c r="BA590" s="186">
        <v>5.07</v>
      </c>
      <c r="BB590" s="186">
        <v>845300</v>
      </c>
      <c r="BC590" s="186">
        <v>1195267</v>
      </c>
    </row>
    <row r="591" spans="52:55">
      <c r="AZ591" s="185">
        <v>44196</v>
      </c>
      <c r="BA591" s="186">
        <v>5.05</v>
      </c>
      <c r="BB591" s="186">
        <v>1145500</v>
      </c>
      <c r="BC591" s="186">
        <v>1182680</v>
      </c>
    </row>
    <row r="592" spans="52:55">
      <c r="AZ592" s="185">
        <v>44195</v>
      </c>
      <c r="BA592" s="186">
        <v>5.12</v>
      </c>
      <c r="BB592" s="186">
        <v>967100</v>
      </c>
      <c r="BC592" s="186">
        <v>1297593</v>
      </c>
    </row>
    <row r="593" spans="52:55">
      <c r="AZ593" s="185">
        <v>44194</v>
      </c>
      <c r="BA593" s="186">
        <v>5.05</v>
      </c>
      <c r="BB593" s="186">
        <v>474100</v>
      </c>
      <c r="BC593" s="186">
        <v>1290080</v>
      </c>
    </row>
    <row r="594" spans="52:55">
      <c r="AZ594" s="185">
        <v>44193</v>
      </c>
      <c r="BA594" s="186">
        <v>5.07</v>
      </c>
      <c r="BB594" s="186">
        <v>247200</v>
      </c>
      <c r="BC594" s="186">
        <v>1346200</v>
      </c>
    </row>
    <row r="595" spans="52:55">
      <c r="AZ595" s="185">
        <v>44189</v>
      </c>
      <c r="BA595" s="186">
        <v>5.05</v>
      </c>
      <c r="BB595" s="186">
        <v>375900</v>
      </c>
      <c r="BC595" s="186">
        <v>1445033</v>
      </c>
    </row>
    <row r="596" spans="52:55">
      <c r="AZ596" s="185">
        <v>44188</v>
      </c>
      <c r="BA596" s="186">
        <v>5.07</v>
      </c>
      <c r="BB596" s="186">
        <v>386500</v>
      </c>
      <c r="BC596" s="186">
        <v>1559000</v>
      </c>
    </row>
    <row r="597" spans="52:55">
      <c r="AZ597" s="185">
        <v>44187</v>
      </c>
      <c r="BA597" s="186">
        <v>5.07</v>
      </c>
      <c r="BB597" s="186">
        <v>104900</v>
      </c>
      <c r="BC597" s="186">
        <v>1861093</v>
      </c>
    </row>
    <row r="598" spans="52:55">
      <c r="AZ598" s="185">
        <v>44186</v>
      </c>
      <c r="BA598" s="186">
        <v>5.05</v>
      </c>
      <c r="BB598" s="186">
        <v>762300</v>
      </c>
      <c r="BC598" s="186">
        <v>1991387</v>
      </c>
    </row>
    <row r="599" spans="52:55">
      <c r="AZ599" s="185">
        <v>44183</v>
      </c>
      <c r="BA599" s="186">
        <v>5.01</v>
      </c>
      <c r="BB599" s="186">
        <v>3994600</v>
      </c>
      <c r="BC599" s="186">
        <v>2440253</v>
      </c>
    </row>
    <row r="600" spans="52:55">
      <c r="AZ600" s="185">
        <v>44182</v>
      </c>
      <c r="BA600" s="186">
        <v>5.09</v>
      </c>
      <c r="BB600" s="186">
        <v>1509900</v>
      </c>
      <c r="BC600" s="186">
        <v>2295347</v>
      </c>
    </row>
    <row r="601" spans="52:55">
      <c r="AZ601" s="185">
        <v>44181</v>
      </c>
      <c r="BA601" s="186">
        <v>5.0999999999999996</v>
      </c>
      <c r="BB601" s="186">
        <v>1712400</v>
      </c>
      <c r="BC601" s="186">
        <v>2242873</v>
      </c>
    </row>
    <row r="602" spans="52:55">
      <c r="AZ602" s="185">
        <v>44180</v>
      </c>
      <c r="BA602" s="186">
        <v>5.09</v>
      </c>
      <c r="BB602" s="186">
        <v>2011400</v>
      </c>
      <c r="BC602" s="186">
        <v>2150240</v>
      </c>
    </row>
    <row r="603" spans="52:55">
      <c r="AZ603" s="185">
        <v>44179</v>
      </c>
      <c r="BA603" s="186">
        <v>5.05</v>
      </c>
      <c r="BB603" s="186">
        <v>1654700</v>
      </c>
      <c r="BC603" s="186">
        <v>2051367</v>
      </c>
    </row>
    <row r="604" spans="52:55">
      <c r="AZ604" s="185">
        <v>44176</v>
      </c>
      <c r="BA604" s="186">
        <v>5.05</v>
      </c>
      <c r="BB604" s="186">
        <v>1737200</v>
      </c>
      <c r="BC604" s="186">
        <v>2015800</v>
      </c>
    </row>
    <row r="605" spans="52:55">
      <c r="AZ605" s="185">
        <v>44175</v>
      </c>
      <c r="BA605" s="186">
        <v>5.0199999999999996</v>
      </c>
      <c r="BB605" s="186">
        <v>656500</v>
      </c>
      <c r="BC605" s="186">
        <v>1949560</v>
      </c>
    </row>
    <row r="606" spans="52:55">
      <c r="AZ606" s="185">
        <v>44174</v>
      </c>
      <c r="BA606" s="186">
        <v>5</v>
      </c>
      <c r="BB606" s="186">
        <v>2869200</v>
      </c>
      <c r="BC606" s="186">
        <v>2003247</v>
      </c>
    </row>
    <row r="607" spans="52:55">
      <c r="AZ607" s="185">
        <v>44173</v>
      </c>
      <c r="BA607" s="186">
        <v>5.03</v>
      </c>
      <c r="BB607" s="186">
        <v>854400</v>
      </c>
      <c r="BC607" s="186">
        <v>1908980</v>
      </c>
    </row>
    <row r="608" spans="52:55">
      <c r="AZ608" s="185">
        <v>44172</v>
      </c>
      <c r="BA608" s="186">
        <v>4.99</v>
      </c>
      <c r="BB608" s="186">
        <v>1315900</v>
      </c>
      <c r="BC608" s="186">
        <v>1894433</v>
      </c>
    </row>
    <row r="609" spans="52:55">
      <c r="AZ609" s="185">
        <v>44169</v>
      </c>
      <c r="BA609" s="186">
        <v>4.99</v>
      </c>
      <c r="BB609" s="186">
        <v>1729700</v>
      </c>
      <c r="BC609" s="186">
        <v>1877120</v>
      </c>
    </row>
    <row r="610" spans="52:55">
      <c r="AZ610" s="185">
        <v>44168</v>
      </c>
      <c r="BA610" s="186">
        <v>5.04</v>
      </c>
      <c r="BB610" s="186">
        <v>2085400</v>
      </c>
      <c r="BC610" s="186">
        <v>1812613</v>
      </c>
    </row>
    <row r="611" spans="52:55">
      <c r="AZ611" s="185">
        <v>44167</v>
      </c>
      <c r="BA611" s="186">
        <v>4.92</v>
      </c>
      <c r="BB611" s="186">
        <v>4917900</v>
      </c>
      <c r="BC611" s="186">
        <v>1862180</v>
      </c>
    </row>
    <row r="612" spans="52:55">
      <c r="AZ612" s="185">
        <v>44166</v>
      </c>
      <c r="BA612" s="186">
        <v>4.9400000000000004</v>
      </c>
      <c r="BB612" s="186">
        <v>2059300</v>
      </c>
      <c r="BC612" s="186">
        <v>1616500</v>
      </c>
    </row>
    <row r="613" spans="52:55">
      <c r="AZ613" s="185">
        <v>44165</v>
      </c>
      <c r="BA613" s="186">
        <v>4.9000000000000004</v>
      </c>
      <c r="BB613" s="186">
        <v>7495300</v>
      </c>
      <c r="BC613" s="186">
        <v>1684153</v>
      </c>
    </row>
    <row r="614" spans="52:55">
      <c r="AZ614" s="185">
        <v>44162</v>
      </c>
      <c r="BA614" s="186">
        <v>5.0199999999999996</v>
      </c>
      <c r="BB614" s="186">
        <v>1821000</v>
      </c>
      <c r="BC614" s="186">
        <v>1314853</v>
      </c>
    </row>
    <row r="615" spans="52:55">
      <c r="AZ615" s="185">
        <v>44161</v>
      </c>
      <c r="BA615" s="186">
        <v>5.16</v>
      </c>
      <c r="BB615" s="186">
        <v>722800</v>
      </c>
      <c r="BC615" s="186">
        <v>1361840</v>
      </c>
    </row>
    <row r="616" spans="52:55">
      <c r="AZ616" s="185">
        <v>44160</v>
      </c>
      <c r="BA616" s="186">
        <v>5.16</v>
      </c>
      <c r="BB616" s="186">
        <v>322900</v>
      </c>
      <c r="BC616" s="186">
        <v>1407167</v>
      </c>
    </row>
    <row r="617" spans="52:55">
      <c r="AZ617" s="185">
        <v>44159</v>
      </c>
      <c r="BA617" s="186">
        <v>5.0999999999999996</v>
      </c>
      <c r="BB617" s="186">
        <v>528300</v>
      </c>
      <c r="BC617" s="186">
        <v>1425520</v>
      </c>
    </row>
    <row r="618" spans="52:55">
      <c r="AZ618" s="185">
        <v>44158</v>
      </c>
      <c r="BA618" s="186">
        <v>5.12</v>
      </c>
      <c r="BB618" s="186">
        <v>1121200</v>
      </c>
      <c r="BC618" s="186">
        <v>1438100</v>
      </c>
    </row>
    <row r="619" spans="52:55">
      <c r="AZ619" s="185">
        <v>44155</v>
      </c>
      <c r="BA619" s="186">
        <v>5.1100000000000003</v>
      </c>
      <c r="BB619" s="186">
        <v>743600</v>
      </c>
      <c r="BC619" s="186">
        <v>1417600</v>
      </c>
    </row>
    <row r="620" spans="52:55">
      <c r="AZ620" s="185">
        <v>44154</v>
      </c>
      <c r="BA620" s="186">
        <v>5.05</v>
      </c>
      <c r="BB620" s="186">
        <v>1461800</v>
      </c>
      <c r="BC620" s="186">
        <v>1527467</v>
      </c>
    </row>
    <row r="621" spans="52:55">
      <c r="AZ621" s="185">
        <v>44153</v>
      </c>
      <c r="BA621" s="186">
        <v>5.13</v>
      </c>
      <c r="BB621" s="186">
        <v>1455200</v>
      </c>
      <c r="BC621" s="186">
        <v>1509413</v>
      </c>
    </row>
    <row r="622" spans="52:55">
      <c r="AZ622" s="185">
        <v>44152</v>
      </c>
      <c r="BA622" s="186">
        <v>5.2</v>
      </c>
      <c r="BB622" s="186">
        <v>636200</v>
      </c>
      <c r="BC622" s="186">
        <v>1537700</v>
      </c>
    </row>
    <row r="623" spans="52:55">
      <c r="AZ623" s="185">
        <v>44151</v>
      </c>
      <c r="BA623" s="186">
        <v>5.14</v>
      </c>
      <c r="BB623" s="186">
        <v>1056200</v>
      </c>
      <c r="BC623" s="186">
        <v>1577940</v>
      </c>
    </row>
    <row r="624" spans="52:55">
      <c r="AZ624" s="185">
        <v>44148</v>
      </c>
      <c r="BA624" s="186">
        <v>5.2</v>
      </c>
      <c r="BB624" s="186">
        <v>762100</v>
      </c>
      <c r="BC624" s="186">
        <v>1524233</v>
      </c>
    </row>
    <row r="625" spans="52:55">
      <c r="AZ625" s="185">
        <v>44147</v>
      </c>
      <c r="BA625" s="186">
        <v>5.2</v>
      </c>
      <c r="BB625" s="186">
        <v>2828900</v>
      </c>
      <c r="BC625" s="186">
        <v>1538473</v>
      </c>
    </row>
    <row r="626" spans="52:55">
      <c r="AZ626" s="185">
        <v>44146</v>
      </c>
      <c r="BA626" s="186">
        <v>5.19</v>
      </c>
      <c r="BB626" s="186">
        <v>1232700</v>
      </c>
      <c r="BC626" s="186">
        <v>1409900</v>
      </c>
    </row>
    <row r="627" spans="52:55">
      <c r="AZ627" s="185">
        <v>44145</v>
      </c>
      <c r="BA627" s="186">
        <v>5.2</v>
      </c>
      <c r="BB627" s="186">
        <v>3074100</v>
      </c>
      <c r="BC627" s="186">
        <v>1372840</v>
      </c>
    </row>
    <row r="628" spans="52:55">
      <c r="AZ628" s="185">
        <v>44144</v>
      </c>
      <c r="BA628" s="186">
        <v>5.3</v>
      </c>
      <c r="BB628" s="186">
        <v>1955800</v>
      </c>
      <c r="BC628" s="186">
        <v>1236373</v>
      </c>
    </row>
    <row r="629" spans="52:55">
      <c r="AZ629" s="185">
        <v>44141</v>
      </c>
      <c r="BA629" s="186">
        <v>5.15</v>
      </c>
      <c r="BB629" s="186">
        <v>2525800</v>
      </c>
      <c r="BC629" s="186">
        <v>1177180</v>
      </c>
    </row>
    <row r="630" spans="52:55">
      <c r="AZ630" s="185">
        <v>44140</v>
      </c>
      <c r="BA630" s="186">
        <v>5.0199999999999996</v>
      </c>
      <c r="BB630" s="186">
        <v>1402700</v>
      </c>
      <c r="BC630" s="186">
        <v>1082920</v>
      </c>
    </row>
    <row r="631" spans="52:55">
      <c r="AZ631" s="185">
        <v>44139</v>
      </c>
      <c r="BA631" s="186">
        <v>4.93</v>
      </c>
      <c r="BB631" s="186">
        <v>598200</v>
      </c>
      <c r="BC631" s="186">
        <v>1102200</v>
      </c>
    </row>
    <row r="632" spans="52:55">
      <c r="AZ632" s="185">
        <v>44138</v>
      </c>
      <c r="BA632" s="186">
        <v>4.8899999999999997</v>
      </c>
      <c r="BB632" s="186">
        <v>717000</v>
      </c>
      <c r="BC632" s="186">
        <v>1117393</v>
      </c>
    </row>
    <row r="633" spans="52:55">
      <c r="AZ633" s="185">
        <v>44137</v>
      </c>
      <c r="BA633" s="186">
        <v>4.84</v>
      </c>
      <c r="BB633" s="186">
        <v>813700</v>
      </c>
      <c r="BC633" s="186">
        <v>1116327</v>
      </c>
    </row>
    <row r="634" spans="52:55">
      <c r="AZ634" s="185">
        <v>44134</v>
      </c>
      <c r="BA634" s="186">
        <v>4.8</v>
      </c>
      <c r="BB634" s="186">
        <v>2391600</v>
      </c>
      <c r="BC634" s="186">
        <v>1167440</v>
      </c>
    </row>
    <row r="635" spans="52:55">
      <c r="AZ635" s="185">
        <v>44132</v>
      </c>
      <c r="BA635" s="186">
        <v>4.92</v>
      </c>
      <c r="BB635" s="186">
        <v>1191000</v>
      </c>
      <c r="BC635" s="186">
        <v>1097140</v>
      </c>
    </row>
    <row r="636" spans="52:55">
      <c r="AZ636" s="185">
        <v>44131</v>
      </c>
      <c r="BA636" s="186">
        <v>4.96</v>
      </c>
      <c r="BB636" s="186">
        <v>1879500</v>
      </c>
      <c r="BC636" s="186">
        <v>1174047</v>
      </c>
    </row>
    <row r="637" spans="52:55">
      <c r="AZ637" s="185">
        <v>44130</v>
      </c>
      <c r="BA637" s="186">
        <v>4.93</v>
      </c>
      <c r="BB637" s="186">
        <v>1239800</v>
      </c>
      <c r="BC637" s="186">
        <v>1118653</v>
      </c>
    </row>
    <row r="638" spans="52:55">
      <c r="AZ638" s="185">
        <v>44127</v>
      </c>
      <c r="BA638" s="186">
        <v>4.9800000000000004</v>
      </c>
      <c r="BB638" s="186">
        <v>250600</v>
      </c>
      <c r="BC638" s="186">
        <v>1113633</v>
      </c>
    </row>
    <row r="639" spans="52:55">
      <c r="AZ639" s="185">
        <v>44126</v>
      </c>
      <c r="BA639" s="186">
        <v>4.99</v>
      </c>
      <c r="BB639" s="186">
        <v>975700</v>
      </c>
      <c r="BC639" s="186">
        <v>1157647</v>
      </c>
    </row>
    <row r="640" spans="52:55">
      <c r="AZ640" s="185">
        <v>44125</v>
      </c>
      <c r="BA640" s="186">
        <v>4.92</v>
      </c>
      <c r="BB640" s="186">
        <v>900300</v>
      </c>
      <c r="BC640" s="186">
        <v>1116513</v>
      </c>
    </row>
    <row r="641" spans="52:55">
      <c r="AZ641" s="185">
        <v>44124</v>
      </c>
      <c r="BA641" s="186">
        <v>4.91</v>
      </c>
      <c r="BB641" s="186">
        <v>676800</v>
      </c>
      <c r="BC641" s="186">
        <v>1179073</v>
      </c>
    </row>
    <row r="642" spans="52:55">
      <c r="AZ642" s="185">
        <v>44123</v>
      </c>
      <c r="BA642" s="186">
        <v>4.96</v>
      </c>
      <c r="BB642" s="186">
        <v>1027100</v>
      </c>
      <c r="BC642" s="186">
        <v>1347873</v>
      </c>
    </row>
    <row r="643" spans="52:55">
      <c r="AZ643" s="185">
        <v>44120</v>
      </c>
      <c r="BA643" s="186">
        <v>4.92</v>
      </c>
      <c r="BB643" s="186">
        <v>1067900</v>
      </c>
      <c r="BC643" s="186">
        <v>1360920</v>
      </c>
    </row>
    <row r="644" spans="52:55">
      <c r="AZ644" s="185">
        <v>44119</v>
      </c>
      <c r="BA644" s="186">
        <v>5.0199999999999996</v>
      </c>
      <c r="BB644" s="186">
        <v>1111900</v>
      </c>
      <c r="BC644" s="186">
        <v>1383920</v>
      </c>
    </row>
    <row r="645" spans="52:55">
      <c r="AZ645" s="185">
        <v>44118</v>
      </c>
      <c r="BA645" s="186">
        <v>5.03</v>
      </c>
      <c r="BB645" s="186">
        <v>1691900</v>
      </c>
      <c r="BC645" s="186">
        <v>1419527</v>
      </c>
    </row>
    <row r="646" spans="52:55">
      <c r="AZ646" s="185">
        <v>44117</v>
      </c>
      <c r="BA646" s="186">
        <v>5.12</v>
      </c>
      <c r="BB646" s="186">
        <v>826100</v>
      </c>
      <c r="BC646" s="186">
        <v>1367427</v>
      </c>
    </row>
    <row r="647" spans="52:55">
      <c r="AZ647" s="185">
        <v>44116</v>
      </c>
      <c r="BA647" s="186">
        <v>5.03</v>
      </c>
      <c r="BB647" s="186">
        <v>701000</v>
      </c>
      <c r="BC647" s="186">
        <v>1374427</v>
      </c>
    </row>
    <row r="648" spans="52:55">
      <c r="AZ648" s="185">
        <v>44113</v>
      </c>
      <c r="BA648" s="186">
        <v>5.05</v>
      </c>
      <c r="BB648" s="186">
        <v>1580400</v>
      </c>
      <c r="BC648" s="186">
        <v>1433413</v>
      </c>
    </row>
    <row r="649" spans="52:55">
      <c r="AZ649" s="185">
        <v>44112</v>
      </c>
      <c r="BA649" s="186">
        <v>5.09</v>
      </c>
      <c r="BB649" s="186">
        <v>1337100</v>
      </c>
      <c r="BC649" s="186">
        <v>1536300</v>
      </c>
    </row>
    <row r="650" spans="52:55">
      <c r="AZ650" s="185">
        <v>44111</v>
      </c>
      <c r="BA650" s="186">
        <v>5.03</v>
      </c>
      <c r="BB650" s="186">
        <v>2344600</v>
      </c>
      <c r="BC650" s="186">
        <v>1536567</v>
      </c>
    </row>
    <row r="651" spans="52:55">
      <c r="AZ651" s="185">
        <v>44110</v>
      </c>
      <c r="BA651" s="186">
        <v>5.04</v>
      </c>
      <c r="BB651" s="186">
        <v>1048600</v>
      </c>
      <c r="BC651" s="186">
        <v>1442987</v>
      </c>
    </row>
    <row r="652" spans="52:55">
      <c r="AZ652" s="185">
        <v>44109</v>
      </c>
      <c r="BA652" s="186">
        <v>4.9000000000000004</v>
      </c>
      <c r="BB652" s="186">
        <v>1164500</v>
      </c>
      <c r="BC652" s="186">
        <v>1414313</v>
      </c>
    </row>
    <row r="653" spans="52:55">
      <c r="AZ653" s="185">
        <v>44106</v>
      </c>
      <c r="BA653" s="186">
        <v>4.92</v>
      </c>
      <c r="BB653" s="186">
        <v>910800</v>
      </c>
      <c r="BC653" s="186">
        <v>1461300</v>
      </c>
    </row>
    <row r="654" spans="52:55">
      <c r="AZ654" s="185">
        <v>44105</v>
      </c>
      <c r="BA654" s="186">
        <v>5.03</v>
      </c>
      <c r="BB654" s="186">
        <v>358700</v>
      </c>
      <c r="BC654" s="186">
        <v>1590320</v>
      </c>
    </row>
    <row r="655" spans="52:55">
      <c r="AZ655" s="185">
        <v>44104</v>
      </c>
      <c r="BA655" s="186">
        <v>5.08</v>
      </c>
      <c r="BB655" s="186">
        <v>1838700</v>
      </c>
      <c r="BC655" s="186">
        <v>1626580</v>
      </c>
    </row>
    <row r="656" spans="52:55">
      <c r="AZ656" s="185">
        <v>44103</v>
      </c>
      <c r="BA656" s="186">
        <v>4.95</v>
      </c>
      <c r="BB656" s="186">
        <v>3208800</v>
      </c>
      <c r="BC656" s="186">
        <v>1580020</v>
      </c>
    </row>
    <row r="657" spans="52:55">
      <c r="AZ657" s="185">
        <v>44102</v>
      </c>
      <c r="BA657" s="186">
        <v>4.97</v>
      </c>
      <c r="BB657" s="186">
        <v>1222800</v>
      </c>
      <c r="BC657" s="186">
        <v>1390873</v>
      </c>
    </row>
    <row r="658" spans="52:55">
      <c r="AZ658" s="185">
        <v>44099</v>
      </c>
      <c r="BA658" s="186">
        <v>4.97</v>
      </c>
      <c r="BB658" s="186">
        <v>1412900</v>
      </c>
      <c r="BC658" s="186">
        <v>1394060</v>
      </c>
    </row>
    <row r="659" spans="52:55">
      <c r="AZ659" s="185">
        <v>44098</v>
      </c>
      <c r="BA659" s="186">
        <v>4.96</v>
      </c>
      <c r="BB659" s="186">
        <v>1646000</v>
      </c>
      <c r="BC659" s="186">
        <v>1483287</v>
      </c>
    </row>
    <row r="660" spans="52:55">
      <c r="AZ660" s="185">
        <v>44097</v>
      </c>
      <c r="BA660" s="186">
        <v>5.05</v>
      </c>
      <c r="BB660" s="186">
        <v>910400</v>
      </c>
      <c r="BC660" s="186">
        <v>1478867</v>
      </c>
    </row>
    <row r="661" spans="52:55">
      <c r="AZ661" s="185">
        <v>44096</v>
      </c>
      <c r="BA661" s="186">
        <v>5.04</v>
      </c>
      <c r="BB661" s="186">
        <v>931100</v>
      </c>
      <c r="BC661" s="186">
        <v>1659933</v>
      </c>
    </row>
    <row r="662" spans="52:55">
      <c r="AZ662" s="185">
        <v>44095</v>
      </c>
      <c r="BA662" s="186">
        <v>5.0199999999999996</v>
      </c>
      <c r="BB662" s="186">
        <v>1585800</v>
      </c>
      <c r="BC662" s="186">
        <v>2207793</v>
      </c>
    </row>
    <row r="663" spans="52:55">
      <c r="AZ663" s="185">
        <v>44092</v>
      </c>
      <c r="BA663" s="186">
        <v>5.14</v>
      </c>
      <c r="BB663" s="186">
        <v>3123700</v>
      </c>
      <c r="BC663" s="186">
        <v>2225587</v>
      </c>
    </row>
    <row r="664" spans="52:55">
      <c r="AZ664" s="185">
        <v>44091</v>
      </c>
      <c r="BA664" s="186">
        <v>5.05</v>
      </c>
      <c r="BB664" s="186">
        <v>1341100</v>
      </c>
      <c r="BC664" s="186">
        <v>2164373</v>
      </c>
    </row>
    <row r="665" spans="52:55">
      <c r="AZ665" s="185">
        <v>44089</v>
      </c>
      <c r="BA665" s="186">
        <v>5.13</v>
      </c>
      <c r="BB665" s="186">
        <v>940900</v>
      </c>
      <c r="BC665" s="186">
        <v>2175880</v>
      </c>
    </row>
    <row r="666" spans="52:55">
      <c r="AZ666" s="185">
        <v>44088</v>
      </c>
      <c r="BA666" s="186">
        <v>5.07</v>
      </c>
      <c r="BB666" s="186">
        <v>618500</v>
      </c>
      <c r="BC666" s="186">
        <v>2186313</v>
      </c>
    </row>
    <row r="667" spans="52:55">
      <c r="AZ667" s="185">
        <v>44085</v>
      </c>
      <c r="BA667" s="186">
        <v>5.08</v>
      </c>
      <c r="BB667" s="186">
        <v>1869300</v>
      </c>
      <c r="BC667" s="186">
        <v>2254760</v>
      </c>
    </row>
    <row r="668" spans="52:55">
      <c r="AZ668" s="185">
        <v>44084</v>
      </c>
      <c r="BA668" s="186">
        <v>5.12</v>
      </c>
      <c r="BB668" s="186">
        <v>2846100</v>
      </c>
      <c r="BC668" s="186">
        <v>2266907</v>
      </c>
    </row>
    <row r="669" spans="52:55">
      <c r="AZ669" s="185">
        <v>44083</v>
      </c>
      <c r="BA669" s="186">
        <v>5.04</v>
      </c>
      <c r="BB669" s="186">
        <v>902600</v>
      </c>
      <c r="BC669" s="186">
        <v>2259007</v>
      </c>
    </row>
    <row r="670" spans="52:55">
      <c r="AZ670" s="185">
        <v>44082</v>
      </c>
      <c r="BA670" s="186">
        <v>5.16</v>
      </c>
      <c r="BB670" s="186">
        <v>1140300</v>
      </c>
      <c r="BC670" s="186">
        <v>2298700</v>
      </c>
    </row>
    <row r="671" spans="52:55">
      <c r="AZ671" s="185">
        <v>44081</v>
      </c>
      <c r="BA671" s="186">
        <v>5.0999999999999996</v>
      </c>
      <c r="BB671" s="186">
        <v>371600</v>
      </c>
      <c r="BC671" s="186">
        <v>2389260</v>
      </c>
    </row>
    <row r="672" spans="52:55">
      <c r="AZ672" s="185">
        <v>44078</v>
      </c>
      <c r="BA672" s="186">
        <v>5.05</v>
      </c>
      <c r="BB672" s="186">
        <v>1270600</v>
      </c>
      <c r="BC672" s="186">
        <v>2418100</v>
      </c>
    </row>
    <row r="673" spans="52:55">
      <c r="AZ673" s="185">
        <v>44077</v>
      </c>
      <c r="BA673" s="186">
        <v>5.04</v>
      </c>
      <c r="BB673" s="186">
        <v>2751300</v>
      </c>
      <c r="BC673" s="186">
        <v>2363613</v>
      </c>
    </row>
    <row r="674" spans="52:55">
      <c r="AZ674" s="185">
        <v>44076</v>
      </c>
      <c r="BA674" s="186">
        <v>5.0999999999999996</v>
      </c>
      <c r="BB674" s="186">
        <v>1579700</v>
      </c>
      <c r="BC674" s="186">
        <v>2277253</v>
      </c>
    </row>
    <row r="675" spans="52:55">
      <c r="AZ675" s="185">
        <v>44075</v>
      </c>
      <c r="BA675" s="186">
        <v>5.0599999999999996</v>
      </c>
      <c r="BB675" s="186">
        <v>3626400</v>
      </c>
      <c r="BC675" s="186">
        <v>2204287</v>
      </c>
    </row>
    <row r="676" spans="52:55">
      <c r="AZ676" s="185">
        <v>44071</v>
      </c>
      <c r="BA676" s="186">
        <v>5</v>
      </c>
      <c r="BB676" s="186">
        <v>9149000</v>
      </c>
      <c r="BC676" s="186">
        <v>2047680</v>
      </c>
    </row>
    <row r="677" spans="52:55">
      <c r="AZ677" s="185">
        <v>44070</v>
      </c>
      <c r="BA677" s="186">
        <v>5.0599999999999996</v>
      </c>
      <c r="BB677" s="186">
        <v>1852700</v>
      </c>
      <c r="BC677" s="186">
        <v>1504027</v>
      </c>
    </row>
    <row r="678" spans="52:55">
      <c r="AZ678" s="185">
        <v>44069</v>
      </c>
      <c r="BA678" s="186">
        <v>5.08</v>
      </c>
      <c r="BB678" s="186">
        <v>2205500</v>
      </c>
      <c r="BC678" s="186">
        <v>1465400</v>
      </c>
    </row>
    <row r="679" spans="52:55">
      <c r="AZ679" s="185">
        <v>44068</v>
      </c>
      <c r="BA679" s="186">
        <v>5.09</v>
      </c>
      <c r="BB679" s="186">
        <v>1513700</v>
      </c>
      <c r="BC679" s="186">
        <v>1451560</v>
      </c>
    </row>
    <row r="680" spans="52:55">
      <c r="AZ680" s="185">
        <v>44067</v>
      </c>
      <c r="BA680" s="186">
        <v>5.03</v>
      </c>
      <c r="BB680" s="186">
        <v>1097400</v>
      </c>
      <c r="BC680" s="186">
        <v>1477380</v>
      </c>
    </row>
    <row r="681" spans="52:55">
      <c r="AZ681" s="185">
        <v>44064</v>
      </c>
      <c r="BA681" s="186">
        <v>5</v>
      </c>
      <c r="BB681" s="186">
        <v>1645200</v>
      </c>
      <c r="BC681" s="186">
        <v>1563493</v>
      </c>
    </row>
    <row r="682" spans="52:55">
      <c r="AZ682" s="185">
        <v>44062</v>
      </c>
      <c r="BA682" s="186">
        <v>4.9800000000000004</v>
      </c>
      <c r="BB682" s="186">
        <v>2051500</v>
      </c>
      <c r="BC682" s="186">
        <v>1637587</v>
      </c>
    </row>
    <row r="683" spans="52:55">
      <c r="AZ683" s="185">
        <v>44061</v>
      </c>
      <c r="BA683" s="186">
        <v>5.01</v>
      </c>
      <c r="BB683" s="186">
        <v>2727600</v>
      </c>
      <c r="BC683" s="186">
        <v>1592433</v>
      </c>
    </row>
    <row r="684" spans="52:55">
      <c r="AZ684" s="185">
        <v>44060</v>
      </c>
      <c r="BA684" s="186">
        <v>5.0999999999999996</v>
      </c>
      <c r="BB684" s="186">
        <v>1498000</v>
      </c>
      <c r="BC684" s="186">
        <v>1458760</v>
      </c>
    </row>
    <row r="685" spans="52:55">
      <c r="AZ685" s="185">
        <v>44057</v>
      </c>
      <c r="BA685" s="186">
        <v>5.12</v>
      </c>
      <c r="BB685" s="186">
        <v>2498700</v>
      </c>
      <c r="BC685" s="186">
        <v>1423513</v>
      </c>
    </row>
    <row r="686" spans="52:55">
      <c r="AZ686" s="185">
        <v>44056</v>
      </c>
      <c r="BA686" s="186">
        <v>5.14</v>
      </c>
      <c r="BB686" s="186">
        <v>804200</v>
      </c>
      <c r="BC686" s="186">
        <v>1314507</v>
      </c>
    </row>
    <row r="687" spans="52:55">
      <c r="AZ687" s="185">
        <v>44055</v>
      </c>
      <c r="BA687" s="186">
        <v>5.12</v>
      </c>
      <c r="BB687" s="186">
        <v>453300</v>
      </c>
      <c r="BC687" s="186">
        <v>1361760</v>
      </c>
    </row>
    <row r="688" spans="52:55">
      <c r="AZ688" s="185">
        <v>44054</v>
      </c>
      <c r="BA688" s="186">
        <v>5.09</v>
      </c>
      <c r="BB688" s="186">
        <v>1455900</v>
      </c>
      <c r="BC688" s="186">
        <v>1417000</v>
      </c>
    </row>
    <row r="689" spans="52:55">
      <c r="AZ689" s="185">
        <v>44053</v>
      </c>
      <c r="BA689" s="186">
        <v>5.18</v>
      </c>
      <c r="BB689" s="186">
        <v>485200</v>
      </c>
      <c r="BC689" s="186">
        <v>1408273</v>
      </c>
    </row>
    <row r="690" spans="52:55">
      <c r="AZ690" s="185">
        <v>44050</v>
      </c>
      <c r="BA690" s="186">
        <v>5.18</v>
      </c>
      <c r="BB690" s="186">
        <v>1277300</v>
      </c>
      <c r="BC690" s="186">
        <v>1702300</v>
      </c>
    </row>
    <row r="691" spans="52:55">
      <c r="AZ691" s="185">
        <v>44049</v>
      </c>
      <c r="BA691" s="186">
        <v>5.25</v>
      </c>
      <c r="BB691" s="186">
        <v>994200</v>
      </c>
      <c r="BC691" s="186">
        <v>1660973</v>
      </c>
    </row>
    <row r="692" spans="52:55">
      <c r="AZ692" s="185">
        <v>44048</v>
      </c>
      <c r="BA692" s="186">
        <v>5.15</v>
      </c>
      <c r="BB692" s="186">
        <v>1273300</v>
      </c>
      <c r="BC692" s="186">
        <v>1931233</v>
      </c>
    </row>
    <row r="693" spans="52:55">
      <c r="AZ693" s="185">
        <v>44047</v>
      </c>
      <c r="BA693" s="186">
        <v>5.13</v>
      </c>
      <c r="BB693" s="186">
        <v>1997900</v>
      </c>
      <c r="BC693" s="186">
        <v>1918940</v>
      </c>
    </row>
    <row r="694" spans="52:55">
      <c r="AZ694" s="185">
        <v>44046</v>
      </c>
      <c r="BA694" s="186">
        <v>5.21</v>
      </c>
      <c r="BB694" s="186">
        <v>1901000</v>
      </c>
      <c r="BC694" s="186">
        <v>1880953</v>
      </c>
    </row>
    <row r="695" spans="52:55">
      <c r="AZ695" s="185">
        <v>44042</v>
      </c>
      <c r="BA695" s="186">
        <v>5.3</v>
      </c>
      <c r="BB695" s="186">
        <v>2389100</v>
      </c>
      <c r="BC695" s="186">
        <v>1883467</v>
      </c>
    </row>
    <row r="696" spans="52:55">
      <c r="AZ696" s="185">
        <v>44041</v>
      </c>
      <c r="BA696" s="186">
        <v>5.33</v>
      </c>
      <c r="BB696" s="186">
        <v>2756600</v>
      </c>
      <c r="BC696" s="186">
        <v>1963893</v>
      </c>
    </row>
    <row r="697" spans="52:55">
      <c r="AZ697" s="185">
        <v>44040</v>
      </c>
      <c r="BA697" s="186">
        <v>5.27</v>
      </c>
      <c r="BB697" s="186">
        <v>1374200</v>
      </c>
      <c r="BC697" s="186">
        <v>1880653</v>
      </c>
    </row>
    <row r="698" spans="52:55">
      <c r="AZ698" s="185">
        <v>44039</v>
      </c>
      <c r="BA698" s="186">
        <v>5.19</v>
      </c>
      <c r="BB698" s="186">
        <v>722500</v>
      </c>
      <c r="BC698" s="186">
        <v>2014053</v>
      </c>
    </row>
    <row r="699" spans="52:55">
      <c r="AZ699" s="185">
        <v>44036</v>
      </c>
      <c r="BA699" s="186">
        <v>5.25</v>
      </c>
      <c r="BB699" s="186">
        <v>969300</v>
      </c>
      <c r="BC699" s="186">
        <v>2095547</v>
      </c>
    </row>
    <row r="700" spans="52:55">
      <c r="AZ700" s="185">
        <v>44035</v>
      </c>
      <c r="BA700" s="186">
        <v>5.29</v>
      </c>
      <c r="BB700" s="186">
        <v>863600</v>
      </c>
      <c r="BC700" s="186">
        <v>2086967</v>
      </c>
    </row>
    <row r="701" spans="52:55">
      <c r="AZ701" s="185">
        <v>44034</v>
      </c>
      <c r="BA701" s="186">
        <v>5.28</v>
      </c>
      <c r="BB701" s="186">
        <v>1513000</v>
      </c>
      <c r="BC701" s="186">
        <v>2270567</v>
      </c>
    </row>
    <row r="702" spans="52:55">
      <c r="AZ702" s="185">
        <v>44033</v>
      </c>
      <c r="BA702" s="186">
        <v>5.31</v>
      </c>
      <c r="BB702" s="186">
        <v>1281900</v>
      </c>
      <c r="BC702" s="186">
        <v>2274753</v>
      </c>
    </row>
    <row r="703" spans="52:55">
      <c r="AZ703" s="185">
        <v>44032</v>
      </c>
      <c r="BA703" s="186">
        <v>5.3</v>
      </c>
      <c r="BB703" s="186">
        <v>1325000</v>
      </c>
      <c r="BC703" s="186">
        <v>2321740</v>
      </c>
    </row>
    <row r="704" spans="52:55">
      <c r="AZ704" s="185">
        <v>44029</v>
      </c>
      <c r="BA704" s="186">
        <v>5.38</v>
      </c>
      <c r="BB704" s="186">
        <v>4895600</v>
      </c>
      <c r="BC704" s="186">
        <v>2394267</v>
      </c>
    </row>
    <row r="705" spans="52:55">
      <c r="AZ705" s="185">
        <v>44028</v>
      </c>
      <c r="BA705" s="186">
        <v>5.36</v>
      </c>
      <c r="BB705" s="186">
        <v>657400</v>
      </c>
      <c r="BC705" s="186">
        <v>2101847</v>
      </c>
    </row>
    <row r="706" spans="52:55">
      <c r="AZ706" s="185">
        <v>44027</v>
      </c>
      <c r="BA706" s="186">
        <v>5.35</v>
      </c>
      <c r="BB706" s="186">
        <v>5048100</v>
      </c>
      <c r="BC706" s="186">
        <v>2191013</v>
      </c>
    </row>
    <row r="707" spans="52:55">
      <c r="AZ707" s="185">
        <v>44026</v>
      </c>
      <c r="BA707" s="186">
        <v>5.35</v>
      </c>
      <c r="BB707" s="186">
        <v>1088900</v>
      </c>
      <c r="BC707" s="186">
        <v>1951507</v>
      </c>
    </row>
    <row r="708" spans="52:55">
      <c r="AZ708" s="185">
        <v>44025</v>
      </c>
      <c r="BA708" s="186">
        <v>5.35</v>
      </c>
      <c r="BB708" s="186">
        <v>1428100</v>
      </c>
      <c r="BC708" s="186">
        <v>1941500</v>
      </c>
    </row>
    <row r="709" spans="52:55">
      <c r="AZ709" s="185">
        <v>44022</v>
      </c>
      <c r="BA709" s="186">
        <v>5.32</v>
      </c>
      <c r="BB709" s="186">
        <v>1938700</v>
      </c>
      <c r="BC709" s="186">
        <v>1875880</v>
      </c>
    </row>
    <row r="710" spans="52:55">
      <c r="AZ710" s="185">
        <v>44021</v>
      </c>
      <c r="BA710" s="186">
        <v>5.28</v>
      </c>
      <c r="BB710" s="186">
        <v>3595500</v>
      </c>
      <c r="BC710" s="186">
        <v>2061367</v>
      </c>
    </row>
    <row r="711" spans="52:55">
      <c r="AZ711" s="185">
        <v>44020</v>
      </c>
      <c r="BA711" s="186">
        <v>5.29</v>
      </c>
      <c r="BB711" s="186">
        <v>1508000</v>
      </c>
      <c r="BC711" s="186">
        <v>1896360</v>
      </c>
    </row>
    <row r="712" spans="52:55">
      <c r="AZ712" s="185">
        <v>44019</v>
      </c>
      <c r="BA712" s="186">
        <v>5.17</v>
      </c>
      <c r="BB712" s="186">
        <v>3375200</v>
      </c>
      <c r="BC712" s="186">
        <v>1871187</v>
      </c>
    </row>
    <row r="713" spans="52:55">
      <c r="AZ713" s="185">
        <v>44018</v>
      </c>
      <c r="BA713" s="186">
        <v>5.31</v>
      </c>
      <c r="BB713" s="186">
        <v>1944900</v>
      </c>
      <c r="BC713" s="186">
        <v>1815747</v>
      </c>
    </row>
    <row r="714" spans="52:55">
      <c r="AZ714" s="185">
        <v>44015</v>
      </c>
      <c r="BA714" s="186">
        <v>5.29</v>
      </c>
      <c r="BB714" s="186">
        <v>840600</v>
      </c>
      <c r="BC714" s="186">
        <v>1853613</v>
      </c>
    </row>
    <row r="715" spans="52:55">
      <c r="AZ715" s="185">
        <v>44014</v>
      </c>
      <c r="BA715" s="186">
        <v>5.34</v>
      </c>
      <c r="BB715" s="186">
        <v>3617600</v>
      </c>
      <c r="BC715" s="186">
        <v>1900827</v>
      </c>
    </row>
    <row r="716" spans="52:55">
      <c r="AZ716" s="185">
        <v>44013</v>
      </c>
      <c r="BA716" s="186">
        <v>5.3</v>
      </c>
      <c r="BB716" s="186">
        <v>1575800</v>
      </c>
      <c r="BC716" s="186">
        <v>1784480</v>
      </c>
    </row>
    <row r="717" spans="52:55">
      <c r="AZ717" s="185">
        <v>44012</v>
      </c>
      <c r="BA717" s="186">
        <v>5.37</v>
      </c>
      <c r="BB717" s="186">
        <v>1986700</v>
      </c>
      <c r="BC717" s="186">
        <v>1949060</v>
      </c>
    </row>
    <row r="718" spans="52:55">
      <c r="AZ718" s="185">
        <v>44011</v>
      </c>
      <c r="BA718" s="186">
        <v>5.32</v>
      </c>
      <c r="BB718" s="186">
        <v>2412900</v>
      </c>
      <c r="BC718" s="186">
        <v>2146553</v>
      </c>
    </row>
    <row r="719" spans="52:55">
      <c r="AZ719" s="185">
        <v>44008</v>
      </c>
      <c r="BA719" s="186">
        <v>5.34</v>
      </c>
      <c r="BB719" s="186">
        <v>509300</v>
      </c>
      <c r="BC719" s="186">
        <v>2154620</v>
      </c>
    </row>
    <row r="720" spans="52:55">
      <c r="AZ720" s="185">
        <v>44007</v>
      </c>
      <c r="BA720" s="186">
        <v>5.3</v>
      </c>
      <c r="BB720" s="186">
        <v>1994900</v>
      </c>
      <c r="BC720" s="186">
        <v>2406533</v>
      </c>
    </row>
    <row r="721" spans="52:55">
      <c r="AZ721" s="185">
        <v>44006</v>
      </c>
      <c r="BA721" s="186">
        <v>5.33</v>
      </c>
      <c r="BB721" s="186">
        <v>1455500</v>
      </c>
      <c r="BC721" s="186">
        <v>2551827</v>
      </c>
    </row>
    <row r="722" spans="52:55">
      <c r="AZ722" s="185">
        <v>44005</v>
      </c>
      <c r="BA722" s="186">
        <v>5.4</v>
      </c>
      <c r="BB722" s="186">
        <v>938800</v>
      </c>
      <c r="BC722" s="186">
        <v>2695400</v>
      </c>
    </row>
    <row r="723" spans="52:55">
      <c r="AZ723" s="185">
        <v>44004</v>
      </c>
      <c r="BA723" s="186">
        <v>5.39</v>
      </c>
      <c r="BB723" s="186">
        <v>443800</v>
      </c>
      <c r="BC723" s="186">
        <v>2816440</v>
      </c>
    </row>
    <row r="724" spans="52:55">
      <c r="AZ724" s="185">
        <v>44001</v>
      </c>
      <c r="BA724" s="186">
        <v>5.45</v>
      </c>
      <c r="BB724" s="186">
        <v>4721000</v>
      </c>
      <c r="BC724" s="186">
        <v>3483353</v>
      </c>
    </row>
    <row r="725" spans="52:55">
      <c r="AZ725" s="185">
        <v>44000</v>
      </c>
      <c r="BA725" s="186">
        <v>5.33</v>
      </c>
      <c r="BB725" s="186">
        <v>1120400</v>
      </c>
      <c r="BC725" s="186">
        <v>3324727</v>
      </c>
    </row>
    <row r="726" spans="52:55">
      <c r="AZ726" s="185">
        <v>43999</v>
      </c>
      <c r="BA726" s="186">
        <v>5.45</v>
      </c>
      <c r="BB726" s="186">
        <v>1130400</v>
      </c>
      <c r="BC726" s="186">
        <v>3434500</v>
      </c>
    </row>
    <row r="727" spans="52:55">
      <c r="AZ727" s="185">
        <v>43998</v>
      </c>
      <c r="BA727" s="186">
        <v>5.31</v>
      </c>
      <c r="BB727" s="186">
        <v>2543600</v>
      </c>
      <c r="BC727" s="186">
        <v>3653580</v>
      </c>
    </row>
    <row r="728" spans="52:55">
      <c r="AZ728" s="185">
        <v>43997</v>
      </c>
      <c r="BA728" s="186">
        <v>5.27</v>
      </c>
      <c r="BB728" s="186">
        <v>2512900</v>
      </c>
      <c r="BC728" s="186">
        <v>3616600</v>
      </c>
    </row>
    <row r="729" spans="52:55">
      <c r="AZ729" s="185">
        <v>43994</v>
      </c>
      <c r="BA729" s="186">
        <v>5.34</v>
      </c>
      <c r="BB729" s="186">
        <v>1548800</v>
      </c>
      <c r="BC729" s="186">
        <v>3512960</v>
      </c>
    </row>
    <row r="730" spans="52:55">
      <c r="AZ730" s="185">
        <v>43993</v>
      </c>
      <c r="BA730" s="186">
        <v>5.37</v>
      </c>
      <c r="BB730" s="186">
        <v>1872400</v>
      </c>
      <c r="BC730" s="186">
        <v>3499493</v>
      </c>
    </row>
    <row r="731" spans="52:55">
      <c r="AZ731" s="185">
        <v>43992</v>
      </c>
      <c r="BA731" s="186">
        <v>5.4</v>
      </c>
      <c r="BB731" s="186">
        <v>4044500</v>
      </c>
      <c r="BC731" s="186">
        <v>3563333</v>
      </c>
    </row>
    <row r="732" spans="52:55">
      <c r="AZ732" s="185">
        <v>43991</v>
      </c>
      <c r="BA732" s="186">
        <v>5.32</v>
      </c>
      <c r="BB732" s="186">
        <v>4949100</v>
      </c>
      <c r="BC732" s="186">
        <v>3348280</v>
      </c>
    </row>
    <row r="733" spans="52:55">
      <c r="AZ733" s="185">
        <v>43987</v>
      </c>
      <c r="BA733" s="186">
        <v>5.29</v>
      </c>
      <c r="BB733" s="186">
        <v>2533900</v>
      </c>
      <c r="BC733" s="186">
        <v>3157060</v>
      </c>
    </row>
    <row r="734" spans="52:55">
      <c r="AZ734" s="185">
        <v>43986</v>
      </c>
      <c r="BA734" s="186">
        <v>5.37</v>
      </c>
      <c r="BB734" s="186">
        <v>4288000</v>
      </c>
      <c r="BC734" s="186">
        <v>3056780</v>
      </c>
    </row>
    <row r="735" spans="52:55">
      <c r="AZ735" s="185">
        <v>43985</v>
      </c>
      <c r="BA735" s="186">
        <v>5.44</v>
      </c>
      <c r="BB735" s="186">
        <v>4174300</v>
      </c>
      <c r="BC735" s="186">
        <v>2934860</v>
      </c>
    </row>
    <row r="736" spans="52:55">
      <c r="AZ736" s="185">
        <v>43984</v>
      </c>
      <c r="BA736" s="186">
        <v>5.55</v>
      </c>
      <c r="BB736" s="186">
        <v>3609100</v>
      </c>
      <c r="BC736" s="186">
        <v>2800980</v>
      </c>
    </row>
    <row r="737" spans="52:55">
      <c r="AZ737" s="185">
        <v>43983</v>
      </c>
      <c r="BA737" s="186">
        <v>5.35</v>
      </c>
      <c r="BB737" s="186">
        <v>2754400</v>
      </c>
      <c r="BC737" s="186">
        <v>2684133</v>
      </c>
    </row>
    <row r="738" spans="52:55">
      <c r="AZ738" s="185">
        <v>43980</v>
      </c>
      <c r="BA738" s="186">
        <v>5.28</v>
      </c>
      <c r="BB738" s="186">
        <v>10447500</v>
      </c>
      <c r="BC738" s="186">
        <v>2568540</v>
      </c>
    </row>
    <row r="739" spans="52:55">
      <c r="AZ739" s="185">
        <v>43979</v>
      </c>
      <c r="BA739" s="186">
        <v>5.39</v>
      </c>
      <c r="BB739" s="186">
        <v>2341600</v>
      </c>
      <c r="BC739" s="186">
        <v>2007840</v>
      </c>
    </row>
    <row r="740" spans="52:55">
      <c r="AZ740" s="185">
        <v>43978</v>
      </c>
      <c r="BA740" s="186">
        <v>5.35</v>
      </c>
      <c r="BB740" s="186">
        <v>2767000</v>
      </c>
      <c r="BC740" s="186">
        <v>2056820</v>
      </c>
    </row>
    <row r="741" spans="52:55">
      <c r="AZ741" s="185">
        <v>43973</v>
      </c>
      <c r="BA741" s="186">
        <v>5.45</v>
      </c>
      <c r="BB741" s="186">
        <v>4416600</v>
      </c>
      <c r="BC741" s="186">
        <v>1959253</v>
      </c>
    </row>
    <row r="742" spans="52:55">
      <c r="AZ742" s="185">
        <v>43972</v>
      </c>
      <c r="BA742" s="186">
        <v>5.3</v>
      </c>
      <c r="BB742" s="186">
        <v>1988900</v>
      </c>
      <c r="BC742" s="186">
        <v>1773253</v>
      </c>
    </row>
    <row r="743" spans="52:55">
      <c r="AZ743" s="185">
        <v>43971</v>
      </c>
      <c r="BA743" s="186">
        <v>5.3</v>
      </c>
      <c r="BB743" s="186">
        <v>958300</v>
      </c>
      <c r="BC743" s="186">
        <v>1704953</v>
      </c>
    </row>
    <row r="744" spans="52:55">
      <c r="AZ744" s="185">
        <v>43970</v>
      </c>
      <c r="BA744" s="186">
        <v>5.3</v>
      </c>
      <c r="BB744" s="186">
        <v>1346800</v>
      </c>
      <c r="BC744" s="186">
        <v>1773627</v>
      </c>
    </row>
    <row r="745" spans="52:55">
      <c r="AZ745" s="185">
        <v>43969</v>
      </c>
      <c r="BA745" s="186">
        <v>5.3</v>
      </c>
      <c r="BB745" s="186">
        <v>2830000</v>
      </c>
      <c r="BC745" s="186">
        <v>1842593</v>
      </c>
    </row>
    <row r="746" spans="52:55">
      <c r="AZ746" s="185">
        <v>43966</v>
      </c>
      <c r="BA746" s="186">
        <v>5.34</v>
      </c>
      <c r="BB746" s="186">
        <v>818700</v>
      </c>
      <c r="BC746" s="186">
        <v>1781907</v>
      </c>
    </row>
    <row r="747" spans="52:55">
      <c r="AZ747" s="185">
        <v>43965</v>
      </c>
      <c r="BA747" s="186">
        <v>5.32</v>
      </c>
      <c r="BB747" s="186">
        <v>2080800</v>
      </c>
      <c r="BC747" s="186">
        <v>1837667</v>
      </c>
    </row>
    <row r="748" spans="52:55">
      <c r="AZ748" s="185">
        <v>43964</v>
      </c>
      <c r="BA748" s="186">
        <v>5.3</v>
      </c>
      <c r="BB748" s="186">
        <v>1029700</v>
      </c>
      <c r="BC748" s="186">
        <v>1792260</v>
      </c>
    </row>
    <row r="749" spans="52:55">
      <c r="AZ749" s="185">
        <v>43963</v>
      </c>
      <c r="BA749" s="186">
        <v>5.31</v>
      </c>
      <c r="BB749" s="186">
        <v>2459200</v>
      </c>
      <c r="BC749" s="186">
        <v>1823393</v>
      </c>
    </row>
    <row r="750" spans="52:55">
      <c r="AZ750" s="185">
        <v>43959</v>
      </c>
      <c r="BA750" s="186">
        <v>5.27</v>
      </c>
      <c r="BB750" s="186">
        <v>2166100</v>
      </c>
      <c r="BC750" s="186">
        <v>1930127</v>
      </c>
    </row>
    <row r="751" spans="52:55">
      <c r="AZ751" s="185">
        <v>43957</v>
      </c>
      <c r="BA751" s="186">
        <v>5.26</v>
      </c>
      <c r="BB751" s="186">
        <v>1856400</v>
      </c>
      <c r="BC751" s="186">
        <v>1966960</v>
      </c>
    </row>
    <row r="752" spans="52:55">
      <c r="AZ752" s="185">
        <v>43956</v>
      </c>
      <c r="BA752" s="186">
        <v>5.28</v>
      </c>
      <c r="BB752" s="186">
        <v>1020500</v>
      </c>
      <c r="BC752" s="186">
        <v>1897713</v>
      </c>
    </row>
    <row r="753" spans="52:55">
      <c r="AZ753" s="185">
        <v>43955</v>
      </c>
      <c r="BA753" s="186">
        <v>5.28</v>
      </c>
      <c r="BB753" s="186">
        <v>2037000</v>
      </c>
      <c r="BC753" s="186">
        <v>1946527</v>
      </c>
    </row>
    <row r="754" spans="52:55">
      <c r="AZ754" s="185">
        <v>43951</v>
      </c>
      <c r="BA754" s="186">
        <v>5.48</v>
      </c>
      <c r="BB754" s="186">
        <v>3076300</v>
      </c>
      <c r="BC754" s="186">
        <v>1869373</v>
      </c>
    </row>
    <row r="755" spans="52:55">
      <c r="AZ755" s="185">
        <v>43950</v>
      </c>
      <c r="BA755" s="186">
        <v>5.41</v>
      </c>
      <c r="BB755" s="186">
        <v>1303500</v>
      </c>
      <c r="BC755" s="186">
        <v>1772020</v>
      </c>
    </row>
    <row r="756" spans="52:55">
      <c r="AZ756" s="185">
        <v>43949</v>
      </c>
      <c r="BA756" s="186">
        <v>5.36</v>
      </c>
      <c r="BB756" s="186">
        <v>1626600</v>
      </c>
      <c r="BC756" s="186">
        <v>1793493</v>
      </c>
    </row>
    <row r="757" spans="52:55">
      <c r="AZ757" s="185">
        <v>43948</v>
      </c>
      <c r="BA757" s="186">
        <v>5.3</v>
      </c>
      <c r="BB757" s="186">
        <v>964400</v>
      </c>
      <c r="BC757" s="186">
        <v>1927567</v>
      </c>
    </row>
    <row r="758" spans="52:55">
      <c r="AZ758" s="185">
        <v>43945</v>
      </c>
      <c r="BA758" s="186">
        <v>5.31</v>
      </c>
      <c r="BB758" s="186">
        <v>1988400</v>
      </c>
      <c r="BC758" s="186">
        <v>2014147</v>
      </c>
    </row>
    <row r="759" spans="52:55">
      <c r="AZ759" s="185">
        <v>43944</v>
      </c>
      <c r="BA759" s="186">
        <v>5.35</v>
      </c>
      <c r="BB759" s="186">
        <v>2381300</v>
      </c>
      <c r="BC759" s="186">
        <v>2005080</v>
      </c>
    </row>
    <row r="760" spans="52:55">
      <c r="AZ760" s="185">
        <v>43943</v>
      </c>
      <c r="BA760" s="186">
        <v>5.38</v>
      </c>
      <c r="BB760" s="186">
        <v>1919700</v>
      </c>
      <c r="BC760" s="186">
        <v>2054967</v>
      </c>
    </row>
    <row r="761" spans="52:55">
      <c r="AZ761" s="185">
        <v>43942</v>
      </c>
      <c r="BA761" s="186">
        <v>5.39</v>
      </c>
      <c r="BB761" s="186">
        <v>1655100</v>
      </c>
      <c r="BC761" s="186">
        <v>2106280</v>
      </c>
    </row>
    <row r="762" spans="52:55">
      <c r="AZ762" s="185">
        <v>43941</v>
      </c>
      <c r="BA762" s="186">
        <v>5.32</v>
      </c>
      <c r="BB762" s="186">
        <v>1399700</v>
      </c>
      <c r="BC762" s="186">
        <v>2398253</v>
      </c>
    </row>
    <row r="763" spans="52:55">
      <c r="AZ763" s="185">
        <v>43938</v>
      </c>
      <c r="BA763" s="186">
        <v>5.46</v>
      </c>
      <c r="BB763" s="186">
        <v>1496700</v>
      </c>
      <c r="BC763" s="186">
        <v>2558280</v>
      </c>
    </row>
    <row r="764" spans="52:55">
      <c r="AZ764" s="185">
        <v>43937</v>
      </c>
      <c r="BA764" s="186">
        <v>5.46</v>
      </c>
      <c r="BB764" s="186">
        <v>4060200</v>
      </c>
      <c r="BC764" s="186">
        <v>2640227</v>
      </c>
    </row>
    <row r="765" spans="52:55">
      <c r="AZ765" s="185">
        <v>43936</v>
      </c>
      <c r="BA765" s="186">
        <v>5.3</v>
      </c>
      <c r="BB765" s="186">
        <v>2718600</v>
      </c>
      <c r="BC765" s="186">
        <v>2536453</v>
      </c>
    </row>
    <row r="766" spans="52:55">
      <c r="AZ766" s="185">
        <v>43935</v>
      </c>
      <c r="BA766" s="186">
        <v>5.24</v>
      </c>
      <c r="BB766" s="186">
        <v>817700</v>
      </c>
      <c r="BC766" s="186">
        <v>2506387</v>
      </c>
    </row>
    <row r="767" spans="52:55">
      <c r="AZ767" s="185">
        <v>43934</v>
      </c>
      <c r="BA767" s="186">
        <v>5.29</v>
      </c>
      <c r="BB767" s="186">
        <v>1752700</v>
      </c>
      <c r="BC767" s="186">
        <v>2577253</v>
      </c>
    </row>
    <row r="768" spans="52:55">
      <c r="AZ768" s="185">
        <v>43931</v>
      </c>
      <c r="BA768" s="186">
        <v>5.16</v>
      </c>
      <c r="BB768" s="186">
        <v>879700</v>
      </c>
      <c r="BC768" s="186">
        <v>2709173</v>
      </c>
    </row>
    <row r="769" spans="52:55">
      <c r="AZ769" s="185">
        <v>43930</v>
      </c>
      <c r="BA769" s="186">
        <v>5.3</v>
      </c>
      <c r="BB769" s="186">
        <v>1616000</v>
      </c>
      <c r="BC769" s="186">
        <v>3045307</v>
      </c>
    </row>
    <row r="770" spans="52:55">
      <c r="AZ770" s="185">
        <v>43929</v>
      </c>
      <c r="BA770" s="186">
        <v>5.49</v>
      </c>
      <c r="BB770" s="186">
        <v>1625600</v>
      </c>
      <c r="BC770" s="186">
        <v>3111467</v>
      </c>
    </row>
    <row r="771" spans="52:55">
      <c r="AZ771" s="185">
        <v>43928</v>
      </c>
      <c r="BA771" s="186">
        <v>5.41</v>
      </c>
      <c r="BB771" s="186">
        <v>3637700</v>
      </c>
      <c r="BC771" s="186">
        <v>3366733</v>
      </c>
    </row>
    <row r="772" spans="52:55">
      <c r="AZ772" s="185">
        <v>43927</v>
      </c>
      <c r="BA772" s="186">
        <v>5.12</v>
      </c>
      <c r="BB772" s="186">
        <v>2263100</v>
      </c>
      <c r="BC772" s="186">
        <v>3702993</v>
      </c>
    </row>
    <row r="773" spans="52:55">
      <c r="AZ773" s="185">
        <v>43924</v>
      </c>
      <c r="BA773" s="186">
        <v>5.19</v>
      </c>
      <c r="BB773" s="186">
        <v>1852400</v>
      </c>
      <c r="BC773" s="186">
        <v>3848887</v>
      </c>
    </row>
    <row r="774" spans="52:55">
      <c r="AZ774" s="185">
        <v>43923</v>
      </c>
      <c r="BA774" s="186">
        <v>5.09</v>
      </c>
      <c r="BB774" s="186">
        <v>3129600</v>
      </c>
      <c r="BC774" s="186">
        <v>4206267</v>
      </c>
    </row>
    <row r="775" spans="52:55">
      <c r="AZ775" s="185">
        <v>43922</v>
      </c>
      <c r="BA775" s="186">
        <v>5.08</v>
      </c>
      <c r="BB775" s="186">
        <v>2689400</v>
      </c>
      <c r="BC775" s="186">
        <v>4133173</v>
      </c>
    </row>
    <row r="776" spans="52:55">
      <c r="AZ776" s="185">
        <v>43921</v>
      </c>
      <c r="BA776" s="186">
        <v>5.35</v>
      </c>
      <c r="BB776" s="186">
        <v>6034700</v>
      </c>
      <c r="BC776" s="186">
        <v>4207967</v>
      </c>
    </row>
    <row r="777" spans="52:55">
      <c r="AZ777" s="185">
        <v>43920</v>
      </c>
      <c r="BA777" s="186">
        <v>5.5</v>
      </c>
      <c r="BB777" s="186">
        <v>3800100</v>
      </c>
      <c r="BC777" s="186">
        <v>4015493</v>
      </c>
    </row>
    <row r="778" spans="52:55">
      <c r="AZ778" s="185">
        <v>43917</v>
      </c>
      <c r="BA778" s="186">
        <v>5.37</v>
      </c>
      <c r="BB778" s="186">
        <v>2725900</v>
      </c>
      <c r="BC778" s="186">
        <v>3962927</v>
      </c>
    </row>
    <row r="779" spans="52:55">
      <c r="AZ779" s="185">
        <v>43916</v>
      </c>
      <c r="BA779" s="186">
        <v>5.33</v>
      </c>
      <c r="BB779" s="186">
        <v>2503600</v>
      </c>
      <c r="BC779" s="186">
        <v>3895407</v>
      </c>
    </row>
    <row r="780" spans="52:55">
      <c r="AZ780" s="185">
        <v>43915</v>
      </c>
      <c r="BA780" s="186">
        <v>5.34</v>
      </c>
      <c r="BB780" s="186">
        <v>2267600</v>
      </c>
      <c r="BC780" s="186">
        <v>3799433</v>
      </c>
    </row>
    <row r="781" spans="52:55">
      <c r="AZ781" s="185">
        <v>43914</v>
      </c>
      <c r="BA781" s="186">
        <v>5.17</v>
      </c>
      <c r="BB781" s="186">
        <v>1880700</v>
      </c>
      <c r="BC781" s="186">
        <v>3760493</v>
      </c>
    </row>
    <row r="782" spans="52:55">
      <c r="AZ782" s="185">
        <v>43913</v>
      </c>
      <c r="BA782" s="186">
        <v>5.15</v>
      </c>
      <c r="BB782" s="186">
        <v>3731500</v>
      </c>
      <c r="BC782" s="186">
        <v>3740607</v>
      </c>
    </row>
    <row r="783" spans="52:55">
      <c r="AZ783" s="185">
        <v>43910</v>
      </c>
      <c r="BA783" s="186">
        <v>5.2</v>
      </c>
      <c r="BB783" s="186">
        <v>5921700</v>
      </c>
      <c r="BC783" s="186">
        <v>3641407</v>
      </c>
    </row>
    <row r="784" spans="52:55">
      <c r="AZ784" s="185">
        <v>43909</v>
      </c>
      <c r="BA784" s="186">
        <v>4.68</v>
      </c>
      <c r="BB784" s="186">
        <v>2608400</v>
      </c>
      <c r="BC784" s="186">
        <v>3572760</v>
      </c>
    </row>
    <row r="785" spans="52:55">
      <c r="AZ785" s="185">
        <v>43908</v>
      </c>
      <c r="BA785" s="186">
        <v>4.7300000000000004</v>
      </c>
      <c r="BB785" s="186">
        <v>5454600</v>
      </c>
      <c r="BC785" s="186">
        <v>3508160</v>
      </c>
    </row>
    <row r="786" spans="52:55">
      <c r="AZ786" s="185">
        <v>43907</v>
      </c>
      <c r="BA786" s="186">
        <v>4.68</v>
      </c>
      <c r="BB786" s="186">
        <v>8681600</v>
      </c>
      <c r="BC786" s="186">
        <v>3334613</v>
      </c>
    </row>
    <row r="787" spans="52:55">
      <c r="AZ787" s="185">
        <v>43906</v>
      </c>
      <c r="BA787" s="186">
        <v>5.19</v>
      </c>
      <c r="BB787" s="186">
        <v>4451500</v>
      </c>
      <c r="BC787" s="186">
        <v>2905733</v>
      </c>
    </row>
    <row r="788" spans="52:55">
      <c r="AZ788" s="185">
        <v>43903</v>
      </c>
      <c r="BA788" s="186">
        <v>5.2</v>
      </c>
      <c r="BB788" s="186">
        <v>7213100</v>
      </c>
      <c r="BC788" s="186">
        <v>2693213</v>
      </c>
    </row>
    <row r="789" spans="52:55">
      <c r="AZ789" s="185">
        <v>43902</v>
      </c>
      <c r="BA789" s="186">
        <v>5.25</v>
      </c>
      <c r="BB789" s="186">
        <v>2033200</v>
      </c>
      <c r="BC789" s="186">
        <v>2338807</v>
      </c>
    </row>
    <row r="790" spans="52:55">
      <c r="AZ790" s="185">
        <v>43901</v>
      </c>
      <c r="BA790" s="186">
        <v>5.27</v>
      </c>
      <c r="BB790" s="186">
        <v>3811300</v>
      </c>
      <c r="BC790" s="186">
        <v>2325940</v>
      </c>
    </row>
    <row r="791" spans="52:55">
      <c r="AZ791" s="185">
        <v>43900</v>
      </c>
      <c r="BA791" s="186">
        <v>5.25</v>
      </c>
      <c r="BB791" s="186">
        <v>3147600</v>
      </c>
      <c r="BC791" s="186">
        <v>2111880</v>
      </c>
    </row>
    <row r="792" spans="52:55">
      <c r="AZ792" s="185">
        <v>43899</v>
      </c>
      <c r="BA792" s="186">
        <v>5.31</v>
      </c>
      <c r="BB792" s="186">
        <v>3011600</v>
      </c>
      <c r="BC792" s="186">
        <v>1975067</v>
      </c>
    </row>
    <row r="793" spans="52:55">
      <c r="AZ793" s="185">
        <v>43896</v>
      </c>
      <c r="BA793" s="186">
        <v>5.43</v>
      </c>
      <c r="BB793" s="186">
        <v>1713100</v>
      </c>
      <c r="BC793" s="186">
        <v>1816320</v>
      </c>
    </row>
    <row r="794" spans="52:55">
      <c r="AZ794" s="185">
        <v>43895</v>
      </c>
      <c r="BA794" s="186">
        <v>5.38</v>
      </c>
      <c r="BB794" s="186">
        <v>1064000</v>
      </c>
      <c r="BC794" s="186">
        <v>1814027</v>
      </c>
    </row>
    <row r="795" spans="52:55">
      <c r="AZ795" s="185">
        <v>43894</v>
      </c>
      <c r="BA795" s="186">
        <v>5.45</v>
      </c>
      <c r="BB795" s="186">
        <v>1683500</v>
      </c>
      <c r="BC795" s="186">
        <v>1821360</v>
      </c>
    </row>
    <row r="796" spans="52:55">
      <c r="AZ796" s="185">
        <v>43893</v>
      </c>
      <c r="BA796" s="186">
        <v>5.38</v>
      </c>
      <c r="BB796" s="186">
        <v>1582400</v>
      </c>
      <c r="BC796" s="186">
        <v>1817327</v>
      </c>
    </row>
    <row r="797" spans="52:55">
      <c r="AZ797" s="185">
        <v>43892</v>
      </c>
      <c r="BA797" s="186">
        <v>5.45</v>
      </c>
      <c r="BB797" s="186">
        <v>2243500</v>
      </c>
      <c r="BC797" s="186">
        <v>1764967</v>
      </c>
    </row>
    <row r="798" spans="52:55">
      <c r="AZ798" s="185">
        <v>43889</v>
      </c>
      <c r="BA798" s="186">
        <v>5.43</v>
      </c>
      <c r="BB798" s="186">
        <v>4892000</v>
      </c>
      <c r="BC798" s="186">
        <v>1691653</v>
      </c>
    </row>
    <row r="799" spans="52:55">
      <c r="AZ799" s="185">
        <v>43888</v>
      </c>
      <c r="BA799" s="186">
        <v>5.51</v>
      </c>
      <c r="BB799" s="186">
        <v>1639400</v>
      </c>
      <c r="BC799" s="186">
        <v>1456193</v>
      </c>
    </row>
    <row r="800" spans="52:55">
      <c r="AZ800" s="185">
        <v>43887</v>
      </c>
      <c r="BA800" s="186">
        <v>5.37</v>
      </c>
      <c r="BB800" s="186">
        <v>2851400</v>
      </c>
      <c r="BC800" s="186">
        <v>1445240</v>
      </c>
    </row>
    <row r="801" spans="52:55">
      <c r="AZ801" s="185">
        <v>43886</v>
      </c>
      <c r="BA801" s="186">
        <v>5.45</v>
      </c>
      <c r="BB801" s="186">
        <v>2248400</v>
      </c>
      <c r="BC801" s="186">
        <v>1397933</v>
      </c>
    </row>
    <row r="802" spans="52:55">
      <c r="AZ802" s="185">
        <v>43885</v>
      </c>
      <c r="BA802" s="186">
        <v>5.39</v>
      </c>
      <c r="BB802" s="186">
        <v>1263700</v>
      </c>
      <c r="BC802" s="186">
        <v>1423000</v>
      </c>
    </row>
    <row r="803" spans="52:55">
      <c r="AZ803" s="185">
        <v>43882</v>
      </c>
      <c r="BA803" s="186">
        <v>5.44</v>
      </c>
      <c r="BB803" s="186">
        <v>1897000</v>
      </c>
      <c r="BC803" s="186">
        <v>1436620</v>
      </c>
    </row>
    <row r="804" spans="52:55">
      <c r="AZ804" s="185">
        <v>43881</v>
      </c>
      <c r="BA804" s="186">
        <v>5.4</v>
      </c>
      <c r="BB804" s="186">
        <v>1840200</v>
      </c>
      <c r="BC804" s="186">
        <v>1585827</v>
      </c>
    </row>
    <row r="805" spans="52:55">
      <c r="AZ805" s="185">
        <v>43880</v>
      </c>
      <c r="BA805" s="186">
        <v>5.37</v>
      </c>
      <c r="BB805" s="186">
        <v>600400</v>
      </c>
      <c r="BC805" s="186">
        <v>1564947</v>
      </c>
    </row>
    <row r="806" spans="52:55">
      <c r="AZ806" s="185">
        <v>43879</v>
      </c>
      <c r="BA806" s="186">
        <v>5.35</v>
      </c>
      <c r="BB806" s="186">
        <v>1095400</v>
      </c>
      <c r="BC806" s="186">
        <v>1601253</v>
      </c>
    </row>
    <row r="807" spans="52:55">
      <c r="AZ807" s="185">
        <v>43878</v>
      </c>
      <c r="BA807" s="186">
        <v>5.48</v>
      </c>
      <c r="BB807" s="186">
        <v>630400</v>
      </c>
      <c r="BC807" s="186">
        <v>1561433</v>
      </c>
    </row>
    <row r="808" spans="52:55">
      <c r="AZ808" s="185">
        <v>43875</v>
      </c>
      <c r="BA808" s="186">
        <v>5.63</v>
      </c>
      <c r="BB808" s="186">
        <v>1678700</v>
      </c>
      <c r="BC808" s="186">
        <v>1521060</v>
      </c>
    </row>
    <row r="809" spans="52:55">
      <c r="AZ809" s="185">
        <v>43874</v>
      </c>
      <c r="BA809" s="186">
        <v>5.5</v>
      </c>
      <c r="BB809" s="186">
        <v>1174000</v>
      </c>
      <c r="BC809" s="186">
        <v>1451787</v>
      </c>
    </row>
    <row r="810" spans="52:55">
      <c r="AZ810" s="185">
        <v>43873</v>
      </c>
      <c r="BA810" s="186">
        <v>5.58</v>
      </c>
      <c r="BB810" s="186">
        <v>1623000</v>
      </c>
      <c r="BC810" s="186">
        <v>1475747</v>
      </c>
    </row>
    <row r="811" spans="52:55">
      <c r="AZ811" s="185">
        <v>43872</v>
      </c>
      <c r="BA811" s="186">
        <v>5.4</v>
      </c>
      <c r="BB811" s="186">
        <v>797000</v>
      </c>
      <c r="BC811" s="186">
        <v>1393980</v>
      </c>
    </row>
    <row r="812" spans="52:55">
      <c r="AZ812" s="185">
        <v>43871</v>
      </c>
      <c r="BA812" s="186">
        <v>5.41</v>
      </c>
      <c r="BB812" s="186">
        <v>1143800</v>
      </c>
      <c r="BC812" s="186">
        <v>1411987</v>
      </c>
    </row>
    <row r="813" spans="52:55">
      <c r="AZ813" s="185">
        <v>43868</v>
      </c>
      <c r="BA813" s="186">
        <v>5.45</v>
      </c>
      <c r="BB813" s="186">
        <v>1360100</v>
      </c>
      <c r="BC813" s="186">
        <v>1647947</v>
      </c>
    </row>
    <row r="814" spans="52:55">
      <c r="AZ814" s="185">
        <v>43867</v>
      </c>
      <c r="BA814" s="186">
        <v>5.4</v>
      </c>
      <c r="BB814" s="186">
        <v>1475100</v>
      </c>
      <c r="BC814" s="186">
        <v>1709520</v>
      </c>
    </row>
    <row r="815" spans="52:55">
      <c r="AZ815" s="185">
        <v>43866</v>
      </c>
      <c r="BA815" s="186">
        <v>5.44</v>
      </c>
      <c r="BB815" s="186">
        <v>2141800</v>
      </c>
      <c r="BC815" s="186">
        <v>1781967</v>
      </c>
    </row>
    <row r="816" spans="52:55">
      <c r="AZ816" s="185">
        <v>43865</v>
      </c>
      <c r="BA816" s="186">
        <v>5.44</v>
      </c>
      <c r="BB816" s="186">
        <v>2624400</v>
      </c>
      <c r="BC816" s="186">
        <v>1734413</v>
      </c>
    </row>
    <row r="817" spans="52:55">
      <c r="AZ817" s="185">
        <v>43864</v>
      </c>
      <c r="BA817" s="186">
        <v>5.36</v>
      </c>
      <c r="BB817" s="186">
        <v>1468000</v>
      </c>
      <c r="BC817" s="186">
        <v>1632253</v>
      </c>
    </row>
    <row r="818" spans="52:55">
      <c r="AZ818" s="185">
        <v>43861</v>
      </c>
      <c r="BA818" s="186">
        <v>5.31</v>
      </c>
      <c r="BB818" s="186">
        <v>4135100</v>
      </c>
      <c r="BC818" s="186">
        <v>1582213</v>
      </c>
    </row>
    <row r="819" spans="52:55">
      <c r="AZ819" s="185">
        <v>43860</v>
      </c>
      <c r="BA819" s="186">
        <v>5.5</v>
      </c>
      <c r="BB819" s="186">
        <v>1527000</v>
      </c>
      <c r="BC819" s="186">
        <v>1434160</v>
      </c>
    </row>
    <row r="820" spans="52:55">
      <c r="AZ820" s="185">
        <v>43859</v>
      </c>
      <c r="BA820" s="186">
        <v>5.49</v>
      </c>
      <c r="BB820" s="186">
        <v>1145000</v>
      </c>
      <c r="BC820" s="186">
        <v>1404853</v>
      </c>
    </row>
    <row r="821" spans="52:55">
      <c r="AZ821" s="185">
        <v>43858</v>
      </c>
      <c r="BA821" s="186">
        <v>5.46</v>
      </c>
      <c r="BB821" s="186">
        <v>498100</v>
      </c>
      <c r="BC821" s="186">
        <v>1428653</v>
      </c>
    </row>
    <row r="822" spans="52:55">
      <c r="AZ822" s="185">
        <v>43854</v>
      </c>
      <c r="BA822" s="186">
        <v>5.5</v>
      </c>
      <c r="BB822" s="186">
        <v>24800</v>
      </c>
      <c r="BC822" s="186">
        <v>1454420</v>
      </c>
    </row>
    <row r="823" spans="52:55">
      <c r="AZ823" s="185">
        <v>43853</v>
      </c>
      <c r="BA823" s="186">
        <v>5.59</v>
      </c>
      <c r="BB823" s="186">
        <v>639600</v>
      </c>
      <c r="BC823" s="186">
        <v>1551267</v>
      </c>
    </row>
    <row r="824" spans="52:55">
      <c r="AZ824" s="185">
        <v>43852</v>
      </c>
      <c r="BA824" s="186">
        <v>5.48</v>
      </c>
      <c r="BB824" s="186">
        <v>1533400</v>
      </c>
      <c r="BC824" s="186">
        <v>1554460</v>
      </c>
    </row>
    <row r="825" spans="52:55">
      <c r="AZ825" s="185">
        <v>43851</v>
      </c>
      <c r="BA825" s="186">
        <v>5.53</v>
      </c>
      <c r="BB825" s="186">
        <v>396500</v>
      </c>
      <c r="BC825" s="186">
        <v>1578327</v>
      </c>
    </row>
    <row r="826" spans="52:55">
      <c r="AZ826" s="185">
        <v>43850</v>
      </c>
      <c r="BA826" s="186">
        <v>5.6</v>
      </c>
      <c r="BB826" s="186">
        <v>1067100</v>
      </c>
      <c r="BC826" s="186">
        <v>1646620</v>
      </c>
    </row>
    <row r="827" spans="52:55">
      <c r="AZ827" s="185">
        <v>43847</v>
      </c>
      <c r="BA827" s="186">
        <v>5.7</v>
      </c>
      <c r="BB827" s="186">
        <v>4683200</v>
      </c>
      <c r="BC827" s="186">
        <v>1607127</v>
      </c>
    </row>
    <row r="828" spans="52:55">
      <c r="AZ828" s="185">
        <v>43846</v>
      </c>
      <c r="BA828" s="186">
        <v>5.6</v>
      </c>
      <c r="BB828" s="186">
        <v>2283700</v>
      </c>
      <c r="BC828" s="186">
        <v>1296233</v>
      </c>
    </row>
    <row r="829" spans="52:55">
      <c r="AZ829" s="185">
        <v>43845</v>
      </c>
      <c r="BA829" s="186">
        <v>5.62</v>
      </c>
      <c r="BB829" s="186">
        <v>2561800</v>
      </c>
      <c r="BC829" s="186">
        <v>1158027</v>
      </c>
    </row>
    <row r="830" spans="52:55">
      <c r="AZ830" s="185">
        <v>43844</v>
      </c>
      <c r="BA830" s="186">
        <v>5.5</v>
      </c>
      <c r="BB830" s="186">
        <v>1428500</v>
      </c>
      <c r="BC830" s="186">
        <v>1064967</v>
      </c>
    </row>
    <row r="831" spans="52:55">
      <c r="AZ831" s="185">
        <v>43843</v>
      </c>
      <c r="BA831" s="186">
        <v>5.47</v>
      </c>
      <c r="BB831" s="186">
        <v>1092000</v>
      </c>
      <c r="BC831" s="186">
        <v>1255600</v>
      </c>
    </row>
    <row r="832" spans="52:55">
      <c r="AZ832" s="185">
        <v>43840</v>
      </c>
      <c r="BA832" s="186">
        <v>5.5</v>
      </c>
      <c r="BB832" s="186">
        <v>717400</v>
      </c>
      <c r="BC832" s="186">
        <v>1301106</v>
      </c>
    </row>
    <row r="833" spans="52:55">
      <c r="AZ833" s="185">
        <v>43839</v>
      </c>
      <c r="BA833" s="186">
        <v>5.51</v>
      </c>
      <c r="BB833" s="186">
        <v>1914300</v>
      </c>
      <c r="BC833" s="186">
        <v>1526659</v>
      </c>
    </row>
    <row r="834" spans="52:55">
      <c r="AZ834" s="185">
        <v>43838</v>
      </c>
      <c r="BA834" s="186">
        <v>5.5</v>
      </c>
      <c r="BB834" s="186">
        <v>1087400</v>
      </c>
      <c r="BC834" s="186">
        <v>1519412</v>
      </c>
    </row>
    <row r="835" spans="52:55">
      <c r="AZ835" s="185">
        <v>43837</v>
      </c>
      <c r="BA835" s="186">
        <v>5.45</v>
      </c>
      <c r="BB835" s="186">
        <v>1502000</v>
      </c>
      <c r="BC835" s="186">
        <v>1531572</v>
      </c>
    </row>
    <row r="836" spans="52:55">
      <c r="AZ836" s="185">
        <v>43836</v>
      </c>
      <c r="BA836" s="186">
        <v>5.33</v>
      </c>
      <c r="BB836" s="186">
        <v>884600</v>
      </c>
      <c r="BC836" s="186">
        <v>1516032</v>
      </c>
    </row>
    <row r="837" spans="52:55">
      <c r="AZ837" s="185">
        <v>43833</v>
      </c>
      <c r="BA837" s="186">
        <v>5.52</v>
      </c>
      <c r="BB837" s="186">
        <v>1477500</v>
      </c>
      <c r="BC837" s="186">
        <v>1527699</v>
      </c>
    </row>
    <row r="838" spans="52:55">
      <c r="AZ838" s="185">
        <v>43832</v>
      </c>
      <c r="BA838" s="186">
        <v>5.39</v>
      </c>
      <c r="BB838" s="186">
        <v>687500</v>
      </c>
      <c r="BC838" s="186">
        <v>1469379</v>
      </c>
    </row>
    <row r="839" spans="52:55">
      <c r="AZ839" s="185">
        <v>43830</v>
      </c>
      <c r="BA839" s="186">
        <v>5.32</v>
      </c>
      <c r="BB839" s="186">
        <v>1891400</v>
      </c>
      <c r="BC839" s="186">
        <v>1468999</v>
      </c>
    </row>
    <row r="840" spans="52:55">
      <c r="AZ840" s="185">
        <v>43829</v>
      </c>
      <c r="BA840" s="186">
        <v>5.38</v>
      </c>
      <c r="BB840" s="186">
        <v>1420900</v>
      </c>
      <c r="BC840" s="186">
        <v>1408626</v>
      </c>
    </row>
    <row r="841" spans="52:55">
      <c r="AZ841" s="185">
        <v>43826</v>
      </c>
      <c r="BA841" s="186">
        <v>5.45</v>
      </c>
      <c r="BB841" s="186">
        <v>474700</v>
      </c>
      <c r="BC841" s="186">
        <v>1375452</v>
      </c>
    </row>
    <row r="842" spans="52:55">
      <c r="AZ842" s="185">
        <v>43825</v>
      </c>
      <c r="BA842" s="186">
        <v>5.38</v>
      </c>
      <c r="BB842" s="186">
        <v>19800</v>
      </c>
      <c r="BC842" s="186">
        <v>1383846</v>
      </c>
    </row>
    <row r="843" spans="52:55">
      <c r="AZ843" s="185">
        <v>43823</v>
      </c>
      <c r="BA843" s="186">
        <v>5.39</v>
      </c>
      <c r="BB843" s="186">
        <v>210600</v>
      </c>
      <c r="BC843" s="186">
        <v>1586032</v>
      </c>
    </row>
    <row r="844" spans="52:55">
      <c r="AZ844" s="185">
        <v>43822</v>
      </c>
      <c r="BA844" s="186">
        <v>5.43</v>
      </c>
      <c r="BB844" s="186">
        <v>1165900</v>
      </c>
      <c r="BC844" s="186">
        <v>1652239</v>
      </c>
    </row>
    <row r="845" spans="52:55">
      <c r="AZ845" s="185">
        <v>43819</v>
      </c>
      <c r="BA845" s="186">
        <v>5.45</v>
      </c>
      <c r="BB845" s="186">
        <v>4288000</v>
      </c>
      <c r="BC845" s="186">
        <v>1624746</v>
      </c>
    </row>
    <row r="846" spans="52:55">
      <c r="AZ846" s="185">
        <v>43818</v>
      </c>
      <c r="BA846" s="186">
        <v>5.41</v>
      </c>
      <c r="BB846" s="186">
        <v>1774585</v>
      </c>
      <c r="BC846" s="186">
        <v>1538806</v>
      </c>
    </row>
    <row r="847" spans="52:55">
      <c r="AZ847" s="185">
        <v>43817</v>
      </c>
      <c r="BA847" s="186">
        <v>5.38</v>
      </c>
      <c r="BB847" s="186">
        <v>4100700</v>
      </c>
      <c r="BC847" s="186">
        <v>1473847</v>
      </c>
    </row>
    <row r="848" spans="52:55">
      <c r="AZ848" s="185">
        <v>43816</v>
      </c>
      <c r="BA848" s="186">
        <v>5.21</v>
      </c>
      <c r="BB848" s="186">
        <v>1805600</v>
      </c>
      <c r="BC848" s="186">
        <v>1315520</v>
      </c>
    </row>
    <row r="849" spans="52:55">
      <c r="AZ849" s="185">
        <v>43815</v>
      </c>
      <c r="BA849" s="186">
        <v>5.08</v>
      </c>
      <c r="BB849" s="186">
        <v>1269800</v>
      </c>
      <c r="BC849" s="186">
        <v>1651060</v>
      </c>
    </row>
    <row r="850" spans="52:55">
      <c r="AZ850" s="185">
        <v>43812</v>
      </c>
      <c r="BA850" s="186">
        <v>5.1100000000000003</v>
      </c>
      <c r="BB850" s="186">
        <v>1268900</v>
      </c>
      <c r="BC850" s="186">
        <v>1715273</v>
      </c>
    </row>
    <row r="851" spans="52:55">
      <c r="AZ851" s="185">
        <v>43811</v>
      </c>
      <c r="BA851" s="186">
        <v>5.16</v>
      </c>
      <c r="BB851" s="186">
        <v>1059600</v>
      </c>
      <c r="BC851" s="186">
        <v>1762453</v>
      </c>
    </row>
    <row r="852" spans="52:55">
      <c r="AZ852" s="185">
        <v>43810</v>
      </c>
      <c r="BA852" s="186">
        <v>5.1100000000000003</v>
      </c>
      <c r="BB852" s="186">
        <v>602700</v>
      </c>
      <c r="BC852" s="186">
        <v>1839500</v>
      </c>
    </row>
    <row r="853" spans="52:55">
      <c r="AZ853" s="185">
        <v>43809</v>
      </c>
      <c r="BA853" s="186">
        <v>5.1100000000000003</v>
      </c>
      <c r="BB853" s="186">
        <v>681800</v>
      </c>
      <c r="BC853" s="186">
        <v>1931133</v>
      </c>
    </row>
    <row r="854" spans="52:55">
      <c r="AZ854" s="185">
        <v>43808</v>
      </c>
      <c r="BA854" s="186">
        <v>5.13</v>
      </c>
      <c r="BB854" s="186">
        <v>985800</v>
      </c>
      <c r="BC854" s="186">
        <v>2027300</v>
      </c>
    </row>
    <row r="855" spans="52:55">
      <c r="AZ855" s="185">
        <v>43805</v>
      </c>
      <c r="BA855" s="186">
        <v>5.14</v>
      </c>
      <c r="BB855" s="186">
        <v>923300</v>
      </c>
      <c r="BC855" s="186">
        <v>2049967</v>
      </c>
    </row>
    <row r="856" spans="52:55">
      <c r="AZ856" s="185">
        <v>43804</v>
      </c>
      <c r="BA856" s="186">
        <v>5.09</v>
      </c>
      <c r="BB856" s="186">
        <v>600600</v>
      </c>
      <c r="BC856" s="186">
        <v>2043773</v>
      </c>
    </row>
    <row r="857" spans="52:55">
      <c r="AZ857" s="185">
        <v>43803</v>
      </c>
      <c r="BA857" s="186">
        <v>5.07</v>
      </c>
      <c r="BB857" s="186">
        <v>3052600</v>
      </c>
      <c r="BC857" s="186">
        <v>2053220</v>
      </c>
    </row>
    <row r="858" spans="52:55">
      <c r="AZ858" s="185">
        <v>43802</v>
      </c>
      <c r="BA858" s="186">
        <v>5.25</v>
      </c>
      <c r="BB858" s="186">
        <v>1203700</v>
      </c>
      <c r="BC858" s="186">
        <v>1953893</v>
      </c>
    </row>
    <row r="859" spans="52:55">
      <c r="AZ859" s="185">
        <v>43801</v>
      </c>
      <c r="BA859" s="186">
        <v>5.25</v>
      </c>
      <c r="BB859" s="186">
        <v>753500</v>
      </c>
      <c r="BC859" s="186">
        <v>1942220</v>
      </c>
    </row>
    <row r="860" spans="52:55">
      <c r="AZ860" s="185">
        <v>43798</v>
      </c>
      <c r="BA860" s="186">
        <v>5.18</v>
      </c>
      <c r="BB860" s="186">
        <v>2998900</v>
      </c>
      <c r="BC860" s="186">
        <v>2026347</v>
      </c>
    </row>
    <row r="861" spans="52:55">
      <c r="AZ861" s="185">
        <v>43797</v>
      </c>
      <c r="BA861" s="186">
        <v>5.35</v>
      </c>
      <c r="BB861" s="186">
        <v>800200</v>
      </c>
      <c r="BC861" s="186">
        <v>1910740</v>
      </c>
    </row>
    <row r="862" spans="52:55">
      <c r="AZ862" s="185">
        <v>43796</v>
      </c>
      <c r="BA862" s="186">
        <v>5.46</v>
      </c>
      <c r="BB862" s="186">
        <v>1725800</v>
      </c>
      <c r="BC862" s="186">
        <v>1912860</v>
      </c>
    </row>
    <row r="863" spans="52:55">
      <c r="AZ863" s="185">
        <v>43795</v>
      </c>
      <c r="BA863" s="186">
        <v>5.36</v>
      </c>
      <c r="BB863" s="186">
        <v>6838700</v>
      </c>
      <c r="BC863" s="186">
        <v>1856393</v>
      </c>
    </row>
    <row r="864" spans="52:55">
      <c r="AZ864" s="185">
        <v>43794</v>
      </c>
      <c r="BA864" s="186">
        <v>5.25</v>
      </c>
      <c r="BB864" s="186">
        <v>2233000</v>
      </c>
      <c r="BC864" s="186">
        <v>1511027</v>
      </c>
    </row>
    <row r="865" spans="52:55">
      <c r="AZ865" s="185">
        <v>43791</v>
      </c>
      <c r="BA865" s="186">
        <v>5.31</v>
      </c>
      <c r="BB865" s="186">
        <v>1976600</v>
      </c>
      <c r="BC865" s="186">
        <v>1428207</v>
      </c>
    </row>
    <row r="866" spans="52:55">
      <c r="AZ866" s="185">
        <v>43790</v>
      </c>
      <c r="BA866" s="186">
        <v>5.28</v>
      </c>
      <c r="BB866" s="186">
        <v>2215300</v>
      </c>
      <c r="BC866" s="186">
        <v>1377747</v>
      </c>
    </row>
    <row r="867" spans="52:55">
      <c r="AZ867" s="185">
        <v>43789</v>
      </c>
      <c r="BA867" s="186">
        <v>5.32</v>
      </c>
      <c r="BB867" s="186">
        <v>1977200</v>
      </c>
      <c r="BC867" s="186">
        <v>1462873</v>
      </c>
    </row>
    <row r="868" spans="52:55">
      <c r="AZ868" s="185">
        <v>43788</v>
      </c>
      <c r="BA868" s="186">
        <v>5.34</v>
      </c>
      <c r="BB868" s="186">
        <v>2124300</v>
      </c>
      <c r="BC868" s="186">
        <v>1379420</v>
      </c>
    </row>
    <row r="869" spans="52:55">
      <c r="AZ869" s="185">
        <v>43787</v>
      </c>
      <c r="BA869" s="186">
        <v>5.35</v>
      </c>
      <c r="BB869" s="186">
        <v>1325800</v>
      </c>
      <c r="BC869" s="186">
        <v>1455447</v>
      </c>
    </row>
    <row r="870" spans="52:55">
      <c r="AZ870" s="185">
        <v>43784</v>
      </c>
      <c r="BA870" s="186">
        <v>5.37</v>
      </c>
      <c r="BB870" s="186">
        <v>830400</v>
      </c>
      <c r="BC870" s="186">
        <v>1459593</v>
      </c>
    </row>
    <row r="871" spans="52:55">
      <c r="AZ871" s="185">
        <v>43783</v>
      </c>
      <c r="BA871" s="186">
        <v>5.38</v>
      </c>
      <c r="BB871" s="186">
        <v>742300</v>
      </c>
      <c r="BC871" s="186">
        <v>1460780</v>
      </c>
    </row>
    <row r="872" spans="52:55">
      <c r="AZ872" s="185">
        <v>43782</v>
      </c>
      <c r="BA872" s="186">
        <v>5.39</v>
      </c>
      <c r="BB872" s="186">
        <v>1562700</v>
      </c>
      <c r="BC872" s="186">
        <v>1456307</v>
      </c>
    </row>
    <row r="873" spans="52:55">
      <c r="AZ873" s="185">
        <v>43781</v>
      </c>
      <c r="BA873" s="186">
        <v>5.46</v>
      </c>
      <c r="BB873" s="186">
        <v>1028600</v>
      </c>
      <c r="BC873" s="186">
        <v>1490260</v>
      </c>
    </row>
    <row r="874" spans="52:55">
      <c r="AZ874" s="185">
        <v>43780</v>
      </c>
      <c r="BA874" s="186">
        <v>5.4</v>
      </c>
      <c r="BB874" s="186">
        <v>2015400</v>
      </c>
      <c r="BC874" s="186">
        <v>1468227</v>
      </c>
    </row>
    <row r="875" spans="52:55">
      <c r="AZ875" s="185">
        <v>43777</v>
      </c>
      <c r="BA875" s="186">
        <v>5.41</v>
      </c>
      <c r="BB875" s="186">
        <v>1264800</v>
      </c>
      <c r="BC875" s="186">
        <v>1402747</v>
      </c>
    </row>
    <row r="876" spans="52:55">
      <c r="AZ876" s="185">
        <v>43776</v>
      </c>
      <c r="BA876" s="186">
        <v>5.49</v>
      </c>
      <c r="BB876" s="186">
        <v>832000</v>
      </c>
      <c r="BC876" s="186">
        <v>1403053</v>
      </c>
    </row>
    <row r="877" spans="52:55">
      <c r="AZ877" s="185">
        <v>43775</v>
      </c>
      <c r="BA877" s="186">
        <v>5.42</v>
      </c>
      <c r="BB877" s="186">
        <v>878800</v>
      </c>
      <c r="BC877" s="186">
        <v>1442213</v>
      </c>
    </row>
    <row r="878" spans="52:55">
      <c r="AZ878" s="185">
        <v>43774</v>
      </c>
      <c r="BA878" s="186">
        <v>5.45</v>
      </c>
      <c r="BB878" s="186">
        <v>1658200</v>
      </c>
      <c r="BC878" s="186">
        <v>1488793</v>
      </c>
    </row>
    <row r="879" spans="52:55">
      <c r="AZ879" s="185">
        <v>43773</v>
      </c>
      <c r="BA879" s="186">
        <v>5.43</v>
      </c>
      <c r="BB879" s="186">
        <v>990700</v>
      </c>
      <c r="BC879" s="186">
        <v>1439400</v>
      </c>
    </row>
    <row r="880" spans="52:55">
      <c r="AZ880" s="185">
        <v>43770</v>
      </c>
      <c r="BA880" s="186">
        <v>5.38</v>
      </c>
      <c r="BB880" s="186">
        <v>1219700</v>
      </c>
      <c r="BC880" s="186">
        <v>1438660</v>
      </c>
    </row>
    <row r="881" spans="52:55">
      <c r="AZ881" s="185">
        <v>43769</v>
      </c>
      <c r="BA881" s="186">
        <v>5.39</v>
      </c>
      <c r="BB881" s="186">
        <v>3492200</v>
      </c>
      <c r="BC881" s="186">
        <v>1388773</v>
      </c>
    </row>
    <row r="882" spans="52:55">
      <c r="AZ882" s="185">
        <v>43768</v>
      </c>
      <c r="BA882" s="186">
        <v>5.45</v>
      </c>
      <c r="BB882" s="186">
        <v>725400</v>
      </c>
      <c r="BC882" s="186">
        <v>1207967</v>
      </c>
    </row>
    <row r="883" spans="52:55">
      <c r="AZ883" s="185">
        <v>43767</v>
      </c>
      <c r="BA883" s="186">
        <v>5.45</v>
      </c>
      <c r="BB883" s="186">
        <v>3264700</v>
      </c>
      <c r="BC883" s="186">
        <v>1219040</v>
      </c>
    </row>
    <row r="884" spans="52:55">
      <c r="AZ884" s="185">
        <v>43763</v>
      </c>
      <c r="BA884" s="186">
        <v>5.44</v>
      </c>
      <c r="BB884" s="186">
        <v>1388000</v>
      </c>
      <c r="BC884" s="186">
        <v>1023760</v>
      </c>
    </row>
    <row r="885" spans="52:55">
      <c r="AZ885" s="185">
        <v>43762</v>
      </c>
      <c r="BA885" s="186">
        <v>5.5</v>
      </c>
      <c r="BB885" s="186">
        <v>848200</v>
      </c>
      <c r="BC885" s="186">
        <v>978467</v>
      </c>
    </row>
    <row r="886" spans="52:55">
      <c r="AZ886" s="185">
        <v>43761</v>
      </c>
      <c r="BA886" s="186">
        <v>5.45</v>
      </c>
      <c r="BB886" s="186">
        <v>675200</v>
      </c>
      <c r="BC886" s="186">
        <v>994840</v>
      </c>
    </row>
    <row r="887" spans="52:55">
      <c r="AZ887" s="185">
        <v>43760</v>
      </c>
      <c r="BA887" s="186">
        <v>5.46</v>
      </c>
      <c r="BB887" s="186">
        <v>2072000</v>
      </c>
      <c r="BC887" s="186">
        <v>1054413</v>
      </c>
    </row>
    <row r="888" spans="52:55">
      <c r="AZ888" s="185">
        <v>43759</v>
      </c>
      <c r="BA888" s="186">
        <v>5.45</v>
      </c>
      <c r="BB888" s="186">
        <v>698100</v>
      </c>
      <c r="BC888" s="186">
        <v>952500</v>
      </c>
    </row>
    <row r="889" spans="52:55">
      <c r="AZ889" s="185">
        <v>43756</v>
      </c>
      <c r="BA889" s="186">
        <v>5.44</v>
      </c>
      <c r="BB889" s="186">
        <v>1033200</v>
      </c>
      <c r="BC889" s="186">
        <v>1069653</v>
      </c>
    </row>
    <row r="890" spans="52:55">
      <c r="AZ890" s="185">
        <v>43755</v>
      </c>
      <c r="BA890" s="186">
        <v>5.44</v>
      </c>
      <c r="BB890" s="186">
        <v>1269400</v>
      </c>
      <c r="BC890" s="186">
        <v>1094680</v>
      </c>
    </row>
    <row r="891" spans="52:55">
      <c r="AZ891" s="185">
        <v>43754</v>
      </c>
      <c r="BA891" s="186">
        <v>5.45</v>
      </c>
      <c r="BB891" s="186">
        <v>1419400</v>
      </c>
      <c r="BC891" s="186">
        <v>1130820</v>
      </c>
    </row>
    <row r="892" spans="52:55">
      <c r="AZ892" s="185">
        <v>43753</v>
      </c>
      <c r="BA892" s="186">
        <v>5.4</v>
      </c>
      <c r="BB892" s="186">
        <v>1577500</v>
      </c>
      <c r="BC892" s="186">
        <v>1101740</v>
      </c>
    </row>
    <row r="893" spans="52:55">
      <c r="AZ893" s="185">
        <v>43752</v>
      </c>
      <c r="BA893" s="186">
        <v>5.41</v>
      </c>
      <c r="BB893" s="186">
        <v>917300</v>
      </c>
      <c r="BC893" s="186">
        <v>1094047</v>
      </c>
    </row>
    <row r="894" spans="52:55">
      <c r="AZ894" s="185">
        <v>43749</v>
      </c>
      <c r="BA894" s="186">
        <v>5.39</v>
      </c>
      <c r="BB894" s="186">
        <v>979600</v>
      </c>
      <c r="BC894" s="186">
        <v>1103560</v>
      </c>
    </row>
    <row r="895" spans="52:55">
      <c r="AZ895" s="185">
        <v>43748</v>
      </c>
      <c r="BA895" s="186">
        <v>5.45</v>
      </c>
      <c r="BB895" s="186">
        <v>471400</v>
      </c>
      <c r="BC895" s="186">
        <v>1440447</v>
      </c>
    </row>
    <row r="896" spans="52:55">
      <c r="AZ896" s="185">
        <v>43747</v>
      </c>
      <c r="BA896" s="186">
        <v>5.44</v>
      </c>
      <c r="BB896" s="186">
        <v>780100</v>
      </c>
      <c r="BC896" s="186">
        <v>1476153</v>
      </c>
    </row>
    <row r="897" spans="52:55">
      <c r="AZ897" s="185">
        <v>43746</v>
      </c>
      <c r="BA897" s="186">
        <v>5.44</v>
      </c>
      <c r="BB897" s="186">
        <v>891500</v>
      </c>
      <c r="BC897" s="186">
        <v>1478080</v>
      </c>
    </row>
    <row r="898" spans="52:55">
      <c r="AZ898" s="185">
        <v>43745</v>
      </c>
      <c r="BA898" s="186">
        <v>5.45</v>
      </c>
      <c r="BB898" s="186">
        <v>335500</v>
      </c>
      <c r="BC898" s="186">
        <v>1607293</v>
      </c>
    </row>
    <row r="899" spans="52:55">
      <c r="AZ899" s="185">
        <v>43742</v>
      </c>
      <c r="BA899" s="186">
        <v>5.46</v>
      </c>
      <c r="BB899" s="186">
        <v>708600</v>
      </c>
      <c r="BC899" s="186">
        <v>1657427</v>
      </c>
    </row>
    <row r="900" spans="52:55">
      <c r="AZ900" s="185">
        <v>43741</v>
      </c>
      <c r="BA900" s="186">
        <v>5.41</v>
      </c>
      <c r="BB900" s="186">
        <v>1093800</v>
      </c>
      <c r="BC900" s="186">
        <v>1658940</v>
      </c>
    </row>
    <row r="901" spans="52:55">
      <c r="AZ901" s="185">
        <v>43740</v>
      </c>
      <c r="BA901" s="186">
        <v>5.47</v>
      </c>
      <c r="BB901" s="186">
        <v>1568800</v>
      </c>
      <c r="BC901" s="186">
        <v>1759887</v>
      </c>
    </row>
    <row r="902" spans="52:55">
      <c r="AZ902" s="185">
        <v>43739</v>
      </c>
      <c r="BA902" s="186">
        <v>5.55</v>
      </c>
      <c r="BB902" s="186">
        <v>543300</v>
      </c>
      <c r="BC902" s="186">
        <v>1808053</v>
      </c>
    </row>
    <row r="903" spans="52:55">
      <c r="AZ903" s="185">
        <v>43738</v>
      </c>
      <c r="BA903" s="186">
        <v>5.6</v>
      </c>
      <c r="BB903" s="186">
        <v>2455400</v>
      </c>
      <c r="BC903" s="186">
        <v>1822640</v>
      </c>
    </row>
    <row r="904" spans="52:55">
      <c r="AZ904" s="185">
        <v>43735</v>
      </c>
      <c r="BA904" s="186">
        <v>5.44</v>
      </c>
      <c r="BB904" s="186">
        <v>1408600</v>
      </c>
      <c r="BC904" s="186">
        <v>1789113</v>
      </c>
    </row>
    <row r="905" spans="52:55">
      <c r="AZ905" s="185">
        <v>43734</v>
      </c>
      <c r="BA905" s="186">
        <v>5.38</v>
      </c>
      <c r="BB905" s="186">
        <v>1811500</v>
      </c>
      <c r="BC905" s="186">
        <v>1772313</v>
      </c>
    </row>
    <row r="906" spans="52:55">
      <c r="AZ906" s="185">
        <v>43733</v>
      </c>
      <c r="BA906" s="186">
        <v>5.57</v>
      </c>
      <c r="BB906" s="186">
        <v>983200</v>
      </c>
      <c r="BC906" s="186">
        <v>1765927</v>
      </c>
    </row>
    <row r="907" spans="52:55">
      <c r="AZ907" s="185">
        <v>43732</v>
      </c>
      <c r="BA907" s="186">
        <v>5.59</v>
      </c>
      <c r="BB907" s="186">
        <v>1462100</v>
      </c>
      <c r="BC907" s="186">
        <v>1981767</v>
      </c>
    </row>
    <row r="908" spans="52:55">
      <c r="AZ908" s="185">
        <v>43731</v>
      </c>
      <c r="BA908" s="186">
        <v>5.55</v>
      </c>
      <c r="BB908" s="186">
        <v>1060000</v>
      </c>
      <c r="BC908" s="186">
        <v>2054493</v>
      </c>
    </row>
    <row r="909" spans="52:55">
      <c r="AZ909" s="185">
        <v>43728</v>
      </c>
      <c r="BA909" s="186">
        <v>5.67</v>
      </c>
      <c r="BB909" s="186">
        <v>6032900</v>
      </c>
      <c r="BC909" s="186">
        <v>2099480</v>
      </c>
    </row>
    <row r="910" spans="52:55">
      <c r="AZ910" s="185">
        <v>43727</v>
      </c>
      <c r="BA910" s="186">
        <v>5.7</v>
      </c>
      <c r="BB910" s="186">
        <v>1007000</v>
      </c>
      <c r="BC910" s="186">
        <v>1971520</v>
      </c>
    </row>
    <row r="911" spans="52:55">
      <c r="AZ911" s="185">
        <v>43726</v>
      </c>
      <c r="BA911" s="186">
        <v>5.65</v>
      </c>
      <c r="BB911" s="186">
        <v>809000</v>
      </c>
      <c r="BC911" s="186">
        <v>2003920</v>
      </c>
    </row>
    <row r="912" spans="52:55">
      <c r="AZ912" s="185">
        <v>43725</v>
      </c>
      <c r="BA912" s="186">
        <v>5.7</v>
      </c>
      <c r="BB912" s="186">
        <v>2829700</v>
      </c>
      <c r="BC912" s="186">
        <v>2084127</v>
      </c>
    </row>
    <row r="913" spans="52:55">
      <c r="AZ913" s="185">
        <v>43721</v>
      </c>
      <c r="BA913" s="186">
        <v>5.6</v>
      </c>
      <c r="BB913" s="186">
        <v>1087500</v>
      </c>
      <c r="BC913" s="186">
        <v>2000827</v>
      </c>
    </row>
    <row r="914" spans="52:55">
      <c r="AZ914" s="185">
        <v>43720</v>
      </c>
      <c r="BA914" s="186">
        <v>5.57</v>
      </c>
      <c r="BB914" s="186">
        <v>731300</v>
      </c>
      <c r="BC914" s="186">
        <v>2020300</v>
      </c>
    </row>
    <row r="915" spans="52:55">
      <c r="AZ915" s="185">
        <v>43719</v>
      </c>
      <c r="BA915" s="186">
        <v>5.6</v>
      </c>
      <c r="BB915" s="186">
        <v>2608000</v>
      </c>
      <c r="BC915" s="186">
        <v>2069393</v>
      </c>
    </row>
    <row r="916" spans="52:55">
      <c r="AZ916" s="185">
        <v>43718</v>
      </c>
      <c r="BA916" s="186">
        <v>5.63</v>
      </c>
      <c r="BB916" s="186">
        <v>2291300</v>
      </c>
      <c r="BC916" s="186">
        <v>2023520</v>
      </c>
    </row>
    <row r="917" spans="52:55">
      <c r="AZ917" s="185">
        <v>43714</v>
      </c>
      <c r="BA917" s="186">
        <v>5.55</v>
      </c>
      <c r="BB917" s="186">
        <v>762100</v>
      </c>
      <c r="BC917" s="186">
        <v>1939993</v>
      </c>
    </row>
    <row r="918" spans="52:55">
      <c r="AZ918" s="185">
        <v>43713</v>
      </c>
      <c r="BA918" s="186">
        <v>5.53</v>
      </c>
      <c r="BB918" s="186">
        <v>1952500</v>
      </c>
      <c r="BC918" s="186">
        <v>2014193</v>
      </c>
    </row>
    <row r="919" spans="52:55">
      <c r="AZ919" s="185">
        <v>43712</v>
      </c>
      <c r="BA919" s="186">
        <v>5.45</v>
      </c>
      <c r="BB919" s="186">
        <v>1156600</v>
      </c>
      <c r="BC919" s="186">
        <v>2049747</v>
      </c>
    </row>
    <row r="920" spans="52:55">
      <c r="AZ920" s="185">
        <v>43711</v>
      </c>
      <c r="BA920" s="186">
        <v>5.45</v>
      </c>
      <c r="BB920" s="186">
        <v>1715700</v>
      </c>
      <c r="BC920" s="186">
        <v>2129260</v>
      </c>
    </row>
    <row r="921" spans="52:55">
      <c r="AZ921" s="185">
        <v>43707</v>
      </c>
      <c r="BA921" s="186">
        <v>5.57</v>
      </c>
      <c r="BB921" s="186">
        <v>4220800</v>
      </c>
      <c r="BC921" s="186">
        <v>2139927</v>
      </c>
    </row>
    <row r="922" spans="52:55">
      <c r="AZ922" s="185">
        <v>43706</v>
      </c>
      <c r="BA922" s="186">
        <v>5.41</v>
      </c>
      <c r="BB922" s="186">
        <v>2553000</v>
      </c>
      <c r="BC922" s="186">
        <v>2019187</v>
      </c>
    </row>
    <row r="923" spans="52:55">
      <c r="AZ923" s="185">
        <v>43705</v>
      </c>
      <c r="BA923" s="186">
        <v>5.41</v>
      </c>
      <c r="BB923" s="186">
        <v>1734800</v>
      </c>
      <c r="BC923" s="186">
        <v>2109860</v>
      </c>
    </row>
    <row r="924" spans="52:55">
      <c r="AZ924" s="185">
        <v>43704</v>
      </c>
      <c r="BA924" s="186">
        <v>5.47</v>
      </c>
      <c r="BB924" s="186">
        <v>4113500</v>
      </c>
      <c r="BC924" s="186">
        <v>2233313</v>
      </c>
    </row>
    <row r="925" spans="52:55">
      <c r="AZ925" s="185">
        <v>43703</v>
      </c>
      <c r="BA925" s="186">
        <v>5.49</v>
      </c>
      <c r="BB925" s="186">
        <v>1493000</v>
      </c>
      <c r="BC925" s="186">
        <v>2142820</v>
      </c>
    </row>
    <row r="926" spans="52:55">
      <c r="AZ926" s="185">
        <v>43700</v>
      </c>
      <c r="BA926" s="186">
        <v>5.4</v>
      </c>
      <c r="BB926" s="186">
        <v>2012100</v>
      </c>
      <c r="BC926" s="186">
        <v>2293487</v>
      </c>
    </row>
    <row r="927" spans="52:55">
      <c r="AZ927" s="185">
        <v>43699</v>
      </c>
      <c r="BA927" s="186">
        <v>5.56</v>
      </c>
      <c r="BB927" s="186">
        <v>1580200</v>
      </c>
      <c r="BC927" s="186">
        <v>2318393</v>
      </c>
    </row>
    <row r="928" spans="52:55">
      <c r="AZ928" s="185">
        <v>43698</v>
      </c>
      <c r="BA928" s="186">
        <v>5.46</v>
      </c>
      <c r="BB928" s="186">
        <v>1379600</v>
      </c>
      <c r="BC928" s="186">
        <v>2675273</v>
      </c>
    </row>
    <row r="929" spans="52:55">
      <c r="AZ929" s="185">
        <v>43697</v>
      </c>
      <c r="BA929" s="186">
        <v>5.46</v>
      </c>
      <c r="BB929" s="186">
        <v>1467700</v>
      </c>
      <c r="BC929" s="186">
        <v>2628040</v>
      </c>
    </row>
    <row r="930" spans="52:55">
      <c r="AZ930" s="185">
        <v>43696</v>
      </c>
      <c r="BA930" s="186">
        <v>5.47</v>
      </c>
      <c r="BB930" s="186">
        <v>1919900</v>
      </c>
      <c r="BC930" s="186">
        <v>2587887</v>
      </c>
    </row>
    <row r="931" spans="52:55">
      <c r="AZ931" s="185">
        <v>43693</v>
      </c>
      <c r="BA931" s="186">
        <v>5.45</v>
      </c>
      <c r="BB931" s="186">
        <v>1038400</v>
      </c>
      <c r="BC931" s="186">
        <v>2702527</v>
      </c>
    </row>
    <row r="932" spans="52:55">
      <c r="AZ932" s="185">
        <v>43692</v>
      </c>
      <c r="BA932" s="186">
        <v>5.46</v>
      </c>
      <c r="BB932" s="186">
        <v>1875100</v>
      </c>
      <c r="BC932" s="186">
        <v>2699140</v>
      </c>
    </row>
    <row r="933" spans="52:55">
      <c r="AZ933" s="185">
        <v>43691</v>
      </c>
      <c r="BA933" s="186">
        <v>5.39</v>
      </c>
      <c r="BB933" s="186">
        <v>2485800</v>
      </c>
      <c r="BC933" s="186">
        <v>2779667</v>
      </c>
    </row>
    <row r="934" spans="52:55">
      <c r="AZ934" s="185">
        <v>43690</v>
      </c>
      <c r="BA934" s="186">
        <v>5.39</v>
      </c>
      <c r="BB934" s="186">
        <v>2349300</v>
      </c>
      <c r="BC934" s="186">
        <v>2796147</v>
      </c>
    </row>
    <row r="935" spans="52:55">
      <c r="AZ935" s="185">
        <v>43686</v>
      </c>
      <c r="BA935" s="186">
        <v>5.41</v>
      </c>
      <c r="BB935" s="186">
        <v>1875700</v>
      </c>
      <c r="BC935" s="186">
        <v>2779660</v>
      </c>
    </row>
    <row r="936" spans="52:55">
      <c r="AZ936" s="185">
        <v>43685</v>
      </c>
      <c r="BA936" s="186">
        <v>5.42</v>
      </c>
      <c r="BB936" s="186">
        <v>2409700</v>
      </c>
      <c r="BC936" s="186">
        <v>2809527</v>
      </c>
    </row>
    <row r="937" spans="52:55">
      <c r="AZ937" s="185">
        <v>43684</v>
      </c>
      <c r="BA937" s="186">
        <v>5.38</v>
      </c>
      <c r="BB937" s="186">
        <v>3913100</v>
      </c>
      <c r="BC937" s="186">
        <v>2679000</v>
      </c>
    </row>
    <row r="938" spans="52:55">
      <c r="AZ938" s="185">
        <v>43683</v>
      </c>
      <c r="BA938" s="186">
        <v>5.37</v>
      </c>
      <c r="BB938" s="186">
        <v>3586600</v>
      </c>
      <c r="BC938" s="186">
        <v>2464800</v>
      </c>
    </row>
    <row r="939" spans="52:55">
      <c r="AZ939" s="185">
        <v>43682</v>
      </c>
      <c r="BA939" s="186">
        <v>5.42</v>
      </c>
      <c r="BB939" s="186">
        <v>2756100</v>
      </c>
      <c r="BC939" s="186">
        <v>2264187</v>
      </c>
    </row>
    <row r="940" spans="52:55">
      <c r="AZ940" s="185">
        <v>43679</v>
      </c>
      <c r="BA940" s="186">
        <v>5.44</v>
      </c>
      <c r="BB940" s="186">
        <v>3753000</v>
      </c>
      <c r="BC940" s="186">
        <v>2140660</v>
      </c>
    </row>
    <row r="941" spans="52:55">
      <c r="AZ941" s="185">
        <v>43678</v>
      </c>
      <c r="BA941" s="186">
        <v>5.72</v>
      </c>
      <c r="BB941" s="186">
        <v>2385700</v>
      </c>
      <c r="BC941" s="186">
        <v>1932187</v>
      </c>
    </row>
    <row r="942" spans="52:55">
      <c r="AZ942" s="185">
        <v>43677</v>
      </c>
      <c r="BA942" s="186">
        <v>5.68</v>
      </c>
      <c r="BB942" s="186">
        <v>6933400</v>
      </c>
      <c r="BC942" s="186">
        <v>1826440</v>
      </c>
    </row>
    <row r="943" spans="52:55">
      <c r="AZ943" s="185">
        <v>43675</v>
      </c>
      <c r="BA943" s="186">
        <v>5.63</v>
      </c>
      <c r="BB943" s="186">
        <v>671100</v>
      </c>
      <c r="BC943" s="186">
        <v>1438300</v>
      </c>
    </row>
    <row r="944" spans="52:55">
      <c r="AZ944" s="185">
        <v>43672</v>
      </c>
      <c r="BA944" s="186">
        <v>5.63</v>
      </c>
      <c r="BB944" s="186">
        <v>865400</v>
      </c>
      <c r="BC944" s="186">
        <v>1452953</v>
      </c>
    </row>
    <row r="945" spans="52:55">
      <c r="AZ945" s="185">
        <v>43671</v>
      </c>
      <c r="BA945" s="186">
        <v>5.7</v>
      </c>
      <c r="BB945" s="186">
        <v>3639500</v>
      </c>
      <c r="BC945" s="186">
        <v>1432573</v>
      </c>
    </row>
    <row r="946" spans="52:55">
      <c r="AZ946" s="185">
        <v>43670</v>
      </c>
      <c r="BA946" s="186">
        <v>5.61</v>
      </c>
      <c r="BB946" s="186">
        <v>987600</v>
      </c>
      <c r="BC946" s="186">
        <v>1236820</v>
      </c>
    </row>
    <row r="947" spans="52:55">
      <c r="AZ947" s="185">
        <v>43669</v>
      </c>
      <c r="BA947" s="186">
        <v>5.67</v>
      </c>
      <c r="BB947" s="186">
        <v>3083000</v>
      </c>
      <c r="BC947" s="186">
        <v>1244713</v>
      </c>
    </row>
    <row r="948" spans="52:55">
      <c r="AZ948" s="185">
        <v>43668</v>
      </c>
      <c r="BA948" s="186">
        <v>5.63</v>
      </c>
      <c r="BB948" s="186">
        <v>2733000</v>
      </c>
      <c r="BC948" s="186">
        <v>1220633</v>
      </c>
    </row>
    <row r="949" spans="52:55">
      <c r="AZ949" s="185">
        <v>43665</v>
      </c>
      <c r="BA949" s="186">
        <v>5.7</v>
      </c>
      <c r="BB949" s="186">
        <v>2102000</v>
      </c>
      <c r="BC949" s="186">
        <v>1173320</v>
      </c>
    </row>
    <row r="950" spans="52:55">
      <c r="AZ950" s="185">
        <v>43664</v>
      </c>
      <c r="BA950" s="186">
        <v>5.61</v>
      </c>
      <c r="BB950" s="186">
        <v>2323700</v>
      </c>
      <c r="BC950" s="186">
        <v>1318553</v>
      </c>
    </row>
    <row r="951" spans="52:55">
      <c r="AZ951" s="185">
        <v>43663</v>
      </c>
      <c r="BA951" s="186">
        <v>5.64</v>
      </c>
      <c r="BB951" s="186">
        <v>451800</v>
      </c>
      <c r="BC951" s="186">
        <v>1233140</v>
      </c>
    </row>
    <row r="952" spans="52:55">
      <c r="AZ952" s="185">
        <v>43662</v>
      </c>
      <c r="BA952" s="186">
        <v>5.7</v>
      </c>
      <c r="BB952" s="186">
        <v>700100</v>
      </c>
      <c r="BC952" s="186">
        <v>1250207</v>
      </c>
    </row>
    <row r="953" spans="52:55">
      <c r="AZ953" s="185">
        <v>43661</v>
      </c>
      <c r="BA953" s="186">
        <v>5.68</v>
      </c>
      <c r="BB953" s="186">
        <v>577400</v>
      </c>
      <c r="BC953" s="186">
        <v>1253140</v>
      </c>
    </row>
    <row r="954" spans="52:55">
      <c r="AZ954" s="185">
        <v>43658</v>
      </c>
      <c r="BA954" s="186">
        <v>5.63</v>
      </c>
      <c r="BB954" s="186">
        <v>903200</v>
      </c>
      <c r="BC954" s="186">
        <v>1255767</v>
      </c>
    </row>
    <row r="955" spans="52:55">
      <c r="AZ955" s="185">
        <v>43657</v>
      </c>
      <c r="BA955" s="186">
        <v>5.75</v>
      </c>
      <c r="BB955" s="186">
        <v>625900</v>
      </c>
      <c r="BC955" s="186">
        <v>1491273</v>
      </c>
    </row>
    <row r="956" spans="52:55">
      <c r="AZ956" s="185">
        <v>43656</v>
      </c>
      <c r="BA956" s="186">
        <v>5.65</v>
      </c>
      <c r="BB956" s="186">
        <v>799500</v>
      </c>
      <c r="BC956" s="186">
        <v>1658353</v>
      </c>
    </row>
    <row r="957" spans="52:55">
      <c r="AZ957" s="185">
        <v>43655</v>
      </c>
      <c r="BA957" s="186">
        <v>5.71</v>
      </c>
      <c r="BB957" s="186">
        <v>1111300</v>
      </c>
      <c r="BC957" s="186">
        <v>1765440</v>
      </c>
    </row>
    <row r="958" spans="52:55">
      <c r="AZ958" s="185">
        <v>43654</v>
      </c>
      <c r="BA958" s="186">
        <v>5.6</v>
      </c>
      <c r="BB958" s="186">
        <v>890900</v>
      </c>
      <c r="BC958" s="186">
        <v>1806693</v>
      </c>
    </row>
    <row r="959" spans="52:55">
      <c r="AZ959" s="185">
        <v>43651</v>
      </c>
      <c r="BA959" s="186">
        <v>5.69</v>
      </c>
      <c r="BB959" s="186">
        <v>559700</v>
      </c>
      <c r="BC959" s="186">
        <v>1825880</v>
      </c>
    </row>
    <row r="960" spans="52:55">
      <c r="AZ960" s="185">
        <v>43650</v>
      </c>
      <c r="BA960" s="186">
        <v>5.7</v>
      </c>
      <c r="BB960" s="186">
        <v>703200</v>
      </c>
      <c r="BC960" s="186">
        <v>1858140</v>
      </c>
    </row>
    <row r="961" spans="52:55">
      <c r="AZ961" s="185">
        <v>43649</v>
      </c>
      <c r="BA961" s="186">
        <v>5.67</v>
      </c>
      <c r="BB961" s="186">
        <v>1106000</v>
      </c>
      <c r="BC961" s="186">
        <v>2084960</v>
      </c>
    </row>
    <row r="962" spans="52:55">
      <c r="AZ962" s="185">
        <v>43648</v>
      </c>
      <c r="BA962" s="186">
        <v>5.67</v>
      </c>
      <c r="BB962" s="186">
        <v>2721800</v>
      </c>
      <c r="BC962" s="186">
        <v>2081960</v>
      </c>
    </row>
    <row r="963" spans="52:55">
      <c r="AZ963" s="185">
        <v>43647</v>
      </c>
      <c r="BA963" s="186">
        <v>5.57</v>
      </c>
      <c r="BB963" s="186">
        <v>2023300</v>
      </c>
      <c r="BC963" s="186">
        <v>1981720</v>
      </c>
    </row>
    <row r="964" spans="52:55">
      <c r="AZ964" s="185">
        <v>43644</v>
      </c>
      <c r="BA964" s="186">
        <v>5.57</v>
      </c>
      <c r="BB964" s="186">
        <v>4280500</v>
      </c>
      <c r="BC964" s="186">
        <v>1931740</v>
      </c>
    </row>
    <row r="965" spans="52:55">
      <c r="AZ965" s="185">
        <v>43643</v>
      </c>
      <c r="BA965" s="186">
        <v>5.8</v>
      </c>
      <c r="BB965" s="186">
        <v>1042500</v>
      </c>
      <c r="BC965" s="186">
        <v>1788433</v>
      </c>
    </row>
    <row r="966" spans="52:55">
      <c r="AZ966" s="185">
        <v>43642</v>
      </c>
      <c r="BA966" s="186">
        <v>5.74</v>
      </c>
      <c r="BB966" s="186">
        <v>707800</v>
      </c>
      <c r="BC966" s="186">
        <v>1735867</v>
      </c>
    </row>
    <row r="967" spans="52:55">
      <c r="AZ967" s="185">
        <v>43641</v>
      </c>
      <c r="BA967" s="186">
        <v>5.74</v>
      </c>
      <c r="BB967" s="186">
        <v>744100</v>
      </c>
      <c r="BC967" s="186">
        <v>1794220</v>
      </c>
    </row>
    <row r="968" spans="52:55">
      <c r="AZ968" s="185">
        <v>43640</v>
      </c>
      <c r="BA968" s="186">
        <v>5.75</v>
      </c>
      <c r="BB968" s="186">
        <v>616800</v>
      </c>
      <c r="BC968" s="186">
        <v>1956047</v>
      </c>
    </row>
    <row r="969" spans="52:55">
      <c r="AZ969" s="185">
        <v>43637</v>
      </c>
      <c r="BA969" s="186">
        <v>5.81</v>
      </c>
      <c r="BB969" s="186">
        <v>4435800</v>
      </c>
      <c r="BC969" s="186">
        <v>2022560</v>
      </c>
    </row>
    <row r="970" spans="52:55">
      <c r="AZ970" s="185">
        <v>43636</v>
      </c>
      <c r="BA970" s="186">
        <v>5.75</v>
      </c>
      <c r="BB970" s="186">
        <v>3132100</v>
      </c>
      <c r="BC970" s="186">
        <v>1945667</v>
      </c>
    </row>
    <row r="971" spans="52:55">
      <c r="AZ971" s="185">
        <v>43635</v>
      </c>
      <c r="BA971" s="186">
        <v>5.62</v>
      </c>
      <c r="BB971" s="186">
        <v>2405800</v>
      </c>
      <c r="BC971" s="186">
        <v>2283973</v>
      </c>
    </row>
    <row r="972" spans="52:55">
      <c r="AZ972" s="185">
        <v>43634</v>
      </c>
      <c r="BA972" s="186">
        <v>5.48</v>
      </c>
      <c r="BB972" s="186">
        <v>1730100</v>
      </c>
      <c r="BC972" s="186">
        <v>2154587</v>
      </c>
    </row>
    <row r="973" spans="52:55">
      <c r="AZ973" s="185">
        <v>43633</v>
      </c>
      <c r="BA973" s="186">
        <v>5.47</v>
      </c>
      <c r="BB973" s="186">
        <v>1178700</v>
      </c>
      <c r="BC973" s="186">
        <v>2142740</v>
      </c>
    </row>
    <row r="974" spans="52:55">
      <c r="AZ974" s="185">
        <v>43630</v>
      </c>
      <c r="BA974" s="186">
        <v>5.58</v>
      </c>
      <c r="BB974" s="186">
        <v>1043600</v>
      </c>
      <c r="BC974" s="186">
        <v>2318913</v>
      </c>
    </row>
    <row r="975" spans="52:55">
      <c r="AZ975" s="185">
        <v>43629</v>
      </c>
      <c r="BA975" s="186">
        <v>5.53</v>
      </c>
      <c r="BB975" s="186">
        <v>4105500</v>
      </c>
      <c r="BC975" s="186">
        <v>2342493</v>
      </c>
    </row>
    <row r="976" spans="52:55">
      <c r="AZ976" s="185">
        <v>43628</v>
      </c>
      <c r="BA976" s="186">
        <v>5.54</v>
      </c>
      <c r="BB976" s="186">
        <v>1061000</v>
      </c>
      <c r="BC976" s="186">
        <v>2197760</v>
      </c>
    </row>
    <row r="977" spans="52:55">
      <c r="AZ977" s="185">
        <v>43627</v>
      </c>
      <c r="BA977" s="186">
        <v>5.59</v>
      </c>
      <c r="BB977" s="186">
        <v>1218200</v>
      </c>
      <c r="BC977" s="186">
        <v>2241953</v>
      </c>
    </row>
    <row r="978" spans="52:55">
      <c r="AZ978" s="185">
        <v>43626</v>
      </c>
      <c r="BA978" s="186">
        <v>5.6</v>
      </c>
      <c r="BB978" s="186">
        <v>1273600</v>
      </c>
      <c r="BC978" s="186">
        <v>2262187</v>
      </c>
    </row>
    <row r="979" spans="52:55">
      <c r="AZ979" s="185">
        <v>43623</v>
      </c>
      <c r="BA979" s="186">
        <v>5.56</v>
      </c>
      <c r="BB979" s="186">
        <v>2130900</v>
      </c>
      <c r="BC979" s="186">
        <v>2425467</v>
      </c>
    </row>
    <row r="980" spans="52:55">
      <c r="AZ980" s="185">
        <v>43620</v>
      </c>
      <c r="BA980" s="186">
        <v>5.44</v>
      </c>
      <c r="BB980" s="186">
        <v>254000</v>
      </c>
      <c r="BC980" s="186">
        <v>2468913</v>
      </c>
    </row>
    <row r="981" spans="52:55">
      <c r="AZ981" s="185">
        <v>43619</v>
      </c>
      <c r="BA981" s="186">
        <v>5.55</v>
      </c>
      <c r="BB981" s="186">
        <v>1583100</v>
      </c>
      <c r="BC981" s="186">
        <v>2541007</v>
      </c>
    </row>
    <row r="982" spans="52:55">
      <c r="AZ982" s="185">
        <v>43616</v>
      </c>
      <c r="BA982" s="186">
        <v>5.54</v>
      </c>
      <c r="BB982" s="186">
        <v>3171500</v>
      </c>
      <c r="BC982" s="186">
        <v>2622073</v>
      </c>
    </row>
    <row r="983" spans="52:55">
      <c r="AZ983" s="185">
        <v>43615</v>
      </c>
      <c r="BA983" s="186">
        <v>5.58</v>
      </c>
      <c r="BB983" s="186">
        <v>1614500</v>
      </c>
      <c r="BC983" s="186">
        <v>2757500</v>
      </c>
    </row>
    <row r="984" spans="52:55">
      <c r="AZ984" s="185">
        <v>43614</v>
      </c>
      <c r="BA984" s="186">
        <v>5.58</v>
      </c>
      <c r="BB984" s="186">
        <v>3282400</v>
      </c>
      <c r="BC984" s="186">
        <v>3322307</v>
      </c>
    </row>
    <row r="985" spans="52:55">
      <c r="AZ985" s="185">
        <v>43613</v>
      </c>
      <c r="BA985" s="186">
        <v>5.55</v>
      </c>
      <c r="BB985" s="186">
        <v>8206700</v>
      </c>
      <c r="BC985" s="186">
        <v>3311220</v>
      </c>
    </row>
    <row r="986" spans="52:55">
      <c r="AZ986" s="185">
        <v>43612</v>
      </c>
      <c r="BA986" s="186">
        <v>5.36</v>
      </c>
      <c r="BB986" s="186">
        <v>465000</v>
      </c>
      <c r="BC986" s="186">
        <v>2899393</v>
      </c>
    </row>
    <row r="987" spans="52:55">
      <c r="AZ987" s="185">
        <v>43609</v>
      </c>
      <c r="BA987" s="186">
        <v>5.37</v>
      </c>
      <c r="BB987" s="186">
        <v>1552400</v>
      </c>
      <c r="BC987" s="186">
        <v>2976927</v>
      </c>
    </row>
    <row r="988" spans="52:55">
      <c r="AZ988" s="185">
        <v>43608</v>
      </c>
      <c r="BA988" s="186">
        <v>5.39</v>
      </c>
      <c r="BB988" s="186">
        <v>3821300</v>
      </c>
      <c r="BC988" s="186">
        <v>3091460</v>
      </c>
    </row>
    <row r="989" spans="52:55">
      <c r="AZ989" s="185">
        <v>43606</v>
      </c>
      <c r="BA989" s="186">
        <v>5.36</v>
      </c>
      <c r="BB989" s="186">
        <v>1397300</v>
      </c>
      <c r="BC989" s="186">
        <v>2871873</v>
      </c>
    </row>
    <row r="990" spans="52:55">
      <c r="AZ990" s="185">
        <v>43602</v>
      </c>
      <c r="BA990" s="186">
        <v>5.36</v>
      </c>
      <c r="BB990" s="186">
        <v>1934500</v>
      </c>
      <c r="BC990" s="186">
        <v>2888767</v>
      </c>
    </row>
    <row r="991" spans="52:55">
      <c r="AZ991" s="185">
        <v>43601</v>
      </c>
      <c r="BA991" s="186">
        <v>5.3</v>
      </c>
      <c r="BB991" s="186">
        <v>1723900</v>
      </c>
      <c r="BC991" s="186">
        <v>2884667</v>
      </c>
    </row>
    <row r="992" spans="52:55">
      <c r="AZ992" s="185">
        <v>43600</v>
      </c>
      <c r="BA992" s="186">
        <v>5.32</v>
      </c>
      <c r="BB992" s="186">
        <v>1521700</v>
      </c>
      <c r="BC992" s="186">
        <v>2867387</v>
      </c>
    </row>
    <row r="993" spans="52:55">
      <c r="AZ993" s="185">
        <v>43599</v>
      </c>
      <c r="BA993" s="186">
        <v>5.31</v>
      </c>
      <c r="BB993" s="186">
        <v>3722800</v>
      </c>
      <c r="BC993" s="186">
        <v>2859940</v>
      </c>
    </row>
    <row r="994" spans="52:55">
      <c r="AZ994" s="185">
        <v>43598</v>
      </c>
      <c r="BA994" s="186">
        <v>5.36</v>
      </c>
      <c r="BB994" s="186">
        <v>2782600</v>
      </c>
      <c r="BC994" s="186">
        <v>2690407</v>
      </c>
    </row>
    <row r="995" spans="52:55">
      <c r="AZ995" s="185">
        <v>43595</v>
      </c>
      <c r="BA995" s="186">
        <v>5.36</v>
      </c>
      <c r="BB995" s="186">
        <v>1335400</v>
      </c>
      <c r="BC995" s="186">
        <v>2609607</v>
      </c>
    </row>
    <row r="996" spans="52:55">
      <c r="AZ996" s="185">
        <v>43594</v>
      </c>
      <c r="BA996" s="186">
        <v>5.36</v>
      </c>
      <c r="BB996" s="186">
        <v>2799100</v>
      </c>
      <c r="BC996" s="186">
        <v>2738067</v>
      </c>
    </row>
    <row r="997" spans="52:55">
      <c r="AZ997" s="185">
        <v>43593</v>
      </c>
      <c r="BA997" s="186">
        <v>5.52</v>
      </c>
      <c r="BB997" s="186">
        <v>5202900</v>
      </c>
      <c r="BC997" s="186">
        <v>2633987</v>
      </c>
    </row>
    <row r="998" spans="52:55">
      <c r="AZ998" s="185">
        <v>43592</v>
      </c>
      <c r="BA998" s="186">
        <v>5.47</v>
      </c>
      <c r="BB998" s="186">
        <v>10086600</v>
      </c>
      <c r="BC998" s="186">
        <v>2348900</v>
      </c>
    </row>
    <row r="999" spans="52:55">
      <c r="AZ999" s="185">
        <v>43591</v>
      </c>
      <c r="BA999" s="186">
        <v>5.43</v>
      </c>
      <c r="BB999" s="186">
        <v>3116100</v>
      </c>
      <c r="BC999" s="186">
        <v>1731580</v>
      </c>
    </row>
    <row r="1000" spans="52:55">
      <c r="AZ1000" s="185">
        <v>43588</v>
      </c>
      <c r="BA1000" s="186">
        <v>5.32</v>
      </c>
      <c r="BB1000" s="186">
        <v>2029300</v>
      </c>
      <c r="BC1000" s="186">
        <v>1601073</v>
      </c>
    </row>
    <row r="1001" spans="52:55">
      <c r="AZ1001" s="185">
        <v>43587</v>
      </c>
      <c r="BA1001" s="186">
        <v>5.3</v>
      </c>
      <c r="BB1001" s="186">
        <v>1628000</v>
      </c>
      <c r="BC1001" s="186">
        <v>1564500</v>
      </c>
    </row>
    <row r="1002" spans="52:55">
      <c r="AZ1002" s="185">
        <v>43585</v>
      </c>
      <c r="BA1002" s="186">
        <v>5.36</v>
      </c>
      <c r="BB1002" s="186">
        <v>3270400</v>
      </c>
      <c r="BC1002" s="186">
        <v>1524960</v>
      </c>
    </row>
    <row r="1003" spans="52:55">
      <c r="AZ1003" s="185">
        <v>43584</v>
      </c>
      <c r="BA1003" s="186">
        <v>5.38</v>
      </c>
      <c r="BB1003" s="186">
        <v>527500</v>
      </c>
      <c r="BC1003" s="186">
        <v>1440193</v>
      </c>
    </row>
    <row r="1004" spans="52:55">
      <c r="AZ1004" s="185">
        <v>43581</v>
      </c>
      <c r="BA1004" s="186">
        <v>5.44</v>
      </c>
      <c r="BB1004" s="186">
        <v>1650700</v>
      </c>
      <c r="BC1004" s="186">
        <v>1464993</v>
      </c>
    </row>
    <row r="1005" spans="52:55">
      <c r="AZ1005" s="185">
        <v>43580</v>
      </c>
      <c r="BA1005" s="186">
        <v>5.34</v>
      </c>
      <c r="BB1005" s="186">
        <v>1873000</v>
      </c>
      <c r="BC1005" s="186">
        <v>1383573</v>
      </c>
    </row>
    <row r="1006" spans="52:55">
      <c r="AZ1006" s="185">
        <v>43579</v>
      </c>
      <c r="BA1006" s="186">
        <v>5.32</v>
      </c>
      <c r="BB1006" s="186">
        <v>1464700</v>
      </c>
      <c r="BC1006" s="186">
        <v>1304520</v>
      </c>
    </row>
    <row r="1007" spans="52:55">
      <c r="AZ1007" s="185">
        <v>43578</v>
      </c>
      <c r="BA1007" s="186">
        <v>5.34</v>
      </c>
      <c r="BB1007" s="186">
        <v>1410000</v>
      </c>
      <c r="BC1007" s="186">
        <v>1226827</v>
      </c>
    </row>
    <row r="1008" spans="52:55">
      <c r="AZ1008" s="185">
        <v>43577</v>
      </c>
      <c r="BA1008" s="186">
        <v>5.38</v>
      </c>
      <c r="BB1008" s="186">
        <v>1179800</v>
      </c>
      <c r="BC1008" s="186">
        <v>1241713</v>
      </c>
    </row>
    <row r="1009" spans="52:55">
      <c r="AZ1009" s="185">
        <v>43574</v>
      </c>
      <c r="BA1009" s="186">
        <v>5.35</v>
      </c>
      <c r="BB1009" s="186">
        <v>1570600</v>
      </c>
      <c r="BC1009" s="186">
        <v>1347720</v>
      </c>
    </row>
    <row r="1010" spans="52:55">
      <c r="AZ1010" s="185">
        <v>43573</v>
      </c>
      <c r="BA1010" s="186">
        <v>5.41</v>
      </c>
      <c r="BB1010" s="186">
        <v>3262300</v>
      </c>
      <c r="BC1010" s="186">
        <v>1448127</v>
      </c>
    </row>
    <row r="1011" spans="52:55">
      <c r="AZ1011" s="185">
        <v>43572</v>
      </c>
      <c r="BA1011" s="186">
        <v>5.53</v>
      </c>
      <c r="BB1011" s="186">
        <v>1237900</v>
      </c>
      <c r="BC1011" s="186">
        <v>1368900</v>
      </c>
    </row>
    <row r="1012" spans="52:55">
      <c r="AZ1012" s="185">
        <v>43571</v>
      </c>
      <c r="BA1012" s="186">
        <v>5.56</v>
      </c>
      <c r="BB1012" s="186">
        <v>926600</v>
      </c>
      <c r="BC1012" s="186">
        <v>1336833</v>
      </c>
    </row>
    <row r="1013" spans="52:55">
      <c r="AZ1013" s="185">
        <v>43570</v>
      </c>
      <c r="BA1013" s="186">
        <v>5.56</v>
      </c>
      <c r="BB1013" s="186">
        <v>826800</v>
      </c>
      <c r="BC1013" s="186">
        <v>1329067</v>
      </c>
    </row>
    <row r="1014" spans="52:55">
      <c r="AZ1014" s="185">
        <v>43567</v>
      </c>
      <c r="BA1014" s="186">
        <v>5.51</v>
      </c>
      <c r="BB1014" s="186">
        <v>1158500</v>
      </c>
      <c r="BC1014" s="186">
        <v>1352480</v>
      </c>
    </row>
    <row r="1015" spans="52:55">
      <c r="AZ1015" s="185">
        <v>43566</v>
      </c>
      <c r="BA1015" s="186">
        <v>5.5</v>
      </c>
      <c r="BB1015" s="186">
        <v>1480700</v>
      </c>
      <c r="BC1015" s="186">
        <v>1392013</v>
      </c>
    </row>
    <row r="1016" spans="52:55">
      <c r="AZ1016" s="185">
        <v>43565</v>
      </c>
      <c r="BA1016" s="186">
        <v>5.6</v>
      </c>
      <c r="BB1016" s="186">
        <v>1034900</v>
      </c>
      <c r="BC1016" s="186">
        <v>1387487</v>
      </c>
    </row>
    <row r="1017" spans="52:55">
      <c r="AZ1017" s="185">
        <v>43564</v>
      </c>
      <c r="BA1017" s="186">
        <v>5.6</v>
      </c>
      <c r="BB1017" s="186">
        <v>1998900</v>
      </c>
      <c r="BC1017" s="186">
        <v>1418300</v>
      </c>
    </row>
    <row r="1018" spans="52:55">
      <c r="AZ1018" s="185">
        <v>43563</v>
      </c>
      <c r="BA1018" s="186">
        <v>5.7</v>
      </c>
      <c r="BB1018" s="186">
        <v>899500</v>
      </c>
      <c r="BC1018" s="186">
        <v>1321353</v>
      </c>
    </row>
    <row r="1019" spans="52:55">
      <c r="AZ1019" s="185">
        <v>43560</v>
      </c>
      <c r="BA1019" s="186">
        <v>5.49</v>
      </c>
      <c r="BB1019" s="186">
        <v>429400</v>
      </c>
      <c r="BC1019" s="186">
        <v>1351160</v>
      </c>
    </row>
    <row r="1020" spans="52:55">
      <c r="AZ1020" s="185">
        <v>43559</v>
      </c>
      <c r="BA1020" s="186">
        <v>5.6</v>
      </c>
      <c r="BB1020" s="186">
        <v>687200</v>
      </c>
      <c r="BC1020" s="186">
        <v>1710933</v>
      </c>
    </row>
    <row r="1021" spans="52:55">
      <c r="AZ1021" s="185">
        <v>43558</v>
      </c>
      <c r="BA1021" s="186">
        <v>5.49</v>
      </c>
      <c r="BB1021" s="186">
        <v>299300</v>
      </c>
      <c r="BC1021" s="186">
        <v>1772907</v>
      </c>
    </row>
    <row r="1022" spans="52:55">
      <c r="AZ1022" s="185">
        <v>43557</v>
      </c>
      <c r="BA1022" s="186">
        <v>5.53</v>
      </c>
      <c r="BB1022" s="186">
        <v>1633300</v>
      </c>
      <c r="BC1022" s="186">
        <v>1900033</v>
      </c>
    </row>
    <row r="1023" spans="52:55">
      <c r="AZ1023" s="185">
        <v>43556</v>
      </c>
      <c r="BA1023" s="186">
        <v>5.37</v>
      </c>
      <c r="BB1023" s="186">
        <v>2769900</v>
      </c>
      <c r="BC1023" s="186">
        <v>1837993</v>
      </c>
    </row>
    <row r="1024" spans="52:55">
      <c r="AZ1024" s="185">
        <v>43553</v>
      </c>
      <c r="BA1024" s="186">
        <v>5.36</v>
      </c>
      <c r="BB1024" s="186">
        <v>3076700</v>
      </c>
      <c r="BC1024" s="186">
        <v>1778053</v>
      </c>
    </row>
    <row r="1025" spans="52:55">
      <c r="AZ1025" s="185">
        <v>43552</v>
      </c>
      <c r="BA1025" s="186">
        <v>5.36</v>
      </c>
      <c r="BB1025" s="186">
        <v>2073900</v>
      </c>
      <c r="BC1025" s="186">
        <v>1683813</v>
      </c>
    </row>
    <row r="1026" spans="52:55">
      <c r="AZ1026" s="185">
        <v>43551</v>
      </c>
      <c r="BA1026" s="186">
        <v>5.45</v>
      </c>
      <c r="BB1026" s="186">
        <v>756900</v>
      </c>
      <c r="BC1026" s="186">
        <v>1640320</v>
      </c>
    </row>
    <row r="1027" spans="52:55">
      <c r="AZ1027" s="185">
        <v>43550</v>
      </c>
      <c r="BA1027" s="186">
        <v>5.41</v>
      </c>
      <c r="BB1027" s="186">
        <v>810100</v>
      </c>
      <c r="BC1027" s="186">
        <v>1678167</v>
      </c>
    </row>
    <row r="1028" spans="52:55">
      <c r="AZ1028" s="185">
        <v>43549</v>
      </c>
      <c r="BA1028" s="186">
        <v>5.38</v>
      </c>
      <c r="BB1028" s="186">
        <v>1178000</v>
      </c>
      <c r="BC1028" s="186">
        <v>1805813</v>
      </c>
    </row>
    <row r="1029" spans="52:55">
      <c r="AZ1029" s="185">
        <v>43546</v>
      </c>
      <c r="BA1029" s="186">
        <v>5.56</v>
      </c>
      <c r="BB1029" s="186">
        <v>1751500</v>
      </c>
      <c r="BC1029" s="186">
        <v>1951060</v>
      </c>
    </row>
    <row r="1030" spans="52:55">
      <c r="AZ1030" s="185">
        <v>43545</v>
      </c>
      <c r="BA1030" s="186">
        <v>5.33</v>
      </c>
      <c r="BB1030" s="186">
        <v>1412800</v>
      </c>
      <c r="BC1030" s="186">
        <v>2166100</v>
      </c>
    </row>
    <row r="1031" spans="52:55">
      <c r="AZ1031" s="185">
        <v>43544</v>
      </c>
      <c r="BA1031" s="186">
        <v>5.39</v>
      </c>
      <c r="BB1031" s="186">
        <v>1497100</v>
      </c>
      <c r="BC1031" s="186">
        <v>2455633</v>
      </c>
    </row>
    <row r="1032" spans="52:55">
      <c r="AZ1032" s="185">
        <v>43543</v>
      </c>
      <c r="BA1032" s="186">
        <v>5.4</v>
      </c>
      <c r="BB1032" s="186">
        <v>544700</v>
      </c>
      <c r="BC1032" s="186">
        <v>2563320</v>
      </c>
    </row>
    <row r="1033" spans="52:55">
      <c r="AZ1033" s="185">
        <v>43542</v>
      </c>
      <c r="BA1033" s="186">
        <v>5.47</v>
      </c>
      <c r="BB1033" s="186">
        <v>1346600</v>
      </c>
      <c r="BC1033" s="186">
        <v>2698040</v>
      </c>
    </row>
    <row r="1034" spans="52:55">
      <c r="AZ1034" s="185">
        <v>43539</v>
      </c>
      <c r="BA1034" s="186">
        <v>5.24</v>
      </c>
      <c r="BB1034" s="186">
        <v>5826000</v>
      </c>
      <c r="BC1034" s="186">
        <v>2711133</v>
      </c>
    </row>
    <row r="1035" spans="52:55">
      <c r="AZ1035" s="185">
        <v>43538</v>
      </c>
      <c r="BA1035" s="186">
        <v>5.29</v>
      </c>
      <c r="BB1035" s="186">
        <v>1616800</v>
      </c>
      <c r="BC1035" s="186">
        <v>2461180</v>
      </c>
    </row>
    <row r="1036" spans="52:55">
      <c r="AZ1036" s="185">
        <v>43537</v>
      </c>
      <c r="BA1036" s="186">
        <v>5.33</v>
      </c>
      <c r="BB1036" s="186">
        <v>2206200</v>
      </c>
      <c r="BC1036" s="186">
        <v>2512060</v>
      </c>
    </row>
    <row r="1037" spans="52:55">
      <c r="AZ1037" s="185">
        <v>43536</v>
      </c>
      <c r="BA1037" s="186">
        <v>5.35</v>
      </c>
      <c r="BB1037" s="186">
        <v>702700</v>
      </c>
      <c r="BC1037" s="186">
        <v>2519240</v>
      </c>
    </row>
    <row r="1038" spans="52:55">
      <c r="AZ1038" s="185">
        <v>43535</v>
      </c>
      <c r="BA1038" s="186">
        <v>5.36</v>
      </c>
      <c r="BB1038" s="186">
        <v>1870800</v>
      </c>
      <c r="BC1038" s="186">
        <v>2591127</v>
      </c>
    </row>
    <row r="1039" spans="52:55">
      <c r="AZ1039" s="185">
        <v>43532</v>
      </c>
      <c r="BA1039" s="186">
        <v>5.36</v>
      </c>
      <c r="BB1039" s="186">
        <v>1663100</v>
      </c>
      <c r="BC1039" s="186">
        <v>2510313</v>
      </c>
    </row>
    <row r="1040" spans="52:55">
      <c r="AZ1040" s="185">
        <v>43531</v>
      </c>
      <c r="BA1040" s="186">
        <v>5.33</v>
      </c>
      <c r="BB1040" s="186">
        <v>1421500</v>
      </c>
      <c r="BC1040" s="186">
        <v>2474253</v>
      </c>
    </row>
    <row r="1041" spans="52:55">
      <c r="AZ1041" s="185">
        <v>43530</v>
      </c>
      <c r="BA1041" s="186">
        <v>5.34</v>
      </c>
      <c r="BB1041" s="186">
        <v>1324600</v>
      </c>
      <c r="BC1041" s="186">
        <v>2429713</v>
      </c>
    </row>
    <row r="1042" spans="52:55">
      <c r="AZ1042" s="185">
        <v>43529</v>
      </c>
      <c r="BA1042" s="186">
        <v>5.3</v>
      </c>
      <c r="BB1042" s="186">
        <v>2724800</v>
      </c>
      <c r="BC1042" s="186">
        <v>2368560</v>
      </c>
    </row>
    <row r="1043" spans="52:55">
      <c r="AZ1043" s="185">
        <v>43528</v>
      </c>
      <c r="BA1043" s="186">
        <v>5.31</v>
      </c>
      <c r="BB1043" s="186">
        <v>3356700</v>
      </c>
      <c r="BC1043" s="186">
        <v>2240067</v>
      </c>
    </row>
    <row r="1044" spans="52:55">
      <c r="AZ1044" s="185">
        <v>43525</v>
      </c>
      <c r="BA1044" s="186">
        <v>5.39</v>
      </c>
      <c r="BB1044" s="186">
        <v>4977100</v>
      </c>
      <c r="BC1044" s="186">
        <v>2061720</v>
      </c>
    </row>
    <row r="1045" spans="52:55">
      <c r="AZ1045" s="185">
        <v>43524</v>
      </c>
      <c r="BA1045" s="186">
        <v>5.37</v>
      </c>
      <c r="BB1045" s="186">
        <v>5755800</v>
      </c>
      <c r="BC1045" s="186">
        <v>1824167</v>
      </c>
    </row>
    <row r="1046" spans="52:55">
      <c r="AZ1046" s="185">
        <v>43523</v>
      </c>
      <c r="BA1046" s="186">
        <v>5.42</v>
      </c>
      <c r="BB1046" s="186">
        <v>3112400</v>
      </c>
      <c r="BC1046" s="186">
        <v>1597120</v>
      </c>
    </row>
    <row r="1047" spans="52:55">
      <c r="AZ1047" s="185">
        <v>43522</v>
      </c>
      <c r="BA1047" s="186">
        <v>5.43</v>
      </c>
      <c r="BB1047" s="186">
        <v>2565500</v>
      </c>
      <c r="BC1047" s="186">
        <v>1475080</v>
      </c>
    </row>
    <row r="1048" spans="52:55">
      <c r="AZ1048" s="185">
        <v>43521</v>
      </c>
      <c r="BA1048" s="186">
        <v>5.53</v>
      </c>
      <c r="BB1048" s="186">
        <v>1543000</v>
      </c>
      <c r="BC1048" s="186">
        <v>1558453</v>
      </c>
    </row>
    <row r="1049" spans="52:55">
      <c r="AZ1049" s="185">
        <v>43518</v>
      </c>
      <c r="BA1049" s="186">
        <v>5.51</v>
      </c>
      <c r="BB1049" s="186">
        <v>2076700</v>
      </c>
      <c r="BC1049" s="186">
        <v>1530867</v>
      </c>
    </row>
    <row r="1050" spans="52:55">
      <c r="AZ1050" s="185">
        <v>43517</v>
      </c>
      <c r="BA1050" s="186">
        <v>5.67</v>
      </c>
      <c r="BB1050" s="186">
        <v>2380000</v>
      </c>
      <c r="BC1050" s="186">
        <v>1551147</v>
      </c>
    </row>
    <row r="1051" spans="52:55">
      <c r="AZ1051" s="185">
        <v>43516</v>
      </c>
      <c r="BA1051" s="186">
        <v>5.64</v>
      </c>
      <c r="BB1051" s="186">
        <v>2313900</v>
      </c>
      <c r="BC1051" s="186">
        <v>1490793</v>
      </c>
    </row>
    <row r="1052" spans="52:55">
      <c r="AZ1052" s="185">
        <v>43515</v>
      </c>
      <c r="BA1052" s="186">
        <v>5.5</v>
      </c>
      <c r="BB1052" s="186">
        <v>1781000</v>
      </c>
      <c r="BC1052" s="186">
        <v>1466327</v>
      </c>
    </row>
    <row r="1053" spans="52:55">
      <c r="AZ1053" s="185">
        <v>43514</v>
      </c>
      <c r="BA1053" s="186">
        <v>5.55</v>
      </c>
      <c r="BB1053" s="186">
        <v>658600</v>
      </c>
      <c r="BC1053" s="186">
        <v>1463067</v>
      </c>
    </row>
    <row r="1054" spans="52:55">
      <c r="AZ1054" s="185">
        <v>43511</v>
      </c>
      <c r="BA1054" s="186">
        <v>5.63</v>
      </c>
      <c r="BB1054" s="186">
        <v>1122200</v>
      </c>
      <c r="BC1054" s="186">
        <v>1572467</v>
      </c>
    </row>
    <row r="1055" spans="52:55">
      <c r="AZ1055" s="185">
        <v>43510</v>
      </c>
      <c r="BA1055" s="186">
        <v>5.7</v>
      </c>
      <c r="BB1055" s="186">
        <v>753400</v>
      </c>
      <c r="BC1055" s="186">
        <v>1681660</v>
      </c>
    </row>
    <row r="1056" spans="52:55">
      <c r="AZ1056" s="185">
        <v>43509</v>
      </c>
      <c r="BA1056" s="186">
        <v>5.66</v>
      </c>
      <c r="BB1056" s="186">
        <v>407300</v>
      </c>
      <c r="BC1056" s="186">
        <v>1758853</v>
      </c>
    </row>
    <row r="1057" spans="52:55">
      <c r="AZ1057" s="185">
        <v>43508</v>
      </c>
      <c r="BA1057" s="186">
        <v>5.7</v>
      </c>
      <c r="BB1057" s="186">
        <v>797400</v>
      </c>
      <c r="BC1057" s="186">
        <v>1905947</v>
      </c>
    </row>
    <row r="1058" spans="52:55">
      <c r="AZ1058" s="185">
        <v>43507</v>
      </c>
      <c r="BA1058" s="186">
        <v>5.7</v>
      </c>
      <c r="BB1058" s="186">
        <v>681500</v>
      </c>
      <c r="BC1058" s="186">
        <v>1940260</v>
      </c>
    </row>
    <row r="1059" spans="52:55">
      <c r="AZ1059" s="185">
        <v>43504</v>
      </c>
      <c r="BA1059" s="186">
        <v>5.7</v>
      </c>
      <c r="BB1059" s="186">
        <v>1413800</v>
      </c>
      <c r="BC1059" s="186">
        <v>2122587</v>
      </c>
    </row>
    <row r="1060" spans="52:55">
      <c r="AZ1060" s="185">
        <v>43503</v>
      </c>
      <c r="BA1060" s="186">
        <v>5.7</v>
      </c>
      <c r="BB1060" s="186">
        <v>2350100</v>
      </c>
      <c r="BC1060" s="186">
        <v>2100080</v>
      </c>
    </row>
    <row r="1061" spans="52:55">
      <c r="AZ1061" s="185">
        <v>43500</v>
      </c>
      <c r="BA1061" s="186">
        <v>5.56</v>
      </c>
      <c r="BB1061" s="186">
        <v>1281800</v>
      </c>
      <c r="BC1061" s="186">
        <v>2110587</v>
      </c>
    </row>
    <row r="1062" spans="52:55">
      <c r="AZ1062" s="185">
        <v>43496</v>
      </c>
      <c r="BA1062" s="186">
        <v>5.75</v>
      </c>
      <c r="BB1062" s="186">
        <v>3816100</v>
      </c>
      <c r="BC1062" s="186">
        <v>2189200</v>
      </c>
    </row>
    <row r="1063" spans="52:55">
      <c r="AZ1063" s="185">
        <v>43495</v>
      </c>
      <c r="BA1063" s="186">
        <v>5.74</v>
      </c>
      <c r="BB1063" s="186">
        <v>1129200</v>
      </c>
      <c r="BC1063" s="186">
        <v>2124013</v>
      </c>
    </row>
    <row r="1064" spans="52:55">
      <c r="AZ1064" s="185">
        <v>43494</v>
      </c>
      <c r="BA1064" s="186">
        <v>5.76</v>
      </c>
      <c r="BB1064" s="186">
        <v>2380900</v>
      </c>
      <c r="BC1064" s="186">
        <v>2289640</v>
      </c>
    </row>
    <row r="1065" spans="52:55">
      <c r="AZ1065" s="185">
        <v>43493</v>
      </c>
      <c r="BA1065" s="186">
        <v>5.76</v>
      </c>
      <c r="BB1065" s="186">
        <v>1474700</v>
      </c>
      <c r="BC1065" s="186">
        <v>2244487</v>
      </c>
    </row>
    <row r="1066" spans="52:55">
      <c r="AZ1066" s="185">
        <v>43490</v>
      </c>
      <c r="BA1066" s="186">
        <v>5.79</v>
      </c>
      <c r="BB1066" s="186">
        <v>1946900</v>
      </c>
      <c r="BC1066" s="186">
        <v>2244707</v>
      </c>
    </row>
    <row r="1067" spans="52:55">
      <c r="AZ1067" s="185">
        <v>43489</v>
      </c>
      <c r="BA1067" s="186">
        <v>5.76</v>
      </c>
      <c r="BB1067" s="186">
        <v>1732100</v>
      </c>
      <c r="BC1067" s="186">
        <v>2197547</v>
      </c>
    </row>
    <row r="1068" spans="52:55">
      <c r="AZ1068" s="185">
        <v>43488</v>
      </c>
      <c r="BA1068" s="186">
        <v>5.74</v>
      </c>
      <c r="BB1068" s="186">
        <v>2299600</v>
      </c>
      <c r="BC1068" s="186">
        <v>2155967</v>
      </c>
    </row>
    <row r="1069" spans="52:55">
      <c r="AZ1069" s="185">
        <v>43487</v>
      </c>
      <c r="BA1069" s="186">
        <v>5.74</v>
      </c>
      <c r="BB1069" s="186">
        <v>2760100</v>
      </c>
      <c r="BC1069" s="186">
        <v>2038320</v>
      </c>
    </row>
    <row r="1070" spans="52:55">
      <c r="AZ1070" s="185">
        <v>43483</v>
      </c>
      <c r="BA1070" s="186">
        <v>5.71</v>
      </c>
      <c r="BB1070" s="186">
        <v>1911300</v>
      </c>
      <c r="BC1070" s="186">
        <v>1949000</v>
      </c>
    </row>
    <row r="1071" spans="52:55">
      <c r="AZ1071" s="185">
        <v>43482</v>
      </c>
      <c r="BA1071" s="186">
        <v>5.71</v>
      </c>
      <c r="BB1071" s="186">
        <v>2613700</v>
      </c>
      <c r="BC1071" s="186">
        <v>1889813</v>
      </c>
    </row>
    <row r="1072" spans="52:55">
      <c r="AZ1072" s="185">
        <v>43481</v>
      </c>
      <c r="BA1072" s="186">
        <v>5.7</v>
      </c>
      <c r="BB1072" s="186">
        <v>1312100</v>
      </c>
      <c r="BC1072" s="186">
        <v>1767313</v>
      </c>
    </row>
    <row r="1073" spans="52:55">
      <c r="AZ1073" s="185">
        <v>43480</v>
      </c>
      <c r="BA1073" s="186">
        <v>5.72</v>
      </c>
      <c r="BB1073" s="186">
        <v>3416400</v>
      </c>
      <c r="BC1073" s="186">
        <v>1731693</v>
      </c>
    </row>
    <row r="1074" spans="52:55">
      <c r="AZ1074" s="185">
        <v>43479</v>
      </c>
      <c r="BA1074" s="186">
        <v>5.64</v>
      </c>
      <c r="BB1074" s="186">
        <v>1076200</v>
      </c>
      <c r="BC1074" s="186">
        <v>1746820</v>
      </c>
    </row>
    <row r="1075" spans="52:55">
      <c r="AZ1075" s="185">
        <v>43476</v>
      </c>
      <c r="BA1075" s="186">
        <v>5.7</v>
      </c>
      <c r="BB1075" s="186">
        <v>2507700</v>
      </c>
      <c r="BC1075" s="186">
        <v>1845020</v>
      </c>
    </row>
    <row r="1076" spans="52:55">
      <c r="AZ1076" s="185">
        <v>43475</v>
      </c>
      <c r="BA1076" s="186">
        <v>5.64</v>
      </c>
      <c r="BB1076" s="186">
        <v>2461000</v>
      </c>
      <c r="BC1076" s="186">
        <v>1830967</v>
      </c>
    </row>
    <row r="1077" spans="52:55">
      <c r="AZ1077" s="185">
        <v>43474</v>
      </c>
      <c r="BA1077" s="186">
        <v>5.46</v>
      </c>
      <c r="BB1077" s="186">
        <v>2838300</v>
      </c>
      <c r="BC1077" s="186">
        <v>1875047</v>
      </c>
    </row>
    <row r="1078" spans="52:55">
      <c r="AZ1078" s="185">
        <v>43473</v>
      </c>
      <c r="BA1078" s="186">
        <v>5.64</v>
      </c>
      <c r="BB1078" s="186">
        <v>3613600</v>
      </c>
      <c r="BC1078" s="186">
        <v>1764427</v>
      </c>
    </row>
    <row r="1079" spans="52:55">
      <c r="AZ1079" s="185">
        <v>43472</v>
      </c>
      <c r="BA1079" s="186">
        <v>5.66</v>
      </c>
      <c r="BB1079" s="186">
        <v>1703600</v>
      </c>
      <c r="BC1079" s="186">
        <v>1629500</v>
      </c>
    </row>
    <row r="1080" spans="52:55">
      <c r="AZ1080" s="185">
        <v>43469</v>
      </c>
      <c r="BA1080" s="186">
        <v>5.53</v>
      </c>
      <c r="BB1080" s="186">
        <v>1478000</v>
      </c>
      <c r="BC1080" s="186">
        <v>1726267</v>
      </c>
    </row>
    <row r="1081" spans="52:55">
      <c r="AZ1081" s="185">
        <v>43468</v>
      </c>
      <c r="BA1081" s="186">
        <v>5.45</v>
      </c>
      <c r="BB1081" s="186">
        <v>1239500</v>
      </c>
      <c r="BC1081" s="186">
        <v>1735527</v>
      </c>
    </row>
    <row r="1082" spans="52:55">
      <c r="AZ1082" s="185">
        <v>43467</v>
      </c>
      <c r="BA1082" s="186">
        <v>5.4</v>
      </c>
      <c r="BB1082" s="186">
        <v>1108400</v>
      </c>
      <c r="BC1082" s="186">
        <v>1794600</v>
      </c>
    </row>
    <row r="1083" spans="52:55">
      <c r="AZ1083" s="185">
        <v>43465</v>
      </c>
      <c r="BA1083" s="186">
        <v>5.35</v>
      </c>
      <c r="BB1083" s="186">
        <v>534900</v>
      </c>
      <c r="BC1083" s="186">
        <v>1753153</v>
      </c>
    </row>
    <row r="1084" spans="52:55">
      <c r="AZ1084" s="185">
        <v>43462</v>
      </c>
      <c r="BA1084" s="186">
        <v>5.46</v>
      </c>
      <c r="BB1084" s="186">
        <v>1420300</v>
      </c>
      <c r="BC1084" s="186">
        <v>1765173</v>
      </c>
    </row>
    <row r="1085" spans="52:55">
      <c r="AZ1085" s="185">
        <v>43461</v>
      </c>
      <c r="BA1085" s="186">
        <v>5.35</v>
      </c>
      <c r="BB1085" s="186">
        <v>1023500</v>
      </c>
      <c r="BC1085" s="186">
        <v>1835747</v>
      </c>
    </row>
    <row r="1086" spans="52:55">
      <c r="AZ1086" s="185">
        <v>43460</v>
      </c>
      <c r="BA1086" s="186">
        <v>5.24</v>
      </c>
      <c r="BB1086" s="186">
        <v>776200</v>
      </c>
      <c r="BC1086" s="186">
        <v>1863533</v>
      </c>
    </row>
    <row r="1087" spans="52:55">
      <c r="AZ1087" s="185">
        <v>43458</v>
      </c>
      <c r="BA1087" s="186">
        <v>5.35</v>
      </c>
      <c r="BB1087" s="186">
        <v>777800</v>
      </c>
      <c r="BC1087" s="186">
        <v>2075600</v>
      </c>
    </row>
    <row r="1088" spans="52:55">
      <c r="AZ1088" s="185">
        <v>43455</v>
      </c>
      <c r="BA1088" s="186">
        <v>5.41</v>
      </c>
      <c r="BB1088" s="186">
        <v>3643300</v>
      </c>
      <c r="BC1088" s="186">
        <v>2150473</v>
      </c>
    </row>
    <row r="1089" spans="52:55">
      <c r="AZ1089" s="185">
        <v>43454</v>
      </c>
      <c r="BA1089" s="186">
        <v>5.25</v>
      </c>
      <c r="BB1089" s="186">
        <v>2549200</v>
      </c>
      <c r="BC1089" s="186">
        <v>2423333</v>
      </c>
    </row>
    <row r="1090" spans="52:55">
      <c r="AZ1090" s="185">
        <v>43453</v>
      </c>
      <c r="BA1090" s="186">
        <v>5.47</v>
      </c>
      <c r="BB1090" s="186">
        <v>2296900</v>
      </c>
      <c r="BC1090" s="186">
        <v>2407527</v>
      </c>
    </row>
    <row r="1091" spans="52:55">
      <c r="AZ1091" s="185">
        <v>43452</v>
      </c>
      <c r="BA1091" s="186">
        <v>5.28</v>
      </c>
      <c r="BB1091" s="186">
        <v>3122200</v>
      </c>
      <c r="BC1091" s="186">
        <v>2349173</v>
      </c>
    </row>
    <row r="1092" spans="52:55">
      <c r="AZ1092" s="185">
        <v>43451</v>
      </c>
      <c r="BA1092" s="186">
        <v>5.24</v>
      </c>
      <c r="BB1092" s="186">
        <v>1179000</v>
      </c>
      <c r="BC1092" s="186">
        <v>2254860</v>
      </c>
    </row>
    <row r="1093" spans="52:55">
      <c r="AZ1093" s="185">
        <v>43448</v>
      </c>
      <c r="BA1093" s="186">
        <v>5.25</v>
      </c>
      <c r="BB1093" s="186">
        <v>1589700</v>
      </c>
      <c r="BC1093" s="186">
        <v>2294013</v>
      </c>
    </row>
    <row r="1094" spans="52:55">
      <c r="AZ1094" s="185">
        <v>43447</v>
      </c>
      <c r="BA1094" s="186">
        <v>5.21</v>
      </c>
      <c r="BB1094" s="186">
        <v>3155100</v>
      </c>
      <c r="BC1094" s="186">
        <v>2230507</v>
      </c>
    </row>
    <row r="1095" spans="52:55">
      <c r="AZ1095" s="185">
        <v>43446</v>
      </c>
      <c r="BA1095" s="186">
        <v>5.14</v>
      </c>
      <c r="BB1095" s="186">
        <v>1616900</v>
      </c>
      <c r="BC1095" s="186">
        <v>2057753</v>
      </c>
    </row>
    <row r="1096" spans="52:55">
      <c r="AZ1096" s="185">
        <v>43445</v>
      </c>
      <c r="BA1096" s="186">
        <v>5.22</v>
      </c>
      <c r="BB1096" s="186">
        <v>2125600</v>
      </c>
      <c r="BC1096" s="186">
        <v>2049627</v>
      </c>
    </row>
    <row r="1097" spans="52:55">
      <c r="AZ1097" s="185">
        <v>43444</v>
      </c>
      <c r="BA1097" s="186">
        <v>5.36</v>
      </c>
      <c r="BB1097" s="186">
        <v>486700</v>
      </c>
      <c r="BC1097" s="186">
        <v>2024640</v>
      </c>
    </row>
    <row r="1098" spans="52:55">
      <c r="AZ1098" s="185">
        <v>43441</v>
      </c>
      <c r="BA1098" s="186">
        <v>5.4</v>
      </c>
      <c r="BB1098" s="186">
        <v>715200</v>
      </c>
      <c r="BC1098" s="186">
        <v>2087580</v>
      </c>
    </row>
    <row r="1099" spans="52:55">
      <c r="AZ1099" s="185">
        <v>43440</v>
      </c>
      <c r="BA1099" s="186">
        <v>5.43</v>
      </c>
      <c r="BB1099" s="186">
        <v>2478900</v>
      </c>
      <c r="BC1099" s="186">
        <v>2164567</v>
      </c>
    </row>
    <row r="1100" spans="52:55">
      <c r="AZ1100" s="185">
        <v>43439</v>
      </c>
      <c r="BA1100" s="186">
        <v>5.38</v>
      </c>
      <c r="BB1100" s="186">
        <v>1440300</v>
      </c>
      <c r="BC1100" s="186">
        <v>2067120</v>
      </c>
    </row>
    <row r="1101" spans="52:55">
      <c r="AZ1101" s="185">
        <v>43438</v>
      </c>
      <c r="BA1101" s="186">
        <v>5.5</v>
      </c>
      <c r="BB1101" s="186">
        <v>3957200</v>
      </c>
      <c r="BC1101" s="186">
        <v>2001647</v>
      </c>
    </row>
    <row r="1102" spans="52:55">
      <c r="AZ1102" s="185">
        <v>43437</v>
      </c>
      <c r="BA1102" s="186">
        <v>5.52</v>
      </c>
      <c r="BB1102" s="186">
        <v>1900900</v>
      </c>
      <c r="BC1102" s="186">
        <v>1752973</v>
      </c>
    </row>
    <row r="1103" spans="52:55">
      <c r="AZ1103" s="185">
        <v>43434</v>
      </c>
      <c r="BA1103" s="186">
        <v>5.43</v>
      </c>
      <c r="BB1103" s="186">
        <v>7736200</v>
      </c>
      <c r="BC1103" s="186">
        <v>1671233</v>
      </c>
    </row>
    <row r="1104" spans="52:55">
      <c r="AZ1104" s="185">
        <v>43433</v>
      </c>
      <c r="BA1104" s="186">
        <v>5.4</v>
      </c>
      <c r="BB1104" s="186">
        <v>2312100</v>
      </c>
      <c r="BC1104" s="186">
        <v>1431047</v>
      </c>
    </row>
    <row r="1105" spans="52:55">
      <c r="AZ1105" s="185">
        <v>43432</v>
      </c>
      <c r="BA1105" s="186">
        <v>5.4</v>
      </c>
      <c r="BB1105" s="186">
        <v>1421600</v>
      </c>
      <c r="BC1105" s="186">
        <v>1380520</v>
      </c>
    </row>
    <row r="1106" spans="52:55">
      <c r="AZ1106" s="185">
        <v>43431</v>
      </c>
      <c r="BA1106" s="186">
        <v>5.4</v>
      </c>
      <c r="BB1106" s="186">
        <v>1707500</v>
      </c>
      <c r="BC1106" s="186">
        <v>1367547</v>
      </c>
    </row>
    <row r="1107" spans="52:55">
      <c r="AZ1107" s="185">
        <v>43430</v>
      </c>
      <c r="BA1107" s="186">
        <v>5.43</v>
      </c>
      <c r="BB1107" s="186">
        <v>1766300</v>
      </c>
      <c r="BC1107" s="186">
        <v>1374620</v>
      </c>
    </row>
    <row r="1108" spans="52:55">
      <c r="AZ1108" s="185">
        <v>43427</v>
      </c>
      <c r="BA1108" s="186">
        <v>5.31</v>
      </c>
      <c r="BB1108" s="186">
        <v>637100</v>
      </c>
      <c r="BC1108" s="186">
        <v>1338887</v>
      </c>
    </row>
    <row r="1109" spans="52:55">
      <c r="AZ1109" s="185">
        <v>43426</v>
      </c>
      <c r="BA1109" s="186">
        <v>5.36</v>
      </c>
      <c r="BB1109" s="186">
        <v>563800</v>
      </c>
      <c r="BC1109" s="186">
        <v>1517560</v>
      </c>
    </row>
    <row r="1110" spans="52:55">
      <c r="AZ1110" s="185">
        <v>43425</v>
      </c>
      <c r="BA1110" s="186">
        <v>5.35</v>
      </c>
      <c r="BB1110" s="186">
        <v>1495000</v>
      </c>
      <c r="BC1110" s="186">
        <v>1589513</v>
      </c>
    </row>
    <row r="1111" spans="52:55">
      <c r="AZ1111" s="185">
        <v>43423</v>
      </c>
      <c r="BA1111" s="186">
        <v>5.41</v>
      </c>
      <c r="BB1111" s="186">
        <v>1750800</v>
      </c>
      <c r="BC1111" s="186">
        <v>1544620</v>
      </c>
    </row>
    <row r="1112" spans="52:55">
      <c r="AZ1112" s="185">
        <v>43420</v>
      </c>
      <c r="BA1112" s="186">
        <v>5.4</v>
      </c>
      <c r="BB1112" s="186">
        <v>1430800</v>
      </c>
      <c r="BC1112" s="186">
        <v>1536807</v>
      </c>
    </row>
    <row r="1113" spans="52:55">
      <c r="AZ1113" s="185">
        <v>43419</v>
      </c>
      <c r="BA1113" s="186">
        <v>5.4</v>
      </c>
      <c r="BB1113" s="186">
        <v>1870000</v>
      </c>
      <c r="BC1113" s="186">
        <v>1551307</v>
      </c>
    </row>
    <row r="1114" spans="52:55">
      <c r="AZ1114" s="185">
        <v>43418</v>
      </c>
      <c r="BA1114" s="186">
        <v>5.35</v>
      </c>
      <c r="BB1114" s="186">
        <v>1017200</v>
      </c>
      <c r="BC1114" s="186">
        <v>1515947</v>
      </c>
    </row>
    <row r="1115" spans="52:55">
      <c r="AZ1115" s="185">
        <v>43417</v>
      </c>
      <c r="BA1115" s="186">
        <v>5.35</v>
      </c>
      <c r="BB1115" s="186">
        <v>458200</v>
      </c>
      <c r="BC1115" s="186">
        <v>1693973</v>
      </c>
    </row>
    <row r="1116" spans="52:55">
      <c r="AZ1116" s="185">
        <v>43416</v>
      </c>
      <c r="BA1116" s="186">
        <v>5.42</v>
      </c>
      <c r="BB1116" s="186">
        <v>227100</v>
      </c>
      <c r="BC1116" s="186">
        <v>1790027</v>
      </c>
    </row>
    <row r="1117" spans="52:55">
      <c r="AZ1117" s="185">
        <v>43413</v>
      </c>
      <c r="BA1117" s="186">
        <v>5.45</v>
      </c>
      <c r="BB1117" s="186">
        <v>674800</v>
      </c>
      <c r="BC1117" s="186">
        <v>1956300</v>
      </c>
    </row>
    <row r="1118" spans="52:55">
      <c r="AZ1118" s="185">
        <v>43412</v>
      </c>
      <c r="BA1118" s="186">
        <v>5.51</v>
      </c>
      <c r="BB1118" s="186">
        <v>4133400</v>
      </c>
      <c r="BC1118" s="186">
        <v>1965187</v>
      </c>
    </row>
    <row r="1119" spans="52:55">
      <c r="AZ1119" s="185">
        <v>43411</v>
      </c>
      <c r="BA1119" s="186">
        <v>5.4</v>
      </c>
      <c r="BB1119" s="186">
        <v>1554200</v>
      </c>
      <c r="BC1119" s="186">
        <v>1752720</v>
      </c>
    </row>
    <row r="1120" spans="52:55">
      <c r="AZ1120" s="185">
        <v>43409</v>
      </c>
      <c r="BA1120" s="186">
        <v>5.39</v>
      </c>
      <c r="BB1120" s="186">
        <v>1227000</v>
      </c>
      <c r="BC1120" s="186">
        <v>1720467</v>
      </c>
    </row>
    <row r="1121" spans="52:55">
      <c r="AZ1121" s="185">
        <v>43406</v>
      </c>
      <c r="BA1121" s="186">
        <v>5.31</v>
      </c>
      <c r="BB1121" s="186">
        <v>1813600</v>
      </c>
      <c r="BC1121" s="186">
        <v>1721007</v>
      </c>
    </row>
    <row r="1122" spans="52:55">
      <c r="AZ1122" s="185">
        <v>43405</v>
      </c>
      <c r="BA1122" s="186">
        <v>5.21</v>
      </c>
      <c r="BB1122" s="186">
        <v>1230300</v>
      </c>
      <c r="BC1122" s="186">
        <v>1672873</v>
      </c>
    </row>
    <row r="1123" spans="52:55">
      <c r="AZ1123" s="185">
        <v>43404</v>
      </c>
      <c r="BA1123" s="186">
        <v>5.23</v>
      </c>
      <c r="BB1123" s="186">
        <v>3317200</v>
      </c>
      <c r="BC1123" s="186">
        <v>1796653</v>
      </c>
    </row>
    <row r="1124" spans="52:55">
      <c r="AZ1124" s="185">
        <v>43403</v>
      </c>
      <c r="BA1124" s="186">
        <v>5.15</v>
      </c>
      <c r="BB1124" s="186">
        <v>1643100</v>
      </c>
      <c r="BC1124" s="186">
        <v>1667393</v>
      </c>
    </row>
    <row r="1125" spans="52:55">
      <c r="AZ1125" s="185">
        <v>43402</v>
      </c>
      <c r="BA1125" s="186">
        <v>5.24</v>
      </c>
      <c r="BB1125" s="186">
        <v>821600</v>
      </c>
      <c r="BC1125" s="186">
        <v>1619113</v>
      </c>
    </row>
    <row r="1126" spans="52:55">
      <c r="AZ1126" s="185">
        <v>43399</v>
      </c>
      <c r="BA1126" s="186">
        <v>5.26</v>
      </c>
      <c r="BB1126" s="186">
        <v>1633600</v>
      </c>
      <c r="BC1126" s="186">
        <v>1692367</v>
      </c>
    </row>
    <row r="1127" spans="52:55">
      <c r="AZ1127" s="185">
        <v>43398</v>
      </c>
      <c r="BA1127" s="186">
        <v>5.27</v>
      </c>
      <c r="BB1127" s="186">
        <v>1648300</v>
      </c>
      <c r="BC1127" s="186">
        <v>1699820</v>
      </c>
    </row>
    <row r="1128" spans="52:55">
      <c r="AZ1128" s="185">
        <v>43397</v>
      </c>
      <c r="BA1128" s="186">
        <v>5.23</v>
      </c>
      <c r="BB1128" s="186">
        <v>1339600</v>
      </c>
      <c r="BC1128" s="186">
        <v>1727653</v>
      </c>
    </row>
    <row r="1129" spans="52:55">
      <c r="AZ1129" s="185">
        <v>43396</v>
      </c>
      <c r="BA1129" s="186">
        <v>5.29</v>
      </c>
      <c r="BB1129" s="186">
        <v>3687600</v>
      </c>
      <c r="BC1129" s="186">
        <v>1722693</v>
      </c>
    </row>
    <row r="1130" spans="52:55">
      <c r="AZ1130" s="185">
        <v>43395</v>
      </c>
      <c r="BA1130" s="186">
        <v>5.22</v>
      </c>
      <c r="BB1130" s="186">
        <v>1899000</v>
      </c>
      <c r="BC1130" s="186">
        <v>1585700</v>
      </c>
    </row>
    <row r="1131" spans="52:55">
      <c r="AZ1131" s="185">
        <v>43392</v>
      </c>
      <c r="BA1131" s="186">
        <v>5.39</v>
      </c>
      <c r="BB1131" s="186">
        <v>2721200</v>
      </c>
      <c r="BC1131" s="186">
        <v>1481480</v>
      </c>
    </row>
    <row r="1132" spans="52:55">
      <c r="AZ1132" s="185">
        <v>43391</v>
      </c>
      <c r="BA1132" s="186">
        <v>5.51</v>
      </c>
      <c r="BB1132" s="186">
        <v>808100</v>
      </c>
      <c r="BC1132" s="186">
        <v>1486767</v>
      </c>
    </row>
    <row r="1133" spans="52:55">
      <c r="AZ1133" s="185">
        <v>43390</v>
      </c>
      <c r="BA1133" s="186">
        <v>5.5</v>
      </c>
      <c r="BB1133" s="186">
        <v>946400</v>
      </c>
      <c r="BC1133" s="186">
        <v>1491260</v>
      </c>
    </row>
    <row r="1134" spans="52:55">
      <c r="AZ1134" s="185">
        <v>43389</v>
      </c>
      <c r="BA1134" s="186">
        <v>5.47</v>
      </c>
      <c r="BB1134" s="186">
        <v>1070400</v>
      </c>
      <c r="BC1134" s="186">
        <v>1584207</v>
      </c>
    </row>
    <row r="1135" spans="52:55">
      <c r="AZ1135" s="185">
        <v>43388</v>
      </c>
      <c r="BA1135" s="186">
        <v>5.51</v>
      </c>
      <c r="BB1135" s="186">
        <v>1235100</v>
      </c>
      <c r="BC1135" s="186">
        <v>1650880</v>
      </c>
    </row>
    <row r="1136" spans="52:55">
      <c r="AZ1136" s="185">
        <v>43385</v>
      </c>
      <c r="BA1136" s="186">
        <v>5.5</v>
      </c>
      <c r="BB1136" s="186">
        <v>1091600</v>
      </c>
      <c r="BC1136" s="186">
        <v>1633947</v>
      </c>
    </row>
    <row r="1137" spans="52:55">
      <c r="AZ1137" s="185">
        <v>43384</v>
      </c>
      <c r="BA1137" s="186">
        <v>5.45</v>
      </c>
      <c r="BB1137" s="186">
        <v>3087000</v>
      </c>
      <c r="BC1137" s="186">
        <v>1903507</v>
      </c>
    </row>
    <row r="1138" spans="52:55">
      <c r="AZ1138" s="185">
        <v>43383</v>
      </c>
      <c r="BA1138" s="186">
        <v>5.57</v>
      </c>
      <c r="BB1138" s="186">
        <v>1378300</v>
      </c>
      <c r="BC1138" s="186">
        <v>1836053</v>
      </c>
    </row>
    <row r="1139" spans="52:55">
      <c r="AZ1139" s="185">
        <v>43382</v>
      </c>
      <c r="BA1139" s="186">
        <v>5.67</v>
      </c>
      <c r="BB1139" s="186">
        <v>918900</v>
      </c>
      <c r="BC1139" s="186">
        <v>1866933</v>
      </c>
    </row>
    <row r="1140" spans="52:55">
      <c r="AZ1140" s="185">
        <v>43381</v>
      </c>
      <c r="BA1140" s="186">
        <v>5.7</v>
      </c>
      <c r="BB1140" s="186">
        <v>1920400</v>
      </c>
      <c r="BC1140" s="186">
        <v>1894873</v>
      </c>
    </row>
    <row r="1141" spans="52:55">
      <c r="AZ1141" s="185">
        <v>43378</v>
      </c>
      <c r="BA1141" s="186">
        <v>5.69</v>
      </c>
      <c r="BB1141" s="186">
        <v>1745400</v>
      </c>
      <c r="BC1141" s="186">
        <v>1985033</v>
      </c>
    </row>
    <row r="1142" spans="52:55">
      <c r="AZ1142" s="185">
        <v>43377</v>
      </c>
      <c r="BA1142" s="186">
        <v>5.75</v>
      </c>
      <c r="BB1142" s="186">
        <v>2065800</v>
      </c>
      <c r="BC1142" s="186">
        <v>2002987</v>
      </c>
    </row>
    <row r="1143" spans="52:55">
      <c r="AZ1143" s="185">
        <v>43376</v>
      </c>
      <c r="BA1143" s="186">
        <v>5.82</v>
      </c>
      <c r="BB1143" s="186">
        <v>1265200</v>
      </c>
      <c r="BC1143" s="186">
        <v>2112293</v>
      </c>
    </row>
    <row r="1144" spans="52:55">
      <c r="AZ1144" s="185">
        <v>43375</v>
      </c>
      <c r="BA1144" s="186">
        <v>5.84</v>
      </c>
      <c r="BB1144" s="186">
        <v>1632700</v>
      </c>
      <c r="BC1144" s="186">
        <v>2177207</v>
      </c>
    </row>
    <row r="1145" spans="52:55">
      <c r="AZ1145" s="185">
        <v>43374</v>
      </c>
      <c r="BA1145" s="186">
        <v>5.84</v>
      </c>
      <c r="BB1145" s="186">
        <v>335700</v>
      </c>
      <c r="BC1145" s="186">
        <v>2214060</v>
      </c>
    </row>
    <row r="1146" spans="52:55">
      <c r="AZ1146" s="185">
        <v>43371</v>
      </c>
      <c r="BA1146" s="186">
        <v>5.84</v>
      </c>
      <c r="BB1146" s="186">
        <v>2800500</v>
      </c>
      <c r="BC1146" s="186">
        <v>2367047</v>
      </c>
    </row>
    <row r="1147" spans="52:55">
      <c r="AZ1147" s="185">
        <v>43370</v>
      </c>
      <c r="BA1147" s="186">
        <v>5.84</v>
      </c>
      <c r="BB1147" s="186">
        <v>875500</v>
      </c>
      <c r="BC1147" s="186">
        <v>2213000</v>
      </c>
    </row>
    <row r="1148" spans="52:55">
      <c r="AZ1148" s="185">
        <v>43369</v>
      </c>
      <c r="BA1148" s="186">
        <v>5.84</v>
      </c>
      <c r="BB1148" s="186">
        <v>2340600</v>
      </c>
      <c r="BC1148" s="186">
        <v>2220033</v>
      </c>
    </row>
    <row r="1149" spans="52:55">
      <c r="AZ1149" s="185">
        <v>43368</v>
      </c>
      <c r="BA1149" s="186">
        <v>5.83</v>
      </c>
      <c r="BB1149" s="186">
        <v>2070500</v>
      </c>
      <c r="BC1149" s="186">
        <v>2227787</v>
      </c>
    </row>
    <row r="1150" spans="52:55">
      <c r="AZ1150" s="185">
        <v>43367</v>
      </c>
      <c r="BA1150" s="186">
        <v>5.82</v>
      </c>
      <c r="BB1150" s="186">
        <v>981100</v>
      </c>
      <c r="BC1150" s="186">
        <v>2249673</v>
      </c>
    </row>
    <row r="1151" spans="52:55">
      <c r="AZ1151" s="185">
        <v>43364</v>
      </c>
      <c r="BA1151" s="186">
        <v>5.88</v>
      </c>
      <c r="BB1151" s="186">
        <v>5135000</v>
      </c>
      <c r="BC1151" s="186">
        <v>2363313</v>
      </c>
    </row>
    <row r="1152" spans="52:55">
      <c r="AZ1152" s="185">
        <v>43363</v>
      </c>
      <c r="BA1152" s="186">
        <v>5.84</v>
      </c>
      <c r="BB1152" s="186">
        <v>2075200</v>
      </c>
      <c r="BC1152" s="186">
        <v>2165147</v>
      </c>
    </row>
    <row r="1153" spans="52:55">
      <c r="AZ1153" s="185">
        <v>43362</v>
      </c>
      <c r="BA1153" s="186">
        <v>5.83</v>
      </c>
      <c r="BB1153" s="186">
        <v>1841500</v>
      </c>
      <c r="BC1153" s="186">
        <v>2073547</v>
      </c>
    </row>
    <row r="1154" spans="52:55">
      <c r="AZ1154" s="185">
        <v>43361</v>
      </c>
      <c r="BA1154" s="186">
        <v>5.84</v>
      </c>
      <c r="BB1154" s="186">
        <v>1338000</v>
      </c>
      <c r="BC1154" s="186">
        <v>2080527</v>
      </c>
    </row>
    <row r="1155" spans="52:55">
      <c r="AZ1155" s="185">
        <v>43357</v>
      </c>
      <c r="BA1155" s="186">
        <v>5.84</v>
      </c>
      <c r="BB1155" s="186">
        <v>3272800</v>
      </c>
      <c r="BC1155" s="186">
        <v>2122320</v>
      </c>
    </row>
    <row r="1156" spans="52:55">
      <c r="AZ1156" s="185">
        <v>43356</v>
      </c>
      <c r="BA1156" s="186">
        <v>5.8</v>
      </c>
      <c r="BB1156" s="186">
        <v>2014700</v>
      </c>
      <c r="BC1156" s="186">
        <v>2006207</v>
      </c>
    </row>
    <row r="1157" spans="52:55">
      <c r="AZ1157" s="185">
        <v>43355</v>
      </c>
      <c r="BA1157" s="186">
        <v>5.77</v>
      </c>
      <c r="BB1157" s="186">
        <v>3705400</v>
      </c>
      <c r="BC1157" s="186">
        <v>1964280</v>
      </c>
    </row>
    <row r="1158" spans="52:55">
      <c r="AZ1158" s="185">
        <v>43350</v>
      </c>
      <c r="BA1158" s="186">
        <v>5.76</v>
      </c>
      <c r="BB1158" s="186">
        <v>2238900</v>
      </c>
      <c r="BC1158" s="186">
        <v>1766647</v>
      </c>
    </row>
    <row r="1159" spans="52:55">
      <c r="AZ1159" s="185">
        <v>43349</v>
      </c>
      <c r="BA1159" s="186">
        <v>5.77</v>
      </c>
      <c r="BB1159" s="186">
        <v>2185500</v>
      </c>
      <c r="BC1159" s="186">
        <v>1653780</v>
      </c>
    </row>
    <row r="1160" spans="52:55">
      <c r="AZ1160" s="185">
        <v>43348</v>
      </c>
      <c r="BA1160" s="186">
        <v>5.76</v>
      </c>
      <c r="BB1160" s="186">
        <v>2630500</v>
      </c>
      <c r="BC1160" s="186">
        <v>1537767</v>
      </c>
    </row>
    <row r="1161" spans="52:55">
      <c r="AZ1161" s="185">
        <v>43347</v>
      </c>
      <c r="BA1161" s="186">
        <v>5.76</v>
      </c>
      <c r="BB1161" s="186">
        <v>489800</v>
      </c>
      <c r="BC1161" s="186">
        <v>1467367</v>
      </c>
    </row>
    <row r="1162" spans="52:55">
      <c r="AZ1162" s="185">
        <v>43346</v>
      </c>
      <c r="BA1162" s="186">
        <v>5.77</v>
      </c>
      <c r="BB1162" s="186">
        <v>981000</v>
      </c>
      <c r="BC1162" s="186">
        <v>1466033</v>
      </c>
    </row>
    <row r="1163" spans="52:55">
      <c r="AZ1163" s="185">
        <v>43342</v>
      </c>
      <c r="BA1163" s="186">
        <v>5.78</v>
      </c>
      <c r="BB1163" s="186">
        <v>2456900</v>
      </c>
      <c r="BC1163" s="186">
        <v>1431660</v>
      </c>
    </row>
    <row r="1164" spans="52:55">
      <c r="AZ1164" s="185">
        <v>43341</v>
      </c>
      <c r="BA1164" s="186">
        <v>5.81</v>
      </c>
      <c r="BB1164" s="186">
        <v>2398800</v>
      </c>
      <c r="BC1164" s="186">
        <v>1408453</v>
      </c>
    </row>
    <row r="1165" spans="52:55">
      <c r="AZ1165" s="185">
        <v>43340</v>
      </c>
      <c r="BA1165" s="186">
        <v>5.85</v>
      </c>
      <c r="BB1165" s="186">
        <v>2685700</v>
      </c>
      <c r="BC1165" s="186">
        <v>1452547</v>
      </c>
    </row>
    <row r="1166" spans="52:55">
      <c r="AZ1166" s="185">
        <v>43339</v>
      </c>
      <c r="BA1166" s="186">
        <v>5.84</v>
      </c>
      <c r="BB1166" s="186">
        <v>2162500</v>
      </c>
      <c r="BC1166" s="186">
        <v>1365933</v>
      </c>
    </row>
    <row r="1167" spans="52:55">
      <c r="AZ1167" s="185">
        <v>43336</v>
      </c>
      <c r="BA1167" s="186">
        <v>5.82</v>
      </c>
      <c r="BB1167" s="186">
        <v>701200</v>
      </c>
      <c r="BC1167" s="186">
        <v>1249440</v>
      </c>
    </row>
    <row r="1168" spans="52:55">
      <c r="AZ1168" s="185">
        <v>43335</v>
      </c>
      <c r="BA1168" s="186">
        <v>5.82</v>
      </c>
      <c r="BB1168" s="186">
        <v>1946200</v>
      </c>
      <c r="BC1168" s="186">
        <v>1247640</v>
      </c>
    </row>
    <row r="1169" spans="52:55">
      <c r="AZ1169" s="185">
        <v>43333</v>
      </c>
      <c r="BA1169" s="186">
        <v>5.81</v>
      </c>
      <c r="BB1169" s="186">
        <v>1964900</v>
      </c>
      <c r="BC1169" s="186">
        <v>1233760</v>
      </c>
    </row>
    <row r="1170" spans="52:55">
      <c r="AZ1170" s="185">
        <v>43332</v>
      </c>
      <c r="BA1170" s="186">
        <v>5.75</v>
      </c>
      <c r="BB1170" s="186">
        <v>1531100</v>
      </c>
      <c r="BC1170" s="186">
        <v>1452320</v>
      </c>
    </row>
    <row r="1171" spans="52:55">
      <c r="AZ1171" s="185">
        <v>43329</v>
      </c>
      <c r="BA1171" s="186">
        <v>5.75</v>
      </c>
      <c r="BB1171" s="186">
        <v>1385800</v>
      </c>
      <c r="BC1171" s="186">
        <v>1413273</v>
      </c>
    </row>
    <row r="1172" spans="52:55">
      <c r="AZ1172" s="185">
        <v>43328</v>
      </c>
      <c r="BA1172" s="186">
        <v>5.66</v>
      </c>
      <c r="BB1172" s="186">
        <v>740900</v>
      </c>
      <c r="BC1172" s="186">
        <v>1428113</v>
      </c>
    </row>
    <row r="1173" spans="52:55">
      <c r="AZ1173" s="185">
        <v>43327</v>
      </c>
      <c r="BA1173" s="186">
        <v>5.74</v>
      </c>
      <c r="BB1173" s="186">
        <v>545900</v>
      </c>
      <c r="BC1173" s="186">
        <v>1621893</v>
      </c>
    </row>
    <row r="1174" spans="52:55">
      <c r="AZ1174" s="185">
        <v>43326</v>
      </c>
      <c r="BA1174" s="186">
        <v>5.79</v>
      </c>
      <c r="BB1174" s="186">
        <v>445300</v>
      </c>
      <c r="BC1174" s="186">
        <v>1697293</v>
      </c>
    </row>
    <row r="1175" spans="52:55">
      <c r="AZ1175" s="185">
        <v>43325</v>
      </c>
      <c r="BA1175" s="186">
        <v>5.66</v>
      </c>
      <c r="BB1175" s="186">
        <v>1574500</v>
      </c>
      <c r="BC1175" s="186">
        <v>1787440</v>
      </c>
    </row>
    <row r="1176" spans="52:55">
      <c r="AZ1176" s="185">
        <v>43322</v>
      </c>
      <c r="BA1176" s="186">
        <v>5.79</v>
      </c>
      <c r="BB1176" s="186">
        <v>469800</v>
      </c>
      <c r="BC1176" s="186">
        <v>1768113</v>
      </c>
    </row>
    <row r="1177" spans="52:55">
      <c r="AZ1177" s="185">
        <v>43321</v>
      </c>
      <c r="BA1177" s="186">
        <v>5.76</v>
      </c>
      <c r="BB1177" s="186">
        <v>465400</v>
      </c>
      <c r="BC1177" s="186">
        <v>1817427</v>
      </c>
    </row>
    <row r="1178" spans="52:55">
      <c r="AZ1178" s="185">
        <v>43320</v>
      </c>
      <c r="BA1178" s="186">
        <v>5.75</v>
      </c>
      <c r="BB1178" s="186">
        <v>2108800</v>
      </c>
      <c r="BC1178" s="186">
        <v>1849520</v>
      </c>
    </row>
    <row r="1179" spans="52:55">
      <c r="AZ1179" s="185">
        <v>43319</v>
      </c>
      <c r="BA1179" s="186">
        <v>5.73</v>
      </c>
      <c r="BB1179" s="186">
        <v>3060200</v>
      </c>
      <c r="BC1179" s="186">
        <v>1871640</v>
      </c>
    </row>
    <row r="1180" spans="52:55">
      <c r="AZ1180" s="185">
        <v>43318</v>
      </c>
      <c r="BA1180" s="186">
        <v>5.62</v>
      </c>
      <c r="BB1180" s="186">
        <v>1386500</v>
      </c>
      <c r="BC1180" s="186">
        <v>1738267</v>
      </c>
    </row>
    <row r="1181" spans="52:55">
      <c r="AZ1181" s="185">
        <v>43315</v>
      </c>
      <c r="BA1181" s="186">
        <v>5.68</v>
      </c>
      <c r="BB1181" s="186">
        <v>415100</v>
      </c>
      <c r="BC1181" s="186">
        <v>1696773</v>
      </c>
    </row>
    <row r="1182" spans="52:55">
      <c r="AZ1182" s="185">
        <v>43314</v>
      </c>
      <c r="BA1182" s="186">
        <v>5.67</v>
      </c>
      <c r="BB1182" s="186">
        <v>674200</v>
      </c>
      <c r="BC1182" s="186">
        <v>1733647</v>
      </c>
    </row>
    <row r="1183" spans="52:55">
      <c r="AZ1183" s="185">
        <v>43313</v>
      </c>
      <c r="BA1183" s="186">
        <v>5.75</v>
      </c>
      <c r="BB1183" s="186">
        <v>1738000</v>
      </c>
      <c r="BC1183" s="186">
        <v>1739980</v>
      </c>
    </row>
    <row r="1184" spans="52:55">
      <c r="AZ1184" s="185">
        <v>43312</v>
      </c>
      <c r="BA1184" s="186">
        <v>5.79</v>
      </c>
      <c r="BB1184" s="186">
        <v>5243300</v>
      </c>
      <c r="BC1184" s="186">
        <v>1975840</v>
      </c>
    </row>
    <row r="1185" spans="52:55">
      <c r="AZ1185" s="185">
        <v>43311</v>
      </c>
      <c r="BA1185" s="186">
        <v>5.63</v>
      </c>
      <c r="BB1185" s="186">
        <v>945400</v>
      </c>
      <c r="BC1185" s="186">
        <v>1862040</v>
      </c>
    </row>
    <row r="1186" spans="52:55">
      <c r="AZ1186" s="185">
        <v>43308</v>
      </c>
      <c r="BA1186" s="186">
        <v>5.64</v>
      </c>
      <c r="BB1186" s="186">
        <v>1608400</v>
      </c>
      <c r="BC1186" s="186">
        <v>1831173</v>
      </c>
    </row>
    <row r="1187" spans="52:55">
      <c r="AZ1187" s="185">
        <v>43307</v>
      </c>
      <c r="BA1187" s="186">
        <v>5.63</v>
      </c>
      <c r="BB1187" s="186">
        <v>3647600</v>
      </c>
      <c r="BC1187" s="186">
        <v>1827413</v>
      </c>
    </row>
    <row r="1188" spans="52:55">
      <c r="AZ1188" s="185">
        <v>43306</v>
      </c>
      <c r="BA1188" s="186">
        <v>5.6</v>
      </c>
      <c r="BB1188" s="186">
        <v>1676900</v>
      </c>
      <c r="BC1188" s="186">
        <v>1599280</v>
      </c>
    </row>
    <row r="1189" spans="52:55">
      <c r="AZ1189" s="185">
        <v>43305</v>
      </c>
      <c r="BA1189" s="186">
        <v>5.62</v>
      </c>
      <c r="BB1189" s="186">
        <v>1797500</v>
      </c>
      <c r="BC1189" s="186">
        <v>1510260</v>
      </c>
    </row>
    <row r="1190" spans="52:55">
      <c r="AZ1190" s="185">
        <v>43304</v>
      </c>
      <c r="BA1190" s="186">
        <v>5.58</v>
      </c>
      <c r="BB1190" s="186">
        <v>1284600</v>
      </c>
      <c r="BC1190" s="186">
        <v>1468927</v>
      </c>
    </row>
    <row r="1191" spans="52:55">
      <c r="AZ1191" s="185">
        <v>43301</v>
      </c>
      <c r="BA1191" s="186">
        <v>5.57</v>
      </c>
      <c r="BB1191" s="186">
        <v>1209500</v>
      </c>
      <c r="BC1191" s="186">
        <v>1510620</v>
      </c>
    </row>
    <row r="1192" spans="52:55">
      <c r="AZ1192" s="185">
        <v>43300</v>
      </c>
      <c r="BA1192" s="186">
        <v>5.59</v>
      </c>
      <c r="BB1192" s="186">
        <v>946800</v>
      </c>
      <c r="BC1192" s="186">
        <v>1670540</v>
      </c>
    </row>
    <row r="1193" spans="52:55">
      <c r="AZ1193" s="185">
        <v>43299</v>
      </c>
      <c r="BA1193" s="186">
        <v>5.55</v>
      </c>
      <c r="BB1193" s="186">
        <v>2440600</v>
      </c>
      <c r="BC1193" s="186">
        <v>1762973</v>
      </c>
    </row>
    <row r="1194" spans="52:55">
      <c r="AZ1194" s="185">
        <v>43298</v>
      </c>
      <c r="BA1194" s="186">
        <v>5.5</v>
      </c>
      <c r="BB1194" s="186">
        <v>1059600</v>
      </c>
      <c r="BC1194" s="186">
        <v>1892267</v>
      </c>
    </row>
    <row r="1195" spans="52:55">
      <c r="AZ1195" s="185">
        <v>43297</v>
      </c>
      <c r="BA1195" s="186">
        <v>5.48</v>
      </c>
      <c r="BB1195" s="186">
        <v>764100</v>
      </c>
      <c r="BC1195" s="186">
        <v>2010920</v>
      </c>
    </row>
    <row r="1196" spans="52:55">
      <c r="AZ1196" s="185">
        <v>43294</v>
      </c>
      <c r="BA1196" s="186">
        <v>5.44</v>
      </c>
      <c r="BB1196" s="186">
        <v>968200</v>
      </c>
      <c r="BC1196" s="186">
        <v>2108720</v>
      </c>
    </row>
    <row r="1197" spans="52:55">
      <c r="AZ1197" s="185">
        <v>43293</v>
      </c>
      <c r="BA1197" s="186">
        <v>5.37</v>
      </c>
      <c r="BB1197" s="186">
        <v>769200</v>
      </c>
      <c r="BC1197" s="186">
        <v>2284780</v>
      </c>
    </row>
    <row r="1198" spans="52:55">
      <c r="AZ1198" s="185">
        <v>43292</v>
      </c>
      <c r="BA1198" s="186">
        <v>5.4</v>
      </c>
      <c r="BB1198" s="186">
        <v>5275900</v>
      </c>
      <c r="BC1198" s="186">
        <v>2392440</v>
      </c>
    </row>
    <row r="1199" spans="52:55">
      <c r="AZ1199" s="185">
        <v>43291</v>
      </c>
      <c r="BA1199" s="186">
        <v>5.4</v>
      </c>
      <c r="BB1199" s="186">
        <v>3536300</v>
      </c>
      <c r="BC1199" s="186">
        <v>2243560</v>
      </c>
    </row>
    <row r="1200" spans="52:55">
      <c r="AZ1200" s="185">
        <v>43290</v>
      </c>
      <c r="BA1200" s="186">
        <v>5.27</v>
      </c>
      <c r="BB1200" s="186">
        <v>482400</v>
      </c>
      <c r="BC1200" s="186">
        <v>2198067</v>
      </c>
    </row>
    <row r="1201" spans="52:55">
      <c r="AZ1201" s="185">
        <v>43287</v>
      </c>
      <c r="BA1201" s="186">
        <v>5.21</v>
      </c>
      <c r="BB1201" s="186">
        <v>1552000</v>
      </c>
      <c r="BC1201" s="186">
        <v>2358553</v>
      </c>
    </row>
    <row r="1202" spans="52:55">
      <c r="AZ1202" s="185">
        <v>43286</v>
      </c>
      <c r="BA1202" s="186">
        <v>5.39</v>
      </c>
      <c r="BB1202" s="186">
        <v>225600</v>
      </c>
      <c r="BC1202" s="186">
        <v>2628353</v>
      </c>
    </row>
    <row r="1203" spans="52:55">
      <c r="AZ1203" s="185">
        <v>43285</v>
      </c>
      <c r="BA1203" s="186">
        <v>5.36</v>
      </c>
      <c r="BB1203" s="186">
        <v>341600</v>
      </c>
      <c r="BC1203" s="186">
        <v>2703947</v>
      </c>
    </row>
    <row r="1204" spans="52:55">
      <c r="AZ1204" s="185">
        <v>43284</v>
      </c>
      <c r="BA1204" s="186">
        <v>5.38</v>
      </c>
      <c r="BB1204" s="186">
        <v>1177500</v>
      </c>
      <c r="BC1204" s="186">
        <v>2770127</v>
      </c>
    </row>
    <row r="1205" spans="52:55">
      <c r="AZ1205" s="185">
        <v>43283</v>
      </c>
      <c r="BA1205" s="186">
        <v>5.46</v>
      </c>
      <c r="BB1205" s="186">
        <v>1910000</v>
      </c>
      <c r="BC1205" s="186">
        <v>2775280</v>
      </c>
    </row>
    <row r="1206" spans="52:55">
      <c r="AZ1206" s="185">
        <v>43280</v>
      </c>
      <c r="BA1206" s="186">
        <v>5.46</v>
      </c>
      <c r="BB1206" s="186">
        <v>3608300</v>
      </c>
      <c r="BC1206" s="186">
        <v>2818973</v>
      </c>
    </row>
    <row r="1207" spans="52:55">
      <c r="AZ1207" s="185">
        <v>43279</v>
      </c>
      <c r="BA1207" s="186">
        <v>5.27</v>
      </c>
      <c r="BB1207" s="186">
        <v>2333300</v>
      </c>
      <c r="BC1207" s="186">
        <v>2674100</v>
      </c>
    </row>
    <row r="1208" spans="52:55">
      <c r="AZ1208" s="185">
        <v>43278</v>
      </c>
      <c r="BA1208" s="186">
        <v>5.29</v>
      </c>
      <c r="BB1208" s="186">
        <v>4380000</v>
      </c>
      <c r="BC1208" s="186">
        <v>2610887</v>
      </c>
    </row>
    <row r="1209" spans="52:55">
      <c r="AZ1209" s="185">
        <v>43277</v>
      </c>
      <c r="BA1209" s="186">
        <v>5.48</v>
      </c>
      <c r="BB1209" s="186">
        <v>2839400</v>
      </c>
      <c r="BC1209" s="186">
        <v>2511113</v>
      </c>
    </row>
    <row r="1210" spans="52:55">
      <c r="AZ1210" s="185">
        <v>43276</v>
      </c>
      <c r="BA1210" s="186">
        <v>5.56</v>
      </c>
      <c r="BB1210" s="186">
        <v>2231100</v>
      </c>
      <c r="BC1210" s="186">
        <v>2464427</v>
      </c>
    </row>
    <row r="1211" spans="52:55">
      <c r="AZ1211" s="185">
        <v>43273</v>
      </c>
      <c r="BA1211" s="186">
        <v>5.5</v>
      </c>
      <c r="BB1211" s="186">
        <v>3609100</v>
      </c>
      <c r="BC1211" s="186">
        <v>2523007</v>
      </c>
    </row>
    <row r="1212" spans="52:55">
      <c r="AZ1212" s="185">
        <v>43272</v>
      </c>
      <c r="BA1212" s="186">
        <v>5.57</v>
      </c>
      <c r="BB1212" s="186">
        <v>2384100</v>
      </c>
      <c r="BC1212" s="186">
        <v>4183733</v>
      </c>
    </row>
    <row r="1213" spans="52:55">
      <c r="AZ1213" s="185">
        <v>43271</v>
      </c>
      <c r="BA1213" s="186">
        <v>5.57</v>
      </c>
      <c r="BB1213" s="186">
        <v>3042700</v>
      </c>
      <c r="BC1213" s="186">
        <v>4365394</v>
      </c>
    </row>
    <row r="1214" spans="52:55">
      <c r="AZ1214" s="185">
        <v>43270</v>
      </c>
      <c r="BA1214" s="186">
        <v>5.65</v>
      </c>
      <c r="BB1214" s="186">
        <v>2853900</v>
      </c>
      <c r="BC1214" s="186">
        <v>4303247</v>
      </c>
    </row>
    <row r="1215" spans="52:55">
      <c r="AZ1215" s="185">
        <v>43269</v>
      </c>
      <c r="BA1215" s="186">
        <v>5.71</v>
      </c>
      <c r="BB1215" s="186">
        <v>2889700</v>
      </c>
      <c r="BC1215" s="186">
        <v>4338174</v>
      </c>
    </row>
    <row r="1216" spans="52:55">
      <c r="AZ1216" s="185">
        <v>43265</v>
      </c>
      <c r="BA1216" s="186">
        <v>5.78</v>
      </c>
      <c r="BB1216" s="186">
        <v>5599000</v>
      </c>
      <c r="BC1216" s="186">
        <v>4329280</v>
      </c>
    </row>
    <row r="1217" spans="52:55">
      <c r="AZ1217" s="185">
        <v>43264</v>
      </c>
      <c r="BA1217" s="186">
        <v>5.77</v>
      </c>
      <c r="BB1217" s="186">
        <v>1359500</v>
      </c>
      <c r="BC1217" s="186">
        <v>4067680</v>
      </c>
    </row>
    <row r="1218" spans="52:55">
      <c r="AZ1218" s="185">
        <v>43263</v>
      </c>
      <c r="BA1218" s="186">
        <v>5.74</v>
      </c>
      <c r="BB1218" s="186">
        <v>1334300</v>
      </c>
      <c r="BC1218" s="186">
        <v>4069740</v>
      </c>
    </row>
    <row r="1219" spans="52:55">
      <c r="AZ1219" s="185">
        <v>43262</v>
      </c>
      <c r="BA1219" s="186">
        <v>5.74</v>
      </c>
      <c r="BB1219" s="186">
        <v>1254800</v>
      </c>
      <c r="BC1219" s="186">
        <v>4076060</v>
      </c>
    </row>
    <row r="1220" spans="52:55">
      <c r="AZ1220" s="185">
        <v>43259</v>
      </c>
      <c r="BA1220" s="186">
        <v>5.8</v>
      </c>
      <c r="BB1220" s="186">
        <v>2565400</v>
      </c>
      <c r="BC1220" s="186">
        <v>4101653</v>
      </c>
    </row>
    <row r="1221" spans="52:55">
      <c r="AZ1221" s="185">
        <v>43258</v>
      </c>
      <c r="BA1221" s="186">
        <v>5.77</v>
      </c>
      <c r="BB1221" s="186">
        <v>1435200</v>
      </c>
      <c r="BC1221" s="186">
        <v>4145547</v>
      </c>
    </row>
    <row r="1222" spans="52:55">
      <c r="AZ1222" s="185">
        <v>43257</v>
      </c>
      <c r="BA1222" s="186">
        <v>5.79</v>
      </c>
      <c r="BB1222" s="186">
        <v>1385100</v>
      </c>
      <c r="BC1222" s="186">
        <v>4217034</v>
      </c>
    </row>
    <row r="1223" spans="52:55">
      <c r="AZ1223" s="185">
        <v>43256</v>
      </c>
      <c r="BA1223" s="186">
        <v>5.81</v>
      </c>
      <c r="BB1223" s="186">
        <v>2883400</v>
      </c>
      <c r="BC1223" s="186">
        <v>4407994</v>
      </c>
    </row>
    <row r="1224" spans="52:55">
      <c r="AZ1224" s="185">
        <v>43255</v>
      </c>
      <c r="BA1224" s="186">
        <v>5.78</v>
      </c>
      <c r="BB1224" s="186">
        <v>2139100</v>
      </c>
      <c r="BC1224" s="186">
        <v>4520060</v>
      </c>
    </row>
    <row r="1225" spans="52:55">
      <c r="AZ1225" s="185">
        <v>43252</v>
      </c>
      <c r="BA1225" s="186">
        <v>5.77</v>
      </c>
      <c r="BB1225" s="186">
        <v>3109800</v>
      </c>
      <c r="BC1225" s="186">
        <v>4613094</v>
      </c>
    </row>
    <row r="1226" spans="52:55">
      <c r="AZ1226" s="185">
        <v>43251</v>
      </c>
      <c r="BA1226" s="186">
        <v>5.79</v>
      </c>
      <c r="BB1226" s="186">
        <v>28520000</v>
      </c>
      <c r="BC1226" s="186">
        <v>4578327</v>
      </c>
    </row>
    <row r="1227" spans="52:55">
      <c r="AZ1227" s="185">
        <v>43250</v>
      </c>
      <c r="BA1227" s="186">
        <v>5.77</v>
      </c>
      <c r="BB1227" s="186">
        <v>5109000</v>
      </c>
      <c r="BC1227" s="186">
        <v>2782847</v>
      </c>
    </row>
    <row r="1228" spans="52:55">
      <c r="AZ1228" s="185">
        <v>43248</v>
      </c>
      <c r="BA1228" s="186">
        <v>5.78</v>
      </c>
      <c r="BB1228" s="186">
        <v>2110500</v>
      </c>
      <c r="BC1228" s="186">
        <v>2583953</v>
      </c>
    </row>
    <row r="1229" spans="52:55">
      <c r="AZ1229" s="185">
        <v>43245</v>
      </c>
      <c r="BA1229" s="186">
        <v>5.79</v>
      </c>
      <c r="BB1229" s="186">
        <v>3377800</v>
      </c>
    </row>
    <row r="1230" spans="52:55">
      <c r="AZ1230" s="185">
        <v>43244</v>
      </c>
      <c r="BA1230" s="186">
        <v>5.76</v>
      </c>
      <c r="BB1230" s="186">
        <v>2756300</v>
      </c>
    </row>
    <row r="1231" spans="52:55">
      <c r="AZ1231" s="185">
        <v>43243</v>
      </c>
      <c r="BA1231" s="186">
        <v>5.73</v>
      </c>
      <c r="BB1231" s="186">
        <v>1675000</v>
      </c>
    </row>
    <row r="1232" spans="52:55">
      <c r="AZ1232" s="185">
        <v>43242</v>
      </c>
      <c r="BA1232" s="186">
        <v>5.79</v>
      </c>
      <c r="BB1232" s="186">
        <v>1390400</v>
      </c>
    </row>
    <row r="1233" spans="52:54">
      <c r="AZ1233" s="185">
        <v>43241</v>
      </c>
      <c r="BA1233" s="186">
        <v>5.8</v>
      </c>
      <c r="BB1233" s="186">
        <v>1429100</v>
      </c>
    </row>
    <row r="1234" spans="52:54">
      <c r="AZ1234" s="185">
        <v>43238</v>
      </c>
      <c r="BA1234" s="186">
        <v>5.78</v>
      </c>
      <c r="BB1234" s="186">
        <v>1638700</v>
      </c>
    </row>
    <row r="1235" spans="52:54">
      <c r="AZ1235" s="185">
        <v>43237</v>
      </c>
      <c r="BA1235" s="186">
        <v>5.67</v>
      </c>
      <c r="BB1235" s="186">
        <v>3223800</v>
      </c>
    </row>
    <row r="1236" spans="52:54">
      <c r="AZ1236" s="185">
        <v>43236</v>
      </c>
      <c r="BA1236" s="186">
        <v>5.8</v>
      </c>
      <c r="BB1236" s="186">
        <v>2507500</v>
      </c>
    </row>
    <row r="1237" spans="52:54">
      <c r="AZ1237" s="185">
        <v>43235</v>
      </c>
      <c r="BA1237" s="186">
        <v>5.63</v>
      </c>
      <c r="BB1237" s="186">
        <v>4249500</v>
      </c>
    </row>
    <row r="1238" spans="52:54">
      <c r="AZ1238" s="185">
        <v>43234</v>
      </c>
      <c r="BA1238" s="186">
        <v>5.4</v>
      </c>
      <c r="BB1238" s="186">
        <v>4564400</v>
      </c>
    </row>
    <row r="1239" spans="52:54">
      <c r="AZ1239" s="185">
        <v>43228</v>
      </c>
      <c r="BA1239" s="186">
        <v>5.51</v>
      </c>
      <c r="BB1239" s="186">
        <v>3534600</v>
      </c>
    </row>
    <row r="1240" spans="52:54">
      <c r="AZ1240" s="185">
        <v>43227</v>
      </c>
      <c r="BA1240" s="186">
        <v>5.58</v>
      </c>
      <c r="BB1240" s="186">
        <v>2588300</v>
      </c>
    </row>
    <row r="1241" spans="52:54">
      <c r="AZ1241" s="185">
        <v>43224</v>
      </c>
      <c r="BA1241" s="186">
        <v>5.64</v>
      </c>
      <c r="BB1241" s="186">
        <v>1587800</v>
      </c>
    </row>
    <row r="1242" spans="52:54">
      <c r="AZ1242" s="185">
        <v>43223</v>
      </c>
      <c r="BA1242" s="186">
        <v>5.64</v>
      </c>
      <c r="BB1242" s="186">
        <v>2125600</v>
      </c>
    </row>
  </sheetData>
  <autoFilter ref="AZ2:BC2" xr:uid="{153D2F22-EFBB-40E5-B233-F167EF4144D5}"/>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3:Y229"/>
  <sheetViews>
    <sheetView zoomScale="70" zoomScaleNormal="70" workbookViewId="0">
      <selection activeCell="Q11" sqref="Q11"/>
    </sheetView>
  </sheetViews>
  <sheetFormatPr defaultRowHeight="14.4"/>
  <cols>
    <col min="1" max="3" width="9.21875" style="50"/>
    <col min="4" max="4" width="12" style="50" bestFit="1" customWidth="1"/>
    <col min="5" max="7" width="9.21875" style="50"/>
    <col min="8" max="8" width="19" style="50" customWidth="1"/>
    <col min="9" max="9" width="12.77734375" style="50" bestFit="1" customWidth="1"/>
    <col min="10" max="263" width="9.21875" style="50"/>
    <col min="264" max="264" width="19" style="50" customWidth="1"/>
    <col min="265" max="519" width="9.21875" style="50"/>
    <col min="520" max="520" width="19" style="50" customWidth="1"/>
    <col min="521" max="775" width="9.21875" style="50"/>
    <col min="776" max="776" width="19" style="50" customWidth="1"/>
    <col min="777" max="1031" width="9.21875" style="50"/>
    <col min="1032" max="1032" width="19" style="50" customWidth="1"/>
    <col min="1033" max="1287" width="9.21875" style="50"/>
    <col min="1288" max="1288" width="19" style="50" customWidth="1"/>
    <col min="1289" max="1543" width="9.21875" style="50"/>
    <col min="1544" max="1544" width="19" style="50" customWidth="1"/>
    <col min="1545" max="1799" width="9.21875" style="50"/>
    <col min="1800" max="1800" width="19" style="50" customWidth="1"/>
    <col min="1801" max="2055" width="9.21875" style="50"/>
    <col min="2056" max="2056" width="19" style="50" customWidth="1"/>
    <col min="2057" max="2311" width="9.21875" style="50"/>
    <col min="2312" max="2312" width="19" style="50" customWidth="1"/>
    <col min="2313" max="2567" width="9.21875" style="50"/>
    <col min="2568" max="2568" width="19" style="50" customWidth="1"/>
    <col min="2569" max="2823" width="9.21875" style="50"/>
    <col min="2824" max="2824" width="19" style="50" customWidth="1"/>
    <col min="2825" max="3079" width="9.21875" style="50"/>
    <col min="3080" max="3080" width="19" style="50" customWidth="1"/>
    <col min="3081" max="3335" width="9.21875" style="50"/>
    <col min="3336" max="3336" width="19" style="50" customWidth="1"/>
    <col min="3337" max="3591" width="9.21875" style="50"/>
    <col min="3592" max="3592" width="19" style="50" customWidth="1"/>
    <col min="3593" max="3847" width="9.21875" style="50"/>
    <col min="3848" max="3848" width="19" style="50" customWidth="1"/>
    <col min="3849" max="4103" width="9.21875" style="50"/>
    <col min="4104" max="4104" width="19" style="50" customWidth="1"/>
    <col min="4105" max="4359" width="9.21875" style="50"/>
    <col min="4360" max="4360" width="19" style="50" customWidth="1"/>
    <col min="4361" max="4615" width="9.21875" style="50"/>
    <col min="4616" max="4616" width="19" style="50" customWidth="1"/>
    <col min="4617" max="4871" width="9.21875" style="50"/>
    <col min="4872" max="4872" width="19" style="50" customWidth="1"/>
    <col min="4873" max="5127" width="9.21875" style="50"/>
    <col min="5128" max="5128" width="19" style="50" customWidth="1"/>
    <col min="5129" max="5383" width="9.21875" style="50"/>
    <col min="5384" max="5384" width="19" style="50" customWidth="1"/>
    <col min="5385" max="5639" width="9.21875" style="50"/>
    <col min="5640" max="5640" width="19" style="50" customWidth="1"/>
    <col min="5641" max="5895" width="9.21875" style="50"/>
    <col min="5896" max="5896" width="19" style="50" customWidth="1"/>
    <col min="5897" max="6151" width="9.21875" style="50"/>
    <col min="6152" max="6152" width="19" style="50" customWidth="1"/>
    <col min="6153" max="6407" width="9.21875" style="50"/>
    <col min="6408" max="6408" width="19" style="50" customWidth="1"/>
    <col min="6409" max="6663" width="9.21875" style="50"/>
    <col min="6664" max="6664" width="19" style="50" customWidth="1"/>
    <col min="6665" max="6919" width="9.21875" style="50"/>
    <col min="6920" max="6920" width="19" style="50" customWidth="1"/>
    <col min="6921" max="7175" width="9.21875" style="50"/>
    <col min="7176" max="7176" width="19" style="50" customWidth="1"/>
    <col min="7177" max="7431" width="9.21875" style="50"/>
    <col min="7432" max="7432" width="19" style="50" customWidth="1"/>
    <col min="7433" max="7687" width="9.21875" style="50"/>
    <col min="7688" max="7688" width="19" style="50" customWidth="1"/>
    <col min="7689" max="7943" width="9.21875" style="50"/>
    <col min="7944" max="7944" width="19" style="50" customWidth="1"/>
    <col min="7945" max="8199" width="9.21875" style="50"/>
    <col min="8200" max="8200" width="19" style="50" customWidth="1"/>
    <col min="8201" max="8455" width="9.21875" style="50"/>
    <col min="8456" max="8456" width="19" style="50" customWidth="1"/>
    <col min="8457" max="8711" width="9.21875" style="50"/>
    <col min="8712" max="8712" width="19" style="50" customWidth="1"/>
    <col min="8713" max="8967" width="9.21875" style="50"/>
    <col min="8968" max="8968" width="19" style="50" customWidth="1"/>
    <col min="8969" max="9223" width="9.21875" style="50"/>
    <col min="9224" max="9224" width="19" style="50" customWidth="1"/>
    <col min="9225" max="9479" width="9.21875" style="50"/>
    <col min="9480" max="9480" width="19" style="50" customWidth="1"/>
    <col min="9481" max="9735" width="9.21875" style="50"/>
    <col min="9736" max="9736" width="19" style="50" customWidth="1"/>
    <col min="9737" max="9991" width="9.21875" style="50"/>
    <col min="9992" max="9992" width="19" style="50" customWidth="1"/>
    <col min="9993" max="10247" width="9.21875" style="50"/>
    <col min="10248" max="10248" width="19" style="50" customWidth="1"/>
    <col min="10249" max="10503" width="9.21875" style="50"/>
    <col min="10504" max="10504" width="19" style="50" customWidth="1"/>
    <col min="10505" max="10759" width="9.21875" style="50"/>
    <col min="10760" max="10760" width="19" style="50" customWidth="1"/>
    <col min="10761" max="11015" width="9.21875" style="50"/>
    <col min="11016" max="11016" width="19" style="50" customWidth="1"/>
    <col min="11017" max="11271" width="9.21875" style="50"/>
    <col min="11272" max="11272" width="19" style="50" customWidth="1"/>
    <col min="11273" max="11527" width="9.21875" style="50"/>
    <col min="11528" max="11528" width="19" style="50" customWidth="1"/>
    <col min="11529" max="11783" width="9.21875" style="50"/>
    <col min="11784" max="11784" width="19" style="50" customWidth="1"/>
    <col min="11785" max="12039" width="9.21875" style="50"/>
    <col min="12040" max="12040" width="19" style="50" customWidth="1"/>
    <col min="12041" max="12295" width="9.21875" style="50"/>
    <col min="12296" max="12296" width="19" style="50" customWidth="1"/>
    <col min="12297" max="12551" width="9.21875" style="50"/>
    <col min="12552" max="12552" width="19" style="50" customWidth="1"/>
    <col min="12553" max="12807" width="9.21875" style="50"/>
    <col min="12808" max="12808" width="19" style="50" customWidth="1"/>
    <col min="12809" max="13063" width="9.21875" style="50"/>
    <col min="13064" max="13064" width="19" style="50" customWidth="1"/>
    <col min="13065" max="13319" width="9.21875" style="50"/>
    <col min="13320" max="13320" width="19" style="50" customWidth="1"/>
    <col min="13321" max="13575" width="9.21875" style="50"/>
    <col min="13576" max="13576" width="19" style="50" customWidth="1"/>
    <col min="13577" max="13831" width="9.21875" style="50"/>
    <col min="13832" max="13832" width="19" style="50" customWidth="1"/>
    <col min="13833" max="14087" width="9.21875" style="50"/>
    <col min="14088" max="14088" width="19" style="50" customWidth="1"/>
    <col min="14089" max="14343" width="9.21875" style="50"/>
    <col min="14344" max="14344" width="19" style="50" customWidth="1"/>
    <col min="14345" max="14599" width="9.21875" style="50"/>
    <col min="14600" max="14600" width="19" style="50" customWidth="1"/>
    <col min="14601" max="14855" width="9.21875" style="50"/>
    <col min="14856" max="14856" width="19" style="50" customWidth="1"/>
    <col min="14857" max="15111" width="9.21875" style="50"/>
    <col min="15112" max="15112" width="19" style="50" customWidth="1"/>
    <col min="15113" max="15367" width="9.21875" style="50"/>
    <col min="15368" max="15368" width="19" style="50" customWidth="1"/>
    <col min="15369" max="15623" width="9.21875" style="50"/>
    <col min="15624" max="15624" width="19" style="50" customWidth="1"/>
    <col min="15625" max="15879" width="9.21875" style="50"/>
    <col min="15880" max="15880" width="19" style="50" customWidth="1"/>
    <col min="15881" max="16135" width="9.21875" style="50"/>
    <col min="16136" max="16136" width="19" style="50" customWidth="1"/>
    <col min="16137" max="16384" width="9.21875" style="50"/>
  </cols>
  <sheetData>
    <row r="3" spans="2:23">
      <c r="C3" s="50" t="s">
        <v>438</v>
      </c>
      <c r="D3" s="50" t="s">
        <v>439</v>
      </c>
    </row>
    <row r="4" spans="2:23">
      <c r="B4" s="50" t="s">
        <v>4</v>
      </c>
      <c r="C4" s="50">
        <v>1785</v>
      </c>
      <c r="D4" s="66">
        <f>'Income Statement'!AT30</f>
        <v>2214</v>
      </c>
    </row>
    <row r="5" spans="2:23">
      <c r="B5" s="50" t="s">
        <v>61</v>
      </c>
      <c r="C5" s="60">
        <v>3.1299910469191561E-2</v>
      </c>
      <c r="D5" s="65">
        <f>'Income Statement'!AT31</f>
        <v>1.7463235294117752E-2</v>
      </c>
    </row>
    <row r="6" spans="2:23">
      <c r="H6" s="50" t="s">
        <v>440</v>
      </c>
      <c r="I6" s="50" t="s">
        <v>441</v>
      </c>
      <c r="J6" s="50" t="s">
        <v>442</v>
      </c>
      <c r="K6" s="50" t="s">
        <v>443</v>
      </c>
      <c r="L6" s="50" t="s">
        <v>444</v>
      </c>
      <c r="M6" s="50" t="s">
        <v>445</v>
      </c>
      <c r="N6" s="50" t="s">
        <v>446</v>
      </c>
      <c r="O6" s="50" t="s">
        <v>447</v>
      </c>
      <c r="P6" s="50" t="s">
        <v>448</v>
      </c>
      <c r="Q6" s="50" t="s">
        <v>449</v>
      </c>
      <c r="R6" s="50" t="s">
        <v>450</v>
      </c>
      <c r="S6" s="50" t="s">
        <v>451</v>
      </c>
      <c r="T6" s="50" t="s">
        <v>452</v>
      </c>
      <c r="U6" s="50" t="s">
        <v>453</v>
      </c>
      <c r="V6" s="50" t="s">
        <v>454</v>
      </c>
      <c r="W6" s="50" t="s">
        <v>462</v>
      </c>
    </row>
    <row r="7" spans="2:23">
      <c r="B7" s="50" t="s">
        <v>2</v>
      </c>
      <c r="C7" s="50">
        <v>805</v>
      </c>
      <c r="D7" s="66">
        <f>'Income Statement'!AT37</f>
        <v>1158</v>
      </c>
      <c r="H7" s="50" t="s">
        <v>479</v>
      </c>
      <c r="I7" s="60">
        <f>'Income Statement'!AB215</f>
        <v>-1.1206896551724133E-2</v>
      </c>
      <c r="J7" s="60">
        <f>'Income Statement'!AC215</f>
        <v>-2.4096385542168641E-2</v>
      </c>
      <c r="K7" s="60">
        <f>'Income Statement'!AD215</f>
        <v>-1.6281062553556103E-2</v>
      </c>
      <c r="L7" s="60">
        <f>'Income Statement'!AE215</f>
        <v>-4.7377326565143818E-2</v>
      </c>
      <c r="M7" s="60">
        <f>'Income Statement'!AG215</f>
        <v>-4.4463818657367038E-2</v>
      </c>
      <c r="N7" s="60">
        <f>'Income Statement'!AH215</f>
        <v>-4.0564373897707284E-2</v>
      </c>
      <c r="O7" s="60">
        <f>'Income Statement'!AI215</f>
        <v>-5.0522648083623722E-2</v>
      </c>
      <c r="P7" s="60">
        <f>'Income Statement'!AJ215</f>
        <v>-2.6642984014209614E-2</v>
      </c>
      <c r="Q7" s="60">
        <f>'Income Statement'!AL215</f>
        <v>0</v>
      </c>
      <c r="R7" s="60">
        <f>'Income Statement'!AM215</f>
        <v>0</v>
      </c>
      <c r="S7" s="60">
        <f>'Income Statement'!AN215</f>
        <v>0</v>
      </c>
      <c r="T7" s="60">
        <f>'Income Statement'!AO215</f>
        <v>0</v>
      </c>
      <c r="U7" s="60">
        <f>'Income Statement'!AQ215</f>
        <v>0</v>
      </c>
      <c r="V7" s="60">
        <f>'Income Statement'!AR215</f>
        <v>0</v>
      </c>
      <c r="W7" s="60">
        <f>'Income Statement'!AS215</f>
        <v>0</v>
      </c>
    </row>
    <row r="8" spans="2:23">
      <c r="B8" s="50" t="s">
        <v>61</v>
      </c>
      <c r="C8" s="60">
        <v>2.4972479507623824E-2</v>
      </c>
      <c r="D8" s="65">
        <f>'Income Statement'!AT38</f>
        <v>-3.4423407917383297E-3</v>
      </c>
      <c r="H8" s="50" t="s">
        <v>455</v>
      </c>
      <c r="I8" s="60">
        <f>'Income Statement'!AB129</f>
        <v>-0.26165875992206022</v>
      </c>
      <c r="J8" s="60">
        <f>'Income Statement'!AC129</f>
        <v>-0.23416286090476457</v>
      </c>
      <c r="K8" s="60">
        <f>'Income Statement'!AD129</f>
        <v>-0.18772454437124075</v>
      </c>
      <c r="L8" s="60">
        <f>'Income Statement'!AE129</f>
        <v>-0.14668600349951533</v>
      </c>
      <c r="M8" s="60">
        <f>'Income Statement'!AG129</f>
        <v>8.0557991397502748E-2</v>
      </c>
      <c r="N8" s="60">
        <f>'Income Statement'!AH129</f>
        <v>3.6123067543374576E-2</v>
      </c>
      <c r="O8" s="60">
        <f>'Income Statement'!AI129</f>
        <v>-5.9728291096542874E-2</v>
      </c>
      <c r="P8" s="60">
        <f>'Income Statement'!AJ129</f>
        <v>-9.0855019432625528E-2</v>
      </c>
      <c r="Q8" s="60">
        <f>'Income Statement'!AL129</f>
        <v>0</v>
      </c>
      <c r="R8" s="60">
        <f>'Income Statement'!AM129</f>
        <v>0</v>
      </c>
      <c r="S8" s="60">
        <f>'Income Statement'!AN129</f>
        <v>0</v>
      </c>
      <c r="T8" s="60">
        <f>'Income Statement'!AO129</f>
        <v>0</v>
      </c>
      <c r="U8" s="60">
        <f>'Income Statement'!AQ129</f>
        <v>0</v>
      </c>
      <c r="V8" s="60">
        <f>'Income Statement'!AR129</f>
        <v>0</v>
      </c>
      <c r="W8" s="60">
        <f>'Income Statement'!AS129</f>
        <v>0</v>
      </c>
    </row>
    <row r="9" spans="2:23">
      <c r="B9" s="50" t="s">
        <v>266</v>
      </c>
      <c r="C9" s="60">
        <v>0.45007372742165541</v>
      </c>
      <c r="D9" s="65">
        <f>'Income Statement'!AT39</f>
        <v>0.52303523035230348</v>
      </c>
      <c r="H9" s="50" t="s">
        <v>456</v>
      </c>
      <c r="I9" s="60">
        <f>'Income Statement'!AB123</f>
        <v>-8.5714285714285743E-2</v>
      </c>
      <c r="J9" s="60">
        <f>'Income Statement'!AC123</f>
        <v>-0.10857142857142854</v>
      </c>
      <c r="K9" s="60">
        <f>'Income Statement'!AD123</f>
        <v>-4.3749999999999956E-2</v>
      </c>
      <c r="L9" s="60">
        <f>'Income Statement'!AE123</f>
        <v>-6.0606060606060552E-2</v>
      </c>
      <c r="M9" s="60">
        <f>'Income Statement'!AG123</f>
        <v>-3.7499999999999978E-2</v>
      </c>
      <c r="N9" s="60">
        <f>'Income Statement'!AH123</f>
        <v>3.2051282051282159E-2</v>
      </c>
      <c r="O9" s="60">
        <f>'Income Statement'!AI123</f>
        <v>7.8431372549019551E-2</v>
      </c>
      <c r="P9" s="60">
        <f>'Income Statement'!AJ123</f>
        <v>8.3870967741935587E-2</v>
      </c>
      <c r="Q9" s="60">
        <f>'Income Statement'!AL123</f>
        <v>0</v>
      </c>
      <c r="R9" s="60">
        <f>'Income Statement'!AM123</f>
        <v>0</v>
      </c>
      <c r="S9" s="60">
        <f>'Income Statement'!AN123</f>
        <v>0</v>
      </c>
      <c r="T9" s="60">
        <f>'Income Statement'!AO123</f>
        <v>0</v>
      </c>
      <c r="U9" s="60">
        <f>'Income Statement'!AQ123</f>
        <v>0</v>
      </c>
      <c r="V9" s="60">
        <f>'Income Statement'!AR123</f>
        <v>0</v>
      </c>
      <c r="W9" s="60">
        <f>'Income Statement'!AS123</f>
        <v>0</v>
      </c>
    </row>
    <row r="10" spans="2:23">
      <c r="H10" s="50" t="s">
        <v>457</v>
      </c>
      <c r="I10" s="60">
        <f>'Income Statement'!AB118</f>
        <v>6.5661515265736936E-2</v>
      </c>
      <c r="J10" s="60">
        <f>'Income Statement'!AC118</f>
        <v>1.9324026451138954E-2</v>
      </c>
      <c r="K10" s="60">
        <f>'Income Statement'!AD118</f>
        <v>-5.1471643933955535E-2</v>
      </c>
      <c r="L10" s="60">
        <f>'Income Statement'!AE118</f>
        <v>-8.5018806330281693E-2</v>
      </c>
      <c r="M10" s="60">
        <f>'Income Statement'!AG118</f>
        <v>-0.10851726089417091</v>
      </c>
      <c r="N10" s="60">
        <f>'Income Statement'!AH118</f>
        <v>-0.10610538455993657</v>
      </c>
      <c r="O10" s="60">
        <f>'Income Statement'!AI118</f>
        <v>-6.0395065465829068E-2</v>
      </c>
      <c r="P10" s="60">
        <f>'Income Statement'!AJ118</f>
        <v>1.55122934925922E-3</v>
      </c>
      <c r="Q10" s="60">
        <f>'Income Statement'!AL118</f>
        <v>5.2213934296143405E-2</v>
      </c>
      <c r="R10" s="60">
        <f>'Income Statement'!AM118</f>
        <v>6.9994355293927946E-2</v>
      </c>
      <c r="S10" s="60">
        <f>'Income Statement'!AN118</f>
        <v>5.5980668546113499E-2</v>
      </c>
      <c r="T10" s="60">
        <f>'Income Statement'!AO118</f>
        <v>-1.6959653062804891E-2</v>
      </c>
      <c r="U10" s="60">
        <f>'Income Statement'!AQ118</f>
        <v>-7.1644042232277494E-2</v>
      </c>
      <c r="V10" s="60">
        <f>'Income Statement'!AR118</f>
        <v>-7.6870902102645244E-2</v>
      </c>
      <c r="W10" s="60">
        <f>'Income Statement'!AS118</f>
        <v>-8.1159420289855122E-2</v>
      </c>
    </row>
    <row r="11" spans="2:23">
      <c r="B11" s="50" t="s">
        <v>99</v>
      </c>
      <c r="C11" s="50">
        <v>479</v>
      </c>
      <c r="D11" s="66">
        <f>'Income Statement'!AT457</f>
        <v>544</v>
      </c>
    </row>
    <row r="12" spans="2:23">
      <c r="B12" s="50" t="s">
        <v>61</v>
      </c>
      <c r="C12" s="60">
        <v>-3.8465535350413083E-2</v>
      </c>
      <c r="D12" s="65">
        <f>'Income Statement'!AT458</f>
        <v>494</v>
      </c>
    </row>
    <row r="13" spans="2:23">
      <c r="C13" s="60"/>
      <c r="D13" s="60"/>
    </row>
    <row r="14" spans="2:23">
      <c r="B14" s="50" t="s">
        <v>458</v>
      </c>
    </row>
    <row r="16" spans="2:23">
      <c r="B16" s="50" t="s">
        <v>459</v>
      </c>
      <c r="C16" s="50">
        <v>916</v>
      </c>
      <c r="D16" s="66">
        <f>'Income Statement'!AT214</f>
        <v>0</v>
      </c>
    </row>
    <row r="17" spans="2:24">
      <c r="B17" s="50" t="s">
        <v>61</v>
      </c>
      <c r="C17" s="60">
        <v>-6.815869786368256E-2</v>
      </c>
      <c r="D17" s="65">
        <f>'Income Statement'!AT215</f>
        <v>0</v>
      </c>
    </row>
    <row r="18" spans="2:24">
      <c r="C18" s="60"/>
      <c r="D18" s="60"/>
    </row>
    <row r="19" spans="2:24">
      <c r="B19" s="50" t="s">
        <v>79</v>
      </c>
      <c r="C19" s="50">
        <v>672</v>
      </c>
      <c r="D19" s="66">
        <f>'Income Statement'!AT216</f>
        <v>0</v>
      </c>
    </row>
    <row r="21" spans="2:24">
      <c r="B21" s="50" t="s">
        <v>460</v>
      </c>
      <c r="C21" s="50">
        <v>1588</v>
      </c>
      <c r="D21" s="66">
        <f>'Income Statement'!AT288</f>
        <v>2028</v>
      </c>
    </row>
    <row r="22" spans="2:24">
      <c r="B22" s="50" t="s">
        <v>61</v>
      </c>
      <c r="C22" s="60">
        <v>2.8497409326424972E-2</v>
      </c>
      <c r="D22" s="60">
        <f>[6]Financials!BA116</f>
        <v>2.1879021879021909E-2</v>
      </c>
    </row>
    <row r="23" spans="2:24">
      <c r="D23" s="60"/>
    </row>
    <row r="32" spans="2:24">
      <c r="H32" s="50" t="s">
        <v>461</v>
      </c>
      <c r="I32" s="50" t="s">
        <v>441</v>
      </c>
      <c r="J32" s="50" t="s">
        <v>442</v>
      </c>
      <c r="K32" s="50" t="s">
        <v>443</v>
      </c>
      <c r="L32" s="50" t="s">
        <v>444</v>
      </c>
      <c r="M32" s="50" t="s">
        <v>445</v>
      </c>
      <c r="N32" s="50" t="s">
        <v>446</v>
      </c>
      <c r="O32" s="50" t="s">
        <v>447</v>
      </c>
      <c r="P32" s="50" t="s">
        <v>448</v>
      </c>
      <c r="Q32" s="50" t="s">
        <v>449</v>
      </c>
      <c r="R32" s="50" t="s">
        <v>450</v>
      </c>
      <c r="S32" s="50" t="str">
        <f>S6</f>
        <v>Q3 15</v>
      </c>
      <c r="T32" s="50" t="str">
        <f>T6</f>
        <v>Q4 15</v>
      </c>
      <c r="U32" s="50" t="str">
        <f>U6</f>
        <v>Q1 16</v>
      </c>
      <c r="V32" s="50" t="s">
        <v>454</v>
      </c>
      <c r="W32" s="50" t="s">
        <v>462</v>
      </c>
      <c r="X32" s="50" t="s">
        <v>576</v>
      </c>
    </row>
    <row r="33" spans="8:24">
      <c r="H33" s="50" t="s">
        <v>463</v>
      </c>
      <c r="I33" s="61">
        <f>'Income Statement'!AB187</f>
        <v>0</v>
      </c>
      <c r="J33" s="61">
        <f>'Income Statement'!AC187</f>
        <v>0</v>
      </c>
      <c r="K33" s="61">
        <f>'Income Statement'!AD187</f>
        <v>0</v>
      </c>
      <c r="L33" s="61">
        <f>'Income Statement'!AE187</f>
        <v>0</v>
      </c>
      <c r="M33" s="61">
        <f>'Income Statement'!AG187</f>
        <v>0</v>
      </c>
      <c r="N33" s="61">
        <f>'Income Statement'!AH187</f>
        <v>0</v>
      </c>
      <c r="O33" s="61">
        <f>'Income Statement'!AI187</f>
        <v>27</v>
      </c>
      <c r="P33" s="61">
        <f>'Income Statement'!AJ187</f>
        <v>32</v>
      </c>
      <c r="Q33" s="61">
        <f>'Income Statement'!AL187</f>
        <v>36</v>
      </c>
      <c r="R33" s="61">
        <f>'Income Statement'!AM187</f>
        <v>42</v>
      </c>
      <c r="S33" s="61">
        <f>'Income Statement'!AN187</f>
        <v>45</v>
      </c>
      <c r="T33" s="61">
        <f>'Income Statement'!AO187</f>
        <v>50</v>
      </c>
      <c r="U33" s="61">
        <f>'Income Statement'!AQ187</f>
        <v>52</v>
      </c>
      <c r="V33" s="61">
        <f>'Income Statement'!AR187</f>
        <v>64</v>
      </c>
      <c r="W33" s="61">
        <f>'Income Statement'!AS187</f>
        <v>83</v>
      </c>
      <c r="X33" s="61">
        <f>'Income Statement'!AT187</f>
        <v>84.366</v>
      </c>
    </row>
    <row r="34" spans="8:24">
      <c r="H34" s="50" t="s">
        <v>464</v>
      </c>
      <c r="I34" s="61">
        <f>'Income Statement'!AB189</f>
        <v>0</v>
      </c>
      <c r="J34" s="61">
        <f>'Income Statement'!AC189</f>
        <v>0</v>
      </c>
      <c r="K34" s="61">
        <f>'Income Statement'!AD189</f>
        <v>0</v>
      </c>
      <c r="L34" s="61">
        <f>'Income Statement'!AE189</f>
        <v>0</v>
      </c>
      <c r="M34" s="61">
        <f>'Income Statement'!AG189</f>
        <v>0</v>
      </c>
      <c r="N34" s="61">
        <f>'Income Statement'!AH189</f>
        <v>0</v>
      </c>
      <c r="O34" s="61">
        <f>'Income Statement'!AI189</f>
        <v>0</v>
      </c>
      <c r="P34" s="61">
        <f>'Income Statement'!AJ189</f>
        <v>0</v>
      </c>
      <c r="Q34" s="61">
        <f>'Income Statement'!AL189</f>
        <v>0</v>
      </c>
      <c r="R34" s="61">
        <f>'Income Statement'!AM189</f>
        <v>0</v>
      </c>
      <c r="S34" s="61">
        <f>'Income Statement'!AN189</f>
        <v>0</v>
      </c>
      <c r="T34" s="61">
        <f>'Income Statement'!AO189</f>
        <v>0</v>
      </c>
      <c r="U34" s="61">
        <f>'Income Statement'!AQ189</f>
        <v>0</v>
      </c>
      <c r="V34" s="61">
        <f>'Income Statement'!AR189</f>
        <v>0</v>
      </c>
      <c r="W34" s="61">
        <f>'Income Statement'!AS189</f>
        <v>0</v>
      </c>
      <c r="X34" s="61">
        <f>'Income Statement'!AT189</f>
        <v>0</v>
      </c>
    </row>
    <row r="36" spans="8:24">
      <c r="H36" s="50" t="s">
        <v>4</v>
      </c>
      <c r="I36" s="60">
        <f>'Income Statement'!AB217</f>
        <v>0.2167101827676241</v>
      </c>
      <c r="J36" s="60">
        <f>'Income Statement'!AC217</f>
        <v>0.17577197149643697</v>
      </c>
      <c r="K36" s="60">
        <f>'Income Statement'!AD217</f>
        <v>0.20763723150357993</v>
      </c>
      <c r="L36" s="60">
        <f>'Income Statement'!AE217</f>
        <v>0.13913043478260878</v>
      </c>
      <c r="M36" s="60">
        <f>'Income Statement'!AG217</f>
        <v>0.12446351931330479</v>
      </c>
      <c r="N36" s="60">
        <f>'Income Statement'!AH217</f>
        <v>0.14343434343434347</v>
      </c>
      <c r="O36" s="60">
        <f>'Income Statement'!AI217</f>
        <v>0.16403162055335962</v>
      </c>
      <c r="P36" s="60">
        <f>'Income Statement'!AJ217</f>
        <v>0.21755725190839703</v>
      </c>
      <c r="Q36" s="60">
        <f>'Income Statement'!AL217</f>
        <v>0</v>
      </c>
      <c r="R36" s="60">
        <f>'Income Statement'!AM217</f>
        <v>0</v>
      </c>
      <c r="S36" s="60">
        <f>'Income Statement'!AN217</f>
        <v>0</v>
      </c>
      <c r="T36" s="60">
        <f>'Income Statement'!AO217</f>
        <v>0</v>
      </c>
      <c r="U36" s="60">
        <f>'Income Statement'!AQ217</f>
        <v>0</v>
      </c>
      <c r="V36" s="60">
        <f>'Income Statement'!AR217</f>
        <v>0</v>
      </c>
      <c r="W36" s="60">
        <f>'Income Statement'!AS217</f>
        <v>0</v>
      </c>
      <c r="X36" s="60">
        <f>'Income Statement'!AT217</f>
        <v>0</v>
      </c>
    </row>
    <row r="37" spans="8:24">
      <c r="H37" s="50" t="s">
        <v>465</v>
      </c>
      <c r="I37" s="60"/>
      <c r="J37" s="60"/>
      <c r="K37" s="60"/>
      <c r="L37" s="60"/>
      <c r="M37" s="60"/>
      <c r="N37" s="60">
        <f>'Income Statement'!AH188</f>
        <v>0</v>
      </c>
      <c r="O37" s="60">
        <f>'Income Statement'!AI188</f>
        <v>0</v>
      </c>
      <c r="P37" s="60">
        <f>'Income Statement'!AJ188</f>
        <v>0</v>
      </c>
      <c r="Q37" s="60">
        <f>'Income Statement'!AL188</f>
        <v>0</v>
      </c>
      <c r="R37" s="60">
        <f>'Income Statement'!AM188</f>
        <v>0</v>
      </c>
      <c r="S37" s="60">
        <f>'Income Statement'!AN188</f>
        <v>0</v>
      </c>
      <c r="T37" s="60">
        <f>'Income Statement'!AO188</f>
        <v>0</v>
      </c>
      <c r="U37" s="60">
        <f>'Income Statement'!AQ188</f>
        <v>0.44444444444444442</v>
      </c>
      <c r="V37" s="60">
        <f>'Income Statement'!AR188</f>
        <v>0.52380952380952372</v>
      </c>
      <c r="W37" s="60">
        <f>'Income Statement'!AS188</f>
        <v>0.84444444444444455</v>
      </c>
      <c r="X37" s="60">
        <f>'Income Statement'!AT188</f>
        <v>0.68731999999999993</v>
      </c>
    </row>
    <row r="38" spans="8:24">
      <c r="H38" s="50" t="s">
        <v>466</v>
      </c>
      <c r="I38" s="60"/>
      <c r="J38" s="60"/>
      <c r="K38" s="60"/>
      <c r="L38" s="60"/>
      <c r="M38" s="60"/>
      <c r="N38" s="60">
        <f>'Income Statement'!AH190</f>
        <v>0</v>
      </c>
      <c r="O38" s="60">
        <f>'Income Statement'!AI190</f>
        <v>0</v>
      </c>
      <c r="P38" s="60">
        <f>'Income Statement'!AJ190</f>
        <v>0</v>
      </c>
      <c r="Q38" s="60">
        <f>'Income Statement'!AL190</f>
        <v>0</v>
      </c>
      <c r="R38" s="60">
        <f>'Income Statement'!AM190</f>
        <v>0</v>
      </c>
      <c r="S38" s="60">
        <f>'Income Statement'!AN190</f>
        <v>0</v>
      </c>
      <c r="T38" s="60">
        <f>'Income Statement'!AO190</f>
        <v>0</v>
      </c>
      <c r="U38" s="60">
        <f>'Income Statement'!AQ190</f>
        <v>0</v>
      </c>
      <c r="V38" s="60">
        <f>'Income Statement'!AR190</f>
        <v>0</v>
      </c>
      <c r="W38" s="60">
        <f>'Income Statement'!AS190</f>
        <v>0</v>
      </c>
      <c r="X38" s="60">
        <f>'Income Statement'!AT190</f>
        <v>0</v>
      </c>
    </row>
    <row r="39" spans="8:24">
      <c r="H39" s="50" t="s">
        <v>467</v>
      </c>
      <c r="I39" s="60"/>
      <c r="J39" s="60"/>
      <c r="K39" s="60"/>
      <c r="L39" s="60"/>
      <c r="M39" s="60">
        <f>'Income Statement'!AG197</f>
        <v>0</v>
      </c>
      <c r="N39" s="60">
        <f>'Income Statement'!AH197</f>
        <v>0</v>
      </c>
      <c r="O39" s="60">
        <f>'Income Statement'!AI197</f>
        <v>0</v>
      </c>
      <c r="P39" s="60">
        <f>'Income Statement'!AJ197</f>
        <v>0</v>
      </c>
      <c r="Q39" s="60">
        <f>'Income Statement'!AL197</f>
        <v>0</v>
      </c>
      <c r="R39" s="60">
        <f>'Income Statement'!AM197</f>
        <v>0</v>
      </c>
      <c r="S39" s="60">
        <f>'Income Statement'!AN197</f>
        <v>0</v>
      </c>
      <c r="T39" s="60">
        <f>'Income Statement'!AO197</f>
        <v>0</v>
      </c>
      <c r="U39" s="60">
        <f>'Income Statement'!AQ197</f>
        <v>-5.555555555555558E-2</v>
      </c>
      <c r="V39" s="60">
        <f>'Income Statement'!AR197</f>
        <v>-7.6923076923076872E-2</v>
      </c>
      <c r="W39" s="60">
        <f>'Income Statement'!AS197</f>
        <v>-5.555555555555558E-2</v>
      </c>
      <c r="X39" s="60">
        <f>'Income Statement'!AT197</f>
        <v>-1.1363636363636354E-2</v>
      </c>
    </row>
    <row r="40" spans="8:24">
      <c r="H40" s="50" t="s">
        <v>282</v>
      </c>
      <c r="I40" s="60"/>
      <c r="J40" s="60"/>
      <c r="K40" s="60"/>
      <c r="L40" s="60"/>
      <c r="M40" s="60">
        <f>'Income Statement'!AG208</f>
        <v>0</v>
      </c>
      <c r="N40" s="60">
        <f>'Income Statement'!AH208</f>
        <v>0</v>
      </c>
      <c r="O40" s="60">
        <f>'Income Statement'!AI208</f>
        <v>0</v>
      </c>
      <c r="P40" s="60">
        <f>'Income Statement'!AJ208</f>
        <v>0</v>
      </c>
      <c r="Q40" s="60">
        <f>'Income Statement'!AL208</f>
        <v>0</v>
      </c>
      <c r="R40" s="60">
        <f>'Income Statement'!AM208</f>
        <v>0</v>
      </c>
      <c r="S40" s="60">
        <f>'Income Statement'!AN208</f>
        <v>0</v>
      </c>
      <c r="T40" s="60">
        <f>'Income Statement'!AO208</f>
        <v>0</v>
      </c>
      <c r="U40" s="60">
        <f>'Income Statement'!AQ208</f>
        <v>0</v>
      </c>
      <c r="V40" s="60">
        <f>'Income Statement'!AR208</f>
        <v>0</v>
      </c>
      <c r="W40" s="60">
        <f>'Income Statement'!AS208</f>
        <v>7.4626865671641784E-2</v>
      </c>
      <c r="X40" s="60">
        <f>'Income Statement'!AT208</f>
        <v>0.10447761194029814</v>
      </c>
    </row>
    <row r="43" spans="8:24">
      <c r="I43" s="62"/>
      <c r="J43" s="62"/>
      <c r="K43" s="62"/>
      <c r="L43" s="62"/>
      <c r="M43" s="62"/>
      <c r="N43" s="62"/>
      <c r="O43" s="62"/>
      <c r="P43" s="62"/>
      <c r="Q43" s="62"/>
      <c r="R43" s="62"/>
      <c r="S43" s="62"/>
      <c r="T43" s="62"/>
      <c r="U43" s="62"/>
    </row>
    <row r="44" spans="8:24">
      <c r="I44" s="62">
        <f>I48/SUM(I48:I51)</f>
        <v>0.59337816864976722</v>
      </c>
      <c r="J44" s="62">
        <f t="shared" ref="J44:T44" si="0">J48/SUM(J48:J51)</f>
        <v>0.58847950181629471</v>
      </c>
      <c r="K44" s="62">
        <f t="shared" si="0"/>
        <v>0.59512700881285641</v>
      </c>
      <c r="L44" s="62">
        <f t="shared" si="0"/>
        <v>0.59045621394861036</v>
      </c>
      <c r="M44" s="62">
        <f t="shared" si="0"/>
        <v>0.59468258274552366</v>
      </c>
      <c r="N44" s="62">
        <f t="shared" si="0"/>
        <v>0.58526089295320061</v>
      </c>
      <c r="O44" s="62">
        <f t="shared" si="0"/>
        <v>0.58507783145464309</v>
      </c>
      <c r="P44" s="62">
        <f t="shared" si="0"/>
        <v>0.5753280839895013</v>
      </c>
      <c r="Q44" s="62" t="e">
        <f t="shared" si="0"/>
        <v>#DIV/0!</v>
      </c>
      <c r="R44" s="62" t="e">
        <f t="shared" si="0"/>
        <v>#DIV/0!</v>
      </c>
      <c r="S44" s="62" t="e">
        <f t="shared" si="0"/>
        <v>#DIV/0!</v>
      </c>
      <c r="T44" s="62" t="e">
        <f t="shared" si="0"/>
        <v>#DIV/0!</v>
      </c>
      <c r="U44" s="62" t="e">
        <f>U48/SUM(U48:U51)</f>
        <v>#DIV/0!</v>
      </c>
      <c r="V44" s="62" t="e">
        <f>V48/SUM(V48:V51)</f>
        <v>#DIV/0!</v>
      </c>
      <c r="W44" s="62" t="e">
        <f>W48/SUM(W48:W51)</f>
        <v>#DIV/0!</v>
      </c>
      <c r="X44" s="62" t="e">
        <f>X48/SUM(X48:X51)</f>
        <v>#DIV/0!</v>
      </c>
    </row>
    <row r="47" spans="8:24">
      <c r="I47" s="50" t="s">
        <v>441</v>
      </c>
      <c r="J47" s="50" t="s">
        <v>442</v>
      </c>
      <c r="K47" s="50" t="s">
        <v>443</v>
      </c>
      <c r="L47" s="50" t="s">
        <v>444</v>
      </c>
      <c r="M47" s="50" t="s">
        <v>445</v>
      </c>
      <c r="N47" s="50" t="s">
        <v>446</v>
      </c>
      <c r="O47" s="50" t="s">
        <v>447</v>
      </c>
      <c r="P47" s="50" t="s">
        <v>448</v>
      </c>
      <c r="Q47" s="50" t="s">
        <v>449</v>
      </c>
      <c r="R47" s="50" t="s">
        <v>450</v>
      </c>
      <c r="S47" s="50" t="str">
        <f>S6</f>
        <v>Q3 15</v>
      </c>
      <c r="T47" s="50" t="s">
        <v>452</v>
      </c>
      <c r="U47" s="50" t="s">
        <v>453</v>
      </c>
      <c r="V47" s="50" t="s">
        <v>454</v>
      </c>
      <c r="W47" s="50" t="str">
        <f>W32</f>
        <v>Q3 16</v>
      </c>
      <c r="X47" s="50" t="str">
        <f>X32</f>
        <v>Q3 17</v>
      </c>
    </row>
    <row r="48" spans="8:24">
      <c r="H48" s="50" t="s">
        <v>459</v>
      </c>
      <c r="I48" s="50">
        <f>'Income Statement'!AB214</f>
        <v>1147</v>
      </c>
      <c r="J48" s="50">
        <f>'Income Statement'!AC214</f>
        <v>1134</v>
      </c>
      <c r="K48" s="50">
        <f>'Income Statement'!AD214</f>
        <v>1148</v>
      </c>
      <c r="L48" s="50">
        <f>'Income Statement'!AE214</f>
        <v>1126</v>
      </c>
      <c r="M48" s="50">
        <f>'Income Statement'!AG214</f>
        <v>1096</v>
      </c>
      <c r="N48" s="50">
        <f>'Income Statement'!AH214</f>
        <v>1088</v>
      </c>
      <c r="O48" s="50">
        <f>'Income Statement'!AI214</f>
        <v>1090</v>
      </c>
      <c r="P48" s="50">
        <f>'Income Statement'!AJ214</f>
        <v>1096</v>
      </c>
      <c r="Q48" s="50">
        <f>'Income Statement'!AL214</f>
        <v>0</v>
      </c>
      <c r="R48" s="50">
        <f>'Income Statement'!AM214</f>
        <v>0</v>
      </c>
      <c r="S48" s="50">
        <f>'Income Statement'!AN214</f>
        <v>0</v>
      </c>
      <c r="T48" s="50">
        <f>'Income Statement'!AO214</f>
        <v>0</v>
      </c>
      <c r="U48" s="50">
        <f>'Income Statement'!AQ214</f>
        <v>0</v>
      </c>
      <c r="V48" s="50">
        <f>'Income Statement'!AR214</f>
        <v>0</v>
      </c>
      <c r="W48" s="50">
        <f>'Income Statement'!AS214</f>
        <v>0</v>
      </c>
      <c r="X48" s="50">
        <f>'Income Statement'!AT214</f>
        <v>0</v>
      </c>
    </row>
    <row r="49" spans="8:25">
      <c r="H49" s="50" t="s">
        <v>469</v>
      </c>
      <c r="I49" s="50">
        <f>'Income Statement'!AB216</f>
        <v>466</v>
      </c>
      <c r="J49" s="50">
        <f>'Income Statement'!AC216</f>
        <v>495</v>
      </c>
      <c r="K49" s="50">
        <f>'Income Statement'!AD216</f>
        <v>506</v>
      </c>
      <c r="L49" s="50">
        <f>'Income Statement'!AE216</f>
        <v>524</v>
      </c>
      <c r="M49" s="50">
        <f>'Income Statement'!AG216</f>
        <v>524</v>
      </c>
      <c r="N49" s="50">
        <f>'Income Statement'!AH216</f>
        <v>566</v>
      </c>
      <c r="O49" s="50">
        <f>'Income Statement'!AI216</f>
        <v>589</v>
      </c>
      <c r="P49" s="50">
        <f>'Income Statement'!AJ216</f>
        <v>638</v>
      </c>
      <c r="Q49" s="50">
        <f>'Income Statement'!AL216</f>
        <v>0</v>
      </c>
      <c r="R49" s="50">
        <f>'Income Statement'!AM216</f>
        <v>0</v>
      </c>
      <c r="S49" s="50">
        <f>'Income Statement'!AN216</f>
        <v>0</v>
      </c>
      <c r="T49" s="50">
        <f>'Income Statement'!AO216</f>
        <v>0</v>
      </c>
      <c r="U49" s="50">
        <f>'Income Statement'!AQ216</f>
        <v>0</v>
      </c>
      <c r="V49" s="50">
        <f>'Income Statement'!AR216</f>
        <v>0</v>
      </c>
      <c r="W49" s="50">
        <f>'Income Statement'!AS216</f>
        <v>0</v>
      </c>
      <c r="X49" s="50">
        <f>'Income Statement'!AT216</f>
        <v>0</v>
      </c>
    </row>
    <row r="50" spans="8:25">
      <c r="H50" s="50" t="s">
        <v>470</v>
      </c>
      <c r="I50" s="50">
        <f>'Income Statement'!AB218</f>
        <v>320</v>
      </c>
      <c r="J50" s="50">
        <f>'Income Statement'!AC218</f>
        <v>298</v>
      </c>
      <c r="K50" s="50">
        <f>'Income Statement'!AD218</f>
        <v>275</v>
      </c>
      <c r="L50" s="50">
        <f>'Income Statement'!AE218</f>
        <v>257</v>
      </c>
      <c r="M50" s="50">
        <f>'Income Statement'!AG218</f>
        <v>223</v>
      </c>
      <c r="N50" s="50">
        <f>'Income Statement'!AH218</f>
        <v>205</v>
      </c>
      <c r="O50" s="50">
        <f>'Income Statement'!AI218</f>
        <v>184</v>
      </c>
      <c r="P50" s="50">
        <f>'Income Statement'!AJ218</f>
        <v>171</v>
      </c>
      <c r="Q50" s="50">
        <f>'Income Statement'!AL218</f>
        <v>0</v>
      </c>
      <c r="R50" s="50">
        <f>'Income Statement'!AM218</f>
        <v>0</v>
      </c>
      <c r="S50" s="50">
        <f>'Income Statement'!AN218</f>
        <v>0</v>
      </c>
      <c r="T50" s="50">
        <f>'Income Statement'!AO218</f>
        <v>0</v>
      </c>
      <c r="U50" s="50">
        <f>'Income Statement'!AQ218</f>
        <v>0</v>
      </c>
      <c r="V50" s="50">
        <f>'Income Statement'!AR218</f>
        <v>0</v>
      </c>
      <c r="W50" s="50">
        <f>'Income Statement'!AS218</f>
        <v>0</v>
      </c>
      <c r="X50" s="50">
        <f>'Income Statement'!AT218</f>
        <v>0</v>
      </c>
    </row>
    <row r="51" spans="8:25">
      <c r="H51" s="50" t="s">
        <v>260</v>
      </c>
      <c r="I51" s="50">
        <f>'Income Statement'!AB219</f>
        <v>0</v>
      </c>
      <c r="J51" s="50">
        <f>'Income Statement'!AC219</f>
        <v>0</v>
      </c>
      <c r="K51" s="50">
        <f>'Income Statement'!AD219</f>
        <v>0</v>
      </c>
      <c r="L51" s="50">
        <f>'Income Statement'!AE219</f>
        <v>0</v>
      </c>
      <c r="M51" s="50">
        <f>'Income Statement'!AG219</f>
        <v>0</v>
      </c>
      <c r="N51" s="50">
        <f>'Income Statement'!AH219</f>
        <v>0</v>
      </c>
      <c r="O51" s="50">
        <f>'Income Statement'!AI219</f>
        <v>0</v>
      </c>
      <c r="P51" s="50">
        <f>'Income Statement'!AJ219</f>
        <v>0</v>
      </c>
      <c r="Q51" s="50">
        <f>'Income Statement'!AL219</f>
        <v>0</v>
      </c>
      <c r="R51" s="50">
        <f>'Income Statement'!AM219</f>
        <v>0</v>
      </c>
      <c r="S51" s="50">
        <f>'Income Statement'!AN219</f>
        <v>0</v>
      </c>
      <c r="T51" s="50">
        <f>'Income Statement'!AO219</f>
        <v>0</v>
      </c>
      <c r="U51" s="50">
        <f>'Income Statement'!AQ219</f>
        <v>0</v>
      </c>
      <c r="V51" s="50">
        <f>'Income Statement'!AR219</f>
        <v>0</v>
      </c>
      <c r="W51" s="50">
        <f>'Income Statement'!AS219</f>
        <v>0</v>
      </c>
      <c r="X51" s="50">
        <f>'Income Statement'!AT219</f>
        <v>0</v>
      </c>
    </row>
    <row r="52" spans="8:25">
      <c r="H52" s="50" t="s">
        <v>471</v>
      </c>
      <c r="I52" s="63">
        <f>'Income Statement'!AB285</f>
        <v>118.33699999999999</v>
      </c>
      <c r="J52" s="63">
        <f>'Income Statement'!AC285</f>
        <v>130.37899999999991</v>
      </c>
      <c r="K52" s="63">
        <f>'Income Statement'!AD285</f>
        <v>100.80799999999999</v>
      </c>
      <c r="L52" s="63">
        <f>'Income Statement'!AE285</f>
        <v>105.20900000000006</v>
      </c>
      <c r="M52" s="63">
        <f>'Income Statement'!AG285</f>
        <v>117.3599999999999</v>
      </c>
      <c r="N52" s="63">
        <f>'Income Statement'!AH285</f>
        <v>79.775000000000091</v>
      </c>
      <c r="O52" s="63">
        <f>'Income Statement'!AI285</f>
        <v>84.799999999999955</v>
      </c>
      <c r="P52" s="63">
        <f>'Income Statement'!AJ285</f>
        <v>88.400000000000091</v>
      </c>
      <c r="Q52" s="63">
        <f>'Income Statement'!AL285</f>
        <v>134.5440000000001</v>
      </c>
      <c r="R52" s="63">
        <f>'Income Statement'!AM285</f>
        <v>113.70550000000003</v>
      </c>
      <c r="S52" s="63">
        <f>'Income Statement'!AN285</f>
        <v>107.1434999999999</v>
      </c>
      <c r="T52" s="63">
        <f>'Income Statement'!AO285</f>
        <v>111.70000000000005</v>
      </c>
      <c r="U52" s="63">
        <f>'Income Statement'!AQ285</f>
        <v>129.70000000000005</v>
      </c>
      <c r="V52" s="63">
        <f>'Income Statement'!AR285</f>
        <v>128.91350000000011</v>
      </c>
      <c r="W52" s="63">
        <f>'Income Statement'!AS285</f>
        <v>159.875</v>
      </c>
      <c r="X52" s="63">
        <f>'Income Statement'!AT285</f>
        <v>107.6400000000001</v>
      </c>
    </row>
    <row r="53" spans="8:25">
      <c r="H53" s="50" t="s">
        <v>1</v>
      </c>
      <c r="I53" s="50">
        <v>0</v>
      </c>
      <c r="J53" s="50">
        <v>0</v>
      </c>
      <c r="K53" s="50">
        <v>0</v>
      </c>
      <c r="L53" s="50">
        <v>0</v>
      </c>
      <c r="M53" s="50">
        <v>0</v>
      </c>
      <c r="N53" s="50">
        <v>0</v>
      </c>
      <c r="O53" s="50">
        <v>0</v>
      </c>
      <c r="P53" s="50">
        <v>0</v>
      </c>
      <c r="Q53" s="50">
        <v>0</v>
      </c>
      <c r="R53" s="50">
        <v>0</v>
      </c>
      <c r="S53" s="50">
        <v>0</v>
      </c>
      <c r="T53" s="50">
        <v>0</v>
      </c>
      <c r="U53" s="50">
        <v>0</v>
      </c>
      <c r="V53" s="50">
        <v>0</v>
      </c>
      <c r="W53" s="50">
        <v>0</v>
      </c>
      <c r="X53" s="50">
        <v>1</v>
      </c>
    </row>
    <row r="54" spans="8:25">
      <c r="M54" s="62">
        <f t="shared" ref="M54:X57" si="1">M48/I48-1</f>
        <v>-4.4463818657367038E-2</v>
      </c>
      <c r="N54" s="62">
        <f t="shared" si="1"/>
        <v>-4.0564373897707284E-2</v>
      </c>
      <c r="O54" s="62">
        <f t="shared" si="1"/>
        <v>-5.0522648083623722E-2</v>
      </c>
      <c r="P54" s="62">
        <f t="shared" si="1"/>
        <v>-2.6642984014209614E-2</v>
      </c>
      <c r="Q54" s="62">
        <f t="shared" si="1"/>
        <v>-1</v>
      </c>
      <c r="R54" s="62">
        <f t="shared" si="1"/>
        <v>-1</v>
      </c>
      <c r="S54" s="62">
        <f t="shared" si="1"/>
        <v>-1</v>
      </c>
      <c r="T54" s="62">
        <f t="shared" si="1"/>
        <v>-1</v>
      </c>
      <c r="U54" s="62" t="e">
        <f t="shared" si="1"/>
        <v>#DIV/0!</v>
      </c>
      <c r="V54" s="62" t="e">
        <f t="shared" si="1"/>
        <v>#DIV/0!</v>
      </c>
      <c r="W54" s="62" t="e">
        <f t="shared" si="1"/>
        <v>#DIV/0!</v>
      </c>
      <c r="X54" s="62" t="e">
        <f t="shared" si="1"/>
        <v>#DIV/0!</v>
      </c>
    </row>
    <row r="55" spans="8:25">
      <c r="M55" s="62">
        <f t="shared" si="1"/>
        <v>0.12446351931330479</v>
      </c>
      <c r="N55" s="62">
        <f t="shared" si="1"/>
        <v>0.14343434343434347</v>
      </c>
      <c r="O55" s="62">
        <f t="shared" si="1"/>
        <v>0.16403162055335962</v>
      </c>
      <c r="P55" s="62">
        <f t="shared" si="1"/>
        <v>0.21755725190839703</v>
      </c>
      <c r="Q55" s="62">
        <f t="shared" si="1"/>
        <v>-1</v>
      </c>
      <c r="R55" s="62">
        <f t="shared" si="1"/>
        <v>-1</v>
      </c>
      <c r="S55" s="62">
        <f t="shared" si="1"/>
        <v>-1</v>
      </c>
      <c r="T55" s="62">
        <f t="shared" si="1"/>
        <v>-1</v>
      </c>
      <c r="U55" s="62" t="e">
        <f t="shared" si="1"/>
        <v>#DIV/0!</v>
      </c>
      <c r="V55" s="62" t="e">
        <f t="shared" si="1"/>
        <v>#DIV/0!</v>
      </c>
      <c r="W55" s="62" t="e">
        <f t="shared" si="1"/>
        <v>#DIV/0!</v>
      </c>
      <c r="X55" s="62" t="e">
        <f t="shared" si="1"/>
        <v>#DIV/0!</v>
      </c>
    </row>
    <row r="56" spans="8:25">
      <c r="M56" s="62">
        <f t="shared" si="1"/>
        <v>-0.30312499999999998</v>
      </c>
      <c r="N56" s="62">
        <f t="shared" si="1"/>
        <v>-0.31208053691275173</v>
      </c>
      <c r="O56" s="62">
        <f t="shared" si="1"/>
        <v>-0.33090909090909093</v>
      </c>
      <c r="P56" s="62">
        <f t="shared" si="1"/>
        <v>-0.33463035019455256</v>
      </c>
      <c r="Q56" s="62">
        <f t="shared" si="1"/>
        <v>-1</v>
      </c>
      <c r="R56" s="62">
        <f t="shared" si="1"/>
        <v>-1</v>
      </c>
      <c r="S56" s="62">
        <f t="shared" si="1"/>
        <v>-1</v>
      </c>
      <c r="T56" s="62">
        <f t="shared" si="1"/>
        <v>-1</v>
      </c>
      <c r="U56" s="62" t="e">
        <f t="shared" si="1"/>
        <v>#DIV/0!</v>
      </c>
      <c r="V56" s="62" t="e">
        <f t="shared" si="1"/>
        <v>#DIV/0!</v>
      </c>
      <c r="W56" s="62" t="e">
        <f t="shared" si="1"/>
        <v>#DIV/0!</v>
      </c>
      <c r="X56" s="62" t="e">
        <f t="shared" si="1"/>
        <v>#DIV/0!</v>
      </c>
    </row>
    <row r="57" spans="8:25">
      <c r="M57" s="62" t="e">
        <f t="shared" si="1"/>
        <v>#DIV/0!</v>
      </c>
      <c r="N57" s="62" t="e">
        <f t="shared" si="1"/>
        <v>#DIV/0!</v>
      </c>
      <c r="O57" s="62" t="e">
        <f t="shared" si="1"/>
        <v>#DIV/0!</v>
      </c>
      <c r="P57" s="62" t="e">
        <f t="shared" si="1"/>
        <v>#DIV/0!</v>
      </c>
      <c r="Q57" s="62" t="e">
        <f t="shared" si="1"/>
        <v>#DIV/0!</v>
      </c>
      <c r="R57" s="62" t="e">
        <f t="shared" si="1"/>
        <v>#DIV/0!</v>
      </c>
      <c r="S57" s="62" t="e">
        <f t="shared" si="1"/>
        <v>#DIV/0!</v>
      </c>
      <c r="T57" s="62" t="e">
        <f t="shared" si="1"/>
        <v>#DIV/0!</v>
      </c>
      <c r="U57" s="62" t="e">
        <f t="shared" si="1"/>
        <v>#DIV/0!</v>
      </c>
      <c r="V57" s="62" t="e">
        <f t="shared" si="1"/>
        <v>#DIV/0!</v>
      </c>
      <c r="W57" s="62" t="e">
        <f t="shared" si="1"/>
        <v>#DIV/0!</v>
      </c>
      <c r="X57" s="62" t="e">
        <f t="shared" si="1"/>
        <v>#DIV/0!</v>
      </c>
    </row>
    <row r="61" spans="8:25">
      <c r="I61" s="50" t="s">
        <v>441</v>
      </c>
      <c r="J61" s="50" t="s">
        <v>442</v>
      </c>
      <c r="K61" s="50" t="s">
        <v>443</v>
      </c>
      <c r="L61" s="50" t="s">
        <v>444</v>
      </c>
      <c r="M61" s="50" t="s">
        <v>445</v>
      </c>
      <c r="N61" s="50" t="s">
        <v>446</v>
      </c>
      <c r="O61" s="50" t="s">
        <v>447</v>
      </c>
      <c r="P61" s="50" t="s">
        <v>448</v>
      </c>
      <c r="Q61" s="50" t="s">
        <v>449</v>
      </c>
      <c r="R61" s="50" t="s">
        <v>450</v>
      </c>
      <c r="S61" s="50" t="str">
        <f>S47</f>
        <v>Q3 15</v>
      </c>
      <c r="T61" s="50" t="str">
        <f>T47</f>
        <v>Q4 15</v>
      </c>
      <c r="U61" s="50" t="str">
        <f>U47</f>
        <v>Q1 16</v>
      </c>
      <c r="V61" s="50" t="str">
        <f>V47</f>
        <v>Q2 16</v>
      </c>
      <c r="W61" s="50" t="str">
        <f>W47</f>
        <v>Q3 16</v>
      </c>
      <c r="X61" s="50" t="s">
        <v>468</v>
      </c>
      <c r="Y61" s="50" t="s">
        <v>581</v>
      </c>
    </row>
    <row r="62" spans="8:25">
      <c r="H62" s="50" t="s">
        <v>472</v>
      </c>
      <c r="I62" s="62">
        <f>'Income Statement'!AB435</f>
        <v>0.48216587881392353</v>
      </c>
      <c r="J62" s="62">
        <f>'Income Statement'!AC435</f>
        <v>0.50762527233115473</v>
      </c>
      <c r="K62" s="62">
        <f>'Income Statement'!AD435</f>
        <v>0.51540866458240286</v>
      </c>
      <c r="L62" s="62">
        <f>'Income Statement'!AE435</f>
        <v>0.48606115107913667</v>
      </c>
      <c r="M62" s="62">
        <f>'Income Statement'!AG435</f>
        <v>0.33400000000000002</v>
      </c>
      <c r="N62" s="62">
        <f>'Income Statement'!AH435</f>
        <v>0.313</v>
      </c>
      <c r="O62" s="62">
        <f>'Income Statement'!AI435</f>
        <v>0.316</v>
      </c>
      <c r="P62" s="62">
        <f>'Income Statement'!AJ435</f>
        <v>0.32800000000000001</v>
      </c>
      <c r="Q62" s="62">
        <f>'Income Statement'!AL435</f>
        <v>0.33200000000000002</v>
      </c>
      <c r="R62" s="62">
        <f>'Income Statement'!AM435</f>
        <v>0.308</v>
      </c>
      <c r="S62" s="62">
        <f>'Income Statement'!AN435</f>
        <v>0.31809787626962144</v>
      </c>
      <c r="T62" s="62">
        <f>'Income Statement'!AO435</f>
        <v>0.31066176470588236</v>
      </c>
      <c r="U62" s="62">
        <f>'Income Statement'!AQ435</f>
        <v>0.54252336448598126</v>
      </c>
      <c r="V62" s="62">
        <f>'Income Statement'!AR435</f>
        <v>0.48049476688867743</v>
      </c>
      <c r="W62" s="62">
        <f>'Income Statement'!AS435</f>
        <v>0.53061224489795922</v>
      </c>
      <c r="X62" s="62">
        <f>'Income Statement'!AT435</f>
        <v>0.53613369467028005</v>
      </c>
      <c r="Y62" s="62">
        <f>'Income Statement'!AV435</f>
        <v>0.43115789473684213</v>
      </c>
    </row>
    <row r="63" spans="8:25">
      <c r="H63" s="50" t="s">
        <v>473</v>
      </c>
      <c r="I63" s="62">
        <f>'Income Statement'!AB436</f>
        <v>0.52291529471310261</v>
      </c>
      <c r="J63" s="62">
        <f>'Income Statement'!AC436</f>
        <v>0.5530183170109858</v>
      </c>
      <c r="K63" s="62">
        <f>'Income Statement'!AD436</f>
        <v>0.55475648401685995</v>
      </c>
      <c r="L63" s="62">
        <f>'Income Statement'!AE436</f>
        <v>0.52532059864194169</v>
      </c>
      <c r="M63" s="62">
        <f>'Income Statement'!AG436</f>
        <v>0.36432174772474574</v>
      </c>
      <c r="N63" s="62">
        <f>'Income Statement'!AH436</f>
        <v>0.33587135512633848</v>
      </c>
      <c r="O63" s="62">
        <f>'Income Statement'!AI436</f>
        <v>0.34053856591170023</v>
      </c>
      <c r="P63" s="62">
        <f>'Income Statement'!AJ436</f>
        <v>0.35408522322790609</v>
      </c>
      <c r="Q63" s="62">
        <f>'Income Statement'!AL436</f>
        <v>0.36598312554887114</v>
      </c>
      <c r="R63" s="62">
        <f>'Income Statement'!AM436</f>
        <v>0.3363255445792554</v>
      </c>
      <c r="S63" s="62">
        <f>'Income Statement'!AN436</f>
        <v>0.34521519958975005</v>
      </c>
      <c r="T63" s="62">
        <f>'Income Statement'!AO436</f>
        <v>0.33744321868916288</v>
      </c>
      <c r="U63" s="62">
        <f>'Income Statement'!AQ436</f>
        <v>0.59743734883960276</v>
      </c>
      <c r="V63" s="62">
        <f>'Income Statement'!AR436</f>
        <v>0.52988151377180415</v>
      </c>
      <c r="W63" s="62">
        <f>'Income Statement'!AS436</f>
        <v>0.59517461143265915</v>
      </c>
      <c r="X63" s="62">
        <f>'Income Statement'!AT436</f>
        <v>0.58520183793803859</v>
      </c>
      <c r="Y63" s="62">
        <f>'Income Statement'!AV436</f>
        <v>0.49089165867689355</v>
      </c>
    </row>
    <row r="66" spans="8:25">
      <c r="I66" s="50" t="str">
        <f>I61</f>
        <v>Q1 13</v>
      </c>
      <c r="J66" s="50" t="str">
        <f t="shared" ref="J66:U66" si="2">J61</f>
        <v>Q2 13</v>
      </c>
      <c r="K66" s="50" t="str">
        <f t="shared" si="2"/>
        <v>Q3 13</v>
      </c>
      <c r="L66" s="50" t="str">
        <f t="shared" si="2"/>
        <v>Q4 13</v>
      </c>
      <c r="M66" s="50" t="str">
        <f t="shared" si="2"/>
        <v>Q1 14</v>
      </c>
      <c r="N66" s="50" t="str">
        <f t="shared" si="2"/>
        <v>Q2 14</v>
      </c>
      <c r="O66" s="50" t="str">
        <f t="shared" si="2"/>
        <v>Q3 14</v>
      </c>
      <c r="P66" s="50" t="str">
        <f t="shared" si="2"/>
        <v>Q4 14</v>
      </c>
      <c r="Q66" s="50" t="str">
        <f t="shared" si="2"/>
        <v>Q1 15</v>
      </c>
      <c r="R66" s="50" t="str">
        <f t="shared" si="2"/>
        <v>Q2 15</v>
      </c>
      <c r="S66" s="50" t="str">
        <f t="shared" si="2"/>
        <v>Q3 15</v>
      </c>
      <c r="T66" s="50" t="str">
        <f t="shared" si="2"/>
        <v>Q4 15</v>
      </c>
      <c r="U66" s="50" t="str">
        <f t="shared" si="2"/>
        <v>Q1 16</v>
      </c>
      <c r="V66" s="50" t="str">
        <f>V61</f>
        <v>Q2 16</v>
      </c>
      <c r="W66" s="50" t="str">
        <f>W61</f>
        <v>Q3 16</v>
      </c>
      <c r="X66" s="50" t="str">
        <f>X61</f>
        <v>Q4 16</v>
      </c>
      <c r="Y66" s="50" t="s">
        <v>581</v>
      </c>
    </row>
    <row r="67" spans="8:25">
      <c r="H67" s="50" t="s">
        <v>474</v>
      </c>
      <c r="I67" s="62" t="e">
        <f>'Income Statement'!#REF!</f>
        <v>#REF!</v>
      </c>
      <c r="J67" s="62" t="e">
        <f>'Income Statement'!#REF!</f>
        <v>#REF!</v>
      </c>
      <c r="K67" s="62" t="e">
        <f>'Income Statement'!#REF!</f>
        <v>#REF!</v>
      </c>
      <c r="L67" s="62" t="e">
        <f>'Income Statement'!#REF!</f>
        <v>#REF!</v>
      </c>
      <c r="M67" s="62" t="e">
        <f>'Income Statement'!#REF!</f>
        <v>#REF!</v>
      </c>
      <c r="N67" s="62" t="e">
        <f>'Income Statement'!#REF!</f>
        <v>#REF!</v>
      </c>
      <c r="O67" s="62" t="e">
        <f>'Income Statement'!#REF!</f>
        <v>#REF!</v>
      </c>
      <c r="P67" s="62" t="e">
        <f>'Income Statement'!#REF!</f>
        <v>#REF!</v>
      </c>
      <c r="Q67" s="62" t="e">
        <f>'Income Statement'!#REF!</f>
        <v>#REF!</v>
      </c>
      <c r="R67" s="62" t="e">
        <f>'Income Statement'!#REF!</f>
        <v>#REF!</v>
      </c>
      <c r="S67" s="62" t="e">
        <f>'Income Statement'!#REF!</f>
        <v>#REF!</v>
      </c>
      <c r="T67" s="62" t="e">
        <f>'Income Statement'!#REF!</f>
        <v>#REF!</v>
      </c>
      <c r="U67" s="62" t="e">
        <f>'Income Statement'!#REF!</f>
        <v>#REF!</v>
      </c>
      <c r="V67" s="62" t="e">
        <f>'Income Statement'!#REF!</f>
        <v>#REF!</v>
      </c>
      <c r="W67" s="62" t="e">
        <f>'Income Statement'!#REF!</f>
        <v>#REF!</v>
      </c>
      <c r="X67" s="62" t="e">
        <f>'Income Statement'!#REF!</f>
        <v>#REF!</v>
      </c>
    </row>
    <row r="68" spans="8:25">
      <c r="H68" s="50" t="s">
        <v>475</v>
      </c>
      <c r="I68" s="63">
        <f>I52</f>
        <v>118.33699999999999</v>
      </c>
      <c r="J68" s="63">
        <f t="shared" ref="J68:W68" si="3">J52</f>
        <v>130.37899999999991</v>
      </c>
      <c r="K68" s="63">
        <f t="shared" si="3"/>
        <v>100.80799999999999</v>
      </c>
      <c r="L68" s="63">
        <f t="shared" si="3"/>
        <v>105.20900000000006</v>
      </c>
      <c r="M68" s="63">
        <f t="shared" si="3"/>
        <v>117.3599999999999</v>
      </c>
      <c r="N68" s="63">
        <f t="shared" si="3"/>
        <v>79.775000000000091</v>
      </c>
      <c r="O68" s="63">
        <f t="shared" si="3"/>
        <v>84.799999999999955</v>
      </c>
      <c r="P68" s="63">
        <f t="shared" si="3"/>
        <v>88.400000000000091</v>
      </c>
      <c r="Q68" s="63">
        <f t="shared" si="3"/>
        <v>134.5440000000001</v>
      </c>
      <c r="R68" s="63">
        <f t="shared" si="3"/>
        <v>113.70550000000003</v>
      </c>
      <c r="S68" s="63">
        <f t="shared" si="3"/>
        <v>107.1434999999999</v>
      </c>
      <c r="T68" s="63">
        <f t="shared" si="3"/>
        <v>111.70000000000005</v>
      </c>
      <c r="U68" s="63">
        <f t="shared" si="3"/>
        <v>129.70000000000005</v>
      </c>
      <c r="V68" s="63">
        <f t="shared" si="3"/>
        <v>128.91350000000011</v>
      </c>
      <c r="W68" s="63">
        <f t="shared" si="3"/>
        <v>159.875</v>
      </c>
      <c r="X68" s="63">
        <f>X52</f>
        <v>107.6400000000001</v>
      </c>
    </row>
    <row r="69" spans="8:25">
      <c r="H69" s="50" t="s">
        <v>476</v>
      </c>
      <c r="I69" s="66">
        <f>'Income Statement'!AB318</f>
        <v>0</v>
      </c>
      <c r="J69" s="66">
        <f>'Income Statement'!AC318</f>
        <v>0</v>
      </c>
      <c r="K69" s="66">
        <f>'Income Statement'!AD318</f>
        <v>0</v>
      </c>
      <c r="L69" s="66">
        <f>'Income Statement'!AE318</f>
        <v>0</v>
      </c>
      <c r="M69" s="66">
        <f>'Income Statement'!AG318</f>
        <v>0</v>
      </c>
      <c r="N69" s="66">
        <f>'Income Statement'!AH318</f>
        <v>0</v>
      </c>
      <c r="O69" s="66">
        <f>'Income Statement'!AI318</f>
        <v>0</v>
      </c>
      <c r="P69" s="66">
        <f>'Income Statement'!AJ318</f>
        <v>0</v>
      </c>
      <c r="Q69" s="66">
        <f>'Income Statement'!AL318</f>
        <v>0</v>
      </c>
      <c r="R69" s="66">
        <f>'Income Statement'!AM318</f>
        <v>0</v>
      </c>
      <c r="S69" s="66">
        <f>'Income Statement'!AN318</f>
        <v>0</v>
      </c>
      <c r="T69" s="66">
        <f>'Income Statement'!AO318</f>
        <v>0</v>
      </c>
      <c r="U69" s="66">
        <f>'Income Statement'!AQ318</f>
        <v>0</v>
      </c>
      <c r="V69" s="66">
        <f>'Income Statement'!AR318</f>
        <v>0</v>
      </c>
      <c r="W69" s="66">
        <f>'Income Statement'!AS318</f>
        <v>0</v>
      </c>
      <c r="X69" s="66">
        <f>'Income Statement'!AT318</f>
        <v>0</v>
      </c>
    </row>
    <row r="71" spans="8:25">
      <c r="H71" s="50" t="s">
        <v>477</v>
      </c>
      <c r="I71" s="66">
        <f>'Income Statement'!AB288</f>
        <v>2066</v>
      </c>
      <c r="J71" s="66">
        <f>'Income Statement'!AC288</f>
        <v>2063</v>
      </c>
      <c r="K71" s="66">
        <f>'Income Statement'!AD288</f>
        <v>2051</v>
      </c>
      <c r="L71" s="66">
        <f>'Income Statement'!AE288</f>
        <v>2024</v>
      </c>
      <c r="M71" s="66">
        <f>'Income Statement'!AG288</f>
        <v>1953</v>
      </c>
      <c r="N71" s="66">
        <f>'Income Statement'!AH288</f>
        <v>1955</v>
      </c>
      <c r="O71" s="66">
        <f>'Income Statement'!AI288</f>
        <v>1946</v>
      </c>
      <c r="P71" s="66">
        <f>'Income Statement'!AJ288</f>
        <v>1988</v>
      </c>
      <c r="Q71" s="66">
        <f>'Income Statement'!AL288</f>
        <v>2019</v>
      </c>
      <c r="R71" s="66">
        <f>'Income Statement'!AM288</f>
        <v>1984</v>
      </c>
      <c r="S71" s="66">
        <f>'Income Statement'!AN288</f>
        <v>2046</v>
      </c>
      <c r="T71" s="66">
        <f>'Income Statement'!AO288</f>
        <v>2047</v>
      </c>
      <c r="U71" s="66">
        <f>'Income Statement'!AQ288</f>
        <v>2005</v>
      </c>
      <c r="V71" s="66">
        <f>'Income Statement'!AR288</f>
        <v>1934</v>
      </c>
      <c r="W71" s="66">
        <f>'Income Statement'!AS288</f>
        <v>1982</v>
      </c>
      <c r="X71" s="66">
        <f>'Income Statement'!AT288</f>
        <v>2028</v>
      </c>
      <c r="Y71" s="66">
        <f>'Income Statement'!AV288</f>
        <v>1994</v>
      </c>
    </row>
    <row r="72" spans="8:25">
      <c r="H72" s="50" t="s">
        <v>2</v>
      </c>
      <c r="I72" s="66">
        <f>'Income Statement'!AB430</f>
        <v>1122</v>
      </c>
      <c r="J72" s="66">
        <f>'Income Statement'!AC430</f>
        <v>1165</v>
      </c>
      <c r="K72" s="66">
        <f>'Income Statement'!AD430</f>
        <v>1154</v>
      </c>
      <c r="L72" s="66">
        <f>'Income Statement'!AE430</f>
        <v>1081</v>
      </c>
      <c r="M72" s="66">
        <f>'Income Statement'!AG430</f>
        <v>707.74600000000009</v>
      </c>
      <c r="N72" s="66">
        <f>'Income Statement'!AH430</f>
        <v>651.66600000000005</v>
      </c>
      <c r="O72" s="66">
        <f>'Income Statement'!AI430</f>
        <v>652.54</v>
      </c>
      <c r="P72" s="66">
        <f>'Income Statement'!AJ430</f>
        <v>696.34400000000005</v>
      </c>
      <c r="Q72" s="66">
        <f>'Income Statement'!AL430</f>
        <v>713.46800000000007</v>
      </c>
      <c r="R72" s="66">
        <f>'Income Statement'!AM430</f>
        <v>649.88</v>
      </c>
      <c r="S72" s="66">
        <f>'Income Statement'!AN430</f>
        <v>689</v>
      </c>
      <c r="T72" s="66">
        <f>'Income Statement'!AO430</f>
        <v>676</v>
      </c>
      <c r="U72" s="66">
        <f>'Income Statement'!AQ430</f>
        <v>1161</v>
      </c>
      <c r="V72" s="66">
        <f>'Income Statement'!AR430</f>
        <v>1010</v>
      </c>
      <c r="W72" s="66">
        <f>'Income Statement'!AS430</f>
        <v>1144</v>
      </c>
      <c r="X72" s="66">
        <f>'Income Statement'!AT430</f>
        <v>1187</v>
      </c>
      <c r="Y72" s="66">
        <f>'Income Statement'!AV430</f>
        <v>1024</v>
      </c>
    </row>
    <row r="73" spans="8:25">
      <c r="I73" s="62">
        <f t="shared" ref="I73:V73" si="4">I72/I71</f>
        <v>0.54307841239109389</v>
      </c>
      <c r="J73" s="62">
        <f t="shared" si="4"/>
        <v>0.56471158507028596</v>
      </c>
      <c r="K73" s="62">
        <f t="shared" si="4"/>
        <v>0.56265236470014623</v>
      </c>
      <c r="L73" s="62">
        <f t="shared" si="4"/>
        <v>0.53409090909090906</v>
      </c>
      <c r="M73" s="62">
        <f t="shared" si="4"/>
        <v>0.36238914490527396</v>
      </c>
      <c r="N73" s="62">
        <f t="shared" si="4"/>
        <v>0.33333299232736574</v>
      </c>
      <c r="O73" s="62">
        <f t="shared" si="4"/>
        <v>0.3353237410071942</v>
      </c>
      <c r="P73" s="62">
        <f t="shared" si="4"/>
        <v>0.35027364185110665</v>
      </c>
      <c r="Q73" s="62">
        <f t="shared" si="4"/>
        <v>0.35337691926696391</v>
      </c>
      <c r="R73" s="62">
        <f t="shared" si="4"/>
        <v>0.32756048387096776</v>
      </c>
      <c r="S73" s="62">
        <f t="shared" si="4"/>
        <v>0.33675464320625609</v>
      </c>
      <c r="T73" s="62">
        <f t="shared" si="4"/>
        <v>0.33023937469467513</v>
      </c>
      <c r="U73" s="62">
        <f t="shared" si="4"/>
        <v>0.57905236907730673</v>
      </c>
      <c r="V73" s="62">
        <f t="shared" si="4"/>
        <v>0.52223371251292661</v>
      </c>
      <c r="W73" s="62">
        <f>W72/W71</f>
        <v>0.57719475277497478</v>
      </c>
      <c r="X73" s="62">
        <f>X72/X71</f>
        <v>0.58530571992110458</v>
      </c>
      <c r="Y73" s="62">
        <f>Y72/Y71</f>
        <v>0.51354062186559679</v>
      </c>
    </row>
    <row r="74" spans="8:25">
      <c r="M74" s="65">
        <f>M71/I71-1</f>
        <v>-5.4695062923523663E-2</v>
      </c>
      <c r="N74" s="65">
        <f t="shared" ref="N74:Y74" si="5">N71/J71-1</f>
        <v>-5.2350945225399848E-2</v>
      </c>
      <c r="O74" s="65">
        <f t="shared" si="5"/>
        <v>-5.1194539249146742E-2</v>
      </c>
      <c r="P74" s="65">
        <f t="shared" si="5"/>
        <v>-1.7786561264822143E-2</v>
      </c>
      <c r="Q74" s="65">
        <f t="shared" si="5"/>
        <v>3.3794162826420893E-2</v>
      </c>
      <c r="R74" s="65">
        <f t="shared" si="5"/>
        <v>1.4833759590792805E-2</v>
      </c>
      <c r="S74" s="65">
        <f t="shared" si="5"/>
        <v>5.1387461459403871E-2</v>
      </c>
      <c r="T74" s="65">
        <f t="shared" si="5"/>
        <v>2.9678068410462721E-2</v>
      </c>
      <c r="U74" s="65">
        <f t="shared" si="5"/>
        <v>-6.9341258048538634E-3</v>
      </c>
      <c r="V74" s="65">
        <f t="shared" si="5"/>
        <v>-2.5201612903225756E-2</v>
      </c>
      <c r="W74" s="65">
        <f t="shared" si="5"/>
        <v>-3.128054740957964E-2</v>
      </c>
      <c r="X74" s="65">
        <f t="shared" si="5"/>
        <v>-9.2818759159746245E-3</v>
      </c>
      <c r="Y74" s="65">
        <f t="shared" si="5"/>
        <v>-5.4862842892767771E-3</v>
      </c>
    </row>
    <row r="76" spans="8:25">
      <c r="I76" s="50" t="str">
        <f>I66</f>
        <v>Q1 13</v>
      </c>
      <c r="J76" s="50" t="str">
        <f t="shared" ref="J76:U76" si="6">J66</f>
        <v>Q2 13</v>
      </c>
      <c r="K76" s="50" t="str">
        <f t="shared" si="6"/>
        <v>Q3 13</v>
      </c>
      <c r="L76" s="50" t="str">
        <f t="shared" si="6"/>
        <v>Q4 13</v>
      </c>
      <c r="M76" s="50" t="str">
        <f t="shared" si="6"/>
        <v>Q1 14</v>
      </c>
      <c r="N76" s="50" t="str">
        <f t="shared" si="6"/>
        <v>Q2 14</v>
      </c>
      <c r="O76" s="50" t="str">
        <f t="shared" si="6"/>
        <v>Q3 14</v>
      </c>
      <c r="P76" s="50" t="str">
        <f t="shared" si="6"/>
        <v>Q4 14</v>
      </c>
      <c r="Q76" s="50" t="str">
        <f t="shared" si="6"/>
        <v>Q1 15</v>
      </c>
      <c r="R76" s="50" t="str">
        <f t="shared" si="6"/>
        <v>Q2 15</v>
      </c>
      <c r="S76" s="50" t="str">
        <f t="shared" si="6"/>
        <v>Q3 15</v>
      </c>
      <c r="T76" s="50" t="str">
        <f t="shared" si="6"/>
        <v>Q4 15</v>
      </c>
      <c r="U76" s="50" t="str">
        <f t="shared" si="6"/>
        <v>Q1 16</v>
      </c>
      <c r="V76" s="50" t="str">
        <f>V66</f>
        <v>Q2 16</v>
      </c>
      <c r="W76" s="50" t="str">
        <f>W66</f>
        <v>Q3 16</v>
      </c>
      <c r="X76" s="50" t="str">
        <f>X66</f>
        <v>Q4 16</v>
      </c>
    </row>
    <row r="77" spans="8:25">
      <c r="H77" s="50" t="s">
        <v>478</v>
      </c>
      <c r="I77" s="62">
        <f>I36</f>
        <v>0.2167101827676241</v>
      </c>
      <c r="J77" s="62">
        <f t="shared" ref="J77:W77" si="7">J36</f>
        <v>0.17577197149643697</v>
      </c>
      <c r="K77" s="62">
        <f t="shared" si="7"/>
        <v>0.20763723150357993</v>
      </c>
      <c r="L77" s="62">
        <f t="shared" si="7"/>
        <v>0.13913043478260878</v>
      </c>
      <c r="M77" s="62">
        <f t="shared" si="7"/>
        <v>0.12446351931330479</v>
      </c>
      <c r="N77" s="62">
        <f t="shared" si="7"/>
        <v>0.14343434343434347</v>
      </c>
      <c r="O77" s="62">
        <f t="shared" si="7"/>
        <v>0.16403162055335962</v>
      </c>
      <c r="P77" s="62">
        <f t="shared" si="7"/>
        <v>0.21755725190839703</v>
      </c>
      <c r="Q77" s="62">
        <f t="shared" si="7"/>
        <v>0</v>
      </c>
      <c r="R77" s="62">
        <f t="shared" si="7"/>
        <v>0</v>
      </c>
      <c r="S77" s="62">
        <f t="shared" si="7"/>
        <v>0</v>
      </c>
      <c r="T77" s="62">
        <f t="shared" si="7"/>
        <v>0</v>
      </c>
      <c r="U77" s="62">
        <f t="shared" si="7"/>
        <v>0</v>
      </c>
      <c r="V77" s="62">
        <f t="shared" si="7"/>
        <v>0</v>
      </c>
      <c r="W77" s="62">
        <f t="shared" si="7"/>
        <v>0</v>
      </c>
      <c r="X77" s="62">
        <f>X36</f>
        <v>0</v>
      </c>
    </row>
    <row r="102" spans="8:23">
      <c r="I102" s="50" t="str">
        <f>I76</f>
        <v>Q1 13</v>
      </c>
      <c r="J102" s="50" t="str">
        <f t="shared" ref="J102:W102" si="8">J76</f>
        <v>Q2 13</v>
      </c>
      <c r="K102" s="50" t="str">
        <f t="shared" si="8"/>
        <v>Q3 13</v>
      </c>
      <c r="L102" s="50" t="str">
        <f t="shared" si="8"/>
        <v>Q4 13</v>
      </c>
      <c r="M102" s="50" t="str">
        <f t="shared" si="8"/>
        <v>Q1 14</v>
      </c>
      <c r="N102" s="50" t="str">
        <f t="shared" si="8"/>
        <v>Q2 14</v>
      </c>
      <c r="O102" s="50" t="str">
        <f t="shared" si="8"/>
        <v>Q3 14</v>
      </c>
      <c r="P102" s="50" t="str">
        <f t="shared" si="8"/>
        <v>Q4 14</v>
      </c>
      <c r="Q102" s="50" t="str">
        <f t="shared" si="8"/>
        <v>Q1 15</v>
      </c>
      <c r="R102" s="50" t="str">
        <f t="shared" si="8"/>
        <v>Q2 15</v>
      </c>
      <c r="S102" s="50" t="str">
        <f t="shared" si="8"/>
        <v>Q3 15</v>
      </c>
      <c r="T102" s="50" t="str">
        <f t="shared" si="8"/>
        <v>Q4 15</v>
      </c>
      <c r="U102" s="50" t="str">
        <f t="shared" si="8"/>
        <v>Q1 16</v>
      </c>
      <c r="V102" s="50" t="str">
        <f t="shared" si="8"/>
        <v>Q2 16</v>
      </c>
      <c r="W102" s="50" t="str">
        <f t="shared" si="8"/>
        <v>Q3 16</v>
      </c>
    </row>
    <row r="103" spans="8:23">
      <c r="H103" s="50" t="s">
        <v>459</v>
      </c>
      <c r="I103" s="61">
        <f>'Income Statement'!AB173</f>
        <v>28.499515972894482</v>
      </c>
      <c r="J103" s="61">
        <f>'Income Statement'!AC173</f>
        <v>28.317983519146878</v>
      </c>
      <c r="K103" s="61">
        <f>'Income Statement'!AD173</f>
        <v>29.7220867869332</v>
      </c>
      <c r="L103" s="61">
        <f>'Income Statement'!AE173</f>
        <v>30.092391304347828</v>
      </c>
      <c r="M103" s="61">
        <f>'Income Statement'!AG173</f>
        <v>29.640552995391708</v>
      </c>
      <c r="N103" s="61">
        <f>'Income Statement'!AH173</f>
        <v>30.28132992327366</v>
      </c>
      <c r="O103" s="61">
        <f>'Income Statement'!AI173</f>
        <v>30.138746145940392</v>
      </c>
      <c r="P103" s="61">
        <f>'Income Statement'!AJ173</f>
        <v>29.652917505030185</v>
      </c>
      <c r="Q103" s="61">
        <f>'Income Statement'!AL173</f>
        <v>0</v>
      </c>
      <c r="R103" s="61">
        <f>'Income Statement'!AM173</f>
        <v>0</v>
      </c>
      <c r="S103" s="61">
        <f>'Income Statement'!AN173</f>
        <v>0</v>
      </c>
      <c r="T103" s="61">
        <f>'Income Statement'!AO173</f>
        <v>0</v>
      </c>
      <c r="U103" s="61">
        <f>'Income Statement'!AQ173</f>
        <v>0</v>
      </c>
      <c r="V103" s="61">
        <f>'Income Statement'!AR173</f>
        <v>0</v>
      </c>
      <c r="W103" s="61">
        <f>'Income Statement'!AS173</f>
        <v>0</v>
      </c>
    </row>
    <row r="104" spans="8:23">
      <c r="H104" s="50" t="s">
        <v>79</v>
      </c>
      <c r="I104" s="61">
        <f>'Income Statement'!AB174</f>
        <v>10.375605033881897</v>
      </c>
      <c r="J104" s="61">
        <f>'Income Statement'!AC174</f>
        <v>11.037324285021812</v>
      </c>
      <c r="K104" s="61">
        <f>'Income Statement'!AD174</f>
        <v>11.842028278888346</v>
      </c>
      <c r="L104" s="61">
        <f>'Income Statement'!AE174</f>
        <v>12.685770750988143</v>
      </c>
      <c r="M104" s="61">
        <f>'Income Statement'!AG174</f>
        <v>12.878648233486944</v>
      </c>
      <c r="N104" s="61">
        <f>'Income Statement'!AH174</f>
        <v>14.475703324808183</v>
      </c>
      <c r="O104" s="61">
        <f>'Income Statement'!AI174</f>
        <v>15.13360739979445</v>
      </c>
      <c r="P104" s="61">
        <f>'Income Statement'!AJ174</f>
        <v>16.046277665995976</v>
      </c>
      <c r="Q104" s="61">
        <f>'Income Statement'!AL174</f>
        <v>0</v>
      </c>
      <c r="R104" s="61">
        <f>'Income Statement'!AM174</f>
        <v>0</v>
      </c>
      <c r="S104" s="61">
        <f>'Income Statement'!AN174</f>
        <v>0</v>
      </c>
      <c r="T104" s="61">
        <f>'Income Statement'!AO174</f>
        <v>0</v>
      </c>
      <c r="U104" s="61">
        <f>'Income Statement'!AQ174</f>
        <v>0</v>
      </c>
      <c r="V104" s="61">
        <f>'Income Statement'!AR174</f>
        <v>0</v>
      </c>
      <c r="W104" s="61">
        <f>'Income Statement'!AS174</f>
        <v>0</v>
      </c>
    </row>
    <row r="105" spans="8:23">
      <c r="H105" s="50" t="s">
        <v>470</v>
      </c>
      <c r="I105" s="61">
        <f>'Income Statement'!AB175</f>
        <v>7.1248789932236205</v>
      </c>
      <c r="J105" s="61">
        <f>'Income Statement'!AC175</f>
        <v>6.644692195831313</v>
      </c>
      <c r="K105" s="61">
        <f>'Income Statement'!AD175</f>
        <v>6.435884934178449</v>
      </c>
      <c r="L105" s="61">
        <f>'Income Statement'!AE175</f>
        <v>6.2218379446640313</v>
      </c>
      <c r="M105" s="61">
        <f>'Income Statement'!AG175</f>
        <v>5.4807987711213517</v>
      </c>
      <c r="N105" s="61">
        <f>'Income Statement'!AH175</f>
        <v>5.2429667519181589</v>
      </c>
      <c r="O105" s="61">
        <f>'Income Statement'!AI175</f>
        <v>4.7276464542651597</v>
      </c>
      <c r="P105" s="61">
        <f>'Income Statement'!AJ175</f>
        <v>4.3008048289738428</v>
      </c>
      <c r="Q105" s="61">
        <f>'Income Statement'!AL175</f>
        <v>0</v>
      </c>
      <c r="R105" s="61">
        <f>'Income Statement'!AM175</f>
        <v>0</v>
      </c>
      <c r="S105" s="61">
        <f>'Income Statement'!AN175</f>
        <v>0</v>
      </c>
      <c r="T105" s="61">
        <f>'Income Statement'!AO175</f>
        <v>0</v>
      </c>
      <c r="U105" s="61">
        <f>'Income Statement'!AQ175</f>
        <v>0</v>
      </c>
      <c r="V105" s="61">
        <f>'Income Statement'!AR175</f>
        <v>0</v>
      </c>
      <c r="W105" s="61">
        <f>'Income Statement'!AS175</f>
        <v>0</v>
      </c>
    </row>
    <row r="106" spans="8:23">
      <c r="H106" s="50" t="s">
        <v>260</v>
      </c>
      <c r="I106" s="61">
        <f>'Income Statement'!AB176</f>
        <v>0</v>
      </c>
      <c r="J106" s="61">
        <f>'Income Statement'!AC176</f>
        <v>0</v>
      </c>
      <c r="K106" s="61">
        <f>'Income Statement'!AD176</f>
        <v>0</v>
      </c>
      <c r="L106" s="61">
        <f>'Income Statement'!AE176</f>
        <v>0</v>
      </c>
      <c r="M106" s="61">
        <f>'Income Statement'!AG176</f>
        <v>0</v>
      </c>
      <c r="N106" s="61">
        <f>'Income Statement'!AH176</f>
        <v>0</v>
      </c>
      <c r="O106" s="61">
        <f>'Income Statement'!AI176</f>
        <v>0</v>
      </c>
      <c r="P106" s="61">
        <f>'Income Statement'!AJ176</f>
        <v>0</v>
      </c>
      <c r="Q106" s="61">
        <f>'Income Statement'!AL176</f>
        <v>0</v>
      </c>
      <c r="R106" s="61">
        <f>'Income Statement'!AM176</f>
        <v>0</v>
      </c>
      <c r="S106" s="61">
        <f>'Income Statement'!AN176</f>
        <v>0</v>
      </c>
      <c r="T106" s="61">
        <f>'Income Statement'!AO176</f>
        <v>0</v>
      </c>
      <c r="U106" s="61">
        <f>'Income Statement'!AQ176</f>
        <v>0</v>
      </c>
      <c r="V106" s="61">
        <f>'Income Statement'!AR176</f>
        <v>0</v>
      </c>
      <c r="W106" s="61">
        <f>'Income Statement'!AS176</f>
        <v>0</v>
      </c>
    </row>
    <row r="130" spans="8:23">
      <c r="I130" s="50" t="str">
        <f>I102</f>
        <v>Q1 13</v>
      </c>
      <c r="J130" s="50" t="str">
        <f t="shared" ref="J130:W130" si="9">J102</f>
        <v>Q2 13</v>
      </c>
      <c r="K130" s="50" t="str">
        <f t="shared" si="9"/>
        <v>Q3 13</v>
      </c>
      <c r="L130" s="50" t="str">
        <f t="shared" si="9"/>
        <v>Q4 13</v>
      </c>
      <c r="M130" s="50" t="str">
        <f t="shared" si="9"/>
        <v>Q1 14</v>
      </c>
      <c r="N130" s="50" t="str">
        <f t="shared" si="9"/>
        <v>Q2 14</v>
      </c>
      <c r="O130" s="50" t="str">
        <f t="shared" si="9"/>
        <v>Q3 14</v>
      </c>
      <c r="P130" s="50" t="str">
        <f t="shared" si="9"/>
        <v>Q4 14</v>
      </c>
      <c r="Q130" s="50" t="str">
        <f t="shared" si="9"/>
        <v>Q1 15</v>
      </c>
      <c r="R130" s="50" t="str">
        <f t="shared" si="9"/>
        <v>Q2 15</v>
      </c>
      <c r="S130" s="50" t="str">
        <f t="shared" si="9"/>
        <v>Q3 15</v>
      </c>
      <c r="T130" s="50" t="str">
        <f t="shared" si="9"/>
        <v>Q4 15</v>
      </c>
      <c r="U130" s="50" t="str">
        <f t="shared" si="9"/>
        <v>Q1 16</v>
      </c>
      <c r="V130" s="50" t="str">
        <f t="shared" si="9"/>
        <v>Q2 16</v>
      </c>
      <c r="W130" s="50" t="str">
        <f t="shared" si="9"/>
        <v>Q3 16</v>
      </c>
    </row>
    <row r="131" spans="8:23">
      <c r="H131" s="50" t="s">
        <v>457</v>
      </c>
      <c r="I131" s="67">
        <f>'Income Statement'!AB116</f>
        <v>14136</v>
      </c>
      <c r="J131" s="67">
        <f>'Income Statement'!AC116</f>
        <v>13873</v>
      </c>
      <c r="K131" s="67">
        <f>'Income Statement'!AD116</f>
        <v>13213</v>
      </c>
      <c r="L131" s="67">
        <f>'Income Statement'!AE116</f>
        <v>12893</v>
      </c>
      <c r="M131" s="67">
        <f>'Income Statement'!AG116</f>
        <v>12602</v>
      </c>
      <c r="N131" s="67">
        <f>'Income Statement'!AH116</f>
        <v>12401</v>
      </c>
      <c r="O131" s="67">
        <f>'Income Statement'!AI116</f>
        <v>12415</v>
      </c>
      <c r="P131" s="67">
        <f>'Income Statement'!AJ116</f>
        <v>12913</v>
      </c>
      <c r="Q131" s="67">
        <f>'Income Statement'!AL116</f>
        <v>13260</v>
      </c>
      <c r="R131" s="67">
        <f>'Income Statement'!AM116</f>
        <v>13269</v>
      </c>
      <c r="S131" s="67">
        <f>'Income Statement'!AN116</f>
        <v>13110</v>
      </c>
      <c r="T131" s="67">
        <f>'Income Statement'!AO116</f>
        <v>12694</v>
      </c>
      <c r="U131" s="67">
        <f>'Income Statement'!AQ116</f>
        <v>12310</v>
      </c>
      <c r="V131" s="67">
        <f>'Income Statement'!AR116</f>
        <v>12249</v>
      </c>
      <c r="W131" s="67">
        <f>'Income Statement'!AS116</f>
        <v>12046</v>
      </c>
    </row>
    <row r="132" spans="8:23">
      <c r="J132" s="64">
        <f t="shared" ref="J132:V132" si="10">J131-I131</f>
        <v>-263</v>
      </c>
      <c r="K132" s="64">
        <f t="shared" si="10"/>
        <v>-660</v>
      </c>
      <c r="L132" s="64">
        <f t="shared" si="10"/>
        <v>-320</v>
      </c>
      <c r="M132" s="64">
        <f t="shared" si="10"/>
        <v>-291</v>
      </c>
      <c r="N132" s="64">
        <f t="shared" si="10"/>
        <v>-201</v>
      </c>
      <c r="O132" s="64">
        <f t="shared" si="10"/>
        <v>14</v>
      </c>
      <c r="P132" s="64">
        <f t="shared" si="10"/>
        <v>498</v>
      </c>
      <c r="Q132" s="64">
        <f t="shared" si="10"/>
        <v>347</v>
      </c>
      <c r="R132" s="64">
        <f t="shared" si="10"/>
        <v>9</v>
      </c>
      <c r="S132" s="64">
        <f t="shared" si="10"/>
        <v>-159</v>
      </c>
      <c r="T132" s="64">
        <f t="shared" si="10"/>
        <v>-416</v>
      </c>
      <c r="U132" s="64">
        <f t="shared" si="10"/>
        <v>-384</v>
      </c>
      <c r="V132" s="64">
        <f t="shared" si="10"/>
        <v>-61</v>
      </c>
      <c r="W132" s="64">
        <f>W131-V131</f>
        <v>-203</v>
      </c>
    </row>
    <row r="155" spans="8:18">
      <c r="H155" s="88"/>
      <c r="I155" s="88" t="str">
        <f t="shared" ref="I155:Q155" si="11">O130</f>
        <v>Q3 14</v>
      </c>
      <c r="J155" s="88" t="str">
        <f t="shared" si="11"/>
        <v>Q4 14</v>
      </c>
      <c r="K155" s="88" t="str">
        <f t="shared" si="11"/>
        <v>Q1 15</v>
      </c>
      <c r="L155" s="88" t="str">
        <f t="shared" si="11"/>
        <v>Q2 15</v>
      </c>
      <c r="M155" s="88" t="str">
        <f t="shared" si="11"/>
        <v>Q3 15</v>
      </c>
      <c r="N155" s="88" t="str">
        <f t="shared" si="11"/>
        <v>Q4 15</v>
      </c>
      <c r="O155" s="88" t="str">
        <f t="shared" si="11"/>
        <v>Q1 16</v>
      </c>
      <c r="P155" s="88" t="str">
        <f t="shared" si="11"/>
        <v>Q2 16</v>
      </c>
      <c r="Q155" s="88" t="str">
        <f t="shared" si="11"/>
        <v>Q3 16</v>
      </c>
      <c r="R155" s="88" t="s">
        <v>468</v>
      </c>
    </row>
    <row r="156" spans="8:18">
      <c r="H156" s="88" t="s">
        <v>563</v>
      </c>
      <c r="I156" s="88">
        <v>2</v>
      </c>
      <c r="J156" s="88">
        <v>3</v>
      </c>
      <c r="K156" s="88">
        <v>4</v>
      </c>
      <c r="L156" s="88">
        <v>4</v>
      </c>
      <c r="M156" s="88">
        <v>4</v>
      </c>
      <c r="N156" s="88">
        <v>4</v>
      </c>
      <c r="O156" s="88">
        <v>4</v>
      </c>
      <c r="P156" s="88">
        <v>4</v>
      </c>
      <c r="Q156" s="88">
        <v>4</v>
      </c>
      <c r="R156" s="88"/>
    </row>
    <row r="157" spans="8:18">
      <c r="H157" s="88" t="s">
        <v>564</v>
      </c>
      <c r="I157" s="88">
        <v>22</v>
      </c>
      <c r="J157" s="88">
        <v>25</v>
      </c>
      <c r="K157" s="88">
        <v>27</v>
      </c>
      <c r="L157" s="88">
        <v>33</v>
      </c>
      <c r="M157" s="88">
        <v>34</v>
      </c>
      <c r="N157" s="88">
        <v>35</v>
      </c>
      <c r="O157" s="88">
        <v>36</v>
      </c>
      <c r="P157" s="88">
        <v>39</v>
      </c>
      <c r="Q157" s="88">
        <v>45</v>
      </c>
      <c r="R157" s="88"/>
    </row>
    <row r="158" spans="8:18">
      <c r="H158" s="88" t="s">
        <v>565</v>
      </c>
      <c r="I158" s="88">
        <f t="shared" ref="I158:P158" si="12">I159-I157-I156</f>
        <v>3</v>
      </c>
      <c r="J158" s="88">
        <f t="shared" si="12"/>
        <v>4</v>
      </c>
      <c r="K158" s="88">
        <f t="shared" si="12"/>
        <v>5</v>
      </c>
      <c r="L158" s="88">
        <f t="shared" si="12"/>
        <v>5</v>
      </c>
      <c r="M158" s="88">
        <f t="shared" si="12"/>
        <v>7</v>
      </c>
      <c r="N158" s="88">
        <f t="shared" si="12"/>
        <v>11</v>
      </c>
      <c r="O158" s="88">
        <f t="shared" si="12"/>
        <v>12</v>
      </c>
      <c r="P158" s="88">
        <f t="shared" si="12"/>
        <v>21</v>
      </c>
      <c r="Q158" s="88">
        <v>34</v>
      </c>
      <c r="R158" s="88"/>
    </row>
    <row r="159" spans="8:18">
      <c r="H159" s="88" t="s">
        <v>579</v>
      </c>
      <c r="I159" s="88">
        <v>27</v>
      </c>
      <c r="J159" s="88">
        <v>32</v>
      </c>
      <c r="K159" s="88">
        <v>36</v>
      </c>
      <c r="L159" s="88">
        <v>42</v>
      </c>
      <c r="M159" s="88">
        <v>45</v>
      </c>
      <c r="N159" s="88">
        <v>50</v>
      </c>
      <c r="O159" s="88">
        <v>52</v>
      </c>
      <c r="P159" s="88">
        <v>64</v>
      </c>
      <c r="Q159" s="88">
        <f>SUM(Q156:Q158)</f>
        <v>83</v>
      </c>
      <c r="R159" s="88">
        <v>110</v>
      </c>
    </row>
    <row r="160" spans="8:18">
      <c r="H160" s="88" t="s">
        <v>580</v>
      </c>
      <c r="I160" s="88">
        <f>'Income Statement'!AI169</f>
        <v>50</v>
      </c>
      <c r="J160" s="88">
        <f>'Income Statement'!AJ169</f>
        <v>50</v>
      </c>
      <c r="K160" s="88">
        <f>'Income Statement'!AL169</f>
        <v>48</v>
      </c>
      <c r="L160" s="88">
        <f>'Income Statement'!AM169</f>
        <v>47</v>
      </c>
      <c r="M160" s="88">
        <f>'Income Statement'!AN169</f>
        <v>49</v>
      </c>
      <c r="N160" s="88">
        <f>'Income Statement'!AO169</f>
        <v>50</v>
      </c>
      <c r="O160" s="88">
        <f>'Income Statement'!AQ169</f>
        <v>50</v>
      </c>
      <c r="P160" s="88">
        <f>'Income Statement'!AR169</f>
        <v>49</v>
      </c>
      <c r="Q160" s="88">
        <f>'Income Statement'!AS169</f>
        <v>50</v>
      </c>
      <c r="R160" s="88">
        <f>'Income Statement'!AT169</f>
        <v>52</v>
      </c>
    </row>
    <row r="165" spans="8:18">
      <c r="H165" s="50" t="s">
        <v>569</v>
      </c>
      <c r="I165" s="50" t="s">
        <v>448</v>
      </c>
      <c r="J165" s="50" t="s">
        <v>449</v>
      </c>
      <c r="K165" s="50" t="s">
        <v>450</v>
      </c>
      <c r="L165" s="50" t="s">
        <v>451</v>
      </c>
      <c r="M165" s="50" t="s">
        <v>452</v>
      </c>
      <c r="N165" s="50" t="s">
        <v>453</v>
      </c>
      <c r="O165" s="50" t="s">
        <v>454</v>
      </c>
      <c r="P165" s="50" t="s">
        <v>462</v>
      </c>
      <c r="Q165" s="50" t="s">
        <v>468</v>
      </c>
    </row>
    <row r="166" spans="8:18">
      <c r="H166" s="50" t="s">
        <v>570</v>
      </c>
      <c r="I166" s="86">
        <v>0.88500000000000001</v>
      </c>
      <c r="J166" s="86">
        <v>1.0069999999999999</v>
      </c>
      <c r="K166" s="86">
        <v>1.1910000000000001</v>
      </c>
      <c r="L166" s="86">
        <v>1.292</v>
      </c>
      <c r="M166" s="86">
        <v>1.44</v>
      </c>
      <c r="N166" s="86">
        <v>1.55</v>
      </c>
      <c r="O166" s="86">
        <v>2</v>
      </c>
      <c r="P166" s="86">
        <v>2.6</v>
      </c>
      <c r="Q166" s="86">
        <v>3.27</v>
      </c>
    </row>
    <row r="167" spans="8:18">
      <c r="H167" s="50" t="s">
        <v>48</v>
      </c>
      <c r="I167" s="50">
        <v>39</v>
      </c>
      <c r="J167" s="50">
        <v>38</v>
      </c>
      <c r="K167" s="50">
        <v>36</v>
      </c>
      <c r="L167" s="50">
        <v>39</v>
      </c>
      <c r="M167" s="86">
        <v>39</v>
      </c>
      <c r="N167" s="86">
        <v>39</v>
      </c>
      <c r="O167" s="86">
        <v>38</v>
      </c>
      <c r="P167" s="86">
        <v>41</v>
      </c>
      <c r="Q167" s="86">
        <v>42</v>
      </c>
    </row>
    <row r="168" spans="8:18">
      <c r="M168" s="86"/>
      <c r="N168" s="86"/>
      <c r="O168" s="86"/>
      <c r="P168" s="86"/>
      <c r="Q168" s="86"/>
    </row>
    <row r="169" spans="8:18">
      <c r="H169" s="50" t="s">
        <v>582</v>
      </c>
      <c r="I169" s="89"/>
      <c r="J169" s="89"/>
      <c r="K169" s="89"/>
      <c r="L169" s="89"/>
      <c r="M169" s="89">
        <f>'Income Statement'!AO199</f>
        <v>0</v>
      </c>
      <c r="N169" s="89">
        <f>'Income Statement'!AQ199</f>
        <v>1.63</v>
      </c>
      <c r="O169" s="89">
        <f>'Income Statement'!AR199</f>
        <v>2.21</v>
      </c>
      <c r="P169" s="89">
        <f>'Income Statement'!AS199</f>
        <v>2.84</v>
      </c>
      <c r="Q169" s="89">
        <f>'Income Statement'!AT199</f>
        <v>3.66</v>
      </c>
      <c r="R169" s="89">
        <f>'Income Statement'!AV199</f>
        <v>4.29</v>
      </c>
    </row>
    <row r="170" spans="8:18">
      <c r="H170" s="50" t="s">
        <v>48</v>
      </c>
      <c r="M170" s="89">
        <f>'Income Statement'!AO169</f>
        <v>50</v>
      </c>
      <c r="N170" s="89">
        <f>'Income Statement'!AQ169</f>
        <v>50</v>
      </c>
      <c r="O170" s="89">
        <f>'Income Statement'!AR169</f>
        <v>49</v>
      </c>
      <c r="P170" s="89">
        <f>'Income Statement'!AS169</f>
        <v>50</v>
      </c>
      <c r="Q170" s="89">
        <f>'Income Statement'!AT169</f>
        <v>52</v>
      </c>
      <c r="R170" s="89">
        <f>'Income Statement'!AV169</f>
        <v>52</v>
      </c>
    </row>
    <row r="171" spans="8:18">
      <c r="M171" s="50" t="s">
        <v>452</v>
      </c>
      <c r="N171" s="50" t="s">
        <v>453</v>
      </c>
      <c r="O171" s="50" t="s">
        <v>454</v>
      </c>
      <c r="P171" s="50" t="s">
        <v>462</v>
      </c>
      <c r="Q171" s="50" t="s">
        <v>468</v>
      </c>
      <c r="R171" s="50" t="s">
        <v>581</v>
      </c>
    </row>
    <row r="172" spans="8:18">
      <c r="H172" s="50" t="s">
        <v>582</v>
      </c>
      <c r="M172" s="50">
        <v>100</v>
      </c>
      <c r="N172" s="50" t="e">
        <f t="shared" ref="N172:R173" si="13">(N169/M169)*M172</f>
        <v>#DIV/0!</v>
      </c>
      <c r="O172" s="50" t="e">
        <f t="shared" si="13"/>
        <v>#DIV/0!</v>
      </c>
      <c r="P172" s="50" t="e">
        <f t="shared" si="13"/>
        <v>#DIV/0!</v>
      </c>
      <c r="Q172" s="50" t="e">
        <f t="shared" si="13"/>
        <v>#DIV/0!</v>
      </c>
      <c r="R172" s="50" t="e">
        <f t="shared" si="13"/>
        <v>#DIV/0!</v>
      </c>
    </row>
    <row r="173" spans="8:18">
      <c r="H173" s="50" t="s">
        <v>48</v>
      </c>
      <c r="M173" s="50">
        <v>100</v>
      </c>
      <c r="N173" s="50">
        <f t="shared" si="13"/>
        <v>100</v>
      </c>
      <c r="O173" s="50">
        <f t="shared" si="13"/>
        <v>98</v>
      </c>
      <c r="P173" s="50">
        <f t="shared" si="13"/>
        <v>100</v>
      </c>
      <c r="Q173" s="50">
        <f t="shared" si="13"/>
        <v>104</v>
      </c>
      <c r="R173" s="50">
        <f t="shared" si="13"/>
        <v>104</v>
      </c>
    </row>
    <row r="177" spans="8:23">
      <c r="I177" s="50">
        <f>'Income Statement'!AG30-'Income Statement'!AG385</f>
        <v>2037</v>
      </c>
      <c r="J177" s="50">
        <f>'Income Statement'!AH30-'Income Statement'!AH385</f>
        <v>2046</v>
      </c>
      <c r="K177" s="50">
        <f>'Income Statement'!AI30-'Income Statement'!AI385</f>
        <v>2041</v>
      </c>
      <c r="L177" s="50">
        <f>'Income Statement'!AJ30-'Income Statement'!AJ385</f>
        <v>2090</v>
      </c>
      <c r="M177" s="50">
        <f>'Income Statement'!AL30-'Income Statement'!AL385</f>
        <v>2122</v>
      </c>
      <c r="N177" s="50">
        <f>'Income Statement'!AM30-'Income Statement'!AM385</f>
        <v>2089</v>
      </c>
      <c r="O177" s="50">
        <f>'Income Statement'!AN30-'Income Statement'!AN385</f>
        <v>2154</v>
      </c>
      <c r="P177" s="50">
        <f>'Income Statement'!AO30-'Income Statement'!AO385</f>
        <v>2155</v>
      </c>
      <c r="Q177" s="50">
        <f>'Income Statement'!AQ30-'Income Statement'!AQ385</f>
        <v>2122</v>
      </c>
      <c r="R177" s="50">
        <f>'Income Statement'!AR30-'Income Statement'!AR385</f>
        <v>2055</v>
      </c>
      <c r="S177" s="50">
        <f>'Income Statement'!AS30-'Income Statement'!AS385</f>
        <v>2113</v>
      </c>
      <c r="T177" s="50">
        <f>'Income Statement'!AT30-'Income Statement'!AT385</f>
        <v>2165</v>
      </c>
      <c r="U177" s="50">
        <f>'Income Statement'!AV30-'Income Statement'!AV385</f>
        <v>2303</v>
      </c>
      <c r="W177" s="50">
        <f>'Income Statement'!AU30-'Income Statement'!AU385</f>
        <v>8455</v>
      </c>
    </row>
    <row r="179" spans="8:23">
      <c r="I179" s="50" t="s">
        <v>445</v>
      </c>
      <c r="J179" s="50" t="s">
        <v>446</v>
      </c>
      <c r="K179" s="50" t="s">
        <v>447</v>
      </c>
      <c r="L179" s="50" t="s">
        <v>448</v>
      </c>
      <c r="M179" s="50" t="s">
        <v>449</v>
      </c>
      <c r="N179" s="50" t="s">
        <v>450</v>
      </c>
      <c r="O179" s="50" t="s">
        <v>451</v>
      </c>
      <c r="P179" s="50" t="s">
        <v>452</v>
      </c>
      <c r="Q179" s="50" t="s">
        <v>453</v>
      </c>
      <c r="R179" s="50" t="s">
        <v>454</v>
      </c>
      <c r="S179" s="50" t="s">
        <v>462</v>
      </c>
      <c r="T179" s="50" t="s">
        <v>468</v>
      </c>
      <c r="U179" s="50" t="s">
        <v>581</v>
      </c>
    </row>
    <row r="180" spans="8:23">
      <c r="H180" s="50" t="s">
        <v>571</v>
      </c>
      <c r="I180" s="66">
        <f>'Income Statement'!AG326</f>
        <v>707.74600000000009</v>
      </c>
      <c r="J180" s="66">
        <f>'Income Statement'!AH326</f>
        <v>651.66600000000005</v>
      </c>
      <c r="K180" s="66">
        <f>'Income Statement'!AI326</f>
        <v>652.54</v>
      </c>
      <c r="L180" s="66">
        <f>'Income Statement'!AJ326</f>
        <v>696.34400000000005</v>
      </c>
      <c r="M180" s="66">
        <f>'Income Statement'!AL326</f>
        <v>713.46800000000007</v>
      </c>
      <c r="N180" s="66">
        <f>'Income Statement'!AM326</f>
        <v>649.88</v>
      </c>
      <c r="O180" s="66">
        <f>'Income Statement'!AN326</f>
        <v>689</v>
      </c>
      <c r="P180" s="66">
        <f>'Income Statement'!AO326</f>
        <v>676</v>
      </c>
      <c r="Q180" s="66">
        <f>'Income Statement'!AQ326</f>
        <v>182</v>
      </c>
      <c r="R180" s="66">
        <f>'Income Statement'!AR326</f>
        <v>209</v>
      </c>
      <c r="S180" s="66">
        <f>'Income Statement'!AS326</f>
        <v>195</v>
      </c>
      <c r="T180" s="66">
        <f>'Income Statement'!AT326</f>
        <v>206</v>
      </c>
      <c r="U180" s="66">
        <f>'Income Statement'!AV326</f>
        <v>203</v>
      </c>
    </row>
    <row r="181" spans="8:23">
      <c r="H181" s="50" t="s">
        <v>572</v>
      </c>
      <c r="I181" s="66">
        <f>'Income Statement'!AG348</f>
        <v>71</v>
      </c>
      <c r="J181" s="66">
        <f>'Income Statement'!AH348</f>
        <v>100</v>
      </c>
      <c r="K181" s="66">
        <f>'Income Statement'!AI348</f>
        <v>107</v>
      </c>
      <c r="L181" s="66">
        <f>'Income Statement'!AJ348</f>
        <v>122</v>
      </c>
      <c r="M181" s="66">
        <f>'Income Statement'!AL348</f>
        <v>103</v>
      </c>
      <c r="N181" s="66">
        <f>'Income Statement'!AM348</f>
        <v>110</v>
      </c>
      <c r="O181" s="66">
        <f>'Income Statement'!AN348</f>
        <v>94</v>
      </c>
      <c r="P181" s="66">
        <f>'Income Statement'!AO348</f>
        <v>98</v>
      </c>
      <c r="Q181" s="66">
        <f>'Income Statement'!AQ348</f>
        <v>36</v>
      </c>
      <c r="R181" s="66">
        <f>'Income Statement'!AR348</f>
        <v>63</v>
      </c>
      <c r="S181" s="66">
        <f>'Income Statement'!AS348</f>
        <v>53</v>
      </c>
      <c r="T181" s="66">
        <f>'Income Statement'!AT348</f>
        <v>45</v>
      </c>
      <c r="U181" s="66">
        <f>'Income Statement'!AV348</f>
        <v>39</v>
      </c>
    </row>
    <row r="182" spans="8:23">
      <c r="H182" s="50" t="s">
        <v>573</v>
      </c>
      <c r="I182" s="66">
        <f>'Income Statement'!AG340</f>
        <v>117</v>
      </c>
      <c r="J182" s="66">
        <f>'Income Statement'!AH340</f>
        <v>115</v>
      </c>
      <c r="K182" s="66">
        <f>'Income Statement'!AI340</f>
        <v>66</v>
      </c>
      <c r="L182" s="66">
        <f>'Income Statement'!AJ340</f>
        <v>116</v>
      </c>
      <c r="M182" s="66">
        <f>'Income Statement'!AL340</f>
        <v>124</v>
      </c>
      <c r="N182" s="66">
        <f>'Income Statement'!AM340</f>
        <v>115</v>
      </c>
      <c r="O182" s="66">
        <f>'Income Statement'!AN340</f>
        <v>124</v>
      </c>
      <c r="P182" s="66">
        <f>'Income Statement'!AO340</f>
        <v>117</v>
      </c>
      <c r="Q182" s="66">
        <f>'Income Statement'!AQ340</f>
        <v>124</v>
      </c>
      <c r="R182" s="66">
        <f>'Income Statement'!AR340</f>
        <v>135</v>
      </c>
      <c r="S182" s="66">
        <f>'Income Statement'!AS340</f>
        <v>136</v>
      </c>
      <c r="T182" s="66">
        <f>'Income Statement'!AT340</f>
        <v>132</v>
      </c>
      <c r="U182" s="66">
        <f>'Income Statement'!AV340</f>
        <v>143</v>
      </c>
    </row>
    <row r="183" spans="8:23">
      <c r="H183" s="50" t="s">
        <v>574</v>
      </c>
      <c r="I183" s="66">
        <f>'Income Statement'!AG356</f>
        <v>139</v>
      </c>
      <c r="J183" s="66">
        <f>'Income Statement'!AH356</f>
        <v>120</v>
      </c>
      <c r="K183" s="66">
        <f>'Income Statement'!AI356</f>
        <v>146</v>
      </c>
      <c r="L183" s="66">
        <f>'Income Statement'!AJ356</f>
        <v>137</v>
      </c>
      <c r="M183" s="66">
        <f>'Income Statement'!AL356</f>
        <v>122</v>
      </c>
      <c r="N183" s="66">
        <f>'Income Statement'!AM356</f>
        <v>115</v>
      </c>
      <c r="O183" s="66">
        <f>'Income Statement'!AN356</f>
        <v>141</v>
      </c>
      <c r="P183" s="66">
        <f>'Income Statement'!AO356</f>
        <v>156</v>
      </c>
      <c r="Q183" s="66">
        <f>'Income Statement'!AQ356</f>
        <v>83</v>
      </c>
      <c r="R183" s="66">
        <f>'Income Statement'!AR356</f>
        <v>113</v>
      </c>
      <c r="S183" s="66">
        <f>'Income Statement'!AS356</f>
        <v>86</v>
      </c>
      <c r="T183" s="66">
        <f>'Income Statement'!AT356</f>
        <v>104</v>
      </c>
      <c r="U183" s="66">
        <f>'Income Statement'!AV356</f>
        <v>97</v>
      </c>
    </row>
    <row r="184" spans="8:23">
      <c r="H184" s="50" t="s">
        <v>575</v>
      </c>
      <c r="I184" s="66">
        <f>'Income Statement'!AG364</f>
        <v>11.3</v>
      </c>
      <c r="J184" s="66">
        <f>'Income Statement'!AH364</f>
        <v>9.3000000000000007</v>
      </c>
      <c r="K184" s="66">
        <f>'Income Statement'!AI364</f>
        <v>14.5</v>
      </c>
      <c r="L184" s="66">
        <f>'Income Statement'!AJ364</f>
        <v>17.7</v>
      </c>
      <c r="M184" s="66">
        <f>'Income Statement'!AL364</f>
        <v>2.5</v>
      </c>
      <c r="N184" s="66">
        <f>'Income Statement'!AM364</f>
        <v>10.1</v>
      </c>
      <c r="O184" s="66">
        <f>'Income Statement'!AN364</f>
        <v>7</v>
      </c>
      <c r="P184" s="66">
        <f>'Income Statement'!AO364</f>
        <v>8</v>
      </c>
      <c r="Q184" s="66">
        <f>'Income Statement'!AQ364</f>
        <v>-2</v>
      </c>
      <c r="R184" s="66">
        <f>'Income Statement'!AR364</f>
        <v>2</v>
      </c>
      <c r="S184" s="66">
        <f>'Income Statement'!AS364</f>
        <v>-35</v>
      </c>
      <c r="T184" s="66">
        <f>'Income Statement'!AT364</f>
        <v>-25</v>
      </c>
      <c r="U184" s="66">
        <f>'Income Statement'!AV364</f>
        <v>-10</v>
      </c>
    </row>
    <row r="188" spans="8:23">
      <c r="I188" s="50" t="s">
        <v>445</v>
      </c>
      <c r="J188" s="50" t="s">
        <v>446</v>
      </c>
      <c r="K188" s="50" t="s">
        <v>447</v>
      </c>
      <c r="L188" s="50" t="s">
        <v>448</v>
      </c>
      <c r="M188" s="50" t="s">
        <v>449</v>
      </c>
      <c r="N188" s="50" t="s">
        <v>450</v>
      </c>
      <c r="O188" s="50" t="s">
        <v>451</v>
      </c>
      <c r="P188" s="50" t="s">
        <v>452</v>
      </c>
      <c r="Q188" s="50" t="s">
        <v>453</v>
      </c>
      <c r="R188" s="50" t="s">
        <v>454</v>
      </c>
      <c r="S188" s="50" t="s">
        <v>462</v>
      </c>
      <c r="T188" s="50" t="s">
        <v>468</v>
      </c>
      <c r="U188" s="50" t="str">
        <f>U179</f>
        <v>Q1 17</v>
      </c>
    </row>
    <row r="189" spans="8:23">
      <c r="H189" s="50" t="s">
        <v>571</v>
      </c>
      <c r="I189" s="65">
        <f>I180/I$177</f>
        <v>0.34744526264113895</v>
      </c>
      <c r="J189" s="65">
        <f>J180/J$177</f>
        <v>0.31850733137829912</v>
      </c>
      <c r="K189" s="65">
        <f>K180/K$177</f>
        <v>0.31971582557569816</v>
      </c>
      <c r="L189" s="65">
        <f t="shared" ref="L189:T189" si="14">L180/L$177</f>
        <v>0.33317894736842107</v>
      </c>
      <c r="M189" s="65">
        <f t="shared" si="14"/>
        <v>0.33622431668237518</v>
      </c>
      <c r="N189" s="65">
        <f t="shared" si="14"/>
        <v>0.31109621828626138</v>
      </c>
      <c r="O189" s="65">
        <f t="shared" si="14"/>
        <v>0.31987000928505105</v>
      </c>
      <c r="P189" s="65">
        <f t="shared" si="14"/>
        <v>0.31368909512761023</v>
      </c>
      <c r="Q189" s="65">
        <f t="shared" si="14"/>
        <v>8.5768143261074459E-2</v>
      </c>
      <c r="R189" s="65">
        <f t="shared" si="14"/>
        <v>0.10170316301703163</v>
      </c>
      <c r="S189" s="65">
        <f t="shared" si="14"/>
        <v>9.2285849503076195E-2</v>
      </c>
      <c r="T189" s="65">
        <f t="shared" si="14"/>
        <v>9.5150115473441113E-2</v>
      </c>
      <c r="U189" s="65">
        <f>U180/U$177</f>
        <v>8.8145896656534953E-2</v>
      </c>
    </row>
    <row r="190" spans="8:23">
      <c r="H190" s="50" t="s">
        <v>572</v>
      </c>
      <c r="I190" s="65">
        <f t="shared" ref="I190:K193" si="15">I181/I$177</f>
        <v>3.4855179185076093E-2</v>
      </c>
      <c r="J190" s="65">
        <f t="shared" si="15"/>
        <v>4.8875855327468229E-2</v>
      </c>
      <c r="K190" s="65">
        <f t="shared" si="15"/>
        <v>5.2425281724644779E-2</v>
      </c>
      <c r="L190" s="65">
        <f t="shared" ref="L190:T190" si="16">L181/L$177</f>
        <v>5.8373205741626792E-2</v>
      </c>
      <c r="M190" s="65">
        <f t="shared" si="16"/>
        <v>4.8539114043355328E-2</v>
      </c>
      <c r="N190" s="65">
        <f t="shared" si="16"/>
        <v>5.2656773575873624E-2</v>
      </c>
      <c r="O190" s="65">
        <f t="shared" si="16"/>
        <v>4.36397400185701E-2</v>
      </c>
      <c r="P190" s="65">
        <f t="shared" si="16"/>
        <v>4.5475638051044084E-2</v>
      </c>
      <c r="Q190" s="65">
        <f t="shared" si="16"/>
        <v>1.6965127238454288E-2</v>
      </c>
      <c r="R190" s="65">
        <f t="shared" si="16"/>
        <v>3.0656934306569343E-2</v>
      </c>
      <c r="S190" s="65">
        <f t="shared" si="16"/>
        <v>2.5082820634169428E-2</v>
      </c>
      <c r="T190" s="65">
        <f t="shared" si="16"/>
        <v>2.0785219399538105E-2</v>
      </c>
      <c r="U190" s="65">
        <f>U181/U$177</f>
        <v>1.6934433347807209E-2</v>
      </c>
    </row>
    <row r="191" spans="8:23">
      <c r="H191" s="50" t="s">
        <v>573</v>
      </c>
      <c r="I191" s="65">
        <f t="shared" si="15"/>
        <v>5.7437407952871868E-2</v>
      </c>
      <c r="J191" s="65">
        <f t="shared" si="15"/>
        <v>5.6207233626588464E-2</v>
      </c>
      <c r="K191" s="65">
        <f t="shared" si="15"/>
        <v>3.2337089661930427E-2</v>
      </c>
      <c r="L191" s="65">
        <f t="shared" ref="L191:T191" si="17">L182/L$177</f>
        <v>5.5502392344497609E-2</v>
      </c>
      <c r="M191" s="65">
        <f t="shared" si="17"/>
        <v>5.8435438265786996E-2</v>
      </c>
      <c r="N191" s="65">
        <f t="shared" si="17"/>
        <v>5.5050263283867883E-2</v>
      </c>
      <c r="O191" s="65">
        <f t="shared" si="17"/>
        <v>5.7567316620241414E-2</v>
      </c>
      <c r="P191" s="65">
        <f t="shared" si="17"/>
        <v>5.4292343387471E-2</v>
      </c>
      <c r="Q191" s="65">
        <f t="shared" si="17"/>
        <v>5.8435438265786996E-2</v>
      </c>
      <c r="R191" s="65">
        <f t="shared" si="17"/>
        <v>6.569343065693431E-2</v>
      </c>
      <c r="S191" s="65">
        <f t="shared" si="17"/>
        <v>6.4363464268812121E-2</v>
      </c>
      <c r="T191" s="65">
        <f t="shared" si="17"/>
        <v>6.0969976905311779E-2</v>
      </c>
      <c r="U191" s="65">
        <f>U182/U$177</f>
        <v>6.2092922275293096E-2</v>
      </c>
    </row>
    <row r="192" spans="8:23">
      <c r="H192" s="50" t="s">
        <v>574</v>
      </c>
      <c r="I192" s="65">
        <f t="shared" si="15"/>
        <v>6.823760432007854E-2</v>
      </c>
      <c r="J192" s="65">
        <f t="shared" si="15"/>
        <v>5.865102639296188E-2</v>
      </c>
      <c r="K192" s="65">
        <f t="shared" si="15"/>
        <v>7.1533561979421859E-2</v>
      </c>
      <c r="L192" s="65">
        <f t="shared" ref="L192:T192" si="18">L183/L$177</f>
        <v>6.5550239234449761E-2</v>
      </c>
      <c r="M192" s="65">
        <f t="shared" si="18"/>
        <v>5.7492931196983975E-2</v>
      </c>
      <c r="N192" s="65">
        <f t="shared" si="18"/>
        <v>5.5050263283867883E-2</v>
      </c>
      <c r="O192" s="65">
        <f t="shared" si="18"/>
        <v>6.545961002785515E-2</v>
      </c>
      <c r="P192" s="65">
        <f t="shared" si="18"/>
        <v>7.2389791183294666E-2</v>
      </c>
      <c r="Q192" s="65">
        <f t="shared" si="18"/>
        <v>3.9114043355325166E-2</v>
      </c>
      <c r="R192" s="65">
        <f t="shared" si="18"/>
        <v>5.4987834549878344E-2</v>
      </c>
      <c r="S192" s="65">
        <f t="shared" si="18"/>
        <v>4.0700425934690011E-2</v>
      </c>
      <c r="T192" s="65">
        <f t="shared" si="18"/>
        <v>4.8036951501154737E-2</v>
      </c>
      <c r="U192" s="65">
        <f>U183/U$177</f>
        <v>4.211897524967434E-2</v>
      </c>
    </row>
    <row r="193" spans="8:21">
      <c r="H193" s="50" t="s">
        <v>575</v>
      </c>
      <c r="I193" s="65">
        <f t="shared" si="15"/>
        <v>5.5473735886107023E-3</v>
      </c>
      <c r="J193" s="65">
        <f t="shared" si="15"/>
        <v>4.5454545454545461E-3</v>
      </c>
      <c r="K193" s="65">
        <f t="shared" si="15"/>
        <v>7.104360607545321E-3</v>
      </c>
      <c r="L193" s="65">
        <f t="shared" ref="L193:T193" si="19">L184/L$177</f>
        <v>8.4688995215310998E-3</v>
      </c>
      <c r="M193" s="65">
        <f t="shared" si="19"/>
        <v>1.1781338360037699E-3</v>
      </c>
      <c r="N193" s="65">
        <f t="shared" si="19"/>
        <v>4.8348492101483965E-3</v>
      </c>
      <c r="O193" s="65">
        <f t="shared" si="19"/>
        <v>3.2497678737233053E-3</v>
      </c>
      <c r="P193" s="65">
        <f t="shared" si="19"/>
        <v>3.7122969837587007E-3</v>
      </c>
      <c r="Q193" s="65">
        <f t="shared" si="19"/>
        <v>-9.42507068803016E-4</v>
      </c>
      <c r="R193" s="65">
        <f t="shared" si="19"/>
        <v>9.7323600973236014E-4</v>
      </c>
      <c r="S193" s="65">
        <f t="shared" si="19"/>
        <v>-1.656412683388547E-2</v>
      </c>
      <c r="T193" s="65">
        <f t="shared" si="19"/>
        <v>-1.1547344110854504E-2</v>
      </c>
      <c r="U193" s="65">
        <f>U184/U$177</f>
        <v>-4.3421623968736434E-3</v>
      </c>
    </row>
    <row r="212" spans="8:17">
      <c r="I212" s="50">
        <v>2010</v>
      </c>
      <c r="J212" s="50">
        <f>I212+1</f>
        <v>2011</v>
      </c>
      <c r="K212" s="50">
        <f t="shared" ref="K212:Q212" si="20">J212+1</f>
        <v>2012</v>
      </c>
      <c r="L212" s="50">
        <f t="shared" si="20"/>
        <v>2013</v>
      </c>
      <c r="M212" s="50">
        <f t="shared" si="20"/>
        <v>2014</v>
      </c>
      <c r="N212" s="50">
        <f t="shared" si="20"/>
        <v>2015</v>
      </c>
      <c r="O212" s="50">
        <f t="shared" si="20"/>
        <v>2016</v>
      </c>
      <c r="P212" s="50">
        <f t="shared" si="20"/>
        <v>2017</v>
      </c>
      <c r="Q212" s="50">
        <f t="shared" si="20"/>
        <v>2018</v>
      </c>
    </row>
    <row r="213" spans="8:17">
      <c r="H213" s="50" t="s">
        <v>585</v>
      </c>
      <c r="I213" s="90">
        <f>'Income Statement'!Q466</f>
        <v>0.4</v>
      </c>
      <c r="J213" s="90">
        <f>'Income Statement'!V466</f>
        <v>0.4</v>
      </c>
      <c r="K213" s="90">
        <f>'Income Statement'!AA466</f>
        <v>0.4</v>
      </c>
      <c r="L213" s="90">
        <f>'Income Statement'!AF466</f>
        <v>0.4</v>
      </c>
      <c r="M213" s="90">
        <f>'Income Statement'!AK466</f>
        <v>0.4</v>
      </c>
      <c r="N213" s="90">
        <f>'Income Statement'!AP466</f>
        <v>0.2</v>
      </c>
      <c r="O213" s="90">
        <f>'Income Statement'!AU466</f>
        <v>0.2</v>
      </c>
      <c r="P213" s="90">
        <f>'Income Statement'!AZ466</f>
        <v>0.2</v>
      </c>
      <c r="Q213" s="90">
        <f>'Income Statement'!BE466</f>
        <v>0.2</v>
      </c>
    </row>
    <row r="214" spans="8:17">
      <c r="H214" s="50" t="s">
        <v>586</v>
      </c>
      <c r="I214" s="86">
        <f>'Balance Sheet and Cflow'!E69</f>
        <v>1.0319293478260869</v>
      </c>
      <c r="J214" s="86">
        <f>'Balance Sheet and Cflow'!F69</f>
        <v>1.2292561609767125</v>
      </c>
      <c r="K214" s="86">
        <f>'Balance Sheet and Cflow'!G69</f>
        <v>1.384603745646416</v>
      </c>
      <c r="L214" s="86">
        <f>'Balance Sheet and Cflow'!H69</f>
        <v>1.4849624060150375</v>
      </c>
      <c r="M214" s="86">
        <f>'Balance Sheet and Cflow'!I69</f>
        <v>1.8158652595322669</v>
      </c>
      <c r="N214" s="86">
        <f>'Balance Sheet and Cflow'!J69</f>
        <v>1.9390958260132451</v>
      </c>
      <c r="O214" s="86">
        <f>'Balance Sheet and Cflow'!K69</f>
        <v>2.0395797703097784</v>
      </c>
      <c r="P214" s="86">
        <f>'Balance Sheet and Cflow'!L69</f>
        <v>1.6791866807949041</v>
      </c>
      <c r="Q214" s="86">
        <f>'Balance Sheet and Cflow'!M69</f>
        <v>1.8422485037730938</v>
      </c>
    </row>
    <row r="226" spans="8:17">
      <c r="I226" s="50">
        <v>2011</v>
      </c>
      <c r="J226" s="50">
        <f>I226+1</f>
        <v>2012</v>
      </c>
      <c r="K226" s="50">
        <f t="shared" ref="K226:Q226" si="21">J226+1</f>
        <v>2013</v>
      </c>
      <c r="L226" s="50">
        <f t="shared" si="21"/>
        <v>2014</v>
      </c>
      <c r="M226" s="50">
        <f t="shared" si="21"/>
        <v>2015</v>
      </c>
      <c r="N226" s="50">
        <f t="shared" si="21"/>
        <v>2016</v>
      </c>
      <c r="O226" s="50">
        <f t="shared" si="21"/>
        <v>2017</v>
      </c>
      <c r="P226" s="50">
        <f t="shared" si="21"/>
        <v>2018</v>
      </c>
      <c r="Q226" s="50">
        <f t="shared" si="21"/>
        <v>2019</v>
      </c>
    </row>
    <row r="227" spans="8:17">
      <c r="H227" s="50" t="s">
        <v>587</v>
      </c>
      <c r="I227" s="66">
        <f>'Balance Sheet and Cflow'!F252+'Balance Sheet and Cflow'!F253+'Balance Sheet and Cflow'!F254</f>
        <v>2733</v>
      </c>
      <c r="J227" s="66">
        <f>'Balance Sheet and Cflow'!G252+'Balance Sheet and Cflow'!G253+'Balance Sheet and Cflow'!G254</f>
        <v>2365</v>
      </c>
      <c r="K227" s="66">
        <f>'Balance Sheet and Cflow'!H252+'Balance Sheet and Cflow'!H253+'Balance Sheet and Cflow'!H254</f>
        <v>2654</v>
      </c>
      <c r="L227" s="66">
        <f>'Balance Sheet and Cflow'!I252+'Balance Sheet and Cflow'!I253+'Balance Sheet and Cflow'!I254</f>
        <v>1894.561874065377</v>
      </c>
      <c r="M227" s="66">
        <f>'Balance Sheet and Cflow'!J252+'Balance Sheet and Cflow'!J253+'Balance Sheet and Cflow'!J254</f>
        <v>1997</v>
      </c>
      <c r="N227" s="66">
        <f>'Balance Sheet and Cflow'!K252+'Balance Sheet and Cflow'!K253+'Balance Sheet and Cflow'!K254</f>
        <v>1935</v>
      </c>
      <c r="O227" s="66">
        <f>'Balance Sheet and Cflow'!L252+'Balance Sheet and Cflow'!L253+'Balance Sheet and Cflow'!L254</f>
        <v>2107</v>
      </c>
      <c r="P227" s="66">
        <f>'Balance Sheet and Cflow'!M252+'Balance Sheet and Cflow'!M253+'Balance Sheet and Cflow'!M254</f>
        <v>1875.721</v>
      </c>
      <c r="Q227" s="66">
        <f>'Balance Sheet and Cflow'!N252+'Balance Sheet and Cflow'!N253+'Balance Sheet and Cflow'!N254</f>
        <v>1805</v>
      </c>
    </row>
    <row r="228" spans="8:17">
      <c r="H228" s="50" t="s">
        <v>458</v>
      </c>
      <c r="I228" s="66">
        <f>-'Balance Sheet and Cflow'!F256</f>
        <v>3000</v>
      </c>
      <c r="J228" s="66">
        <f>-'Balance Sheet and Cflow'!G256</f>
        <v>3000</v>
      </c>
      <c r="K228" s="66">
        <f>-'Balance Sheet and Cflow'!H256</f>
        <v>3000</v>
      </c>
      <c r="L228" s="66">
        <f>-'Balance Sheet and Cflow'!I256</f>
        <v>3000</v>
      </c>
      <c r="M228" s="66">
        <f>-'Balance Sheet and Cflow'!J256</f>
        <v>2325.0000000000005</v>
      </c>
      <c r="N228" s="66">
        <f>-'Balance Sheet and Cflow'!K256</f>
        <v>1500</v>
      </c>
      <c r="O228" s="66">
        <f>-'Balance Sheet and Cflow'!L256</f>
        <v>1560</v>
      </c>
      <c r="P228" s="66">
        <f>-'Balance Sheet and Cflow'!M256</f>
        <v>1562</v>
      </c>
      <c r="Q228" s="66">
        <f>-'Balance Sheet and Cflow'!N256</f>
        <v>1564</v>
      </c>
    </row>
    <row r="229" spans="8:17">
      <c r="I229" s="60">
        <f>I227/I228</f>
        <v>0.91100000000000003</v>
      </c>
      <c r="J229" s="60">
        <f t="shared" ref="J229:P229" si="22">J227/J228</f>
        <v>0.78833333333333333</v>
      </c>
      <c r="K229" s="60">
        <f t="shared" si="22"/>
        <v>0.88466666666666671</v>
      </c>
      <c r="L229" s="60">
        <f t="shared" si="22"/>
        <v>0.63152062468845904</v>
      </c>
      <c r="M229" s="60">
        <f t="shared" si="22"/>
        <v>0.85892473118279555</v>
      </c>
      <c r="N229" s="60">
        <f t="shared" si="22"/>
        <v>1.29</v>
      </c>
      <c r="O229" s="60">
        <f t="shared" si="22"/>
        <v>1.3506410256410257</v>
      </c>
      <c r="P229" s="60">
        <f t="shared" si="22"/>
        <v>1.2008457106274009</v>
      </c>
      <c r="Q229" s="60">
        <f>Q227/Q228</f>
        <v>1.1540920716112533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N16"/>
  <sheetViews>
    <sheetView workbookViewId="0">
      <selection activeCell="C6" sqref="C6"/>
    </sheetView>
  </sheetViews>
  <sheetFormatPr defaultRowHeight="14.4"/>
  <cols>
    <col min="1" max="1" width="17.44140625" bestFit="1" customWidth="1"/>
    <col min="2" max="14" width="9.21875" bestFit="1" customWidth="1"/>
  </cols>
  <sheetData>
    <row r="1" spans="1:14">
      <c r="A1" s="51" t="s">
        <v>432</v>
      </c>
      <c r="B1" s="56">
        <v>42705</v>
      </c>
      <c r="C1" s="56">
        <v>43070</v>
      </c>
      <c r="D1" s="56">
        <v>43435</v>
      </c>
      <c r="E1" s="56">
        <v>43800</v>
      </c>
      <c r="F1" s="56">
        <v>44166</v>
      </c>
      <c r="G1" s="56">
        <v>44531</v>
      </c>
      <c r="H1" s="56">
        <v>44896</v>
      </c>
      <c r="I1" s="56">
        <v>45261</v>
      </c>
      <c r="J1" s="56">
        <v>45627</v>
      </c>
      <c r="K1" s="56">
        <v>45992</v>
      </c>
      <c r="L1" s="56">
        <v>46357</v>
      </c>
      <c r="M1" s="56">
        <v>46722</v>
      </c>
      <c r="N1" s="56">
        <v>47088</v>
      </c>
    </row>
    <row r="2" spans="1:14">
      <c r="A2" s="52" t="s">
        <v>433</v>
      </c>
      <c r="B2" s="59">
        <f>'Income Statement'!AU288</f>
        <v>7949</v>
      </c>
      <c r="C2" s="59">
        <f>'Income Statement'!AZ288</f>
        <v>7763</v>
      </c>
      <c r="D2" s="59">
        <f>'Income Statement'!BE288</f>
        <v>7471</v>
      </c>
      <c r="E2" s="59">
        <f>'Income Statement'!BJ288</f>
        <v>7105</v>
      </c>
      <c r="F2" s="59">
        <f>'Income Statement'!BO288</f>
        <v>6694</v>
      </c>
      <c r="G2" s="59">
        <f>'Income Statement'!BT288</f>
        <v>6740</v>
      </c>
      <c r="H2" s="59">
        <f>'Income Statement'!BY288</f>
        <v>7007</v>
      </c>
      <c r="I2" s="59">
        <f>'Income Statement'!CD288</f>
        <v>7222.7324000000008</v>
      </c>
      <c r="J2" s="59">
        <f>'Income Statement'!CE288</f>
        <v>7308.3334501544177</v>
      </c>
      <c r="K2" s="59">
        <f>'Income Statement'!CF288</f>
        <v>7413.014783175995</v>
      </c>
      <c r="L2" s="59">
        <f>'Income Statement'!CG288</f>
        <v>7513.580904803639</v>
      </c>
      <c r="M2" s="59">
        <f>'Income Statement'!CH288</f>
        <v>7642.2927278304833</v>
      </c>
      <c r="N2" s="59">
        <f>'Income Statement'!CI288</f>
        <v>7801.5731855623471</v>
      </c>
    </row>
    <row r="3" spans="1:14">
      <c r="A3" s="52" t="s">
        <v>4</v>
      </c>
      <c r="B3" s="59">
        <f>'Income Statement'!AU419</f>
        <v>8612</v>
      </c>
      <c r="C3" s="59">
        <f>'Income Statement'!AZ419</f>
        <v>9419</v>
      </c>
      <c r="D3" s="59">
        <f>'Income Statement'!BE419</f>
        <v>9192</v>
      </c>
      <c r="E3" s="59">
        <f>'Income Statement'!BJ419</f>
        <v>9313</v>
      </c>
      <c r="F3" s="59">
        <f>'Income Statement'!BO419</f>
        <v>8966</v>
      </c>
      <c r="G3" s="59">
        <f>'Income Statement'!BT419</f>
        <v>9241</v>
      </c>
      <c r="H3" s="59">
        <f>'Income Statement'!BY419</f>
        <v>9789</v>
      </c>
      <c r="I3" s="59">
        <f>'Income Statement'!CD419</f>
        <v>10180</v>
      </c>
      <c r="J3" s="59">
        <f>'Income Statement'!CE419</f>
        <v>10628.828973949185</v>
      </c>
      <c r="K3" s="59">
        <f>'Income Statement'!CF419</f>
        <v>10904.154172576371</v>
      </c>
      <c r="L3" s="59">
        <f>'Income Statement'!CG419</f>
        <v>11209.68564380456</v>
      </c>
      <c r="M3" s="59">
        <f>'Income Statement'!CH419</f>
        <v>11548.62078907947</v>
      </c>
      <c r="N3" s="59">
        <f>'Income Statement'!CI419</f>
        <v>11918.346764710979</v>
      </c>
    </row>
    <row r="4" spans="1:14">
      <c r="A4" s="52" t="s">
        <v>434</v>
      </c>
      <c r="B4" s="59">
        <f>'Income Statement'!AU430</f>
        <v>4502</v>
      </c>
      <c r="C4" s="59">
        <f>'Income Statement'!AZ430</f>
        <v>4195</v>
      </c>
      <c r="D4" s="59">
        <f>'Income Statement'!BE430</f>
        <v>3843</v>
      </c>
      <c r="E4" s="59">
        <f>'Income Statement'!BJ430</f>
        <v>3926</v>
      </c>
      <c r="F4" s="59">
        <f>'Income Statement'!BO430</f>
        <v>3814</v>
      </c>
      <c r="G4" s="59">
        <f>'Income Statement'!BT430</f>
        <v>3876</v>
      </c>
      <c r="H4" s="59">
        <f>'Income Statement'!BY430</f>
        <v>3929</v>
      </c>
      <c r="I4" s="59">
        <f>'Income Statement'!CD430</f>
        <v>3960</v>
      </c>
      <c r="J4" s="59">
        <f>'Income Statement'!CE430</f>
        <v>4171.0576269054345</v>
      </c>
      <c r="K4" s="59">
        <f>'Income Statement'!CF430</f>
        <v>4296.5338349015092</v>
      </c>
      <c r="L4" s="59">
        <f>'Income Statement'!CG430</f>
        <v>4436.3939792013425</v>
      </c>
      <c r="M4" s="59">
        <f>'Income Statement'!CH430</f>
        <v>4589.6746823582716</v>
      </c>
      <c r="N4" s="59">
        <f>'Income Statement'!CI430</f>
        <v>4755.1149503443366</v>
      </c>
    </row>
    <row r="5" spans="1:14">
      <c r="A5" s="53" t="s">
        <v>76</v>
      </c>
      <c r="B5" s="59">
        <f>'Income Statement'!AU444</f>
        <v>3109</v>
      </c>
      <c r="C5" s="59">
        <f>'Income Statement'!AZ444</f>
        <v>2775</v>
      </c>
      <c r="D5" s="59">
        <f>'Income Statement'!BE444</f>
        <v>2685</v>
      </c>
      <c r="E5" s="59">
        <f>'Income Statement'!BJ444</f>
        <v>2512</v>
      </c>
      <c r="F5" s="59">
        <f>'Income Statement'!BO444</f>
        <v>2284</v>
      </c>
      <c r="G5" s="59">
        <f>'Income Statement'!BT444</f>
        <v>2082</v>
      </c>
      <c r="H5" s="59">
        <f>'Income Statement'!BY444</f>
        <v>2209</v>
      </c>
      <c r="I5" s="59">
        <f>'Income Statement'!CD444</f>
        <v>1890</v>
      </c>
      <c r="J5" s="59">
        <f>'Income Statement'!CE444</f>
        <v>2347.3340871671849</v>
      </c>
      <c r="K5" s="59">
        <f>'Income Statement'!CF444</f>
        <v>2560.4233690205247</v>
      </c>
      <c r="L5" s="59">
        <f>'Income Statement'!CG444</f>
        <v>2758.4518560025549</v>
      </c>
      <c r="M5" s="59">
        <f>'Income Statement'!CH444</f>
        <v>2947.4539926412772</v>
      </c>
      <c r="N5" s="59">
        <f>'Income Statement'!CI444</f>
        <v>3131.1808294526886</v>
      </c>
    </row>
    <row r="6" spans="1:14">
      <c r="A6" s="54" t="s">
        <v>95</v>
      </c>
      <c r="B6" s="57">
        <f>'Income Statement'!AU440</f>
        <v>0.8847771236333053</v>
      </c>
      <c r="C6" s="57">
        <f>'Income Statement'!AZ440</f>
        <v>0.8601516427969671</v>
      </c>
      <c r="D6" s="57">
        <f>'Income Statement'!BE440</f>
        <v>1.0289017341040463</v>
      </c>
      <c r="E6" s="57">
        <f>'Income Statement'!BJ440</f>
        <v>1.136850783182193</v>
      </c>
      <c r="F6" s="57">
        <f>'Income Statement'!BO440</f>
        <v>1.2085484277654874</v>
      </c>
      <c r="G6" s="57">
        <f>'Income Statement'!BT440</f>
        <v>1.2805391743892165</v>
      </c>
      <c r="H6" s="57">
        <f>'Income Statement'!BY440</f>
        <v>1.1418696658165777</v>
      </c>
      <c r="I6" s="57">
        <f>'Income Statement'!CD440</f>
        <v>1.0641644086876068</v>
      </c>
      <c r="J6" s="57">
        <f>'Income Statement'!CE440</f>
        <v>1.2453593799490017</v>
      </c>
      <c r="K6" s="57">
        <f>'Income Statement'!CF440</f>
        <v>1.1492355092915649</v>
      </c>
      <c r="L6" s="57">
        <f>'Income Statement'!CG440</f>
        <v>1.0786529865337726</v>
      </c>
      <c r="M6" s="57">
        <f>'Income Statement'!CH440</f>
        <v>1.0263496051593115</v>
      </c>
      <c r="N6" s="57">
        <f>'Income Statement'!CI440</f>
        <v>0.98760573907365234</v>
      </c>
    </row>
    <row r="7" spans="1:14">
      <c r="A7" s="55" t="s">
        <v>1</v>
      </c>
      <c r="B7" s="58"/>
      <c r="C7" s="58"/>
      <c r="D7" s="58"/>
      <c r="E7" s="58"/>
      <c r="F7" s="58"/>
      <c r="G7" s="58"/>
      <c r="H7" s="58"/>
      <c r="I7" s="58"/>
      <c r="J7" s="58"/>
      <c r="K7" s="58"/>
      <c r="L7" s="58"/>
      <c r="M7" s="58"/>
      <c r="N7" s="58"/>
    </row>
    <row r="8" spans="1:14">
      <c r="A8" s="55" t="s">
        <v>248</v>
      </c>
      <c r="B8" s="118">
        <f>'Income Statement'!AU48</f>
        <v>1189</v>
      </c>
      <c r="C8" s="118">
        <f>'Income Statement'!AZ48</f>
        <v>1028</v>
      </c>
      <c r="D8" s="118">
        <f>'Income Statement'!BE48</f>
        <v>1038</v>
      </c>
      <c r="E8" s="118">
        <f>'Income Statement'!BJ48</f>
        <v>1213</v>
      </c>
      <c r="F8" s="118">
        <f>'Income Statement'!BO48</f>
        <v>1245</v>
      </c>
      <c r="G8" s="118">
        <f>'Income Statement'!BT48</f>
        <v>1187</v>
      </c>
      <c r="H8" s="118">
        <f>'Income Statement'!BY48</f>
        <v>1114</v>
      </c>
      <c r="I8" s="118">
        <f>'Income Statement'!CD48</f>
        <v>813</v>
      </c>
      <c r="J8" s="118">
        <f>'Income Statement'!CE48</f>
        <v>1169.1711871344103</v>
      </c>
      <c r="K8" s="118">
        <f>'Income Statement'!CF48</f>
        <v>1199.4569589834009</v>
      </c>
      <c r="L8" s="118">
        <f>'Income Statement'!CG48</f>
        <v>1233.0654208185015</v>
      </c>
      <c r="M8" s="118">
        <f>'Income Statement'!CH48</f>
        <v>1270.3482867987418</v>
      </c>
      <c r="N8" s="118">
        <f>'Income Statement'!CI48</f>
        <v>1311.0181441182078</v>
      </c>
    </row>
    <row r="9" spans="1:14">
      <c r="A9" s="55" t="s">
        <v>435</v>
      </c>
      <c r="B9" s="118"/>
      <c r="C9" s="118"/>
      <c r="D9" s="118"/>
      <c r="E9" s="118"/>
      <c r="F9" s="118"/>
      <c r="G9" s="118"/>
      <c r="H9" s="118"/>
      <c r="I9" s="118"/>
      <c r="J9" s="118"/>
      <c r="K9" s="118"/>
      <c r="L9" s="118"/>
      <c r="M9" s="118"/>
      <c r="N9" s="118"/>
    </row>
    <row r="10" spans="1:14">
      <c r="A10" s="55"/>
      <c r="B10" s="118"/>
      <c r="C10" s="118"/>
      <c r="D10" s="118"/>
      <c r="E10" s="118"/>
      <c r="F10" s="118"/>
      <c r="G10" s="118"/>
      <c r="H10" s="118"/>
      <c r="I10" s="118"/>
      <c r="J10" s="118"/>
      <c r="K10" s="118"/>
      <c r="L10" s="118"/>
      <c r="M10" s="118"/>
      <c r="N10" s="118"/>
    </row>
    <row r="11" spans="1:14">
      <c r="A11" s="55" t="s">
        <v>436</v>
      </c>
      <c r="B11" s="118"/>
      <c r="C11" s="118"/>
      <c r="D11" s="118"/>
      <c r="E11" s="118"/>
      <c r="F11" s="118"/>
      <c r="G11" s="118"/>
      <c r="H11" s="118"/>
      <c r="I11" s="118"/>
      <c r="J11" s="118"/>
      <c r="K11" s="118"/>
      <c r="L11" s="118"/>
      <c r="M11" s="118"/>
      <c r="N11" s="118"/>
    </row>
    <row r="12" spans="1:14">
      <c r="A12" s="55" t="s">
        <v>437</v>
      </c>
      <c r="B12" s="118">
        <f>'Income Statement'!AU457</f>
        <v>1971</v>
      </c>
      <c r="C12" s="118">
        <f>'Income Statement'!AZ457</f>
        <v>2061</v>
      </c>
      <c r="D12" s="118">
        <f>'Income Statement'!BE457</f>
        <v>1765</v>
      </c>
      <c r="E12" s="118">
        <f>'Income Statement'!BJ457</f>
        <v>1527</v>
      </c>
      <c r="F12" s="118">
        <f>'Income Statement'!BO457</f>
        <v>1410</v>
      </c>
      <c r="G12" s="118">
        <f>'Income Statement'!BT457</f>
        <v>1216</v>
      </c>
      <c r="H12" s="118">
        <f>'Income Statement'!BY457</f>
        <v>1151</v>
      </c>
      <c r="I12" s="118">
        <f>'Income Statement'!CD457</f>
        <v>992</v>
      </c>
      <c r="J12" s="118">
        <f>'Income Statement'!CE457</f>
        <v>1425.0024450746369</v>
      </c>
      <c r="K12" s="118">
        <f>'Income Statement'!CF457</f>
        <v>1606.4704732335476</v>
      </c>
      <c r="L12" s="118">
        <f>'Income Statement'!CG457</f>
        <v>1771.3814389978606</v>
      </c>
      <c r="M12" s="118">
        <f>'Income Statement'!CH457</f>
        <v>1926.4791862280626</v>
      </c>
      <c r="N12" s="118">
        <f>'Income Statement'!CI457</f>
        <v>2075.2426822853809</v>
      </c>
    </row>
    <row r="13" spans="1:14">
      <c r="A13" s="55"/>
      <c r="B13" s="118"/>
      <c r="C13" s="118"/>
      <c r="D13" s="118"/>
      <c r="E13" s="118"/>
      <c r="F13" s="118"/>
      <c r="G13" s="118"/>
      <c r="H13" s="118"/>
      <c r="I13" s="118"/>
      <c r="J13" s="118"/>
      <c r="K13" s="118"/>
      <c r="L13" s="118"/>
      <c r="M13" s="118"/>
      <c r="N13" s="118"/>
    </row>
    <row r="14" spans="1:14">
      <c r="A14" s="55" t="s">
        <v>150</v>
      </c>
      <c r="B14" s="118">
        <f>'Balance Sheet and Cflow'!K43</f>
        <v>9182</v>
      </c>
      <c r="C14" s="118">
        <f>'Balance Sheet and Cflow'!L43</f>
        <v>7044</v>
      </c>
      <c r="D14" s="118">
        <f>'Balance Sheet and Cflow'!M43</f>
        <v>7079.7609999999995</v>
      </c>
      <c r="E14" s="118">
        <f>'Balance Sheet and Cflow'!N43</f>
        <v>8365</v>
      </c>
      <c r="F14" s="118">
        <f>'Balance Sheet and Cflow'!O43</f>
        <v>9028</v>
      </c>
      <c r="G14" s="118">
        <f>'Balance Sheet and Cflow'!P43</f>
        <v>8899</v>
      </c>
      <c r="H14" s="118">
        <f>'Balance Sheet and Cflow'!Q43</f>
        <v>9237</v>
      </c>
      <c r="I14" s="118">
        <f>'Balance Sheet and Cflow'!R43</f>
        <v>9203</v>
      </c>
      <c r="J14" s="118">
        <f>'Balance Sheet and Cflow'!S43</f>
        <v>8604.890687474779</v>
      </c>
      <c r="K14" s="118">
        <f>'Balance Sheet and Cflow'!T43</f>
        <v>8152.3738875259796</v>
      </c>
      <c r="L14" s="118">
        <f>'Balance Sheet and Cflow'!U43</f>
        <v>7783.577819341338</v>
      </c>
      <c r="M14" s="118">
        <f>'Balance Sheet and Cflow'!V43</f>
        <v>7480.1534197715027</v>
      </c>
      <c r="N14" s="118">
        <f>'Balance Sheet and Cflow'!W43</f>
        <v>7229.2509489681961</v>
      </c>
    </row>
    <row r="15" spans="1:14">
      <c r="A15" s="55"/>
      <c r="B15" s="118"/>
      <c r="C15" s="118"/>
      <c r="D15" s="118"/>
      <c r="E15" s="118"/>
      <c r="F15" s="118"/>
      <c r="G15" s="118"/>
      <c r="H15" s="118"/>
      <c r="I15" s="118"/>
      <c r="J15" s="118"/>
      <c r="K15" s="118"/>
      <c r="L15" s="118"/>
      <c r="M15" s="118"/>
      <c r="N15" s="118"/>
    </row>
    <row r="16" spans="1:14">
      <c r="A16" s="55" t="s">
        <v>109</v>
      </c>
      <c r="B16" s="118">
        <f>B12</f>
        <v>1971</v>
      </c>
      <c r="C16" s="118">
        <f t="shared" ref="C16:H16" si="0">C12</f>
        <v>2061</v>
      </c>
      <c r="D16" s="118">
        <f t="shared" si="0"/>
        <v>1765</v>
      </c>
      <c r="E16" s="118">
        <f t="shared" si="0"/>
        <v>1527</v>
      </c>
      <c r="F16" s="118">
        <f t="shared" si="0"/>
        <v>1410</v>
      </c>
      <c r="G16" s="118">
        <f t="shared" si="0"/>
        <v>1216</v>
      </c>
      <c r="H16" s="118">
        <f t="shared" si="0"/>
        <v>1151</v>
      </c>
      <c r="I16" s="118">
        <f t="shared" ref="I16:N16" si="1">I12</f>
        <v>992</v>
      </c>
      <c r="J16" s="118">
        <f t="shared" si="1"/>
        <v>1425.0024450746369</v>
      </c>
      <c r="K16" s="118">
        <f t="shared" si="1"/>
        <v>1606.4704732335476</v>
      </c>
      <c r="L16" s="118">
        <f t="shared" si="1"/>
        <v>1771.3814389978606</v>
      </c>
      <c r="M16" s="118">
        <f t="shared" si="1"/>
        <v>1926.4791862280626</v>
      </c>
      <c r="N16" s="118">
        <f t="shared" si="1"/>
        <v>2075.2426822853809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Q74"/>
  <sheetViews>
    <sheetView zoomScale="85" zoomScaleNormal="85" workbookViewId="0">
      <pane xSplit="2" ySplit="2" topLeftCell="BR3" activePane="bottomRight" state="frozen"/>
      <selection pane="topRight" activeCell="C1" sqref="C1"/>
      <selection pane="bottomLeft" activeCell="A3" sqref="A3"/>
      <selection pane="bottomRight" activeCell="CN5" sqref="CN5"/>
    </sheetView>
  </sheetViews>
  <sheetFormatPr defaultRowHeight="14.4"/>
  <cols>
    <col min="1" max="1" width="24.21875" bestFit="1" customWidth="1"/>
    <col min="2" max="2" width="4.77734375" customWidth="1"/>
    <col min="3" max="6" width="7.77734375" bestFit="1" customWidth="1"/>
    <col min="7" max="12" width="6.77734375" bestFit="1" customWidth="1"/>
    <col min="13" max="26" width="6.44140625" bestFit="1" customWidth="1"/>
    <col min="27" max="27" width="6.5546875" bestFit="1" customWidth="1"/>
    <col min="28" max="28" width="6.77734375" bestFit="1" customWidth="1"/>
    <col min="29" max="29" width="6.5546875" bestFit="1" customWidth="1"/>
    <col min="30" max="31" width="6.77734375" bestFit="1" customWidth="1"/>
    <col min="32" max="34" width="6.5546875" bestFit="1" customWidth="1"/>
    <col min="35" max="36" width="6.77734375" bestFit="1" customWidth="1"/>
    <col min="37" max="37" width="6.5546875" bestFit="1" customWidth="1"/>
    <col min="38" max="56" width="6.77734375" bestFit="1" customWidth="1"/>
    <col min="57" max="57" width="7.5546875" customWidth="1"/>
    <col min="58" max="58" width="6.77734375" bestFit="1" customWidth="1"/>
    <col min="59" max="70" width="7.5546875" customWidth="1"/>
    <col min="79" max="80" width="8.77734375" bestFit="1" customWidth="1"/>
    <col min="81" max="83" width="9.21875" bestFit="1" customWidth="1"/>
    <col min="84" max="84" width="8.77734375" bestFit="1" customWidth="1"/>
    <col min="85" max="85" width="9.21875" bestFit="1" customWidth="1"/>
  </cols>
  <sheetData>
    <row r="1" spans="1:95">
      <c r="A1" s="164" t="s">
        <v>253</v>
      </c>
      <c r="B1" s="164"/>
      <c r="C1" s="165" t="s">
        <v>480</v>
      </c>
      <c r="D1" s="165" t="s">
        <v>481</v>
      </c>
      <c r="E1" s="165" t="s">
        <v>482</v>
      </c>
      <c r="F1" s="165" t="s">
        <v>483</v>
      </c>
      <c r="G1" s="165" t="s">
        <v>484</v>
      </c>
      <c r="H1" s="165" t="s">
        <v>485</v>
      </c>
      <c r="I1" s="165" t="s">
        <v>486</v>
      </c>
      <c r="J1" s="165" t="s">
        <v>487</v>
      </c>
      <c r="K1" s="165" t="s">
        <v>488</v>
      </c>
      <c r="L1" s="165" t="s">
        <v>489</v>
      </c>
      <c r="M1" s="165" t="s">
        <v>490</v>
      </c>
      <c r="N1" s="165" t="s">
        <v>491</v>
      </c>
      <c r="O1" s="165" t="s">
        <v>492</v>
      </c>
      <c r="P1" s="165" t="s">
        <v>493</v>
      </c>
      <c r="Q1" s="165" t="s">
        <v>494</v>
      </c>
      <c r="R1" s="165" t="s">
        <v>495</v>
      </c>
      <c r="S1" s="165" t="s">
        <v>496</v>
      </c>
      <c r="T1" s="165" t="s">
        <v>497</v>
      </c>
      <c r="U1" s="165" t="s">
        <v>498</v>
      </c>
      <c r="V1" s="165" t="s">
        <v>499</v>
      </c>
      <c r="W1" s="165" t="s">
        <v>500</v>
      </c>
      <c r="X1" s="165" t="s">
        <v>501</v>
      </c>
      <c r="Y1" s="165" t="s">
        <v>502</v>
      </c>
      <c r="Z1" s="165" t="s">
        <v>503</v>
      </c>
      <c r="AA1" s="165" t="s">
        <v>441</v>
      </c>
      <c r="AB1" s="165" t="s">
        <v>442</v>
      </c>
      <c r="AC1" s="165" t="s">
        <v>443</v>
      </c>
      <c r="AD1" s="165" t="s">
        <v>444</v>
      </c>
      <c r="AE1" s="165" t="s">
        <v>445</v>
      </c>
      <c r="AF1" s="165" t="s">
        <v>446</v>
      </c>
      <c r="AG1" s="165" t="s">
        <v>447</v>
      </c>
      <c r="AH1" s="165" t="s">
        <v>448</v>
      </c>
      <c r="AI1" s="165" t="s">
        <v>449</v>
      </c>
      <c r="AJ1" s="165" t="s">
        <v>450</v>
      </c>
      <c r="AK1" s="165" t="s">
        <v>451</v>
      </c>
      <c r="AL1" s="165" t="s">
        <v>452</v>
      </c>
      <c r="AM1" s="165" t="s">
        <v>453</v>
      </c>
      <c r="AN1" s="165" t="s">
        <v>454</v>
      </c>
      <c r="AO1" s="165" t="s">
        <v>462</v>
      </c>
      <c r="AP1" s="165" t="s">
        <v>468</v>
      </c>
      <c r="AQ1" s="165" t="s">
        <v>581</v>
      </c>
      <c r="AR1" s="165" t="s">
        <v>590</v>
      </c>
      <c r="AS1" s="165" t="s">
        <v>576</v>
      </c>
      <c r="AT1" s="165" t="s">
        <v>591</v>
      </c>
      <c r="AU1" s="165" t="s">
        <v>592</v>
      </c>
      <c r="AV1" s="165" t="s">
        <v>593</v>
      </c>
      <c r="AW1" s="165" t="s">
        <v>594</v>
      </c>
      <c r="AX1" s="165" t="s">
        <v>595</v>
      </c>
      <c r="AY1" s="165" t="s">
        <v>596</v>
      </c>
      <c r="AZ1" s="165" t="s">
        <v>597</v>
      </c>
      <c r="BA1" s="165" t="s">
        <v>612</v>
      </c>
      <c r="BB1" s="165" t="s">
        <v>615</v>
      </c>
      <c r="BC1" s="165" t="s">
        <v>616</v>
      </c>
      <c r="BD1" s="165" t="s">
        <v>617</v>
      </c>
      <c r="BE1" s="165" t="s">
        <v>618</v>
      </c>
      <c r="BF1" s="165" t="s">
        <v>619</v>
      </c>
      <c r="BG1" s="165" t="s">
        <v>650</v>
      </c>
      <c r="BH1" s="165" t="s">
        <v>654</v>
      </c>
      <c r="BI1" s="165" t="s">
        <v>655</v>
      </c>
      <c r="BJ1" s="165" t="s">
        <v>656</v>
      </c>
      <c r="BK1" s="165" t="s">
        <v>673</v>
      </c>
      <c r="BL1" s="165" t="s">
        <v>676</v>
      </c>
      <c r="BM1" s="165" t="s">
        <v>707</v>
      </c>
      <c r="BN1" s="165" t="s">
        <v>708</v>
      </c>
      <c r="BO1" s="165" t="s">
        <v>713</v>
      </c>
      <c r="BP1" s="165" t="s">
        <v>794</v>
      </c>
      <c r="BQ1" s="165" t="s">
        <v>795</v>
      </c>
      <c r="BR1" s="165" t="s">
        <v>814</v>
      </c>
      <c r="BS1" s="165" t="s">
        <v>686</v>
      </c>
      <c r="BT1" s="159" t="s">
        <v>677</v>
      </c>
      <c r="BU1" s="159"/>
      <c r="BV1" s="166">
        <v>2010</v>
      </c>
      <c r="BW1" s="166">
        <f>BV1+1</f>
        <v>2011</v>
      </c>
      <c r="BX1" s="166">
        <f t="shared" ref="BX1:BY1" si="0">BW1+1</f>
        <v>2012</v>
      </c>
      <c r="BY1" s="166">
        <f t="shared" si="0"/>
        <v>2013</v>
      </c>
      <c r="BZ1" s="166">
        <f t="shared" ref="BZ1:CG1" si="1">BY1+1</f>
        <v>2014</v>
      </c>
      <c r="CA1" s="166">
        <f t="shared" si="1"/>
        <v>2015</v>
      </c>
      <c r="CB1" s="166">
        <f t="shared" si="1"/>
        <v>2016</v>
      </c>
      <c r="CC1" s="166">
        <f t="shared" si="1"/>
        <v>2017</v>
      </c>
      <c r="CD1" s="166">
        <f t="shared" si="1"/>
        <v>2018</v>
      </c>
      <c r="CE1" s="166">
        <f t="shared" si="1"/>
        <v>2019</v>
      </c>
      <c r="CF1" s="166">
        <f t="shared" si="1"/>
        <v>2020</v>
      </c>
      <c r="CG1" s="166">
        <f t="shared" si="1"/>
        <v>2021</v>
      </c>
      <c r="CH1" s="166">
        <f t="shared" ref="CH1" si="2">CG1+1</f>
        <v>2022</v>
      </c>
      <c r="CI1" s="166">
        <f t="shared" ref="CI1" si="3">CH1+1</f>
        <v>2023</v>
      </c>
      <c r="CJ1" s="166">
        <f t="shared" ref="CJ1" si="4">CI1+1</f>
        <v>2024</v>
      </c>
      <c r="CK1" s="166">
        <f t="shared" ref="CK1" si="5">CJ1+1</f>
        <v>2025</v>
      </c>
      <c r="CL1" s="166">
        <f t="shared" ref="CL1" si="6">CK1+1</f>
        <v>2026</v>
      </c>
      <c r="CM1" s="166">
        <f t="shared" ref="CM1" si="7">CL1+1</f>
        <v>2027</v>
      </c>
      <c r="CN1" s="166">
        <f t="shared" ref="CN1" si="8">CM1+1</f>
        <v>2028</v>
      </c>
    </row>
    <row r="2" spans="1:95">
      <c r="A2" s="164" t="s">
        <v>671</v>
      </c>
      <c r="B2" s="164"/>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59"/>
      <c r="BU2" s="159"/>
      <c r="BV2" s="167">
        <v>40543</v>
      </c>
      <c r="BW2" s="167">
        <f>EOMONTH(BV2,12)</f>
        <v>40908</v>
      </c>
      <c r="BX2" s="167">
        <f t="shared" ref="BX2:BY2" si="9">EOMONTH(BW2,12)</f>
        <v>41274</v>
      </c>
      <c r="BY2" s="167">
        <f t="shared" si="9"/>
        <v>41639</v>
      </c>
      <c r="BZ2" s="167">
        <f t="shared" ref="BZ2:CG2" si="10">EOMONTH(BY2,12)</f>
        <v>42004</v>
      </c>
      <c r="CA2" s="167">
        <f t="shared" si="10"/>
        <v>42369</v>
      </c>
      <c r="CB2" s="167">
        <f t="shared" si="10"/>
        <v>42735</v>
      </c>
      <c r="CC2" s="167">
        <f t="shared" si="10"/>
        <v>43100</v>
      </c>
      <c r="CD2" s="167">
        <f t="shared" si="10"/>
        <v>43465</v>
      </c>
      <c r="CE2" s="167">
        <f t="shared" si="10"/>
        <v>43830</v>
      </c>
      <c r="CF2" s="167">
        <f t="shared" si="10"/>
        <v>44196</v>
      </c>
      <c r="CG2" s="167">
        <f t="shared" si="10"/>
        <v>44561</v>
      </c>
      <c r="CH2" s="167">
        <f t="shared" ref="CH2" si="11">EOMONTH(CG2,12)</f>
        <v>44926</v>
      </c>
      <c r="CI2" s="167">
        <f t="shared" ref="CI2" si="12">EOMONTH(CH2,12)</f>
        <v>45291</v>
      </c>
      <c r="CJ2" s="167">
        <f t="shared" ref="CJ2" si="13">EOMONTH(CI2,12)</f>
        <v>45657</v>
      </c>
      <c r="CK2" s="167">
        <f t="shared" ref="CK2" si="14">EOMONTH(CJ2,12)</f>
        <v>46022</v>
      </c>
      <c r="CL2" s="167">
        <f t="shared" ref="CL2" si="15">EOMONTH(CK2,12)</f>
        <v>46387</v>
      </c>
      <c r="CM2" s="167">
        <f t="shared" ref="CM2" si="16">EOMONTH(CL2,12)</f>
        <v>46752</v>
      </c>
      <c r="CN2" s="167">
        <f t="shared" ref="CN2" si="17">EOMONTH(CM2,12)</f>
        <v>47118</v>
      </c>
    </row>
    <row r="3" spans="1:95">
      <c r="A3" s="93" t="s">
        <v>504</v>
      </c>
      <c r="B3" s="93"/>
      <c r="C3" s="94"/>
      <c r="D3" s="94"/>
      <c r="E3" s="94"/>
      <c r="F3" s="94"/>
      <c r="G3" s="94">
        <f>[6]Financials!R5</f>
        <v>0</v>
      </c>
      <c r="H3" s="94">
        <f>[6]Financials!S5</f>
        <v>0</v>
      </c>
      <c r="I3" s="94">
        <f>[6]Financials!T5</f>
        <v>0</v>
      </c>
      <c r="J3" s="94">
        <f>[6]Financials!U5</f>
        <v>0</v>
      </c>
      <c r="K3" s="94">
        <f>[6]Financials!W5</f>
        <v>0</v>
      </c>
      <c r="L3" s="94">
        <f>[6]Financials!X5</f>
        <v>0</v>
      </c>
      <c r="M3" s="94">
        <f>[6]Financials!Y5</f>
        <v>0</v>
      </c>
      <c r="N3" s="94">
        <f>[6]Financials!Z5</f>
        <v>0</v>
      </c>
      <c r="O3" s="94" t="e">
        <f>[6]Financials!AB5</f>
        <v>#REF!</v>
      </c>
      <c r="P3" s="94" t="e">
        <f>[6]Financials!AC5</f>
        <v>#REF!</v>
      </c>
      <c r="Q3" s="94" t="e">
        <f>[6]Financials!AD5</f>
        <v>#REF!</v>
      </c>
      <c r="R3" s="94" t="e">
        <f>[6]Financials!AE5</f>
        <v>#REF!</v>
      </c>
      <c r="S3" s="94" t="e">
        <f>[6]Financials!AG5</f>
        <v>#REF!</v>
      </c>
      <c r="T3" s="94" t="e">
        <f>[6]Financials!AH5</f>
        <v>#REF!</v>
      </c>
      <c r="U3" s="94" t="e">
        <f>[6]Financials!AI5</f>
        <v>#REF!</v>
      </c>
      <c r="V3" s="94" t="e">
        <f>[6]Financials!AJ5</f>
        <v>#REF!</v>
      </c>
      <c r="W3" s="94" t="e">
        <f>[6]Financials!AL5</f>
        <v>#REF!</v>
      </c>
      <c r="X3" s="94" t="e">
        <f>[6]Financials!AM5</f>
        <v>#REF!</v>
      </c>
      <c r="Y3" s="94" t="e">
        <f>[6]Financials!AN5</f>
        <v>#REF!</v>
      </c>
      <c r="Z3" s="94" t="e">
        <f>[6]Financials!AO5</f>
        <v>#REF!</v>
      </c>
      <c r="AA3" s="94" t="e">
        <f>[6]Financials!AQ5</f>
        <v>#REF!</v>
      </c>
      <c r="AB3" s="94" t="e">
        <f>[6]Financials!AR5</f>
        <v>#REF!</v>
      </c>
      <c r="AC3" s="94" t="e">
        <f>[6]Financials!AS5</f>
        <v>#REF!</v>
      </c>
      <c r="AD3" s="94" t="e">
        <f>[6]Financials!AT5</f>
        <v>#REF!</v>
      </c>
      <c r="AE3" s="94" t="e">
        <f>[6]Financials!AV5</f>
        <v>#REF!</v>
      </c>
      <c r="AF3" s="94" t="e">
        <f>[6]Financials!AW5</f>
        <v>#REF!</v>
      </c>
      <c r="AG3" s="94" t="e">
        <f>[6]Financials!AX5</f>
        <v>#REF!</v>
      </c>
      <c r="AH3" s="94" t="e">
        <f>[6]Financials!AY5</f>
        <v>#REF!</v>
      </c>
      <c r="AI3" s="94" t="e">
        <f>[6]Financials!BA5</f>
        <v>#REF!</v>
      </c>
      <c r="AJ3" s="94" t="e">
        <f>[6]Financials!BB5</f>
        <v>#REF!</v>
      </c>
      <c r="AK3" s="94" t="e">
        <f>[6]Financials!BC5</f>
        <v>#REF!</v>
      </c>
      <c r="AL3" s="94" t="e">
        <f>[6]Financials!BD5</f>
        <v>#REF!</v>
      </c>
      <c r="AM3" s="94" t="e">
        <f>[6]Financials!BF5</f>
        <v>#REF!</v>
      </c>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V3" s="94"/>
      <c r="BW3" s="94"/>
      <c r="BX3" s="94"/>
      <c r="BY3" s="94"/>
      <c r="BZ3" s="94"/>
      <c r="CA3" s="94"/>
      <c r="CB3" s="94"/>
      <c r="CC3" s="94"/>
      <c r="CD3" s="94"/>
      <c r="CE3" s="94"/>
      <c r="CF3" s="94"/>
      <c r="CG3" s="94"/>
      <c r="CH3" s="94"/>
      <c r="CI3" s="94"/>
      <c r="CJ3" s="94"/>
      <c r="CK3" s="94"/>
      <c r="CL3" s="94"/>
      <c r="CM3" s="94"/>
      <c r="CN3" s="94"/>
    </row>
    <row r="4" spans="1:95">
      <c r="A4" s="119" t="s">
        <v>10</v>
      </c>
      <c r="B4" s="95"/>
      <c r="C4" s="96"/>
      <c r="D4" s="96"/>
      <c r="E4" s="96"/>
      <c r="F4" s="96"/>
      <c r="G4" s="120">
        <f>[6]Financials!M7</f>
        <v>0</v>
      </c>
      <c r="H4" s="120">
        <f>[6]Financials!N7</f>
        <v>0</v>
      </c>
      <c r="I4" s="120">
        <f>[6]Financials!O7</f>
        <v>0</v>
      </c>
      <c r="J4" s="120">
        <f>[6]Financials!P7</f>
        <v>0</v>
      </c>
      <c r="K4" s="120">
        <f>[6]Financials!R7</f>
        <v>0</v>
      </c>
      <c r="L4" s="120">
        <f>[6]Financials!S7</f>
        <v>0</v>
      </c>
      <c r="M4" s="120">
        <f>[6]Financials!T7</f>
        <v>0</v>
      </c>
      <c r="N4" s="120">
        <f>[6]Financials!U7</f>
        <v>0</v>
      </c>
      <c r="O4" s="120">
        <f>[6]Financials!W7</f>
        <v>0</v>
      </c>
      <c r="P4" s="120">
        <f>[6]Financials!X7</f>
        <v>0</v>
      </c>
      <c r="Q4" s="120">
        <f>[6]Financials!Y7</f>
        <v>0</v>
      </c>
      <c r="R4" s="120">
        <f>[6]Financials!Z7</f>
        <v>0</v>
      </c>
      <c r="S4" s="120" t="e">
        <f>[6]Financials!AB7</f>
        <v>#REF!</v>
      </c>
      <c r="T4" s="120" t="e">
        <f>[6]Financials!AC7</f>
        <v>#REF!</v>
      </c>
      <c r="U4" s="120" t="e">
        <f>[6]Financials!AD7</f>
        <v>#REF!</v>
      </c>
      <c r="V4" s="120" t="e">
        <f>[6]Financials!AE7</f>
        <v>#REF!</v>
      </c>
      <c r="W4" s="120" t="e">
        <f>[6]Financials!AG7</f>
        <v>#REF!</v>
      </c>
      <c r="X4" s="120" t="e">
        <f>[6]Financials!AH7</f>
        <v>#REF!</v>
      </c>
      <c r="Y4" s="120" t="e">
        <f>[6]Financials!AI7</f>
        <v>#REF!</v>
      </c>
      <c r="Z4" s="120" t="e">
        <f>[6]Financials!AJ7</f>
        <v>#REF!</v>
      </c>
      <c r="AA4" s="120" t="e">
        <f>[6]Financials!AL7</f>
        <v>#REF!</v>
      </c>
      <c r="AB4" s="120" t="e">
        <f>[6]Financials!AM7</f>
        <v>#REF!</v>
      </c>
      <c r="AC4" s="120" t="e">
        <f>[6]Financials!AN7</f>
        <v>#REF!</v>
      </c>
      <c r="AD4" s="120" t="e">
        <f>[6]Financials!AO7</f>
        <v>#REF!</v>
      </c>
      <c r="AE4" s="120" t="e">
        <f>[6]Financials!AQ7</f>
        <v>#REF!</v>
      </c>
      <c r="AF4" s="120" t="e">
        <f>[6]Financials!AR7</f>
        <v>#REF!</v>
      </c>
      <c r="AG4" s="120" t="e">
        <f>[6]Financials!AS7</f>
        <v>#REF!</v>
      </c>
      <c r="AH4" s="120" t="e">
        <f>[6]Financials!AT7</f>
        <v>#REF!</v>
      </c>
      <c r="AI4" s="120" t="e">
        <f>[6]Financials!AV7</f>
        <v>#REF!</v>
      </c>
      <c r="AJ4" s="120" t="e">
        <f>[6]Financials!AW7</f>
        <v>#REF!</v>
      </c>
      <c r="AK4" s="120" t="e">
        <f>[6]Financials!AX7</f>
        <v>#REF!</v>
      </c>
      <c r="AL4" s="120" t="e">
        <f>[6]Financials!AY7</f>
        <v>#REF!</v>
      </c>
      <c r="AM4" s="120" t="e">
        <f>[6]Financials!BA7</f>
        <v>#REF!</v>
      </c>
      <c r="AN4" s="120" t="e">
        <f>[6]Financials!BB7</f>
        <v>#REF!</v>
      </c>
      <c r="AO4" s="120" t="e">
        <f>[6]Financials!BC7</f>
        <v>#REF!</v>
      </c>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V4" s="120"/>
      <c r="BW4" s="120"/>
      <c r="BX4" s="120"/>
      <c r="BY4" s="120"/>
      <c r="BZ4" s="120"/>
      <c r="CA4" s="120"/>
      <c r="CB4" s="120"/>
      <c r="CC4" s="120"/>
      <c r="CD4" s="120"/>
      <c r="CE4" s="120"/>
      <c r="CF4" s="120"/>
      <c r="CG4" s="120"/>
      <c r="CH4" s="120"/>
      <c r="CI4" s="120"/>
      <c r="CJ4" s="120"/>
      <c r="CK4" s="120"/>
      <c r="CL4" s="120"/>
      <c r="CM4" s="120"/>
      <c r="CN4" s="120"/>
    </row>
    <row r="5" spans="1:95">
      <c r="A5" s="68"/>
      <c r="B5" s="91"/>
      <c r="C5" s="97"/>
      <c r="D5" s="97"/>
      <c r="E5" s="97"/>
      <c r="F5" s="97"/>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V5" s="69"/>
      <c r="BW5" s="69"/>
      <c r="BX5" s="69"/>
      <c r="BY5" s="69"/>
      <c r="BZ5" s="69"/>
      <c r="CA5" s="69"/>
      <c r="CB5" s="69"/>
      <c r="CC5" s="69"/>
      <c r="CD5" s="69"/>
      <c r="CE5" s="69"/>
      <c r="CF5" s="69"/>
      <c r="CG5" s="69"/>
      <c r="CH5" s="69"/>
      <c r="CI5" s="69"/>
      <c r="CJ5" s="69"/>
      <c r="CK5" s="69"/>
      <c r="CL5" s="69"/>
      <c r="CM5" s="69"/>
      <c r="CN5" s="69"/>
    </row>
    <row r="6" spans="1:95">
      <c r="A6" s="70" t="s">
        <v>505</v>
      </c>
      <c r="B6" s="70"/>
      <c r="C6" s="97"/>
      <c r="D6" s="97"/>
      <c r="E6" s="97"/>
      <c r="F6" s="97"/>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t="s">
        <v>691</v>
      </c>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V6" s="69"/>
      <c r="BW6" s="69"/>
      <c r="BX6" s="69"/>
      <c r="BY6" s="69"/>
      <c r="BZ6" s="69"/>
      <c r="CA6" s="69"/>
      <c r="CB6" s="69"/>
      <c r="CC6" s="69"/>
      <c r="CD6" s="69"/>
      <c r="CE6" s="69"/>
      <c r="CF6" s="69"/>
      <c r="CG6" s="69"/>
      <c r="CH6" s="69"/>
      <c r="CI6" s="69"/>
      <c r="CJ6" s="69"/>
      <c r="CK6" s="69"/>
      <c r="CL6" s="69"/>
      <c r="CM6" s="69"/>
      <c r="CN6" s="69"/>
    </row>
    <row r="7" spans="1:95">
      <c r="A7" s="98" t="s">
        <v>506</v>
      </c>
      <c r="B7" s="98"/>
      <c r="C7" s="99"/>
      <c r="D7" s="99"/>
      <c r="E7" s="99"/>
      <c r="F7" s="99"/>
      <c r="G7" s="99">
        <f>'Income Statement'!C419</f>
        <v>0</v>
      </c>
      <c r="H7" s="99">
        <f>'Income Statement'!D419</f>
        <v>0</v>
      </c>
      <c r="I7" s="99">
        <f>'Income Statement'!E419</f>
        <v>0</v>
      </c>
      <c r="J7" s="99">
        <f>'Income Statement'!F419</f>
        <v>2204</v>
      </c>
      <c r="K7" s="99">
        <f>'Income Statement'!H419</f>
        <v>2129</v>
      </c>
      <c r="L7" s="99">
        <f>'Income Statement'!I419</f>
        <v>2116</v>
      </c>
      <c r="M7" s="99">
        <f>'Income Statement'!J419</f>
        <v>2156</v>
      </c>
      <c r="N7" s="99">
        <f>'Income Statement'!K419</f>
        <v>2211</v>
      </c>
      <c r="O7" s="99">
        <f>'Income Statement'!M419</f>
        <v>2152</v>
      </c>
      <c r="P7" s="99">
        <f>'Income Statement'!N419</f>
        <v>2191</v>
      </c>
      <c r="Q7" s="99">
        <f>'Income Statement'!O419</f>
        <v>2216</v>
      </c>
      <c r="R7" s="99">
        <f>'Income Statement'!P419</f>
        <v>2310</v>
      </c>
      <c r="S7" s="99">
        <f>'Income Statement'!R419</f>
        <v>2133</v>
      </c>
      <c r="T7" s="99">
        <f>'Income Statement'!S419</f>
        <v>2158</v>
      </c>
      <c r="U7" s="99">
        <f>'Income Statement'!T419</f>
        <v>2244</v>
      </c>
      <c r="V7" s="99">
        <f>'Income Statement'!U419</f>
        <v>2248</v>
      </c>
      <c r="W7" s="99">
        <f>'Income Statement'!W419</f>
        <v>2135</v>
      </c>
      <c r="X7" s="99">
        <f>'Income Statement'!X419</f>
        <v>2223</v>
      </c>
      <c r="Y7" s="99">
        <f>'Income Statement'!Y419</f>
        <v>2216</v>
      </c>
      <c r="Z7" s="99">
        <f>'Income Statement'!Z419</f>
        <v>2306</v>
      </c>
      <c r="AA7" s="99">
        <f>'Income Statement'!AB419</f>
        <v>2327</v>
      </c>
      <c r="AB7" s="99">
        <f>'Income Statement'!AC419</f>
        <v>2295</v>
      </c>
      <c r="AC7" s="99">
        <f>'Income Statement'!AD419</f>
        <v>2239</v>
      </c>
      <c r="AD7" s="99">
        <f>'Income Statement'!AE419</f>
        <v>2224</v>
      </c>
      <c r="AE7" s="99">
        <f>'Income Statement'!AG419</f>
        <v>2119</v>
      </c>
      <c r="AF7" s="99">
        <f>'Income Statement'!AH419</f>
        <v>2082</v>
      </c>
      <c r="AG7" s="99">
        <f>'Income Statement'!AI419</f>
        <v>2065</v>
      </c>
      <c r="AH7" s="99">
        <f>'Income Statement'!AJ419</f>
        <v>2123</v>
      </c>
      <c r="AI7" s="99">
        <f>'Income Statement'!AL419</f>
        <v>2149</v>
      </c>
      <c r="AJ7" s="99">
        <f>'Income Statement'!AM419</f>
        <v>2110</v>
      </c>
      <c r="AK7" s="99">
        <f>'Income Statement'!AN419</f>
        <v>2166</v>
      </c>
      <c r="AL7" s="99">
        <f>'Income Statement'!AO419</f>
        <v>2176</v>
      </c>
      <c r="AM7" s="99">
        <f>'Income Statement'!AQ419</f>
        <v>2140</v>
      </c>
      <c r="AN7" s="99">
        <f>'Income Statement'!AR419</f>
        <v>2102</v>
      </c>
      <c r="AO7" s="99">
        <f>'Income Statement'!AS419</f>
        <v>2156</v>
      </c>
      <c r="AP7" s="99">
        <f>'Income Statement'!AT419</f>
        <v>2214</v>
      </c>
      <c r="AQ7" s="99">
        <f>'Income Statement'!AV419</f>
        <v>2375</v>
      </c>
      <c r="AR7" s="99">
        <f>'Income Statement'!AW419</f>
        <v>2335</v>
      </c>
      <c r="AS7" s="99">
        <f>'Income Statement'!AX419</f>
        <v>2333</v>
      </c>
      <c r="AT7" s="99">
        <f>'Income Statement'!AY419</f>
        <v>2376</v>
      </c>
      <c r="AU7" s="99">
        <f>'Income Statement'!BA419</f>
        <v>2237</v>
      </c>
      <c r="AV7" s="99">
        <f>'Income Statement'!BB419</f>
        <v>2246</v>
      </c>
      <c r="AW7" s="99">
        <f>'Income Statement'!BC419</f>
        <v>2264</v>
      </c>
      <c r="AX7" s="99">
        <f>'Income Statement'!BD419</f>
        <v>2445</v>
      </c>
      <c r="AY7" s="99">
        <f>'Income Statement'!BF419</f>
        <v>2232</v>
      </c>
      <c r="AZ7" s="99">
        <f>'Income Statement'!BG419</f>
        <v>2206</v>
      </c>
      <c r="BA7" s="99">
        <f>'Income Statement'!BH419</f>
        <v>2285</v>
      </c>
      <c r="BB7" s="99">
        <f>'Income Statement'!BI419</f>
        <v>2590</v>
      </c>
      <c r="BC7" s="99">
        <f>'Income Statement'!BK419</f>
        <v>2341</v>
      </c>
      <c r="BD7" s="99">
        <f>'Income Statement'!BL419</f>
        <v>2151</v>
      </c>
      <c r="BE7" s="99">
        <f>'Income Statement'!BM419</f>
        <v>2213</v>
      </c>
      <c r="BF7" s="99">
        <f>'Income Statement'!BN419</f>
        <v>2261</v>
      </c>
      <c r="BG7" s="99">
        <f>'Income Statement'!BP419</f>
        <v>2240</v>
      </c>
      <c r="BH7" s="99">
        <f>'Income Statement'!BQ419</f>
        <v>2274</v>
      </c>
      <c r="BI7" s="99">
        <f>'Income Statement'!BR419</f>
        <v>2271</v>
      </c>
      <c r="BJ7" s="99">
        <f>'Income Statement'!BS419</f>
        <v>2456</v>
      </c>
      <c r="BK7" s="99">
        <f>'Income Statement'!BU419</f>
        <v>2406</v>
      </c>
      <c r="BL7" s="99">
        <f>'Income Statement'!BV419</f>
        <v>2424</v>
      </c>
      <c r="BM7" s="99">
        <f>'Income Statement'!BW419</f>
        <v>2405</v>
      </c>
      <c r="BN7" s="99">
        <f>'Income Statement'!BX419</f>
        <v>2554</v>
      </c>
      <c r="BO7" s="99">
        <f>'Income Statement'!BZ419</f>
        <v>2526</v>
      </c>
      <c r="BP7" s="99">
        <f>'Income Statement'!CA419</f>
        <v>2470</v>
      </c>
      <c r="BQ7" s="99">
        <f>'Income Statement'!CB419</f>
        <v>2442</v>
      </c>
      <c r="BR7" s="99">
        <f>'Income Statement'!CC419</f>
        <v>2742</v>
      </c>
      <c r="BT7" t="s">
        <v>678</v>
      </c>
      <c r="BV7" s="99">
        <f>'Income Statement'!Q419</f>
        <v>8869</v>
      </c>
      <c r="BW7" s="99">
        <f>'Income Statement'!V419</f>
        <v>8783</v>
      </c>
      <c r="BX7" s="99">
        <f>'Income Statement'!AA419</f>
        <v>8880</v>
      </c>
      <c r="BY7" s="99">
        <f>'Income Statement'!AF419</f>
        <v>9028.3719999999994</v>
      </c>
      <c r="BZ7" s="99">
        <f>'Income Statement'!AK419</f>
        <v>8404</v>
      </c>
      <c r="CA7" s="99">
        <f>'Income Statement'!AP419</f>
        <v>8601</v>
      </c>
      <c r="CB7" s="99">
        <f>'Income Statement'!AU419</f>
        <v>8612</v>
      </c>
      <c r="CC7" s="99">
        <f>'Income Statement'!AZ419</f>
        <v>9419</v>
      </c>
      <c r="CD7" s="99">
        <f>'Income Statement'!BE419</f>
        <v>9192</v>
      </c>
      <c r="CE7" s="99">
        <f>'Income Statement'!BJ419</f>
        <v>9313</v>
      </c>
      <c r="CF7" s="99">
        <f>'Income Statement'!BO419</f>
        <v>8966</v>
      </c>
      <c r="CG7" s="99">
        <f>'Income Statement'!BT419</f>
        <v>9241</v>
      </c>
      <c r="CH7" s="99">
        <f>'Income Statement'!BY419</f>
        <v>9789</v>
      </c>
      <c r="CI7" s="99">
        <f>'Income Statement'!CD419</f>
        <v>10180</v>
      </c>
      <c r="CJ7" s="99">
        <f>'Income Statement'!CE419</f>
        <v>10628.828973949185</v>
      </c>
      <c r="CK7" s="99">
        <f>'Income Statement'!CF419</f>
        <v>10904.154172576371</v>
      </c>
      <c r="CL7" s="99">
        <f>'Income Statement'!CG419</f>
        <v>11209.68564380456</v>
      </c>
      <c r="CM7" s="99">
        <f>'Income Statement'!CH419</f>
        <v>11548.62078907947</v>
      </c>
      <c r="CN7" s="99">
        <f>'Income Statement'!CI419</f>
        <v>11918.346764710979</v>
      </c>
      <c r="CP7">
        <f>(CH7/CC7)^0.2-1</f>
        <v>7.7358443083193063E-3</v>
      </c>
      <c r="CQ7">
        <f>(CN7/CI7)^0.2-1</f>
        <v>3.20331507178373E-2</v>
      </c>
    </row>
    <row r="8" spans="1:95">
      <c r="A8" s="98" t="s">
        <v>507</v>
      </c>
      <c r="B8" s="98"/>
      <c r="C8" s="99"/>
      <c r="D8" s="99"/>
      <c r="E8" s="99"/>
      <c r="F8" s="99"/>
      <c r="G8" s="124">
        <f>'Income Statement'!C382</f>
        <v>0</v>
      </c>
      <c r="H8" s="124">
        <f>'Income Statement'!D382</f>
        <v>0</v>
      </c>
      <c r="I8" s="124">
        <f>'Income Statement'!E382</f>
        <v>0</v>
      </c>
      <c r="J8" s="124">
        <f>'Income Statement'!F382</f>
        <v>2078</v>
      </c>
      <c r="K8" s="124">
        <f>'Income Statement'!H382</f>
        <v>1954</v>
      </c>
      <c r="L8" s="124">
        <f>'Income Statement'!I382</f>
        <v>1962</v>
      </c>
      <c r="M8" s="124">
        <f>'Income Statement'!J382</f>
        <v>2013</v>
      </c>
      <c r="N8" s="124">
        <f>'Income Statement'!K382</f>
        <v>2075</v>
      </c>
      <c r="O8" s="124">
        <f>'Income Statement'!M382</f>
        <v>2023</v>
      </c>
      <c r="P8" s="124">
        <f>'Income Statement'!N382</f>
        <v>2041</v>
      </c>
      <c r="Q8" s="124">
        <f>'Income Statement'!O382</f>
        <v>2063</v>
      </c>
      <c r="R8" s="124">
        <f>'Income Statement'!P382</f>
        <v>2152</v>
      </c>
      <c r="S8" s="124">
        <f>'Income Statement'!R382</f>
        <v>2038</v>
      </c>
      <c r="T8" s="124">
        <f>'Income Statement'!S382</f>
        <v>2075</v>
      </c>
      <c r="U8" s="124">
        <f>'Income Statement'!T382</f>
        <v>2163</v>
      </c>
      <c r="V8" s="124">
        <f>'Income Statement'!U382</f>
        <v>2170</v>
      </c>
      <c r="W8" s="124">
        <f>'Income Statement'!W382</f>
        <v>2036</v>
      </c>
      <c r="X8" s="124">
        <f>'Income Statement'!X382</f>
        <v>2081</v>
      </c>
      <c r="Y8" s="124">
        <f>'Income Statement'!Y382</f>
        <v>2066</v>
      </c>
      <c r="Z8" s="124">
        <f>'Income Statement'!Z382</f>
        <v>2111</v>
      </c>
      <c r="AA8" s="124">
        <f>'Income Statement'!AB382</f>
        <v>2066</v>
      </c>
      <c r="AB8" s="124">
        <f>'Income Statement'!AC382</f>
        <v>2063</v>
      </c>
      <c r="AC8" s="124">
        <f>'Income Statement'!AD382</f>
        <v>2051</v>
      </c>
      <c r="AD8" s="124">
        <f>'Income Statement'!AE382</f>
        <v>2024</v>
      </c>
      <c r="AE8" s="124">
        <f>'Income Statement'!AG382</f>
        <v>1953</v>
      </c>
      <c r="AF8" s="124">
        <f>'Income Statement'!AH382</f>
        <v>1955</v>
      </c>
      <c r="AG8" s="124">
        <f>'Income Statement'!AI382</f>
        <v>1946</v>
      </c>
      <c r="AH8" s="124">
        <f>'Income Statement'!AJ382</f>
        <v>1988</v>
      </c>
      <c r="AI8" s="124">
        <f>'Income Statement'!AL382</f>
        <v>2019</v>
      </c>
      <c r="AJ8" s="124">
        <f>'Income Statement'!AM382</f>
        <v>1984</v>
      </c>
      <c r="AK8" s="124">
        <f>'Income Statement'!AN382</f>
        <v>2046</v>
      </c>
      <c r="AL8" s="124">
        <f>'Income Statement'!AO382</f>
        <v>2047</v>
      </c>
      <c r="AM8" s="124">
        <f>'Income Statement'!AQ382</f>
        <v>2005</v>
      </c>
      <c r="AN8" s="124">
        <f>'Income Statement'!AR382</f>
        <v>1934</v>
      </c>
      <c r="AO8" s="124">
        <f>'Income Statement'!AS382</f>
        <v>1982</v>
      </c>
      <c r="AP8" s="124">
        <f>'Income Statement'!AT382</f>
        <v>2028</v>
      </c>
      <c r="AQ8" s="99">
        <f>'Income Statement'!AV416</f>
        <v>2076</v>
      </c>
      <c r="AR8" s="99">
        <f>'Income Statement'!AW416</f>
        <v>2069</v>
      </c>
      <c r="AS8" s="99">
        <f>'Income Statement'!AX416</f>
        <v>2090</v>
      </c>
      <c r="AT8" s="99">
        <f>'Income Statement'!AY416</f>
        <v>2036</v>
      </c>
      <c r="AU8" s="99">
        <f>'Income Statement'!BA416</f>
        <v>1980</v>
      </c>
      <c r="AV8" s="99">
        <f>'Income Statement'!BB416</f>
        <v>2013</v>
      </c>
      <c r="AW8" s="99">
        <f>'Income Statement'!BC416</f>
        <v>2027</v>
      </c>
      <c r="AX8" s="99">
        <f>'Income Statement'!BD416</f>
        <v>2048</v>
      </c>
      <c r="AY8" s="99">
        <f>'Income Statement'!BF416</f>
        <v>1947</v>
      </c>
      <c r="AZ8" s="99">
        <f>'Income Statement'!BG416</f>
        <v>1918</v>
      </c>
      <c r="BA8" s="99">
        <f>'Income Statement'!BH416</f>
        <v>1940</v>
      </c>
      <c r="BB8" s="99">
        <f>'Income Statement'!BI416</f>
        <v>1992</v>
      </c>
      <c r="BC8" s="99">
        <f>'Income Statement'!BK416</f>
        <v>1940</v>
      </c>
      <c r="BD8" s="99">
        <f>'Income Statement'!BL416</f>
        <v>1900</v>
      </c>
      <c r="BE8" s="99">
        <f>'Income Statement'!BM416</f>
        <v>1940</v>
      </c>
      <c r="BF8" s="99">
        <f>'Income Statement'!BN416</f>
        <v>1945</v>
      </c>
      <c r="BG8" s="99">
        <f>'Income Statement'!BP416</f>
        <v>1971</v>
      </c>
      <c r="BH8" s="99">
        <f>'Income Statement'!BQ416</f>
        <v>1997</v>
      </c>
      <c r="BI8" s="99">
        <f>'Income Statement'!BR416</f>
        <v>2033</v>
      </c>
      <c r="BJ8" s="99">
        <f>'Income Statement'!BS416</f>
        <v>2016</v>
      </c>
      <c r="BK8" s="99">
        <f>'Income Statement'!BU416</f>
        <v>2030</v>
      </c>
      <c r="BL8" s="99">
        <f>'Income Statement'!BV416</f>
        <v>2084</v>
      </c>
      <c r="BM8" s="99">
        <f>'Income Statement'!BW416</f>
        <v>2108</v>
      </c>
      <c r="BN8" s="99">
        <f>'Income Statement'!BX416</f>
        <v>2114</v>
      </c>
      <c r="BO8" s="99">
        <f>'Income Statement'!BZ416</f>
        <v>2112</v>
      </c>
      <c r="BP8" s="99">
        <f>'Income Statement'!CA416</f>
        <v>2113</v>
      </c>
      <c r="BQ8" s="99">
        <f>'Income Statement'!CB416</f>
        <v>2145</v>
      </c>
      <c r="BR8" s="99">
        <f>'Income Statement'!CC416</f>
        <v>2202</v>
      </c>
      <c r="BS8" t="s">
        <v>690</v>
      </c>
      <c r="BV8" s="124">
        <f>'Income Statement'!Q416</f>
        <v>0</v>
      </c>
      <c r="BW8" s="124">
        <f>'Income Statement'!V416</f>
        <v>0</v>
      </c>
      <c r="BX8" s="124">
        <f>'Income Statement'!AA416</f>
        <v>8538</v>
      </c>
      <c r="BY8" s="124">
        <f>'Income Statement'!AF416</f>
        <v>2143</v>
      </c>
      <c r="BZ8" s="124">
        <f>'Income Statement'!AK416</f>
        <v>8214</v>
      </c>
      <c r="CA8" s="124">
        <f>'Income Statement'!AP416</f>
        <v>8520</v>
      </c>
      <c r="CB8" s="124">
        <f>'Income Statement'!AU416</f>
        <v>8455</v>
      </c>
      <c r="CC8" s="124">
        <f>'Income Statement'!AZ376+'Income Statement'!AZ385+'Income Statement'!AZ388</f>
        <v>8295</v>
      </c>
      <c r="CD8" s="124">
        <f>'Income Statement'!BE416</f>
        <v>8068</v>
      </c>
      <c r="CE8" s="124">
        <f>'Income Statement'!BJ416</f>
        <v>7797</v>
      </c>
      <c r="CF8" s="124">
        <f>'Income Statement'!BO416</f>
        <v>7725</v>
      </c>
      <c r="CG8" s="124">
        <f>'Income Statement'!BT416</f>
        <v>8017</v>
      </c>
      <c r="CH8" s="124">
        <f>'Income Statement'!BY416</f>
        <v>8336</v>
      </c>
      <c r="CI8" s="124">
        <f>'Income Statement'!CD416</f>
        <v>8572</v>
      </c>
      <c r="CJ8" s="124">
        <f>'Income Statement'!CE416</f>
        <v>8875.3896274259423</v>
      </c>
      <c r="CK8" s="124">
        <f>'Income Statement'!CF416</f>
        <v>9166.2852194545703</v>
      </c>
      <c r="CL8" s="124">
        <f>'Income Statement'!CG416</f>
        <v>9453.9064472295577</v>
      </c>
      <c r="CM8" s="124">
        <f>'Income Statement'!CH416</f>
        <v>9775.722393658667</v>
      </c>
      <c r="CN8" s="124">
        <f>'Income Statement'!CI416</f>
        <v>10129.040073373551</v>
      </c>
    </row>
    <row r="9" spans="1:95">
      <c r="A9" s="98" t="s">
        <v>2</v>
      </c>
      <c r="B9" s="98"/>
      <c r="C9" s="99"/>
      <c r="D9" s="99"/>
      <c r="E9" s="99"/>
      <c r="F9" s="99"/>
      <c r="G9" s="99">
        <f>'Income Statement'!C430</f>
        <v>0</v>
      </c>
      <c r="H9" s="99">
        <f>'Income Statement'!D430</f>
        <v>0</v>
      </c>
      <c r="I9" s="99">
        <f>'Income Statement'!E430</f>
        <v>1185</v>
      </c>
      <c r="J9" s="99">
        <f>'Income Statement'!F430</f>
        <v>1144</v>
      </c>
      <c r="K9" s="99">
        <f>'Income Statement'!H430</f>
        <v>1071</v>
      </c>
      <c r="L9" s="99">
        <f>'Income Statement'!I430</f>
        <v>1075.2475247524753</v>
      </c>
      <c r="M9" s="99">
        <f>'Income Statement'!J430</f>
        <v>1086</v>
      </c>
      <c r="N9" s="99">
        <f>'Income Statement'!K430</f>
        <v>1106</v>
      </c>
      <c r="O9" s="99">
        <f>'Income Statement'!M430</f>
        <v>1082</v>
      </c>
      <c r="P9" s="99">
        <f>'Income Statement'!N430</f>
        <v>1028</v>
      </c>
      <c r="Q9" s="99">
        <f>'Income Statement'!O430</f>
        <v>1140</v>
      </c>
      <c r="R9" s="99">
        <f>'Income Statement'!P430</f>
        <v>1166</v>
      </c>
      <c r="S9" s="99">
        <f>'Income Statement'!R430</f>
        <v>1090</v>
      </c>
      <c r="T9" s="99">
        <f>'Income Statement'!S430</f>
        <v>1106</v>
      </c>
      <c r="U9" s="99">
        <f>'Income Statement'!T430</f>
        <v>1123</v>
      </c>
      <c r="V9" s="99">
        <f>'Income Statement'!U430</f>
        <v>1104</v>
      </c>
      <c r="W9" s="99">
        <f>'Income Statement'!W430</f>
        <v>1133</v>
      </c>
      <c r="X9" s="99">
        <f>'Income Statement'!X430</f>
        <v>1106</v>
      </c>
      <c r="Y9" s="99">
        <f>'Income Statement'!Y430</f>
        <v>1055</v>
      </c>
      <c r="Z9" s="99">
        <f>'Income Statement'!Z430</f>
        <v>1065</v>
      </c>
      <c r="AA9" s="99">
        <f>'Income Statement'!AB430</f>
        <v>1122</v>
      </c>
      <c r="AB9" s="99">
        <f>'Income Statement'!AC430</f>
        <v>1165</v>
      </c>
      <c r="AC9" s="99">
        <f>'Income Statement'!AD430</f>
        <v>1154</v>
      </c>
      <c r="AD9" s="99">
        <f>'Income Statement'!AE430</f>
        <v>1081</v>
      </c>
      <c r="AE9" s="99">
        <f>'Income Statement'!AG430</f>
        <v>707.74600000000009</v>
      </c>
      <c r="AF9" s="99">
        <f>'Income Statement'!AH430</f>
        <v>651.66600000000005</v>
      </c>
      <c r="AG9" s="99">
        <f>'Income Statement'!AI430</f>
        <v>652.54</v>
      </c>
      <c r="AH9" s="99">
        <f>'Income Statement'!AJ430</f>
        <v>696.34400000000005</v>
      </c>
      <c r="AI9" s="99">
        <f>'Income Statement'!AL430</f>
        <v>713.46800000000007</v>
      </c>
      <c r="AJ9" s="99">
        <f>'Income Statement'!AM430</f>
        <v>649.88</v>
      </c>
      <c r="AK9" s="99">
        <f>'Income Statement'!AN430</f>
        <v>689</v>
      </c>
      <c r="AL9" s="99">
        <f>'Income Statement'!AO430</f>
        <v>676</v>
      </c>
      <c r="AM9" s="99">
        <f>'Income Statement'!AQ430</f>
        <v>1161</v>
      </c>
      <c r="AN9" s="99">
        <f>'Income Statement'!AR430</f>
        <v>1010</v>
      </c>
      <c r="AO9" s="99">
        <f>'Income Statement'!AS430</f>
        <v>1144</v>
      </c>
      <c r="AP9" s="99">
        <f>'Income Statement'!AT430</f>
        <v>1187</v>
      </c>
      <c r="AQ9" s="99">
        <f>'Income Statement'!AV430</f>
        <v>1024</v>
      </c>
      <c r="AR9" s="99">
        <f>'Income Statement'!AW430</f>
        <v>1006</v>
      </c>
      <c r="AS9" s="99">
        <f>'Income Statement'!AX430</f>
        <v>1119</v>
      </c>
      <c r="AT9" s="99">
        <f>'Income Statement'!AY430</f>
        <v>1046</v>
      </c>
      <c r="AU9" s="99">
        <f>'Income Statement'!BA430</f>
        <v>1020</v>
      </c>
      <c r="AV9" s="99">
        <f>'Income Statement'!BB430</f>
        <v>1007</v>
      </c>
      <c r="AW9" s="99">
        <f>'Income Statement'!BC430</f>
        <v>1047</v>
      </c>
      <c r="AX9" s="99">
        <f>'Income Statement'!BD430</f>
        <v>769</v>
      </c>
      <c r="AY9" s="99">
        <f>'Income Statement'!BF430</f>
        <v>991</v>
      </c>
      <c r="AZ9" s="99">
        <f>'Income Statement'!BG430</f>
        <v>985</v>
      </c>
      <c r="BA9" s="99">
        <f>'Income Statement'!BH430</f>
        <v>1005</v>
      </c>
      <c r="BB9" s="99">
        <f>'Income Statement'!BI430</f>
        <v>945</v>
      </c>
      <c r="BC9" s="99">
        <f>'Income Statement'!BK430</f>
        <v>962</v>
      </c>
      <c r="BD9" s="99">
        <f>'Income Statement'!BL430</f>
        <v>946</v>
      </c>
      <c r="BE9" s="99">
        <f>'Income Statement'!BM430</f>
        <v>967</v>
      </c>
      <c r="BF9" s="99">
        <f>'Income Statement'!BN430</f>
        <v>939</v>
      </c>
      <c r="BG9" s="99">
        <f>'Income Statement'!BP430</f>
        <v>961</v>
      </c>
      <c r="BH9" s="99">
        <f>'Income Statement'!BQ430</f>
        <v>1006</v>
      </c>
      <c r="BI9" s="99">
        <f>'Income Statement'!BR430</f>
        <v>977</v>
      </c>
      <c r="BJ9" s="99">
        <f>'Income Statement'!BS430</f>
        <v>932</v>
      </c>
      <c r="BK9" s="99">
        <f>'Income Statement'!BU430</f>
        <v>927</v>
      </c>
      <c r="BL9" s="99">
        <f>'Income Statement'!BV430</f>
        <v>1012</v>
      </c>
      <c r="BM9" s="99">
        <f>'Income Statement'!BW430</f>
        <v>1004</v>
      </c>
      <c r="BN9" s="99">
        <f>'Income Statement'!BX430</f>
        <v>986</v>
      </c>
      <c r="BO9" s="99">
        <f>'Income Statement'!BZ430</f>
        <v>972</v>
      </c>
      <c r="BP9" s="99">
        <f>'Income Statement'!CA430</f>
        <v>1002</v>
      </c>
      <c r="BQ9" s="99">
        <f>'Income Statement'!CB430</f>
        <v>929</v>
      </c>
      <c r="BR9" s="99">
        <f>'Income Statement'!CC430</f>
        <v>1057</v>
      </c>
      <c r="BV9" s="99">
        <f>'Income Statement'!Q430</f>
        <v>4416</v>
      </c>
      <c r="BW9" s="99">
        <f>'Income Statement'!V430</f>
        <v>4423</v>
      </c>
      <c r="BX9" s="99">
        <f>'Income Statement'!AA430</f>
        <v>4359</v>
      </c>
      <c r="BY9" s="99">
        <f>'Income Statement'!AF430</f>
        <v>4522</v>
      </c>
      <c r="BZ9" s="99">
        <f>'Income Statement'!AK430</f>
        <v>4112.3305194230634</v>
      </c>
      <c r="CA9" s="99">
        <f>'Income Statement'!AP430</f>
        <v>4426</v>
      </c>
      <c r="CB9" s="99">
        <f>'Income Statement'!AU430</f>
        <v>4502</v>
      </c>
      <c r="CC9" s="99">
        <f>'Income Statement'!AZ430</f>
        <v>4195</v>
      </c>
      <c r="CD9" s="99">
        <f>'Income Statement'!BE430</f>
        <v>3843</v>
      </c>
      <c r="CE9" s="99">
        <f>'Income Statement'!BJ430</f>
        <v>3926</v>
      </c>
      <c r="CF9" s="99">
        <f>'Income Statement'!BO430</f>
        <v>3814</v>
      </c>
      <c r="CG9" s="99">
        <f>'Income Statement'!BT430</f>
        <v>3876</v>
      </c>
      <c r="CH9" s="99">
        <f>'Income Statement'!BY430</f>
        <v>3929</v>
      </c>
      <c r="CI9" s="99">
        <f>'Income Statement'!CD430</f>
        <v>3960</v>
      </c>
      <c r="CJ9" s="99">
        <f>'Income Statement'!CE430</f>
        <v>4171.0576269054345</v>
      </c>
      <c r="CK9" s="99">
        <f>'Income Statement'!CF430</f>
        <v>4296.5338349015092</v>
      </c>
      <c r="CL9" s="99">
        <f>'Income Statement'!CG430</f>
        <v>4436.3939792013425</v>
      </c>
      <c r="CM9" s="99">
        <f>'Income Statement'!CH430</f>
        <v>4589.6746823582716</v>
      </c>
      <c r="CN9" s="99">
        <f>'Income Statement'!CI430</f>
        <v>4755.1149503443366</v>
      </c>
    </row>
    <row r="10" spans="1:95">
      <c r="A10" s="98" t="s">
        <v>99</v>
      </c>
      <c r="B10" s="98"/>
      <c r="C10" s="99"/>
      <c r="D10" s="99"/>
      <c r="E10" s="99"/>
      <c r="F10" s="99"/>
      <c r="G10" s="99">
        <f>'Income Statement'!C457</f>
        <v>0</v>
      </c>
      <c r="H10" s="99">
        <f>'Income Statement'!D457</f>
        <v>0</v>
      </c>
      <c r="I10" s="99">
        <f>'Income Statement'!E457</f>
        <v>0</v>
      </c>
      <c r="J10" s="99">
        <f>'Income Statement'!F457</f>
        <v>0</v>
      </c>
      <c r="K10" s="99">
        <f>'Income Statement'!H457</f>
        <v>1045</v>
      </c>
      <c r="L10" s="99">
        <f>'Income Statement'!I457</f>
        <v>1075.2475247524753</v>
      </c>
      <c r="M10" s="99">
        <f>'Income Statement'!J457</f>
        <v>615</v>
      </c>
      <c r="N10" s="99">
        <f>'Income Statement'!K457</f>
        <v>588</v>
      </c>
      <c r="O10" s="99">
        <f>'Income Statement'!M457</f>
        <v>552</v>
      </c>
      <c r="P10" s="99">
        <f>'Income Statement'!N457</f>
        <v>532</v>
      </c>
      <c r="Q10" s="99">
        <f>'Income Statement'!O457</f>
        <v>601</v>
      </c>
      <c r="R10" s="99">
        <f>'Income Statement'!P457</f>
        <v>610</v>
      </c>
      <c r="S10" s="99">
        <f>'Income Statement'!R457</f>
        <v>540</v>
      </c>
      <c r="T10" s="99">
        <f>'Income Statement'!S457</f>
        <v>552</v>
      </c>
      <c r="U10" s="99">
        <f>'Income Statement'!T457</f>
        <v>538</v>
      </c>
      <c r="V10" s="99">
        <f>'Income Statement'!U457</f>
        <v>901</v>
      </c>
      <c r="W10" s="99">
        <f>'Income Statement'!W457</f>
        <v>573</v>
      </c>
      <c r="X10" s="99">
        <f>'Income Statement'!X457</f>
        <v>589</v>
      </c>
      <c r="Y10" s="99">
        <f>'Income Statement'!Y457</f>
        <v>501</v>
      </c>
      <c r="Z10" s="99">
        <f>'Income Statement'!Z457</f>
        <v>330</v>
      </c>
      <c r="AA10" s="99">
        <f>'Income Statement'!AB457</f>
        <v>483</v>
      </c>
      <c r="AB10" s="99">
        <f>'Income Statement'!AC457</f>
        <v>539</v>
      </c>
      <c r="AC10" s="99">
        <f>'Income Statement'!AD457</f>
        <v>576</v>
      </c>
      <c r="AD10" s="99">
        <f>'Income Statement'!AE457</f>
        <v>505</v>
      </c>
      <c r="AE10" s="99">
        <f>'Income Statement'!AG457</f>
        <v>116.74600000000009</v>
      </c>
      <c r="AF10" s="99">
        <f>'Income Statement'!AH457</f>
        <v>55.897354642313616</v>
      </c>
      <c r="AG10" s="99">
        <f>'Income Statement'!AI457</f>
        <v>33.539999999999964</v>
      </c>
      <c r="AH10" s="99">
        <f>'Income Statement'!AJ457</f>
        <v>-2.6559999999999491</v>
      </c>
      <c r="AI10" s="99">
        <f>'Income Statement'!AL457</f>
        <v>135.46800000000007</v>
      </c>
      <c r="AJ10" s="99">
        <f>'Income Statement'!AM457</f>
        <v>47.879999999999995</v>
      </c>
      <c r="AK10" s="99">
        <f>'Income Statement'!AN457</f>
        <v>117</v>
      </c>
      <c r="AL10" s="99">
        <f>'Income Statement'!AO457</f>
        <v>34</v>
      </c>
      <c r="AM10" s="99">
        <f>'Income Statement'!AQ457</f>
        <v>484</v>
      </c>
      <c r="AN10" s="99">
        <f>'Income Statement'!AR457</f>
        <v>424</v>
      </c>
      <c r="AO10" s="99">
        <f>'Income Statement'!AS457</f>
        <v>519</v>
      </c>
      <c r="AP10" s="99">
        <f>'Income Statement'!AT457</f>
        <v>544</v>
      </c>
      <c r="AQ10" s="99">
        <f>'Income Statement'!AV457</f>
        <v>510</v>
      </c>
      <c r="AR10" s="99">
        <f>'Income Statement'!AW457</f>
        <v>482</v>
      </c>
      <c r="AS10" s="99">
        <f>'Income Statement'!AX457</f>
        <v>561</v>
      </c>
      <c r="AT10" s="99">
        <f>'Income Statement'!AY457</f>
        <v>508</v>
      </c>
      <c r="AU10" s="99">
        <f>'Income Statement'!BA457</f>
        <v>510</v>
      </c>
      <c r="AV10" s="99">
        <f>'Income Statement'!BB457</f>
        <v>478</v>
      </c>
      <c r="AW10" s="99">
        <f>'Income Statement'!BC457</f>
        <v>518</v>
      </c>
      <c r="AX10" s="99">
        <f>'Income Statement'!BD457</f>
        <v>259</v>
      </c>
      <c r="AY10" s="99">
        <f>'Income Statement'!BF457</f>
        <v>402</v>
      </c>
      <c r="AZ10" s="99">
        <f>'Income Statement'!BG457</f>
        <v>389</v>
      </c>
      <c r="BA10" s="99">
        <f>'Income Statement'!BH457</f>
        <v>360</v>
      </c>
      <c r="BB10" s="99">
        <f>'Income Statement'!BI457</f>
        <v>342</v>
      </c>
      <c r="BC10" s="99">
        <f>'Income Statement'!BK457</f>
        <v>359</v>
      </c>
      <c r="BD10" s="99">
        <f>'Income Statement'!BL457</f>
        <v>337</v>
      </c>
      <c r="BE10" s="99">
        <f>'Income Statement'!BM457</f>
        <v>363</v>
      </c>
      <c r="BF10" s="99">
        <f>'Income Statement'!BN457</f>
        <v>319</v>
      </c>
      <c r="BG10" s="99">
        <f>'Income Statement'!BP457</f>
        <v>334</v>
      </c>
      <c r="BH10" s="99">
        <f>'Income Statement'!BQ457</f>
        <v>360</v>
      </c>
      <c r="BI10" s="99">
        <f>'Income Statement'!BR457</f>
        <v>325</v>
      </c>
      <c r="BJ10" s="99">
        <f>'Income Statement'!BS457</f>
        <v>289</v>
      </c>
      <c r="BK10" s="99">
        <f>'Income Statement'!BU457</f>
        <v>289</v>
      </c>
      <c r="BL10" s="99">
        <f>'Income Statement'!BV457</f>
        <v>322</v>
      </c>
      <c r="BM10" s="99">
        <f>'Income Statement'!BW457</f>
        <v>308</v>
      </c>
      <c r="BN10" s="99">
        <f>'Income Statement'!BX457</f>
        <v>232</v>
      </c>
      <c r="BO10" s="99">
        <f>'Income Statement'!BZ457</f>
        <v>320</v>
      </c>
      <c r="BP10" s="99">
        <f>'Income Statement'!CA457</f>
        <v>329</v>
      </c>
      <c r="BQ10" s="99">
        <f>'Income Statement'!CB457</f>
        <v>287</v>
      </c>
      <c r="BR10" s="99">
        <f>'Income Statement'!CC457</f>
        <v>56</v>
      </c>
      <c r="BV10" s="99">
        <f>'Income Statement'!Q457</f>
        <v>2295</v>
      </c>
      <c r="BW10" s="99">
        <f>'Income Statement'!V457</f>
        <v>2531</v>
      </c>
      <c r="BX10" s="99">
        <f>'Income Statement'!AA457</f>
        <v>1993</v>
      </c>
      <c r="BY10" s="99">
        <f>'Income Statement'!AF457</f>
        <v>2103</v>
      </c>
      <c r="BZ10" s="99">
        <f>'Income Statement'!AK457</f>
        <v>1607.561874065377</v>
      </c>
      <c r="CA10" s="99">
        <f>'Income Statement'!AP457</f>
        <v>2064.1792126289793</v>
      </c>
      <c r="CB10" s="99">
        <f>'Income Statement'!AU457</f>
        <v>1971</v>
      </c>
      <c r="CC10" s="99">
        <f>'Income Statement'!AZ457</f>
        <v>2061</v>
      </c>
      <c r="CD10" s="99">
        <f>'Income Statement'!BE457</f>
        <v>1765</v>
      </c>
      <c r="CE10" s="99">
        <f>'Income Statement'!BJ457</f>
        <v>1527</v>
      </c>
      <c r="CF10" s="99">
        <f>'Income Statement'!BO457</f>
        <v>1410</v>
      </c>
      <c r="CG10" s="99">
        <f>'Income Statement'!BT457</f>
        <v>1216</v>
      </c>
      <c r="CH10" s="99">
        <f>'Income Statement'!BY457</f>
        <v>1151</v>
      </c>
      <c r="CI10" s="99">
        <f>'Income Statement'!CD457</f>
        <v>992</v>
      </c>
      <c r="CJ10" s="99">
        <f>'Income Statement'!CE457</f>
        <v>1425.0024450746369</v>
      </c>
      <c r="CK10" s="99">
        <f>'Income Statement'!CF457</f>
        <v>1606.4704732335476</v>
      </c>
      <c r="CL10" s="99">
        <f>'Income Statement'!CG457</f>
        <v>1771.3814389978606</v>
      </c>
      <c r="CM10" s="99">
        <f>'Income Statement'!CH457</f>
        <v>1926.4791862280626</v>
      </c>
      <c r="CN10" s="99">
        <f>'Income Statement'!CI457</f>
        <v>2075.2426822853809</v>
      </c>
    </row>
    <row r="11" spans="1:95">
      <c r="A11" s="98" t="s">
        <v>248</v>
      </c>
      <c r="B11" s="98"/>
      <c r="C11" s="99"/>
      <c r="D11" s="99"/>
      <c r="E11" s="99"/>
      <c r="F11" s="99"/>
      <c r="G11" s="99">
        <f>'Income Statement'!C48</f>
        <v>129.79999999999995</v>
      </c>
      <c r="H11" s="99">
        <f>'Income Statement'!D48</f>
        <v>171</v>
      </c>
      <c r="I11" s="99">
        <f>'Income Statement'!E48</f>
        <v>195</v>
      </c>
      <c r="J11" s="99">
        <f>'Income Statement'!F48</f>
        <v>401</v>
      </c>
      <c r="K11" s="99">
        <f>'Income Statement'!H48</f>
        <v>158</v>
      </c>
      <c r="L11" s="99">
        <f>'Income Statement'!I48</f>
        <v>199</v>
      </c>
      <c r="M11" s="99">
        <f>'Income Statement'!J48</f>
        <v>291</v>
      </c>
      <c r="N11" s="99">
        <f>'Income Statement'!K48</f>
        <v>596</v>
      </c>
      <c r="O11" s="99">
        <f>'Income Statement'!M48</f>
        <v>135</v>
      </c>
      <c r="P11" s="99">
        <f>'Income Statement'!N48</f>
        <v>307</v>
      </c>
      <c r="Q11" s="99">
        <f>'Income Statement'!O48</f>
        <v>489</v>
      </c>
      <c r="R11" s="99">
        <f>'Income Statement'!P48</f>
        <v>513</v>
      </c>
      <c r="S11" s="99">
        <f>'Income Statement'!R48</f>
        <v>257</v>
      </c>
      <c r="T11" s="99">
        <f>'Income Statement'!S48</f>
        <v>225</v>
      </c>
      <c r="U11" s="99">
        <f>'Income Statement'!T48</f>
        <v>225</v>
      </c>
      <c r="V11" s="99">
        <f>'Income Statement'!U48</f>
        <v>282</v>
      </c>
      <c r="W11" s="99">
        <f>'Income Statement'!W48</f>
        <v>78</v>
      </c>
      <c r="X11" s="99">
        <f>'Income Statement'!X48</f>
        <v>176</v>
      </c>
      <c r="Y11" s="99">
        <f>'Income Statement'!Y48</f>
        <v>145</v>
      </c>
      <c r="Z11" s="99">
        <f>'Income Statement'!Z48</f>
        <v>591</v>
      </c>
      <c r="AA11" s="99">
        <f>'Income Statement'!AB48</f>
        <v>191</v>
      </c>
      <c r="AB11" s="99">
        <f>'Income Statement'!AC48</f>
        <v>216</v>
      </c>
      <c r="AC11" s="99">
        <f>'Income Statement'!AD48</f>
        <v>141</v>
      </c>
      <c r="AD11" s="99">
        <f>'Income Statement'!AE48</f>
        <v>267</v>
      </c>
      <c r="AE11" s="99">
        <f>'Income Statement'!AG48</f>
        <v>118</v>
      </c>
      <c r="AF11" s="99">
        <f>'Income Statement'!AH48</f>
        <v>155</v>
      </c>
      <c r="AG11" s="99">
        <f>'Income Statement'!AI48</f>
        <v>337</v>
      </c>
      <c r="AH11" s="99">
        <f>'Income Statement'!AJ48</f>
        <v>530</v>
      </c>
      <c r="AI11" s="99">
        <f>'Income Statement'!AL48</f>
        <v>146</v>
      </c>
      <c r="AJ11" s="99">
        <f>'Income Statement'!AM48</f>
        <v>260</v>
      </c>
      <c r="AK11" s="99">
        <f>'Income Statement'!AN48</f>
        <v>359</v>
      </c>
      <c r="AL11" s="99">
        <f>'Income Statement'!AO48</f>
        <v>539</v>
      </c>
      <c r="AM11" s="99">
        <f>'Income Statement'!AQ48</f>
        <v>159</v>
      </c>
      <c r="AN11" s="99">
        <f>'Income Statement'!AR48</f>
        <v>333</v>
      </c>
      <c r="AO11" s="99">
        <f>'Income Statement'!AS48</f>
        <v>249</v>
      </c>
      <c r="AP11" s="99">
        <f>'Income Statement'!AT48</f>
        <v>448</v>
      </c>
      <c r="AQ11" s="99">
        <f>'Income Statement'!AV48</f>
        <v>162</v>
      </c>
      <c r="AR11" s="99">
        <f>'Income Statement'!AW48</f>
        <v>211</v>
      </c>
      <c r="AS11" s="99">
        <f>'Income Statement'!AX48</f>
        <v>273</v>
      </c>
      <c r="AT11" s="99">
        <f>'Income Statement'!AY48</f>
        <v>382</v>
      </c>
      <c r="AU11" s="99">
        <f>'Income Statement'!BA48</f>
        <v>107</v>
      </c>
      <c r="AV11" s="99">
        <f>'Income Statement'!BB48</f>
        <v>212</v>
      </c>
      <c r="AW11" s="99">
        <f>'Income Statement'!BC48</f>
        <v>195</v>
      </c>
      <c r="AX11" s="99">
        <f>'Income Statement'!BD48</f>
        <v>524</v>
      </c>
      <c r="AY11" s="99">
        <f>'Income Statement'!BF48</f>
        <v>127</v>
      </c>
      <c r="AZ11" s="99">
        <f>'Income Statement'!BG48</f>
        <v>267</v>
      </c>
      <c r="BA11" s="99">
        <f>'Income Statement'!BH48</f>
        <v>242</v>
      </c>
      <c r="BB11" s="99">
        <f>'Income Statement'!BI48</f>
        <v>577</v>
      </c>
      <c r="BC11" s="99">
        <f>'Income Statement'!BK48</f>
        <v>163</v>
      </c>
      <c r="BD11" s="99">
        <f>'Income Statement'!BL48</f>
        <v>259</v>
      </c>
      <c r="BE11" s="99">
        <f>'Income Statement'!BM48</f>
        <v>319</v>
      </c>
      <c r="BF11" s="99">
        <f>'Income Statement'!BN48</f>
        <v>504</v>
      </c>
      <c r="BG11" s="99">
        <f>'Income Statement'!BP48</f>
        <v>136</v>
      </c>
      <c r="BH11" s="99">
        <f>'Income Statement'!BQ48</f>
        <v>180</v>
      </c>
      <c r="BI11" s="99">
        <f>'Income Statement'!BR48</f>
        <v>274</v>
      </c>
      <c r="BJ11" s="99">
        <f>'Income Statement'!BS48</f>
        <v>597</v>
      </c>
      <c r="BK11" s="99">
        <f>'Income Statement'!BU48</f>
        <v>171</v>
      </c>
      <c r="BL11" s="99">
        <f>'Income Statement'!BV48</f>
        <v>241</v>
      </c>
      <c r="BM11" s="99">
        <f>'Income Statement'!BW48</f>
        <v>272</v>
      </c>
      <c r="BN11" s="99">
        <f>'Income Statement'!BX48</f>
        <v>430</v>
      </c>
      <c r="BO11" s="99">
        <f>'Income Statement'!BZ48</f>
        <v>130</v>
      </c>
      <c r="BP11" s="99">
        <f>'Income Statement'!CA48</f>
        <v>166</v>
      </c>
      <c r="BQ11" s="99">
        <f>'Income Statement'!CB48</f>
        <v>215</v>
      </c>
      <c r="BR11" s="99">
        <f>'Income Statement'!CC48</f>
        <v>302</v>
      </c>
      <c r="BV11" s="99">
        <f>'Income Statement'!Q48</f>
        <v>1444</v>
      </c>
      <c r="BW11" s="99">
        <f>'Income Statement'!V48</f>
        <v>989</v>
      </c>
      <c r="BX11" s="99">
        <f>'Income Statement'!AA48</f>
        <v>990</v>
      </c>
      <c r="BY11" s="99">
        <f>'Income Statement'!AF48</f>
        <v>815</v>
      </c>
      <c r="BZ11" s="99">
        <f>'Income Statement'!AK48</f>
        <v>1140</v>
      </c>
      <c r="CA11" s="99">
        <f>'Income Statement'!AP48</f>
        <v>1304</v>
      </c>
      <c r="CB11" s="99">
        <f>'Income Statement'!AU48</f>
        <v>1189</v>
      </c>
      <c r="CC11" s="99">
        <f>'Income Statement'!AZ48</f>
        <v>1028</v>
      </c>
      <c r="CD11" s="99">
        <f>'Income Statement'!BE48</f>
        <v>1038</v>
      </c>
      <c r="CE11" s="99">
        <f>'Income Statement'!BJ48</f>
        <v>1213</v>
      </c>
      <c r="CF11" s="99">
        <f>'Income Statement'!BO48</f>
        <v>1245</v>
      </c>
      <c r="CG11" s="99">
        <f>'Income Statement'!BT48</f>
        <v>1187</v>
      </c>
      <c r="CH11" s="99">
        <f>'Income Statement'!BY48</f>
        <v>1114</v>
      </c>
      <c r="CI11" s="99">
        <f>'Income Statement'!CD48</f>
        <v>813</v>
      </c>
      <c r="CJ11" s="99">
        <f>'Income Statement'!CE48</f>
        <v>1169.1711871344103</v>
      </c>
      <c r="CK11" s="99">
        <f>'Income Statement'!CF48</f>
        <v>1199.4569589834009</v>
      </c>
      <c r="CL11" s="99">
        <f>'Income Statement'!CG48</f>
        <v>1233.0654208185015</v>
      </c>
      <c r="CM11" s="99">
        <f>'Income Statement'!CH48</f>
        <v>1270.3482867987418</v>
      </c>
      <c r="CN11" s="99">
        <f>'Income Statement'!CI48</f>
        <v>1311.0181441182078</v>
      </c>
    </row>
    <row r="12" spans="1:95">
      <c r="A12" s="98" t="s">
        <v>508</v>
      </c>
      <c r="B12" s="98"/>
      <c r="C12" s="100"/>
      <c r="D12" s="100"/>
      <c r="E12" s="100"/>
      <c r="F12" s="100"/>
      <c r="G12" s="100" t="e">
        <f>'Income Statement'!C51</f>
        <v>#DIV/0!</v>
      </c>
      <c r="H12" s="100" t="e">
        <f>'Income Statement'!D51</f>
        <v>#DIV/0!</v>
      </c>
      <c r="I12" s="100" t="e">
        <f>'Income Statement'!E51</f>
        <v>#DIV/0!</v>
      </c>
      <c r="J12" s="100" t="e">
        <f>'Income Statement'!F51</f>
        <v>#DIV/0!</v>
      </c>
      <c r="K12" s="100" t="e">
        <f>'Income Statement'!H51</f>
        <v>#DIV/0!</v>
      </c>
      <c r="L12" s="100" t="e">
        <f>'Income Statement'!I51</f>
        <v>#DIV/0!</v>
      </c>
      <c r="M12" s="100">
        <f>'Income Statement'!J51</f>
        <v>1.0467625899280575</v>
      </c>
      <c r="N12" s="100">
        <f>'Income Statement'!K51</f>
        <v>2.1209964412811386</v>
      </c>
      <c r="O12" s="100">
        <f>'Income Statement'!M51</f>
        <v>0.5056179775280899</v>
      </c>
      <c r="P12" s="100">
        <f>'Income Statement'!N51</f>
        <v>1.2134387351778657</v>
      </c>
      <c r="Q12" s="100">
        <f>'Income Statement'!O51</f>
        <v>1.7846715328467153</v>
      </c>
      <c r="R12" s="100">
        <f>'Income Statement'!P51</f>
        <v>1.8387096774193548</v>
      </c>
      <c r="S12" s="100">
        <f>'Income Statement'!R51</f>
        <v>0.90175438596491231</v>
      </c>
      <c r="T12" s="100">
        <f>'Income Statement'!S51</f>
        <v>0.78125</v>
      </c>
      <c r="U12" s="100">
        <f>'Income Statement'!T51</f>
        <v>0.72815533980582525</v>
      </c>
      <c r="V12" s="100">
        <f>'Income Statement'!U51</f>
        <v>0.91262135922330101</v>
      </c>
      <c r="W12" s="100">
        <f>'Income Statement'!W51</f>
        <v>0.26440677966101694</v>
      </c>
      <c r="X12" s="100">
        <f>'Income Statement'!X51</f>
        <v>0.60899653979238755</v>
      </c>
      <c r="Y12" s="100">
        <f>'Income Statement'!Y51</f>
        <v>0.5017301038062284</v>
      </c>
      <c r="Z12" s="100">
        <f>'Income Statement'!Z51</f>
        <v>1.2085889570552146</v>
      </c>
      <c r="AA12" s="100">
        <f>'Income Statement'!AB51</f>
        <v>0.51621621621621616</v>
      </c>
      <c r="AB12" s="100">
        <f>'Income Statement'!AC51</f>
        <v>0.63529411764705879</v>
      </c>
      <c r="AC12" s="100">
        <f>'Income Statement'!AD51</f>
        <v>0.46534653465346537</v>
      </c>
      <c r="AD12" s="100">
        <f>'Income Statement'!AE51</f>
        <v>0.75637393767705385</v>
      </c>
      <c r="AE12" s="100">
        <f>'Income Statement'!AG51</f>
        <v>0.35542168674698793</v>
      </c>
      <c r="AF12" s="100">
        <f>'Income Statement'!AH51</f>
        <v>0.46268656716417911</v>
      </c>
      <c r="AG12" s="100">
        <f>'Income Statement'!AI51</f>
        <v>1.0337423312883436</v>
      </c>
      <c r="AH12" s="100">
        <f>'Income Statement'!AJ51</f>
        <v>1.2211981566820276</v>
      </c>
      <c r="AI12" s="100">
        <f>'Income Statement'!AL51</f>
        <v>0.60082304526748975</v>
      </c>
      <c r="AJ12" s="100">
        <f>'Income Statement'!AM51</f>
        <v>1.0743801652892562</v>
      </c>
      <c r="AK12" s="100">
        <f>'Income Statement'!AN51</f>
        <v>1.4534412955465588</v>
      </c>
      <c r="AL12" s="100">
        <f>'Income Statement'!AO51</f>
        <v>2.0810810810810811</v>
      </c>
      <c r="AM12" s="100">
        <f>'Income Statement'!AQ51</f>
        <v>0.58029197080291972</v>
      </c>
      <c r="AN12" s="100">
        <f>'Income Statement'!AR51</f>
        <v>1.2957198443579767</v>
      </c>
      <c r="AO12" s="100">
        <f>'Income Statement'!AS51</f>
        <v>0.93962264150943398</v>
      </c>
      <c r="AP12" s="100">
        <f>'Income Statement'!AT51</f>
        <v>1.75</v>
      </c>
      <c r="AQ12" s="100">
        <f>'Income Statement'!AV51</f>
        <v>0.67500000000000004</v>
      </c>
      <c r="AR12" s="100">
        <f>'Income Statement'!AW51</f>
        <v>0.88655462184873945</v>
      </c>
      <c r="AS12" s="100">
        <f>'Income Statement'!AX51</f>
        <v>1.0340909090909092</v>
      </c>
      <c r="AT12" s="100">
        <f>'Income Statement'!AY51</f>
        <v>1.3691756272401434</v>
      </c>
      <c r="AU12" s="100">
        <f>'Income Statement'!BA51</f>
        <v>0.4553191489361702</v>
      </c>
      <c r="AV12" s="100">
        <f>'Income Statement'!BB51</f>
        <v>0.79104477611940294</v>
      </c>
      <c r="AW12" s="100">
        <f>'Income Statement'!BC51</f>
        <v>0.75</v>
      </c>
      <c r="AX12" s="100">
        <f>'Income Statement'!BD51</f>
        <v>1.7180327868852459</v>
      </c>
      <c r="AY12" s="100">
        <f>'Income Statement'!BF51</f>
        <v>0.39318885448916407</v>
      </c>
      <c r="AZ12" s="100">
        <f>'Income Statement'!BG51</f>
        <v>0.82662538699690402</v>
      </c>
      <c r="BA12" s="100">
        <f>'Income Statement'!BH51</f>
        <v>0.64533333333333331</v>
      </c>
      <c r="BB12" s="100">
        <f>'Income Statement'!BI51</f>
        <v>1.6117318435754191</v>
      </c>
      <c r="BC12" s="100">
        <f>'Income Statement'!BK51</f>
        <v>0.45915492957746479</v>
      </c>
      <c r="BD12" s="100">
        <f>'Income Statement'!BL51</f>
        <v>0.72549019607843135</v>
      </c>
      <c r="BE12" s="100">
        <f>'Income Statement'!BM51</f>
        <v>0.94100294985250732</v>
      </c>
      <c r="BF12" s="100">
        <f>'Income Statement'!BN51</f>
        <v>1.3922651933701657</v>
      </c>
      <c r="BG12" s="100">
        <f>'Income Statement'!BP51</f>
        <v>0.35233160621761656</v>
      </c>
      <c r="BH12" s="100">
        <f>'Income Statement'!BQ51</f>
        <v>0.4580152671755725</v>
      </c>
      <c r="BI12" s="100">
        <f>'Income Statement'!BR51</f>
        <v>0.74254742547425479</v>
      </c>
      <c r="BJ12" s="100">
        <f>'Income Statement'!BS51</f>
        <v>1.6048387096774193</v>
      </c>
      <c r="BK12" s="100">
        <f>'Income Statement'!BU51</f>
        <v>0.48857142857142855</v>
      </c>
      <c r="BL12" s="100">
        <f>'Income Statement'!BV51</f>
        <v>0.70262390670553931</v>
      </c>
      <c r="BM12" s="100">
        <f>'Income Statement'!BW51</f>
        <v>0.79300291545189505</v>
      </c>
      <c r="BN12" s="100">
        <f>'Income Statement'!BX51</f>
        <v>1.1559139784946237</v>
      </c>
      <c r="BO12" s="100">
        <f>'Income Statement'!BZ51</f>
        <v>0.37249283667621774</v>
      </c>
      <c r="BP12" s="100">
        <f>'Income Statement'!CA51</f>
        <v>0.47976878612716761</v>
      </c>
      <c r="BQ12" s="100">
        <f>'Income Statement'!CB51</f>
        <v>0.61428571428571432</v>
      </c>
      <c r="BR12" s="100">
        <f>'Income Statement'!CC51</f>
        <v>0.62916666666666665</v>
      </c>
      <c r="BV12" s="100">
        <f>'Income Statement'!Q51</f>
        <v>1.3457595526561044</v>
      </c>
      <c r="BW12" s="100">
        <f>'Income Statement'!V51</f>
        <v>0.83039462636439965</v>
      </c>
      <c r="BX12" s="100">
        <f>'Income Statement'!AA51</f>
        <v>0.72687224669603523</v>
      </c>
      <c r="BY12" s="100">
        <f>'Income Statement'!AF51</f>
        <v>0.59663250366032206</v>
      </c>
      <c r="BZ12" s="100">
        <f>'Income Statement'!AK51</f>
        <v>0.79887876664330759</v>
      </c>
      <c r="CA12" s="100">
        <f>'Income Statement'!AP51</f>
        <v>1.3158425832492431</v>
      </c>
      <c r="CB12" s="100">
        <f>'Income Statement'!AU51</f>
        <v>1.1302281368821292</v>
      </c>
      <c r="CC12" s="100">
        <f>'Income Statement'!AZ51</f>
        <v>1.0068560235063664</v>
      </c>
      <c r="CD12" s="100">
        <f>'Income Statement'!BE51</f>
        <v>0.9719101123595506</v>
      </c>
      <c r="CE12" s="100">
        <f>'Income Statement'!BJ51</f>
        <v>0.87962291515591007</v>
      </c>
      <c r="CF12" s="100">
        <f>'Income Statement'!BO51</f>
        <v>0.88110403397027603</v>
      </c>
      <c r="CG12" s="100">
        <f>'Income Statement'!BT51</f>
        <v>0.78092105263157896</v>
      </c>
      <c r="CH12" s="100">
        <f>'Income Statement'!BY51</f>
        <v>0.79119318181818177</v>
      </c>
      <c r="CI12" s="100">
        <f>'Income Statement'!CD51</f>
        <v>0.53311475409836062</v>
      </c>
      <c r="CJ12" s="100">
        <f>'Income Statement'!CE51</f>
        <v>0.80298106402101432</v>
      </c>
      <c r="CK12" s="100">
        <f>'Income Statement'!CF51</f>
        <v>0.87014366673758647</v>
      </c>
      <c r="CL12" s="100">
        <f>'Income Statement'!CG51</f>
        <v>0.92708221502587018</v>
      </c>
      <c r="CM12" s="100">
        <f>'Income Statement'!CH51</f>
        <v>0.97432687163627696</v>
      </c>
      <c r="CN12" s="100">
        <f>'Income Statement'!CI51</f>
        <v>1.0125498065027174</v>
      </c>
    </row>
    <row r="13" spans="1:95">
      <c r="A13" s="98" t="s">
        <v>227</v>
      </c>
      <c r="B13" s="98"/>
      <c r="C13" s="99"/>
      <c r="D13" s="99"/>
      <c r="E13" s="99"/>
      <c r="F13" s="99"/>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V13" s="71"/>
      <c r="BW13" s="71"/>
      <c r="BX13" s="71"/>
      <c r="BY13" s="71"/>
      <c r="BZ13" s="71"/>
      <c r="CA13" s="71"/>
      <c r="CB13" s="71"/>
      <c r="CC13" s="71"/>
      <c r="CD13" s="71"/>
      <c r="CE13" s="71"/>
      <c r="CF13" s="71"/>
      <c r="CG13" s="71"/>
      <c r="CH13" s="71"/>
      <c r="CI13" s="71"/>
      <c r="CJ13" s="71"/>
      <c r="CK13" s="71"/>
      <c r="CL13" s="71"/>
      <c r="CM13" s="71"/>
      <c r="CN13" s="71"/>
    </row>
    <row r="14" spans="1:95">
      <c r="A14" s="98" t="s">
        <v>153</v>
      </c>
      <c r="B14" s="98"/>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V14" s="100"/>
      <c r="BW14" s="100"/>
      <c r="BX14" s="100"/>
      <c r="BY14" s="100"/>
      <c r="BZ14" s="100"/>
      <c r="CA14" s="100"/>
      <c r="CB14" s="100"/>
      <c r="CC14" s="100"/>
      <c r="CD14" s="100"/>
      <c r="CE14" s="100"/>
      <c r="CF14" s="100"/>
      <c r="CG14" s="100"/>
      <c r="CH14" s="100"/>
      <c r="CI14" s="100"/>
      <c r="CJ14" s="100"/>
      <c r="CK14" s="100"/>
      <c r="CL14" s="100"/>
      <c r="CM14" s="100"/>
      <c r="CN14" s="100"/>
    </row>
    <row r="15" spans="1:95">
      <c r="A15" s="72" t="s">
        <v>509</v>
      </c>
      <c r="B15" s="72"/>
      <c r="C15" s="101"/>
      <c r="D15" s="101"/>
      <c r="E15" s="101"/>
      <c r="F15" s="101"/>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V15" s="73"/>
      <c r="BW15" s="73"/>
      <c r="BX15" s="73"/>
      <c r="BY15" s="73"/>
      <c r="BZ15" s="73"/>
      <c r="CA15" s="73"/>
      <c r="CB15" s="73"/>
      <c r="CC15" s="73"/>
      <c r="CD15" s="73"/>
      <c r="CE15" s="73"/>
      <c r="CF15" s="73"/>
      <c r="CG15" s="73"/>
      <c r="CH15" s="73"/>
      <c r="CI15" s="73"/>
      <c r="CJ15" s="73"/>
      <c r="CK15" s="73"/>
      <c r="CL15" s="73"/>
      <c r="CM15" s="73"/>
      <c r="CN15" s="73"/>
    </row>
    <row r="16" spans="1:95">
      <c r="A16" s="102" t="s">
        <v>506</v>
      </c>
      <c r="B16" s="102"/>
      <c r="C16" s="103"/>
      <c r="D16" s="103"/>
      <c r="E16" s="103"/>
      <c r="F16" s="103"/>
      <c r="G16" s="103">
        <f t="shared" ref="G16:AO16" si="18">G7</f>
        <v>0</v>
      </c>
      <c r="H16" s="103">
        <f t="shared" si="18"/>
        <v>0</v>
      </c>
      <c r="I16" s="103">
        <f t="shared" si="18"/>
        <v>0</v>
      </c>
      <c r="J16" s="103">
        <f t="shared" si="18"/>
        <v>2204</v>
      </c>
      <c r="K16" s="103">
        <f t="shared" si="18"/>
        <v>2129</v>
      </c>
      <c r="L16" s="103">
        <f t="shared" si="18"/>
        <v>2116</v>
      </c>
      <c r="M16" s="103">
        <f t="shared" si="18"/>
        <v>2156</v>
      </c>
      <c r="N16" s="103">
        <f t="shared" si="18"/>
        <v>2211</v>
      </c>
      <c r="O16" s="103">
        <f t="shared" si="18"/>
        <v>2152</v>
      </c>
      <c r="P16" s="103">
        <f t="shared" si="18"/>
        <v>2191</v>
      </c>
      <c r="Q16" s="103">
        <f t="shared" si="18"/>
        <v>2216</v>
      </c>
      <c r="R16" s="103">
        <f t="shared" si="18"/>
        <v>2310</v>
      </c>
      <c r="S16" s="103">
        <f t="shared" si="18"/>
        <v>2133</v>
      </c>
      <c r="T16" s="103">
        <f t="shared" si="18"/>
        <v>2158</v>
      </c>
      <c r="U16" s="103">
        <f t="shared" si="18"/>
        <v>2244</v>
      </c>
      <c r="V16" s="103">
        <f t="shared" si="18"/>
        <v>2248</v>
      </c>
      <c r="W16" s="103">
        <f t="shared" si="18"/>
        <v>2135</v>
      </c>
      <c r="X16" s="103">
        <f t="shared" si="18"/>
        <v>2223</v>
      </c>
      <c r="Y16" s="103">
        <f t="shared" si="18"/>
        <v>2216</v>
      </c>
      <c r="Z16" s="103">
        <f t="shared" si="18"/>
        <v>2306</v>
      </c>
      <c r="AA16" s="103">
        <f t="shared" si="18"/>
        <v>2327</v>
      </c>
      <c r="AB16" s="103">
        <f t="shared" si="18"/>
        <v>2295</v>
      </c>
      <c r="AC16" s="103">
        <f t="shared" si="18"/>
        <v>2239</v>
      </c>
      <c r="AD16" s="103">
        <f t="shared" si="18"/>
        <v>2224</v>
      </c>
      <c r="AE16" s="103">
        <f t="shared" si="18"/>
        <v>2119</v>
      </c>
      <c r="AF16" s="103">
        <f t="shared" si="18"/>
        <v>2082</v>
      </c>
      <c r="AG16" s="103">
        <f t="shared" si="18"/>
        <v>2065</v>
      </c>
      <c r="AH16" s="103">
        <f t="shared" si="18"/>
        <v>2123</v>
      </c>
      <c r="AI16" s="103">
        <f t="shared" si="18"/>
        <v>2149</v>
      </c>
      <c r="AJ16" s="103">
        <f t="shared" si="18"/>
        <v>2110</v>
      </c>
      <c r="AK16" s="103">
        <f t="shared" si="18"/>
        <v>2166</v>
      </c>
      <c r="AL16" s="103">
        <f t="shared" si="18"/>
        <v>2176</v>
      </c>
      <c r="AM16" s="103">
        <f t="shared" si="18"/>
        <v>2140</v>
      </c>
      <c r="AN16" s="103">
        <f t="shared" si="18"/>
        <v>2102</v>
      </c>
      <c r="AO16" s="103">
        <f t="shared" si="18"/>
        <v>2156</v>
      </c>
      <c r="AP16" s="103">
        <f>AP7</f>
        <v>2214</v>
      </c>
      <c r="AQ16" s="103">
        <f>'Income Statement'!AV382</f>
        <v>2241</v>
      </c>
      <c r="AR16" s="103">
        <f>'Income Statement'!AW382</f>
        <v>2194</v>
      </c>
      <c r="AS16" s="103">
        <f>'Income Statement'!AX382</f>
        <v>2187</v>
      </c>
      <c r="AT16" s="103">
        <f>'Income Statement'!AY382</f>
        <v>2237</v>
      </c>
      <c r="AU16" s="103">
        <f>'Income Statement'!BA382</f>
        <v>2091</v>
      </c>
      <c r="AV16" s="103">
        <f>'Income Statement'!BB382</f>
        <v>2096</v>
      </c>
      <c r="AW16" s="103">
        <f>'Income Statement'!BC382</f>
        <v>2113</v>
      </c>
      <c r="AX16" s="103">
        <f>'Income Statement'!BD382</f>
        <v>2295</v>
      </c>
      <c r="AY16" s="103">
        <f>'Income Statement'!BF382</f>
        <v>2082</v>
      </c>
      <c r="AZ16" s="103">
        <f>'Income Statement'!BG382</f>
        <v>2051</v>
      </c>
      <c r="BA16" s="103">
        <f>'Income Statement'!BH382</f>
        <v>2118</v>
      </c>
      <c r="BB16" s="103">
        <f>'Income Statement'!BI382</f>
        <v>2370</v>
      </c>
      <c r="BC16" s="103">
        <f>'Income Statement'!BK382</f>
        <v>2099</v>
      </c>
      <c r="BD16" s="103">
        <f>'Income Statement'!BL382</f>
        <v>1911</v>
      </c>
      <c r="BE16" s="103">
        <f>'Income Statement'!BM382</f>
        <v>1946</v>
      </c>
      <c r="BF16" s="103">
        <f>'Income Statement'!BN382</f>
        <v>1979</v>
      </c>
      <c r="BG16" s="103">
        <f>'Income Statement'!BP382</f>
        <v>1933</v>
      </c>
      <c r="BH16" s="103">
        <f>'Income Statement'!BQ382</f>
        <v>1963</v>
      </c>
      <c r="BI16" s="103">
        <f>'Income Statement'!BR382</f>
        <v>1953</v>
      </c>
      <c r="BJ16" s="103">
        <f>'Income Statement'!BS382</f>
        <v>2114</v>
      </c>
      <c r="BK16" s="103">
        <f>'Income Statement'!BU382</f>
        <v>2074</v>
      </c>
      <c r="BL16" s="103">
        <f>'Income Statement'!BV382</f>
        <v>2088</v>
      </c>
      <c r="BM16" s="103">
        <f>'Income Statement'!BW382</f>
        <v>2065</v>
      </c>
      <c r="BN16" s="103">
        <f>'Income Statement'!BX382</f>
        <v>2233</v>
      </c>
      <c r="BO16" s="103">
        <f>'Income Statement'!BZ382</f>
        <v>2198</v>
      </c>
      <c r="BP16" s="103">
        <f>'Income Statement'!CA382</f>
        <v>2136</v>
      </c>
      <c r="BQ16" s="103">
        <f>'Income Statement'!CB382</f>
        <v>2103</v>
      </c>
      <c r="BR16" s="103">
        <f>'Income Statement'!CC382</f>
        <v>2381</v>
      </c>
      <c r="BV16" s="103"/>
      <c r="BW16" s="103"/>
      <c r="BX16" s="103"/>
      <c r="BY16" s="103"/>
      <c r="BZ16" s="103"/>
      <c r="CA16" s="103"/>
      <c r="CB16" s="103"/>
      <c r="CC16" s="103"/>
      <c r="CD16" s="103"/>
      <c r="CE16" s="103"/>
      <c r="CF16" s="103"/>
      <c r="CG16" s="103"/>
      <c r="CH16" s="103"/>
      <c r="CI16" s="103"/>
      <c r="CJ16" s="103"/>
      <c r="CK16" s="103"/>
      <c r="CL16" s="103"/>
      <c r="CM16" s="103"/>
      <c r="CN16" s="103"/>
    </row>
    <row r="17" spans="1:92">
      <c r="A17" s="509" t="s">
        <v>776</v>
      </c>
      <c r="B17" s="102"/>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V17" s="103"/>
      <c r="BW17" s="103"/>
      <c r="BX17" s="103"/>
      <c r="BY17" s="103"/>
      <c r="BZ17" s="103"/>
      <c r="CA17" s="103"/>
      <c r="CB17" s="103"/>
      <c r="CC17" s="103"/>
      <c r="CD17" s="103"/>
      <c r="CE17" s="103"/>
      <c r="CF17" s="103"/>
      <c r="CG17" s="103">
        <f>'Income Statement'!BT403</f>
        <v>2715</v>
      </c>
      <c r="CH17" s="103">
        <f>'Income Statement'!BY403</f>
        <v>2693</v>
      </c>
      <c r="CI17" s="103">
        <f>'Income Statement'!CD403</f>
        <v>2619</v>
      </c>
      <c r="CJ17" s="103">
        <f>'Income Statement'!CE403</f>
        <v>2641.5107472106656</v>
      </c>
      <c r="CK17" s="103">
        <f>'Income Statement'!CF403</f>
        <v>2669.6694696683185</v>
      </c>
      <c r="CL17" s="103">
        <f>'Income Statement'!CG403</f>
        <v>2687.6875996692647</v>
      </c>
      <c r="CM17" s="103">
        <f>'Income Statement'!CH403</f>
        <v>2715.8468618584125</v>
      </c>
      <c r="CN17" s="103">
        <f>'Income Statement'!CI403</f>
        <v>2754.8157915185375</v>
      </c>
    </row>
    <row r="18" spans="1:92">
      <c r="A18" s="509" t="s">
        <v>777</v>
      </c>
      <c r="B18" s="102"/>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V18" s="103"/>
      <c r="BW18" s="103"/>
      <c r="BX18" s="103"/>
      <c r="BY18" s="103"/>
      <c r="BZ18" s="103"/>
      <c r="CA18" s="103"/>
      <c r="CB18" s="103"/>
      <c r="CC18" s="103"/>
      <c r="CD18" s="103"/>
      <c r="CE18" s="103"/>
      <c r="CF18" s="103"/>
      <c r="CG18" s="103">
        <f>'Income Statement'!BT402</f>
        <v>3063</v>
      </c>
      <c r="CH18" s="103">
        <f>'Income Statement'!BY402</f>
        <v>3275</v>
      </c>
      <c r="CI18" s="103">
        <f>'Income Statement'!CD402</f>
        <v>3520</v>
      </c>
      <c r="CJ18" s="103">
        <f>'Income Statement'!CE402</f>
        <v>3626.5485456876986</v>
      </c>
      <c r="CK18" s="103">
        <f>'Income Statement'!CF402</f>
        <v>3692.7273435488019</v>
      </c>
      <c r="CL18" s="103">
        <f>'Income Statement'!CG402</f>
        <v>3764.4191434326108</v>
      </c>
      <c r="CM18" s="103">
        <f>'Income Statement'!CH402</f>
        <v>3851.5958299619369</v>
      </c>
      <c r="CN18" s="103">
        <f>'Income Statement'!CI402</f>
        <v>3955.7740923082774</v>
      </c>
    </row>
    <row r="19" spans="1:92">
      <c r="A19" s="102" t="s">
        <v>779</v>
      </c>
      <c r="B19" s="102"/>
      <c r="C19" s="103"/>
      <c r="D19" s="103"/>
      <c r="E19" s="103"/>
      <c r="F19" s="103"/>
      <c r="G19" s="103">
        <f t="shared" ref="G19:AO19" si="19">G8</f>
        <v>0</v>
      </c>
      <c r="H19" s="103">
        <f t="shared" si="19"/>
        <v>0</v>
      </c>
      <c r="I19" s="103">
        <f t="shared" si="19"/>
        <v>0</v>
      </c>
      <c r="J19" s="103">
        <f t="shared" si="19"/>
        <v>2078</v>
      </c>
      <c r="K19" s="103">
        <f t="shared" si="19"/>
        <v>1954</v>
      </c>
      <c r="L19" s="103">
        <f t="shared" si="19"/>
        <v>1962</v>
      </c>
      <c r="M19" s="103">
        <f t="shared" si="19"/>
        <v>2013</v>
      </c>
      <c r="N19" s="103">
        <f t="shared" si="19"/>
        <v>2075</v>
      </c>
      <c r="O19" s="103">
        <f t="shared" si="19"/>
        <v>2023</v>
      </c>
      <c r="P19" s="103">
        <f t="shared" si="19"/>
        <v>2041</v>
      </c>
      <c r="Q19" s="103">
        <f t="shared" si="19"/>
        <v>2063</v>
      </c>
      <c r="R19" s="103">
        <f t="shared" si="19"/>
        <v>2152</v>
      </c>
      <c r="S19" s="103">
        <f t="shared" si="19"/>
        <v>2038</v>
      </c>
      <c r="T19" s="103">
        <f t="shared" si="19"/>
        <v>2075</v>
      </c>
      <c r="U19" s="103">
        <f t="shared" si="19"/>
        <v>2163</v>
      </c>
      <c r="V19" s="103">
        <f t="shared" si="19"/>
        <v>2170</v>
      </c>
      <c r="W19" s="103">
        <f t="shared" si="19"/>
        <v>2036</v>
      </c>
      <c r="X19" s="103">
        <f t="shared" si="19"/>
        <v>2081</v>
      </c>
      <c r="Y19" s="103">
        <f t="shared" si="19"/>
        <v>2066</v>
      </c>
      <c r="Z19" s="103">
        <f t="shared" si="19"/>
        <v>2111</v>
      </c>
      <c r="AA19" s="103">
        <f t="shared" si="19"/>
        <v>2066</v>
      </c>
      <c r="AB19" s="103">
        <f t="shared" si="19"/>
        <v>2063</v>
      </c>
      <c r="AC19" s="103">
        <f t="shared" si="19"/>
        <v>2051</v>
      </c>
      <c r="AD19" s="103">
        <f t="shared" si="19"/>
        <v>2024</v>
      </c>
      <c r="AE19" s="103">
        <f t="shared" si="19"/>
        <v>1953</v>
      </c>
      <c r="AF19" s="103">
        <f t="shared" si="19"/>
        <v>1955</v>
      </c>
      <c r="AG19" s="103">
        <f t="shared" si="19"/>
        <v>1946</v>
      </c>
      <c r="AH19" s="103">
        <f t="shared" si="19"/>
        <v>1988</v>
      </c>
      <c r="AI19" s="103">
        <f t="shared" si="19"/>
        <v>2019</v>
      </c>
      <c r="AJ19" s="103">
        <f t="shared" si="19"/>
        <v>1984</v>
      </c>
      <c r="AK19" s="103">
        <f t="shared" si="19"/>
        <v>2046</v>
      </c>
      <c r="AL19" s="103">
        <f t="shared" si="19"/>
        <v>2047</v>
      </c>
      <c r="AM19" s="103">
        <f t="shared" si="19"/>
        <v>2005</v>
      </c>
      <c r="AN19" s="103">
        <f t="shared" si="19"/>
        <v>1934</v>
      </c>
      <c r="AO19" s="103">
        <f t="shared" si="19"/>
        <v>1982</v>
      </c>
      <c r="AP19" s="103">
        <f>AP8</f>
        <v>2028</v>
      </c>
      <c r="AQ19" s="103">
        <f>'Income Statement'!AV376</f>
        <v>1942</v>
      </c>
      <c r="AR19" s="103">
        <f>'Income Statement'!AW376</f>
        <v>1928</v>
      </c>
      <c r="AS19" s="103">
        <f>'Income Statement'!AX376</f>
        <v>1944</v>
      </c>
      <c r="AT19" s="103">
        <f>'Income Statement'!AY376</f>
        <v>1897</v>
      </c>
      <c r="AU19" s="103">
        <f>'Income Statement'!BA376</f>
        <v>1834</v>
      </c>
      <c r="AV19" s="103">
        <f>'Income Statement'!BB376</f>
        <v>1863</v>
      </c>
      <c r="AW19" s="103">
        <f>'Income Statement'!BC376</f>
        <v>1876</v>
      </c>
      <c r="AX19" s="103">
        <f>'Income Statement'!BD376</f>
        <v>1898</v>
      </c>
      <c r="AY19" s="103">
        <f>'Income Statement'!BF376</f>
        <v>1797</v>
      </c>
      <c r="AZ19" s="103">
        <f>'Income Statement'!BG376</f>
        <v>1763</v>
      </c>
      <c r="BA19" s="103">
        <f>'Income Statement'!BH376</f>
        <v>1773</v>
      </c>
      <c r="BB19" s="103">
        <f>'Income Statement'!BI376</f>
        <v>1772</v>
      </c>
      <c r="BC19" s="103">
        <f>'Income Statement'!BK376</f>
        <v>1698</v>
      </c>
      <c r="BD19" s="103">
        <f>'Income Statement'!BL376</f>
        <v>1660</v>
      </c>
      <c r="BE19" s="103">
        <f>'Income Statement'!BM376</f>
        <v>1673</v>
      </c>
      <c r="BF19" s="103">
        <f>'Income Statement'!BN376</f>
        <v>1663</v>
      </c>
      <c r="BG19" s="103">
        <f>'Income Statement'!BP376</f>
        <v>1664</v>
      </c>
      <c r="BH19" s="103">
        <f>'Income Statement'!BQ376</f>
        <v>1687</v>
      </c>
      <c r="BI19" s="103">
        <f>'Income Statement'!BR376</f>
        <v>1715</v>
      </c>
      <c r="BJ19" s="103">
        <f>'Income Statement'!BS376</f>
        <v>1674</v>
      </c>
      <c r="BK19" s="103">
        <f>'Income Statement'!BU376</f>
        <v>1698</v>
      </c>
      <c r="BL19" s="103">
        <f>'Income Statement'!BV376</f>
        <v>1748</v>
      </c>
      <c r="BM19" s="103">
        <f>'Income Statement'!BW376</f>
        <v>1768</v>
      </c>
      <c r="BN19" s="103">
        <f>'Income Statement'!BX376</f>
        <v>1793</v>
      </c>
      <c r="BO19" s="103">
        <f>'Income Statement'!BZ376</f>
        <v>1784</v>
      </c>
      <c r="BP19" s="103">
        <f>'Income Statement'!CA376</f>
        <v>1779</v>
      </c>
      <c r="BQ19" s="103">
        <f>'Income Statement'!CB376</f>
        <v>1806</v>
      </c>
      <c r="BR19" s="103">
        <f>'Income Statement'!CC376</f>
        <v>1841</v>
      </c>
      <c r="BS19" t="s">
        <v>693</v>
      </c>
      <c r="BV19" s="103">
        <f>'Income Statement'!Q252</f>
        <v>0</v>
      </c>
      <c r="BW19" s="103">
        <f>'Income Statement'!V252</f>
        <v>0</v>
      </c>
      <c r="BX19" s="103">
        <f>'Income Statement'!AA252</f>
        <v>0</v>
      </c>
      <c r="BY19" s="103">
        <f>'Income Statement'!AF252</f>
        <v>0</v>
      </c>
      <c r="BZ19" s="103">
        <f>'Income Statement'!AK252</f>
        <v>0</v>
      </c>
      <c r="CA19" s="103">
        <f>'Income Statement'!AP252</f>
        <v>0</v>
      </c>
      <c r="CB19" s="103">
        <f>'Income Statement'!AU252</f>
        <v>0</v>
      </c>
      <c r="CC19" s="103">
        <f>'Income Statement'!AZ252</f>
        <v>0</v>
      </c>
      <c r="CD19" s="103">
        <f>'Income Statement'!BE252</f>
        <v>0</v>
      </c>
      <c r="CE19" s="103">
        <f>'Income Statement'!BJ252</f>
        <v>0</v>
      </c>
      <c r="CF19" s="103">
        <f>'Income Statement'!BO252</f>
        <v>0</v>
      </c>
      <c r="CG19" s="103">
        <f>'Income Statement'!BT252</f>
        <v>5778</v>
      </c>
      <c r="CH19" s="103">
        <f>'Income Statement'!BY252</f>
        <v>5968</v>
      </c>
      <c r="CI19" s="103">
        <f>'Income Statement'!CD252</f>
        <v>6139</v>
      </c>
      <c r="CJ19" s="103">
        <f>'Income Statement'!CE252</f>
        <v>6271.5207212927671</v>
      </c>
      <c r="CK19" s="103">
        <f>'Income Statement'!CF252</f>
        <v>6367.1436964223685</v>
      </c>
      <c r="CL19" s="103">
        <f>'Income Statement'!CG252</f>
        <v>6459.0075604916037</v>
      </c>
      <c r="CM19" s="103">
        <f>'Income Statement'!CH252</f>
        <v>6576.5816025573895</v>
      </c>
      <c r="CN19" s="103">
        <f>'Income Statement'!CI252</f>
        <v>6722.0790929761079</v>
      </c>
    </row>
    <row r="20" spans="1:92">
      <c r="A20" s="102" t="s">
        <v>510</v>
      </c>
      <c r="B20" s="102"/>
      <c r="C20" s="103"/>
      <c r="D20" s="103"/>
      <c r="E20" s="103"/>
      <c r="F20" s="103"/>
      <c r="G20" s="103">
        <f>'Income Statement'!C376</f>
        <v>0</v>
      </c>
      <c r="H20" s="103">
        <f>'Income Statement'!D376</f>
        <v>0</v>
      </c>
      <c r="I20" s="103">
        <f>'Income Statement'!E376</f>
        <v>0</v>
      </c>
      <c r="J20" s="103">
        <f>'Income Statement'!F376</f>
        <v>1978.569</v>
      </c>
      <c r="K20" s="103">
        <f>'Income Statement'!H376</f>
        <v>1890.0083999999999</v>
      </c>
      <c r="L20" s="103">
        <f>'Income Statement'!I376</f>
        <v>1905.8592000000001</v>
      </c>
      <c r="M20" s="103">
        <f>'Income Statement'!J376</f>
        <v>1945.2552000000003</v>
      </c>
      <c r="N20" s="103">
        <f>'Income Statement'!K376</f>
        <v>1982.145</v>
      </c>
      <c r="O20" s="103">
        <f>'Income Statement'!M376</f>
        <v>1948.596</v>
      </c>
      <c r="P20" s="103">
        <f>'Income Statement'!N376</f>
        <v>1963.143</v>
      </c>
      <c r="Q20" s="103">
        <f>'Income Statement'!O376</f>
        <v>1947.4559999999999</v>
      </c>
      <c r="R20" s="103">
        <f>'Income Statement'!P376</f>
        <v>2019.7065</v>
      </c>
      <c r="S20" s="103">
        <f>'Income Statement'!R376</f>
        <v>1962.2294999999999</v>
      </c>
      <c r="T20" s="103">
        <f>'Income Statement'!S376</f>
        <v>1950.6735000000001</v>
      </c>
      <c r="U20" s="103">
        <f>'Income Statement'!T376</f>
        <v>2061.288</v>
      </c>
      <c r="V20" s="103">
        <f>'Income Statement'!U376</f>
        <v>2059.587</v>
      </c>
      <c r="W20" s="103">
        <f>'Income Statement'!W376</f>
        <v>2028</v>
      </c>
      <c r="X20" s="103">
        <f>'Income Statement'!X376</f>
        <v>2096.25</v>
      </c>
      <c r="Y20" s="103">
        <f>'Income Statement'!Y376</f>
        <v>1982.88</v>
      </c>
      <c r="Z20" s="103">
        <f>'Income Statement'!Z376</f>
        <v>2017.5119999999999</v>
      </c>
      <c r="AA20" s="103">
        <f>'Income Statement'!AB376</f>
        <v>1947.663</v>
      </c>
      <c r="AB20" s="103">
        <f>'Income Statement'!AC376</f>
        <v>1932.6210000000001</v>
      </c>
      <c r="AC20" s="103">
        <f>'Income Statement'!AD376</f>
        <v>1950.192</v>
      </c>
      <c r="AD20" s="103">
        <f>'Income Statement'!AE376</f>
        <v>1918.7909999999999</v>
      </c>
      <c r="AE20" s="103">
        <f>'Income Statement'!AG376</f>
        <v>1835.64</v>
      </c>
      <c r="AF20" s="103">
        <f>'Income Statement'!AH376</f>
        <v>1875.2249999999999</v>
      </c>
      <c r="AG20" s="103">
        <f>'Income Statement'!AI376</f>
        <v>1861.2</v>
      </c>
      <c r="AH20" s="103">
        <f>'Income Statement'!AJ376</f>
        <v>1899.6</v>
      </c>
      <c r="AI20" s="103">
        <f>'Income Statement'!AL376</f>
        <v>1884.4559999999999</v>
      </c>
      <c r="AJ20" s="103">
        <f>'Income Statement'!AM376</f>
        <v>1870.2945</v>
      </c>
      <c r="AK20" s="103">
        <f>'Income Statement'!AN376</f>
        <v>1938.8565000000001</v>
      </c>
      <c r="AL20" s="103">
        <f>'Income Statement'!AO376</f>
        <v>1935.3</v>
      </c>
      <c r="AM20" s="103">
        <f>'Income Statement'!AQ376</f>
        <v>1875.3</v>
      </c>
      <c r="AN20" s="103">
        <f>'Income Statement'!AR376</f>
        <v>1805.0864999999999</v>
      </c>
      <c r="AO20" s="103">
        <f>'Income Statement'!AS376</f>
        <v>1822.125</v>
      </c>
      <c r="AP20" s="103">
        <f>'Income Statement'!AT376</f>
        <v>1920.36</v>
      </c>
      <c r="AQ20" s="103">
        <f>'Income Statement'!AV376</f>
        <v>1942</v>
      </c>
      <c r="AR20" s="103">
        <f>'Income Statement'!AW376</f>
        <v>1928</v>
      </c>
      <c r="AS20" s="103">
        <f>'Income Statement'!AX376</f>
        <v>1944</v>
      </c>
      <c r="AT20" s="103">
        <f>'Income Statement'!AY376</f>
        <v>1897</v>
      </c>
      <c r="AU20" s="103">
        <f>'Income Statement'!BA376</f>
        <v>1834</v>
      </c>
      <c r="AV20" s="103">
        <f>'Income Statement'!BB376</f>
        <v>1863</v>
      </c>
      <c r="AW20" s="103">
        <f>'Income Statement'!BC376</f>
        <v>1876</v>
      </c>
      <c r="AX20" s="103">
        <f>'Income Statement'!BD376</f>
        <v>1898</v>
      </c>
      <c r="AY20" s="103">
        <f>'Income Statement'!BF376</f>
        <v>1797</v>
      </c>
      <c r="AZ20" s="103">
        <f>'Income Statement'!BG376</f>
        <v>1763</v>
      </c>
      <c r="BA20" s="103">
        <f>'Income Statement'!BH376</f>
        <v>1773</v>
      </c>
      <c r="BB20" s="103">
        <f>'Income Statement'!BI376</f>
        <v>1772</v>
      </c>
      <c r="BC20" s="103">
        <f>'Income Statement'!BK376</f>
        <v>1698</v>
      </c>
      <c r="BD20" s="103">
        <f>'Income Statement'!BL376</f>
        <v>1660</v>
      </c>
      <c r="BE20" s="103">
        <f>'Income Statement'!BM376</f>
        <v>1673</v>
      </c>
      <c r="BF20" s="103">
        <f>'Income Statement'!BN376</f>
        <v>1663</v>
      </c>
      <c r="BG20" s="103">
        <f>'Income Statement'!BP376</f>
        <v>1664</v>
      </c>
      <c r="BH20" s="103">
        <f>'Income Statement'!BQ376</f>
        <v>1687</v>
      </c>
      <c r="BI20" s="103">
        <f>'Income Statement'!BR376</f>
        <v>1715</v>
      </c>
      <c r="BJ20" s="103">
        <f>'Income Statement'!BS376</f>
        <v>1674</v>
      </c>
      <c r="BK20" s="103">
        <f>'Income Statement'!BU376</f>
        <v>1698</v>
      </c>
      <c r="BL20" s="103">
        <f>'Income Statement'!BV376</f>
        <v>1748</v>
      </c>
      <c r="BM20" s="103">
        <f>'Income Statement'!BW376</f>
        <v>1768</v>
      </c>
      <c r="BN20" s="103">
        <f>'Income Statement'!BX376</f>
        <v>1793</v>
      </c>
      <c r="BO20" s="103">
        <f>'Income Statement'!BZ376</f>
        <v>1784</v>
      </c>
      <c r="BP20" s="103">
        <f>'Income Statement'!CA376</f>
        <v>1779</v>
      </c>
      <c r="BQ20" s="103">
        <f>'Income Statement'!CB376</f>
        <v>1806</v>
      </c>
      <c r="BR20" s="103">
        <f>'Income Statement'!CC376</f>
        <v>1841</v>
      </c>
      <c r="BV20" s="103"/>
      <c r="BW20" s="103"/>
      <c r="BX20" s="103"/>
      <c r="BY20" s="103"/>
      <c r="BZ20" s="103"/>
      <c r="CA20" s="103"/>
      <c r="CB20" s="103"/>
      <c r="CC20" s="103"/>
      <c r="CD20" s="103"/>
      <c r="CE20" s="103"/>
      <c r="CF20" s="103"/>
      <c r="CG20" s="103"/>
      <c r="CH20" s="103"/>
      <c r="CI20" s="103"/>
      <c r="CJ20" s="103"/>
      <c r="CK20" s="103"/>
      <c r="CL20" s="103"/>
      <c r="CM20" s="103"/>
      <c r="CN20" s="103"/>
    </row>
    <row r="21" spans="1:92">
      <c r="A21" s="102" t="s">
        <v>2</v>
      </c>
      <c r="B21" s="102"/>
      <c r="C21" s="103"/>
      <c r="D21" s="103"/>
      <c r="E21" s="103"/>
      <c r="F21" s="103"/>
      <c r="G21" s="103">
        <f t="shared" ref="G21:BG21" si="20">G9</f>
        <v>0</v>
      </c>
      <c r="H21" s="103">
        <f t="shared" si="20"/>
        <v>0</v>
      </c>
      <c r="I21" s="103">
        <f t="shared" si="20"/>
        <v>1185</v>
      </c>
      <c r="J21" s="103">
        <f t="shared" si="20"/>
        <v>1144</v>
      </c>
      <c r="K21" s="103">
        <f t="shared" si="20"/>
        <v>1071</v>
      </c>
      <c r="L21" s="103">
        <f t="shared" si="20"/>
        <v>1075.2475247524753</v>
      </c>
      <c r="M21" s="103">
        <f t="shared" si="20"/>
        <v>1086</v>
      </c>
      <c r="N21" s="103">
        <f t="shared" si="20"/>
        <v>1106</v>
      </c>
      <c r="O21" s="103">
        <f t="shared" si="20"/>
        <v>1082</v>
      </c>
      <c r="P21" s="103">
        <f t="shared" si="20"/>
        <v>1028</v>
      </c>
      <c r="Q21" s="103">
        <f t="shared" si="20"/>
        <v>1140</v>
      </c>
      <c r="R21" s="103">
        <f t="shared" si="20"/>
        <v>1166</v>
      </c>
      <c r="S21" s="103">
        <f t="shared" si="20"/>
        <v>1090</v>
      </c>
      <c r="T21" s="103">
        <f t="shared" si="20"/>
        <v>1106</v>
      </c>
      <c r="U21" s="103">
        <f t="shared" si="20"/>
        <v>1123</v>
      </c>
      <c r="V21" s="103">
        <f t="shared" si="20"/>
        <v>1104</v>
      </c>
      <c r="W21" s="103">
        <f t="shared" si="20"/>
        <v>1133</v>
      </c>
      <c r="X21" s="103">
        <f t="shared" si="20"/>
        <v>1106</v>
      </c>
      <c r="Y21" s="103">
        <f t="shared" si="20"/>
        <v>1055</v>
      </c>
      <c r="Z21" s="103">
        <f t="shared" si="20"/>
        <v>1065</v>
      </c>
      <c r="AA21" s="103">
        <f t="shared" si="20"/>
        <v>1122</v>
      </c>
      <c r="AB21" s="103">
        <f t="shared" si="20"/>
        <v>1165</v>
      </c>
      <c r="AC21" s="103">
        <f t="shared" si="20"/>
        <v>1154</v>
      </c>
      <c r="AD21" s="103">
        <f t="shared" si="20"/>
        <v>1081</v>
      </c>
      <c r="AE21" s="103">
        <f t="shared" si="20"/>
        <v>707.74600000000009</v>
      </c>
      <c r="AF21" s="103">
        <f t="shared" si="20"/>
        <v>651.66600000000005</v>
      </c>
      <c r="AG21" s="103">
        <f t="shared" si="20"/>
        <v>652.54</v>
      </c>
      <c r="AH21" s="103">
        <f t="shared" si="20"/>
        <v>696.34400000000005</v>
      </c>
      <c r="AI21" s="103">
        <f t="shared" si="20"/>
        <v>713.46800000000007</v>
      </c>
      <c r="AJ21" s="103">
        <f t="shared" si="20"/>
        <v>649.88</v>
      </c>
      <c r="AK21" s="103">
        <f t="shared" si="20"/>
        <v>689</v>
      </c>
      <c r="AL21" s="103">
        <f t="shared" si="20"/>
        <v>676</v>
      </c>
      <c r="AM21" s="103">
        <f t="shared" si="20"/>
        <v>1161</v>
      </c>
      <c r="AN21" s="103">
        <f t="shared" si="20"/>
        <v>1010</v>
      </c>
      <c r="AO21" s="103">
        <f t="shared" si="20"/>
        <v>1144</v>
      </c>
      <c r="AP21" s="103">
        <f t="shared" ref="AP21:AT23" si="21">AP9</f>
        <v>1187</v>
      </c>
      <c r="AQ21" s="103">
        <f t="shared" si="21"/>
        <v>1024</v>
      </c>
      <c r="AR21" s="103">
        <f t="shared" si="21"/>
        <v>1006</v>
      </c>
      <c r="AS21" s="103">
        <f t="shared" si="21"/>
        <v>1119</v>
      </c>
      <c r="AT21" s="103">
        <f t="shared" si="21"/>
        <v>1046</v>
      </c>
      <c r="AU21" s="103">
        <f t="shared" si="20"/>
        <v>1020</v>
      </c>
      <c r="AV21" s="103">
        <f t="shared" ref="AV21:AX23" si="22">AV9</f>
        <v>1007</v>
      </c>
      <c r="AW21" s="103">
        <f t="shared" si="22"/>
        <v>1047</v>
      </c>
      <c r="AX21" s="103">
        <f t="shared" si="22"/>
        <v>769</v>
      </c>
      <c r="AY21" s="103">
        <f t="shared" si="20"/>
        <v>991</v>
      </c>
      <c r="AZ21" s="103">
        <f t="shared" ref="AZ21:BF23" si="23">AZ9</f>
        <v>985</v>
      </c>
      <c r="BA21" s="103">
        <f t="shared" si="23"/>
        <v>1005</v>
      </c>
      <c r="BB21" s="103">
        <f t="shared" si="23"/>
        <v>945</v>
      </c>
      <c r="BC21" s="103">
        <f t="shared" si="23"/>
        <v>962</v>
      </c>
      <c r="BD21" s="103">
        <f t="shared" si="23"/>
        <v>946</v>
      </c>
      <c r="BE21" s="103">
        <f t="shared" si="23"/>
        <v>967</v>
      </c>
      <c r="BF21" s="103">
        <f t="shared" si="23"/>
        <v>939</v>
      </c>
      <c r="BG21" s="103">
        <f t="shared" si="20"/>
        <v>961</v>
      </c>
      <c r="BH21" s="103">
        <f t="shared" ref="BH21:BL23" si="24">BH9</f>
        <v>1006</v>
      </c>
      <c r="BI21" s="103">
        <f t="shared" si="24"/>
        <v>977</v>
      </c>
      <c r="BJ21" s="103">
        <f t="shared" si="24"/>
        <v>932</v>
      </c>
      <c r="BK21" s="103">
        <f t="shared" si="24"/>
        <v>927</v>
      </c>
      <c r="BL21" s="103">
        <f t="shared" si="24"/>
        <v>1012</v>
      </c>
      <c r="BM21" s="103">
        <f t="shared" ref="BM21:BN21" si="25">BM9</f>
        <v>1004</v>
      </c>
      <c r="BN21" s="103">
        <f t="shared" si="25"/>
        <v>986</v>
      </c>
      <c r="BO21" s="103">
        <f t="shared" ref="BO21:BP21" si="26">BO9</f>
        <v>972</v>
      </c>
      <c r="BP21" s="103">
        <f t="shared" si="26"/>
        <v>1002</v>
      </c>
      <c r="BQ21" s="103">
        <f t="shared" ref="BQ21:BR21" si="27">BQ9</f>
        <v>929</v>
      </c>
      <c r="BR21" s="103">
        <f t="shared" si="27"/>
        <v>1057</v>
      </c>
      <c r="BV21" s="103"/>
      <c r="BW21" s="103"/>
      <c r="BX21" s="103"/>
      <c r="BY21" s="103"/>
      <c r="BZ21" s="103"/>
      <c r="CA21" s="103"/>
      <c r="CB21" s="103"/>
      <c r="CC21" s="103"/>
      <c r="CD21" s="103"/>
      <c r="CE21" s="103"/>
      <c r="CF21" s="103"/>
      <c r="CG21" s="103"/>
      <c r="CH21" s="103"/>
      <c r="CI21" s="103"/>
      <c r="CJ21" s="103"/>
      <c r="CK21" s="103"/>
      <c r="CL21" s="103"/>
      <c r="CM21" s="103"/>
      <c r="CN21" s="103"/>
    </row>
    <row r="22" spans="1:92">
      <c r="A22" s="102" t="s">
        <v>99</v>
      </c>
      <c r="B22" s="102"/>
      <c r="C22" s="103"/>
      <c r="D22" s="103"/>
      <c r="E22" s="103"/>
      <c r="F22" s="103"/>
      <c r="G22" s="74">
        <f t="shared" ref="G22:BG22" si="28">G10</f>
        <v>0</v>
      </c>
      <c r="H22" s="74">
        <f t="shared" si="28"/>
        <v>0</v>
      </c>
      <c r="I22" s="74">
        <f t="shared" si="28"/>
        <v>0</v>
      </c>
      <c r="J22" s="74">
        <f t="shared" si="28"/>
        <v>0</v>
      </c>
      <c r="K22" s="74">
        <f t="shared" si="28"/>
        <v>1045</v>
      </c>
      <c r="L22" s="74">
        <f t="shared" si="28"/>
        <v>1075.2475247524753</v>
      </c>
      <c r="M22" s="74">
        <f t="shared" si="28"/>
        <v>615</v>
      </c>
      <c r="N22" s="74">
        <f t="shared" si="28"/>
        <v>588</v>
      </c>
      <c r="O22" s="74">
        <f t="shared" si="28"/>
        <v>552</v>
      </c>
      <c r="P22" s="74">
        <f t="shared" si="28"/>
        <v>532</v>
      </c>
      <c r="Q22" s="74">
        <f t="shared" si="28"/>
        <v>601</v>
      </c>
      <c r="R22" s="74">
        <f t="shared" si="28"/>
        <v>610</v>
      </c>
      <c r="S22" s="74">
        <f t="shared" si="28"/>
        <v>540</v>
      </c>
      <c r="T22" s="74">
        <f t="shared" si="28"/>
        <v>552</v>
      </c>
      <c r="U22" s="74">
        <f t="shared" si="28"/>
        <v>538</v>
      </c>
      <c r="V22" s="74">
        <f t="shared" si="28"/>
        <v>901</v>
      </c>
      <c r="W22" s="74">
        <f t="shared" si="28"/>
        <v>573</v>
      </c>
      <c r="X22" s="74">
        <f t="shared" si="28"/>
        <v>589</v>
      </c>
      <c r="Y22" s="74">
        <f t="shared" si="28"/>
        <v>501</v>
      </c>
      <c r="Z22" s="74">
        <f t="shared" si="28"/>
        <v>330</v>
      </c>
      <c r="AA22" s="74">
        <f t="shared" si="28"/>
        <v>483</v>
      </c>
      <c r="AB22" s="74">
        <f t="shared" si="28"/>
        <v>539</v>
      </c>
      <c r="AC22" s="74">
        <f t="shared" si="28"/>
        <v>576</v>
      </c>
      <c r="AD22" s="74">
        <f t="shared" si="28"/>
        <v>505</v>
      </c>
      <c r="AE22" s="74">
        <f t="shared" si="28"/>
        <v>116.74600000000009</v>
      </c>
      <c r="AF22" s="74">
        <f t="shared" si="28"/>
        <v>55.897354642313616</v>
      </c>
      <c r="AG22" s="74">
        <f t="shared" si="28"/>
        <v>33.539999999999964</v>
      </c>
      <c r="AH22" s="74">
        <f t="shared" si="28"/>
        <v>-2.6559999999999491</v>
      </c>
      <c r="AI22" s="74">
        <f t="shared" si="28"/>
        <v>135.46800000000007</v>
      </c>
      <c r="AJ22" s="74">
        <f t="shared" si="28"/>
        <v>47.879999999999995</v>
      </c>
      <c r="AK22" s="74">
        <f t="shared" si="28"/>
        <v>117</v>
      </c>
      <c r="AL22" s="74">
        <f t="shared" si="28"/>
        <v>34</v>
      </c>
      <c r="AM22" s="74">
        <f t="shared" si="28"/>
        <v>484</v>
      </c>
      <c r="AN22" s="74">
        <f t="shared" si="28"/>
        <v>424</v>
      </c>
      <c r="AO22" s="74">
        <f t="shared" si="28"/>
        <v>519</v>
      </c>
      <c r="AP22" s="74">
        <f t="shared" si="21"/>
        <v>544</v>
      </c>
      <c r="AQ22" s="74">
        <f t="shared" si="21"/>
        <v>510</v>
      </c>
      <c r="AR22" s="74">
        <f t="shared" si="21"/>
        <v>482</v>
      </c>
      <c r="AS22" s="74">
        <f t="shared" si="21"/>
        <v>561</v>
      </c>
      <c r="AT22" s="74">
        <f t="shared" si="21"/>
        <v>508</v>
      </c>
      <c r="AU22" s="74">
        <f t="shared" si="28"/>
        <v>510</v>
      </c>
      <c r="AV22" s="74">
        <f t="shared" si="22"/>
        <v>478</v>
      </c>
      <c r="AW22" s="74">
        <f t="shared" si="22"/>
        <v>518</v>
      </c>
      <c r="AX22" s="74">
        <f t="shared" si="22"/>
        <v>259</v>
      </c>
      <c r="AY22" s="74">
        <f t="shared" si="28"/>
        <v>402</v>
      </c>
      <c r="AZ22" s="74">
        <f t="shared" si="23"/>
        <v>389</v>
      </c>
      <c r="BA22" s="74">
        <f t="shared" si="23"/>
        <v>360</v>
      </c>
      <c r="BB22" s="74">
        <f t="shared" si="23"/>
        <v>342</v>
      </c>
      <c r="BC22" s="74">
        <f t="shared" si="23"/>
        <v>359</v>
      </c>
      <c r="BD22" s="74">
        <f t="shared" si="23"/>
        <v>337</v>
      </c>
      <c r="BE22" s="74">
        <f t="shared" si="23"/>
        <v>363</v>
      </c>
      <c r="BF22" s="74">
        <f t="shared" si="23"/>
        <v>319</v>
      </c>
      <c r="BG22" s="74">
        <f t="shared" si="28"/>
        <v>334</v>
      </c>
      <c r="BH22" s="74">
        <f t="shared" si="24"/>
        <v>360</v>
      </c>
      <c r="BI22" s="74">
        <f t="shared" si="24"/>
        <v>325</v>
      </c>
      <c r="BJ22" s="74">
        <f t="shared" si="24"/>
        <v>289</v>
      </c>
      <c r="BK22" s="74">
        <f t="shared" si="24"/>
        <v>289</v>
      </c>
      <c r="BL22" s="74">
        <f t="shared" si="24"/>
        <v>322</v>
      </c>
      <c r="BM22" s="74">
        <f t="shared" ref="BM22:BN22" si="29">BM10</f>
        <v>308</v>
      </c>
      <c r="BN22" s="74">
        <f t="shared" si="29"/>
        <v>232</v>
      </c>
      <c r="BO22" s="74">
        <f t="shared" ref="BO22:BP22" si="30">BO10</f>
        <v>320</v>
      </c>
      <c r="BP22" s="74">
        <f t="shared" si="30"/>
        <v>329</v>
      </c>
      <c r="BQ22" s="74">
        <f t="shared" ref="BQ22:BR22" si="31">BQ10</f>
        <v>287</v>
      </c>
      <c r="BR22" s="74">
        <f t="shared" si="31"/>
        <v>56</v>
      </c>
      <c r="BV22" s="74"/>
      <c r="BW22" s="74"/>
      <c r="BX22" s="74"/>
      <c r="BY22" s="74"/>
      <c r="BZ22" s="74"/>
      <c r="CA22" s="74"/>
      <c r="CB22" s="74"/>
      <c r="CC22" s="74"/>
      <c r="CD22" s="74"/>
      <c r="CE22" s="74"/>
      <c r="CF22" s="74"/>
      <c r="CG22" s="74"/>
      <c r="CH22" s="74"/>
      <c r="CI22" s="74"/>
      <c r="CJ22" s="74"/>
      <c r="CK22" s="74"/>
      <c r="CL22" s="74"/>
      <c r="CM22" s="74"/>
      <c r="CN22" s="74"/>
    </row>
    <row r="23" spans="1:92">
      <c r="A23" s="102" t="s">
        <v>248</v>
      </c>
      <c r="B23" s="102"/>
      <c r="C23" s="103"/>
      <c r="D23" s="103"/>
      <c r="E23" s="103"/>
      <c r="F23" s="103"/>
      <c r="G23" s="103">
        <f t="shared" ref="G23:BG23" si="32">G11</f>
        <v>129.79999999999995</v>
      </c>
      <c r="H23" s="103">
        <f t="shared" si="32"/>
        <v>171</v>
      </c>
      <c r="I23" s="103">
        <f t="shared" si="32"/>
        <v>195</v>
      </c>
      <c r="J23" s="103">
        <f t="shared" si="32"/>
        <v>401</v>
      </c>
      <c r="K23" s="103">
        <f t="shared" si="32"/>
        <v>158</v>
      </c>
      <c r="L23" s="103">
        <f t="shared" si="32"/>
        <v>199</v>
      </c>
      <c r="M23" s="103">
        <f t="shared" si="32"/>
        <v>291</v>
      </c>
      <c r="N23" s="103">
        <f t="shared" si="32"/>
        <v>596</v>
      </c>
      <c r="O23" s="103">
        <f t="shared" si="32"/>
        <v>135</v>
      </c>
      <c r="P23" s="103">
        <f t="shared" si="32"/>
        <v>307</v>
      </c>
      <c r="Q23" s="103">
        <f t="shared" si="32"/>
        <v>489</v>
      </c>
      <c r="R23" s="103">
        <f t="shared" si="32"/>
        <v>513</v>
      </c>
      <c r="S23" s="103">
        <f t="shared" si="32"/>
        <v>257</v>
      </c>
      <c r="T23" s="103">
        <f t="shared" si="32"/>
        <v>225</v>
      </c>
      <c r="U23" s="103">
        <f t="shared" si="32"/>
        <v>225</v>
      </c>
      <c r="V23" s="103">
        <f t="shared" si="32"/>
        <v>282</v>
      </c>
      <c r="W23" s="103">
        <f t="shared" si="32"/>
        <v>78</v>
      </c>
      <c r="X23" s="103">
        <f t="shared" si="32"/>
        <v>176</v>
      </c>
      <c r="Y23" s="103">
        <f t="shared" si="32"/>
        <v>145</v>
      </c>
      <c r="Z23" s="103">
        <f t="shared" si="32"/>
        <v>591</v>
      </c>
      <c r="AA23" s="103">
        <f t="shared" si="32"/>
        <v>191</v>
      </c>
      <c r="AB23" s="103">
        <f t="shared" si="32"/>
        <v>216</v>
      </c>
      <c r="AC23" s="103">
        <f t="shared" si="32"/>
        <v>141</v>
      </c>
      <c r="AD23" s="103">
        <f t="shared" si="32"/>
        <v>267</v>
      </c>
      <c r="AE23" s="103">
        <f t="shared" si="32"/>
        <v>118</v>
      </c>
      <c r="AF23" s="103">
        <f t="shared" si="32"/>
        <v>155</v>
      </c>
      <c r="AG23" s="103">
        <f t="shared" si="32"/>
        <v>337</v>
      </c>
      <c r="AH23" s="103">
        <f t="shared" si="32"/>
        <v>530</v>
      </c>
      <c r="AI23" s="103">
        <f t="shared" si="32"/>
        <v>146</v>
      </c>
      <c r="AJ23" s="103">
        <f t="shared" si="32"/>
        <v>260</v>
      </c>
      <c r="AK23" s="103">
        <f t="shared" si="32"/>
        <v>359</v>
      </c>
      <c r="AL23" s="103">
        <f t="shared" si="32"/>
        <v>539</v>
      </c>
      <c r="AM23" s="103">
        <f t="shared" si="32"/>
        <v>159</v>
      </c>
      <c r="AN23" s="103">
        <f t="shared" si="32"/>
        <v>333</v>
      </c>
      <c r="AO23" s="103">
        <f t="shared" si="32"/>
        <v>249</v>
      </c>
      <c r="AP23" s="103">
        <f t="shared" si="21"/>
        <v>448</v>
      </c>
      <c r="AQ23" s="103">
        <f t="shared" si="21"/>
        <v>162</v>
      </c>
      <c r="AR23" s="103">
        <f t="shared" si="21"/>
        <v>211</v>
      </c>
      <c r="AS23" s="103">
        <f t="shared" si="21"/>
        <v>273</v>
      </c>
      <c r="AT23" s="103">
        <f t="shared" si="21"/>
        <v>382</v>
      </c>
      <c r="AU23" s="103">
        <f t="shared" si="32"/>
        <v>107</v>
      </c>
      <c r="AV23" s="103">
        <f t="shared" si="22"/>
        <v>212</v>
      </c>
      <c r="AW23" s="103">
        <f t="shared" si="22"/>
        <v>195</v>
      </c>
      <c r="AX23" s="103">
        <f t="shared" si="22"/>
        <v>524</v>
      </c>
      <c r="AY23" s="103">
        <f t="shared" si="32"/>
        <v>127</v>
      </c>
      <c r="AZ23" s="103">
        <f t="shared" si="23"/>
        <v>267</v>
      </c>
      <c r="BA23" s="103">
        <f t="shared" si="23"/>
        <v>242</v>
      </c>
      <c r="BB23" s="103">
        <f t="shared" si="23"/>
        <v>577</v>
      </c>
      <c r="BC23" s="103">
        <f t="shared" si="23"/>
        <v>163</v>
      </c>
      <c r="BD23" s="103">
        <f t="shared" si="23"/>
        <v>259</v>
      </c>
      <c r="BE23" s="103">
        <f t="shared" si="23"/>
        <v>319</v>
      </c>
      <c r="BF23" s="103">
        <f t="shared" si="23"/>
        <v>504</v>
      </c>
      <c r="BG23" s="103">
        <f t="shared" si="32"/>
        <v>136</v>
      </c>
      <c r="BH23" s="103">
        <f t="shared" si="24"/>
        <v>180</v>
      </c>
      <c r="BI23" s="103">
        <f t="shared" si="24"/>
        <v>274</v>
      </c>
      <c r="BJ23" s="103">
        <f t="shared" si="24"/>
        <v>597</v>
      </c>
      <c r="BK23" s="103">
        <f t="shared" si="24"/>
        <v>171</v>
      </c>
      <c r="BL23" s="103">
        <f t="shared" si="24"/>
        <v>241</v>
      </c>
      <c r="BM23" s="103">
        <f t="shared" ref="BM23:BN23" si="33">BM11</f>
        <v>272</v>
      </c>
      <c r="BN23" s="103">
        <f t="shared" si="33"/>
        <v>430</v>
      </c>
      <c r="BO23" s="103">
        <f t="shared" ref="BO23:BP23" si="34">BO11</f>
        <v>130</v>
      </c>
      <c r="BP23" s="103">
        <f t="shared" si="34"/>
        <v>166</v>
      </c>
      <c r="BQ23" s="103">
        <f t="shared" ref="BQ23:BR23" si="35">BQ11</f>
        <v>215</v>
      </c>
      <c r="BR23" s="103">
        <f t="shared" si="35"/>
        <v>302</v>
      </c>
      <c r="BV23" s="103"/>
      <c r="BW23" s="103"/>
      <c r="BX23" s="103"/>
      <c r="BY23" s="103"/>
      <c r="BZ23" s="103"/>
      <c r="CA23" s="103"/>
      <c r="CB23" s="103"/>
      <c r="CC23" s="103"/>
      <c r="CD23" s="103"/>
      <c r="CE23" s="103"/>
      <c r="CF23" s="103"/>
      <c r="CG23" s="103"/>
      <c r="CH23" s="103"/>
      <c r="CI23" s="103"/>
      <c r="CJ23" s="103"/>
      <c r="CK23" s="103"/>
      <c r="CL23" s="103"/>
      <c r="CM23" s="103"/>
      <c r="CN23" s="103"/>
    </row>
    <row r="24" spans="1:92">
      <c r="A24" s="102"/>
      <c r="B24" s="102"/>
      <c r="C24" s="103"/>
      <c r="D24" s="103"/>
      <c r="E24" s="103"/>
      <c r="F24" s="103"/>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V24" s="74"/>
      <c r="BW24" s="74"/>
      <c r="BX24" s="74"/>
      <c r="BY24" s="74"/>
      <c r="BZ24" s="74"/>
      <c r="CA24" s="74"/>
      <c r="CB24" s="74"/>
      <c r="CC24" s="74"/>
      <c r="CD24" s="74"/>
      <c r="CE24" s="74"/>
      <c r="CF24" s="74"/>
      <c r="CG24" s="74"/>
      <c r="CH24" s="74"/>
      <c r="CI24" s="74"/>
      <c r="CJ24" s="74"/>
      <c r="CK24" s="74"/>
      <c r="CL24" s="74"/>
      <c r="CM24" s="74"/>
      <c r="CN24" s="74"/>
    </row>
    <row r="25" spans="1:92">
      <c r="A25" s="92" t="s">
        <v>511</v>
      </c>
      <c r="B25" s="102"/>
      <c r="C25" s="103"/>
      <c r="D25" s="103"/>
      <c r="E25" s="103"/>
      <c r="F25" s="103"/>
      <c r="G25" s="103">
        <f>'Income Statement'!C122</f>
        <v>177</v>
      </c>
      <c r="H25" s="103">
        <f>'Income Statement'!D122</f>
        <v>187</v>
      </c>
      <c r="I25" s="103">
        <f>'Income Statement'!E122</f>
        <v>186</v>
      </c>
      <c r="J25" s="103">
        <f>'Income Statement'!F122</f>
        <v>177</v>
      </c>
      <c r="K25" s="103">
        <f>'Income Statement'!H122</f>
        <v>168</v>
      </c>
      <c r="L25" s="103">
        <f>'Income Statement'!I122</f>
        <v>175</v>
      </c>
      <c r="M25" s="103">
        <f>'Income Statement'!J122</f>
        <v>178</v>
      </c>
      <c r="N25" s="103">
        <f>'Income Statement'!K122</f>
        <v>181</v>
      </c>
      <c r="O25" s="103">
        <f>'Income Statement'!M122</f>
        <v>173</v>
      </c>
      <c r="P25" s="103">
        <f>'Income Statement'!N122</f>
        <v>173</v>
      </c>
      <c r="Q25" s="103">
        <f>'Income Statement'!O122</f>
        <v>172</v>
      </c>
      <c r="R25" s="103">
        <f>'Income Statement'!P122</f>
        <v>171</v>
      </c>
      <c r="S25" s="103">
        <f>'Income Statement'!R122</f>
        <v>180</v>
      </c>
      <c r="T25" s="103">
        <f>'Income Statement'!S122</f>
        <v>186</v>
      </c>
      <c r="U25" s="103">
        <f>'Income Statement'!T122</f>
        <v>185</v>
      </c>
      <c r="V25" s="103">
        <f>'Income Statement'!U122</f>
        <v>181</v>
      </c>
      <c r="W25" s="103">
        <f>'Income Statement'!W122</f>
        <v>175</v>
      </c>
      <c r="X25" s="103">
        <f>'Income Statement'!X122</f>
        <v>175</v>
      </c>
      <c r="Y25" s="103">
        <f>'Income Statement'!Y122</f>
        <v>160</v>
      </c>
      <c r="Z25" s="103">
        <f>'Income Statement'!Z122</f>
        <v>165</v>
      </c>
      <c r="AA25" s="103">
        <f>'Income Statement'!AB122</f>
        <v>160</v>
      </c>
      <c r="AB25" s="103">
        <f>'Income Statement'!AC122</f>
        <v>156</v>
      </c>
      <c r="AC25" s="103">
        <f>'Income Statement'!AD122</f>
        <v>153</v>
      </c>
      <c r="AD25" s="103">
        <f>'Income Statement'!AE122</f>
        <v>155</v>
      </c>
      <c r="AE25" s="103">
        <f>'Income Statement'!AG122</f>
        <v>154</v>
      </c>
      <c r="AF25" s="103">
        <f>'Income Statement'!AH122</f>
        <v>161</v>
      </c>
      <c r="AG25" s="103">
        <f>'Income Statement'!AI122</f>
        <v>165</v>
      </c>
      <c r="AH25" s="103">
        <f>'Income Statement'!AJ122</f>
        <v>168</v>
      </c>
      <c r="AI25" s="103">
        <f>'Income Statement'!AL122</f>
        <v>0</v>
      </c>
      <c r="AJ25" s="103">
        <f>'Income Statement'!AM122</f>
        <v>0</v>
      </c>
      <c r="AK25" s="103">
        <f>'Income Statement'!AN122</f>
        <v>0</v>
      </c>
      <c r="AL25" s="103">
        <f>'Income Statement'!AO122</f>
        <v>0</v>
      </c>
      <c r="AM25" s="103">
        <f>'Income Statement'!AQ122</f>
        <v>0</v>
      </c>
      <c r="AN25" s="103">
        <f>'Income Statement'!AR122</f>
        <v>0</v>
      </c>
      <c r="AO25" s="103">
        <f>'Income Statement'!AS122</f>
        <v>0</v>
      </c>
      <c r="AP25" s="103">
        <f>'Income Statement'!AT122</f>
        <v>0</v>
      </c>
      <c r="AQ25" s="103">
        <f>'Income Statement'!AV122</f>
        <v>0</v>
      </c>
      <c r="AR25" s="103">
        <f>'Income Statement'!AW122</f>
        <v>0</v>
      </c>
      <c r="AS25" s="103">
        <f>'Income Statement'!AX122</f>
        <v>0</v>
      </c>
      <c r="AT25" s="103">
        <f>'Income Statement'!AY122</f>
        <v>0</v>
      </c>
      <c r="AU25" s="103">
        <f>'Income Statement'!BA122</f>
        <v>0</v>
      </c>
      <c r="AV25" s="103">
        <f>'Income Statement'!BB122</f>
        <v>0</v>
      </c>
      <c r="AW25" s="103">
        <f>'Income Statement'!BC122</f>
        <v>0</v>
      </c>
      <c r="AX25" s="103">
        <f>'Income Statement'!BD122</f>
        <v>0</v>
      </c>
      <c r="AY25" s="103">
        <f>'Income Statement'!BF122</f>
        <v>0</v>
      </c>
      <c r="AZ25" s="103">
        <f>'Income Statement'!BG122</f>
        <v>0</v>
      </c>
      <c r="BA25" s="103">
        <f>'Income Statement'!BH122</f>
        <v>0</v>
      </c>
      <c r="BB25" s="103">
        <f>'Income Statement'!BI122</f>
        <v>0</v>
      </c>
      <c r="BC25" s="103">
        <f>'Income Statement'!BK122</f>
        <v>0</v>
      </c>
      <c r="BD25" s="103">
        <f>'Income Statement'!BL122</f>
        <v>0</v>
      </c>
      <c r="BE25" s="103">
        <f>'Income Statement'!BM122</f>
        <v>0</v>
      </c>
      <c r="BF25" s="103">
        <f>'Income Statement'!BN122</f>
        <v>0</v>
      </c>
      <c r="BG25" s="103">
        <f>'Income Statement'!BP122</f>
        <v>0</v>
      </c>
      <c r="BH25" s="103">
        <f>'Income Statement'!BQ122</f>
        <v>0</v>
      </c>
      <c r="BI25" s="103">
        <f>'Income Statement'!BR122</f>
        <v>0</v>
      </c>
      <c r="BJ25" s="103">
        <f>'Income Statement'!BS122</f>
        <v>0</v>
      </c>
      <c r="BK25" s="103">
        <f>'Income Statement'!BU122</f>
        <v>0</v>
      </c>
      <c r="BL25" s="103">
        <f>'Income Statement'!BV122</f>
        <v>0</v>
      </c>
      <c r="BM25" s="103">
        <f>'Income Statement'!BW122</f>
        <v>0</v>
      </c>
      <c r="BN25" s="103">
        <f>'Income Statement'!BX122</f>
        <v>0</v>
      </c>
      <c r="BO25" s="103">
        <f>'Income Statement'!BZ122</f>
        <v>0</v>
      </c>
      <c r="BP25" s="103">
        <f>'Income Statement'!CA122</f>
        <v>0</v>
      </c>
      <c r="BQ25" s="103">
        <f>'Income Statement'!CB122</f>
        <v>0</v>
      </c>
      <c r="BR25" s="103">
        <f>'Income Statement'!CC122</f>
        <v>0</v>
      </c>
      <c r="BV25" s="103">
        <f>'Income Statement'!Q122</f>
        <v>172.25</v>
      </c>
      <c r="BW25" s="103">
        <f>'Income Statement'!V122</f>
        <v>183</v>
      </c>
      <c r="BX25" s="103">
        <f>'Income Statement'!AA122</f>
        <v>171</v>
      </c>
      <c r="BY25" s="103">
        <f>'Income Statement'!AF122</f>
        <v>156</v>
      </c>
      <c r="BZ25" s="103">
        <f>'Income Statement'!AK122</f>
        <v>160.36799999999999</v>
      </c>
      <c r="CA25" s="103">
        <f>'Income Statement'!AP122</f>
        <v>147.53855999999999</v>
      </c>
      <c r="CB25" s="103">
        <f>'Income Statement'!AU122</f>
        <v>138.68624639999999</v>
      </c>
      <c r="CC25" s="103">
        <f>'Income Statement'!AZ122</f>
        <v>134.52565900799999</v>
      </c>
      <c r="CD25" s="103">
        <f>'Income Statement'!BE122</f>
        <v>127.79937605759999</v>
      </c>
      <c r="CE25" s="103">
        <f>'Income Statement'!BJ122</f>
        <v>123.96539477587199</v>
      </c>
      <c r="CF25" s="103">
        <f>'Income Statement'!BO122</f>
        <v>120.24643293259582</v>
      </c>
      <c r="CG25" s="103">
        <f>'Income Statement'!BT122</f>
        <v>116.63903994461795</v>
      </c>
      <c r="CH25" s="103">
        <f>'Income Statement'!BY122</f>
        <v>113.1398687462794</v>
      </c>
      <c r="CI25" s="103">
        <f>'Income Statement'!CD122</f>
        <v>109.74567268389102</v>
      </c>
      <c r="CJ25" s="103">
        <f>'Income Statement'!CE122</f>
        <v>106.45330250337429</v>
      </c>
      <c r="CK25" s="103">
        <f>'Income Statement'!CF122</f>
        <v>103.25970342827306</v>
      </c>
      <c r="CL25" s="103">
        <f>'Income Statement'!CG122</f>
        <v>101.1945093597076</v>
      </c>
      <c r="CM25" s="103">
        <f>'Income Statement'!CH122</f>
        <v>99.17061917251344</v>
      </c>
      <c r="CN25" s="103">
        <f>'Income Statement'!CI122</f>
        <v>97.187206789063168</v>
      </c>
    </row>
    <row r="26" spans="1:92">
      <c r="A26" s="102" t="s">
        <v>48</v>
      </c>
      <c r="B26" s="102"/>
      <c r="C26" s="103"/>
      <c r="D26" s="103"/>
      <c r="E26" s="103"/>
      <c r="F26" s="103"/>
      <c r="G26" s="103">
        <f>'Income Statement'!C169</f>
        <v>0</v>
      </c>
      <c r="H26" s="103">
        <f>'Income Statement'!D169</f>
        <v>0</v>
      </c>
      <c r="I26" s="103">
        <f>'Income Statement'!E169</f>
        <v>58</v>
      </c>
      <c r="J26" s="103">
        <f>'Income Statement'!F169</f>
        <v>60</v>
      </c>
      <c r="K26" s="103">
        <f>'Income Statement'!H169</f>
        <v>56</v>
      </c>
      <c r="L26" s="103">
        <f>'Income Statement'!I169</f>
        <v>56</v>
      </c>
      <c r="M26" s="103">
        <f>'Income Statement'!J169</f>
        <v>56</v>
      </c>
      <c r="N26" s="103">
        <f>'Income Statement'!K169</f>
        <v>55</v>
      </c>
      <c r="O26" s="103">
        <f>'Income Statement'!M169</f>
        <v>52</v>
      </c>
      <c r="P26" s="103">
        <f>'Income Statement'!N169</f>
        <v>51</v>
      </c>
      <c r="Q26" s="103">
        <f>'Income Statement'!O169</f>
        <v>49</v>
      </c>
      <c r="R26" s="103">
        <f>'Income Statement'!P169</f>
        <v>49</v>
      </c>
      <c r="S26" s="103">
        <f>'Income Statement'!R169</f>
        <v>49</v>
      </c>
      <c r="T26" s="103">
        <f>'Income Statement'!S169</f>
        <v>51</v>
      </c>
      <c r="U26" s="103">
        <f>'Income Statement'!T169</f>
        <v>54</v>
      </c>
      <c r="V26" s="103">
        <f>'Income Statement'!U169</f>
        <v>54</v>
      </c>
      <c r="W26" s="103">
        <f>'Income Statement'!W169</f>
        <v>52</v>
      </c>
      <c r="X26" s="103">
        <f>'Income Statement'!X169</f>
        <v>52</v>
      </c>
      <c r="Y26" s="103">
        <f>'Income Statement'!Y169</f>
        <v>48</v>
      </c>
      <c r="Z26" s="103">
        <f>'Income Statement'!Z169</f>
        <v>48</v>
      </c>
      <c r="AA26" s="103">
        <f>'Income Statement'!AB169</f>
        <v>46</v>
      </c>
      <c r="AB26" s="103">
        <f>'Income Statement'!AC169</f>
        <v>46</v>
      </c>
      <c r="AC26" s="103">
        <f>'Income Statement'!AD169</f>
        <v>48</v>
      </c>
      <c r="AD26" s="103">
        <f>'Income Statement'!AE169</f>
        <v>49</v>
      </c>
      <c r="AE26" s="103">
        <f>'Income Statement'!AG169</f>
        <v>48</v>
      </c>
      <c r="AF26" s="103">
        <f>'Income Statement'!AH169</f>
        <v>50</v>
      </c>
      <c r="AG26" s="103">
        <f>'Income Statement'!AI169</f>
        <v>50</v>
      </c>
      <c r="AH26" s="103">
        <f>'Income Statement'!AJ169</f>
        <v>50</v>
      </c>
      <c r="AI26" s="103">
        <f>'Income Statement'!AL169</f>
        <v>48</v>
      </c>
      <c r="AJ26" s="103">
        <f>'Income Statement'!AM169</f>
        <v>47</v>
      </c>
      <c r="AK26" s="103">
        <f>'Income Statement'!AN169</f>
        <v>49</v>
      </c>
      <c r="AL26" s="103">
        <f>'Income Statement'!AO169</f>
        <v>50</v>
      </c>
      <c r="AM26" s="103">
        <f>'Income Statement'!AQ169</f>
        <v>50</v>
      </c>
      <c r="AN26" s="103">
        <f>'Income Statement'!AR169</f>
        <v>49</v>
      </c>
      <c r="AO26" s="103">
        <f>'Income Statement'!AS169</f>
        <v>50</v>
      </c>
      <c r="AP26" s="103">
        <f>'Income Statement'!AT169</f>
        <v>52</v>
      </c>
      <c r="AQ26" s="103">
        <f>'Income Statement'!AV169</f>
        <v>52</v>
      </c>
      <c r="AR26" s="103">
        <f>'Income Statement'!AW169</f>
        <v>51</v>
      </c>
      <c r="AS26" s="103">
        <f>'Income Statement'!AX169</f>
        <v>51</v>
      </c>
      <c r="AT26" s="103">
        <f>'Income Statement'!AY169</f>
        <v>51</v>
      </c>
      <c r="AU26" s="103">
        <f>'Income Statement'!BA169</f>
        <v>51</v>
      </c>
      <c r="AV26" s="103">
        <f>'Income Statement'!BB169</f>
        <v>53</v>
      </c>
      <c r="AW26" s="103">
        <f>'Income Statement'!BC169</f>
        <v>53</v>
      </c>
      <c r="AX26" s="103">
        <f>'Income Statement'!BD169</f>
        <v>53</v>
      </c>
      <c r="AY26" s="103">
        <f>'Income Statement'!BF169</f>
        <v>51</v>
      </c>
      <c r="AZ26" s="103">
        <f>'Income Statement'!BG169</f>
        <v>51</v>
      </c>
      <c r="BA26" s="103">
        <f>'Income Statement'!BH169</f>
        <v>51</v>
      </c>
      <c r="BB26" s="103">
        <f>'Income Statement'!BI169</f>
        <v>51</v>
      </c>
      <c r="BC26" s="103">
        <f>'Income Statement'!BK169</f>
        <v>49</v>
      </c>
      <c r="BD26" s="103">
        <f>'Income Statement'!BL169</f>
        <v>47</v>
      </c>
      <c r="BE26" s="103">
        <f>'Income Statement'!BM169</f>
        <v>48.7</v>
      </c>
      <c r="BF26" s="103">
        <f>'Income Statement'!BN169</f>
        <v>48.3</v>
      </c>
      <c r="BG26" s="103">
        <f>'Income Statement'!BP169</f>
        <v>47.4</v>
      </c>
      <c r="BH26" s="103">
        <f>'Income Statement'!BQ169</f>
        <v>47</v>
      </c>
      <c r="BI26" s="103">
        <f>'Income Statement'!BR169</f>
        <v>46.6</v>
      </c>
      <c r="BJ26" s="103">
        <f>'Income Statement'!BS169</f>
        <v>45.9</v>
      </c>
      <c r="BK26" s="103">
        <f>'Income Statement'!BU169</f>
        <v>46.2</v>
      </c>
      <c r="BL26" s="103">
        <f>'Income Statement'!BV169</f>
        <v>47.7</v>
      </c>
      <c r="BM26" s="103">
        <f>'Income Statement'!BW169</f>
        <v>47.3</v>
      </c>
      <c r="BN26" s="103">
        <f>'Income Statement'!BX169</f>
        <v>47.8</v>
      </c>
      <c r="BO26" s="103">
        <f>'Income Statement'!BZ169</f>
        <v>46.9</v>
      </c>
      <c r="BP26" s="103">
        <f>'Income Statement'!CA169</f>
        <v>47</v>
      </c>
      <c r="BQ26" s="103">
        <f>'Income Statement'!CB169</f>
        <v>46.7</v>
      </c>
      <c r="BR26" s="103">
        <f>'Income Statement'!CC169</f>
        <v>45.8</v>
      </c>
      <c r="BV26" s="103">
        <f>'Income Statement'!Q169</f>
        <v>51</v>
      </c>
      <c r="BW26" s="103">
        <f>'Income Statement'!V169</f>
        <v>52</v>
      </c>
      <c r="BX26" s="103">
        <f>'Income Statement'!AA169</f>
        <v>50.477409975397009</v>
      </c>
      <c r="BY26" s="103">
        <f>'Income Statement'!AF169</f>
        <v>47.86334494515269</v>
      </c>
      <c r="BZ26" s="103">
        <f>'Income Statement'!AK169</f>
        <v>48.255347593582883</v>
      </c>
      <c r="CA26" s="103">
        <f>'Income Statement'!AP169</f>
        <v>49.653786074120362</v>
      </c>
      <c r="CB26" s="103">
        <f>'Income Statement'!AU169</f>
        <v>50.25</v>
      </c>
      <c r="CC26" s="103">
        <f>'Income Statement'!AZ169</f>
        <v>51.25</v>
      </c>
      <c r="CD26" s="103">
        <f>'Income Statement'!BE169</f>
        <v>52.5</v>
      </c>
      <c r="CE26" s="103">
        <f>'Income Statement'!BJ169</f>
        <v>51</v>
      </c>
      <c r="CF26" s="103">
        <f>'Income Statement'!BO169</f>
        <v>48.25</v>
      </c>
      <c r="CG26" s="103">
        <f>'Income Statement'!BT169</f>
        <v>46.725000000000001</v>
      </c>
      <c r="CH26" s="103">
        <f>'Income Statement'!BY169</f>
        <v>47.25</v>
      </c>
      <c r="CI26" s="103">
        <f>'Income Statement'!CD169</f>
        <v>46.600000000000009</v>
      </c>
      <c r="CJ26" s="103">
        <f>'Income Statement'!CE169</f>
        <v>45.186456222339558</v>
      </c>
      <c r="CK26" s="103">
        <f>'Income Statement'!CF169</f>
        <v>44.941012056283398</v>
      </c>
      <c r="CL26" s="103">
        <f>'Income Statement'!CG169</f>
        <v>44.832929805427419</v>
      </c>
      <c r="CM26" s="103">
        <f>'Income Statement'!CH169</f>
        <v>44.949557415671251</v>
      </c>
      <c r="CN26" s="103">
        <f>'Income Statement'!CI169</f>
        <v>45.291520122133058</v>
      </c>
    </row>
    <row r="27" spans="1:92">
      <c r="A27" s="160" t="s">
        <v>679</v>
      </c>
      <c r="B27" s="102"/>
      <c r="C27" s="103"/>
      <c r="D27" s="103"/>
      <c r="E27" s="103"/>
      <c r="F27" s="103"/>
      <c r="G27" s="103">
        <f>'Income Statement'!C165</f>
        <v>0</v>
      </c>
      <c r="H27" s="103">
        <f>'Income Statement'!D165</f>
        <v>0</v>
      </c>
      <c r="I27" s="103">
        <f>'Income Statement'!E165</f>
        <v>0</v>
      </c>
      <c r="J27" s="103">
        <f>'Income Statement'!F165</f>
        <v>0</v>
      </c>
      <c r="K27" s="103">
        <f>'Income Statement'!H165</f>
        <v>0</v>
      </c>
      <c r="L27" s="103">
        <f>'Income Statement'!I165</f>
        <v>0</v>
      </c>
      <c r="M27" s="103">
        <f>'Income Statement'!J165</f>
        <v>0</v>
      </c>
      <c r="N27" s="103">
        <f>'Income Statement'!K165</f>
        <v>0</v>
      </c>
      <c r="O27" s="103">
        <f>'Income Statement'!M165</f>
        <v>0</v>
      </c>
      <c r="P27" s="103">
        <f>'Income Statement'!N165</f>
        <v>0</v>
      </c>
      <c r="Q27" s="103">
        <f>'Income Statement'!O165</f>
        <v>0</v>
      </c>
      <c r="R27" s="103">
        <f>'Income Statement'!P165</f>
        <v>0</v>
      </c>
      <c r="S27" s="103">
        <f>'Income Statement'!R165</f>
        <v>0</v>
      </c>
      <c r="T27" s="103">
        <f>'Income Statement'!S165</f>
        <v>0</v>
      </c>
      <c r="U27" s="103">
        <f>'Income Statement'!T165</f>
        <v>0</v>
      </c>
      <c r="V27" s="103">
        <f>'Income Statement'!U165</f>
        <v>0</v>
      </c>
      <c r="W27" s="103">
        <f>'Income Statement'!W165</f>
        <v>0</v>
      </c>
      <c r="X27" s="103">
        <f>'Income Statement'!X165</f>
        <v>0</v>
      </c>
      <c r="Y27" s="103">
        <f>'Income Statement'!Y165</f>
        <v>0</v>
      </c>
      <c r="Z27" s="103">
        <f>'Income Statement'!Z165</f>
        <v>0</v>
      </c>
      <c r="AA27" s="103">
        <f>'Income Statement'!AB165</f>
        <v>0</v>
      </c>
      <c r="AB27" s="103">
        <f>'Income Statement'!AC165</f>
        <v>0</v>
      </c>
      <c r="AC27" s="103">
        <f>'Income Statement'!AD165</f>
        <v>0</v>
      </c>
      <c r="AD27" s="103">
        <f>'Income Statement'!AE165</f>
        <v>0</v>
      </c>
      <c r="AE27" s="103">
        <f>'Income Statement'!AG165</f>
        <v>0</v>
      </c>
      <c r="AF27" s="103">
        <f>'Income Statement'!AH165</f>
        <v>0</v>
      </c>
      <c r="AG27" s="103">
        <f>'Income Statement'!AI165</f>
        <v>0</v>
      </c>
      <c r="AH27" s="103">
        <f>'Income Statement'!AJ165</f>
        <v>0</v>
      </c>
      <c r="AI27" s="103">
        <f>'Income Statement'!AL165</f>
        <v>0</v>
      </c>
      <c r="AJ27" s="103">
        <f>'Income Statement'!AM165</f>
        <v>0</v>
      </c>
      <c r="AK27" s="103">
        <f>'Income Statement'!AN165</f>
        <v>0</v>
      </c>
      <c r="AL27" s="103">
        <f>'Income Statement'!AO165</f>
        <v>0</v>
      </c>
      <c r="AM27" s="103">
        <f>'Income Statement'!AQ165</f>
        <v>0</v>
      </c>
      <c r="AN27" s="103">
        <f>'Income Statement'!AR165</f>
        <v>0</v>
      </c>
      <c r="AO27" s="103">
        <f>'Income Statement'!AS165</f>
        <v>0</v>
      </c>
      <c r="AP27" s="103">
        <f>'Income Statement'!AT165</f>
        <v>0</v>
      </c>
      <c r="AQ27" s="103">
        <f>'Income Statement'!AV165</f>
        <v>36</v>
      </c>
      <c r="AR27" s="103">
        <f>'Income Statement'!AW165</f>
        <v>36</v>
      </c>
      <c r="AS27" s="103">
        <f>'Income Statement'!AX165</f>
        <v>36</v>
      </c>
      <c r="AT27" s="103">
        <f>'Income Statement'!AY165</f>
        <v>36</v>
      </c>
      <c r="AU27" s="103">
        <f>'Income Statement'!BA165</f>
        <v>35</v>
      </c>
      <c r="AV27" s="103">
        <f>'Income Statement'!BB165</f>
        <v>37</v>
      </c>
      <c r="AW27" s="103">
        <f>'Income Statement'!BC165</f>
        <v>36</v>
      </c>
      <c r="AX27" s="103">
        <f>'Income Statement'!BD165</f>
        <v>37</v>
      </c>
      <c r="AY27" s="103">
        <f>'Income Statement'!BF165</f>
        <v>35</v>
      </c>
      <c r="AZ27" s="103">
        <f>'Income Statement'!BG165</f>
        <v>35</v>
      </c>
      <c r="BA27" s="103">
        <f>'Income Statement'!BH165</f>
        <v>35</v>
      </c>
      <c r="BB27" s="103">
        <f>'Income Statement'!BI165</f>
        <v>35</v>
      </c>
      <c r="BC27" s="103">
        <f>'Income Statement'!BK165</f>
        <v>32</v>
      </c>
      <c r="BD27" s="103">
        <f>'Income Statement'!BL165</f>
        <v>30.6</v>
      </c>
      <c r="BE27" s="103">
        <f>'Income Statement'!BM165</f>
        <v>33.1</v>
      </c>
      <c r="BF27" s="103">
        <f>'Income Statement'!BN165</f>
        <v>32.4</v>
      </c>
      <c r="BG27" s="103">
        <f>'Income Statement'!BP165</f>
        <v>31.6</v>
      </c>
      <c r="BH27" s="103">
        <f>'Income Statement'!BQ165</f>
        <v>31</v>
      </c>
      <c r="BI27" s="103">
        <f>'Income Statement'!BR165</f>
        <v>30.5</v>
      </c>
      <c r="BJ27" s="103">
        <f>'Income Statement'!BS165</f>
        <v>29.7</v>
      </c>
      <c r="BK27" s="103">
        <f>'Income Statement'!BU165</f>
        <v>30.2</v>
      </c>
      <c r="BL27" s="103">
        <f>'Income Statement'!BV165</f>
        <v>31.8</v>
      </c>
      <c r="BM27" s="103">
        <f>'Income Statement'!BW165</f>
        <v>31.3</v>
      </c>
      <c r="BN27" s="103">
        <f>'Income Statement'!BX165</f>
        <v>31.8</v>
      </c>
      <c r="BO27" s="103">
        <f>'Income Statement'!BZ165</f>
        <v>30.7</v>
      </c>
      <c r="BP27" s="103">
        <f>'Income Statement'!CA165</f>
        <v>30.8</v>
      </c>
      <c r="BQ27" s="103">
        <f>'Income Statement'!CB165</f>
        <v>30.7</v>
      </c>
      <c r="BR27" s="103">
        <f>'Income Statement'!CC165</f>
        <v>29.6</v>
      </c>
      <c r="BV27" s="103">
        <f>'Income Statement'!Q165</f>
        <v>0</v>
      </c>
      <c r="BW27" s="103">
        <f>'Income Statement'!V165</f>
        <v>0</v>
      </c>
      <c r="BX27" s="103">
        <f>'Income Statement'!AA165</f>
        <v>0</v>
      </c>
      <c r="BY27" s="103">
        <f>'Income Statement'!AF165</f>
        <v>0</v>
      </c>
      <c r="BZ27" s="103">
        <f>'Income Statement'!AK165</f>
        <v>0</v>
      </c>
      <c r="CA27" s="103">
        <f>'Income Statement'!AP165</f>
        <v>0</v>
      </c>
      <c r="CB27" s="103">
        <f>'Income Statement'!AU165</f>
        <v>0</v>
      </c>
      <c r="CC27" s="103">
        <f>'Income Statement'!AZ165</f>
        <v>36</v>
      </c>
      <c r="CD27" s="103">
        <f>'Income Statement'!BE165</f>
        <v>36.25</v>
      </c>
      <c r="CE27" s="103">
        <f>'Income Statement'!BJ165</f>
        <v>35</v>
      </c>
      <c r="CF27" s="103">
        <f>'Income Statement'!BO165</f>
        <v>32.024999999999999</v>
      </c>
      <c r="CG27" s="103">
        <f>'Income Statement'!BT165</f>
        <v>30.7</v>
      </c>
      <c r="CH27" s="103">
        <f>'Income Statement'!BY165</f>
        <v>31.274999999999999</v>
      </c>
      <c r="CI27" s="103">
        <f>'Income Statement'!CD165</f>
        <v>30.450000000000003</v>
      </c>
      <c r="CJ27" s="103">
        <f>'Income Statement'!CE165</f>
        <v>29.5365</v>
      </c>
      <c r="CK27" s="103">
        <f>'Income Statement'!CF165</f>
        <v>29.388817500000002</v>
      </c>
      <c r="CL27" s="103">
        <f>'Income Statement'!CG165</f>
        <v>29.241873412500002</v>
      </c>
      <c r="CM27" s="103">
        <f>'Income Statement'!CH165</f>
        <v>29.241873412500002</v>
      </c>
      <c r="CN27" s="103">
        <f>'Income Statement'!CI165</f>
        <v>29.388082779562499</v>
      </c>
    </row>
    <row r="28" spans="1:92">
      <c r="A28" s="160" t="s">
        <v>680</v>
      </c>
      <c r="B28" s="102"/>
      <c r="C28" s="103"/>
      <c r="D28" s="103"/>
      <c r="E28" s="103"/>
      <c r="F28" s="103"/>
      <c r="G28" s="103">
        <f>'Income Statement'!C167</f>
        <v>0</v>
      </c>
      <c r="H28" s="103">
        <f>'Income Statement'!D167</f>
        <v>0</v>
      </c>
      <c r="I28" s="103">
        <f>'Income Statement'!E167</f>
        <v>0</v>
      </c>
      <c r="J28" s="103">
        <f>'Income Statement'!F167</f>
        <v>0</v>
      </c>
      <c r="K28" s="103">
        <f>'Income Statement'!H167</f>
        <v>0</v>
      </c>
      <c r="L28" s="103">
        <f>'Income Statement'!I167</f>
        <v>0</v>
      </c>
      <c r="M28" s="103">
        <f>'Income Statement'!J167</f>
        <v>0</v>
      </c>
      <c r="N28" s="103">
        <f>'Income Statement'!K167</f>
        <v>0</v>
      </c>
      <c r="O28" s="103">
        <f>'Income Statement'!M167</f>
        <v>0</v>
      </c>
      <c r="P28" s="103">
        <f>'Income Statement'!N167</f>
        <v>0</v>
      </c>
      <c r="Q28" s="103">
        <f>'Income Statement'!O167</f>
        <v>0</v>
      </c>
      <c r="R28" s="103">
        <f>'Income Statement'!P167</f>
        <v>0</v>
      </c>
      <c r="S28" s="103">
        <f>'Income Statement'!R167</f>
        <v>0</v>
      </c>
      <c r="T28" s="103">
        <f>'Income Statement'!S167</f>
        <v>0</v>
      </c>
      <c r="U28" s="103">
        <f>'Income Statement'!T167</f>
        <v>0</v>
      </c>
      <c r="V28" s="103">
        <f>'Income Statement'!U167</f>
        <v>0</v>
      </c>
      <c r="W28" s="103">
        <f>'Income Statement'!W167</f>
        <v>0</v>
      </c>
      <c r="X28" s="103">
        <f>'Income Statement'!X167</f>
        <v>0</v>
      </c>
      <c r="Y28" s="103">
        <f>'Income Statement'!Y167</f>
        <v>0</v>
      </c>
      <c r="Z28" s="103">
        <f>'Income Statement'!Z167</f>
        <v>0</v>
      </c>
      <c r="AA28" s="103">
        <f>'Income Statement'!AB167</f>
        <v>0</v>
      </c>
      <c r="AB28" s="103">
        <f>'Income Statement'!AC167</f>
        <v>0</v>
      </c>
      <c r="AC28" s="103">
        <f>'Income Statement'!AD167</f>
        <v>0</v>
      </c>
      <c r="AD28" s="103">
        <f>'Income Statement'!AE167</f>
        <v>0</v>
      </c>
      <c r="AE28" s="103">
        <f>'Income Statement'!AG167</f>
        <v>0</v>
      </c>
      <c r="AF28" s="103">
        <f>'Income Statement'!AH167</f>
        <v>0</v>
      </c>
      <c r="AG28" s="103">
        <f>'Income Statement'!AI167</f>
        <v>0</v>
      </c>
      <c r="AH28" s="103">
        <f>'Income Statement'!AJ167</f>
        <v>0</v>
      </c>
      <c r="AI28" s="103">
        <f>'Income Statement'!AL167</f>
        <v>0</v>
      </c>
      <c r="AJ28" s="103">
        <f>'Income Statement'!AM167</f>
        <v>0</v>
      </c>
      <c r="AK28" s="103">
        <f>'Income Statement'!AN167</f>
        <v>0</v>
      </c>
      <c r="AL28" s="103">
        <f>'Income Statement'!AO167</f>
        <v>0</v>
      </c>
      <c r="AM28" s="103">
        <f>'Income Statement'!AQ167</f>
        <v>0</v>
      </c>
      <c r="AN28" s="103">
        <f>'Income Statement'!AR167</f>
        <v>0</v>
      </c>
      <c r="AO28" s="103">
        <f>'Income Statement'!AS167</f>
        <v>0</v>
      </c>
      <c r="AP28" s="103">
        <f>'Income Statement'!AT167</f>
        <v>0</v>
      </c>
      <c r="AQ28" s="103">
        <f>'Income Statement'!AV167</f>
        <v>96</v>
      </c>
      <c r="AR28" s="103">
        <f>'Income Statement'!AW167</f>
        <v>96</v>
      </c>
      <c r="AS28" s="103">
        <f>'Income Statement'!AX167</f>
        <v>96</v>
      </c>
      <c r="AT28" s="103">
        <f>'Income Statement'!AY167</f>
        <v>96</v>
      </c>
      <c r="AU28" s="103">
        <f>'Income Statement'!BA167</f>
        <v>92</v>
      </c>
      <c r="AV28" s="103">
        <f>'Income Statement'!BB167</f>
        <v>94</v>
      </c>
      <c r="AW28" s="103">
        <f>'Income Statement'!BC167</f>
        <v>93</v>
      </c>
      <c r="AX28" s="103">
        <f>'Income Statement'!BD167</f>
        <v>94</v>
      </c>
      <c r="AY28" s="103">
        <f>'Income Statement'!BF167</f>
        <v>88</v>
      </c>
      <c r="AZ28" s="103">
        <f>'Income Statement'!BG167</f>
        <v>86</v>
      </c>
      <c r="BA28" s="103">
        <f>'Income Statement'!BH167</f>
        <v>85</v>
      </c>
      <c r="BB28" s="103">
        <f>'Income Statement'!BI167</f>
        <v>84</v>
      </c>
      <c r="BC28" s="103">
        <f>'Income Statement'!BK167</f>
        <v>81</v>
      </c>
      <c r="BD28" s="103">
        <f>'Income Statement'!BL167</f>
        <v>79.5</v>
      </c>
      <c r="BE28" s="103">
        <f>'Income Statement'!BM167</f>
        <v>78.400000000000006</v>
      </c>
      <c r="BF28" s="103">
        <f>'Income Statement'!BN167</f>
        <v>77.3</v>
      </c>
      <c r="BG28" s="103">
        <f>'Income Statement'!BP167</f>
        <v>76</v>
      </c>
      <c r="BH28" s="103">
        <f>'Income Statement'!BQ167</f>
        <v>75.400000000000006</v>
      </c>
      <c r="BI28" s="103">
        <f>'Income Statement'!BR167</f>
        <v>75</v>
      </c>
      <c r="BJ28" s="103">
        <f>'Income Statement'!BS167</f>
        <v>73.400000000000006</v>
      </c>
      <c r="BK28" s="103">
        <f>'Income Statement'!BU167</f>
        <v>72.5</v>
      </c>
      <c r="BL28" s="103">
        <f>'Income Statement'!BV167</f>
        <v>72.7</v>
      </c>
      <c r="BM28" s="103">
        <f>'Income Statement'!BW167</f>
        <v>72.8</v>
      </c>
      <c r="BN28" s="103">
        <f>'Income Statement'!BX167</f>
        <v>72.7</v>
      </c>
      <c r="BO28" s="103">
        <f>'Income Statement'!BZ167</f>
        <v>71.3</v>
      </c>
      <c r="BP28" s="103">
        <f>'Income Statement'!CA167</f>
        <v>71</v>
      </c>
      <c r="BQ28" s="103">
        <f>'Income Statement'!CB167</f>
        <v>70.2</v>
      </c>
      <c r="BR28" s="103">
        <f>'Income Statement'!CC167</f>
        <v>69.8</v>
      </c>
      <c r="BV28" s="103">
        <f>'Income Statement'!Q167</f>
        <v>0</v>
      </c>
      <c r="BW28" s="103">
        <f>'Income Statement'!V167</f>
        <v>0</v>
      </c>
      <c r="BX28" s="103">
        <f>'Income Statement'!AA167</f>
        <v>0</v>
      </c>
      <c r="BY28" s="103">
        <f>'Income Statement'!AF167</f>
        <v>0</v>
      </c>
      <c r="BZ28" s="103">
        <f>'Income Statement'!AK167</f>
        <v>0</v>
      </c>
      <c r="CA28" s="103">
        <f>'Income Statement'!AP167</f>
        <v>0</v>
      </c>
      <c r="CB28" s="103">
        <f>'Income Statement'!AU167</f>
        <v>0</v>
      </c>
      <c r="CC28" s="103">
        <f>'Income Statement'!AZ167</f>
        <v>96</v>
      </c>
      <c r="CD28" s="103">
        <f>'Income Statement'!BE167</f>
        <v>93.25</v>
      </c>
      <c r="CE28" s="103">
        <f>'Income Statement'!BJ167</f>
        <v>85.75</v>
      </c>
      <c r="CF28" s="103">
        <f>'Income Statement'!BO167</f>
        <v>79.05</v>
      </c>
      <c r="CG28" s="103">
        <f>'Income Statement'!BT167</f>
        <v>74.95</v>
      </c>
      <c r="CH28" s="103">
        <f>'Income Statement'!BY167</f>
        <v>72.674999999999997</v>
      </c>
      <c r="CI28" s="103">
        <f>'Income Statement'!CD167</f>
        <v>70.575000000000003</v>
      </c>
      <c r="CJ28" s="103">
        <f>'Income Statement'!CE167</f>
        <v>69.163499999999999</v>
      </c>
      <c r="CK28" s="103">
        <f>'Income Statement'!CF167</f>
        <v>68.471864999999994</v>
      </c>
      <c r="CL28" s="103">
        <f>'Income Statement'!CG167</f>
        <v>68.12950567499999</v>
      </c>
      <c r="CM28" s="103">
        <f>'Income Statement'!CH167</f>
        <v>68.12950567499999</v>
      </c>
      <c r="CN28" s="103">
        <f>'Income Statement'!CI167</f>
        <v>68.470153203374977</v>
      </c>
    </row>
    <row r="29" spans="1:92">
      <c r="A29" s="161" t="s">
        <v>512</v>
      </c>
      <c r="B29" s="102"/>
      <c r="C29" s="103"/>
      <c r="D29" s="103"/>
      <c r="E29" s="103"/>
      <c r="F29" s="103"/>
      <c r="G29" s="103">
        <f>'Income Statement'!C124</f>
        <v>0</v>
      </c>
      <c r="H29" s="103">
        <f>'Income Statement'!D124</f>
        <v>0</v>
      </c>
      <c r="I29" s="103">
        <f>'Income Statement'!E124</f>
        <v>0</v>
      </c>
      <c r="J29" s="103">
        <f>'Income Statement'!F124</f>
        <v>0</v>
      </c>
      <c r="K29" s="103">
        <f>'Income Statement'!H124</f>
        <v>5670.0251999999991</v>
      </c>
      <c r="L29" s="103">
        <f>'Income Statement'!I124</f>
        <v>5955.81</v>
      </c>
      <c r="M29" s="103">
        <f>'Income Statement'!J124</f>
        <v>6183.1325999999999</v>
      </c>
      <c r="N29" s="103">
        <f>'Income Statement'!K124</f>
        <v>6523.0590000000002</v>
      </c>
      <c r="O29" s="103">
        <f>'Income Statement'!M124</f>
        <v>6482.8289999999997</v>
      </c>
      <c r="P29" s="103">
        <f>'Income Statement'!N124</f>
        <v>6659.2889999999998</v>
      </c>
      <c r="Q29" s="103">
        <f>'Income Statement'!O124</f>
        <v>6835.9679999999998</v>
      </c>
      <c r="R29" s="103">
        <f>'Income Statement'!P124</f>
        <v>7048.3635000000004</v>
      </c>
      <c r="S29" s="103">
        <f>'Income Statement'!R124</f>
        <v>7208.19</v>
      </c>
      <c r="T29" s="103">
        <f>'Income Statement'!S124</f>
        <v>7114.2209999999995</v>
      </c>
      <c r="U29" s="103">
        <f>'Income Statement'!T124</f>
        <v>7061.82</v>
      </c>
      <c r="V29" s="103">
        <f>'Income Statement'!U124</f>
        <v>6903.4305000000004</v>
      </c>
      <c r="W29" s="103">
        <f>'Income Statement'!W124</f>
        <v>6894.5625</v>
      </c>
      <c r="X29" s="103">
        <f>'Income Statement'!X124</f>
        <v>7054.6875</v>
      </c>
      <c r="Y29" s="103">
        <f>'Income Statement'!Y124</f>
        <v>6609.6</v>
      </c>
      <c r="Z29" s="103">
        <f>'Income Statement'!Z124</f>
        <v>6935.1975000000002</v>
      </c>
      <c r="AA29" s="103">
        <f>'Income Statement'!AB124</f>
        <v>6774.48</v>
      </c>
      <c r="AB29" s="103">
        <f>'Income Statement'!AC124</f>
        <v>6554.1059999999998</v>
      </c>
      <c r="AC29" s="103">
        <f>'Income Statement'!AD124</f>
        <v>6216.2370000000001</v>
      </c>
      <c r="AD29" s="103">
        <f>'Income Statement'!AE124</f>
        <v>6069.6450000000004</v>
      </c>
      <c r="AE29" s="103">
        <f>'Income Statement'!AG124</f>
        <v>5889.3450000000003</v>
      </c>
      <c r="AF29" s="103">
        <f>'Income Statement'!AH124</f>
        <v>6038.2245000000003</v>
      </c>
      <c r="AG29" s="103">
        <f>'Income Statement'!AI124</f>
        <v>6141.96</v>
      </c>
      <c r="AH29" s="103">
        <f>'Income Statement'!AJ124</f>
        <v>6382.6559999999999</v>
      </c>
      <c r="AI29" s="103">
        <f>'Income Statement'!AL124</f>
        <v>0</v>
      </c>
      <c r="AJ29" s="103">
        <f>'Income Statement'!AM124</f>
        <v>0</v>
      </c>
      <c r="AK29" s="103">
        <f>'Income Statement'!AN124</f>
        <v>0</v>
      </c>
      <c r="AL29" s="103">
        <f>'Income Statement'!AO124</f>
        <v>0</v>
      </c>
      <c r="AM29" s="103">
        <f>'Income Statement'!AQ124</f>
        <v>0</v>
      </c>
      <c r="AN29" s="103">
        <f>'Income Statement'!AR124</f>
        <v>0</v>
      </c>
      <c r="AO29" s="103">
        <f>'Income Statement'!AS124</f>
        <v>0</v>
      </c>
      <c r="AP29" s="103">
        <f>'Income Statement'!AT124</f>
        <v>0</v>
      </c>
      <c r="AQ29" s="103">
        <f>'Income Statement'!AV124</f>
        <v>0</v>
      </c>
      <c r="AR29" s="103">
        <f>'Income Statement'!AW124</f>
        <v>0</v>
      </c>
      <c r="AS29" s="103">
        <f>'Income Statement'!AX124</f>
        <v>0</v>
      </c>
      <c r="AT29" s="103">
        <f>'Income Statement'!AY124</f>
        <v>0</v>
      </c>
      <c r="AU29" s="103">
        <f>'Income Statement'!BA124</f>
        <v>0</v>
      </c>
      <c r="AV29" s="103">
        <f>'Income Statement'!BB124</f>
        <v>0</v>
      </c>
      <c r="AW29" s="103">
        <f>'Income Statement'!BC124</f>
        <v>0</v>
      </c>
      <c r="AX29" s="103">
        <f>'Income Statement'!BD124</f>
        <v>0</v>
      </c>
      <c r="AY29" s="103">
        <f>'Income Statement'!BF124</f>
        <v>0</v>
      </c>
      <c r="AZ29" s="103">
        <f>'Income Statement'!BG124</f>
        <v>0</v>
      </c>
      <c r="BA29" s="103">
        <f>'Income Statement'!BH124</f>
        <v>0</v>
      </c>
      <c r="BB29" s="103">
        <f>'Income Statement'!BI124</f>
        <v>0</v>
      </c>
      <c r="BC29" s="103">
        <f>'Income Statement'!BK124</f>
        <v>0</v>
      </c>
      <c r="BD29" s="103">
        <f>'Income Statement'!BL124</f>
        <v>0</v>
      </c>
      <c r="BE29" s="103">
        <f>'Income Statement'!BM124</f>
        <v>0</v>
      </c>
      <c r="BF29" s="103">
        <f>'Income Statement'!BN124</f>
        <v>0</v>
      </c>
      <c r="BG29" s="103">
        <f>'Income Statement'!BP124</f>
        <v>0</v>
      </c>
      <c r="BH29" s="103">
        <f>'Income Statement'!BQ124</f>
        <v>0</v>
      </c>
      <c r="BI29" s="103">
        <f>'Income Statement'!BR124</f>
        <v>0</v>
      </c>
      <c r="BJ29" s="103">
        <f>'Income Statement'!BS124</f>
        <v>0</v>
      </c>
      <c r="BK29" s="103">
        <f>'Income Statement'!BU124</f>
        <v>0</v>
      </c>
      <c r="BL29" s="103">
        <f>'Income Statement'!BV124</f>
        <v>0</v>
      </c>
      <c r="BM29" s="103">
        <f>'Income Statement'!BW124</f>
        <v>0</v>
      </c>
      <c r="BN29" s="103">
        <f>'Income Statement'!BX124</f>
        <v>0</v>
      </c>
      <c r="BO29" s="103">
        <f>'Income Statement'!BZ124</f>
        <v>0</v>
      </c>
      <c r="BP29" s="103">
        <f>'Income Statement'!CA124</f>
        <v>0</v>
      </c>
      <c r="BQ29" s="103">
        <f>'Income Statement'!CB124</f>
        <v>0</v>
      </c>
      <c r="BR29" s="103">
        <f>'Income Statement'!CC124</f>
        <v>0</v>
      </c>
      <c r="BV29" s="103">
        <f>'Income Statement'!Q124</f>
        <v>27124.2075</v>
      </c>
      <c r="BW29" s="103">
        <f>'Income Statement'!V124</f>
        <v>29304.522000000001</v>
      </c>
      <c r="BX29" s="103">
        <f>'Income Statement'!AA124</f>
        <v>27523.475999999999</v>
      </c>
      <c r="BY29" s="103">
        <f>'Income Statement'!AF124</f>
        <v>25257.024000000001</v>
      </c>
      <c r="BZ29" s="103">
        <f>'Income Statement'!AK124</f>
        <v>24830.739648000002</v>
      </c>
      <c r="CA29" s="103">
        <f>'Income Statement'!AP124</f>
        <v>22668.119435520002</v>
      </c>
      <c r="CB29" s="103">
        <f>'Income Statement'!AU124</f>
        <v>20486.732318207996</v>
      </c>
      <c r="CC29" s="103">
        <f>'Income Statement'!AZ124</f>
        <v>18446.696465812991</v>
      </c>
      <c r="CD29" s="103">
        <f>'Income Statement'!BE124</f>
        <v>16631.044003879717</v>
      </c>
      <c r="CE29" s="103">
        <f>'Income Statement'!BJ124</f>
        <v>16282.358742231681</v>
      </c>
      <c r="CF29" s="103">
        <f>'Income Statement'!BO124</f>
        <v>16061.556539672689</v>
      </c>
      <c r="CG29" s="103">
        <f>'Income Statement'!BT124</f>
        <v>15921.228952440351</v>
      </c>
      <c r="CH29" s="103">
        <f>'Income Statement'!BY124</f>
        <v>15854.968646628613</v>
      </c>
      <c r="CI29" s="103">
        <f>'Income Statement'!CD124</f>
        <v>15967.336901470038</v>
      </c>
      <c r="CJ29" s="103">
        <f>'Income Statement'!CE124</f>
        <v>16174.494266837692</v>
      </c>
      <c r="CK29" s="103">
        <f>'Income Statement'!CF124</f>
        <v>16015.469284372472</v>
      </c>
      <c r="CL29" s="103">
        <f>'Income Statement'!CG124</f>
        <v>15959.989959919947</v>
      </c>
      <c r="CM29" s="103">
        <f>'Income Statement'!CH124</f>
        <v>15884.180392675433</v>
      </c>
      <c r="CN29" s="103">
        <f>'Income Statement'!CI124</f>
        <v>15790.752040220455</v>
      </c>
    </row>
    <row r="30" spans="1:92">
      <c r="A30" s="161" t="s">
        <v>681</v>
      </c>
      <c r="B30" s="102"/>
      <c r="C30" s="103"/>
      <c r="D30" s="103"/>
      <c r="E30" s="103"/>
      <c r="F30" s="103"/>
      <c r="G30" s="74"/>
      <c r="H30" s="74"/>
      <c r="I30" s="74"/>
      <c r="J30" s="74"/>
      <c r="K30" s="74"/>
      <c r="L30" s="74"/>
      <c r="M30" s="74"/>
      <c r="N30" s="74"/>
      <c r="O30" s="74"/>
      <c r="P30" s="74"/>
      <c r="Q30" s="74"/>
      <c r="R30" s="74"/>
      <c r="S30" s="74"/>
      <c r="T30" s="74"/>
      <c r="U30" s="74"/>
      <c r="V30" s="74"/>
      <c r="W30" s="74"/>
      <c r="X30" s="74"/>
      <c r="Y30" s="74"/>
      <c r="Z30" s="74"/>
      <c r="AA30" s="74"/>
      <c r="AB30" s="85"/>
      <c r="AC30" s="85"/>
      <c r="AD30" s="85"/>
      <c r="AE30" s="85"/>
      <c r="AF30" s="85"/>
      <c r="AG30" s="85"/>
      <c r="AH30" s="85"/>
      <c r="AI30" s="85"/>
      <c r="AJ30" s="85"/>
      <c r="AK30" s="85"/>
      <c r="AL30" s="85"/>
      <c r="AM30" s="85"/>
      <c r="AN30" s="85"/>
      <c r="AO30" s="85"/>
      <c r="AP30" s="85"/>
      <c r="AQ30" s="85">
        <f>'Income Statement'!AV193</f>
        <v>151.51851000000002</v>
      </c>
      <c r="AR30" s="85">
        <f>'Income Statement'!AW193</f>
        <v>174.05595</v>
      </c>
      <c r="AS30" s="85">
        <f>'Income Statement'!AX193</f>
        <v>189.492615</v>
      </c>
      <c r="AT30" s="85">
        <f>'Income Statement'!AY193</f>
        <v>222.08256</v>
      </c>
      <c r="AU30" s="85">
        <f>'Income Statement'!BA193</f>
        <v>248.34195000000005</v>
      </c>
      <c r="AV30" s="85">
        <f>'Income Statement'!BB193</f>
        <v>292.13538</v>
      </c>
      <c r="AW30" s="85">
        <f>'Income Statement'!BC193</f>
        <v>344.79571499999997</v>
      </c>
      <c r="AX30" s="85">
        <f>'Income Statement'!BD193</f>
        <v>353.30021999999997</v>
      </c>
      <c r="AY30" s="85">
        <f>'Income Statement'!BF193</f>
        <v>377.78129999999993</v>
      </c>
      <c r="AZ30" s="85">
        <f>'Income Statement'!BG193</f>
        <v>444.26132999999993</v>
      </c>
      <c r="BA30" s="85">
        <f>'Income Statement'!BH193</f>
        <v>498.98382000000004</v>
      </c>
      <c r="BB30" s="85">
        <f>'Income Statement'!BI193</f>
        <v>498.53742</v>
      </c>
      <c r="BC30" s="85">
        <f>'Income Statement'!BK193</f>
        <v>563.580465</v>
      </c>
      <c r="BD30" s="85">
        <f>'Income Statement'!BL193</f>
        <v>722.23745999999994</v>
      </c>
      <c r="BE30" s="85">
        <f>'Income Statement'!BM193</f>
        <v>661.67575499999998</v>
      </c>
      <c r="BF30" s="85">
        <f>'Income Statement'!BN193</f>
        <v>688.92075</v>
      </c>
      <c r="BG30" s="85">
        <f>'Income Statement'!BP193</f>
        <v>728.42210999999998</v>
      </c>
      <c r="BH30" s="85">
        <f>'Income Statement'!BQ193</f>
        <v>836.8223999999999</v>
      </c>
      <c r="BI30" s="85">
        <f>'Income Statement'!BR193</f>
        <v>858.99297000000001</v>
      </c>
      <c r="BJ30" s="85">
        <f>'Income Statement'!BS193</f>
        <v>843.95939999999996</v>
      </c>
      <c r="BK30" s="85">
        <f>'Income Statement'!BU193</f>
        <v>836.13419999999996</v>
      </c>
      <c r="BL30" s="85">
        <f>'Income Statement'!BV193</f>
        <v>857.66804999999977</v>
      </c>
      <c r="BM30" s="85">
        <f>'Income Statement'!BW193</f>
        <v>915.75285000000008</v>
      </c>
      <c r="BN30" s="85">
        <f>'Income Statement'!BX193</f>
        <v>933.81960000000004</v>
      </c>
      <c r="BO30" s="85">
        <f>'Income Statement'!BZ193</f>
        <v>889.32060000000001</v>
      </c>
      <c r="BP30" s="85">
        <f>'Income Statement'!CA193</f>
        <v>921.66930000000013</v>
      </c>
      <c r="BQ30" s="85">
        <f>'Income Statement'!CB193</f>
        <v>958.83704999999986</v>
      </c>
      <c r="BR30" s="85">
        <f>'Income Statement'!CC193</f>
        <v>1022.5257</v>
      </c>
      <c r="BV30" s="85"/>
      <c r="BW30" s="85"/>
      <c r="BX30" s="85"/>
      <c r="BY30" s="85"/>
      <c r="BZ30" s="85"/>
      <c r="CA30" s="85"/>
      <c r="CB30" s="74"/>
      <c r="CC30" s="85">
        <f>'Income Statement'!AZ193</f>
        <v>0</v>
      </c>
      <c r="CD30" s="85">
        <f>'Income Statement'!BE193</f>
        <v>0</v>
      </c>
      <c r="CE30" s="85">
        <f>'Income Statement'!BJ193</f>
        <v>0</v>
      </c>
      <c r="CF30" s="85">
        <f>'Income Statement'!BO193</f>
        <v>0</v>
      </c>
      <c r="CG30" s="85">
        <f>'Income Statement'!BT193</f>
        <v>0</v>
      </c>
      <c r="CH30" s="85">
        <f>'Income Statement'!BY193</f>
        <v>0</v>
      </c>
      <c r="CI30" s="85">
        <f>'Income Statement'!CD193</f>
        <v>0</v>
      </c>
      <c r="CJ30" s="85">
        <f>'Income Statement'!CE193</f>
        <v>0</v>
      </c>
      <c r="CK30" s="85">
        <f>'Income Statement'!CF193</f>
        <v>0</v>
      </c>
      <c r="CL30" s="85">
        <f>'Income Statement'!CG193</f>
        <v>0</v>
      </c>
      <c r="CM30" s="85">
        <f>'Income Statement'!CH193</f>
        <v>0</v>
      </c>
      <c r="CN30" s="85">
        <f>'Income Statement'!CI193</f>
        <v>0</v>
      </c>
    </row>
    <row r="31" spans="1:92">
      <c r="A31" s="72" t="s">
        <v>457</v>
      </c>
      <c r="B31" s="102"/>
      <c r="C31" s="103"/>
      <c r="D31" s="103"/>
      <c r="E31" s="103"/>
      <c r="F31" s="103"/>
      <c r="G31" s="103">
        <f>'Income Statement'!C116</f>
        <v>9921</v>
      </c>
      <c r="H31" s="103">
        <f>'Income Statement'!D116</f>
        <v>10250</v>
      </c>
      <c r="I31" s="103">
        <f>'Income Statement'!E116</f>
        <v>10750</v>
      </c>
      <c r="J31" s="103">
        <f>'Income Statement'!F116</f>
        <v>11234.1</v>
      </c>
      <c r="K31" s="103">
        <f>'Income Statement'!H116</f>
        <v>11266</v>
      </c>
      <c r="L31" s="103">
        <f>'Income Statement'!I116</f>
        <v>11422.8</v>
      </c>
      <c r="M31" s="103">
        <f>'Income Statement'!J116</f>
        <v>11735</v>
      </c>
      <c r="N31" s="103">
        <f>'Income Statement'!K116</f>
        <v>12291</v>
      </c>
      <c r="O31" s="103">
        <f>'Income Statement'!M116</f>
        <v>12691</v>
      </c>
      <c r="P31" s="103">
        <f>'Income Statement'!N116</f>
        <v>12971</v>
      </c>
      <c r="Q31" s="103">
        <f>'Income Statement'!O116</f>
        <v>13525</v>
      </c>
      <c r="R31" s="103">
        <f>'Income Statement'!P116</f>
        <v>13954</v>
      </c>
      <c r="S31" s="103">
        <f>'Income Statement'!R116</f>
        <v>12743</v>
      </c>
      <c r="T31" s="103">
        <f>'Income Statement'!S116</f>
        <v>12756</v>
      </c>
      <c r="U31" s="103">
        <f>'Income Statement'!T116</f>
        <v>12692</v>
      </c>
      <c r="V31" s="103">
        <f>'Income Statement'!U116</f>
        <v>12735</v>
      </c>
      <c r="W31" s="103">
        <f>'Income Statement'!W116</f>
        <v>13265</v>
      </c>
      <c r="X31" s="103">
        <f>'Income Statement'!X116</f>
        <v>13610</v>
      </c>
      <c r="Y31" s="103">
        <f>'Income Statement'!Y116</f>
        <v>13930</v>
      </c>
      <c r="Z31" s="103">
        <f>'Income Statement'!Z116</f>
        <v>14091</v>
      </c>
      <c r="AA31" s="103">
        <f>'Income Statement'!AB116</f>
        <v>14136</v>
      </c>
      <c r="AB31" s="103">
        <f>'Income Statement'!AC116</f>
        <v>13873</v>
      </c>
      <c r="AC31" s="103">
        <f>'Income Statement'!AD116</f>
        <v>13213</v>
      </c>
      <c r="AD31" s="103">
        <f>'Income Statement'!AE116</f>
        <v>12893</v>
      </c>
      <c r="AE31" s="103">
        <f>'Income Statement'!AG116</f>
        <v>12602</v>
      </c>
      <c r="AF31" s="103">
        <f>'Income Statement'!AH116</f>
        <v>12401</v>
      </c>
      <c r="AG31" s="103">
        <f>'Income Statement'!AI116</f>
        <v>12415</v>
      </c>
      <c r="AH31" s="103">
        <f>'Income Statement'!AJ116</f>
        <v>12913</v>
      </c>
      <c r="AI31" s="103">
        <f>'Income Statement'!AL116</f>
        <v>13260</v>
      </c>
      <c r="AJ31" s="103">
        <f>'Income Statement'!AM116</f>
        <v>13269</v>
      </c>
      <c r="AK31" s="103">
        <f>'Income Statement'!AN116</f>
        <v>13110</v>
      </c>
      <c r="AL31" s="103">
        <f>'Income Statement'!AO116</f>
        <v>12694</v>
      </c>
      <c r="AM31" s="103">
        <f>'Income Statement'!AQ116</f>
        <v>12310</v>
      </c>
      <c r="AN31" s="103">
        <f>'Income Statement'!AR116</f>
        <v>12249</v>
      </c>
      <c r="AO31" s="103">
        <f>'Income Statement'!AS116</f>
        <v>12046</v>
      </c>
      <c r="AP31" s="103">
        <f>'Income Statement'!AT116</f>
        <v>11926</v>
      </c>
      <c r="AQ31" s="103">
        <f>'Income Statement'!AV116</f>
        <v>11620</v>
      </c>
      <c r="AR31" s="103">
        <f>'Income Statement'!AW116</f>
        <v>11495</v>
      </c>
      <c r="AS31" s="103">
        <f>'Income Statement'!AX116</f>
        <v>11104</v>
      </c>
      <c r="AT31" s="103">
        <f>'Income Statement'!AY116</f>
        <v>10928</v>
      </c>
      <c r="AU31" s="103">
        <f>'Income Statement'!BA116</f>
        <v>10714</v>
      </c>
      <c r="AV31" s="103">
        <f>'Income Statement'!BB116</f>
        <v>10735</v>
      </c>
      <c r="AW31" s="103">
        <f>'Income Statement'!BC116</f>
        <v>10808</v>
      </c>
      <c r="AX31" s="103">
        <f>'Income Statement'!BD116</f>
        <v>10761</v>
      </c>
      <c r="AY31" s="103">
        <f>'Income Statement'!BF116</f>
        <v>10765</v>
      </c>
      <c r="AZ31" s="103">
        <f>'Income Statement'!BG116</f>
        <v>10901</v>
      </c>
      <c r="BA31" s="103">
        <f>'Income Statement'!BH116</f>
        <v>11042</v>
      </c>
      <c r="BB31" s="103">
        <f>'Income Statement'!BI116</f>
        <v>11130</v>
      </c>
      <c r="BC31" s="103">
        <f>'Income Statement'!BK116</f>
        <v>11221</v>
      </c>
      <c r="BD31" s="103">
        <f>'Income Statement'!BL116</f>
        <v>11631</v>
      </c>
      <c r="BE31" s="103">
        <f>'Income Statement'!BM116</f>
        <v>11002</v>
      </c>
      <c r="BF31" s="103">
        <f>'Income Statement'!BN116</f>
        <v>11132</v>
      </c>
      <c r="BG31" s="103">
        <f>'Income Statement'!BP116</f>
        <v>11371</v>
      </c>
      <c r="BH31" s="103">
        <f>'Income Statement'!BQ116</f>
        <v>11493</v>
      </c>
      <c r="BI31" s="103">
        <f>'Income Statement'!BR116</f>
        <v>11441</v>
      </c>
      <c r="BJ31" s="103">
        <f>'Income Statement'!BS116</f>
        <v>11618</v>
      </c>
      <c r="BK31" s="103">
        <f>'Income Statement'!BU116</f>
        <v>11416</v>
      </c>
      <c r="BL31" s="103">
        <f>'Income Statement'!BV116</f>
        <v>11547</v>
      </c>
      <c r="BM31" s="103">
        <f>'Income Statement'!BW116</f>
        <v>11666</v>
      </c>
      <c r="BN31" s="103">
        <f>'Income Statement'!BX116</f>
        <v>11738</v>
      </c>
      <c r="BO31" s="103">
        <f>'Income Statement'!BZ116</f>
        <v>11789</v>
      </c>
      <c r="BP31" s="103">
        <f>'Income Statement'!CA116</f>
        <v>11753</v>
      </c>
      <c r="BQ31" s="103">
        <f>'Income Statement'!CB116</f>
        <v>12010</v>
      </c>
      <c r="BR31" s="103">
        <f>'Income Statement'!CC116</f>
        <v>12511</v>
      </c>
      <c r="BS31" s="162" t="s">
        <v>689</v>
      </c>
      <c r="BV31" s="103">
        <f>'Income Statement'!Q116</f>
        <v>13954</v>
      </c>
      <c r="BW31" s="103">
        <f>'Income Statement'!V116</f>
        <v>12735</v>
      </c>
      <c r="BX31" s="103">
        <f>'Income Statement'!AA116</f>
        <v>14091</v>
      </c>
      <c r="BY31" s="103">
        <f>'Income Statement'!AF116</f>
        <v>12893</v>
      </c>
      <c r="BZ31" s="103">
        <f>'Income Statement'!AK116</f>
        <v>12913</v>
      </c>
      <c r="CA31" s="103">
        <f>'Income Statement'!AP116</f>
        <v>12694</v>
      </c>
      <c r="CB31" s="103">
        <f>'Income Statement'!AU116</f>
        <v>11926</v>
      </c>
      <c r="CC31" s="103">
        <f>'Income Statement'!AZ116</f>
        <v>10928</v>
      </c>
      <c r="CD31" s="103">
        <f>'Income Statement'!BE116</f>
        <v>10761</v>
      </c>
      <c r="CE31" s="103">
        <f>'Income Statement'!BJ116</f>
        <v>11130</v>
      </c>
      <c r="CF31" s="103">
        <f>'Income Statement'!BO116</f>
        <v>11132</v>
      </c>
      <c r="CG31" s="103">
        <f>'Income Statement'!BT116</f>
        <v>11618</v>
      </c>
      <c r="CH31" s="103">
        <f>'Income Statement'!BY116</f>
        <v>11738</v>
      </c>
      <c r="CI31" s="103">
        <f>'Income Statement'!CD116</f>
        <v>12511</v>
      </c>
      <c r="CJ31" s="103">
        <f>'Income Statement'!CE116</f>
        <v>12812.301213576728</v>
      </c>
      <c r="CK31" s="103">
        <f>'Income Statement'!CF116</f>
        <v>13037.520082713105</v>
      </c>
      <c r="CL31" s="103">
        <f>'Income Statement'!CG116</f>
        <v>13248.474518022122</v>
      </c>
      <c r="CM31" s="103">
        <f>'Income Statement'!CH116</f>
        <v>13446.562992775167</v>
      </c>
      <c r="CN31" s="103">
        <f>'Income Statement'!CI116</f>
        <v>13633.05060714542</v>
      </c>
    </row>
    <row r="32" spans="1:92">
      <c r="A32" s="160" t="s">
        <v>682</v>
      </c>
      <c r="B32" s="102"/>
      <c r="C32" s="103"/>
      <c r="D32" s="103"/>
      <c r="E32" s="103"/>
      <c r="F32" s="103"/>
      <c r="G32" s="103">
        <f>'Income Statement'!C109</f>
        <v>0</v>
      </c>
      <c r="H32" s="103">
        <f>'Income Statement'!D109</f>
        <v>0</v>
      </c>
      <c r="I32" s="103">
        <f>'Income Statement'!E109</f>
        <v>0</v>
      </c>
      <c r="J32" s="103">
        <f>'Income Statement'!F109</f>
        <v>0</v>
      </c>
      <c r="K32" s="103">
        <f>'Income Statement'!H109</f>
        <v>0</v>
      </c>
      <c r="L32" s="103">
        <f>'Income Statement'!I109</f>
        <v>0</v>
      </c>
      <c r="M32" s="103">
        <f>'Income Statement'!J109</f>
        <v>0</v>
      </c>
      <c r="N32" s="103">
        <f>'Income Statement'!K109</f>
        <v>0</v>
      </c>
      <c r="O32" s="103">
        <f>'Income Statement'!M109</f>
        <v>0</v>
      </c>
      <c r="P32" s="103">
        <f>'Income Statement'!N109</f>
        <v>0</v>
      </c>
      <c r="Q32" s="103">
        <f>'Income Statement'!O109</f>
        <v>0</v>
      </c>
      <c r="R32" s="103">
        <f>'Income Statement'!P109</f>
        <v>0</v>
      </c>
      <c r="S32" s="103">
        <f>'Income Statement'!R109</f>
        <v>0</v>
      </c>
      <c r="T32" s="103">
        <f>'Income Statement'!S109</f>
        <v>0</v>
      </c>
      <c r="U32" s="103">
        <f>'Income Statement'!T109</f>
        <v>0</v>
      </c>
      <c r="V32" s="103">
        <f>'Income Statement'!U109</f>
        <v>0</v>
      </c>
      <c r="W32" s="103">
        <f>'Income Statement'!W109</f>
        <v>0</v>
      </c>
      <c r="X32" s="103">
        <f>'Income Statement'!X109</f>
        <v>0</v>
      </c>
      <c r="Y32" s="103">
        <f>'Income Statement'!Y109</f>
        <v>0</v>
      </c>
      <c r="Z32" s="103">
        <f>'Income Statement'!Z109</f>
        <v>0</v>
      </c>
      <c r="AA32" s="103">
        <f>'Income Statement'!AB109</f>
        <v>0</v>
      </c>
      <c r="AB32" s="103">
        <f>'Income Statement'!AC109</f>
        <v>0</v>
      </c>
      <c r="AC32" s="103">
        <f>'Income Statement'!AD109</f>
        <v>0</v>
      </c>
      <c r="AD32" s="103">
        <f>'Income Statement'!AE109</f>
        <v>0</v>
      </c>
      <c r="AE32" s="103">
        <f>'Income Statement'!AG109</f>
        <v>0</v>
      </c>
      <c r="AF32" s="103">
        <f>'Income Statement'!AH109</f>
        <v>0</v>
      </c>
      <c r="AG32" s="103">
        <f>'Income Statement'!AI109</f>
        <v>0</v>
      </c>
      <c r="AH32" s="103">
        <f>'Income Statement'!AJ109</f>
        <v>0</v>
      </c>
      <c r="AI32" s="103">
        <f>'Income Statement'!AL109</f>
        <v>0</v>
      </c>
      <c r="AJ32" s="103">
        <f>'Income Statement'!AM109</f>
        <v>0</v>
      </c>
      <c r="AK32" s="103">
        <f>'Income Statement'!AN109</f>
        <v>0</v>
      </c>
      <c r="AL32" s="103">
        <f>'Income Statement'!AO109</f>
        <v>0</v>
      </c>
      <c r="AM32" s="103">
        <f>'Income Statement'!AQ109</f>
        <v>0</v>
      </c>
      <c r="AN32" s="103">
        <f>'Income Statement'!AR109</f>
        <v>0</v>
      </c>
      <c r="AO32" s="103">
        <f>'Income Statement'!AS109</f>
        <v>0</v>
      </c>
      <c r="AP32" s="103">
        <f>'Income Statement'!AT109</f>
        <v>0</v>
      </c>
      <c r="AQ32" s="103">
        <f>'Income Statement'!AV109</f>
        <v>8820</v>
      </c>
      <c r="AR32" s="103">
        <f>'Income Statement'!AW109</f>
        <v>8653</v>
      </c>
      <c r="AS32" s="103">
        <f>'Income Statement'!AX109</f>
        <v>8255</v>
      </c>
      <c r="AT32" s="103">
        <f>'Income Statement'!AY109</f>
        <v>8034</v>
      </c>
      <c r="AU32" s="103">
        <f>'Income Statement'!BA109</f>
        <v>7756</v>
      </c>
      <c r="AV32" s="103">
        <f>'Income Statement'!BB109</f>
        <v>7716</v>
      </c>
      <c r="AW32" s="103">
        <f>'Income Statement'!BC109</f>
        <v>7703</v>
      </c>
      <c r="AX32" s="103">
        <f>'Income Statement'!BD109</f>
        <v>7571</v>
      </c>
      <c r="AY32" s="103">
        <f>'Income Statement'!BF109</f>
        <v>7444</v>
      </c>
      <c r="AZ32" s="103">
        <f>'Income Statement'!BG109</f>
        <v>7463</v>
      </c>
      <c r="BA32" s="103">
        <f>'Income Statement'!BH109</f>
        <v>7461</v>
      </c>
      <c r="BB32" s="103">
        <f>'Income Statement'!BI109</f>
        <v>7375</v>
      </c>
      <c r="BC32" s="103">
        <f>'Income Statement'!BK109</f>
        <v>7388</v>
      </c>
      <c r="BD32" s="103">
        <f>'Income Statement'!BL109</f>
        <v>7830</v>
      </c>
      <c r="BE32" s="103">
        <f>'Income Statement'!BM109</f>
        <v>7147</v>
      </c>
      <c r="BF32" s="103">
        <f>'Income Statement'!BN109</f>
        <v>7193</v>
      </c>
      <c r="BG32" s="103">
        <f>'Income Statement'!BP109</f>
        <v>7365</v>
      </c>
      <c r="BH32" s="103">
        <f>'Income Statement'!BQ109</f>
        <v>7360</v>
      </c>
      <c r="BI32" s="103">
        <f>'Income Statement'!BR109</f>
        <v>7334</v>
      </c>
      <c r="BJ32" s="103">
        <f>'Income Statement'!BS109</f>
        <v>7359</v>
      </c>
      <c r="BK32" s="103">
        <f>'Income Statement'!BU109</f>
        <v>7092</v>
      </c>
      <c r="BL32" s="103">
        <f>'Income Statement'!BV109</f>
        <v>7149</v>
      </c>
      <c r="BM32" s="103">
        <f>'Income Statement'!BW109</f>
        <v>7188</v>
      </c>
      <c r="BN32" s="103">
        <f>'Income Statement'!BX109</f>
        <v>7147</v>
      </c>
      <c r="BO32" s="103">
        <f>'Income Statement'!BZ109</f>
        <v>7126</v>
      </c>
      <c r="BP32" s="103">
        <f>'Income Statement'!CA109</f>
        <v>7032</v>
      </c>
      <c r="BQ32" s="103">
        <f>'Income Statement'!CB109</f>
        <v>7185</v>
      </c>
      <c r="BR32" s="103">
        <f>'Income Statement'!CC109</f>
        <v>7589</v>
      </c>
      <c r="BV32" s="103">
        <f>'Income Statement'!Q109</f>
        <v>0</v>
      </c>
      <c r="BW32" s="103">
        <f>'Income Statement'!V109</f>
        <v>0</v>
      </c>
      <c r="BX32" s="103">
        <f>'Income Statement'!AA109</f>
        <v>0</v>
      </c>
      <c r="BY32" s="103">
        <f>'Income Statement'!AF109</f>
        <v>0</v>
      </c>
      <c r="BZ32" s="103">
        <f>'Income Statement'!AK109</f>
        <v>0</v>
      </c>
      <c r="CA32" s="103">
        <f>'Income Statement'!AP109</f>
        <v>0</v>
      </c>
      <c r="CB32" s="103">
        <f>'Income Statement'!AU109</f>
        <v>12299</v>
      </c>
      <c r="CC32" s="103">
        <f>'Income Statement'!AZ109</f>
        <v>8034</v>
      </c>
      <c r="CD32" s="103">
        <f>'Income Statement'!BE109</f>
        <v>7571</v>
      </c>
      <c r="CE32" s="103">
        <f>'Income Statement'!BJ109</f>
        <v>7375</v>
      </c>
      <c r="CF32" s="103">
        <f>'Income Statement'!BO109</f>
        <v>7193</v>
      </c>
      <c r="CG32" s="103">
        <f>'Income Statement'!BT109</f>
        <v>7359</v>
      </c>
      <c r="CH32" s="103">
        <f>'Income Statement'!BY109</f>
        <v>7147</v>
      </c>
      <c r="CI32" s="103">
        <f>'Income Statement'!CD109</f>
        <v>7589</v>
      </c>
      <c r="CJ32" s="103">
        <f>'Income Statement'!CE109</f>
        <v>7733.3282558056599</v>
      </c>
      <c r="CK32" s="103">
        <f>'Income Statement'!CF109</f>
        <v>7830.1546978803299</v>
      </c>
      <c r="CL32" s="103">
        <f>'Income Statement'!CG109</f>
        <v>7917.1055978750783</v>
      </c>
      <c r="CM32" s="103">
        <f>'Income Statement'!CH109</f>
        <v>7995.1408486083783</v>
      </c>
      <c r="CN32" s="103">
        <f>'Income Statement'!CI109</f>
        <v>8065.124659534541</v>
      </c>
    </row>
    <row r="33" spans="1:92">
      <c r="A33" s="160" t="s">
        <v>683</v>
      </c>
      <c r="B33" s="102"/>
      <c r="C33" s="103"/>
      <c r="D33" s="103"/>
      <c r="E33" s="103"/>
      <c r="F33" s="103"/>
      <c r="G33" s="103">
        <f>'Income Statement'!C103</f>
        <v>0</v>
      </c>
      <c r="H33" s="103">
        <f>'Income Statement'!D103</f>
        <v>0</v>
      </c>
      <c r="I33" s="103">
        <f>'Income Statement'!E103</f>
        <v>0</v>
      </c>
      <c r="J33" s="103">
        <f>'Income Statement'!F103</f>
        <v>0</v>
      </c>
      <c r="K33" s="103">
        <f>'Income Statement'!H103</f>
        <v>0</v>
      </c>
      <c r="L33" s="103">
        <f>'Income Statement'!I103</f>
        <v>0</v>
      </c>
      <c r="M33" s="103">
        <f>'Income Statement'!J103</f>
        <v>0</v>
      </c>
      <c r="N33" s="103">
        <f>'Income Statement'!K103</f>
        <v>0</v>
      </c>
      <c r="O33" s="103">
        <f>'Income Statement'!M103</f>
        <v>0</v>
      </c>
      <c r="P33" s="103">
        <f>'Income Statement'!N103</f>
        <v>0</v>
      </c>
      <c r="Q33" s="103">
        <f>'Income Statement'!O103</f>
        <v>0</v>
      </c>
      <c r="R33" s="103">
        <f>'Income Statement'!P103</f>
        <v>0</v>
      </c>
      <c r="S33" s="103">
        <f>'Income Statement'!R103</f>
        <v>0</v>
      </c>
      <c r="T33" s="103">
        <f>'Income Statement'!S103</f>
        <v>0</v>
      </c>
      <c r="U33" s="103">
        <f>'Income Statement'!T103</f>
        <v>0</v>
      </c>
      <c r="V33" s="103">
        <f>'Income Statement'!U103</f>
        <v>0</v>
      </c>
      <c r="W33" s="103">
        <f>'Income Statement'!W103</f>
        <v>0</v>
      </c>
      <c r="X33" s="103">
        <f>'Income Statement'!X103</f>
        <v>0</v>
      </c>
      <c r="Y33" s="103">
        <f>'Income Statement'!Y103</f>
        <v>0</v>
      </c>
      <c r="Z33" s="103">
        <f>'Income Statement'!Z103</f>
        <v>0</v>
      </c>
      <c r="AA33" s="103">
        <f>'Income Statement'!AB103</f>
        <v>0</v>
      </c>
      <c r="AB33" s="103">
        <f>'Income Statement'!AC103</f>
        <v>0</v>
      </c>
      <c r="AC33" s="103">
        <f>'Income Statement'!AD103</f>
        <v>0</v>
      </c>
      <c r="AD33" s="103">
        <f>'Income Statement'!AE103</f>
        <v>0</v>
      </c>
      <c r="AE33" s="103">
        <f>'Income Statement'!AG103</f>
        <v>0</v>
      </c>
      <c r="AF33" s="103">
        <f>'Income Statement'!AH103</f>
        <v>0</v>
      </c>
      <c r="AG33" s="103">
        <f>'Income Statement'!AI103</f>
        <v>0</v>
      </c>
      <c r="AH33" s="103">
        <f>'Income Statement'!AJ103</f>
        <v>0</v>
      </c>
      <c r="AI33" s="103">
        <f>'Income Statement'!AL103</f>
        <v>0</v>
      </c>
      <c r="AJ33" s="103">
        <f>'Income Statement'!AM103</f>
        <v>0</v>
      </c>
      <c r="AK33" s="103">
        <f>'Income Statement'!AN103</f>
        <v>0</v>
      </c>
      <c r="AL33" s="103">
        <f>'Income Statement'!AO103</f>
        <v>0</v>
      </c>
      <c r="AM33" s="103">
        <f>'Income Statement'!AQ103</f>
        <v>0</v>
      </c>
      <c r="AN33" s="103">
        <f>'Income Statement'!AR103</f>
        <v>0</v>
      </c>
      <c r="AO33" s="103">
        <f>'Income Statement'!AS103</f>
        <v>0</v>
      </c>
      <c r="AP33" s="103">
        <f>'Income Statement'!AT103</f>
        <v>0</v>
      </c>
      <c r="AQ33" s="103">
        <f>'Income Statement'!AV103</f>
        <v>2800</v>
      </c>
      <c r="AR33" s="103">
        <f>'Income Statement'!AW103</f>
        <v>2842</v>
      </c>
      <c r="AS33" s="103">
        <f>'Income Statement'!AX103</f>
        <v>2849</v>
      </c>
      <c r="AT33" s="103">
        <f>'Income Statement'!AY103</f>
        <v>2894</v>
      </c>
      <c r="AU33" s="103">
        <f>'Income Statement'!BA103</f>
        <v>2958</v>
      </c>
      <c r="AV33" s="103">
        <f>'Income Statement'!BB103</f>
        <v>3019</v>
      </c>
      <c r="AW33" s="103">
        <f>'Income Statement'!BC103</f>
        <v>3105</v>
      </c>
      <c r="AX33" s="103">
        <f>'Income Statement'!BD103</f>
        <v>3190</v>
      </c>
      <c r="AY33" s="103">
        <f>'Income Statement'!BF103</f>
        <v>3321</v>
      </c>
      <c r="AZ33" s="103">
        <f>'Income Statement'!BG103</f>
        <v>3438</v>
      </c>
      <c r="BA33" s="103">
        <f>'Income Statement'!BH103</f>
        <v>3581</v>
      </c>
      <c r="BB33" s="103">
        <f>'Income Statement'!BI103</f>
        <v>3755</v>
      </c>
      <c r="BC33" s="103">
        <f>'Income Statement'!BK103</f>
        <v>3833</v>
      </c>
      <c r="BD33" s="103">
        <f>'Income Statement'!BL103</f>
        <v>3801</v>
      </c>
      <c r="BE33" s="103">
        <f>'Income Statement'!BM103</f>
        <v>3855</v>
      </c>
      <c r="BF33" s="103">
        <f>'Income Statement'!BN103</f>
        <v>3939</v>
      </c>
      <c r="BG33" s="103">
        <f>'Income Statement'!BP103</f>
        <v>4006</v>
      </c>
      <c r="BH33" s="103">
        <f>'Income Statement'!BQ103</f>
        <v>4133</v>
      </c>
      <c r="BI33" s="103">
        <f>'Income Statement'!BR103</f>
        <v>4107</v>
      </c>
      <c r="BJ33" s="103">
        <f>'Income Statement'!BS103</f>
        <v>4259</v>
      </c>
      <c r="BK33" s="103">
        <f>'Income Statement'!BU103</f>
        <v>4324</v>
      </c>
      <c r="BL33" s="103">
        <f>'Income Statement'!BV103</f>
        <v>4398</v>
      </c>
      <c r="BM33" s="103">
        <f>'Income Statement'!BW103</f>
        <v>4478</v>
      </c>
      <c r="BN33" s="103">
        <f>'Income Statement'!BX103</f>
        <v>4591</v>
      </c>
      <c r="BO33" s="103">
        <f>'Income Statement'!BZ103</f>
        <v>4663</v>
      </c>
      <c r="BP33" s="103">
        <f>'Income Statement'!CA103</f>
        <v>4721</v>
      </c>
      <c r="BQ33" s="103">
        <f>'Income Statement'!CB103</f>
        <v>4825</v>
      </c>
      <c r="BR33" s="103">
        <f>'Income Statement'!CC103</f>
        <v>4922</v>
      </c>
      <c r="BV33" s="103">
        <f>'Income Statement'!Q103</f>
        <v>0</v>
      </c>
      <c r="BW33" s="103">
        <f>'Income Statement'!V103</f>
        <v>0</v>
      </c>
      <c r="BX33" s="103">
        <f>'Income Statement'!AA103</f>
        <v>0</v>
      </c>
      <c r="BY33" s="103">
        <f>'Income Statement'!AF103</f>
        <v>0</v>
      </c>
      <c r="BZ33" s="103">
        <f>'Income Statement'!AK103</f>
        <v>0</v>
      </c>
      <c r="CA33" s="103">
        <f>'Income Statement'!AP103</f>
        <v>0</v>
      </c>
      <c r="CB33" s="103">
        <f>'Income Statement'!AU103</f>
        <v>0</v>
      </c>
      <c r="CC33" s="103">
        <f>'Income Statement'!AZ103</f>
        <v>2894</v>
      </c>
      <c r="CD33" s="103">
        <f>'Income Statement'!BE103</f>
        <v>3190</v>
      </c>
      <c r="CE33" s="103">
        <f>'Income Statement'!BJ103</f>
        <v>3755</v>
      </c>
      <c r="CF33" s="103">
        <f>'Income Statement'!BO103</f>
        <v>3939</v>
      </c>
      <c r="CG33" s="103">
        <f>'Income Statement'!BT103</f>
        <v>4259</v>
      </c>
      <c r="CH33" s="103">
        <f>'Income Statement'!BY103</f>
        <v>4591</v>
      </c>
      <c r="CI33" s="103">
        <f>'Income Statement'!CD103</f>
        <v>4922</v>
      </c>
      <c r="CJ33" s="103">
        <f>'Income Statement'!CE103</f>
        <v>5078.9729577710677</v>
      </c>
      <c r="CK33" s="103">
        <f>'Income Statement'!CF103</f>
        <v>5207.3653848327749</v>
      </c>
      <c r="CL33" s="103">
        <f>'Income Statement'!CG103</f>
        <v>5331.3689201470434</v>
      </c>
      <c r="CM33" s="103">
        <f>'Income Statement'!CH103</f>
        <v>5451.4221441667887</v>
      </c>
      <c r="CN33" s="103">
        <f>'Income Statement'!CI103</f>
        <v>5567.9259476108791</v>
      </c>
    </row>
    <row r="34" spans="1:92">
      <c r="A34" s="102" t="s">
        <v>513</v>
      </c>
      <c r="B34" s="102"/>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f>'Income Statement'!AB196</f>
        <v>0</v>
      </c>
      <c r="AB34" s="103">
        <f>'Income Statement'!AC196</f>
        <v>0</v>
      </c>
      <c r="AC34" s="103">
        <f>'Income Statement'!AD196</f>
        <v>0</v>
      </c>
      <c r="AD34" s="103">
        <f>'Income Statement'!AE196</f>
        <v>0</v>
      </c>
      <c r="AE34" s="103">
        <f>'Income Statement'!AG196</f>
        <v>0</v>
      </c>
      <c r="AF34" s="103">
        <f>'Income Statement'!AH196</f>
        <v>0</v>
      </c>
      <c r="AG34" s="103">
        <f>'Income Statement'!AI196</f>
        <v>0</v>
      </c>
      <c r="AH34" s="103">
        <f>'Income Statement'!AJ196</f>
        <v>8800</v>
      </c>
      <c r="AI34" s="103">
        <f>'Income Statement'!AL196</f>
        <v>9000</v>
      </c>
      <c r="AJ34" s="103">
        <f>'Income Statement'!AM196</f>
        <v>9100</v>
      </c>
      <c r="AK34" s="103">
        <f>'Income Statement'!AN196</f>
        <v>9000</v>
      </c>
      <c r="AL34" s="103">
        <f>'Income Statement'!AO196</f>
        <v>8800</v>
      </c>
      <c r="AM34" s="103">
        <f>'Income Statement'!AQ196</f>
        <v>8500</v>
      </c>
      <c r="AN34" s="103">
        <f>'Income Statement'!AR196</f>
        <v>8400</v>
      </c>
      <c r="AO34" s="103">
        <f>'Income Statement'!AS196</f>
        <v>8500</v>
      </c>
      <c r="AP34" s="103">
        <f>'Income Statement'!AT196</f>
        <v>8700</v>
      </c>
      <c r="AQ34" s="103">
        <f>'Income Statement'!AV196</f>
        <v>8600</v>
      </c>
      <c r="AR34" s="103">
        <f>'Income Statement'!AW196</f>
        <v>8500</v>
      </c>
      <c r="AS34" s="103">
        <f>'Income Statement'!AX196</f>
        <v>8300</v>
      </c>
      <c r="AT34" s="103">
        <f>'Income Statement'!AY196</f>
        <v>8200</v>
      </c>
      <c r="AU34" s="103">
        <f>'Income Statement'!BA196</f>
        <v>8000</v>
      </c>
      <c r="AV34" s="103">
        <f>'Income Statement'!BB196</f>
        <v>8200</v>
      </c>
      <c r="AW34" s="103">
        <f>'Income Statement'!BC196</f>
        <v>8300</v>
      </c>
      <c r="AX34" s="103">
        <f>'Income Statement'!BD196</f>
        <v>8400</v>
      </c>
      <c r="AY34" s="103">
        <f>'Income Statement'!BF196</f>
        <v>8400</v>
      </c>
      <c r="AZ34" s="103">
        <f>'Income Statement'!BG196</f>
        <v>8400</v>
      </c>
      <c r="BA34" s="103">
        <f>'Income Statement'!BH196</f>
        <v>8500</v>
      </c>
      <c r="BB34" s="103">
        <f>'Income Statement'!BI196</f>
        <v>8700</v>
      </c>
      <c r="BC34" s="103">
        <f>'Income Statement'!BK196</f>
        <v>8300</v>
      </c>
      <c r="BD34" s="103">
        <f>'Income Statement'!BL196</f>
        <v>8400</v>
      </c>
      <c r="BE34" s="103">
        <f>'Income Statement'!BM196</f>
        <v>8600</v>
      </c>
      <c r="BF34" s="103">
        <f>'Income Statement'!BN196</f>
        <v>8800</v>
      </c>
      <c r="BG34" s="103">
        <f>'Income Statement'!BP196</f>
        <v>8900</v>
      </c>
      <c r="BH34" s="103">
        <f>'Income Statement'!BQ196</f>
        <v>8500</v>
      </c>
      <c r="BI34" s="103">
        <f>'Income Statement'!BR196</f>
        <v>8800</v>
      </c>
      <c r="BJ34" s="103">
        <f>'Income Statement'!BS196</f>
        <v>8500</v>
      </c>
      <c r="BK34" s="103">
        <f>'Income Statement'!BU196</f>
        <v>8500</v>
      </c>
      <c r="BL34" s="103">
        <f>'Income Statement'!BV196</f>
        <v>0</v>
      </c>
      <c r="BM34" s="103">
        <f>'Income Statement'!BW196</f>
        <v>0</v>
      </c>
      <c r="BN34" s="103">
        <f>'Income Statement'!BX196</f>
        <v>0</v>
      </c>
      <c r="BO34" s="103">
        <f>'Income Statement'!BZ196</f>
        <v>0</v>
      </c>
      <c r="BP34" s="103">
        <f>'Income Statement'!CA196</f>
        <v>0</v>
      </c>
      <c r="BQ34" s="103">
        <f>'Income Statement'!CB196</f>
        <v>0</v>
      </c>
      <c r="BR34" s="103">
        <f>'Income Statement'!CC196</f>
        <v>0</v>
      </c>
      <c r="BV34" s="103">
        <f>'Income Statement'!Q196</f>
        <v>0</v>
      </c>
      <c r="BW34" s="103">
        <f>'Income Statement'!V196</f>
        <v>0</v>
      </c>
      <c r="BX34" s="103">
        <f>'Income Statement'!AA196</f>
        <v>0</v>
      </c>
      <c r="BY34" s="103">
        <f>'Income Statement'!AF196</f>
        <v>0</v>
      </c>
      <c r="BZ34" s="103">
        <f>'Income Statement'!AK196</f>
        <v>8800</v>
      </c>
      <c r="CA34" s="103">
        <f>'Income Statement'!AP196</f>
        <v>8800</v>
      </c>
      <c r="CB34" s="103">
        <f>'Income Statement'!AU196</f>
        <v>8700</v>
      </c>
      <c r="CC34" s="103">
        <f>'Income Statement'!AZ196</f>
        <v>8200</v>
      </c>
      <c r="CD34" s="103">
        <f>'Income Statement'!BE196</f>
        <v>8400</v>
      </c>
      <c r="CE34" s="103">
        <f>'Income Statement'!BJ196</f>
        <v>8700</v>
      </c>
      <c r="CF34" s="103">
        <f>'Income Statement'!BO196</f>
        <v>8800</v>
      </c>
      <c r="CG34" s="103">
        <f>'Income Statement'!BT196</f>
        <v>8500</v>
      </c>
      <c r="CH34" s="103">
        <f>'Income Statement'!BY196</f>
        <v>0</v>
      </c>
      <c r="CI34" s="103">
        <f>'Income Statement'!CD196</f>
        <v>0</v>
      </c>
      <c r="CJ34" s="103">
        <f>'Income Statement'!CE196</f>
        <v>0</v>
      </c>
      <c r="CK34" s="103">
        <f>'Income Statement'!CF196</f>
        <v>0</v>
      </c>
      <c r="CL34" s="103">
        <f>'Income Statement'!CG196</f>
        <v>0</v>
      </c>
      <c r="CM34" s="103">
        <f>'Income Statement'!CH196</f>
        <v>0</v>
      </c>
      <c r="CN34" s="103">
        <f>'Income Statement'!CI196</f>
        <v>0</v>
      </c>
    </row>
    <row r="35" spans="1:92">
      <c r="A35" s="102" t="s">
        <v>282</v>
      </c>
      <c r="B35" s="102"/>
      <c r="C35" s="103"/>
      <c r="D35" s="103"/>
      <c r="E35" s="103"/>
      <c r="F35" s="103"/>
      <c r="G35" s="121"/>
      <c r="H35" s="121"/>
      <c r="I35" s="121"/>
      <c r="J35" s="121"/>
      <c r="K35" s="121"/>
      <c r="L35" s="121"/>
      <c r="M35" s="121"/>
      <c r="N35" s="121"/>
      <c r="O35" s="121"/>
      <c r="P35" s="121"/>
      <c r="Q35" s="121"/>
      <c r="R35" s="121"/>
      <c r="S35" s="121"/>
      <c r="T35" s="121"/>
      <c r="U35" s="121"/>
      <c r="V35" s="121"/>
      <c r="W35" s="121"/>
      <c r="X35" s="121"/>
      <c r="Y35" s="121"/>
      <c r="Z35" s="121"/>
      <c r="AA35" s="121">
        <f>'Income Statement'!AB206</f>
        <v>0</v>
      </c>
      <c r="AB35" s="121">
        <f>'Income Statement'!AC206</f>
        <v>0</v>
      </c>
      <c r="AC35" s="121">
        <f>'Income Statement'!AD206</f>
        <v>0</v>
      </c>
      <c r="AD35" s="121">
        <f>'Income Statement'!AE206</f>
        <v>0</v>
      </c>
      <c r="AE35" s="121">
        <f>'Income Statement'!AG206</f>
        <v>0</v>
      </c>
      <c r="AF35" s="121">
        <f>'Income Statement'!AH206</f>
        <v>0</v>
      </c>
      <c r="AG35" s="121">
        <f>'Income Statement'!AI206</f>
        <v>0</v>
      </c>
      <c r="AH35" s="121">
        <f>'Income Statement'!AJ206</f>
        <v>0</v>
      </c>
      <c r="AI35" s="121">
        <f>'Income Statement'!AL206</f>
        <v>0</v>
      </c>
      <c r="AJ35" s="121">
        <f>'Income Statement'!AM206</f>
        <v>0</v>
      </c>
      <c r="AK35" s="121">
        <f>'Income Statement'!AN206</f>
        <v>0</v>
      </c>
      <c r="AL35" s="121">
        <f>'Income Statement'!AO206</f>
        <v>8504.9800000000014</v>
      </c>
      <c r="AM35" s="121">
        <f>'Income Statement'!AQ206</f>
        <v>8247.7000000000007</v>
      </c>
      <c r="AN35" s="121">
        <f>'Income Statement'!AR206</f>
        <v>8329.32</v>
      </c>
      <c r="AO35" s="121">
        <f>'Income Statement'!AS206</f>
        <v>8673.119999999999</v>
      </c>
      <c r="AP35" s="121">
        <f>'Income Statement'!AT206</f>
        <v>8825.24</v>
      </c>
      <c r="AQ35" s="121">
        <f>'Income Statement'!AV206</f>
        <v>9063.6</v>
      </c>
      <c r="AR35" s="121">
        <f>'Income Statement'!AW206</f>
        <v>9006.5557756624657</v>
      </c>
      <c r="AS35" s="121">
        <f>'Income Statement'!AX206</f>
        <v>8730.8143757210055</v>
      </c>
      <c r="AT35" s="121">
        <f>'Income Statement'!AY206</f>
        <v>8785.0045189793527</v>
      </c>
      <c r="AU35" s="121">
        <f>'Income Statement'!BA206</f>
        <v>8785.48</v>
      </c>
      <c r="AV35" s="121">
        <f>'Income Statement'!BB206</f>
        <v>8910.0499999999993</v>
      </c>
      <c r="AW35" s="121">
        <f>'Income Statement'!BC206</f>
        <v>9078.7199999999993</v>
      </c>
      <c r="AX35" s="121">
        <f>'Income Statement'!BD206</f>
        <v>9146.85</v>
      </c>
      <c r="AY35" s="121">
        <f>'Income Statement'!BF206</f>
        <v>9150.25</v>
      </c>
      <c r="AZ35" s="121">
        <f>'Income Statement'!BG206</f>
        <v>9265.85</v>
      </c>
      <c r="BA35" s="121">
        <f>'Income Statement'!BH206</f>
        <v>9385.6999999999989</v>
      </c>
      <c r="BB35" s="121">
        <f>'Income Statement'!BI206</f>
        <v>9460.5</v>
      </c>
      <c r="BC35" s="121">
        <f>'Income Statement'!BK206</f>
        <v>9537.85</v>
      </c>
      <c r="BD35" s="121">
        <f>'Income Statement'!BL206</f>
        <v>9886.35</v>
      </c>
      <c r="BE35" s="121">
        <f>'Income Statement'!BM206</f>
        <v>9351.6999999999989</v>
      </c>
      <c r="BF35" s="121">
        <f>'Income Statement'!BN206</f>
        <v>9462.1999999999989</v>
      </c>
      <c r="BG35" s="121">
        <f>'Income Statement'!BP206</f>
        <v>9665.35</v>
      </c>
      <c r="BH35" s="121">
        <f>'Income Statement'!BQ206</f>
        <v>9769.0499999999993</v>
      </c>
      <c r="BI35" s="121">
        <f>'Income Statement'!BR206</f>
        <v>9724.85</v>
      </c>
      <c r="BJ35" s="121">
        <f>'Income Statement'!BS206</f>
        <v>9875.2999999999993</v>
      </c>
      <c r="BK35" s="121">
        <f>'Income Statement'!BU206</f>
        <v>9703.6</v>
      </c>
      <c r="BL35" s="121">
        <f>'Income Statement'!BV206</f>
        <v>0</v>
      </c>
      <c r="BM35" s="121">
        <f>'Income Statement'!BW206</f>
        <v>0</v>
      </c>
      <c r="BN35" s="121">
        <f>'Income Statement'!BX206</f>
        <v>0</v>
      </c>
      <c r="BO35" s="121">
        <f>'Income Statement'!BZ206</f>
        <v>0</v>
      </c>
      <c r="BP35" s="121">
        <f>'Income Statement'!CA206</f>
        <v>0</v>
      </c>
      <c r="BQ35" s="121">
        <f>'Income Statement'!CB206</f>
        <v>0</v>
      </c>
      <c r="BR35" s="121">
        <f>'Income Statement'!CC206</f>
        <v>0</v>
      </c>
      <c r="BV35" s="121">
        <f>'Income Statement'!Q206</f>
        <v>0</v>
      </c>
      <c r="BW35" s="121">
        <f>'Income Statement'!V206</f>
        <v>0</v>
      </c>
      <c r="BX35" s="121">
        <f>'Income Statement'!AA206</f>
        <v>0</v>
      </c>
      <c r="BY35" s="121">
        <f>'Income Statement'!AF206</f>
        <v>0</v>
      </c>
      <c r="BZ35" s="121">
        <f>'Income Statement'!AK206</f>
        <v>0</v>
      </c>
      <c r="CA35" s="121">
        <f>'Income Statement'!AP206</f>
        <v>8504.9800000000014</v>
      </c>
      <c r="CB35" s="121">
        <f>'Income Statement'!AU206</f>
        <v>8825.24</v>
      </c>
      <c r="CC35" s="121">
        <f>'Income Statement'!AZ206</f>
        <v>8785.0045189793527</v>
      </c>
      <c r="CD35" s="121">
        <f>'Income Statement'!BE206</f>
        <v>9146.85</v>
      </c>
      <c r="CE35" s="121">
        <f>'Income Statement'!BJ206</f>
        <v>9460.5</v>
      </c>
      <c r="CF35" s="121">
        <f>'Income Statement'!BO206</f>
        <v>9462.1999999999989</v>
      </c>
      <c r="CG35" s="121">
        <f>'Income Statement'!BT206</f>
        <v>9875.2999999999993</v>
      </c>
      <c r="CH35" s="121">
        <f>'Income Statement'!BY206</f>
        <v>0</v>
      </c>
      <c r="CI35" s="121">
        <f>'Income Statement'!CD206</f>
        <v>0</v>
      </c>
      <c r="CJ35" s="121">
        <f>'Income Statement'!CE206</f>
        <v>0</v>
      </c>
      <c r="CK35" s="121">
        <f>'Income Statement'!CF206</f>
        <v>0</v>
      </c>
      <c r="CL35" s="121">
        <f>'Income Statement'!CG206</f>
        <v>0</v>
      </c>
      <c r="CM35" s="121">
        <f>'Income Statement'!CH206</f>
        <v>0</v>
      </c>
      <c r="CN35" s="121">
        <f>'Income Statement'!CI206</f>
        <v>0</v>
      </c>
    </row>
    <row r="36" spans="1:92" s="84" customFormat="1">
      <c r="A36" s="104" t="s">
        <v>514</v>
      </c>
      <c r="B36" s="104"/>
      <c r="C36" s="105"/>
      <c r="D36" s="105"/>
      <c r="E36" s="105"/>
      <c r="F36" s="105"/>
      <c r="G36" s="122"/>
      <c r="H36" s="122"/>
      <c r="I36" s="122"/>
      <c r="J36" s="122"/>
      <c r="K36" s="122"/>
      <c r="L36" s="122"/>
      <c r="M36" s="122"/>
      <c r="N36" s="122"/>
      <c r="O36" s="122"/>
      <c r="P36" s="122"/>
      <c r="Q36" s="122"/>
      <c r="R36" s="122"/>
      <c r="S36" s="122"/>
      <c r="T36" s="122"/>
      <c r="U36" s="122"/>
      <c r="V36" s="122"/>
      <c r="W36" s="122"/>
      <c r="X36" s="122"/>
      <c r="Y36" s="122"/>
      <c r="Z36" s="122"/>
      <c r="AA36" s="122">
        <f>'Income Statement'!AB207</f>
        <v>0</v>
      </c>
      <c r="AB36" s="122">
        <f>'Income Statement'!AC207</f>
        <v>0</v>
      </c>
      <c r="AC36" s="122">
        <f>'Income Statement'!AD207</f>
        <v>0</v>
      </c>
      <c r="AD36" s="122">
        <f>'Income Statement'!AE207</f>
        <v>0</v>
      </c>
      <c r="AE36" s="122">
        <f>'Income Statement'!AG207</f>
        <v>0</v>
      </c>
      <c r="AF36" s="122">
        <f>'Income Statement'!AH207</f>
        <v>0</v>
      </c>
      <c r="AG36" s="122">
        <f>'Income Statement'!AI207</f>
        <v>0</v>
      </c>
      <c r="AH36" s="122">
        <f>'Income Statement'!AJ207</f>
        <v>0</v>
      </c>
      <c r="AI36" s="122">
        <f>'Income Statement'!AL207</f>
        <v>0</v>
      </c>
      <c r="AJ36" s="122">
        <f>'Income Statement'!AM207</f>
        <v>0</v>
      </c>
      <c r="AK36" s="122">
        <f>'Income Statement'!AN207</f>
        <v>0</v>
      </c>
      <c r="AL36" s="122">
        <f>'Income Statement'!AO207</f>
        <v>0.67</v>
      </c>
      <c r="AM36" s="122">
        <f>'Income Statement'!AQ207</f>
        <v>0.67</v>
      </c>
      <c r="AN36" s="122">
        <f>'Income Statement'!AR207</f>
        <v>0.68</v>
      </c>
      <c r="AO36" s="122">
        <f>'Income Statement'!AS207</f>
        <v>0.72</v>
      </c>
      <c r="AP36" s="122">
        <f>'Income Statement'!AT207</f>
        <v>0.74</v>
      </c>
      <c r="AQ36" s="122">
        <f>'Income Statement'!AV207</f>
        <v>0.78</v>
      </c>
      <c r="AR36" s="122">
        <f>'Income Statement'!AW207</f>
        <v>0.78351942372009264</v>
      </c>
      <c r="AS36" s="122">
        <f>'Income Statement'!AX207</f>
        <v>0.78627651078179084</v>
      </c>
      <c r="AT36" s="122">
        <f>'Income Statement'!AY207</f>
        <v>0.80389865656838877</v>
      </c>
      <c r="AU36" s="122">
        <f>'Income Statement'!BA207</f>
        <v>0.82</v>
      </c>
      <c r="AV36" s="122">
        <f>'Income Statement'!BB207</f>
        <v>0.83</v>
      </c>
      <c r="AW36" s="122">
        <f>'Income Statement'!BC207</f>
        <v>0.84</v>
      </c>
      <c r="AX36" s="122">
        <f>'Income Statement'!BD207</f>
        <v>0.85</v>
      </c>
      <c r="AY36" s="122">
        <f>'Income Statement'!BF207</f>
        <v>0.85</v>
      </c>
      <c r="AZ36" s="122">
        <f>'Income Statement'!BG207</f>
        <v>0.85</v>
      </c>
      <c r="BA36" s="122">
        <f>'Income Statement'!BH207</f>
        <v>0.85</v>
      </c>
      <c r="BB36" s="122">
        <f>'Income Statement'!BI207</f>
        <v>0.85</v>
      </c>
      <c r="BC36" s="122">
        <f>'Income Statement'!BK207</f>
        <v>0.85</v>
      </c>
      <c r="BD36" s="122">
        <f>'Income Statement'!BL207</f>
        <v>0.85</v>
      </c>
      <c r="BE36" s="122">
        <f>'Income Statement'!BM207</f>
        <v>0.85</v>
      </c>
      <c r="BF36" s="122">
        <f>'Income Statement'!BN207</f>
        <v>0.85</v>
      </c>
      <c r="BG36" s="122">
        <f>'Income Statement'!BP207</f>
        <v>0.85</v>
      </c>
      <c r="BH36" s="122">
        <f>'Income Statement'!BQ207</f>
        <v>0.85</v>
      </c>
      <c r="BI36" s="122">
        <f>'Income Statement'!BR207</f>
        <v>0.85</v>
      </c>
      <c r="BJ36" s="122">
        <f>'Income Statement'!BS207</f>
        <v>0.85</v>
      </c>
      <c r="BK36" s="122">
        <f>'Income Statement'!BU207</f>
        <v>0.85</v>
      </c>
      <c r="BL36" s="122">
        <f>'Income Statement'!BV207</f>
        <v>0</v>
      </c>
      <c r="BM36" s="122">
        <f>'Income Statement'!BW207</f>
        <v>0</v>
      </c>
      <c r="BN36" s="122">
        <f>'Income Statement'!BX207</f>
        <v>0</v>
      </c>
      <c r="BO36" s="122">
        <f>'Income Statement'!BZ207</f>
        <v>0</v>
      </c>
      <c r="BP36" s="122">
        <f>'Income Statement'!CA207</f>
        <v>0</v>
      </c>
      <c r="BQ36" s="122">
        <f>'Income Statement'!CB207</f>
        <v>0</v>
      </c>
      <c r="BR36" s="122">
        <f>'Income Statement'!CC207</f>
        <v>0</v>
      </c>
      <c r="BS36" s="123"/>
      <c r="BT36" s="123"/>
      <c r="BU36" s="123"/>
      <c r="BV36" s="122">
        <f>'Income Statement'!Q207</f>
        <v>0</v>
      </c>
      <c r="BW36" s="122">
        <f>'Income Statement'!V207</f>
        <v>0</v>
      </c>
      <c r="BX36" s="122">
        <f>'Income Statement'!AA207</f>
        <v>0</v>
      </c>
      <c r="BY36" s="122">
        <f>'Income Statement'!AF207</f>
        <v>0</v>
      </c>
      <c r="BZ36" s="122">
        <f>'Income Statement'!AK207</f>
        <v>0</v>
      </c>
      <c r="CA36" s="122">
        <f>'Income Statement'!AP207</f>
        <v>0.67000000000000015</v>
      </c>
      <c r="CB36" s="122">
        <f>'Income Statement'!AU207</f>
        <v>0.74</v>
      </c>
      <c r="CC36" s="122">
        <f>'Income Statement'!AZ207</f>
        <v>0.80389865656838877</v>
      </c>
      <c r="CD36" s="122">
        <f>'Income Statement'!BE207</f>
        <v>0.85000000000000009</v>
      </c>
      <c r="CE36" s="122">
        <f>'Income Statement'!BJ207</f>
        <v>0.85</v>
      </c>
      <c r="CF36" s="122">
        <f>'Income Statement'!BO207</f>
        <v>0.84999999999999987</v>
      </c>
      <c r="CG36" s="122">
        <f>'Income Statement'!BT207</f>
        <v>0.85</v>
      </c>
      <c r="CH36" s="122">
        <f>'Income Statement'!BY207</f>
        <v>0</v>
      </c>
      <c r="CI36" s="122">
        <f>'Income Statement'!CD207</f>
        <v>0</v>
      </c>
      <c r="CJ36" s="122">
        <f>'Income Statement'!CE207</f>
        <v>0</v>
      </c>
      <c r="CK36" s="122">
        <f>'Income Statement'!CF207</f>
        <v>0</v>
      </c>
      <c r="CL36" s="122">
        <f>'Income Statement'!CG207</f>
        <v>0</v>
      </c>
      <c r="CM36" s="122">
        <f>'Income Statement'!CH207</f>
        <v>0</v>
      </c>
      <c r="CN36" s="122">
        <f>'Income Statement'!CI207</f>
        <v>0</v>
      </c>
    </row>
    <row r="37" spans="1:92">
      <c r="A37" s="102" t="s">
        <v>515</v>
      </c>
      <c r="B37" s="102"/>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V37" s="106"/>
      <c r="BW37" s="106"/>
      <c r="BX37" s="106"/>
      <c r="BY37" s="106"/>
      <c r="BZ37" s="106"/>
      <c r="CA37" s="106"/>
      <c r="CB37" s="106"/>
      <c r="CC37" s="106"/>
      <c r="CD37" s="106"/>
      <c r="CE37" s="106"/>
      <c r="CF37" s="106"/>
      <c r="CG37" s="106"/>
      <c r="CH37" s="106"/>
      <c r="CI37" s="106"/>
      <c r="CJ37" s="106"/>
      <c r="CK37" s="106"/>
      <c r="CL37" s="106"/>
      <c r="CM37" s="106"/>
      <c r="CN37" s="106"/>
    </row>
    <row r="38" spans="1:92">
      <c r="A38" s="102" t="s">
        <v>516</v>
      </c>
      <c r="B38" s="102"/>
      <c r="C38" s="106"/>
      <c r="D38" s="106"/>
      <c r="E38" s="106"/>
      <c r="F38" s="106"/>
      <c r="G38" s="106"/>
      <c r="H38" s="106"/>
      <c r="I38" s="106"/>
      <c r="J38" s="106"/>
      <c r="K38" s="106"/>
      <c r="L38" s="106"/>
      <c r="M38" s="106"/>
      <c r="N38" s="106"/>
      <c r="O38" s="106">
        <f t="shared" ref="O38:AO38" si="36">O41/O19</f>
        <v>0</v>
      </c>
      <c r="P38" s="106">
        <f t="shared" si="36"/>
        <v>0</v>
      </c>
      <c r="Q38" s="106">
        <f t="shared" si="36"/>
        <v>0</v>
      </c>
      <c r="R38" s="106">
        <f t="shared" si="36"/>
        <v>0</v>
      </c>
      <c r="S38" s="106">
        <f t="shared" si="36"/>
        <v>0</v>
      </c>
      <c r="T38" s="106">
        <f t="shared" si="36"/>
        <v>0</v>
      </c>
      <c r="U38" s="106">
        <f t="shared" si="36"/>
        <v>0</v>
      </c>
      <c r="V38" s="106">
        <f t="shared" si="36"/>
        <v>0</v>
      </c>
      <c r="W38" s="106">
        <f t="shared" si="36"/>
        <v>0.18811394891944991</v>
      </c>
      <c r="X38" s="106">
        <f t="shared" si="36"/>
        <v>0.20230658337337817</v>
      </c>
      <c r="Y38" s="106">
        <f t="shared" si="36"/>
        <v>0.20280735721200388</v>
      </c>
      <c r="Z38" s="106">
        <f t="shared" si="36"/>
        <v>0.21790620558976789</v>
      </c>
      <c r="AA38" s="106">
        <f t="shared" si="36"/>
        <v>0.22555663117134558</v>
      </c>
      <c r="AB38" s="106">
        <f t="shared" si="36"/>
        <v>0.23994183228308288</v>
      </c>
      <c r="AC38" s="106">
        <f t="shared" si="36"/>
        <v>0.24670892247684056</v>
      </c>
      <c r="AD38" s="106">
        <f t="shared" si="36"/>
        <v>0.25889328063241107</v>
      </c>
      <c r="AE38" s="106">
        <f t="shared" si="36"/>
        <v>0.26830517153097799</v>
      </c>
      <c r="AF38" s="106">
        <f t="shared" si="36"/>
        <v>0.28951406649616368</v>
      </c>
      <c r="AG38" s="106">
        <f t="shared" si="36"/>
        <v>0.30267214799588898</v>
      </c>
      <c r="AH38" s="106">
        <f t="shared" si="36"/>
        <v>0.32092555331991951</v>
      </c>
      <c r="AI38" s="106">
        <f t="shared" si="36"/>
        <v>0</v>
      </c>
      <c r="AJ38" s="106">
        <f t="shared" si="36"/>
        <v>0</v>
      </c>
      <c r="AK38" s="106">
        <f t="shared" si="36"/>
        <v>0</v>
      </c>
      <c r="AL38" s="106">
        <f t="shared" si="36"/>
        <v>0</v>
      </c>
      <c r="AM38" s="106">
        <f t="shared" si="36"/>
        <v>0</v>
      </c>
      <c r="AN38" s="106">
        <f t="shared" si="36"/>
        <v>0</v>
      </c>
      <c r="AO38" s="106">
        <f t="shared" si="36"/>
        <v>0</v>
      </c>
      <c r="AP38" s="106">
        <f>AP41/AP19</f>
        <v>0</v>
      </c>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V38" s="106" t="e">
        <f t="shared" ref="BV38:BZ38" si="37">BV41/BV19</f>
        <v>#DIV/0!</v>
      </c>
      <c r="BW38" s="106" t="e">
        <f t="shared" si="37"/>
        <v>#DIV/0!</v>
      </c>
      <c r="BX38" s="106" t="e">
        <f t="shared" si="37"/>
        <v>#DIV/0!</v>
      </c>
      <c r="BY38" s="106" t="e">
        <f t="shared" si="37"/>
        <v>#DIV/0!</v>
      </c>
      <c r="BZ38" s="106" t="e">
        <f t="shared" si="37"/>
        <v>#DIV/0!</v>
      </c>
      <c r="CA38" s="106" t="e">
        <f t="shared" ref="CA38:CG38" si="38">CA41/CA19</f>
        <v>#DIV/0!</v>
      </c>
      <c r="CB38" s="106" t="e">
        <f t="shared" si="38"/>
        <v>#DIV/0!</v>
      </c>
      <c r="CC38" s="106" t="e">
        <f t="shared" si="38"/>
        <v>#DIV/0!</v>
      </c>
      <c r="CD38" s="106" t="e">
        <f t="shared" si="38"/>
        <v>#DIV/0!</v>
      </c>
      <c r="CE38" s="106" t="e">
        <f t="shared" si="38"/>
        <v>#DIV/0!</v>
      </c>
      <c r="CF38" s="106" t="e">
        <f t="shared" si="38"/>
        <v>#DIV/0!</v>
      </c>
      <c r="CG38" s="106">
        <f t="shared" si="38"/>
        <v>1.7077569929672654</v>
      </c>
      <c r="CH38" s="106">
        <f t="shared" ref="CH38:CN38" si="39">CH41/CH19</f>
        <v>0.74868560360476655</v>
      </c>
      <c r="CI38" s="106">
        <f t="shared" si="39"/>
        <v>0</v>
      </c>
      <c r="CJ38" s="106">
        <f t="shared" si="39"/>
        <v>0</v>
      </c>
      <c r="CK38" s="106">
        <f t="shared" si="39"/>
        <v>0</v>
      </c>
      <c r="CL38" s="106">
        <f t="shared" si="39"/>
        <v>0</v>
      </c>
      <c r="CM38" s="106">
        <f t="shared" si="39"/>
        <v>0</v>
      </c>
      <c r="CN38" s="106">
        <f t="shared" si="39"/>
        <v>0</v>
      </c>
    </row>
    <row r="39" spans="1:92">
      <c r="A39" s="102" t="s">
        <v>517</v>
      </c>
      <c r="B39" s="102"/>
      <c r="C39" s="103"/>
      <c r="D39" s="103"/>
      <c r="E39" s="103"/>
      <c r="F39" s="103"/>
      <c r="G39" s="103"/>
      <c r="H39" s="103"/>
      <c r="I39" s="103"/>
      <c r="J39" s="103"/>
      <c r="K39" s="103"/>
      <c r="L39" s="103"/>
      <c r="M39" s="103"/>
      <c r="N39" s="103"/>
      <c r="O39" s="103">
        <f>'Income Statement'!M214</f>
        <v>0</v>
      </c>
      <c r="P39" s="103">
        <f>'Income Statement'!N214</f>
        <v>0</v>
      </c>
      <c r="Q39" s="103">
        <f>'Income Statement'!O214</f>
        <v>0</v>
      </c>
      <c r="R39" s="103">
        <f>'Income Statement'!P214</f>
        <v>0</v>
      </c>
      <c r="S39" s="103">
        <f>'Income Statement'!R214</f>
        <v>0</v>
      </c>
      <c r="T39" s="103">
        <f>'Income Statement'!S214</f>
        <v>0</v>
      </c>
      <c r="U39" s="103">
        <f>'Income Statement'!T214</f>
        <v>0</v>
      </c>
      <c r="V39" s="103">
        <f>'Income Statement'!U214</f>
        <v>0</v>
      </c>
      <c r="W39" s="103">
        <f>'Income Statement'!W214</f>
        <v>1160</v>
      </c>
      <c r="X39" s="103">
        <f>'Income Statement'!X214</f>
        <v>1162</v>
      </c>
      <c r="Y39" s="103">
        <f>'Income Statement'!Y214</f>
        <v>1167</v>
      </c>
      <c r="Z39" s="103">
        <f>'Income Statement'!Z214</f>
        <v>1182</v>
      </c>
      <c r="AA39" s="103">
        <f>'Income Statement'!AB214</f>
        <v>1147</v>
      </c>
      <c r="AB39" s="103">
        <f>'Income Statement'!AC214</f>
        <v>1134</v>
      </c>
      <c r="AC39" s="103">
        <f>'Income Statement'!AD214</f>
        <v>1148</v>
      </c>
      <c r="AD39" s="103">
        <f>'Income Statement'!AE214</f>
        <v>1126</v>
      </c>
      <c r="AE39" s="103">
        <f>'Income Statement'!AG214</f>
        <v>1096</v>
      </c>
      <c r="AF39" s="103">
        <f>'Income Statement'!AH214</f>
        <v>1088</v>
      </c>
      <c r="AG39" s="103">
        <f>'Income Statement'!AI214</f>
        <v>1090</v>
      </c>
      <c r="AH39" s="103">
        <f>'Income Statement'!AJ214</f>
        <v>1096</v>
      </c>
      <c r="AI39" s="103">
        <f>'Income Statement'!AL214</f>
        <v>0</v>
      </c>
      <c r="AJ39" s="103">
        <f>'Income Statement'!AM214</f>
        <v>0</v>
      </c>
      <c r="AK39" s="103">
        <f>'Income Statement'!AN214</f>
        <v>0</v>
      </c>
      <c r="AL39" s="103">
        <f>'Income Statement'!AO214</f>
        <v>0</v>
      </c>
      <c r="AM39" s="103">
        <f>'Income Statement'!AQ214</f>
        <v>0</v>
      </c>
      <c r="AN39" s="103">
        <f>'Income Statement'!AR214</f>
        <v>0</v>
      </c>
      <c r="AO39" s="103">
        <f>'Income Statement'!AS214</f>
        <v>0</v>
      </c>
      <c r="AP39" s="103">
        <f>'Income Statement'!AT214</f>
        <v>0</v>
      </c>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V39" s="103">
        <f>'Income Statement'!Q214</f>
        <v>0</v>
      </c>
      <c r="BW39" s="103">
        <f>'Income Statement'!V214</f>
        <v>0</v>
      </c>
      <c r="BX39" s="103">
        <f>'Income Statement'!AA214</f>
        <v>4671</v>
      </c>
      <c r="BY39" s="103">
        <f>'Income Statement'!AF214</f>
        <v>4555</v>
      </c>
      <c r="BZ39" s="103">
        <f>'Income Statement'!AK214</f>
        <v>4370</v>
      </c>
      <c r="CA39" s="103">
        <f>'Income Statement'!AP214</f>
        <v>0</v>
      </c>
      <c r="CB39" s="103">
        <f>'Income Statement'!AU214</f>
        <v>3717.5752921789108</v>
      </c>
      <c r="CC39" s="103">
        <f>'Income Statement'!AZ214</f>
        <v>3246.9635703884701</v>
      </c>
      <c r="CD39" s="103">
        <f>'Income Statement'!BE214</f>
        <v>2781.0060415041285</v>
      </c>
      <c r="CE39" s="103">
        <f>'Income Statement'!BJ214</f>
        <v>2668.2456772461283</v>
      </c>
      <c r="CF39" s="103">
        <f>'Income Statement'!BO214</f>
        <v>2579.4208256667466</v>
      </c>
      <c r="CG39" s="103">
        <f>'Income Statement'!BT214</f>
        <v>2505.7470887158797</v>
      </c>
      <c r="CH39" s="103">
        <f>'Income Statement'!BY214</f>
        <v>2445.4123996153016</v>
      </c>
      <c r="CI39" s="103">
        <f>'Income Statement'!CD214</f>
        <v>2413.4887950644297</v>
      </c>
      <c r="CJ39" s="103">
        <f>'Income Statement'!CE214</f>
        <v>2395.9049465379303</v>
      </c>
      <c r="CK39" s="103">
        <f>'Income Statement'!CF214</f>
        <v>2324.9018249097476</v>
      </c>
      <c r="CL39" s="103">
        <f>'Income Statement'!CG214</f>
        <v>2270.5111503148041</v>
      </c>
      <c r="CM39" s="103">
        <f>'Income Statement'!CH214</f>
        <v>2214.5317515885831</v>
      </c>
      <c r="CN39" s="103">
        <f>'Income Statement'!CI214</f>
        <v>2157.4760857565157</v>
      </c>
    </row>
    <row r="40" spans="1:92">
      <c r="A40" s="102" t="s">
        <v>518</v>
      </c>
      <c r="B40" s="102"/>
      <c r="C40" s="103"/>
      <c r="D40" s="103"/>
      <c r="E40" s="103"/>
      <c r="F40" s="103"/>
      <c r="G40" s="103"/>
      <c r="H40" s="103"/>
      <c r="I40" s="103"/>
      <c r="J40" s="103"/>
      <c r="K40" s="103"/>
      <c r="L40" s="103"/>
      <c r="M40" s="103"/>
      <c r="N40" s="103"/>
      <c r="O40" s="103">
        <f>'Income Statement'!M216+'Income Statement'!M218+'Income Statement'!M219</f>
        <v>211</v>
      </c>
      <c r="P40" s="103">
        <f>'Income Statement'!N216+'Income Statement'!N218+'Income Statement'!N219</f>
        <v>203</v>
      </c>
      <c r="Q40" s="103">
        <f>'Income Statement'!O216+'Income Statement'!O218+'Income Statement'!O219</f>
        <v>212</v>
      </c>
      <c r="R40" s="103">
        <f>'Income Statement'!P216+'Income Statement'!P218+'Income Statement'!P219</f>
        <v>222</v>
      </c>
      <c r="S40" s="103">
        <f>'Income Statement'!R216+'Income Statement'!R218+'Income Statement'!R219</f>
        <v>0</v>
      </c>
      <c r="T40" s="103">
        <f>'Income Statement'!S216+'Income Statement'!S218+'Income Statement'!S219</f>
        <v>0</v>
      </c>
      <c r="U40" s="103">
        <f>'Income Statement'!T216+'Income Statement'!T218+'Income Statement'!T219</f>
        <v>0</v>
      </c>
      <c r="V40" s="103">
        <f>'Income Statement'!U216+'Income Statement'!U218+'Income Statement'!U219</f>
        <v>0</v>
      </c>
      <c r="W40" s="103">
        <f>'Income Statement'!W216+'Income Statement'!W218+'Income Statement'!W219</f>
        <v>748</v>
      </c>
      <c r="X40" s="103">
        <f>'Income Statement'!X216+'Income Statement'!X218+'Income Statement'!X219</f>
        <v>776</v>
      </c>
      <c r="Y40" s="103">
        <f>'Income Statement'!Y216+'Income Statement'!Y218+'Income Statement'!Y219</f>
        <v>774</v>
      </c>
      <c r="Z40" s="103">
        <f>'Income Statement'!Z216+'Income Statement'!Z218+'Income Statement'!Z219</f>
        <v>802</v>
      </c>
      <c r="AA40" s="103">
        <f>'Income Statement'!AB216+'Income Statement'!AB218+'Income Statement'!AB219</f>
        <v>786</v>
      </c>
      <c r="AB40" s="103">
        <f>'Income Statement'!AC216+'Income Statement'!AC218+'Income Statement'!AC219</f>
        <v>793</v>
      </c>
      <c r="AC40" s="103">
        <f>'Income Statement'!AD216+'Income Statement'!AD218+'Income Statement'!AD219</f>
        <v>781</v>
      </c>
      <c r="AD40" s="103">
        <f>'Income Statement'!AE216+'Income Statement'!AE218+'Income Statement'!AE219</f>
        <v>781</v>
      </c>
      <c r="AE40" s="103">
        <f>'Income Statement'!AG216+'Income Statement'!AG218+'Income Statement'!AG219</f>
        <v>747</v>
      </c>
      <c r="AF40" s="103">
        <f>'Income Statement'!AH216+'Income Statement'!AH218+'Income Statement'!AH219</f>
        <v>771</v>
      </c>
      <c r="AG40" s="103">
        <f>'Income Statement'!AI216+'Income Statement'!AI218+'Income Statement'!AI219</f>
        <v>773</v>
      </c>
      <c r="AH40" s="103">
        <f>'Income Statement'!AJ216+'Income Statement'!AJ218+'Income Statement'!AJ219</f>
        <v>809</v>
      </c>
      <c r="AI40" s="103">
        <f>'Income Statement'!AL216+'Income Statement'!AL218+'Income Statement'!AL219</f>
        <v>0</v>
      </c>
      <c r="AJ40" s="103">
        <f>'Income Statement'!AM216+'Income Statement'!AM218+'Income Statement'!AM219</f>
        <v>0</v>
      </c>
      <c r="AK40" s="103">
        <f>'Income Statement'!AN216+'Income Statement'!AN218+'Income Statement'!AN219</f>
        <v>0</v>
      </c>
      <c r="AL40" s="103">
        <f>'Income Statement'!AO216+'Income Statement'!AO218+'Income Statement'!AO219</f>
        <v>0</v>
      </c>
      <c r="AM40" s="103">
        <f>'Income Statement'!AQ216+'Income Statement'!AQ218+'Income Statement'!AQ219</f>
        <v>0</v>
      </c>
      <c r="AN40" s="103">
        <f>'Income Statement'!AR216+'Income Statement'!AR218+'Income Statement'!AR219</f>
        <v>0</v>
      </c>
      <c r="AO40" s="103">
        <f>'Income Statement'!AS216+'Income Statement'!AS218+'Income Statement'!AS219</f>
        <v>0</v>
      </c>
      <c r="AP40" s="103">
        <f>'Income Statement'!AT216+'Income Statement'!AT218+'Income Statement'!AT219</f>
        <v>0</v>
      </c>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V40" s="103">
        <f>'Income Statement'!Q216+'Income Statement'!Q218+'Income Statement'!Q219</f>
        <v>0</v>
      </c>
      <c r="BW40" s="103">
        <f>'Income Statement'!V216+'Income Statement'!V218+'Income Statement'!V219</f>
        <v>0</v>
      </c>
      <c r="BX40" s="103">
        <f>'Income Statement'!AA216+'Income Statement'!AA218+'Income Statement'!AA219</f>
        <v>3100</v>
      </c>
      <c r="BY40" s="103">
        <f>'Income Statement'!AF216+'Income Statement'!AF218+'Income Statement'!AF219</f>
        <v>3141</v>
      </c>
      <c r="BZ40" s="103">
        <f>'Income Statement'!AK216+'Income Statement'!AK218+'Income Statement'!AK219</f>
        <v>3100</v>
      </c>
      <c r="CA40" s="103">
        <f>'Income Statement'!AP216+'Income Statement'!AP218+'Income Statement'!AP219</f>
        <v>0</v>
      </c>
      <c r="CB40" s="103">
        <f>'Income Statement'!AU216+'Income Statement'!AU218+'Income Statement'!AU219</f>
        <v>3705.3547078210891</v>
      </c>
      <c r="CC40" s="103">
        <f>'Income Statement'!AZ216+'Income Statement'!AZ218+'Income Statement'!AZ219</f>
        <v>3780.641429611529</v>
      </c>
      <c r="CD40" s="103">
        <f>'Income Statement'!BE216+'Income Statement'!BE218+'Income Statement'!BE219</f>
        <v>4051.0289584958709</v>
      </c>
      <c r="CE40" s="103">
        <f>'Income Statement'!BJ216+'Income Statement'!BJ218+'Income Statement'!BJ219</f>
        <v>4456.4148227538726</v>
      </c>
      <c r="CF40" s="103">
        <f>'Income Statement'!BO216+'Income Statement'!BO218+'Income Statement'!BO219</f>
        <v>4048.6147243332525</v>
      </c>
      <c r="CG40" s="103">
        <f>'Income Statement'!BT216+'Income Statement'!BT218+'Income Statement'!BT219</f>
        <v>4209.6413612841197</v>
      </c>
      <c r="CH40" s="103">
        <f>'Income Statement'!BY216+'Income Statement'!BY218+'Income Statement'!BY219</f>
        <v>4618.7256003846987</v>
      </c>
      <c r="CI40" s="103">
        <f>'Income Statement'!CD216+'Income Statement'!CD218+'Income Statement'!CD219</f>
        <v>4809.2436049355692</v>
      </c>
      <c r="CJ40" s="103">
        <f>'Income Statement'!CE216+'Income Statement'!CE218+'Income Statement'!CE219</f>
        <v>4912.4285036164883</v>
      </c>
      <c r="CK40" s="103">
        <f>'Income Statement'!CF216+'Income Statement'!CF218+'Income Statement'!CF219</f>
        <v>5088.1129582662488</v>
      </c>
      <c r="CL40" s="103">
        <f>'Income Statement'!CG216+'Income Statement'!CG218+'Income Statement'!CG219</f>
        <v>5243.0697544888353</v>
      </c>
      <c r="CM40" s="103">
        <f>'Income Statement'!CH216+'Income Statement'!CH218+'Income Statement'!CH219</f>
        <v>5427.7609762418988</v>
      </c>
      <c r="CN40" s="103">
        <f>'Income Statement'!CI216+'Income Statement'!CI218+'Income Statement'!CI219</f>
        <v>5644.097099805831</v>
      </c>
    </row>
    <row r="41" spans="1:92">
      <c r="A41" s="102" t="s">
        <v>519</v>
      </c>
      <c r="B41" s="102"/>
      <c r="C41" s="103"/>
      <c r="D41" s="103"/>
      <c r="E41" s="103"/>
      <c r="F41" s="103"/>
      <c r="G41" s="103"/>
      <c r="H41" s="103"/>
      <c r="I41" s="103"/>
      <c r="J41" s="103"/>
      <c r="K41" s="103"/>
      <c r="L41" s="103"/>
      <c r="M41" s="103"/>
      <c r="N41" s="103"/>
      <c r="O41" s="103">
        <f>'Income Statement'!M216</f>
        <v>0</v>
      </c>
      <c r="P41" s="103">
        <f>'Income Statement'!N216</f>
        <v>0</v>
      </c>
      <c r="Q41" s="103">
        <f>'Income Statement'!O216</f>
        <v>0</v>
      </c>
      <c r="R41" s="103">
        <f>'Income Statement'!P216</f>
        <v>0</v>
      </c>
      <c r="S41" s="103">
        <f>'Income Statement'!R216</f>
        <v>0</v>
      </c>
      <c r="T41" s="103">
        <f>'Income Statement'!S216</f>
        <v>0</v>
      </c>
      <c r="U41" s="103">
        <f>'Income Statement'!T216</f>
        <v>0</v>
      </c>
      <c r="V41" s="103">
        <f>'Income Statement'!U216</f>
        <v>0</v>
      </c>
      <c r="W41" s="103">
        <f>'Income Statement'!W216</f>
        <v>383</v>
      </c>
      <c r="X41" s="103">
        <f>'Income Statement'!X216</f>
        <v>421</v>
      </c>
      <c r="Y41" s="103">
        <f>'Income Statement'!Y216</f>
        <v>419</v>
      </c>
      <c r="Z41" s="103">
        <f>'Income Statement'!Z216</f>
        <v>460</v>
      </c>
      <c r="AA41" s="103">
        <f>'Income Statement'!AB216</f>
        <v>466</v>
      </c>
      <c r="AB41" s="103">
        <f>'Income Statement'!AC216</f>
        <v>495</v>
      </c>
      <c r="AC41" s="103">
        <f>'Income Statement'!AD216</f>
        <v>506</v>
      </c>
      <c r="AD41" s="103">
        <f>'Income Statement'!AE216</f>
        <v>524</v>
      </c>
      <c r="AE41" s="103">
        <f>'Income Statement'!AG216</f>
        <v>524</v>
      </c>
      <c r="AF41" s="103">
        <f>'Income Statement'!AH216</f>
        <v>566</v>
      </c>
      <c r="AG41" s="103">
        <f>'Income Statement'!AI216</f>
        <v>589</v>
      </c>
      <c r="AH41" s="103">
        <f>'Income Statement'!AJ216</f>
        <v>638</v>
      </c>
      <c r="AI41" s="103">
        <f>'Income Statement'!AL216</f>
        <v>0</v>
      </c>
      <c r="AJ41" s="103">
        <f>'Income Statement'!AM216</f>
        <v>0</v>
      </c>
      <c r="AK41" s="103">
        <f>'Income Statement'!AN216</f>
        <v>0</v>
      </c>
      <c r="AL41" s="103">
        <f>'Income Statement'!AO216</f>
        <v>0</v>
      </c>
      <c r="AM41" s="103">
        <f>'Income Statement'!AQ216</f>
        <v>0</v>
      </c>
      <c r="AN41" s="103">
        <f>'Income Statement'!AR216</f>
        <v>0</v>
      </c>
      <c r="AO41" s="103">
        <f>'Income Statement'!AS216</f>
        <v>0</v>
      </c>
      <c r="AP41" s="103">
        <f>'Income Statement'!AT216</f>
        <v>0</v>
      </c>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V41" s="103">
        <f>'Income Statement'!Q216</f>
        <v>0</v>
      </c>
      <c r="BW41" s="103">
        <f>'Income Statement'!V216</f>
        <v>0</v>
      </c>
      <c r="BX41" s="103">
        <f>'Income Statement'!AA216</f>
        <v>1683</v>
      </c>
      <c r="BY41" s="103">
        <f>'Income Statement'!AF216</f>
        <v>1991</v>
      </c>
      <c r="BZ41" s="103">
        <f>'Income Statement'!AK216</f>
        <v>2317</v>
      </c>
      <c r="CA41" s="103">
        <f>'Income Statement'!AP216</f>
        <v>0</v>
      </c>
      <c r="CB41" s="103">
        <f>'Income Statement'!AU216</f>
        <v>3301.8299130434789</v>
      </c>
      <c r="CC41" s="103">
        <f>'Income Statement'!AZ216</f>
        <v>4224.0894573913038</v>
      </c>
      <c r="CD41" s="103">
        <f>'Income Statement'!BE216</f>
        <v>6275.0734063304353</v>
      </c>
      <c r="CE41" s="103">
        <f>'Income Statement'!BJ216</f>
        <v>7852.9685275934617</v>
      </c>
      <c r="CF41" s="103">
        <f>'Income Statement'!BO216</f>
        <v>9573.1312155551841</v>
      </c>
      <c r="CG41" s="103">
        <f>'Income Statement'!BT216</f>
        <v>9867.419905364859</v>
      </c>
      <c r="CH41" s="103">
        <f>'Income Statement'!BY216</f>
        <v>4468.1556823132469</v>
      </c>
      <c r="CI41" s="103">
        <f>'Income Statement'!CD216</f>
        <v>0</v>
      </c>
      <c r="CJ41" s="103">
        <f>'Income Statement'!CE216</f>
        <v>0</v>
      </c>
      <c r="CK41" s="103">
        <f>'Income Statement'!CF216</f>
        <v>0</v>
      </c>
      <c r="CL41" s="103">
        <f>'Income Statement'!CG216</f>
        <v>0</v>
      </c>
      <c r="CM41" s="103">
        <f>'Income Statement'!CH216</f>
        <v>0</v>
      </c>
      <c r="CN41" s="103">
        <f>'Income Statement'!CI216</f>
        <v>0</v>
      </c>
    </row>
    <row r="42" spans="1:92">
      <c r="A42" s="102" t="s">
        <v>520</v>
      </c>
      <c r="B42" s="102"/>
      <c r="C42" s="103"/>
      <c r="D42" s="103"/>
      <c r="E42" s="103"/>
      <c r="F42" s="103"/>
      <c r="G42" s="107"/>
      <c r="H42" s="107"/>
      <c r="I42" s="107"/>
      <c r="J42" s="107"/>
      <c r="K42" s="107"/>
      <c r="L42" s="107"/>
      <c r="M42" s="107"/>
      <c r="N42" s="107"/>
      <c r="O42" s="107"/>
      <c r="P42" s="107"/>
      <c r="Q42" s="107"/>
      <c r="R42" s="107"/>
      <c r="S42" s="107">
        <f>'Income Statement'!R173</f>
        <v>0</v>
      </c>
      <c r="T42" s="107">
        <f>'Income Statement'!S173</f>
        <v>0</v>
      </c>
      <c r="U42" s="107">
        <f>'Income Statement'!T173</f>
        <v>0</v>
      </c>
      <c r="V42" s="107">
        <f>'Income Statement'!U173</f>
        <v>0</v>
      </c>
      <c r="W42" s="107">
        <f>'Income Statement'!W173</f>
        <v>42.218074656188605</v>
      </c>
      <c r="X42" s="107">
        <f>'Income Statement'!X173</f>
        <v>41.480057664584336</v>
      </c>
      <c r="Y42" s="107">
        <f>'Income Statement'!Y173</f>
        <v>38.265246853823811</v>
      </c>
      <c r="Z42" s="107">
        <f>'Income Statement'!Z173</f>
        <v>37.540502131691142</v>
      </c>
      <c r="AA42" s="107">
        <f>'Income Statement'!AB173</f>
        <v>28.499515972894482</v>
      </c>
      <c r="AB42" s="107">
        <f>'Income Statement'!AC173</f>
        <v>28.317983519146878</v>
      </c>
      <c r="AC42" s="107">
        <f>'Income Statement'!AD173</f>
        <v>29.7220867869332</v>
      </c>
      <c r="AD42" s="107">
        <f>'Income Statement'!AE173</f>
        <v>30.092391304347828</v>
      </c>
      <c r="AE42" s="107">
        <f>'Income Statement'!AG173</f>
        <v>29.640552995391708</v>
      </c>
      <c r="AF42" s="107">
        <f>'Income Statement'!AH173</f>
        <v>30.28132992327366</v>
      </c>
      <c r="AG42" s="107">
        <f>'Income Statement'!AI173</f>
        <v>30.138746145940392</v>
      </c>
      <c r="AH42" s="107">
        <f>'Income Statement'!AJ173</f>
        <v>29.652917505030185</v>
      </c>
      <c r="AI42" s="107">
        <f>'Income Statement'!AL173</f>
        <v>0</v>
      </c>
      <c r="AJ42" s="107">
        <f>'Income Statement'!AM173</f>
        <v>0</v>
      </c>
      <c r="AK42" s="107">
        <f>'Income Statement'!AN173</f>
        <v>0</v>
      </c>
      <c r="AL42" s="107">
        <f>'Income Statement'!AO173</f>
        <v>0</v>
      </c>
      <c r="AM42" s="107">
        <f>'Income Statement'!AQ173</f>
        <v>0</v>
      </c>
      <c r="AN42" s="107">
        <f>'Income Statement'!AR173</f>
        <v>0</v>
      </c>
      <c r="AO42" s="107">
        <f>'Income Statement'!AS173</f>
        <v>0</v>
      </c>
      <c r="AP42" s="107">
        <f>'Income Statement'!AT173</f>
        <v>0</v>
      </c>
      <c r="AQ42" s="107"/>
      <c r="AR42" s="107"/>
      <c r="AS42" s="107"/>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V42" s="107">
        <f>'Income Statement'!Q173</f>
        <v>0</v>
      </c>
      <c r="BW42" s="107">
        <f>'Income Statement'!V173</f>
        <v>0</v>
      </c>
      <c r="BX42" s="107">
        <f>'Income Statement'!AA173</f>
        <v>40.651193633952253</v>
      </c>
      <c r="BY42" s="107">
        <f>'Income Statement'!AF173</f>
        <v>28.880414936251835</v>
      </c>
      <c r="BZ42" s="107">
        <f>'Income Statement'!AK173</f>
        <v>29.969644902634592</v>
      </c>
      <c r="CA42" s="107">
        <f>'Income Statement'!AP173</f>
        <v>27.600750180092909</v>
      </c>
      <c r="CB42" s="103">
        <f>'Income Statement'!AU173</f>
        <v>25.16636401420871</v>
      </c>
      <c r="CC42" s="103">
        <f>'Income Statement'!AZ173</f>
        <v>23.67903190096898</v>
      </c>
      <c r="CD42" s="103">
        <f>'Income Statement'!BE173</f>
        <v>21.370326290624501</v>
      </c>
      <c r="CE42" s="103">
        <f>'Income Statement'!BJ173</f>
        <v>20.314632171867647</v>
      </c>
      <c r="CF42" s="103">
        <f>'Income Statement'!BO173</f>
        <v>19.311089342577386</v>
      </c>
      <c r="CG42" s="103">
        <f>'Income Statement'!BT173</f>
        <v>18.357121529054066</v>
      </c>
      <c r="CH42" s="103">
        <f>'Income Statement'!BY173</f>
        <v>17.450279725518794</v>
      </c>
      <c r="CI42" s="103">
        <f>'Income Statement'!CD173</f>
        <v>16.588235907078161</v>
      </c>
      <c r="CJ42" s="103">
        <f>'Income Statement'!CE173</f>
        <v>15.768777053268501</v>
      </c>
      <c r="CK42" s="103">
        <f>'Income Statement'!CF173</f>
        <v>14.989799466837034</v>
      </c>
      <c r="CL42" s="103">
        <f>'Income Statement'!CG173</f>
        <v>14.396203407950289</v>
      </c>
      <c r="CM42" s="103">
        <f>'Income Statement'!CH173</f>
        <v>13.826113752995452</v>
      </c>
      <c r="CN42" s="103">
        <f>'Income Statement'!CI173</f>
        <v>13.278599648376831</v>
      </c>
    </row>
    <row r="43" spans="1:92">
      <c r="A43" s="102" t="s">
        <v>404</v>
      </c>
      <c r="B43" s="102"/>
      <c r="C43" s="103"/>
      <c r="D43" s="103"/>
      <c r="E43" s="103"/>
      <c r="F43" s="103"/>
      <c r="G43" s="107"/>
      <c r="H43" s="107"/>
      <c r="I43" s="107"/>
      <c r="J43" s="107"/>
      <c r="K43" s="107"/>
      <c r="L43" s="107"/>
      <c r="M43" s="107"/>
      <c r="N43" s="107"/>
      <c r="O43" s="107"/>
      <c r="P43" s="107"/>
      <c r="Q43" s="107"/>
      <c r="R43" s="107"/>
      <c r="S43" s="107">
        <f>'Income Statement'!R174+'Income Statement'!R175+'Income Statement'!R176</f>
        <v>0</v>
      </c>
      <c r="T43" s="107">
        <f>'Income Statement'!S174+'Income Statement'!S175+'Income Statement'!S176</f>
        <v>0</v>
      </c>
      <c r="U43" s="107">
        <f>'Income Statement'!T174+'Income Statement'!T175+'Income Statement'!T176</f>
        <v>0</v>
      </c>
      <c r="V43" s="107">
        <f>'Income Statement'!U174+'Income Statement'!U175+'Income Statement'!U176</f>
        <v>0</v>
      </c>
      <c r="W43" s="107">
        <f>'Income Statement'!W174+'Income Statement'!W175+'Income Statement'!W176</f>
        <v>9.7819253438113947</v>
      </c>
      <c r="X43" s="107">
        <f>'Income Statement'!X174+'Income Statement'!X175+'Income Statement'!X176</f>
        <v>10.519942335415665</v>
      </c>
      <c r="Y43" s="107">
        <f>'Income Statement'!Y174+'Income Statement'!Y175+'Income Statement'!Y176</f>
        <v>9.7347531461761854</v>
      </c>
      <c r="Z43" s="107">
        <f>'Income Statement'!Z174+'Income Statement'!Z175+'Income Statement'!Z176</f>
        <v>10.459497868308858</v>
      </c>
      <c r="AA43" s="107">
        <f>'Income Statement'!AB174+'Income Statement'!AB175+'Income Statement'!AB176</f>
        <v>17.500484027105518</v>
      </c>
      <c r="AB43" s="107">
        <f>'Income Statement'!AC174+'Income Statement'!AC175+'Income Statement'!AC176</f>
        <v>17.682016480853125</v>
      </c>
      <c r="AC43" s="107">
        <f>'Income Statement'!AD174+'Income Statement'!AD175+'Income Statement'!AD176</f>
        <v>18.277913213066796</v>
      </c>
      <c r="AD43" s="107">
        <f>'Income Statement'!AE174+'Income Statement'!AE175+'Income Statement'!AE176</f>
        <v>18.907608695652172</v>
      </c>
      <c r="AE43" s="107">
        <f>'Income Statement'!AG174+'Income Statement'!AG175+'Income Statement'!AG176</f>
        <v>18.359447004608295</v>
      </c>
      <c r="AF43" s="107">
        <f>'Income Statement'!AH174+'Income Statement'!AH175+'Income Statement'!AH176</f>
        <v>19.71867007672634</v>
      </c>
      <c r="AG43" s="107">
        <f>'Income Statement'!AI174+'Income Statement'!AI175+'Income Statement'!AI176</f>
        <v>19.861253854059608</v>
      </c>
      <c r="AH43" s="107">
        <f>'Income Statement'!AJ174+'Income Statement'!AJ175+'Income Statement'!AJ176</f>
        <v>20.347082494969818</v>
      </c>
      <c r="AI43" s="107">
        <f>'Income Statement'!AL174+'Income Statement'!AL175+'Income Statement'!AL176</f>
        <v>0</v>
      </c>
      <c r="AJ43" s="107">
        <f>'Income Statement'!AM174+'Income Statement'!AM175+'Income Statement'!AM176</f>
        <v>0</v>
      </c>
      <c r="AK43" s="107">
        <f>'Income Statement'!AN174+'Income Statement'!AN175+'Income Statement'!AN176</f>
        <v>0</v>
      </c>
      <c r="AL43" s="107">
        <f>'Income Statement'!AO174+'Income Statement'!AO175+'Income Statement'!AO176</f>
        <v>0</v>
      </c>
      <c r="AM43" s="107">
        <f>'Income Statement'!AQ174+'Income Statement'!AQ175+'Income Statement'!AQ176</f>
        <v>0</v>
      </c>
      <c r="AN43" s="107">
        <f>'Income Statement'!AR174+'Income Statement'!AR175+'Income Statement'!AR176</f>
        <v>0</v>
      </c>
      <c r="AO43" s="107">
        <f>'Income Statement'!AS174+'Income Statement'!AS175+'Income Statement'!AS176</f>
        <v>0</v>
      </c>
      <c r="AP43" s="107">
        <f>'Income Statement'!AT174+'Income Statement'!AT175+'Income Statement'!AT176</f>
        <v>0</v>
      </c>
      <c r="AQ43" s="107"/>
      <c r="AR43" s="107"/>
      <c r="AS43" s="107"/>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V43" s="107">
        <f>'Income Statement'!Q174+'Income Statement'!Q175+'Income Statement'!Q176</f>
        <v>0</v>
      </c>
      <c r="BW43" s="107">
        <f>'Income Statement'!V174+'Income Statement'!V175+'Income Statement'!V176</f>
        <v>0</v>
      </c>
      <c r="BX43" s="107">
        <f>'Income Statement'!AA174+'Income Statement'!AA175+'Income Statement'!AA176</f>
        <v>9.8262163414447556</v>
      </c>
      <c r="BY43" s="107">
        <f>'Income Statement'!AF174+'Income Statement'!AF175+'Income Statement'!AF176</f>
        <v>18.982930008900855</v>
      </c>
      <c r="BZ43" s="107">
        <f>'Income Statement'!AK174+'Income Statement'!AK175+'Income Statement'!AK176</f>
        <v>18.285702690948291</v>
      </c>
      <c r="CA43" s="107">
        <f>'Income Statement'!AP174+'Income Statement'!AP175+'Income Statement'!AP176</f>
        <v>22.053035894027452</v>
      </c>
      <c r="CB43" s="103">
        <f>'Income Statement'!AU174+'Income Statement'!AU175+'Income Statement'!AU176</f>
        <v>25.08363598579129</v>
      </c>
      <c r="CC43" s="103">
        <f>'Income Statement'!AZ174+'Income Statement'!AZ175+'Income Statement'!AZ176</f>
        <v>27.57096809903102</v>
      </c>
      <c r="CD43" s="103">
        <f>'Income Statement'!BE174+'Income Statement'!BE175+'Income Statement'!BE176</f>
        <v>31.129673709375499</v>
      </c>
      <c r="CE43" s="103">
        <f>'Income Statement'!BJ174+'Income Statement'!BJ175+'Income Statement'!BJ176</f>
        <v>30.685367828132357</v>
      </c>
      <c r="CF43" s="103">
        <f>'Income Statement'!BO174+'Income Statement'!BO175+'Income Statement'!BO176</f>
        <v>28.938910657422603</v>
      </c>
      <c r="CG43" s="103">
        <f>'Income Statement'!BT174+'Income Statement'!BT175+'Income Statement'!BT176</f>
        <v>28.367878470945932</v>
      </c>
      <c r="CH43" s="103">
        <f>'Income Statement'!BY174+'Income Statement'!BY175+'Income Statement'!BY176</f>
        <v>29.79972027448121</v>
      </c>
      <c r="CI43" s="103">
        <f>'Income Statement'!CD174+'Income Statement'!CD175+'Income Statement'!CD176</f>
        <v>30.011764092921847</v>
      </c>
      <c r="CJ43" s="103">
        <f>'Income Statement'!CE174+'Income Statement'!CE175+'Income Statement'!CE176</f>
        <v>29.417679169071057</v>
      </c>
      <c r="CK43" s="103">
        <f>'Income Statement'!CF174+'Income Statement'!CF175+'Income Statement'!CF176</f>
        <v>29.951212589446364</v>
      </c>
      <c r="CL43" s="103">
        <f>'Income Statement'!CG174+'Income Statement'!CG175+'Income Statement'!CG176</f>
        <v>30.43672639747713</v>
      </c>
      <c r="CM43" s="103">
        <f>'Income Statement'!CH174+'Income Statement'!CH175+'Income Statement'!CH176</f>
        <v>31.123443662675797</v>
      </c>
      <c r="CN43" s="103">
        <f>'Income Statement'!CI174+'Income Statement'!CI175+'Income Statement'!CI176</f>
        <v>32.012920473756225</v>
      </c>
    </row>
    <row r="44" spans="1:92">
      <c r="A44" s="102" t="s">
        <v>521</v>
      </c>
      <c r="B44" s="102"/>
      <c r="C44" s="103"/>
      <c r="D44" s="103"/>
      <c r="E44" s="103"/>
      <c r="F44" s="103"/>
      <c r="G44" s="85"/>
      <c r="H44" s="85"/>
      <c r="I44" s="85"/>
      <c r="J44" s="85"/>
      <c r="K44" s="85"/>
      <c r="L44" s="85"/>
      <c r="M44" s="85"/>
      <c r="N44" s="85"/>
      <c r="O44" s="85"/>
      <c r="P44" s="85"/>
      <c r="Q44" s="85"/>
      <c r="R44" s="85"/>
      <c r="S44" s="85">
        <f>'Income Statement'!R174</f>
        <v>0</v>
      </c>
      <c r="T44" s="85">
        <f>'Income Statement'!S174</f>
        <v>0</v>
      </c>
      <c r="U44" s="85">
        <f>'Income Statement'!T174</f>
        <v>0</v>
      </c>
      <c r="V44" s="85">
        <f>'Income Statement'!U174</f>
        <v>0</v>
      </c>
      <c r="W44" s="85">
        <f>'Income Statement'!W174</f>
        <v>9.7819253438113947</v>
      </c>
      <c r="X44" s="85">
        <f>'Income Statement'!X174</f>
        <v>10.519942335415665</v>
      </c>
      <c r="Y44" s="85">
        <f>'Income Statement'!Y174</f>
        <v>9.7347531461761854</v>
      </c>
      <c r="Z44" s="85">
        <f>'Income Statement'!Z174</f>
        <v>10.459497868308858</v>
      </c>
      <c r="AA44" s="85">
        <f>'Income Statement'!AB174</f>
        <v>10.375605033881897</v>
      </c>
      <c r="AB44" s="85">
        <f>'Income Statement'!AC174</f>
        <v>11.037324285021812</v>
      </c>
      <c r="AC44" s="85">
        <f>'Income Statement'!AD174</f>
        <v>11.842028278888346</v>
      </c>
      <c r="AD44" s="85">
        <f>'Income Statement'!AE174</f>
        <v>12.685770750988143</v>
      </c>
      <c r="AE44" s="85">
        <f>'Income Statement'!AG174</f>
        <v>12.878648233486944</v>
      </c>
      <c r="AF44" s="85">
        <f>'Income Statement'!AH174</f>
        <v>14.475703324808183</v>
      </c>
      <c r="AG44" s="85">
        <f>'Income Statement'!AI174</f>
        <v>15.13360739979445</v>
      </c>
      <c r="AH44" s="85">
        <f>'Income Statement'!AJ174</f>
        <v>16.046277665995976</v>
      </c>
      <c r="AI44" s="85">
        <f>'Income Statement'!AL174</f>
        <v>0</v>
      </c>
      <c r="AJ44" s="85">
        <f>'Income Statement'!AM174</f>
        <v>0</v>
      </c>
      <c r="AK44" s="85">
        <f>'Income Statement'!AN174</f>
        <v>0</v>
      </c>
      <c r="AL44" s="85">
        <f>'Income Statement'!AO174</f>
        <v>0</v>
      </c>
      <c r="AM44" s="85">
        <f>'Income Statement'!AQ174</f>
        <v>0</v>
      </c>
      <c r="AN44" s="85">
        <f>'Income Statement'!AR174</f>
        <v>0</v>
      </c>
      <c r="AO44" s="85">
        <f>'Income Statement'!AS174</f>
        <v>0</v>
      </c>
      <c r="AP44" s="85">
        <f>'Income Statement'!AT174</f>
        <v>0</v>
      </c>
      <c r="AQ44" s="85"/>
      <c r="AR44" s="85"/>
      <c r="AS44" s="85"/>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V44" s="85">
        <f>'Income Statement'!Q174</f>
        <v>0</v>
      </c>
      <c r="BW44" s="85">
        <f>'Income Statement'!V174</f>
        <v>0</v>
      </c>
      <c r="BX44" s="85">
        <f>'Income Statement'!AA174</f>
        <v>10.348806366047747</v>
      </c>
      <c r="BY44" s="85">
        <f>'Income Statement'!AF174</f>
        <v>11.485544050277806</v>
      </c>
      <c r="BZ44" s="85">
        <f>'Income Statement'!AK174</f>
        <v>14.597365406643757</v>
      </c>
      <c r="CA44" s="85">
        <f>'Income Statement'!AP174</f>
        <v>17.697469135802468</v>
      </c>
      <c r="CB44" s="74">
        <f>'Income Statement'!AU174</f>
        <v>22.351949045785805</v>
      </c>
      <c r="CC44" s="74">
        <f>'Income Statement'!AZ174</f>
        <v>30.804887965573524</v>
      </c>
      <c r="CD44" s="74">
        <f>'Income Statement'!BE174</f>
        <v>48.220091646536922</v>
      </c>
      <c r="CE44" s="74">
        <f>'Income Statement'!BJ174</f>
        <v>59.788410211148125</v>
      </c>
      <c r="CF44" s="74">
        <f>'Income Statement'!BO174</f>
        <v>71.670194468565143</v>
      </c>
      <c r="CG44" s="74">
        <f>'Income Statement'!BT174</f>
        <v>72.288790515493474</v>
      </c>
      <c r="CH44" s="74">
        <f>'Income Statement'!BY174</f>
        <v>31.884424290069976</v>
      </c>
      <c r="CI44" s="74">
        <f>'Income Statement'!CD174</f>
        <v>0</v>
      </c>
      <c r="CJ44" s="74">
        <f>'Income Statement'!CE174</f>
        <v>0</v>
      </c>
      <c r="CK44" s="74">
        <f>'Income Statement'!CF174</f>
        <v>0</v>
      </c>
      <c r="CL44" s="74">
        <f>'Income Statement'!CG174</f>
        <v>0</v>
      </c>
      <c r="CM44" s="74">
        <f>'Income Statement'!CH174</f>
        <v>0</v>
      </c>
      <c r="CN44" s="74">
        <f>'Income Statement'!CI174</f>
        <v>0</v>
      </c>
    </row>
    <row r="45" spans="1:92">
      <c r="A45" s="102" t="s">
        <v>522</v>
      </c>
      <c r="B45" s="102"/>
      <c r="C45" s="108"/>
      <c r="D45" s="108"/>
      <c r="E45" s="108"/>
      <c r="F45" s="108"/>
      <c r="G45" s="108"/>
      <c r="H45" s="108"/>
      <c r="I45" s="108"/>
      <c r="J45" s="108"/>
      <c r="K45" s="108"/>
      <c r="L45" s="108"/>
      <c r="M45" s="108"/>
      <c r="N45" s="108"/>
      <c r="O45" s="108"/>
      <c r="P45" s="108"/>
      <c r="Q45" s="108"/>
      <c r="R45" s="108"/>
      <c r="S45" s="108">
        <f>'Income Statement'!R128</f>
        <v>0</v>
      </c>
      <c r="T45" s="108">
        <f>'Income Statement'!S128</f>
        <v>0</v>
      </c>
      <c r="U45" s="108">
        <f>'Income Statement'!T128</f>
        <v>0</v>
      </c>
      <c r="V45" s="108">
        <f>'Income Statement'!U128</f>
        <v>0</v>
      </c>
      <c r="W45" s="108">
        <f>'Income Statement'!W128</f>
        <v>0.24124614089250632</v>
      </c>
      <c r="X45" s="108">
        <f>'Income Statement'!X128</f>
        <v>0.23702890094048193</v>
      </c>
      <c r="Y45" s="108">
        <f>'Income Statement'!Y128</f>
        <v>0.23915779283639882</v>
      </c>
      <c r="Z45" s="108">
        <f>'Income Statement'!Z128</f>
        <v>0.22751819473752208</v>
      </c>
      <c r="AA45" s="108">
        <f>'Income Statement'!AB128</f>
        <v>0.1781219748305905</v>
      </c>
      <c r="AB45" s="108">
        <f>'Income Statement'!AC128</f>
        <v>0.18152553537914665</v>
      </c>
      <c r="AC45" s="108">
        <f>'Income Statement'!AD128</f>
        <v>0.19426200514335426</v>
      </c>
      <c r="AD45" s="108">
        <f>'Income Statement'!AE128</f>
        <v>0.1941444600280505</v>
      </c>
      <c r="AE45" s="108">
        <f>'Income Statement'!AG128</f>
        <v>0.19247112334669941</v>
      </c>
      <c r="AF45" s="108">
        <f>'Income Statement'!AH128</f>
        <v>0.18808279455449478</v>
      </c>
      <c r="AG45" s="108">
        <f>'Income Statement'!AI128</f>
        <v>0.18265906755115388</v>
      </c>
      <c r="AH45" s="108">
        <f>'Income Statement'!AJ128</f>
        <v>0.17650546133946537</v>
      </c>
      <c r="AI45" s="108">
        <f>'Income Statement'!AL128</f>
        <v>0</v>
      </c>
      <c r="AJ45" s="108">
        <f>'Income Statement'!AM128</f>
        <v>0</v>
      </c>
      <c r="AK45" s="108">
        <f>'Income Statement'!AN128</f>
        <v>0</v>
      </c>
      <c r="AL45" s="108">
        <f>'Income Statement'!AO128</f>
        <v>0</v>
      </c>
      <c r="AM45" s="108">
        <f>'Income Statement'!AQ128</f>
        <v>0</v>
      </c>
      <c r="AN45" s="108">
        <f>'Income Statement'!AR128</f>
        <v>0</v>
      </c>
      <c r="AO45" s="108">
        <f>'Income Statement'!AS128</f>
        <v>0</v>
      </c>
      <c r="AP45" s="108">
        <f>'Income Statement'!AT128</f>
        <v>0</v>
      </c>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V45" s="108">
        <f>'Income Statement'!Q128</f>
        <v>0</v>
      </c>
      <c r="BW45" s="108">
        <f>'Income Statement'!V128</f>
        <v>0</v>
      </c>
      <c r="BX45" s="108">
        <f>'Income Statement'!AA128</f>
        <v>0.2377262785611243</v>
      </c>
      <c r="BY45" s="108">
        <f>'Income Statement'!AF128</f>
        <v>0.18513086497597331</v>
      </c>
      <c r="BZ45" s="108">
        <f>'Income Statement'!AK128</f>
        <v>0.18688045559360092</v>
      </c>
      <c r="CA45" s="108">
        <f>'Income Statement'!AP128</f>
        <v>0.1870748242364092</v>
      </c>
      <c r="CB45" s="108">
        <f>'Income Statement'!AU128</f>
        <v>0.18146257950931691</v>
      </c>
      <c r="CC45" s="108">
        <f>'Income Statement'!AZ128</f>
        <v>0.17601870212403739</v>
      </c>
      <c r="CD45" s="108">
        <f>'Income Statement'!BE128</f>
        <v>0.1672177670178355</v>
      </c>
      <c r="CE45" s="108">
        <f>'Income Statement'!BJ128</f>
        <v>0.16387341167747879</v>
      </c>
      <c r="CF45" s="108">
        <f>'Income Statement'!BO128</f>
        <v>0.16059594344392922</v>
      </c>
      <c r="CG45" s="108">
        <f>'Income Statement'!BT128</f>
        <v>0.15738402457505063</v>
      </c>
      <c r="CH45" s="108">
        <f>'Income Statement'!BY128</f>
        <v>0.15423634408354961</v>
      </c>
      <c r="CI45" s="108">
        <f>'Income Statement'!CD128</f>
        <v>0.15115161720187861</v>
      </c>
      <c r="CJ45" s="108">
        <f>'Income Statement'!CE128</f>
        <v>0.14812858485784103</v>
      </c>
      <c r="CK45" s="108">
        <f>'Income Statement'!CF128</f>
        <v>0.1451660131606842</v>
      </c>
      <c r="CL45" s="108">
        <f>'Income Statement'!CG128</f>
        <v>0.14226269289747051</v>
      </c>
      <c r="CM45" s="108">
        <f>'Income Statement'!CH128</f>
        <v>0.13941743903952108</v>
      </c>
      <c r="CN45" s="108">
        <f>'Income Statement'!CI128</f>
        <v>0.13662909025873066</v>
      </c>
    </row>
    <row r="46" spans="1:92">
      <c r="A46" s="102" t="s">
        <v>523</v>
      </c>
      <c r="B46" s="102"/>
      <c r="C46" s="103"/>
      <c r="D46" s="103"/>
      <c r="E46" s="103"/>
      <c r="F46" s="103"/>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V46" s="74"/>
      <c r="BW46" s="74"/>
      <c r="BX46" s="74"/>
      <c r="BY46" s="74"/>
      <c r="BZ46" s="74"/>
      <c r="CA46" s="74"/>
      <c r="CB46" s="74"/>
      <c r="CC46" s="74"/>
      <c r="CD46" s="74"/>
      <c r="CE46" s="74"/>
      <c r="CF46" s="74"/>
      <c r="CG46" s="74"/>
      <c r="CH46" s="74"/>
      <c r="CI46" s="74"/>
      <c r="CJ46" s="74"/>
      <c r="CK46" s="74"/>
      <c r="CL46" s="74"/>
      <c r="CM46" s="74"/>
      <c r="CN46" s="74"/>
    </row>
    <row r="47" spans="1:92">
      <c r="A47" s="109" t="s">
        <v>524</v>
      </c>
      <c r="B47" s="109"/>
      <c r="C47" s="108"/>
      <c r="D47" s="108"/>
      <c r="E47" s="108"/>
      <c r="F47" s="108"/>
      <c r="G47" s="75"/>
      <c r="H47" s="75"/>
      <c r="I47" s="75"/>
      <c r="J47" s="75"/>
      <c r="K47" s="75"/>
      <c r="L47" s="75"/>
      <c r="M47" s="75"/>
      <c r="N47" s="75"/>
      <c r="O47" s="75"/>
      <c r="P47" s="75"/>
      <c r="Q47" s="75"/>
      <c r="R47" s="75"/>
      <c r="S47" s="75"/>
      <c r="T47" s="75"/>
      <c r="U47" s="75"/>
      <c r="V47" s="75"/>
      <c r="W47" s="75"/>
      <c r="X47" s="75"/>
      <c r="Y47" s="75"/>
      <c r="Z47" s="75"/>
      <c r="AA47" s="75"/>
      <c r="AB47" s="75">
        <f>'Income Statement'!AC189</f>
        <v>0</v>
      </c>
      <c r="AC47" s="75">
        <f>'Income Statement'!AD189</f>
        <v>0</v>
      </c>
      <c r="AD47" s="75">
        <f>'Income Statement'!AE189</f>
        <v>0</v>
      </c>
      <c r="AE47" s="75">
        <f>'Income Statement'!AG189</f>
        <v>0</v>
      </c>
      <c r="AF47" s="75">
        <f>'Income Statement'!AH189</f>
        <v>0</v>
      </c>
      <c r="AG47" s="75">
        <f>'Income Statement'!AI189</f>
        <v>0</v>
      </c>
      <c r="AH47" s="75">
        <f>'Income Statement'!AJ189</f>
        <v>0</v>
      </c>
      <c r="AI47" s="75">
        <f>'Income Statement'!AL189</f>
        <v>0</v>
      </c>
      <c r="AJ47" s="75">
        <f>'Income Statement'!AM189</f>
        <v>0</v>
      </c>
      <c r="AK47" s="75">
        <f>'Income Statement'!AN189</f>
        <v>0</v>
      </c>
      <c r="AL47" s="75">
        <f>'Income Statement'!AO189</f>
        <v>0</v>
      </c>
      <c r="AM47" s="75">
        <f>'Income Statement'!AQ189</f>
        <v>0</v>
      </c>
      <c r="AN47" s="75">
        <f>'Income Statement'!AR189</f>
        <v>0</v>
      </c>
      <c r="AO47" s="75">
        <f>'Income Statement'!AS189</f>
        <v>0</v>
      </c>
      <c r="AP47" s="75">
        <f>'Income Statement'!AT189</f>
        <v>0</v>
      </c>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V47" s="75">
        <f>'Income Statement'!Q189</f>
        <v>0</v>
      </c>
      <c r="BW47" s="75">
        <f>'Income Statement'!V189</f>
        <v>0</v>
      </c>
      <c r="BX47" s="75">
        <f>'Income Statement'!AA189</f>
        <v>0</v>
      </c>
      <c r="BY47" s="75">
        <f>'Income Statement'!AF189</f>
        <v>0</v>
      </c>
      <c r="BZ47" s="75">
        <f>'Income Statement'!AK189</f>
        <v>0</v>
      </c>
      <c r="CA47" s="75">
        <f>'Income Statement'!AP189</f>
        <v>0</v>
      </c>
      <c r="CB47" s="75">
        <f>'Income Statement'!AU189</f>
        <v>11.65217391304348</v>
      </c>
      <c r="CC47" s="75">
        <f>'Income Statement'!AZ189</f>
        <v>7.9234782608695662</v>
      </c>
      <c r="CD47" s="75">
        <f>'Income Statement'!BE189</f>
        <v>6.5764869565217392</v>
      </c>
      <c r="CE47" s="75">
        <f>'Income Statement'!BJ189</f>
        <v>5.5143843130434789</v>
      </c>
      <c r="CF47" s="75">
        <f>'Income Statement'!BO189</f>
        <v>4.6683398998147831</v>
      </c>
      <c r="CG47" s="75">
        <f>'Income Statement'!BT189</f>
        <v>3.9879118531421542</v>
      </c>
      <c r="CH47" s="75">
        <f>'Income Statement'!BY189</f>
        <v>3.4357214012404818</v>
      </c>
      <c r="CI47" s="75">
        <f>'Income Statement'!CD189</f>
        <v>3.0789232905329174</v>
      </c>
      <c r="CJ47" s="75">
        <f>'Income Statement'!CE189</f>
        <v>2.8231274596651352</v>
      </c>
      <c r="CK47" s="75">
        <f>'Income Statement'!CF189</f>
        <v>2.6354919348929151</v>
      </c>
      <c r="CL47" s="75">
        <f>'Income Statement'!CG189</f>
        <v>2.4953602775584658</v>
      </c>
      <c r="CM47" s="75">
        <f>'Income Statement'!CH189</f>
        <v>2.3892157003852397</v>
      </c>
      <c r="CN47" s="75">
        <f>'Income Statement'!CI189</f>
        <v>2.2875861711450147</v>
      </c>
    </row>
    <row r="48" spans="1:92">
      <c r="A48" s="102"/>
      <c r="B48" s="102"/>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V48" s="74"/>
      <c r="BW48" s="74"/>
      <c r="BX48" s="74"/>
      <c r="BY48" s="74"/>
      <c r="BZ48" s="74"/>
      <c r="CA48" s="74"/>
      <c r="CB48" s="74"/>
      <c r="CC48" s="74"/>
      <c r="CD48" s="74"/>
      <c r="CE48" s="74"/>
      <c r="CF48" s="74"/>
      <c r="CG48" s="74"/>
      <c r="CH48" s="74"/>
      <c r="CI48" s="74"/>
      <c r="CJ48" s="74"/>
      <c r="CK48" s="74"/>
      <c r="CL48" s="74"/>
      <c r="CM48" s="74"/>
      <c r="CN48" s="74"/>
    </row>
    <row r="49" spans="1:92">
      <c r="A49" s="102" t="s">
        <v>525</v>
      </c>
      <c r="B49" s="102"/>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V49" s="74"/>
      <c r="BW49" s="74"/>
      <c r="BX49" s="74"/>
      <c r="BY49" s="74"/>
      <c r="BZ49" s="74"/>
      <c r="CA49" s="74"/>
      <c r="CB49" s="74"/>
      <c r="CC49" s="74"/>
      <c r="CD49" s="74"/>
      <c r="CE49" s="74"/>
      <c r="CF49" s="74"/>
      <c r="CG49" s="74"/>
      <c r="CH49" s="74"/>
      <c r="CI49" s="74"/>
      <c r="CJ49" s="74"/>
      <c r="CK49" s="74"/>
      <c r="CL49" s="74"/>
      <c r="CM49" s="74"/>
      <c r="CN49" s="74"/>
    </row>
    <row r="50" spans="1:92">
      <c r="A50" s="102" t="s">
        <v>526</v>
      </c>
      <c r="B50" s="102"/>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V50" s="74"/>
      <c r="BW50" s="74"/>
      <c r="BX50" s="74"/>
      <c r="BY50" s="74"/>
      <c r="BZ50" s="74"/>
      <c r="CA50" s="74"/>
      <c r="CB50" s="74"/>
      <c r="CC50" s="74"/>
      <c r="CD50" s="74"/>
      <c r="CE50" s="74"/>
      <c r="CF50" s="74"/>
      <c r="CG50" s="74"/>
      <c r="CH50" s="74"/>
      <c r="CI50" s="74"/>
      <c r="CJ50" s="74"/>
      <c r="CK50" s="74"/>
      <c r="CL50" s="74"/>
      <c r="CM50" s="74"/>
      <c r="CN50" s="74"/>
    </row>
    <row r="51" spans="1:92">
      <c r="A51" s="102" t="s">
        <v>527</v>
      </c>
      <c r="B51" s="102"/>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V51" s="74"/>
      <c r="BW51" s="74"/>
      <c r="BX51" s="74"/>
      <c r="BY51" s="74"/>
      <c r="BZ51" s="74"/>
      <c r="CA51" s="74"/>
      <c r="CB51" s="74"/>
      <c r="CC51" s="74"/>
      <c r="CD51" s="74"/>
      <c r="CE51" s="74"/>
      <c r="CF51" s="74"/>
      <c r="CG51" s="74"/>
      <c r="CH51" s="74"/>
      <c r="CI51" s="74"/>
      <c r="CJ51" s="74"/>
      <c r="CK51" s="74"/>
      <c r="CL51" s="74"/>
      <c r="CM51" s="74"/>
      <c r="CN51" s="74"/>
    </row>
    <row r="52" spans="1:92">
      <c r="A52" s="102" t="s">
        <v>528</v>
      </c>
      <c r="B52" s="102"/>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V52" s="74"/>
      <c r="BW52" s="74"/>
      <c r="BX52" s="74"/>
      <c r="BY52" s="74"/>
      <c r="BZ52" s="74"/>
      <c r="CA52" s="74"/>
      <c r="CB52" s="74"/>
      <c r="CC52" s="74"/>
      <c r="CD52" s="74"/>
      <c r="CE52" s="74"/>
      <c r="CF52" s="74"/>
      <c r="CG52" s="74"/>
      <c r="CH52" s="74"/>
      <c r="CI52" s="74"/>
      <c r="CJ52" s="74"/>
      <c r="CK52" s="74"/>
      <c r="CL52" s="74"/>
      <c r="CM52" s="74"/>
      <c r="CN52" s="74"/>
    </row>
    <row r="53" spans="1:92">
      <c r="A53" s="102" t="s">
        <v>529</v>
      </c>
      <c r="B53" s="102"/>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V53" s="74"/>
      <c r="BW53" s="74"/>
      <c r="BX53" s="74"/>
      <c r="BY53" s="74"/>
      <c r="BZ53" s="74"/>
      <c r="CA53" s="74"/>
      <c r="CB53" s="74"/>
      <c r="CC53" s="74"/>
      <c r="CD53" s="74"/>
      <c r="CE53" s="74"/>
      <c r="CF53" s="74"/>
      <c r="CG53" s="74"/>
      <c r="CH53" s="74"/>
      <c r="CI53" s="74"/>
      <c r="CJ53" s="74"/>
      <c r="CK53" s="74"/>
      <c r="CL53" s="74"/>
      <c r="CM53" s="74"/>
      <c r="CN53" s="74"/>
    </row>
    <row r="54" spans="1:92">
      <c r="A54" s="76" t="s">
        <v>530</v>
      </c>
      <c r="B54" s="76"/>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78"/>
      <c r="AF54" s="78"/>
      <c r="AG54" s="78"/>
      <c r="AH54" s="78"/>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8" t="s">
        <v>716</v>
      </c>
      <c r="BG54" s="77"/>
      <c r="BH54" s="77"/>
      <c r="BI54" s="77"/>
      <c r="BJ54" s="77"/>
      <c r="BK54" s="77"/>
      <c r="BL54" s="77"/>
      <c r="BM54" s="77"/>
      <c r="BN54" s="77"/>
      <c r="BO54" s="77"/>
      <c r="BP54" s="77"/>
      <c r="BQ54" s="77"/>
      <c r="BR54" s="77"/>
      <c r="BV54" s="77"/>
      <c r="BW54" s="77"/>
      <c r="BX54" s="77"/>
      <c r="BY54" s="77"/>
      <c r="BZ54" s="77"/>
      <c r="CA54" s="77"/>
      <c r="CB54" s="77"/>
      <c r="CC54" s="77"/>
      <c r="CD54" s="77"/>
      <c r="CE54" s="77"/>
      <c r="CF54" s="77"/>
      <c r="CG54" s="77"/>
      <c r="CH54" s="77"/>
      <c r="CI54" s="77"/>
      <c r="CJ54" s="77"/>
      <c r="CK54" s="77"/>
      <c r="CL54" s="77"/>
      <c r="CM54" s="77"/>
      <c r="CN54" s="77"/>
    </row>
    <row r="55" spans="1:92">
      <c r="A55" s="111" t="s">
        <v>507</v>
      </c>
      <c r="B55" s="111"/>
      <c r="C55" s="112"/>
      <c r="D55" s="112"/>
      <c r="E55" s="112"/>
      <c r="F55" s="112"/>
      <c r="G55" s="112"/>
      <c r="H55" s="112"/>
      <c r="I55" s="112"/>
      <c r="J55" s="112"/>
      <c r="K55" s="112"/>
      <c r="L55" s="112"/>
      <c r="M55" s="112"/>
      <c r="N55" s="112"/>
      <c r="O55" s="112"/>
      <c r="P55" s="112"/>
      <c r="Q55" s="112"/>
      <c r="R55" s="112"/>
      <c r="S55" s="112"/>
      <c r="T55" s="112"/>
      <c r="U55" s="112"/>
      <c r="V55" s="112"/>
      <c r="W55" s="171">
        <v>8</v>
      </c>
      <c r="X55" s="171">
        <v>13</v>
      </c>
      <c r="Y55" s="171">
        <v>9</v>
      </c>
      <c r="Z55" s="171">
        <v>11</v>
      </c>
      <c r="AA55" s="171">
        <v>14</v>
      </c>
      <c r="AB55" s="171">
        <v>16</v>
      </c>
      <c r="AC55" s="171">
        <v>18</v>
      </c>
      <c r="AD55" s="171">
        <v>23</v>
      </c>
      <c r="AE55" s="171">
        <v>25</v>
      </c>
      <c r="AF55" s="171">
        <v>29</v>
      </c>
      <c r="AG55" s="171">
        <v>31</v>
      </c>
      <c r="AH55" s="171">
        <v>34</v>
      </c>
      <c r="AI55" s="171">
        <v>38</v>
      </c>
      <c r="AJ55" s="171">
        <v>41</v>
      </c>
      <c r="AK55" s="171">
        <v>45</v>
      </c>
      <c r="AL55" s="171">
        <v>47</v>
      </c>
      <c r="AM55" s="171">
        <v>50</v>
      </c>
      <c r="AN55" s="171">
        <v>54</v>
      </c>
      <c r="AO55" s="171">
        <v>57</v>
      </c>
      <c r="AP55" s="171">
        <v>59</v>
      </c>
      <c r="AQ55" s="171">
        <v>62</v>
      </c>
      <c r="AR55" s="171">
        <v>65</v>
      </c>
      <c r="AS55" s="171">
        <v>71</v>
      </c>
      <c r="AT55" s="171">
        <v>70</v>
      </c>
      <c r="AU55" s="171">
        <v>75</v>
      </c>
      <c r="AV55" s="171">
        <v>79</v>
      </c>
      <c r="AW55" s="171">
        <v>80</v>
      </c>
      <c r="AX55" s="171">
        <v>80</v>
      </c>
      <c r="AY55" s="171">
        <v>80</v>
      </c>
      <c r="AZ55" s="171">
        <v>86</v>
      </c>
      <c r="BA55" s="172">
        <v>95</v>
      </c>
      <c r="BB55" s="172">
        <v>104</v>
      </c>
      <c r="BC55" s="171">
        <v>113</v>
      </c>
      <c r="BD55" s="171">
        <v>113</v>
      </c>
      <c r="BE55" s="171">
        <v>120</v>
      </c>
      <c r="BF55" s="171">
        <v>127</v>
      </c>
      <c r="BG55" s="112">
        <v>134</v>
      </c>
      <c r="BH55" s="112">
        <v>141</v>
      </c>
      <c r="BI55" s="112">
        <v>148</v>
      </c>
      <c r="BJ55" s="112">
        <v>157</v>
      </c>
      <c r="BK55" s="112">
        <v>163</v>
      </c>
      <c r="BL55" s="112">
        <v>173</v>
      </c>
      <c r="BM55" s="112">
        <v>180</v>
      </c>
      <c r="BN55" s="112">
        <v>187</v>
      </c>
      <c r="BO55" s="112">
        <v>192</v>
      </c>
      <c r="BP55" s="112">
        <f>'Income Statement'!CA406</f>
        <v>201</v>
      </c>
      <c r="BQ55" s="112">
        <f>'Income Statement'!CB406</f>
        <v>201</v>
      </c>
      <c r="BR55" s="112">
        <f>'Income Statement'!CC406</f>
        <v>215</v>
      </c>
      <c r="BS55" t="s">
        <v>692</v>
      </c>
      <c r="BV55" s="112">
        <f>'Income Statement'!Q406</f>
        <v>0</v>
      </c>
      <c r="BW55" s="112">
        <f>'Income Statement'!V406</f>
        <v>0</v>
      </c>
      <c r="BX55" s="112">
        <f>'Income Statement'!AA406</f>
        <v>0</v>
      </c>
      <c r="BY55" s="112">
        <f>'Income Statement'!AF406</f>
        <v>0</v>
      </c>
      <c r="BZ55" s="112">
        <f>'Income Statement'!AK406</f>
        <v>0</v>
      </c>
      <c r="CA55" s="112">
        <f>'Income Statement'!AP406</f>
        <v>0</v>
      </c>
      <c r="CB55" s="112">
        <f>'Income Statement'!AU406</f>
        <v>0</v>
      </c>
      <c r="CC55" s="112">
        <f>'Income Statement'!AZ406</f>
        <v>0</v>
      </c>
      <c r="CD55" s="510">
        <f>'Income Statement'!BE406</f>
        <v>0</v>
      </c>
      <c r="CE55" s="510">
        <f>'Income Statement'!BJ406</f>
        <v>0</v>
      </c>
      <c r="CF55" s="510">
        <f>'Income Statement'!BO406</f>
        <v>0</v>
      </c>
      <c r="CG55" s="510">
        <f>'Income Statement'!BT406</f>
        <v>580</v>
      </c>
      <c r="CH55" s="510">
        <f>'Income Statement'!BY406</f>
        <v>703</v>
      </c>
      <c r="CI55" s="510">
        <f>'Income Statement'!CD406</f>
        <v>809</v>
      </c>
      <c r="CJ55" s="510">
        <f>'Income Statement'!CE406</f>
        <v>909.9303345275772</v>
      </c>
      <c r="CK55" s="510">
        <f>'Income Statement'!CF406</f>
        <v>1027.3184062374492</v>
      </c>
      <c r="CL55" s="510">
        <f>'Income Statement'!CG406</f>
        <v>1142.1012041276826</v>
      </c>
      <c r="CM55" s="510">
        <f>'Income Statement'!CH406</f>
        <v>1261.2962768383172</v>
      </c>
      <c r="CN55" s="510">
        <f>'Income Statement'!CI406</f>
        <v>1379.8175932967367</v>
      </c>
    </row>
    <row r="56" spans="1:92">
      <c r="A56" s="111" t="s">
        <v>2</v>
      </c>
      <c r="B56" s="111"/>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79"/>
      <c r="BB56" s="79"/>
      <c r="BC56" s="112"/>
      <c r="BD56" s="112"/>
      <c r="BE56" s="112"/>
      <c r="BF56" s="112"/>
      <c r="BG56" s="112"/>
      <c r="BH56" s="112"/>
      <c r="BI56" s="112"/>
      <c r="BJ56" s="112"/>
      <c r="BK56" s="112"/>
      <c r="BL56" s="112"/>
      <c r="BM56" s="112"/>
      <c r="BN56" s="112"/>
      <c r="BO56" s="112"/>
      <c r="BP56" s="112"/>
      <c r="BQ56" s="112"/>
      <c r="BR56" s="112"/>
      <c r="BV56" s="112"/>
      <c r="BW56" s="112"/>
      <c r="BX56" s="112"/>
      <c r="BY56" s="112"/>
      <c r="BZ56" s="112"/>
      <c r="CA56" s="112"/>
      <c r="CB56" s="112"/>
      <c r="CC56" s="112"/>
      <c r="CD56" s="79"/>
      <c r="CE56" s="79"/>
      <c r="CF56" s="79"/>
      <c r="CG56" s="79"/>
      <c r="CH56" s="79"/>
      <c r="CI56" s="79"/>
      <c r="CJ56" s="79"/>
      <c r="CK56" s="79"/>
      <c r="CL56" s="79"/>
      <c r="CM56" s="79"/>
      <c r="CN56" s="79"/>
    </row>
    <row r="57" spans="1:92">
      <c r="A57" s="80" t="s">
        <v>99</v>
      </c>
      <c r="B57" s="80"/>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4"/>
      <c r="BB57" s="114"/>
      <c r="BC57" s="113"/>
      <c r="BD57" s="113"/>
      <c r="BE57" s="113"/>
      <c r="BF57" s="113"/>
      <c r="BG57" s="113"/>
      <c r="BH57" s="113"/>
      <c r="BI57" s="113"/>
      <c r="BJ57" s="113"/>
      <c r="BK57" s="113"/>
      <c r="BL57" s="113"/>
      <c r="BM57" s="113"/>
      <c r="BN57" s="113"/>
      <c r="BO57" s="113"/>
      <c r="BP57" s="113"/>
      <c r="BQ57" s="113"/>
      <c r="BR57" s="113"/>
      <c r="BV57" s="113"/>
      <c r="BW57" s="113"/>
      <c r="BX57" s="113"/>
      <c r="BY57" s="113"/>
      <c r="BZ57" s="113"/>
      <c r="CA57" s="113"/>
      <c r="CB57" s="113"/>
      <c r="CC57" s="113"/>
      <c r="CD57" s="114"/>
      <c r="CE57" s="114"/>
      <c r="CF57" s="114"/>
      <c r="CG57" s="114"/>
      <c r="CH57" s="114"/>
      <c r="CI57" s="114"/>
      <c r="CJ57" s="114"/>
      <c r="CK57" s="114"/>
      <c r="CL57" s="114"/>
      <c r="CM57" s="114"/>
      <c r="CN57" s="114"/>
    </row>
    <row r="58" spans="1:92">
      <c r="A58" s="115" t="s">
        <v>248</v>
      </c>
      <c r="B58" s="115"/>
      <c r="C58" s="113"/>
      <c r="D58" s="113"/>
      <c r="E58" s="113"/>
      <c r="F58" s="113"/>
      <c r="G58" s="113"/>
      <c r="H58" s="113"/>
      <c r="I58" s="113"/>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81"/>
      <c r="AZ58" s="81"/>
      <c r="BA58" s="81"/>
      <c r="BB58" s="81"/>
      <c r="BC58" s="81"/>
      <c r="BD58" s="81"/>
      <c r="BE58" s="81"/>
      <c r="BF58" s="81"/>
      <c r="BG58" s="81"/>
      <c r="BH58" s="81"/>
      <c r="BI58" s="81"/>
      <c r="BJ58" s="81"/>
      <c r="BK58" s="81"/>
      <c r="BL58" s="81"/>
      <c r="BM58" s="81"/>
      <c r="BN58" s="81"/>
      <c r="BO58" s="81"/>
      <c r="BP58" s="81"/>
      <c r="BQ58" s="81"/>
      <c r="BR58" s="81"/>
      <c r="BV58" s="112"/>
      <c r="BW58" s="112"/>
      <c r="BX58" s="112"/>
      <c r="BY58" s="112"/>
      <c r="BZ58" s="112"/>
      <c r="CA58" s="112"/>
      <c r="CB58" s="112"/>
      <c r="CC58" s="112"/>
      <c r="CD58" s="81"/>
      <c r="CE58" s="81"/>
      <c r="CF58" s="81"/>
      <c r="CG58" s="81"/>
      <c r="CH58" s="81"/>
      <c r="CI58" s="81"/>
      <c r="CJ58" s="81"/>
      <c r="CK58" s="81"/>
      <c r="CL58" s="81"/>
      <c r="CM58" s="81"/>
      <c r="CN58" s="81"/>
    </row>
    <row r="59" spans="1:92">
      <c r="A59" s="82"/>
      <c r="B59" s="82"/>
      <c r="C59" s="113"/>
      <c r="D59" s="113"/>
      <c r="E59" s="113"/>
      <c r="F59" s="113"/>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V59" s="83"/>
      <c r="BW59" s="83"/>
      <c r="BX59" s="83"/>
      <c r="BY59" s="83"/>
      <c r="BZ59" s="83"/>
      <c r="CA59" s="83"/>
      <c r="CB59" s="83"/>
      <c r="CC59" s="83"/>
      <c r="CD59" s="83"/>
      <c r="CE59" s="83"/>
      <c r="CF59" s="83"/>
      <c r="CG59" s="83"/>
      <c r="CH59" s="83"/>
      <c r="CI59" s="83"/>
      <c r="CJ59" s="83"/>
      <c r="CK59" s="83"/>
      <c r="CL59" s="83"/>
      <c r="CM59" s="83"/>
      <c r="CN59" s="83"/>
    </row>
    <row r="60" spans="1:92">
      <c r="A60" s="82" t="s">
        <v>531</v>
      </c>
      <c r="B60" s="82"/>
      <c r="C60" s="113"/>
      <c r="D60" s="113"/>
      <c r="E60" s="113"/>
      <c r="F60" s="113"/>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V60" s="83"/>
      <c r="BW60" s="83"/>
      <c r="BX60" s="83"/>
      <c r="BY60" s="83"/>
      <c r="BZ60" s="83"/>
      <c r="CA60" s="83"/>
      <c r="CB60" s="83"/>
      <c r="CC60" s="83"/>
      <c r="CD60" s="83"/>
      <c r="CE60" s="83"/>
      <c r="CF60" s="83"/>
      <c r="CG60" s="83"/>
      <c r="CH60" s="83"/>
      <c r="CI60" s="83"/>
      <c r="CJ60" s="83"/>
      <c r="CK60" s="83"/>
      <c r="CL60" s="83"/>
      <c r="CM60" s="83"/>
      <c r="CN60" s="83"/>
    </row>
    <row r="61" spans="1:92">
      <c r="A61" s="82" t="s">
        <v>532</v>
      </c>
      <c r="B61" s="82"/>
      <c r="C61" s="113"/>
      <c r="D61" s="113"/>
      <c r="E61" s="113"/>
      <c r="F61" s="113"/>
      <c r="G61" s="116"/>
      <c r="H61" s="116"/>
      <c r="I61" s="116"/>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83"/>
      <c r="AZ61" s="83"/>
      <c r="BA61" s="83"/>
      <c r="BB61" s="83"/>
      <c r="BC61" s="83"/>
      <c r="BD61" s="83"/>
      <c r="BE61" s="83"/>
      <c r="BF61" s="83"/>
      <c r="BG61" s="83"/>
      <c r="BH61" s="83"/>
      <c r="BI61" s="83"/>
      <c r="BJ61" s="83"/>
      <c r="BK61" s="83"/>
      <c r="BL61" s="83"/>
      <c r="BM61" s="83"/>
      <c r="BN61" s="83"/>
      <c r="BO61" s="83"/>
      <c r="BP61" s="83"/>
      <c r="BQ61" s="83"/>
      <c r="BR61" s="83"/>
      <c r="BV61" s="117"/>
      <c r="BW61" s="117"/>
      <c r="BX61" s="117"/>
      <c r="BY61" s="117"/>
      <c r="BZ61" s="117"/>
      <c r="CA61" s="117"/>
      <c r="CB61" s="117"/>
      <c r="CC61" s="117"/>
      <c r="CD61" s="83"/>
      <c r="CE61" s="83"/>
      <c r="CF61" s="83"/>
      <c r="CG61" s="83"/>
      <c r="CH61" s="83"/>
      <c r="CI61" s="83"/>
      <c r="CJ61" s="83"/>
      <c r="CK61" s="83"/>
      <c r="CL61" s="83"/>
      <c r="CM61" s="83"/>
      <c r="CN61" s="83"/>
    </row>
    <row r="62" spans="1:92">
      <c r="A62" s="82" t="s">
        <v>533</v>
      </c>
      <c r="B62" s="82"/>
      <c r="C62" s="113"/>
      <c r="D62" s="113"/>
      <c r="E62" s="113"/>
      <c r="F62" s="113"/>
      <c r="G62" s="116"/>
      <c r="H62" s="116"/>
      <c r="I62" s="116"/>
      <c r="J62" s="117"/>
      <c r="K62" s="117"/>
      <c r="L62" s="117"/>
      <c r="M62" s="117"/>
      <c r="N62" s="117"/>
      <c r="O62" s="117"/>
      <c r="P62" s="117"/>
      <c r="Q62" s="117"/>
      <c r="R62" s="117"/>
      <c r="S62" s="117"/>
      <c r="T62" s="117"/>
      <c r="U62" s="117"/>
      <c r="V62" s="117"/>
      <c r="W62" s="117"/>
      <c r="X62" s="117"/>
      <c r="Y62" s="117"/>
      <c r="Z62" s="117"/>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70"/>
      <c r="AZ62" s="170"/>
      <c r="BA62" s="170"/>
      <c r="BB62" s="170"/>
      <c r="BC62" s="170"/>
      <c r="BD62" s="170">
        <v>105</v>
      </c>
      <c r="BE62" s="170">
        <v>102</v>
      </c>
      <c r="BF62" s="170">
        <v>107</v>
      </c>
      <c r="BG62" s="170">
        <v>108.1</v>
      </c>
      <c r="BH62" s="170">
        <v>108.9</v>
      </c>
      <c r="BI62" s="170">
        <v>108.4</v>
      </c>
      <c r="BJ62" s="170">
        <v>109.5</v>
      </c>
      <c r="BK62" s="170">
        <v>107.8</v>
      </c>
      <c r="BL62" s="170">
        <v>108.3</v>
      </c>
      <c r="BM62" s="170">
        <v>108</v>
      </c>
      <c r="BN62" s="170">
        <v>108.5</v>
      </c>
      <c r="BO62" s="170">
        <v>107.1</v>
      </c>
      <c r="BP62" s="170">
        <f>'Income Statement'!CA258</f>
        <v>107.4</v>
      </c>
      <c r="BQ62" s="170">
        <f>'Income Statement'!CB258</f>
        <v>108.9</v>
      </c>
      <c r="BR62" s="170">
        <f>'Income Statement'!CC258</f>
        <v>108.3</v>
      </c>
      <c r="BS62" t="s">
        <v>715</v>
      </c>
      <c r="BV62" s="112">
        <f>'Income Statement'!Q258</f>
        <v>0</v>
      </c>
      <c r="BW62" s="112">
        <f>'Income Statement'!V258</f>
        <v>0</v>
      </c>
      <c r="BX62" s="112">
        <f>'Income Statement'!AA258</f>
        <v>0</v>
      </c>
      <c r="BY62" s="112">
        <f>'Income Statement'!AF258</f>
        <v>0</v>
      </c>
      <c r="BZ62" s="112">
        <f>'Income Statement'!AK258</f>
        <v>0</v>
      </c>
      <c r="CA62" s="112">
        <f>'Income Statement'!AP258</f>
        <v>0</v>
      </c>
      <c r="CB62" s="112">
        <f>'Income Statement'!AU258</f>
        <v>0</v>
      </c>
      <c r="CC62" s="112">
        <f>'Income Statement'!AZ258</f>
        <v>0</v>
      </c>
      <c r="CD62" s="510">
        <f>'Income Statement'!BE258</f>
        <v>0</v>
      </c>
      <c r="CE62" s="510">
        <f>'Income Statement'!BJ258</f>
        <v>0</v>
      </c>
      <c r="CF62" s="510">
        <f>'Income Statement'!BO258</f>
        <v>104.66666666666667</v>
      </c>
      <c r="CG62" s="510">
        <f>'Income Statement'!BT258</f>
        <v>109.93176648976498</v>
      </c>
      <c r="CH62" s="510">
        <f>'Income Statement'!BY258</f>
        <v>108.38729571384521</v>
      </c>
      <c r="CI62" s="510">
        <f>'Income Statement'!CD258</f>
        <v>106.58761528326745</v>
      </c>
      <c r="CJ62" s="510">
        <f>'Income Statement'!CE258</f>
        <v>105.52173913043478</v>
      </c>
      <c r="CK62" s="510">
        <f>'Income Statement'!CF258</f>
        <v>104.9941304347826</v>
      </c>
      <c r="CL62" s="510">
        <f>'Income Statement'!CG258</f>
        <v>104.9941304347826</v>
      </c>
      <c r="CM62" s="510">
        <f>'Income Statement'!CH258</f>
        <v>105.51910108695651</v>
      </c>
      <c r="CN62" s="510">
        <f>'Income Statement'!CI258</f>
        <v>106.04669659239129</v>
      </c>
    </row>
    <row r="63" spans="1:92">
      <c r="A63" s="82" t="s">
        <v>534</v>
      </c>
      <c r="B63" s="82"/>
      <c r="C63" s="113"/>
      <c r="D63" s="113"/>
      <c r="E63" s="113"/>
      <c r="F63" s="113"/>
      <c r="G63" s="116"/>
      <c r="H63" s="116"/>
      <c r="I63" s="116"/>
      <c r="J63" s="116"/>
      <c r="K63" s="116"/>
      <c r="L63" s="116"/>
      <c r="M63" s="116"/>
      <c r="N63" s="116"/>
      <c r="O63" s="116"/>
      <c r="P63" s="116"/>
      <c r="Q63" s="116"/>
      <c r="R63" s="116"/>
      <c r="S63" s="116"/>
      <c r="T63" s="116"/>
      <c r="U63" s="116"/>
      <c r="V63" s="116"/>
      <c r="W63" s="116"/>
      <c r="X63" s="116"/>
      <c r="Y63" s="116"/>
      <c r="Z63" s="116"/>
      <c r="AA63" s="170">
        <v>31</v>
      </c>
      <c r="AB63" s="170">
        <v>36</v>
      </c>
      <c r="AC63" s="170">
        <v>43</v>
      </c>
      <c r="AD63" s="170">
        <v>52</v>
      </c>
      <c r="AE63" s="170">
        <v>59</v>
      </c>
      <c r="AF63" s="170">
        <v>66</v>
      </c>
      <c r="AG63" s="170">
        <v>72</v>
      </c>
      <c r="AH63" s="170">
        <v>80</v>
      </c>
      <c r="AI63" s="170">
        <v>89</v>
      </c>
      <c r="AJ63" s="170">
        <v>99</v>
      </c>
      <c r="AK63" s="170">
        <v>107</v>
      </c>
      <c r="AL63" s="170">
        <v>118</v>
      </c>
      <c r="AM63" s="170">
        <v>126</v>
      </c>
      <c r="AN63" s="170">
        <v>133</v>
      </c>
      <c r="AO63" s="170">
        <v>139</v>
      </c>
      <c r="AP63" s="170">
        <v>146</v>
      </c>
      <c r="AQ63" s="170">
        <v>153</v>
      </c>
      <c r="AR63" s="170">
        <v>159</v>
      </c>
      <c r="AS63" s="170">
        <v>163</v>
      </c>
      <c r="AT63" s="170">
        <v>172</v>
      </c>
      <c r="AU63" s="170">
        <v>184</v>
      </c>
      <c r="AV63" s="170">
        <v>194</v>
      </c>
      <c r="AW63" s="170">
        <v>202</v>
      </c>
      <c r="AX63" s="170">
        <v>226</v>
      </c>
      <c r="AY63" s="170">
        <v>253</v>
      </c>
      <c r="AZ63" s="170">
        <v>279</v>
      </c>
      <c r="BA63" s="170">
        <v>308</v>
      </c>
      <c r="BB63" s="170">
        <v>331</v>
      </c>
      <c r="BC63" s="170">
        <v>353</v>
      </c>
      <c r="BD63" s="170">
        <v>371</v>
      </c>
      <c r="BE63" s="170">
        <v>383</v>
      </c>
      <c r="BF63" s="170">
        <v>402</v>
      </c>
      <c r="BG63" s="170">
        <v>423</v>
      </c>
      <c r="BH63" s="170">
        <v>444</v>
      </c>
      <c r="BI63" s="170">
        <v>470</v>
      </c>
      <c r="BJ63" s="170">
        <v>494</v>
      </c>
      <c r="BK63" s="170">
        <v>520</v>
      </c>
      <c r="BL63" s="170">
        <v>545</v>
      </c>
      <c r="BM63" s="170">
        <v>564</v>
      </c>
      <c r="BN63" s="170">
        <v>587</v>
      </c>
      <c r="BO63" s="170">
        <v>612</v>
      </c>
      <c r="BP63" s="170">
        <f>'Income Statement'!CA263</f>
        <v>634</v>
      </c>
      <c r="BQ63" s="170">
        <f>'Income Statement'!CB263</f>
        <v>658</v>
      </c>
      <c r="BR63" s="170">
        <f>'Income Statement'!CC263</f>
        <v>678</v>
      </c>
      <c r="BS63" t="s">
        <v>714</v>
      </c>
      <c r="BV63" s="112">
        <f>'Income Statement'!Q263</f>
        <v>0</v>
      </c>
      <c r="BW63" s="112">
        <f>'Income Statement'!V263</f>
        <v>0</v>
      </c>
      <c r="BX63" s="112">
        <f>'Income Statement'!AA263</f>
        <v>0</v>
      </c>
      <c r="BY63" s="112">
        <f>'Income Statement'!AF263</f>
        <v>0</v>
      </c>
      <c r="BZ63" s="112">
        <f>'Income Statement'!AK263</f>
        <v>0</v>
      </c>
      <c r="CA63" s="112">
        <f>'Income Statement'!AP263</f>
        <v>0</v>
      </c>
      <c r="CB63" s="112">
        <f>'Income Statement'!AU263</f>
        <v>0</v>
      </c>
      <c r="CC63" s="112">
        <f>'Income Statement'!AZ263</f>
        <v>0</v>
      </c>
      <c r="CD63" s="510">
        <f>'Income Statement'!BE263</f>
        <v>0</v>
      </c>
      <c r="CE63" s="510">
        <f>'Income Statement'!BJ263</f>
        <v>0</v>
      </c>
      <c r="CF63" s="510">
        <f>'Income Statement'!BO263</f>
        <v>385.33333333333331</v>
      </c>
      <c r="CG63" s="510">
        <f>'Income Statement'!BT263</f>
        <v>494</v>
      </c>
      <c r="CH63" s="510">
        <f>'Income Statement'!BY263</f>
        <v>587</v>
      </c>
      <c r="CI63" s="510">
        <f>'Income Statement'!CD263</f>
        <v>678</v>
      </c>
      <c r="CJ63" s="510">
        <f>'Income Statement'!CE263</f>
        <v>781.27689024073254</v>
      </c>
      <c r="CK63" s="510">
        <f>'Income Statement'!CF263</f>
        <v>874.53710880992264</v>
      </c>
      <c r="CL63" s="510">
        <f>'Income Statement'!CG263</f>
        <v>966.28181416976156</v>
      </c>
      <c r="CM63" s="510">
        <f>'Income Statement'!CH263</f>
        <v>1056.5395539688946</v>
      </c>
      <c r="CN63" s="510">
        <f>'Income Statement'!CI263</f>
        <v>1145.3525559600362</v>
      </c>
    </row>
    <row r="64" spans="1:92">
      <c r="A64" s="82" t="s">
        <v>535</v>
      </c>
      <c r="B64" s="82"/>
      <c r="C64" s="113"/>
      <c r="D64" s="113"/>
      <c r="E64" s="113"/>
      <c r="F64" s="113"/>
      <c r="G64" s="116"/>
      <c r="H64" s="116"/>
      <c r="I64" s="116"/>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83"/>
      <c r="AZ64" s="83"/>
      <c r="BA64" s="83"/>
      <c r="BB64" s="83"/>
      <c r="BC64" s="83"/>
      <c r="BD64" s="83"/>
      <c r="BE64" s="83"/>
      <c r="BF64" s="83"/>
      <c r="BG64" s="83"/>
      <c r="BH64" s="83"/>
      <c r="BI64" s="83"/>
      <c r="BJ64" s="83"/>
      <c r="BK64" s="83"/>
      <c r="BL64" s="83"/>
      <c r="BM64" s="83"/>
      <c r="BN64" s="83"/>
      <c r="BO64" s="83"/>
      <c r="BP64" s="83"/>
      <c r="BQ64" s="83"/>
      <c r="BR64" s="83"/>
      <c r="BV64" s="117"/>
      <c r="BW64" s="117"/>
      <c r="BX64" s="117"/>
      <c r="BY64" s="117"/>
      <c r="BZ64" s="117"/>
      <c r="CA64" s="117"/>
      <c r="CB64" s="117"/>
      <c r="CC64" s="117"/>
      <c r="CD64" s="83"/>
      <c r="CE64" s="83"/>
      <c r="CF64" s="83"/>
      <c r="CG64" s="83"/>
      <c r="CH64" s="83"/>
      <c r="CI64" s="83"/>
      <c r="CJ64" s="83"/>
      <c r="CK64" s="83"/>
      <c r="CL64" s="83"/>
      <c r="CM64" s="83"/>
      <c r="CN64" s="83"/>
    </row>
    <row r="65" spans="1:92">
      <c r="A65" s="82" t="s">
        <v>520</v>
      </c>
      <c r="B65" s="82"/>
      <c r="C65" s="113"/>
      <c r="D65" s="113"/>
      <c r="E65" s="113"/>
      <c r="F65" s="113"/>
      <c r="G65" s="116"/>
      <c r="H65" s="116"/>
      <c r="I65" s="116"/>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83"/>
      <c r="AZ65" s="83"/>
      <c r="BA65" s="83"/>
      <c r="BB65" s="83"/>
      <c r="BC65" s="83"/>
      <c r="BD65" s="83"/>
      <c r="BE65" s="83"/>
      <c r="BF65" s="83"/>
      <c r="BG65" s="83"/>
      <c r="BH65" s="83"/>
      <c r="BI65" s="83"/>
      <c r="BJ65" s="83"/>
      <c r="BK65" s="83"/>
      <c r="BL65" s="83"/>
      <c r="BM65" s="83"/>
      <c r="BN65" s="83"/>
      <c r="BO65" s="83"/>
      <c r="BP65" s="83"/>
      <c r="BQ65" s="83"/>
      <c r="BR65" s="83"/>
      <c r="BV65" s="117"/>
      <c r="BW65" s="117"/>
      <c r="BX65" s="117"/>
      <c r="BY65" s="117"/>
      <c r="BZ65" s="117"/>
      <c r="CA65" s="117"/>
      <c r="CB65" s="117"/>
      <c r="CC65" s="117"/>
      <c r="CD65" s="83"/>
      <c r="CE65" s="83"/>
      <c r="CF65" s="83"/>
      <c r="CG65" s="83"/>
      <c r="CH65" s="83"/>
      <c r="CI65" s="83"/>
      <c r="CJ65" s="83"/>
      <c r="CK65" s="83"/>
      <c r="CL65" s="83"/>
      <c r="CM65" s="83"/>
      <c r="CN65" s="83"/>
    </row>
    <row r="66" spans="1:92">
      <c r="A66" s="82" t="s">
        <v>536</v>
      </c>
      <c r="B66" s="82"/>
      <c r="C66" s="113"/>
      <c r="D66" s="113"/>
      <c r="E66" s="113"/>
      <c r="F66" s="113"/>
      <c r="G66" s="116"/>
      <c r="H66" s="116"/>
      <c r="I66" s="116"/>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83"/>
      <c r="AZ66" s="83"/>
      <c r="BA66" s="83"/>
      <c r="BB66" s="83"/>
      <c r="BC66" s="83"/>
      <c r="BD66" s="83"/>
      <c r="BE66" s="83"/>
      <c r="BF66" s="83"/>
      <c r="BG66" s="83"/>
      <c r="BH66" s="83"/>
      <c r="BI66" s="83"/>
      <c r="BJ66" s="83"/>
      <c r="BK66" s="83"/>
      <c r="BL66" s="83"/>
      <c r="BM66" s="83"/>
      <c r="BN66" s="83"/>
      <c r="BO66" s="83"/>
      <c r="BP66" s="83"/>
      <c r="BQ66" s="83"/>
      <c r="BR66" s="83"/>
      <c r="BV66" s="117"/>
      <c r="BW66" s="117"/>
      <c r="BX66" s="117"/>
      <c r="BY66" s="117"/>
      <c r="BZ66" s="117"/>
      <c r="CA66" s="117"/>
      <c r="CB66" s="117"/>
      <c r="CC66" s="117"/>
      <c r="CD66" s="83"/>
      <c r="CE66" s="83"/>
      <c r="CF66" s="83"/>
      <c r="CG66" s="83"/>
      <c r="CH66" s="83"/>
      <c r="CI66" s="83"/>
      <c r="CJ66" s="83"/>
      <c r="CK66" s="83"/>
      <c r="CL66" s="83"/>
      <c r="CM66" s="83"/>
      <c r="CN66" s="83"/>
    </row>
    <row r="67" spans="1:92">
      <c r="A67" s="82" t="s">
        <v>537</v>
      </c>
      <c r="B67" s="82"/>
      <c r="C67" s="113"/>
      <c r="D67" s="113"/>
      <c r="E67" s="113"/>
      <c r="F67" s="113"/>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V67" s="83"/>
      <c r="BW67" s="83"/>
      <c r="BX67" s="83"/>
      <c r="BY67" s="83"/>
      <c r="BZ67" s="83"/>
      <c r="CA67" s="83"/>
      <c r="CB67" s="83"/>
      <c r="CC67" s="83"/>
      <c r="CD67" s="83"/>
      <c r="CE67" s="83"/>
      <c r="CF67" s="83"/>
      <c r="CG67" s="83"/>
      <c r="CH67" s="83"/>
      <c r="CI67" s="83"/>
      <c r="CJ67" s="83"/>
      <c r="CK67" s="83"/>
      <c r="CL67" s="83"/>
      <c r="CM67" s="83"/>
      <c r="CN67" s="83"/>
    </row>
    <row r="68" spans="1:92">
      <c r="A68" s="82" t="s">
        <v>538</v>
      </c>
      <c r="B68" s="82"/>
      <c r="C68" s="113"/>
      <c r="D68" s="113"/>
      <c r="E68" s="113"/>
      <c r="F68" s="113"/>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V68" s="83"/>
      <c r="BW68" s="83"/>
      <c r="BX68" s="83"/>
      <c r="BY68" s="83"/>
      <c r="BZ68" s="83"/>
      <c r="CA68" s="83"/>
      <c r="CB68" s="83"/>
      <c r="CC68" s="83"/>
      <c r="CD68" s="83"/>
      <c r="CE68" s="83"/>
      <c r="CF68" s="83"/>
      <c r="CG68" s="83"/>
      <c r="CH68" s="83"/>
      <c r="CI68" s="83"/>
      <c r="CJ68" s="83"/>
      <c r="CK68" s="83"/>
      <c r="CL68" s="83"/>
      <c r="CM68" s="83"/>
      <c r="CN68" s="83"/>
    </row>
    <row r="69" spans="1:92">
      <c r="A69" s="82" t="s">
        <v>258</v>
      </c>
      <c r="B69" s="82"/>
      <c r="C69" s="113"/>
      <c r="D69" s="113"/>
      <c r="E69" s="113"/>
      <c r="F69" s="113"/>
      <c r="G69" s="116"/>
      <c r="H69" s="116"/>
      <c r="I69" s="116"/>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83"/>
      <c r="AZ69" s="83"/>
      <c r="BA69" s="83"/>
      <c r="BB69" s="83"/>
      <c r="BC69" s="83"/>
      <c r="BD69" s="83"/>
      <c r="BE69" s="83"/>
      <c r="BF69" s="83"/>
      <c r="BG69" s="83"/>
      <c r="BH69" s="83"/>
      <c r="BI69" s="83"/>
      <c r="BJ69" s="83"/>
      <c r="BK69" s="83"/>
      <c r="BL69" s="83"/>
      <c r="BM69" s="83"/>
      <c r="BN69" s="83"/>
      <c r="BO69" s="83"/>
      <c r="BP69" s="83"/>
      <c r="BQ69" s="83"/>
      <c r="BR69" s="83"/>
      <c r="BV69" s="117"/>
      <c r="BW69" s="117"/>
      <c r="BX69" s="117"/>
      <c r="BY69" s="117"/>
      <c r="BZ69" s="117"/>
      <c r="CA69" s="117"/>
      <c r="CB69" s="117"/>
      <c r="CC69" s="117"/>
      <c r="CD69" s="83"/>
      <c r="CE69" s="83"/>
      <c r="CF69" s="83"/>
      <c r="CG69" s="83"/>
      <c r="CH69" s="83"/>
      <c r="CI69" s="83"/>
      <c r="CJ69" s="83"/>
      <c r="CK69" s="83"/>
      <c r="CL69" s="83"/>
      <c r="CM69" s="83"/>
      <c r="CN69" s="83"/>
    </row>
    <row r="70" spans="1:92">
      <c r="A70" s="82" t="s">
        <v>539</v>
      </c>
      <c r="B70" s="82"/>
      <c r="C70" s="113"/>
      <c r="D70" s="113"/>
      <c r="E70" s="113"/>
      <c r="F70" s="113"/>
      <c r="G70" s="116"/>
      <c r="H70" s="116"/>
      <c r="I70" s="116"/>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83"/>
      <c r="AZ70" s="83"/>
      <c r="BA70" s="83"/>
      <c r="BB70" s="83"/>
      <c r="BC70" s="83"/>
      <c r="BD70" s="83"/>
      <c r="BE70" s="83"/>
      <c r="BF70" s="83"/>
      <c r="BG70" s="83"/>
      <c r="BH70" s="83"/>
      <c r="BI70" s="83"/>
      <c r="BJ70" s="83"/>
      <c r="BK70" s="83"/>
      <c r="BL70" s="83"/>
      <c r="BM70" s="83"/>
      <c r="BN70" s="83"/>
      <c r="BO70" s="83"/>
      <c r="BP70" s="83"/>
      <c r="BQ70" s="83"/>
      <c r="BR70" s="83"/>
      <c r="BV70" s="117"/>
      <c r="BW70" s="117"/>
      <c r="BX70" s="117"/>
      <c r="BY70" s="117"/>
      <c r="BZ70" s="117"/>
      <c r="CA70" s="117"/>
      <c r="CB70" s="117"/>
      <c r="CC70" s="117"/>
      <c r="CD70" s="83"/>
      <c r="CE70" s="83"/>
      <c r="CF70" s="83"/>
      <c r="CG70" s="83"/>
      <c r="CH70" s="83"/>
      <c r="CI70" s="83"/>
      <c r="CJ70" s="83"/>
      <c r="CK70" s="83"/>
      <c r="CL70" s="83"/>
      <c r="CM70" s="83"/>
      <c r="CN70" s="83"/>
    </row>
    <row r="71" spans="1:92">
      <c r="A71" s="82" t="s">
        <v>540</v>
      </c>
      <c r="B71" s="82"/>
      <c r="C71" s="113"/>
      <c r="D71" s="113"/>
      <c r="E71" s="113"/>
      <c r="F71" s="113"/>
      <c r="G71" s="116"/>
      <c r="H71" s="116"/>
      <c r="I71" s="116"/>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83"/>
      <c r="AZ71" s="83"/>
      <c r="BA71" s="83"/>
      <c r="BB71" s="83"/>
      <c r="BC71" s="83"/>
      <c r="BD71" s="83"/>
      <c r="BE71" s="83"/>
      <c r="BF71" s="83"/>
      <c r="BG71" s="83"/>
      <c r="BH71" s="83"/>
      <c r="BI71" s="83"/>
      <c r="BJ71" s="83"/>
      <c r="BK71" s="83"/>
      <c r="BL71" s="83"/>
      <c r="BM71" s="83"/>
      <c r="BN71" s="83"/>
      <c r="BO71" s="83"/>
      <c r="BP71" s="83"/>
      <c r="BQ71" s="83"/>
      <c r="BR71" s="83"/>
      <c r="BV71" s="117"/>
      <c r="BW71" s="117"/>
      <c r="BX71" s="117"/>
      <c r="BY71" s="117"/>
      <c r="BZ71" s="117"/>
      <c r="CA71" s="117"/>
      <c r="CB71" s="117"/>
      <c r="CC71" s="117"/>
      <c r="CD71" s="83"/>
      <c r="CE71" s="83"/>
      <c r="CF71" s="83"/>
      <c r="CG71" s="83"/>
      <c r="CH71" s="83"/>
      <c r="CI71" s="83"/>
      <c r="CJ71" s="83"/>
      <c r="CK71" s="83"/>
      <c r="CL71" s="83"/>
      <c r="CM71" s="83"/>
      <c r="CN71" s="83"/>
    </row>
    <row r="73" spans="1:92">
      <c r="A73" s="168" t="s">
        <v>652</v>
      </c>
    </row>
    <row r="74" spans="1:92">
      <c r="A74" t="s">
        <v>778</v>
      </c>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f>'Income Statement'!BP413</f>
        <v>368</v>
      </c>
      <c r="BH74" s="182">
        <f>'Income Statement'!BQ413</f>
        <v>371</v>
      </c>
      <c r="BI74" s="182">
        <f>'Income Statement'!BR413</f>
        <v>380</v>
      </c>
      <c r="BJ74" s="182">
        <f>'Income Statement'!BS413</f>
        <v>399</v>
      </c>
      <c r="BK74" s="182">
        <f>'Income Statement'!BU413</f>
        <v>388</v>
      </c>
      <c r="BL74" s="182">
        <f>'Income Statement'!BV413</f>
        <v>386</v>
      </c>
      <c r="BM74" s="182">
        <f>'Income Statement'!BW413</f>
        <v>387</v>
      </c>
      <c r="BN74" s="182">
        <f>'Income Statement'!BX413</f>
        <v>364</v>
      </c>
      <c r="BO74" s="182">
        <f>'Income Statement'!BZ413</f>
        <v>365</v>
      </c>
      <c r="BP74" s="182">
        <f>'Income Statement'!CA413</f>
        <v>362</v>
      </c>
      <c r="BQ74" s="182">
        <f>'Income Statement'!CB413</f>
        <v>380</v>
      </c>
      <c r="BR74" s="182">
        <f>'Income Statement'!CC413</f>
        <v>401</v>
      </c>
      <c r="CG74" s="182">
        <f>'Income Statement'!BT413</f>
        <v>1518</v>
      </c>
      <c r="CH74" s="182">
        <f>'Income Statement'!BY413</f>
        <v>1525</v>
      </c>
      <c r="CI74" s="182">
        <f>'Income Statement'!CD413</f>
        <v>1508</v>
      </c>
      <c r="CJ74" s="182">
        <f>'Income Statement'!CE413</f>
        <v>1583.4</v>
      </c>
      <c r="CK74" s="182">
        <f>'Income Statement'!CF413</f>
        <v>1662.5700000000002</v>
      </c>
      <c r="CL74" s="182">
        <f>'Income Statement'!CG413</f>
        <v>1745.6985000000002</v>
      </c>
      <c r="CM74" s="182">
        <f>'Income Statement'!CH413</f>
        <v>1832.9834250000004</v>
      </c>
      <c r="CN74" s="182">
        <f>'Income Statement'!CI413</f>
        <v>1924.6325962500005</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DCF and Valuation</vt:lpstr>
      <vt:lpstr>Income Statement</vt:lpstr>
      <vt:lpstr>Balance Sheet and Cflow</vt:lpstr>
      <vt:lpstr>Anna</vt:lpstr>
      <vt:lpstr>Forward valuation</vt:lpstr>
      <vt:lpstr>Snap charts</vt:lpstr>
      <vt:lpstr>Link for Telenor</vt:lpstr>
      <vt:lpstr>Lisbon - New</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Erskine</dc:creator>
  <cp:lastModifiedBy>Kelvin Oh</cp:lastModifiedBy>
  <cp:lastPrinted>2023-04-03T04:32:18Z</cp:lastPrinted>
  <dcterms:created xsi:type="dcterms:W3CDTF">2016-12-16T15:03:17Z</dcterms:created>
  <dcterms:modified xsi:type="dcterms:W3CDTF">2024-06-03T06:05:03Z</dcterms:modified>
</cp:coreProperties>
</file>