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harts/chart6.xml" ContentType="application/vnd.openxmlformats-officedocument.drawingml.chart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9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10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11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12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3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4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5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6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7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8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9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20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ewstreet1385.sharepoint.com/sites/Corp/Shared/TELECOMS/STOCKS/EMEA/Malaysia/01 Maxis/02 Model/Client Version/"/>
    </mc:Choice>
  </mc:AlternateContent>
  <xr:revisionPtr revIDLastSave="654" documentId="13_ncr:1_{84127DD8-B872-4CAA-825E-529B5ECCA1A3}" xr6:coauthVersionLast="47" xr6:coauthVersionMax="47" xr10:uidLastSave="{95EB0D63-FA23-4611-9F60-BF15DB12E6F7}"/>
  <bookViews>
    <workbookView xWindow="11370" yWindow="-17390" windowWidth="30940" windowHeight="17500" tabRatio="703" xr2:uid="{00000000-000D-0000-FFFF-FFFF00000000}"/>
  </bookViews>
  <sheets>
    <sheet name="Cover" sheetId="13" r:id="rId1"/>
    <sheet name="Colour code" sheetId="14" r:id="rId2"/>
    <sheet name="DCF" sheetId="4" r:id="rId3"/>
    <sheet name="Valuation" sheetId="19" r:id="rId4"/>
    <sheet name="Income Statement" sheetId="1" r:id="rId5"/>
    <sheet name="Balance Sheet and Cflow" sheetId="2" r:id="rId6"/>
    <sheet name="Analysis" sheetId="18" r:id="rId7"/>
    <sheet name="Snap" sheetId="16" state="hidden" r:id="rId8"/>
    <sheet name="Lisbon - New" sheetId="7" r:id="rId9"/>
    <sheet name="Anna" sheetId="3" r:id="rId10"/>
    <sheet name="Umobile" sheetId="11" r:id="rId11"/>
    <sheet name="Forward valuation" sheetId="10" r:id="rId12"/>
    <sheet name="Snap charts" sheetId="6" r:id="rId13"/>
    <sheet name="Link for Telenor" sheetId="5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_FDS_HYPERLINK_TOGGLE_STATE__" hidden="1">"ON"</definedName>
    <definedName name="_bdm.A5B659AE10F844D28955D8E434AAE2BC.edm" localSheetId="1" hidden="1">#REF!</definedName>
    <definedName name="_bdm.A5B659AE10F844D28955D8E434AAE2BC.edm" localSheetId="0" hidden="1">#REF!</definedName>
    <definedName name="_bdm.A5B659AE10F844D28955D8E434AAE2BC.edm" hidden="1">#REF!</definedName>
    <definedName name="_xlnm._FilterDatabase" localSheetId="11" hidden="1">'Forward valuation'!$AZ$2:$BC$2</definedName>
    <definedName name="_Key1" localSheetId="1" hidden="1">#REF!</definedName>
    <definedName name="_Key1" localSheetId="0" hidden="1">#REF!</definedName>
    <definedName name="_Key1" hidden="1">#REF!</definedName>
    <definedName name="_Order1" hidden="1">255</definedName>
    <definedName name="_Sort" localSheetId="1" hidden="1">#REF!</definedName>
    <definedName name="_Sort" localSheetId="0" hidden="1">#REF!</definedName>
    <definedName name="_Sort" hidden="1">#REF!</definedName>
    <definedName name="aaa" localSheetId="6" hidden="1">{#N/A,#N/A,FALSE,"Denmark";#N/A,#N/A,FALSE,"Denmark"}</definedName>
    <definedName name="aaa" localSheetId="1" hidden="1">{#N/A,#N/A,FALSE,"Denmark";#N/A,#N/A,FALSE,"Denmark"}</definedName>
    <definedName name="aaa" localSheetId="0" hidden="1">{#N/A,#N/A,FALSE,"Denmark";#N/A,#N/A,FALSE,"Denmark"}</definedName>
    <definedName name="aaa" localSheetId="7" hidden="1">{#N/A,#N/A,FALSE,"Denmark";#N/A,#N/A,FALSE,"Denmark"}</definedName>
    <definedName name="aaa" localSheetId="3" hidden="1">{#N/A,#N/A,FALSE,"Denmark";#N/A,#N/A,FALSE,"Denmark"}</definedName>
    <definedName name="aaa" hidden="1">{#N/A,#N/A,FALSE,"Denmark";#N/A,#N/A,FALSE,"Denmark"}</definedName>
    <definedName name="anscount" hidden="1">1</definedName>
    <definedName name="gls_ACT_EST_ROW" localSheetId="1" hidden="1">#REF!</definedName>
    <definedName name="gls_ACT_EST_ROW" localSheetId="0" hidden="1">#REF!</definedName>
    <definedName name="gls_ACT_EST_ROW" hidden="1">#REF!</definedName>
    <definedName name="gls_ACT_FORM_OFFSET" localSheetId="1" hidden="1">#REF!</definedName>
    <definedName name="gls_ACT_FORM_OFFSET" localSheetId="0" hidden="1">#REF!</definedName>
    <definedName name="gls_ACT_FORM_OFFSET" hidden="1">#REF!</definedName>
    <definedName name="gls_AnalystEmpNoHeading" localSheetId="1" hidden="1">#REF!</definedName>
    <definedName name="gls_AnalystEmpNoHeading" localSheetId="0" hidden="1">#REF!</definedName>
    <definedName name="gls_AnalystEmpNoHeading" hidden="1">#REF!</definedName>
    <definedName name="gls_AnalystNameHeading" localSheetId="1" hidden="1">#REF!</definedName>
    <definedName name="gls_AnalystNameHeading" localSheetId="0" hidden="1">#REF!</definedName>
    <definedName name="gls_AnalystNameHeading" hidden="1">#REF!</definedName>
    <definedName name="gls_EST_FORM_OFFSET" localSheetId="1" hidden="1">#REF!</definedName>
    <definedName name="gls_EST_FORM_OFFSET" localSheetId="0" hidden="1">#REF!</definedName>
    <definedName name="gls_EST_FORM_OFFSET" hidden="1">#REF!</definedName>
    <definedName name="gls_EXTERNAL_COL_REF" localSheetId="1" hidden="1">#REF!</definedName>
    <definedName name="gls_EXTERNAL_COL_REF" localSheetId="0" hidden="1">#REF!</definedName>
    <definedName name="gls_EXTERNAL_COL_REF" hidden="1">#REF!</definedName>
    <definedName name="gls_FIRST_ITEM" localSheetId="1" hidden="1">#REF!</definedName>
    <definedName name="gls_FIRST_ITEM" localSheetId="0" hidden="1">#REF!</definedName>
    <definedName name="gls_FIRST_ITEM" hidden="1">#REF!</definedName>
    <definedName name="gls_FIRST_PK" localSheetId="1" hidden="1">#REF!</definedName>
    <definedName name="gls_FIRST_PK" localSheetId="0" hidden="1">#REF!</definedName>
    <definedName name="gls_FIRST_PK" hidden="1">#REF!</definedName>
    <definedName name="gls_FIRST_ROWMULT" localSheetId="1" hidden="1">#REF!</definedName>
    <definedName name="gls_FIRST_ROWMULT" localSheetId="0" hidden="1">#REF!</definedName>
    <definedName name="gls_FIRST_ROWMULT" hidden="1">#REF!</definedName>
    <definedName name="gls_FIRST_UNITS" localSheetId="1" hidden="1">#REF!</definedName>
    <definedName name="gls_FIRST_UNITS" localSheetId="0" hidden="1">#REF!</definedName>
    <definedName name="gls_FIRST_UNITS" hidden="1">#REF!</definedName>
    <definedName name="gls_FIXED_NAMES" localSheetId="1" hidden="1">#REF!</definedName>
    <definedName name="gls_FIXED_NAMES" localSheetId="0" hidden="1">#REF!</definedName>
    <definedName name="gls_FIXED_NAMES" hidden="1">#REF!</definedName>
    <definedName name="gls_FONT_STATUS" localSheetId="1" hidden="1">#REF!</definedName>
    <definedName name="gls_FONT_STATUS" localSheetId="0" hidden="1">#REF!</definedName>
    <definedName name="gls_FONT_STATUS" hidden="1">#REF!</definedName>
    <definedName name="gls_GenAccountingConvention" localSheetId="1" hidden="1">#REF!</definedName>
    <definedName name="gls_GenAccountingConvention" localSheetId="0" hidden="1">#REF!</definedName>
    <definedName name="gls_GenAccountingConvention" hidden="1">#REF!</definedName>
    <definedName name="gls_GenCompany" localSheetId="1" hidden="1">#REF!</definedName>
    <definedName name="gls_GenCompany" localSheetId="0" hidden="1">#REF!</definedName>
    <definedName name="gls_GenCompany" hidden="1">#REF!</definedName>
    <definedName name="gls_GenCompanyInfo" localSheetId="1" hidden="1">#REF!</definedName>
    <definedName name="gls_GenCompanyInfo" localSheetId="0" hidden="1">#REF!</definedName>
    <definedName name="gls_GenCompanyInfo" hidden="1">#REF!</definedName>
    <definedName name="gls_GenCountry" localSheetId="1" hidden="1">#REF!</definedName>
    <definedName name="gls_GenCountry" localSheetId="0" hidden="1">#REF!</definedName>
    <definedName name="gls_GenCountry" hidden="1">#REF!</definedName>
    <definedName name="gls_GenCurrency" localSheetId="1" hidden="1">#REF!</definedName>
    <definedName name="gls_GenCurrency" localSheetId="0" hidden="1">#REF!</definedName>
    <definedName name="gls_GenCurrency" hidden="1">#REF!</definedName>
    <definedName name="gls_GenCurrencyMultiplier" localSheetId="1" hidden="1">#REF!</definedName>
    <definedName name="gls_GenCurrencyMultiplier" localSheetId="0" hidden="1">#REF!</definedName>
    <definedName name="gls_GenCurrencyMultiplier" hidden="1">#REF!</definedName>
    <definedName name="gls_GenEnterCompInfo" localSheetId="1" hidden="1">#REF!</definedName>
    <definedName name="gls_GenEnterCompInfo" localSheetId="0" hidden="1">#REF!</definedName>
    <definedName name="gls_GenEnterCompInfo" hidden="1">#REF!</definedName>
    <definedName name="gls_GenLastPriceTargetRevised" localSheetId="1" hidden="1">#REF!</definedName>
    <definedName name="gls_GenLastPriceTargetRevised" localSheetId="0" hidden="1">#REF!</definedName>
    <definedName name="gls_GenLastPriceTargetRevised" hidden="1">#REF!</definedName>
    <definedName name="gls_GenLastPublished" localSheetId="1" hidden="1">#REF!</definedName>
    <definedName name="gls_GenLastPublished" localSheetId="0" hidden="1">#REF!</definedName>
    <definedName name="gls_GenLastPublished" hidden="1">#REF!</definedName>
    <definedName name="gls_GenLastRecRevised" localSheetId="1" hidden="1">#REF!</definedName>
    <definedName name="gls_GenLastRecRevised" localSheetId="0" hidden="1">#REF!</definedName>
    <definedName name="gls_GenLastRecRevised" hidden="1">#REF!</definedName>
    <definedName name="gls_GenMainInfo" localSheetId="1" hidden="1">#REF!</definedName>
    <definedName name="gls_GenMainInfo" localSheetId="0" hidden="1">#REF!</definedName>
    <definedName name="gls_GenMainInfo" hidden="1">#REF!</definedName>
    <definedName name="gls_GenProfile" localSheetId="1" hidden="1">#REF!</definedName>
    <definedName name="gls_GenProfile" localSheetId="0" hidden="1">#REF!</definedName>
    <definedName name="gls_GenProfile" hidden="1">#REF!</definedName>
    <definedName name="gls_GenRecComment" localSheetId="1" hidden="1">#REF!</definedName>
    <definedName name="gls_GenRecComment" localSheetId="0" hidden="1">#REF!</definedName>
    <definedName name="gls_GenRecComment" hidden="1">#REF!</definedName>
    <definedName name="gls_GenSheetVersion" localSheetId="1" hidden="1">#REF!</definedName>
    <definedName name="gls_GenSheetVersion" localSheetId="0" hidden="1">#REF!</definedName>
    <definedName name="gls_GenSheetVersion" hidden="1">#REF!</definedName>
    <definedName name="gls_genStockCore" localSheetId="1" hidden="1">#REF!</definedName>
    <definedName name="gls_genStockCore" localSheetId="0" hidden="1">#REF!</definedName>
    <definedName name="gls_genStockCore" hidden="1">#REF!</definedName>
    <definedName name="gls_genStockRec" localSheetId="1" hidden="1">#REF!</definedName>
    <definedName name="gls_genStockRec" localSheetId="0" hidden="1">#REF!</definedName>
    <definedName name="gls_genStockRec" hidden="1">#REF!</definedName>
    <definedName name="gls_GenTargetCurrency" localSheetId="1" hidden="1">#REF!</definedName>
    <definedName name="gls_GenTargetCurrency" localSheetId="0" hidden="1">#REF!</definedName>
    <definedName name="gls_GenTargetCurrency" hidden="1">#REF!</definedName>
    <definedName name="gls_IssuedStockClassHeading" localSheetId="1" hidden="1">#REF!</definedName>
    <definedName name="gls_IssuedStockClassHeading" localSheetId="0" hidden="1">#REF!</definedName>
    <definedName name="gls_IssuedStockClassHeading" hidden="1">#REF!</definedName>
    <definedName name="gls_IssuedStockCodeHeading" localSheetId="1" hidden="1">#REF!</definedName>
    <definedName name="gls_IssuedStockCodeHeading" localSheetId="0" hidden="1">#REF!</definedName>
    <definedName name="gls_IssuedStockCodeHeading" hidden="1">#REF!</definedName>
    <definedName name="gls_IssuedStockFreeFloatHeading" localSheetId="1" hidden="1">#REF!</definedName>
    <definedName name="gls_IssuedStockFreeFloatHeading" localSheetId="0" hidden="1">#REF!</definedName>
    <definedName name="gls_IssuedStockFreeFloatHeading" hidden="1">#REF!</definedName>
    <definedName name="gls_KEY_DATA" localSheetId="1" hidden="1">#REF!</definedName>
    <definedName name="gls_KEY_DATA" localSheetId="0" hidden="1">#REF!</definedName>
    <definedName name="gls_KEY_DATA" hidden="1">#REF!</definedName>
    <definedName name="gls_KEY_VALUE" localSheetId="1" hidden="1">#REF!</definedName>
    <definedName name="gls_KEY_VALUE" localSheetId="0" hidden="1">#REF!</definedName>
    <definedName name="gls_KEY_VALUE" hidden="1">#REF!</definedName>
    <definedName name="gls_PERIOD_CODE" localSheetId="1" hidden="1">#REF!</definedName>
    <definedName name="gls_PERIOD_CODE" localSheetId="0" hidden="1">#REF!</definedName>
    <definedName name="gls_PERIOD_CODE" hidden="1">#REF!</definedName>
    <definedName name="gls_PERIOD_INDICATOR" localSheetId="1" hidden="1">#REF!</definedName>
    <definedName name="gls_PERIOD_INDICATOR" localSheetId="0" hidden="1">#REF!</definedName>
    <definedName name="gls_PERIOD_INDICATOR" hidden="1">#REF!</definedName>
    <definedName name="gls_PERIOD_PARENT_OR_CONSOL" localSheetId="1" hidden="1">#REF!</definedName>
    <definedName name="gls_PERIOD_PARENT_OR_CONSOL" localSheetId="0" hidden="1">#REF!</definedName>
    <definedName name="gls_PERIOD_PARENT_OR_CONSOL" hidden="1">#REF!</definedName>
    <definedName name="gls_PERIOD_TYPE" localSheetId="1" hidden="1">#REF!</definedName>
    <definedName name="gls_PERIOD_TYPE" localSheetId="0" hidden="1">#REF!</definedName>
    <definedName name="gls_PERIOD_TYPE" hidden="1">#REF!</definedName>
    <definedName name="gls_PrincipalStockClass" localSheetId="1" hidden="1">#REF!</definedName>
    <definedName name="gls_PrincipalStockClass" localSheetId="0" hidden="1">#REF!</definedName>
    <definedName name="gls_PrincipalStockClass" hidden="1">#REF!</definedName>
    <definedName name="gls_ShareholderClassHeading" localSheetId="1" hidden="1">#REF!</definedName>
    <definedName name="gls_ShareholderClassHeading" localSheetId="0" hidden="1">#REF!</definedName>
    <definedName name="gls_ShareholderClassHeading" hidden="1">#REF!</definedName>
    <definedName name="gls_ShareholderHolding" localSheetId="1" hidden="1">#REF!</definedName>
    <definedName name="gls_ShareholderHolding" localSheetId="0" hidden="1">#REF!</definedName>
    <definedName name="gls_ShareholderHolding" hidden="1">#REF!</definedName>
    <definedName name="gls_ShareholderHoldingHeading" localSheetId="1" hidden="1">#REF!</definedName>
    <definedName name="gls_ShareholderHoldingHeading" localSheetId="0" hidden="1">#REF!</definedName>
    <definedName name="gls_ShareholderHoldingHeading" hidden="1">#REF!</definedName>
    <definedName name="gls_ShareholderName" localSheetId="1" hidden="1">#REF!</definedName>
    <definedName name="gls_ShareholderName" localSheetId="0" hidden="1">#REF!</definedName>
    <definedName name="gls_ShareholderName" hidden="1">#REF!</definedName>
    <definedName name="gls_ShareholderNameHeading" localSheetId="1" hidden="1">#REF!</definedName>
    <definedName name="gls_ShareholderNameHeading" localSheetId="0" hidden="1">#REF!</definedName>
    <definedName name="gls_ShareholderNameHeading" hidden="1">#REF!</definedName>
    <definedName name="gls_ShareholdingName" localSheetId="1" hidden="1">#REF!</definedName>
    <definedName name="gls_ShareholdingName" localSheetId="0" hidden="1">#REF!</definedName>
    <definedName name="gls_ShareholdingName" hidden="1">#REF!</definedName>
    <definedName name="gls_SPARE_YEARS" localSheetId="1" hidden="1">#REF!</definedName>
    <definedName name="gls_SPARE_YEARS" localSheetId="0" hidden="1">#REF!</definedName>
    <definedName name="gls_SPARE_YEARS" hidden="1">#REF!</definedName>
    <definedName name="gls_START_FORMULA_OVERRIDEABLE" localSheetId="1" hidden="1">#REF!</definedName>
    <definedName name="gls_START_FORMULA_OVERRIDEABLE" localSheetId="0" hidden="1">#REF!</definedName>
    <definedName name="gls_START_FORMULA_OVERRIDEABLE" hidden="1">#REF!</definedName>
    <definedName name="gls_START_LOCAL_NAMES" localSheetId="1" hidden="1">#REF!</definedName>
    <definedName name="gls_START_LOCAL_NAMES" localSheetId="0" hidden="1">#REF!</definedName>
    <definedName name="gls_START_LOCAL_NAMES" hidden="1">#REF!</definedName>
    <definedName name="gls_START_PERIOD_CURRENCY" localSheetId="1" hidden="1">#REF!</definedName>
    <definedName name="gls_START_PERIOD_CURRENCY" localSheetId="0" hidden="1">#REF!</definedName>
    <definedName name="gls_START_PERIOD_CURRENCY" hidden="1">#REF!</definedName>
    <definedName name="gls_START_STATUS" localSheetId="1" hidden="1">#REF!</definedName>
    <definedName name="gls_START_STATUS" localSheetId="0" hidden="1">#REF!</definedName>
    <definedName name="gls_START_STATUS" hidden="1">#REF!</definedName>
    <definedName name="gls_START_USER_STATUS" localSheetId="1" hidden="1">#REF!</definedName>
    <definedName name="gls_START_USER_STATUS" localSheetId="0" hidden="1">#REF!</definedName>
    <definedName name="gls_START_USER_STATUS" hidden="1">#REF!</definedName>
    <definedName name="gls_START_VALIDATION" localSheetId="1" hidden="1">#REF!</definedName>
    <definedName name="gls_START_VALIDATION" localSheetId="0" hidden="1">#REF!</definedName>
    <definedName name="gls_START_VALIDATION" hidden="1">#REF!</definedName>
    <definedName name="gls_START_WHAT" localSheetId="1" hidden="1">#REF!</definedName>
    <definedName name="gls_START_WHAT" localSheetId="0" hidden="1">#REF!</definedName>
    <definedName name="gls_START_WHAT" hidden="1">#REF!</definedName>
    <definedName name="gls_START_YEAR" localSheetId="1" hidden="1">#REF!</definedName>
    <definedName name="gls_START_YEAR" localSheetId="0" hidden="1">#REF!</definedName>
    <definedName name="gls_START_YEAR" hidden="1">#REF!</definedName>
    <definedName name="gls_TEMP_PERIOD_CODE" localSheetId="1" hidden="1">#REF!</definedName>
    <definedName name="gls_TEMP_PERIOD_CODE" localSheetId="0" hidden="1">#REF!</definedName>
    <definedName name="gls_TEMP_PERIOD_CODE" hidden="1">#REF!</definedName>
    <definedName name="gls_YEAR_AE_CONTROL" localSheetId="1" hidden="1">#REF!</definedName>
    <definedName name="gls_YEAR_AE_CONTROL" localSheetId="0" hidden="1">#REF!</definedName>
    <definedName name="gls_YEAR_AE_CONTROL" hidden="1">#REF!</definedName>
    <definedName name="gls_YEAR_END_ROW" localSheetId="1" hidden="1">#REF!</definedName>
    <definedName name="gls_YEAR_END_ROW" localSheetId="0" hidden="1">#REF!</definedName>
    <definedName name="gls_YEAR_END_ROW" hidden="1">#REF!</definedName>
    <definedName name="limcount" hidden="1">1</definedName>
    <definedName name="SecretArchiveNumber" hidden="1">1</definedName>
    <definedName name="sencount" hidden="1">1</definedName>
    <definedName name="wrn.mobile." localSheetId="6" hidden="1">{#N/A,#N/A,FALSE,"Denmark";#N/A,#N/A,FALSE,"Denmark"}</definedName>
    <definedName name="wrn.mobile." localSheetId="1" hidden="1">{#N/A,#N/A,FALSE,"Denmark";#N/A,#N/A,FALSE,"Denmark"}</definedName>
    <definedName name="wrn.mobile." localSheetId="0" hidden="1">{#N/A,#N/A,FALSE,"Denmark";#N/A,#N/A,FALSE,"Denmark"}</definedName>
    <definedName name="wrn.mobile." localSheetId="7" hidden="1">{#N/A,#N/A,FALSE,"Denmark";#N/A,#N/A,FALSE,"Denmark"}</definedName>
    <definedName name="wrn.mobile." localSheetId="3" hidden="1">{#N/A,#N/A,FALSE,"Denmark";#N/A,#N/A,FALSE,"Denmark"}</definedName>
    <definedName name="wrn.mobile." hidden="1">{#N/A,#N/A,FALSE,"Denmark";#N/A,#N/A,FALSE,"Denmark"}</definedName>
    <definedName name="wrn.PandL." localSheetId="6" hidden="1">{"P&amp;L",#N/A,FALSE,"annual"}</definedName>
    <definedName name="wrn.PandL." localSheetId="1" hidden="1">{"P&amp;L",#N/A,FALSE,"annual"}</definedName>
    <definedName name="wrn.PandL." localSheetId="0" hidden="1">{"P&amp;L",#N/A,FALSE,"annual"}</definedName>
    <definedName name="wrn.PandL." localSheetId="7" hidden="1">{"P&amp;L",#N/A,FALSE,"annual"}</definedName>
    <definedName name="wrn.PandL." localSheetId="3" hidden="1">{"P&amp;L",#N/A,FALSE,"annual"}</definedName>
    <definedName name="wrn.PandL." hidden="1">{"P&amp;L",#N/A,FALSE,"annual"}</definedName>
    <definedName name="wrn.Vodafone._.printout." localSheetId="6" hidden="1">{"Groupannual",#N/A,FALSE,"Groupannual";"VodMann",#N/A,FALSE,"VodMann";"Data",#N/A,FALSE,"Data";"Group International",#N/A,FALSE,"Group International";"BellAir",#N/A,FALSE,"BellAir";"DCF sum of parts",#N/A,FALSE,"DCF sum of parts";"licences",#N/A,FALSE,"licences"}</definedName>
    <definedName name="wrn.Vodafone._.printout." localSheetId="1" hidden="1">{"Groupannual",#N/A,FALSE,"Groupannual";"VodMann",#N/A,FALSE,"VodMann";"Data",#N/A,FALSE,"Data";"Group International",#N/A,FALSE,"Group International";"BellAir",#N/A,FALSE,"BellAir";"DCF sum of parts",#N/A,FALSE,"DCF sum of parts";"licences",#N/A,FALSE,"licences"}</definedName>
    <definedName name="wrn.Vodafone._.printout." localSheetId="0" hidden="1">{"Groupannual",#N/A,FALSE,"Groupannual";"VodMann",#N/A,FALSE,"VodMann";"Data",#N/A,FALSE,"Data";"Group International",#N/A,FALSE,"Group International";"BellAir",#N/A,FALSE,"BellAir";"DCF sum of parts",#N/A,FALSE,"DCF sum of parts";"licences",#N/A,FALSE,"licences"}</definedName>
    <definedName name="wrn.Vodafone._.printout." localSheetId="7" hidden="1">{"Groupannual",#N/A,FALSE,"Groupannual";"VodMann",#N/A,FALSE,"VodMann";"Data",#N/A,FALSE,"Data";"Group International",#N/A,FALSE,"Group International";"BellAir",#N/A,FALSE,"BellAir";"DCF sum of parts",#N/A,FALSE,"DCF sum of parts";"licences",#N/A,FALSE,"licences"}</definedName>
    <definedName name="wrn.Vodafone._.printout." localSheetId="3" hidden="1">{"Groupannual",#N/A,FALSE,"Groupannual";"VodMann",#N/A,FALSE,"VodMann";"Data",#N/A,FALSE,"Data";"Group International",#N/A,FALSE,"Group International";"BellAir",#N/A,FALSE,"BellAir";"DCF sum of parts",#N/A,FALSE,"DCF sum of parts";"licences",#N/A,FALSE,"licences"}</definedName>
    <definedName name="wrn.Vodafone._.printout." hidden="1">{"Groupannual",#N/A,FALSE,"Groupannual";"VodMann",#N/A,FALSE,"VodMann";"Data",#N/A,FALSE,"Data";"Group International",#N/A,FALSE,"Group International";"BellAir",#N/A,FALSE,"BellAir";"DCF sum of parts",#N/A,FALSE,"DCF sum of parts";"licences",#N/A,FALSE,"licences"}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B18" i="7" l="1"/>
  <c r="CB44" i="7"/>
  <c r="CB39" i="7"/>
  <c r="CB25" i="7"/>
  <c r="CB17" i="7"/>
  <c r="CB16" i="7"/>
  <c r="CP498" i="1"/>
  <c r="CP508" i="1"/>
  <c r="CP501" i="1"/>
  <c r="CP494" i="1"/>
  <c r="CP479" i="1"/>
  <c r="CP469" i="1"/>
  <c r="CP464" i="1"/>
  <c r="CP463" i="1"/>
  <c r="CP453" i="1"/>
  <c r="CB9" i="7" s="1"/>
  <c r="CP451" i="1"/>
  <c r="CP432" i="1"/>
  <c r="CB7" i="7" s="1"/>
  <c r="CP431" i="1"/>
  <c r="CP425" i="1"/>
  <c r="CP12" i="1" s="1"/>
  <c r="CP424" i="1"/>
  <c r="CP11" i="1" s="1"/>
  <c r="CP413" i="1"/>
  <c r="CB101" i="7" s="1"/>
  <c r="CP412" i="1"/>
  <c r="CP277" i="1" s="1"/>
  <c r="CP411" i="1"/>
  <c r="CP409" i="1"/>
  <c r="CB31" i="7" s="1"/>
  <c r="CP408" i="1"/>
  <c r="CB32" i="7" s="1"/>
  <c r="CB99" i="7" s="1"/>
  <c r="CP399" i="1"/>
  <c r="CP398" i="1"/>
  <c r="CP394" i="1"/>
  <c r="CP391" i="1"/>
  <c r="CP387" i="1"/>
  <c r="CP386" i="1"/>
  <c r="CP370" i="1"/>
  <c r="CP366" i="1"/>
  <c r="CP357" i="1"/>
  <c r="CP353" i="1"/>
  <c r="CP349" i="1"/>
  <c r="CP345" i="1"/>
  <c r="CP340" i="1"/>
  <c r="CP336" i="1"/>
  <c r="CP329" i="1"/>
  <c r="CP326" i="1"/>
  <c r="CP332" i="1" s="1"/>
  <c r="CP291" i="1"/>
  <c r="CP269" i="1"/>
  <c r="CB81" i="7" s="1"/>
  <c r="CP264" i="1"/>
  <c r="CB80" i="7" s="1"/>
  <c r="CP211" i="1"/>
  <c r="CB51" i="7" s="1"/>
  <c r="CP207" i="1"/>
  <c r="CB64" i="7" s="1"/>
  <c r="CP205" i="1"/>
  <c r="CB65" i="7" s="1"/>
  <c r="CP203" i="1"/>
  <c r="CB63" i="7" s="1"/>
  <c r="CP200" i="1"/>
  <c r="CB49" i="7" s="1"/>
  <c r="CP170" i="1"/>
  <c r="CB40" i="7" s="1"/>
  <c r="CP168" i="1"/>
  <c r="CB43" i="7" s="1"/>
  <c r="CP166" i="1"/>
  <c r="CB42" i="7" s="1"/>
  <c r="CP159" i="1"/>
  <c r="CP154" i="1"/>
  <c r="CP152" i="1"/>
  <c r="CP148" i="1"/>
  <c r="CP143" i="1"/>
  <c r="CP141" i="1"/>
  <c r="CP110" i="1"/>
  <c r="CP104" i="1"/>
  <c r="CB48" i="7" s="1"/>
  <c r="CP534" i="1"/>
  <c r="D41" i="4" a="1"/>
  <c r="D40" i="4" a="1"/>
  <c r="D43" i="4" a="1"/>
  <c r="D35" i="4" a="1"/>
  <c r="CA44" i="7"/>
  <c r="CA39" i="7"/>
  <c r="CA25" i="7"/>
  <c r="CA17" i="7"/>
  <c r="CA16" i="7"/>
  <c r="CO508" i="1"/>
  <c r="CO501" i="1"/>
  <c r="CO494" i="1"/>
  <c r="CO479" i="1"/>
  <c r="CO469" i="1"/>
  <c r="CO464" i="1"/>
  <c r="CO463" i="1"/>
  <c r="CO453" i="1"/>
  <c r="CO451" i="1"/>
  <c r="CO432" i="1"/>
  <c r="CO431" i="1"/>
  <c r="CO425" i="1"/>
  <c r="CO424" i="1"/>
  <c r="CO413" i="1"/>
  <c r="CO412" i="1"/>
  <c r="CO411" i="1"/>
  <c r="CO409" i="1"/>
  <c r="CO408" i="1"/>
  <c r="CO399" i="1"/>
  <c r="CO398" i="1"/>
  <c r="CO394" i="1"/>
  <c r="CO391" i="1"/>
  <c r="CO370" i="1"/>
  <c r="CO366" i="1"/>
  <c r="CO357" i="1"/>
  <c r="CO353" i="1"/>
  <c r="CO349" i="1"/>
  <c r="CO345" i="1"/>
  <c r="CO340" i="1"/>
  <c r="CO336" i="1"/>
  <c r="CO329" i="1"/>
  <c r="CO326" i="1"/>
  <c r="CO291" i="1"/>
  <c r="CO269" i="1"/>
  <c r="CO264" i="1"/>
  <c r="CO211" i="1"/>
  <c r="CO207" i="1"/>
  <c r="CO205" i="1"/>
  <c r="CO203" i="1"/>
  <c r="CO200" i="1"/>
  <c r="CO170" i="1"/>
  <c r="CO168" i="1"/>
  <c r="CO166" i="1"/>
  <c r="CO159" i="1"/>
  <c r="CO154" i="1"/>
  <c r="CO148" i="1"/>
  <c r="CO143" i="1"/>
  <c r="CO110" i="1"/>
  <c r="CP108" i="1" s="1"/>
  <c r="CO104" i="1"/>
  <c r="CP102" i="1" s="1"/>
  <c r="CO534" i="1"/>
  <c r="V207" i="2"/>
  <c r="W207" i="2"/>
  <c r="X207" i="2"/>
  <c r="Y207" i="2"/>
  <c r="Z207" i="2"/>
  <c r="AA207" i="2"/>
  <c r="U207" i="2"/>
  <c r="U15" i="2"/>
  <c r="T185" i="2"/>
  <c r="T4" i="2"/>
  <c r="CS269" i="1"/>
  <c r="CT269" i="1" s="1"/>
  <c r="CU269" i="1" s="1"/>
  <c r="CV269" i="1" s="1"/>
  <c r="CW269" i="1" s="1"/>
  <c r="CP465" i="1" l="1"/>
  <c r="CB35" i="7"/>
  <c r="CB22" i="7"/>
  <c r="CB19" i="7"/>
  <c r="CP9" i="1"/>
  <c r="CB73" i="7"/>
  <c r="CB100" i="7" s="1"/>
  <c r="CB33" i="7"/>
  <c r="CB34" i="7" s="1"/>
  <c r="CB98" i="7"/>
  <c r="CP97" i="1"/>
  <c r="CB47" i="7"/>
  <c r="CO429" i="1"/>
  <c r="CP509" i="1"/>
  <c r="CP52" i="1"/>
  <c r="CB12" i="7" s="1"/>
  <c r="CP49" i="1"/>
  <c r="CB11" i="7" s="1"/>
  <c r="CP38" i="1"/>
  <c r="CP37" i="1"/>
  <c r="CP248" i="1"/>
  <c r="CP8" i="1"/>
  <c r="CP258" i="1"/>
  <c r="CP327" i="1" s="1"/>
  <c r="CP253" i="1"/>
  <c r="CP7" i="1"/>
  <c r="CP382" i="1"/>
  <c r="CP456" i="1" s="1"/>
  <c r="CP519" i="1" s="1"/>
  <c r="CP227" i="1"/>
  <c r="CP117" i="1"/>
  <c r="CB46" i="7" s="1"/>
  <c r="CP96" i="1"/>
  <c r="CP502" i="1"/>
  <c r="CP156" i="1"/>
  <c r="CP109" i="1"/>
  <c r="CP481" i="1"/>
  <c r="CP476" i="1"/>
  <c r="CB26" i="7" s="1"/>
  <c r="CP426" i="1"/>
  <c r="CB93" i="7" s="1"/>
  <c r="CB102" i="7" s="1"/>
  <c r="CP400" i="1"/>
  <c r="CP403" i="1" s="1"/>
  <c r="CP414" i="1"/>
  <c r="CP294" i="1"/>
  <c r="CP270" i="1"/>
  <c r="CP271" i="1"/>
  <c r="CP273" i="1" s="1"/>
  <c r="CP455" i="1"/>
  <c r="CP471" i="1"/>
  <c r="CP452" i="1"/>
  <c r="CP374" i="1"/>
  <c r="CP518" i="1" s="1"/>
  <c r="CP515" i="1"/>
  <c r="CP384" i="1"/>
  <c r="CP266" i="1"/>
  <c r="CP209" i="1"/>
  <c r="CP241" i="1"/>
  <c r="CP236" i="1"/>
  <c r="CP145" i="1"/>
  <c r="CP103" i="1"/>
  <c r="CP105" i="1"/>
  <c r="CP242" i="1" s="1"/>
  <c r="CO97" i="1"/>
  <c r="CO96" i="1"/>
  <c r="CO515" i="1"/>
  <c r="CO277" i="1"/>
  <c r="CO258" i="1"/>
  <c r="CO253" i="1"/>
  <c r="CO248" i="1"/>
  <c r="CO52" i="1"/>
  <c r="CO49" i="1"/>
  <c r="CA11" i="7" s="1"/>
  <c r="CO38" i="1"/>
  <c r="CO37" i="1"/>
  <c r="CO12" i="1"/>
  <c r="CO11" i="1"/>
  <c r="CO9" i="1"/>
  <c r="CO8" i="1"/>
  <c r="CO7" i="1"/>
  <c r="CA101" i="7"/>
  <c r="CA63" i="7"/>
  <c r="CA48" i="7"/>
  <c r="CA43" i="7"/>
  <c r="CA40" i="7"/>
  <c r="CA81" i="7"/>
  <c r="CA65" i="7"/>
  <c r="CA49" i="7"/>
  <c r="CA32" i="7"/>
  <c r="CA18" i="7"/>
  <c r="CO481" i="1"/>
  <c r="CA23" i="7" s="1"/>
  <c r="CO386" i="1"/>
  <c r="CA80" i="7"/>
  <c r="CA64" i="7"/>
  <c r="CA47" i="7"/>
  <c r="CA42" i="7"/>
  <c r="CA31" i="7"/>
  <c r="CO476" i="1"/>
  <c r="CA26" i="7" s="1"/>
  <c r="CO400" i="1"/>
  <c r="CA73" i="7"/>
  <c r="CA100" i="7" s="1"/>
  <c r="CA7" i="7"/>
  <c r="CO426" i="1"/>
  <c r="CO387" i="1"/>
  <c r="CO141" i="1"/>
  <c r="CA51" i="7"/>
  <c r="CA9" i="7"/>
  <c r="CA22" i="7" s="1"/>
  <c r="CO498" i="1"/>
  <c r="CO414" i="1"/>
  <c r="CO152" i="1"/>
  <c r="CO509" i="1"/>
  <c r="CO471" i="1"/>
  <c r="CO117" i="1"/>
  <c r="CO465" i="1"/>
  <c r="CO455" i="1"/>
  <c r="CO452" i="1"/>
  <c r="CO266" i="1"/>
  <c r="CO241" i="1"/>
  <c r="CO384" i="1"/>
  <c r="CO374" i="1"/>
  <c r="CO332" i="1"/>
  <c r="CO236" i="1"/>
  <c r="CP434" i="1" l="1"/>
  <c r="CP98" i="1"/>
  <c r="CP99" i="1" s="1"/>
  <c r="CB23" i="7"/>
  <c r="CP484" i="1"/>
  <c r="CP482" i="1"/>
  <c r="CP6" i="1"/>
  <c r="CB37" i="7"/>
  <c r="CB24" i="7"/>
  <c r="CB103" i="7"/>
  <c r="CP160" i="1"/>
  <c r="CP210" i="1"/>
  <c r="CB50" i="7" s="1"/>
  <c r="CP10" i="1"/>
  <c r="CP280" i="1"/>
  <c r="CP429" i="1"/>
  <c r="CB8" i="7" s="1"/>
  <c r="CB104" i="7" s="1"/>
  <c r="CA46" i="7"/>
  <c r="CP197" i="1"/>
  <c r="CB45" i="7" s="1"/>
  <c r="CP115" i="1"/>
  <c r="CP477" i="1"/>
  <c r="CP472" i="1"/>
  <c r="CP473" i="1"/>
  <c r="CP448" i="1"/>
  <c r="CP361" i="1"/>
  <c r="CP30" i="1"/>
  <c r="CP31" i="1"/>
  <c r="CP388" i="1"/>
  <c r="CB30" i="7" s="1"/>
  <c r="CP276" i="1"/>
  <c r="CP243" i="1"/>
  <c r="CA37" i="7"/>
  <c r="CA24" i="7"/>
  <c r="CA28" i="7" s="1"/>
  <c r="CO327" i="1"/>
  <c r="CO98" i="1"/>
  <c r="CO99" i="1" s="1"/>
  <c r="CA12" i="7"/>
  <c r="CO6" i="1"/>
  <c r="CA99" i="7"/>
  <c r="CA98" i="7"/>
  <c r="CA35" i="7"/>
  <c r="CA33" i="7"/>
  <c r="CA34" i="7" s="1"/>
  <c r="CO502" i="1"/>
  <c r="CO484" i="1"/>
  <c r="CO482" i="1"/>
  <c r="CO145" i="1"/>
  <c r="CO403" i="1"/>
  <c r="CO30" i="1"/>
  <c r="CO333" i="1" s="1"/>
  <c r="CO31" i="1"/>
  <c r="CA19" i="7"/>
  <c r="CO434" i="1"/>
  <c r="CO160" i="1"/>
  <c r="CO156" i="1"/>
  <c r="CO382" i="1"/>
  <c r="CO227" i="1"/>
  <c r="CO10" i="1"/>
  <c r="CO280" i="1"/>
  <c r="CA93" i="7"/>
  <c r="CA102" i="7" s="1"/>
  <c r="CO294" i="1"/>
  <c r="CO441" i="1"/>
  <c r="CO442" i="1"/>
  <c r="CO443" i="1"/>
  <c r="CO444" i="1"/>
  <c r="CO445" i="1"/>
  <c r="CO545" i="1"/>
  <c r="CO546" i="1"/>
  <c r="CO547" i="1"/>
  <c r="CO548" i="1"/>
  <c r="CA8" i="7"/>
  <c r="CA104" i="7" s="1"/>
  <c r="CO13" i="1"/>
  <c r="CO472" i="1"/>
  <c r="CO473" i="1"/>
  <c r="CO477" i="1"/>
  <c r="CO210" i="1"/>
  <c r="CA50" i="7" s="1"/>
  <c r="CO448" i="1"/>
  <c r="CO518" i="1"/>
  <c r="CO361" i="1"/>
  <c r="CB28" i="7" l="1"/>
  <c r="CB10" i="7"/>
  <c r="CB36" i="7" s="1"/>
  <c r="CP486" i="1"/>
  <c r="CP492" i="1"/>
  <c r="CP487" i="1"/>
  <c r="CP499" i="1" s="1"/>
  <c r="CB105" i="7"/>
  <c r="CB121" i="7"/>
  <c r="CB119" i="7"/>
  <c r="CB116" i="7"/>
  <c r="CB117" i="7"/>
  <c r="CB118" i="7"/>
  <c r="CB120" i="7"/>
  <c r="CP442" i="1"/>
  <c r="CP547" i="1"/>
  <c r="CP443" i="1"/>
  <c r="CP445" i="1"/>
  <c r="CP545" i="1"/>
  <c r="CP441" i="1"/>
  <c r="CP546" i="1"/>
  <c r="CP548" i="1"/>
  <c r="CP444" i="1"/>
  <c r="CP13" i="1"/>
  <c r="CP15" i="1" s="1"/>
  <c r="CP116" i="1"/>
  <c r="CP118" i="1"/>
  <c r="CP230" i="1" s="1"/>
  <c r="CP173" i="1"/>
  <c r="CB41" i="7" s="1"/>
  <c r="CP362" i="1"/>
  <c r="CP371" i="1"/>
  <c r="CP341" i="1"/>
  <c r="CP367" i="1"/>
  <c r="CP333" i="1"/>
  <c r="CP330" i="1"/>
  <c r="CP354" i="1"/>
  <c r="CP350" i="1"/>
  <c r="CP358" i="1"/>
  <c r="CP337" i="1"/>
  <c r="CP346" i="1"/>
  <c r="CP40" i="1"/>
  <c r="CP51" i="1"/>
  <c r="CP251" i="1"/>
  <c r="CP252" i="1" s="1"/>
  <c r="CO487" i="1"/>
  <c r="CO499" i="1" s="1"/>
  <c r="CO492" i="1"/>
  <c r="CA10" i="7"/>
  <c r="CA36" i="7" s="1"/>
  <c r="CO486" i="1"/>
  <c r="CO330" i="1"/>
  <c r="CO337" i="1"/>
  <c r="CO341" i="1"/>
  <c r="CO346" i="1"/>
  <c r="CO350" i="1"/>
  <c r="CO354" i="1"/>
  <c r="CO358" i="1"/>
  <c r="CO367" i="1"/>
  <c r="CO371" i="1"/>
  <c r="CO40" i="1"/>
  <c r="CO51" i="1"/>
  <c r="CO456" i="1"/>
  <c r="CO519" i="1" s="1"/>
  <c r="CO15" i="1"/>
  <c r="CA103" i="7"/>
  <c r="CO388" i="1"/>
  <c r="CO362" i="1"/>
  <c r="CP231" i="1" l="1"/>
  <c r="CP232" i="1" s="1"/>
  <c r="CA30" i="7"/>
  <c r="CA105" i="7"/>
  <c r="CA117" i="7"/>
  <c r="CA121" i="7"/>
  <c r="CA119" i="7"/>
  <c r="CA116" i="7"/>
  <c r="CA120" i="7"/>
  <c r="CA118" i="7"/>
  <c r="CN534" i="1" l="1"/>
  <c r="CN504" i="1"/>
  <c r="CN303" i="1"/>
  <c r="CN282" i="1"/>
  <c r="CN75" i="1"/>
  <c r="CN74" i="1"/>
  <c r="CN73" i="1"/>
  <c r="CN69" i="1"/>
  <c r="BZ16" i="7"/>
  <c r="BZ17" i="7"/>
  <c r="BZ18" i="7"/>
  <c r="BZ25" i="7"/>
  <c r="BZ39" i="7"/>
  <c r="BZ44" i="7"/>
  <c r="T134" i="2" l="1"/>
  <c r="T5" i="2"/>
  <c r="T6" i="2"/>
  <c r="T12" i="2"/>
  <c r="T14" i="2"/>
  <c r="T22" i="2"/>
  <c r="T23" i="2"/>
  <c r="T24" i="2"/>
  <c r="T25" i="2"/>
  <c r="T26" i="2"/>
  <c r="T29" i="2"/>
  <c r="T30" i="2" s="1"/>
  <c r="T34" i="2"/>
  <c r="T91" i="2"/>
  <c r="T96" i="2"/>
  <c r="T104" i="2"/>
  <c r="T114" i="2"/>
  <c r="T115" i="2"/>
  <c r="T119" i="2"/>
  <c r="T126" i="2"/>
  <c r="T253" i="2" s="1"/>
  <c r="T133" i="2"/>
  <c r="T123" i="2" s="1"/>
  <c r="T154" i="2"/>
  <c r="T157" i="2"/>
  <c r="T161" i="2"/>
  <c r="T164" i="2"/>
  <c r="T167" i="2"/>
  <c r="T207" i="2"/>
  <c r="T214" i="2"/>
  <c r="T223" i="2"/>
  <c r="T228" i="2"/>
  <c r="T234" i="2"/>
  <c r="T235" i="2" s="1"/>
  <c r="T280" i="2"/>
  <c r="T306" i="2"/>
  <c r="T316" i="2"/>
  <c r="T317" i="2"/>
  <c r="T321" i="2"/>
  <c r="T325" i="2"/>
  <c r="CM104" i="1"/>
  <c r="CM110" i="1"/>
  <c r="CN110" i="1" s="1"/>
  <c r="CM143" i="1"/>
  <c r="CM148" i="1"/>
  <c r="CM154" i="1"/>
  <c r="CM159" i="1"/>
  <c r="CM166" i="1"/>
  <c r="CM168" i="1"/>
  <c r="CM170" i="1"/>
  <c r="BZ40" i="7" s="1"/>
  <c r="CM200" i="1"/>
  <c r="CM203" i="1"/>
  <c r="BZ63" i="7" s="1"/>
  <c r="CM205" i="1"/>
  <c r="BZ65" i="7" s="1"/>
  <c r="CM207" i="1"/>
  <c r="BZ64" i="7" s="1"/>
  <c r="CM211" i="1"/>
  <c r="BZ51" i="7" s="1"/>
  <c r="CM264" i="1"/>
  <c r="BZ80" i="7" s="1"/>
  <c r="CM269" i="1"/>
  <c r="CM291" i="1"/>
  <c r="CM384" i="1" s="1"/>
  <c r="CM326" i="1"/>
  <c r="CM329" i="1"/>
  <c r="CM336" i="1"/>
  <c r="CM340" i="1"/>
  <c r="CM345" i="1"/>
  <c r="CM349" i="1"/>
  <c r="CM353" i="1"/>
  <c r="CM357" i="1"/>
  <c r="CM366" i="1"/>
  <c r="CM370" i="1"/>
  <c r="CM391" i="1"/>
  <c r="CM394" i="1"/>
  <c r="CM398" i="1"/>
  <c r="CM399" i="1"/>
  <c r="CM408" i="1"/>
  <c r="CM409" i="1"/>
  <c r="CM411" i="1"/>
  <c r="BZ73" i="7" s="1"/>
  <c r="BZ100" i="7" s="1"/>
  <c r="CM412" i="1"/>
  <c r="CM277" i="1" s="1"/>
  <c r="CM413" i="1"/>
  <c r="BZ101" i="7" s="1"/>
  <c r="CM424" i="1"/>
  <c r="CM11" i="1" s="1"/>
  <c r="CM425" i="1"/>
  <c r="CM12" i="1" s="1"/>
  <c r="CM431" i="1"/>
  <c r="CM432" i="1"/>
  <c r="BZ7" i="7" s="1"/>
  <c r="CM451" i="1"/>
  <c r="CM453" i="1"/>
  <c r="CM463" i="1"/>
  <c r="CM464" i="1"/>
  <c r="CM469" i="1"/>
  <c r="CM479" i="1"/>
  <c r="CM494" i="1"/>
  <c r="CM501" i="1"/>
  <c r="CM508" i="1"/>
  <c r="CM49" i="1" s="1"/>
  <c r="BZ11" i="7" s="1"/>
  <c r="CM534" i="1"/>
  <c r="BY16" i="7"/>
  <c r="BY17" i="7"/>
  <c r="BY25" i="7"/>
  <c r="BY39" i="7"/>
  <c r="BY44" i="7"/>
  <c r="CN97" i="1" l="1"/>
  <c r="CO108" i="1"/>
  <c r="CO109" i="1" s="1"/>
  <c r="BZ49" i="7"/>
  <c r="CO191" i="1"/>
  <c r="T179" i="2"/>
  <c r="T16" i="2" s="1"/>
  <c r="T18" i="2" s="1"/>
  <c r="T9" i="2"/>
  <c r="U9" i="2" s="1"/>
  <c r="BZ81" i="7"/>
  <c r="CN269" i="1"/>
  <c r="BZ48" i="7"/>
  <c r="CN104" i="1"/>
  <c r="CO102" i="1" s="1"/>
  <c r="CM7" i="1"/>
  <c r="BZ32" i="7"/>
  <c r="BZ99" i="7" s="1"/>
  <c r="BZ24" i="7"/>
  <c r="BZ37" i="7"/>
  <c r="CM236" i="1"/>
  <c r="BZ42" i="7"/>
  <c r="CM248" i="1"/>
  <c r="BZ31" i="7"/>
  <c r="CM97" i="1"/>
  <c r="BZ47" i="7"/>
  <c r="CM452" i="1"/>
  <c r="BZ9" i="7"/>
  <c r="CM241" i="1"/>
  <c r="BZ43" i="7"/>
  <c r="T43" i="2"/>
  <c r="T113" i="2"/>
  <c r="T169" i="2"/>
  <c r="T58" i="2" s="1"/>
  <c r="T292" i="2" s="1"/>
  <c r="T27" i="2"/>
  <c r="T32" i="2" s="1"/>
  <c r="CM332" i="1"/>
  <c r="CM465" i="1"/>
  <c r="CM258" i="1"/>
  <c r="CM327" i="1" s="1"/>
  <c r="CM253" i="1"/>
  <c r="CM8" i="1"/>
  <c r="CM266" i="1"/>
  <c r="CM52" i="1"/>
  <c r="BZ12" i="7" s="1"/>
  <c r="CM9" i="1"/>
  <c r="CM374" i="1"/>
  <c r="CM471" i="1"/>
  <c r="CM473" i="1" s="1"/>
  <c r="T36" i="2"/>
  <c r="T37" i="2" s="1"/>
  <c r="T56" i="2"/>
  <c r="CM37" i="1"/>
  <c r="CM117" i="1"/>
  <c r="CM96" i="1"/>
  <c r="CM455" i="1"/>
  <c r="CM38" i="1"/>
  <c r="CM509" i="1"/>
  <c r="CM515" i="1"/>
  <c r="CL104" i="1"/>
  <c r="CM102" i="1" s="1"/>
  <c r="CM105" i="1" s="1"/>
  <c r="CM242" i="1" s="1"/>
  <c r="CL110" i="1"/>
  <c r="CL143" i="1"/>
  <c r="CL148" i="1"/>
  <c r="CL154" i="1"/>
  <c r="CL159" i="1"/>
  <c r="CL166" i="1"/>
  <c r="BY42" i="7" s="1"/>
  <c r="CL168" i="1"/>
  <c r="CL170" i="1"/>
  <c r="BY40" i="7" s="1"/>
  <c r="CL200" i="1"/>
  <c r="BY49" i="7" s="1"/>
  <c r="CL203" i="1"/>
  <c r="BY63" i="7" s="1"/>
  <c r="CL205" i="1"/>
  <c r="BY65" i="7" s="1"/>
  <c r="CL207" i="1"/>
  <c r="BY64" i="7" s="1"/>
  <c r="CL211" i="1"/>
  <c r="CL264" i="1"/>
  <c r="BY80" i="7" s="1"/>
  <c r="CL269" i="1"/>
  <c r="CL291" i="1"/>
  <c r="CL384" i="1" s="1"/>
  <c r="CL326" i="1"/>
  <c r="CL329" i="1"/>
  <c r="CL336" i="1"/>
  <c r="CL340" i="1"/>
  <c r="CL345" i="1"/>
  <c r="CL349" i="1"/>
  <c r="CL353" i="1"/>
  <c r="CL357" i="1"/>
  <c r="CL366" i="1"/>
  <c r="CL370" i="1"/>
  <c r="CL391" i="1"/>
  <c r="CL394" i="1"/>
  <c r="CL398" i="1"/>
  <c r="CL399" i="1"/>
  <c r="CL408" i="1"/>
  <c r="CL409" i="1"/>
  <c r="CL411" i="1"/>
  <c r="CL412" i="1"/>
  <c r="CL277" i="1" s="1"/>
  <c r="CL413" i="1"/>
  <c r="BY101" i="7" s="1"/>
  <c r="CL424" i="1"/>
  <c r="CL11" i="1" s="1"/>
  <c r="CL425" i="1"/>
  <c r="CL12" i="1" s="1"/>
  <c r="CL431" i="1"/>
  <c r="CL432" i="1"/>
  <c r="CL451" i="1"/>
  <c r="CL453" i="1"/>
  <c r="BY9" i="7" s="1"/>
  <c r="CL463" i="1"/>
  <c r="CL464" i="1"/>
  <c r="CL469" i="1"/>
  <c r="CL479" i="1"/>
  <c r="CL494" i="1"/>
  <c r="CL501" i="1"/>
  <c r="CL508" i="1"/>
  <c r="CL534" i="1"/>
  <c r="BY51" i="7" l="1"/>
  <c r="CP212" i="1"/>
  <c r="CO271" i="1"/>
  <c r="CO273" i="1" s="1"/>
  <c r="CO270" i="1"/>
  <c r="CO103" i="1"/>
  <c r="CO105" i="1"/>
  <c r="CO242" i="1" s="1"/>
  <c r="CO243" i="1" s="1"/>
  <c r="T10" i="2"/>
  <c r="T20" i="2" s="1"/>
  <c r="T50" i="2" s="1"/>
  <c r="CN96" i="1"/>
  <c r="CN98" i="1" s="1"/>
  <c r="BZ46" i="7"/>
  <c r="CN117" i="1"/>
  <c r="CM243" i="1"/>
  <c r="CM251" i="1" s="1"/>
  <c r="CM252" i="1" s="1"/>
  <c r="BZ98" i="7"/>
  <c r="BZ33" i="7"/>
  <c r="BZ34" i="7" s="1"/>
  <c r="CM98" i="1"/>
  <c r="CM99" i="1" s="1"/>
  <c r="BZ35" i="7"/>
  <c r="BZ22" i="7"/>
  <c r="BZ19" i="7"/>
  <c r="T39" i="2"/>
  <c r="T258" i="2"/>
  <c r="CM6" i="1"/>
  <c r="CM472" i="1"/>
  <c r="CM209" i="1"/>
  <c r="BY81" i="7"/>
  <c r="CM270" i="1"/>
  <c r="CM271" i="1"/>
  <c r="CM273" i="1" s="1"/>
  <c r="BY47" i="7"/>
  <c r="CM108" i="1"/>
  <c r="CM109" i="1" s="1"/>
  <c r="CM518" i="1"/>
  <c r="CM448" i="1"/>
  <c r="CM361" i="1"/>
  <c r="CM103" i="1"/>
  <c r="T299" i="2"/>
  <c r="CM31" i="1"/>
  <c r="CM40" i="1" s="1"/>
  <c r="CM30" i="1"/>
  <c r="CM160" i="1"/>
  <c r="CM210" i="1"/>
  <c r="BZ50" i="7" s="1"/>
  <c r="CL236" i="1"/>
  <c r="BY35" i="7"/>
  <c r="BY22" i="7"/>
  <c r="CL9" i="1"/>
  <c r="BY73" i="7"/>
  <c r="BY100" i="7" s="1"/>
  <c r="CL8" i="1"/>
  <c r="BY31" i="7"/>
  <c r="CL515" i="1"/>
  <c r="CL30" i="1" s="1"/>
  <c r="CL330" i="1" s="1"/>
  <c r="BY7" i="7"/>
  <c r="CL7" i="1"/>
  <c r="BY32" i="7"/>
  <c r="BY99" i="7" s="1"/>
  <c r="CL241" i="1"/>
  <c r="BY43" i="7"/>
  <c r="CL96" i="1"/>
  <c r="BY48" i="7"/>
  <c r="CL452" i="1"/>
  <c r="CL253" i="1"/>
  <c r="CL471" i="1"/>
  <c r="CL472" i="1" s="1"/>
  <c r="CL52" i="1"/>
  <c r="BY12" i="7" s="1"/>
  <c r="CL465" i="1"/>
  <c r="CL332" i="1"/>
  <c r="CL258" i="1"/>
  <c r="CL327" i="1" s="1"/>
  <c r="CL374" i="1"/>
  <c r="CL49" i="1"/>
  <c r="BY11" i="7" s="1"/>
  <c r="CL38" i="1"/>
  <c r="CL37" i="1"/>
  <c r="CL117" i="1"/>
  <c r="CL97" i="1"/>
  <c r="CL248" i="1"/>
  <c r="CL455" i="1"/>
  <c r="CL266" i="1"/>
  <c r="CL509" i="1"/>
  <c r="CO276" i="1" l="1"/>
  <c r="CO251" i="1"/>
  <c r="CO252" i="1" s="1"/>
  <c r="CO115" i="1"/>
  <c r="CO197" i="1"/>
  <c r="CA45" i="7" s="1"/>
  <c r="CN99" i="1"/>
  <c r="CQ98" i="1"/>
  <c r="T40" i="2"/>
  <c r="T3" i="2" s="1"/>
  <c r="T84" i="2"/>
  <c r="CM115" i="1"/>
  <c r="CM197" i="1"/>
  <c r="BZ45" i="7" s="1"/>
  <c r="CM276" i="1"/>
  <c r="CM346" i="1"/>
  <c r="CM330" i="1"/>
  <c r="CM341" i="1"/>
  <c r="CM350" i="1"/>
  <c r="CM337" i="1"/>
  <c r="CM367" i="1"/>
  <c r="CM371" i="1"/>
  <c r="CM354" i="1"/>
  <c r="CM333" i="1"/>
  <c r="CM358" i="1"/>
  <c r="CM362" i="1"/>
  <c r="CM51" i="1"/>
  <c r="CL31" i="1"/>
  <c r="CL51" i="1" s="1"/>
  <c r="CL98" i="1"/>
  <c r="CL99" i="1" s="1"/>
  <c r="CL6" i="1"/>
  <c r="BY33" i="7"/>
  <c r="BY34" i="7" s="1"/>
  <c r="BY98" i="7"/>
  <c r="BY37" i="7"/>
  <c r="BY24" i="7"/>
  <c r="CL160" i="1"/>
  <c r="BY46" i="7"/>
  <c r="CL473" i="1"/>
  <c r="CL518" i="1"/>
  <c r="CL448" i="1"/>
  <c r="CL361" i="1"/>
  <c r="CL210" i="1"/>
  <c r="BY50" i="7" s="1"/>
  <c r="CL341" i="1"/>
  <c r="CL371" i="1"/>
  <c r="CL346" i="1"/>
  <c r="CL358" i="1"/>
  <c r="CL333" i="1"/>
  <c r="CL354" i="1"/>
  <c r="CL337" i="1"/>
  <c r="CL350" i="1"/>
  <c r="CL367" i="1"/>
  <c r="CO118" i="1" l="1"/>
  <c r="CO230" i="1" s="1"/>
  <c r="CO173" i="1"/>
  <c r="CO116" i="1"/>
  <c r="CM173" i="1"/>
  <c r="BZ41" i="7" s="1"/>
  <c r="CM116" i="1"/>
  <c r="CM118" i="1"/>
  <c r="CM230" i="1" s="1"/>
  <c r="CL40" i="1"/>
  <c r="CL362" i="1"/>
  <c r="CO231" i="1" l="1"/>
  <c r="CA41" i="7"/>
  <c r="B152" i="3"/>
  <c r="B151" i="3"/>
  <c r="B150" i="3"/>
  <c r="B149" i="3"/>
  <c r="CO232" i="1" l="1"/>
  <c r="BI12" i="18"/>
  <c r="BH12" i="18"/>
  <c r="BG12" i="18"/>
  <c r="BF12" i="18"/>
  <c r="BE12" i="18"/>
  <c r="BD12" i="18"/>
  <c r="D49" i="19" l="1"/>
  <c r="S228" i="2"/>
  <c r="R228" i="2"/>
  <c r="Q228" i="2"/>
  <c r="C42" i="4"/>
  <c r="T310" i="2" l="1"/>
  <c r="T309" i="2"/>
  <c r="K33" i="19"/>
  <c r="J33" i="19"/>
  <c r="I33" i="19"/>
  <c r="H33" i="19"/>
  <c r="G33" i="19"/>
  <c r="F33" i="19"/>
  <c r="E33" i="19"/>
  <c r="D33" i="19"/>
  <c r="D31" i="19"/>
  <c r="K25" i="19"/>
  <c r="J25" i="19"/>
  <c r="I25" i="19"/>
  <c r="H25" i="19"/>
  <c r="G25" i="19"/>
  <c r="F25" i="19"/>
  <c r="E25" i="19"/>
  <c r="D25" i="19"/>
  <c r="D6" i="19"/>
  <c r="E6" i="19"/>
  <c r="F6" i="19"/>
  <c r="G6" i="19"/>
  <c r="H6" i="19"/>
  <c r="I6" i="19"/>
  <c r="J6" i="19"/>
  <c r="K6" i="19"/>
  <c r="E10" i="19"/>
  <c r="D10" i="19"/>
  <c r="U6" i="19"/>
  <c r="R6" i="19"/>
  <c r="Q6" i="19"/>
  <c r="P6" i="19"/>
  <c r="C2" i="19"/>
  <c r="M5" i="19" s="1"/>
  <c r="D35" i="19"/>
  <c r="D23" i="19"/>
  <c r="BA21" i="19"/>
  <c r="AZ21" i="19"/>
  <c r="BA15" i="19"/>
  <c r="AZ13" i="19"/>
  <c r="AZ15" i="19" s="1"/>
  <c r="BQ5" i="19"/>
  <c r="BP5" i="19"/>
  <c r="BO5" i="19"/>
  <c r="BN5" i="19"/>
  <c r="BM5" i="19"/>
  <c r="BL5" i="19"/>
  <c r="BK5" i="19"/>
  <c r="BJ5" i="19"/>
  <c r="BI5" i="19"/>
  <c r="E4" i="19"/>
  <c r="T311" i="2" l="1"/>
  <c r="H43" i="19"/>
  <c r="N5" i="19"/>
  <c r="K43" i="19"/>
  <c r="E23" i="19"/>
  <c r="E49" i="19"/>
  <c r="O5" i="19"/>
  <c r="P5" i="19"/>
  <c r="P7" i="19" s="1"/>
  <c r="J43" i="19"/>
  <c r="R5" i="19"/>
  <c r="R7" i="19" s="1"/>
  <c r="W5" i="19"/>
  <c r="Q5" i="19"/>
  <c r="Q7" i="19" s="1"/>
  <c r="S5" i="19"/>
  <c r="Z5" i="19"/>
  <c r="E43" i="19"/>
  <c r="E5" i="19"/>
  <c r="E7" i="19" s="1"/>
  <c r="AB5" i="19"/>
  <c r="F43" i="19"/>
  <c r="I5" i="19"/>
  <c r="I7" i="19" s="1"/>
  <c r="G43" i="19"/>
  <c r="D5" i="19"/>
  <c r="D7" i="19" s="1"/>
  <c r="AA5" i="19"/>
  <c r="J5" i="19"/>
  <c r="J7" i="19" s="1"/>
  <c r="L5" i="19"/>
  <c r="I43" i="19"/>
  <c r="E45" i="19"/>
  <c r="F4" i="19"/>
  <c r="E35" i="19"/>
  <c r="F5" i="19"/>
  <c r="F7" i="19" s="1"/>
  <c r="T5" i="19"/>
  <c r="G5" i="19"/>
  <c r="G7" i="19" s="1"/>
  <c r="U5" i="19"/>
  <c r="U7" i="19" s="1"/>
  <c r="H5" i="19"/>
  <c r="H7" i="19" s="1"/>
  <c r="V5" i="19"/>
  <c r="X5" i="19"/>
  <c r="K5" i="19"/>
  <c r="K7" i="19" s="1"/>
  <c r="Y5" i="19"/>
  <c r="G4" i="19" l="1"/>
  <c r="G23" i="19" s="1"/>
  <c r="F49" i="19"/>
  <c r="U9" i="19"/>
  <c r="U18" i="19" s="1"/>
  <c r="U21" i="19" s="1"/>
  <c r="F35" i="19"/>
  <c r="F23" i="19"/>
  <c r="G35" i="19" l="1"/>
  <c r="H4" i="19"/>
  <c r="G49" i="19"/>
  <c r="H49" i="19" l="1"/>
  <c r="H35" i="19"/>
  <c r="H23" i="19"/>
  <c r="I4" i="19"/>
  <c r="I49" i="19" l="1"/>
  <c r="I23" i="19"/>
  <c r="I35" i="19"/>
  <c r="J4" i="19"/>
  <c r="J49" i="19" l="1"/>
  <c r="K4" i="19"/>
  <c r="J35" i="19"/>
  <c r="J23" i="19"/>
  <c r="K49" i="19" l="1"/>
  <c r="K35" i="19"/>
  <c r="K23" i="19"/>
  <c r="L4" i="19"/>
  <c r="L49" i="19" l="1"/>
  <c r="L35" i="19"/>
  <c r="L23" i="19"/>
  <c r="M4" i="19"/>
  <c r="M49" i="19" l="1"/>
  <c r="M35" i="19"/>
  <c r="N4" i="19"/>
  <c r="M23" i="19"/>
  <c r="N49" i="19" l="1"/>
  <c r="N23" i="19"/>
  <c r="O4" i="19"/>
  <c r="N35" i="19"/>
  <c r="O49" i="19" l="1"/>
  <c r="P4" i="19"/>
  <c r="O35" i="19"/>
  <c r="O23" i="19"/>
  <c r="P49" i="19" l="1"/>
  <c r="P23" i="19"/>
  <c r="Q4" i="19"/>
  <c r="P35" i="19"/>
  <c r="Q49" i="19" l="1"/>
  <c r="R4" i="19"/>
  <c r="Q23" i="19"/>
  <c r="Q35" i="19"/>
  <c r="R49" i="19" l="1"/>
  <c r="S4" i="19"/>
  <c r="R23" i="19"/>
  <c r="R35" i="19"/>
  <c r="S49" i="19" l="1"/>
  <c r="T4" i="19"/>
  <c r="S35" i="19"/>
  <c r="S23" i="19"/>
  <c r="T49" i="19" l="1"/>
  <c r="U4" i="19"/>
  <c r="T23" i="19"/>
  <c r="T35" i="19"/>
  <c r="U49" i="19" l="1"/>
  <c r="V4" i="19"/>
  <c r="U23" i="19"/>
  <c r="U35" i="19"/>
  <c r="V49" i="19" l="1"/>
  <c r="V23" i="19"/>
  <c r="V35" i="19"/>
  <c r="W4" i="19"/>
  <c r="W49" i="19" l="1"/>
  <c r="W23" i="19"/>
  <c r="W35" i="19"/>
  <c r="X4" i="19"/>
  <c r="X49" i="19" l="1"/>
  <c r="X35" i="19"/>
  <c r="Y4" i="19"/>
  <c r="X23" i="19"/>
  <c r="Y49" i="19" l="1"/>
  <c r="Y35" i="19"/>
  <c r="Y23" i="19"/>
  <c r="Z4" i="19"/>
  <c r="Z49" i="19" l="1"/>
  <c r="AA4" i="19"/>
  <c r="Z35" i="19"/>
  <c r="Z23" i="19"/>
  <c r="AA49" i="19" l="1"/>
  <c r="AA23" i="19"/>
  <c r="AB4" i="19"/>
  <c r="AA35" i="19"/>
  <c r="AP42" i="18"/>
  <c r="AP40" i="18"/>
  <c r="AP37" i="18"/>
  <c r="C465" i="1"/>
  <c r="D465" i="1"/>
  <c r="E465" i="1"/>
  <c r="F465" i="1"/>
  <c r="G465" i="1"/>
  <c r="H465" i="1"/>
  <c r="I465" i="1"/>
  <c r="J465" i="1"/>
  <c r="K465" i="1"/>
  <c r="L465" i="1"/>
  <c r="M465" i="1"/>
  <c r="N465" i="1"/>
  <c r="O465" i="1"/>
  <c r="P465" i="1"/>
  <c r="Q465" i="1"/>
  <c r="R465" i="1"/>
  <c r="S465" i="1"/>
  <c r="T465" i="1"/>
  <c r="U465" i="1"/>
  <c r="V465" i="1"/>
  <c r="W465" i="1"/>
  <c r="X465" i="1"/>
  <c r="Y465" i="1"/>
  <c r="Z465" i="1"/>
  <c r="AA465" i="1"/>
  <c r="AB465" i="1"/>
  <c r="AC465" i="1"/>
  <c r="AD465" i="1"/>
  <c r="AE465" i="1"/>
  <c r="AF465" i="1"/>
  <c r="AG465" i="1"/>
  <c r="AH465" i="1"/>
  <c r="AI465" i="1"/>
  <c r="AJ465" i="1"/>
  <c r="AK465" i="1"/>
  <c r="B465" i="1"/>
  <c r="CQ435" i="1"/>
  <c r="CR435" i="1"/>
  <c r="CS435" i="1"/>
  <c r="CT435" i="1"/>
  <c r="CU435" i="1"/>
  <c r="CV435" i="1"/>
  <c r="CW435" i="1"/>
  <c r="C486" i="1"/>
  <c r="D486" i="1"/>
  <c r="E486" i="1"/>
  <c r="AK466" i="1" l="1"/>
  <c r="V466" i="1"/>
  <c r="AB49" i="19"/>
  <c r="AB23" i="19"/>
  <c r="AB35" i="19"/>
  <c r="AF466" i="1"/>
  <c r="L466" i="1"/>
  <c r="Q466" i="1"/>
  <c r="AA466" i="1"/>
  <c r="G466" i="1"/>
  <c r="AW62" i="18" l="1"/>
  <c r="BN62" i="18" s="1"/>
  <c r="AX62" i="18"/>
  <c r="BO62" i="18" s="1"/>
  <c r="AY62" i="18"/>
  <c r="BP62" i="18" s="1"/>
  <c r="AW72" i="18"/>
  <c r="BN72" i="18" s="1"/>
  <c r="AX72" i="18"/>
  <c r="BO72" i="18" s="1"/>
  <c r="AY72" i="18"/>
  <c r="BP72" i="18" s="1"/>
  <c r="AT82" i="18"/>
  <c r="AT55" i="18"/>
  <c r="AT28" i="18"/>
  <c r="AV72" i="18"/>
  <c r="BM72" i="18" s="1"/>
  <c r="AU72" i="18"/>
  <c r="BL72" i="18" s="1"/>
  <c r="AT72" i="18"/>
  <c r="BK72" i="18" s="1"/>
  <c r="AS72" i="18"/>
  <c r="AR72" i="18"/>
  <c r="AQ72" i="18"/>
  <c r="X72" i="18"/>
  <c r="W72" i="18"/>
  <c r="V72" i="18"/>
  <c r="U72" i="18"/>
  <c r="T72" i="18"/>
  <c r="S72" i="18"/>
  <c r="R72" i="18"/>
  <c r="Q72" i="18"/>
  <c r="P72" i="18"/>
  <c r="O72" i="18"/>
  <c r="N72" i="18"/>
  <c r="M72" i="18"/>
  <c r="L72" i="18"/>
  <c r="K72" i="18"/>
  <c r="J72" i="18"/>
  <c r="I72" i="18"/>
  <c r="H72" i="18"/>
  <c r="G72" i="18"/>
  <c r="F72" i="18"/>
  <c r="E72" i="18"/>
  <c r="D72" i="18"/>
  <c r="C72" i="18"/>
  <c r="AV62" i="18"/>
  <c r="BM62" i="18" s="1"/>
  <c r="AU62" i="18"/>
  <c r="BL62" i="18" s="1"/>
  <c r="J42" i="18"/>
  <c r="I42" i="18"/>
  <c r="H42" i="18"/>
  <c r="G42" i="18"/>
  <c r="F42" i="18"/>
  <c r="E42" i="18"/>
  <c r="D42" i="18"/>
  <c r="C42" i="18"/>
  <c r="J40" i="18"/>
  <c r="I40" i="18"/>
  <c r="H40" i="18"/>
  <c r="G40" i="18"/>
  <c r="F40" i="18"/>
  <c r="E40" i="18"/>
  <c r="D40" i="18"/>
  <c r="C40" i="18"/>
  <c r="J37" i="18"/>
  <c r="I37" i="18"/>
  <c r="H37" i="18"/>
  <c r="G37" i="18"/>
  <c r="F37" i="18"/>
  <c r="E37" i="18"/>
  <c r="D37" i="18"/>
  <c r="C37" i="18"/>
  <c r="F19" i="18"/>
  <c r="E19" i="18"/>
  <c r="D19" i="18"/>
  <c r="C19" i="18"/>
  <c r="F16" i="18"/>
  <c r="E16" i="18"/>
  <c r="D16" i="18"/>
  <c r="C16" i="18"/>
  <c r="F14" i="18"/>
  <c r="E14" i="18"/>
  <c r="D14" i="18"/>
  <c r="C14" i="18"/>
  <c r="F10" i="18"/>
  <c r="E10" i="18"/>
  <c r="D10" i="18"/>
  <c r="C10" i="18"/>
  <c r="F8" i="18"/>
  <c r="E8" i="18"/>
  <c r="D8" i="18"/>
  <c r="C8" i="18"/>
  <c r="AJ6" i="18"/>
  <c r="AC6" i="18"/>
  <c r="D6" i="18"/>
  <c r="E6" i="18" s="1"/>
  <c r="F6" i="18" s="1"/>
  <c r="G6" i="18" s="1"/>
  <c r="H6" i="18" s="1"/>
  <c r="I6" i="18" s="1"/>
  <c r="AP5" i="18"/>
  <c r="AQ5" i="18" s="1"/>
  <c r="AR5" i="18" s="1"/>
  <c r="C5" i="18"/>
  <c r="AV64" i="16"/>
  <c r="AU64" i="16"/>
  <c r="AT64" i="16"/>
  <c r="AS64" i="16"/>
  <c r="AR64" i="16"/>
  <c r="AQ64" i="16"/>
  <c r="AV54" i="16"/>
  <c r="AU54" i="16"/>
  <c r="X64" i="16"/>
  <c r="W64" i="16"/>
  <c r="V64" i="16"/>
  <c r="U64" i="16"/>
  <c r="T64" i="16"/>
  <c r="S64" i="16"/>
  <c r="R64" i="16"/>
  <c r="Q64" i="16"/>
  <c r="P64" i="16"/>
  <c r="O64" i="16"/>
  <c r="N64" i="16"/>
  <c r="M64" i="16"/>
  <c r="L64" i="16"/>
  <c r="K64" i="16"/>
  <c r="J64" i="16"/>
  <c r="I64" i="16"/>
  <c r="H64" i="16"/>
  <c r="G64" i="16"/>
  <c r="F64" i="16"/>
  <c r="E64" i="16"/>
  <c r="D64" i="16"/>
  <c r="C64" i="16"/>
  <c r="J37" i="16"/>
  <c r="I37" i="16"/>
  <c r="H37" i="16"/>
  <c r="G37" i="16"/>
  <c r="F37" i="16"/>
  <c r="E37" i="16"/>
  <c r="D37" i="16"/>
  <c r="C37" i="16"/>
  <c r="J35" i="16"/>
  <c r="I35" i="16"/>
  <c r="H35" i="16"/>
  <c r="G35" i="16"/>
  <c r="F35" i="16"/>
  <c r="E35" i="16"/>
  <c r="D35" i="16"/>
  <c r="C35" i="16"/>
  <c r="J32" i="16"/>
  <c r="I32" i="16"/>
  <c r="H32" i="16"/>
  <c r="G32" i="16"/>
  <c r="F32" i="16"/>
  <c r="E32" i="16"/>
  <c r="D32" i="16"/>
  <c r="C32" i="16"/>
  <c r="F12" i="16"/>
  <c r="E12" i="16"/>
  <c r="D12" i="16"/>
  <c r="C12" i="16"/>
  <c r="C10" i="16"/>
  <c r="D10" i="16"/>
  <c r="E10" i="16"/>
  <c r="F10" i="16"/>
  <c r="F8" i="16"/>
  <c r="E8" i="16"/>
  <c r="D8" i="16"/>
  <c r="C8" i="16"/>
  <c r="F14" i="16"/>
  <c r="E14" i="16"/>
  <c r="D14" i="16"/>
  <c r="C14" i="16"/>
  <c r="F17" i="16"/>
  <c r="E17" i="16"/>
  <c r="D17" i="16"/>
  <c r="C17" i="16"/>
  <c r="AJ6" i="16"/>
  <c r="AI6" i="16" s="1"/>
  <c r="AC6" i="16"/>
  <c r="D6" i="16"/>
  <c r="AP5" i="16"/>
  <c r="AQ5" i="16" s="1"/>
  <c r="AR5" i="16" s="1"/>
  <c r="AS5" i="16" s="1"/>
  <c r="AT5" i="16" s="1"/>
  <c r="AY5" i="16" s="1"/>
  <c r="C5" i="16"/>
  <c r="AI6" i="18" l="1"/>
  <c r="D5" i="18"/>
  <c r="J6" i="18"/>
  <c r="I5" i="18"/>
  <c r="E5" i="18"/>
  <c r="F5" i="18"/>
  <c r="G5" i="18"/>
  <c r="H5" i="18"/>
  <c r="AS5" i="18"/>
  <c r="AB6" i="18"/>
  <c r="AU5" i="16"/>
  <c r="AB6" i="16"/>
  <c r="D5" i="16"/>
  <c r="E6" i="16"/>
  <c r="AX5" i="16"/>
  <c r="K6" i="18" l="1"/>
  <c r="J5" i="18"/>
  <c r="AT5" i="18"/>
  <c r="BR5" i="18"/>
  <c r="E5" i="16"/>
  <c r="F6" i="16"/>
  <c r="AZ5" i="16"/>
  <c r="AV5" i="16"/>
  <c r="BD5" i="18" l="1"/>
  <c r="BZ5" i="18" s="1"/>
  <c r="K5" i="18"/>
  <c r="L6" i="18"/>
  <c r="BS5" i="18"/>
  <c r="AU5" i="18"/>
  <c r="F5" i="16"/>
  <c r="G6" i="16"/>
  <c r="BA5" i="16"/>
  <c r="AI64" i="16"/>
  <c r="AJ64" i="16"/>
  <c r="BK5" i="18" l="1"/>
  <c r="BE5" i="18"/>
  <c r="CA5" i="18" s="1"/>
  <c r="BT5" i="18"/>
  <c r="AV5" i="18"/>
  <c r="AW5" i="18" s="1"/>
  <c r="L5" i="18"/>
  <c r="M6" i="18"/>
  <c r="G5" i="16"/>
  <c r="H6" i="16"/>
  <c r="BL5" i="18" l="1"/>
  <c r="BF5" i="18"/>
  <c r="CB5" i="18" s="1"/>
  <c r="AX5" i="18"/>
  <c r="BV5" i="18"/>
  <c r="BU5" i="18"/>
  <c r="M5" i="18"/>
  <c r="N6" i="18"/>
  <c r="H5" i="16"/>
  <c r="I6" i="16"/>
  <c r="BG5" i="18" l="1"/>
  <c r="CC5" i="18" s="1"/>
  <c r="BM5" i="18"/>
  <c r="AY5" i="18"/>
  <c r="AJ72" i="18" s="1"/>
  <c r="BW5" i="18"/>
  <c r="N5" i="18"/>
  <c r="O6" i="18"/>
  <c r="I5" i="16"/>
  <c r="J6" i="16"/>
  <c r="BH5" i="18" l="1"/>
  <c r="CD5" i="18" s="1"/>
  <c r="BN5" i="18"/>
  <c r="BX5" i="18"/>
  <c r="AI72" i="18"/>
  <c r="O5" i="18"/>
  <c r="P6" i="18"/>
  <c r="K6" i="16"/>
  <c r="J5" i="16"/>
  <c r="BO5" i="18" l="1"/>
  <c r="BI5" i="18"/>
  <c r="BP5" i="18" s="1"/>
  <c r="P5" i="18"/>
  <c r="Q6" i="18"/>
  <c r="K5" i="16"/>
  <c r="L6" i="16"/>
  <c r="CE5" i="18" l="1"/>
  <c r="Q5" i="18"/>
  <c r="R6" i="18"/>
  <c r="M6" i="16"/>
  <c r="L5" i="16"/>
  <c r="R5" i="18" l="1"/>
  <c r="S6" i="18"/>
  <c r="M5" i="16"/>
  <c r="N6" i="16"/>
  <c r="T6" i="18" l="1"/>
  <c r="S5" i="18"/>
  <c r="N5" i="16"/>
  <c r="O6" i="16"/>
  <c r="U6" i="18" l="1"/>
  <c r="T5" i="18"/>
  <c r="P6" i="16"/>
  <c r="O5" i="16"/>
  <c r="V6" i="18" l="1"/>
  <c r="U5" i="18"/>
  <c r="Q6" i="16"/>
  <c r="P5" i="16"/>
  <c r="W6" i="18" l="1"/>
  <c r="V5" i="18"/>
  <c r="Q5" i="16"/>
  <c r="R6" i="16"/>
  <c r="X6" i="18" l="1"/>
  <c r="W5" i="18"/>
  <c r="R5" i="16"/>
  <c r="S6" i="16"/>
  <c r="X5" i="18" l="1"/>
  <c r="AC72" i="18"/>
  <c r="AG72" i="18" s="1"/>
  <c r="AB72" i="18"/>
  <c r="AF72" i="18" s="1"/>
  <c r="S5" i="16"/>
  <c r="T6" i="16"/>
  <c r="T5" i="16" l="1"/>
  <c r="U6" i="16"/>
  <c r="U5" i="16" l="1"/>
  <c r="V6" i="16"/>
  <c r="V5" i="16" l="1"/>
  <c r="W6" i="16"/>
  <c r="W5" i="16" l="1"/>
  <c r="X6" i="16"/>
  <c r="X5" i="16" l="1"/>
  <c r="AC64" i="16"/>
  <c r="AB64" i="16"/>
  <c r="AF64" i="16" s="1"/>
  <c r="AG64" i="16" l="1"/>
  <c r="BX16" i="7" l="1"/>
  <c r="BX17" i="7"/>
  <c r="BX25" i="7"/>
  <c r="BX39" i="7"/>
  <c r="BX44" i="7"/>
  <c r="CK104" i="1" l="1"/>
  <c r="CL102" i="1" s="1"/>
  <c r="CK110" i="1"/>
  <c r="CK143" i="1"/>
  <c r="CP144" i="1" s="1"/>
  <c r="CK148" i="1"/>
  <c r="CK154" i="1"/>
  <c r="CP155" i="1" s="1"/>
  <c r="CK159" i="1"/>
  <c r="CK166" i="1"/>
  <c r="CP167" i="1" s="1"/>
  <c r="CK168" i="1"/>
  <c r="CP169" i="1" s="1"/>
  <c r="CK170" i="1"/>
  <c r="CK200" i="1"/>
  <c r="CP201" i="1" s="1"/>
  <c r="CK203" i="1"/>
  <c r="CK205" i="1"/>
  <c r="CK207" i="1"/>
  <c r="CP208" i="1" s="1"/>
  <c r="CK211" i="1"/>
  <c r="CK264" i="1"/>
  <c r="CK269" i="1"/>
  <c r="CK291" i="1"/>
  <c r="CK326" i="1"/>
  <c r="CP328" i="1" s="1"/>
  <c r="CK329" i="1"/>
  <c r="CP331" i="1" s="1"/>
  <c r="CK336" i="1"/>
  <c r="CK340" i="1"/>
  <c r="CP342" i="1" s="1"/>
  <c r="CK345" i="1"/>
  <c r="CP347" i="1" s="1"/>
  <c r="CK349" i="1"/>
  <c r="CK353" i="1"/>
  <c r="CP355" i="1" s="1"/>
  <c r="CK357" i="1"/>
  <c r="CK366" i="1"/>
  <c r="CP368" i="1" s="1"/>
  <c r="CK370" i="1"/>
  <c r="CP372" i="1" s="1"/>
  <c r="CK391" i="1"/>
  <c r="CP392" i="1" s="1"/>
  <c r="CK394" i="1"/>
  <c r="CP395" i="1" s="1"/>
  <c r="CK398" i="1"/>
  <c r="CK399" i="1"/>
  <c r="CK408" i="1"/>
  <c r="CK409" i="1"/>
  <c r="CK411" i="1"/>
  <c r="CK412" i="1"/>
  <c r="CK413" i="1"/>
  <c r="BX101" i="7" s="1"/>
  <c r="CK424" i="1"/>
  <c r="CK11" i="1" s="1"/>
  <c r="CP27" i="1" s="1"/>
  <c r="CK425" i="1"/>
  <c r="CK12" i="1" s="1"/>
  <c r="CP28" i="1" s="1"/>
  <c r="CK431" i="1"/>
  <c r="CP541" i="1" s="1"/>
  <c r="CK432" i="1"/>
  <c r="CK451" i="1"/>
  <c r="CK453" i="1"/>
  <c r="CK463" i="1"/>
  <c r="CK464" i="1"/>
  <c r="CK469" i="1"/>
  <c r="CK479" i="1"/>
  <c r="CK494" i="1"/>
  <c r="CK501" i="1"/>
  <c r="CK508" i="1"/>
  <c r="X77" i="18" s="1"/>
  <c r="CK534" i="1"/>
  <c r="CB111" i="7" l="1"/>
  <c r="CB127" i="7"/>
  <c r="CL108" i="1"/>
  <c r="CL109" i="1" s="1"/>
  <c r="CP111" i="1"/>
  <c r="CP237" i="1" s="1"/>
  <c r="CP238" i="1" s="1"/>
  <c r="BX40" i="7"/>
  <c r="CP171" i="1"/>
  <c r="BX63" i="7"/>
  <c r="CP204" i="1"/>
  <c r="BX65" i="7"/>
  <c r="CP206" i="1"/>
  <c r="BX80" i="7"/>
  <c r="CP265" i="1"/>
  <c r="CK384" i="1"/>
  <c r="CP385" i="1" s="1"/>
  <c r="CP292" i="1"/>
  <c r="CP532" i="1"/>
  <c r="CP417" i="1"/>
  <c r="CP533" i="1"/>
  <c r="CP418" i="1"/>
  <c r="CP419" i="1"/>
  <c r="CP535" i="1"/>
  <c r="CP542" i="1"/>
  <c r="CP433" i="1"/>
  <c r="BX9" i="7"/>
  <c r="CP454" i="1"/>
  <c r="BX51" i="7"/>
  <c r="CO212" i="1"/>
  <c r="BX49" i="7"/>
  <c r="CM191" i="1"/>
  <c r="BX81" i="7"/>
  <c r="CL270" i="1"/>
  <c r="CL271" i="1"/>
  <c r="CL273" i="1" s="1"/>
  <c r="BX64" i="7"/>
  <c r="CL209" i="1"/>
  <c r="CL105" i="1"/>
  <c r="CL242" i="1" s="1"/>
  <c r="CL243" i="1" s="1"/>
  <c r="CL103" i="1"/>
  <c r="CK465" i="1"/>
  <c r="CP466" i="1" s="1"/>
  <c r="X33" i="16"/>
  <c r="X38" i="18"/>
  <c r="CK37" i="1"/>
  <c r="X44" i="16"/>
  <c r="X49" i="18"/>
  <c r="X32" i="16"/>
  <c r="X37" i="18"/>
  <c r="X39" i="18"/>
  <c r="X34" i="16"/>
  <c r="X36" i="16"/>
  <c r="X41" i="18"/>
  <c r="X35" i="16"/>
  <c r="X40" i="18"/>
  <c r="BX32" i="7"/>
  <c r="BX99" i="7" s="1"/>
  <c r="X8" i="18"/>
  <c r="X8" i="16"/>
  <c r="X31" i="16"/>
  <c r="X36" i="18"/>
  <c r="X37" i="16"/>
  <c r="X42" i="18"/>
  <c r="X14" i="18"/>
  <c r="X12" i="16"/>
  <c r="BX31" i="7"/>
  <c r="BX98" i="7" s="1"/>
  <c r="X10" i="18"/>
  <c r="X10" i="16"/>
  <c r="BX7" i="7"/>
  <c r="X26" i="16"/>
  <c r="X31" i="18"/>
  <c r="X79" i="18" s="1"/>
  <c r="X30" i="16"/>
  <c r="X35" i="18"/>
  <c r="X56" i="16"/>
  <c r="X64" i="18"/>
  <c r="CK9" i="1"/>
  <c r="CP25" i="1" s="1"/>
  <c r="BX73" i="7"/>
  <c r="BX100" i="7" s="1"/>
  <c r="CK241" i="1"/>
  <c r="BX43" i="7"/>
  <c r="CK236" i="1"/>
  <c r="BX42" i="7"/>
  <c r="CK97" i="1"/>
  <c r="BX47" i="7"/>
  <c r="CK96" i="1"/>
  <c r="BX48" i="7"/>
  <c r="CK277" i="1"/>
  <c r="CP278" i="1" s="1"/>
  <c r="CK52" i="1"/>
  <c r="BX12" i="7" s="1"/>
  <c r="CK332" i="1"/>
  <c r="CP334" i="1" s="1"/>
  <c r="CK374" i="1"/>
  <c r="CK509" i="1"/>
  <c r="CK266" i="1"/>
  <c r="CK515" i="1"/>
  <c r="CK452" i="1"/>
  <c r="CK38" i="1"/>
  <c r="CP39" i="1" s="1"/>
  <c r="CK471" i="1"/>
  <c r="CK253" i="1"/>
  <c r="CP254" i="1" s="1"/>
  <c r="CK117" i="1"/>
  <c r="CK258" i="1"/>
  <c r="CP259" i="1" s="1"/>
  <c r="CK8" i="1"/>
  <c r="CP24" i="1" s="1"/>
  <c r="CK455" i="1"/>
  <c r="CK248" i="1"/>
  <c r="CP249" i="1" s="1"/>
  <c r="CK7" i="1"/>
  <c r="CP23" i="1" s="1"/>
  <c r="CK49" i="1"/>
  <c r="AN26" i="7"/>
  <c r="AM26" i="7"/>
  <c r="AL26" i="7"/>
  <c r="AK26" i="7"/>
  <c r="AJ26" i="7"/>
  <c r="AI26" i="7"/>
  <c r="AH26" i="7"/>
  <c r="AG26" i="7"/>
  <c r="AF26" i="7"/>
  <c r="AE26" i="7"/>
  <c r="AD26" i="7"/>
  <c r="AC26" i="7"/>
  <c r="AB26" i="7"/>
  <c r="AA26" i="7"/>
  <c r="Z26" i="7"/>
  <c r="Y26" i="7"/>
  <c r="X26" i="7"/>
  <c r="W26" i="7"/>
  <c r="V26" i="7"/>
  <c r="U26" i="7"/>
  <c r="T26" i="7"/>
  <c r="S26" i="7"/>
  <c r="R26" i="7"/>
  <c r="Q26" i="7"/>
  <c r="P26" i="7"/>
  <c r="O26" i="7"/>
  <c r="N26" i="7"/>
  <c r="M26" i="7"/>
  <c r="L26" i="7"/>
  <c r="K26" i="7"/>
  <c r="J26" i="7"/>
  <c r="I26" i="7"/>
  <c r="H26" i="7"/>
  <c r="G26" i="7"/>
  <c r="BW25" i="7"/>
  <c r="BV25" i="7"/>
  <c r="BU25" i="7"/>
  <c r="BT25" i="7"/>
  <c r="BS25" i="7"/>
  <c r="BR25" i="7"/>
  <c r="BQ25" i="7"/>
  <c r="BP25" i="7"/>
  <c r="BO25" i="7"/>
  <c r="BN25" i="7"/>
  <c r="BM25" i="7"/>
  <c r="BL25" i="7"/>
  <c r="BK25" i="7"/>
  <c r="BJ25" i="7"/>
  <c r="BI25" i="7"/>
  <c r="BH25" i="7"/>
  <c r="BG25" i="7"/>
  <c r="BF25" i="7"/>
  <c r="BE25" i="7"/>
  <c r="BD25" i="7"/>
  <c r="BC25" i="7"/>
  <c r="BB25" i="7"/>
  <c r="BA25" i="7"/>
  <c r="AZ25" i="7"/>
  <c r="AY25" i="7"/>
  <c r="AX25" i="7"/>
  <c r="AW25" i="7"/>
  <c r="AV25" i="7"/>
  <c r="AU25" i="7"/>
  <c r="AT25" i="7"/>
  <c r="AS25" i="7"/>
  <c r="AR25" i="7"/>
  <c r="AQ25" i="7"/>
  <c r="AP25" i="7"/>
  <c r="AO25" i="7"/>
  <c r="AN25" i="7"/>
  <c r="AM25" i="7"/>
  <c r="AL25" i="7"/>
  <c r="AK25" i="7"/>
  <c r="AJ25" i="7"/>
  <c r="AI25" i="7"/>
  <c r="AH25" i="7"/>
  <c r="AG25" i="7"/>
  <c r="AF25" i="7"/>
  <c r="AE25" i="7"/>
  <c r="AD25" i="7"/>
  <c r="AC25" i="7"/>
  <c r="AB25" i="7"/>
  <c r="AA25" i="7"/>
  <c r="Z25" i="7"/>
  <c r="Y25" i="7"/>
  <c r="X25" i="7"/>
  <c r="W25" i="7"/>
  <c r="V25" i="7"/>
  <c r="U25" i="7"/>
  <c r="T25" i="7"/>
  <c r="S25" i="7"/>
  <c r="R25" i="7"/>
  <c r="Q25" i="7"/>
  <c r="P25" i="7"/>
  <c r="O25" i="7"/>
  <c r="N25" i="7"/>
  <c r="M25" i="7"/>
  <c r="L25" i="7"/>
  <c r="K25" i="7"/>
  <c r="J25" i="7"/>
  <c r="I25" i="7"/>
  <c r="H25" i="7"/>
  <c r="G25" i="7"/>
  <c r="AQ23" i="7"/>
  <c r="AP23" i="7"/>
  <c r="AO23" i="7"/>
  <c r="AN23" i="7"/>
  <c r="AM23" i="7"/>
  <c r="AL23" i="7"/>
  <c r="AK23" i="7"/>
  <c r="AJ23" i="7"/>
  <c r="AI23" i="7"/>
  <c r="AH23" i="7"/>
  <c r="AG23" i="7"/>
  <c r="AF23" i="7"/>
  <c r="AE23" i="7"/>
  <c r="AD23" i="7"/>
  <c r="AC23" i="7"/>
  <c r="AB23" i="7"/>
  <c r="AA23" i="7"/>
  <c r="Z23" i="7"/>
  <c r="Y23" i="7"/>
  <c r="X23" i="7"/>
  <c r="W23" i="7"/>
  <c r="V23" i="7"/>
  <c r="U23" i="7"/>
  <c r="T23" i="7"/>
  <c r="S23" i="7"/>
  <c r="R23" i="7"/>
  <c r="Q23" i="7"/>
  <c r="P23" i="7"/>
  <c r="O23" i="7"/>
  <c r="N23" i="7"/>
  <c r="M23" i="7"/>
  <c r="L23" i="7"/>
  <c r="K23" i="7"/>
  <c r="J23" i="7"/>
  <c r="I23" i="7"/>
  <c r="H23" i="7"/>
  <c r="G23" i="7"/>
  <c r="AJ16" i="7"/>
  <c r="AK16" i="7"/>
  <c r="AL16" i="7"/>
  <c r="AM16" i="7"/>
  <c r="AN16" i="7"/>
  <c r="AO16" i="7"/>
  <c r="AP16" i="7"/>
  <c r="AQ16" i="7"/>
  <c r="AR16" i="7"/>
  <c r="AS16" i="7"/>
  <c r="AT16" i="7"/>
  <c r="AU16" i="7"/>
  <c r="AV16" i="7"/>
  <c r="AW16" i="7"/>
  <c r="AX16" i="7"/>
  <c r="AY16" i="7"/>
  <c r="AZ16" i="7"/>
  <c r="BA16" i="7"/>
  <c r="BB16" i="7"/>
  <c r="BC16" i="7"/>
  <c r="BD16" i="7"/>
  <c r="BE16" i="7"/>
  <c r="BG16" i="7"/>
  <c r="BH16" i="7"/>
  <c r="BI16" i="7"/>
  <c r="BJ16" i="7"/>
  <c r="BK16" i="7"/>
  <c r="BL16" i="7"/>
  <c r="BM16" i="7"/>
  <c r="BN16" i="7"/>
  <c r="BO16" i="7"/>
  <c r="BP16" i="7"/>
  <c r="BQ16" i="7"/>
  <c r="BR16" i="7"/>
  <c r="BS16" i="7"/>
  <c r="BT16" i="7"/>
  <c r="BU16" i="7"/>
  <c r="BV16" i="7"/>
  <c r="AJ17" i="7"/>
  <c r="AK17" i="7"/>
  <c r="AL17" i="7"/>
  <c r="AM17" i="7"/>
  <c r="AN17" i="7"/>
  <c r="AO17" i="7"/>
  <c r="AP17" i="7"/>
  <c r="AQ17" i="7"/>
  <c r="AR17" i="7"/>
  <c r="AS17" i="7"/>
  <c r="AT17" i="7"/>
  <c r="AU17" i="7"/>
  <c r="AV17" i="7"/>
  <c r="AW17" i="7"/>
  <c r="AX17" i="7"/>
  <c r="AY17" i="7"/>
  <c r="AZ17" i="7"/>
  <c r="BA17" i="7"/>
  <c r="BB17" i="7"/>
  <c r="BC17" i="7"/>
  <c r="BD17" i="7"/>
  <c r="BE17" i="7"/>
  <c r="BF17" i="7"/>
  <c r="BG17" i="7"/>
  <c r="BH17" i="7"/>
  <c r="BI17" i="7"/>
  <c r="BJ17" i="7"/>
  <c r="BK17" i="7"/>
  <c r="BL17" i="7"/>
  <c r="BM17" i="7"/>
  <c r="BN17" i="7"/>
  <c r="BO17" i="7"/>
  <c r="BP17" i="7"/>
  <c r="BQ17" i="7"/>
  <c r="BR17" i="7"/>
  <c r="BS17" i="7"/>
  <c r="BT17" i="7"/>
  <c r="BU17" i="7"/>
  <c r="BV17" i="7"/>
  <c r="BW17" i="7"/>
  <c r="AU18" i="7"/>
  <c r="AV18" i="7"/>
  <c r="AW18" i="7"/>
  <c r="AX18" i="7"/>
  <c r="BF18" i="7"/>
  <c r="AI17" i="7"/>
  <c r="AI16" i="7"/>
  <c r="CB125" i="7" l="1"/>
  <c r="CB109" i="7"/>
  <c r="CB108" i="7"/>
  <c r="CB124" i="7"/>
  <c r="CB110" i="7"/>
  <c r="CB126" i="7"/>
  <c r="BX35" i="7"/>
  <c r="BX22" i="7"/>
  <c r="CP246" i="1"/>
  <c r="CP247" i="1" s="1"/>
  <c r="CP256" i="1"/>
  <c r="CP257" i="1" s="1"/>
  <c r="CK518" i="1"/>
  <c r="CP375" i="1"/>
  <c r="CK30" i="1"/>
  <c r="CP516" i="1"/>
  <c r="BX11" i="7"/>
  <c r="CP50" i="1"/>
  <c r="BX46" i="7"/>
  <c r="CL115" i="1"/>
  <c r="CL197" i="1"/>
  <c r="BY45" i="7" s="1"/>
  <c r="CL251" i="1"/>
  <c r="CL252" i="1" s="1"/>
  <c r="CL276" i="1"/>
  <c r="X12" i="18"/>
  <c r="CK327" i="1"/>
  <c r="CK31" i="1"/>
  <c r="BX33" i="7"/>
  <c r="BX34" i="7" s="1"/>
  <c r="X58" i="18"/>
  <c r="X50" i="16"/>
  <c r="X51" i="18"/>
  <c r="X46" i="16"/>
  <c r="CK361" i="1"/>
  <c r="CK448" i="1"/>
  <c r="CK98" i="1"/>
  <c r="CK99" i="1" s="1"/>
  <c r="CK6" i="1"/>
  <c r="CP22" i="1" s="1"/>
  <c r="CK210" i="1"/>
  <c r="BX50" i="7" s="1"/>
  <c r="CK160" i="1"/>
  <c r="CK472" i="1"/>
  <c r="CK473" i="1"/>
  <c r="BW44" i="7"/>
  <c r="BW39" i="7"/>
  <c r="BX24" i="7" l="1"/>
  <c r="BX37" i="7"/>
  <c r="CK346" i="1"/>
  <c r="CK333" i="1"/>
  <c r="CK341" i="1"/>
  <c r="CK330" i="1"/>
  <c r="CK350" i="1"/>
  <c r="CK367" i="1"/>
  <c r="CK354" i="1"/>
  <c r="CK358" i="1"/>
  <c r="CK337" i="1"/>
  <c r="CK371" i="1"/>
  <c r="CK40" i="1"/>
  <c r="CP32" i="1"/>
  <c r="CK362" i="1"/>
  <c r="CP363" i="1"/>
  <c r="CK51" i="1"/>
  <c r="CL173" i="1"/>
  <c r="BY41" i="7" s="1"/>
  <c r="CL118" i="1"/>
  <c r="CL230" i="1" s="1"/>
  <c r="CL116" i="1"/>
  <c r="X60" i="18"/>
  <c r="X38" i="16"/>
  <c r="X39" i="16" s="1"/>
  <c r="X43" i="18"/>
  <c r="X44" i="18" s="1"/>
  <c r="X52" i="16"/>
  <c r="CJ508" i="1"/>
  <c r="CN508" i="1" s="1"/>
  <c r="CJ501" i="1"/>
  <c r="CN501" i="1" s="1"/>
  <c r="CN505" i="1" s="1"/>
  <c r="CJ494" i="1"/>
  <c r="CN494" i="1" s="1"/>
  <c r="CJ479" i="1"/>
  <c r="CJ469" i="1"/>
  <c r="CN469" i="1" s="1"/>
  <c r="CJ464" i="1"/>
  <c r="CN464" i="1" s="1"/>
  <c r="T346" i="2" s="1"/>
  <c r="CJ463" i="1"/>
  <c r="CN463" i="1" s="1"/>
  <c r="T345" i="2" s="1"/>
  <c r="CJ453" i="1"/>
  <c r="CJ451" i="1"/>
  <c r="CN451" i="1" s="1"/>
  <c r="CJ432" i="1"/>
  <c r="CJ431" i="1"/>
  <c r="CJ425" i="1"/>
  <c r="CN425" i="1" s="1"/>
  <c r="CN12" i="1" s="1"/>
  <c r="CJ424" i="1"/>
  <c r="CN424" i="1" s="1"/>
  <c r="CN11" i="1" s="1"/>
  <c r="CJ413" i="1"/>
  <c r="CO421" i="1" s="1"/>
  <c r="CJ412" i="1"/>
  <c r="CO420" i="1" s="1"/>
  <c r="CJ409" i="1"/>
  <c r="CJ408" i="1"/>
  <c r="CJ399" i="1"/>
  <c r="CJ398" i="1"/>
  <c r="CJ394" i="1"/>
  <c r="CO395" i="1" s="1"/>
  <c r="CJ391" i="1"/>
  <c r="CO392" i="1" s="1"/>
  <c r="CJ370" i="1"/>
  <c r="CO372" i="1" s="1"/>
  <c r="CJ366" i="1"/>
  <c r="CO368" i="1" s="1"/>
  <c r="CJ357" i="1"/>
  <c r="CN357" i="1" s="1"/>
  <c r="CJ353" i="1"/>
  <c r="CJ349" i="1"/>
  <c r="CN349" i="1" s="1"/>
  <c r="CJ345" i="1"/>
  <c r="CJ340" i="1"/>
  <c r="CJ336" i="1"/>
  <c r="CN336" i="1" s="1"/>
  <c r="CJ329" i="1"/>
  <c r="CJ326" i="1"/>
  <c r="CJ291" i="1"/>
  <c r="CJ269" i="1"/>
  <c r="CJ264" i="1"/>
  <c r="CJ211" i="1"/>
  <c r="BW51" i="7" s="1"/>
  <c r="CJ207" i="1"/>
  <c r="CJ205" i="1"/>
  <c r="CJ203" i="1"/>
  <c r="CJ200" i="1"/>
  <c r="CO201" i="1" s="1"/>
  <c r="CJ170" i="1"/>
  <c r="CO171" i="1" s="1"/>
  <c r="CJ168" i="1"/>
  <c r="CO169" i="1" s="1"/>
  <c r="CJ166" i="1"/>
  <c r="CO167" i="1" s="1"/>
  <c r="CJ159" i="1"/>
  <c r="CJ154" i="1"/>
  <c r="CO155" i="1" s="1"/>
  <c r="CJ148" i="1"/>
  <c r="CJ143" i="1"/>
  <c r="CO144" i="1" s="1"/>
  <c r="CJ110" i="1"/>
  <c r="CO111" i="1" s="1"/>
  <c r="CO237" i="1" s="1"/>
  <c r="CO238" i="1" s="1"/>
  <c r="CJ104" i="1"/>
  <c r="CN453" i="1" l="1"/>
  <c r="CO454" i="1"/>
  <c r="CN432" i="1"/>
  <c r="T136" i="2" s="1"/>
  <c r="CO542" i="1"/>
  <c r="CO433" i="1"/>
  <c r="CN431" i="1"/>
  <c r="CO541" i="1"/>
  <c r="CN409" i="1"/>
  <c r="CO533" i="1"/>
  <c r="CO418" i="1"/>
  <c r="CN408" i="1"/>
  <c r="CO532" i="1"/>
  <c r="CO417" i="1"/>
  <c r="CN353" i="1"/>
  <c r="CO355" i="1"/>
  <c r="CN345" i="1"/>
  <c r="CO347" i="1"/>
  <c r="CN340" i="1"/>
  <c r="CO342" i="1"/>
  <c r="CN329" i="1"/>
  <c r="CO331" i="1"/>
  <c r="CN326" i="1"/>
  <c r="CO328" i="1"/>
  <c r="CN291" i="1"/>
  <c r="CO292" i="1"/>
  <c r="BW80" i="7"/>
  <c r="CO265" i="1"/>
  <c r="CN207" i="1"/>
  <c r="CO209" i="1" s="1"/>
  <c r="CO208" i="1"/>
  <c r="BW65" i="7"/>
  <c r="CO206" i="1"/>
  <c r="BW63" i="7"/>
  <c r="CO204" i="1"/>
  <c r="CO246" i="1"/>
  <c r="CO247" i="1" s="1"/>
  <c r="CO256" i="1"/>
  <c r="CO257" i="1" s="1"/>
  <c r="T73" i="2"/>
  <c r="CN471" i="1"/>
  <c r="CN277" i="1"/>
  <c r="BW43" i="7"/>
  <c r="CN168" i="1"/>
  <c r="CN38" i="1"/>
  <c r="CN37" i="1"/>
  <c r="CN52" i="1"/>
  <c r="CN49" i="1"/>
  <c r="BW42" i="7"/>
  <c r="CN166" i="1"/>
  <c r="BW101" i="7"/>
  <c r="BW40" i="7"/>
  <c r="CN170" i="1"/>
  <c r="CN465" i="1"/>
  <c r="T278" i="2"/>
  <c r="T105" i="2"/>
  <c r="T269" i="2"/>
  <c r="T79" i="2"/>
  <c r="T196" i="2" s="1"/>
  <c r="W77" i="18"/>
  <c r="AC77" i="18" s="1"/>
  <c r="BW9" i="7"/>
  <c r="BW22" i="7" s="1"/>
  <c r="T265" i="2"/>
  <c r="T266" i="2"/>
  <c r="T93" i="2"/>
  <c r="T277" i="2"/>
  <c r="BW49" i="7"/>
  <c r="CL191" i="1"/>
  <c r="CJ465" i="1"/>
  <c r="CO466" i="1" s="1"/>
  <c r="W35" i="18"/>
  <c r="AC35" i="18" s="1"/>
  <c r="W30" i="16"/>
  <c r="W31" i="16"/>
  <c r="W36" i="18"/>
  <c r="AC36" i="18" s="1"/>
  <c r="X41" i="16"/>
  <c r="W41" i="18"/>
  <c r="AC41" i="18" s="1"/>
  <c r="W36" i="16"/>
  <c r="X46" i="18"/>
  <c r="W37" i="16"/>
  <c r="W42" i="18"/>
  <c r="AC42" i="18" s="1"/>
  <c r="BW7" i="7"/>
  <c r="W26" i="16"/>
  <c r="W31" i="18"/>
  <c r="W64" i="18"/>
  <c r="W56" i="16"/>
  <c r="BW32" i="7"/>
  <c r="BW99" i="7" s="1"/>
  <c r="W8" i="16"/>
  <c r="W8" i="18"/>
  <c r="W32" i="16"/>
  <c r="W37" i="18"/>
  <c r="AC37" i="18" s="1"/>
  <c r="W39" i="18"/>
  <c r="AC39" i="18" s="1"/>
  <c r="W34" i="16"/>
  <c r="W35" i="16"/>
  <c r="W40" i="18"/>
  <c r="AC40" i="18" s="1"/>
  <c r="W44" i="16"/>
  <c r="W49" i="18"/>
  <c r="BW31" i="7"/>
  <c r="BW98" i="7" s="1"/>
  <c r="W10" i="18"/>
  <c r="W10" i="16"/>
  <c r="W38" i="18"/>
  <c r="AC38" i="18" s="1"/>
  <c r="W33" i="16"/>
  <c r="BW64" i="7"/>
  <c r="CK209" i="1"/>
  <c r="BW48" i="7"/>
  <c r="CK102" i="1"/>
  <c r="BW47" i="7"/>
  <c r="CK108" i="1"/>
  <c r="CK109" i="1" s="1"/>
  <c r="BW81" i="7"/>
  <c r="CK271" i="1"/>
  <c r="CK273" i="1" s="1"/>
  <c r="CP274" i="1" s="1"/>
  <c r="CK270" i="1"/>
  <c r="CN332" i="1" l="1"/>
  <c r="CN384" i="1"/>
  <c r="CN473" i="1" s="1"/>
  <c r="CN522" i="1" s="1"/>
  <c r="T153" i="2"/>
  <c r="T156" i="2"/>
  <c r="T332" i="2"/>
  <c r="T291" i="2" s="1"/>
  <c r="T163" i="2"/>
  <c r="T166" i="2"/>
  <c r="T160" i="2"/>
  <c r="T74" i="2"/>
  <c r="CN509" i="1"/>
  <c r="CN258" i="1"/>
  <c r="CN327" i="1" s="1"/>
  <c r="CN7" i="1"/>
  <c r="CN253" i="1"/>
  <c r="CN515" i="1"/>
  <c r="CN30" i="1" s="1"/>
  <c r="CN31" i="1"/>
  <c r="CN248" i="1"/>
  <c r="CN8" i="1"/>
  <c r="CN511" i="1"/>
  <c r="CN455" i="1"/>
  <c r="CN452" i="1"/>
  <c r="CA127" i="7"/>
  <c r="CA111" i="7"/>
  <c r="CA125" i="7"/>
  <c r="CA109" i="7"/>
  <c r="CA108" i="7"/>
  <c r="CA124" i="7"/>
  <c r="T252" i="2"/>
  <c r="CN236" i="1"/>
  <c r="CN42" i="1"/>
  <c r="CN45" i="1" s="1"/>
  <c r="CN241" i="1"/>
  <c r="CN472" i="1"/>
  <c r="W79" i="18"/>
  <c r="BW35" i="7"/>
  <c r="T100" i="2"/>
  <c r="T92" i="2"/>
  <c r="T94" i="2" s="1"/>
  <c r="T75" i="2"/>
  <c r="T294" i="2"/>
  <c r="T99" i="2"/>
  <c r="T97" i="2"/>
  <c r="T275" i="2"/>
  <c r="T109" i="2"/>
  <c r="T106" i="2"/>
  <c r="T110" i="2" s="1"/>
  <c r="W12" i="18"/>
  <c r="AC12" i="18" s="1"/>
  <c r="BW33" i="7"/>
  <c r="BW34" i="7" s="1"/>
  <c r="W46" i="16"/>
  <c r="AC44" i="16"/>
  <c r="W51" i="18"/>
  <c r="AC49" i="18"/>
  <c r="AC26" i="16"/>
  <c r="AC8" i="16"/>
  <c r="AC10" i="18"/>
  <c r="AC8" i="18"/>
  <c r="AC10" i="16"/>
  <c r="AC56" i="16"/>
  <c r="AC64" i="18"/>
  <c r="AC31" i="18"/>
  <c r="AC79" i="18" s="1"/>
  <c r="CK276" i="1"/>
  <c r="CK105" i="1"/>
  <c r="CK242" i="1" s="1"/>
  <c r="CK243" i="1" s="1"/>
  <c r="CP244" i="1" s="1"/>
  <c r="CK103" i="1"/>
  <c r="CJ38" i="1"/>
  <c r="CO39" i="1" s="1"/>
  <c r="CJ374" i="1"/>
  <c r="CO375" i="1" s="1"/>
  <c r="CJ12" i="1"/>
  <c r="CO28" i="1" s="1"/>
  <c r="CJ11" i="1"/>
  <c r="CO27" i="1" s="1"/>
  <c r="CJ8" i="1"/>
  <c r="CO24" i="1" s="1"/>
  <c r="CJ332" i="1"/>
  <c r="CO334" i="1" s="1"/>
  <c r="CJ384" i="1"/>
  <c r="CO385" i="1" s="1"/>
  <c r="CJ236" i="1"/>
  <c r="CJ117" i="1"/>
  <c r="T315" i="2" s="1"/>
  <c r="CJ534" i="1"/>
  <c r="CJ258" i="1"/>
  <c r="CO259" i="1" s="1"/>
  <c r="CJ97" i="1"/>
  <c r="CN51" i="1" l="1"/>
  <c r="CN40" i="1"/>
  <c r="CN333" i="1"/>
  <c r="CN459" i="1"/>
  <c r="CN341" i="1"/>
  <c r="CN350" i="1"/>
  <c r="CN354" i="1"/>
  <c r="CN358" i="1"/>
  <c r="CN346" i="1"/>
  <c r="CN330" i="1"/>
  <c r="CN337" i="1"/>
  <c r="T340" i="2"/>
  <c r="T279" i="2"/>
  <c r="T76" i="2"/>
  <c r="T55" i="2"/>
  <c r="AC51" i="18"/>
  <c r="AC46" i="16"/>
  <c r="BW46" i="7"/>
  <c r="CK115" i="1"/>
  <c r="CK173" i="1" s="1"/>
  <c r="CP174" i="1" s="1"/>
  <c r="CK197" i="1"/>
  <c r="BX45" i="7" s="1"/>
  <c r="CK251" i="1"/>
  <c r="CK252" i="1" s="1"/>
  <c r="CJ471" i="1"/>
  <c r="T46" i="2" s="1"/>
  <c r="CJ248" i="1"/>
  <c r="CO249" i="1" s="1"/>
  <c r="CJ52" i="1"/>
  <c r="BW12" i="7" s="1"/>
  <c r="CJ518" i="1"/>
  <c r="CJ448" i="1"/>
  <c r="CJ361" i="1"/>
  <c r="CJ210" i="1"/>
  <c r="BW50" i="7" s="1"/>
  <c r="CJ160" i="1"/>
  <c r="CJ509" i="1"/>
  <c r="CJ452" i="1"/>
  <c r="CJ515" i="1"/>
  <c r="CJ241" i="1"/>
  <c r="CJ49" i="1"/>
  <c r="CJ7" i="1"/>
  <c r="CO23" i="1" s="1"/>
  <c r="CJ327" i="1"/>
  <c r="CJ455" i="1"/>
  <c r="CJ266" i="1"/>
  <c r="CJ96" i="1"/>
  <c r="CJ98" i="1" s="1"/>
  <c r="CJ99" i="1" s="1"/>
  <c r="CJ253" i="1"/>
  <c r="CO254" i="1" s="1"/>
  <c r="CJ37" i="1"/>
  <c r="CJ277" i="1"/>
  <c r="CO278" i="1" s="1"/>
  <c r="CN361" i="1" l="1"/>
  <c r="CN374" i="1" s="1"/>
  <c r="CO363" i="1"/>
  <c r="T336" i="2"/>
  <c r="CO516" i="1"/>
  <c r="BW11" i="7"/>
  <c r="CO50" i="1"/>
  <c r="T47" i="2"/>
  <c r="T48" i="2" s="1"/>
  <c r="T52" i="2" s="1"/>
  <c r="T342" i="2"/>
  <c r="T343" i="2"/>
  <c r="BX41" i="7"/>
  <c r="W43" i="18"/>
  <c r="W44" i="18" s="1"/>
  <c r="W38" i="16"/>
  <c r="W39" i="16" s="1"/>
  <c r="CJ472" i="1"/>
  <c r="W58" i="18"/>
  <c r="W50" i="16"/>
  <c r="CK118" i="1"/>
  <c r="CK230" i="1" s="1"/>
  <c r="CK116" i="1"/>
  <c r="CJ473" i="1"/>
  <c r="CJ31" i="1"/>
  <c r="CJ30" i="1"/>
  <c r="CJ362" i="1" s="1"/>
  <c r="CN362" i="1" l="1"/>
  <c r="BW37" i="7"/>
  <c r="BW24" i="7"/>
  <c r="CJ51" i="1"/>
  <c r="CO32" i="1"/>
  <c r="CN448" i="1"/>
  <c r="CN518" i="1"/>
  <c r="CN521" i="1" s="1"/>
  <c r="W52" i="16"/>
  <c r="AC50" i="16"/>
  <c r="W60" i="18"/>
  <c r="AC58" i="18"/>
  <c r="W41" i="16"/>
  <c r="AC39" i="16"/>
  <c r="W46" i="18"/>
  <c r="AC44" i="18"/>
  <c r="CJ350" i="1"/>
  <c r="CJ330" i="1"/>
  <c r="CJ354" i="1"/>
  <c r="CJ346" i="1"/>
  <c r="CJ337" i="1"/>
  <c r="CJ367" i="1"/>
  <c r="CJ358" i="1"/>
  <c r="CJ333" i="1"/>
  <c r="CJ341" i="1"/>
  <c r="CJ371" i="1"/>
  <c r="CJ40" i="1"/>
  <c r="AC41" i="16" l="1"/>
  <c r="AC46" i="18"/>
  <c r="AC52" i="16"/>
  <c r="AC60" i="18"/>
  <c r="A117" i="7"/>
  <c r="A118" i="7"/>
  <c r="A119" i="7"/>
  <c r="A120" i="7"/>
  <c r="A121" i="7"/>
  <c r="A116" i="7"/>
  <c r="A125" i="7"/>
  <c r="A126" i="7"/>
  <c r="A127" i="7"/>
  <c r="A128" i="7"/>
  <c r="A124" i="7"/>
  <c r="A109" i="7"/>
  <c r="A110" i="7"/>
  <c r="A111" i="7"/>
  <c r="A112" i="7"/>
  <c r="A113" i="7"/>
  <c r="A108" i="7"/>
  <c r="CH205" i="1"/>
  <c r="CG205" i="1"/>
  <c r="CF205" i="1"/>
  <c r="CE205" i="1"/>
  <c r="CC205" i="1"/>
  <c r="BR65" i="7" s="1"/>
  <c r="CB205" i="1"/>
  <c r="BQ65" i="7" s="1"/>
  <c r="CA205" i="1"/>
  <c r="BP65" i="7" s="1"/>
  <c r="BZ205" i="1"/>
  <c r="BO65" i="7" s="1"/>
  <c r="BX205" i="1"/>
  <c r="BN65" i="7" s="1"/>
  <c r="BW205" i="1"/>
  <c r="BM65" i="7" s="1"/>
  <c r="BV205" i="1"/>
  <c r="BL65" i="7" s="1"/>
  <c r="BU205" i="1"/>
  <c r="BK65" i="7" s="1"/>
  <c r="BS205" i="1"/>
  <c r="BJ65" i="7" s="1"/>
  <c r="BR205" i="1"/>
  <c r="BI65" i="7" s="1"/>
  <c r="BQ205" i="1"/>
  <c r="BH65" i="7" s="1"/>
  <c r="BP205" i="1"/>
  <c r="BG65" i="7" s="1"/>
  <c r="BN205" i="1"/>
  <c r="BF65" i="7" s="1"/>
  <c r="BM205" i="1"/>
  <c r="BE65" i="7" s="1"/>
  <c r="BL205" i="1"/>
  <c r="BD65" i="7" s="1"/>
  <c r="BK205" i="1"/>
  <c r="BC65" i="7" s="1"/>
  <c r="BI205" i="1"/>
  <c r="BB65" i="7" s="1"/>
  <c r="BH205" i="1"/>
  <c r="BA65" i="7" s="1"/>
  <c r="BG205" i="1"/>
  <c r="AZ65" i="7" s="1"/>
  <c r="BF205" i="1"/>
  <c r="AY65" i="7" s="1"/>
  <c r="BD205" i="1"/>
  <c r="AX65" i="7" s="1"/>
  <c r="BC205" i="1"/>
  <c r="AW65" i="7" s="1"/>
  <c r="BB205" i="1"/>
  <c r="AV65" i="7" s="1"/>
  <c r="BA205" i="1"/>
  <c r="AU65" i="7" s="1"/>
  <c r="AY205" i="1"/>
  <c r="AT65" i="7" s="1"/>
  <c r="AX205" i="1"/>
  <c r="AS65" i="7" s="1"/>
  <c r="AW205" i="1"/>
  <c r="AR65" i="7" s="1"/>
  <c r="CH207" i="1"/>
  <c r="CG207" i="1"/>
  <c r="CF207" i="1"/>
  <c r="CE207" i="1"/>
  <c r="CC207" i="1"/>
  <c r="BR64" i="7" s="1"/>
  <c r="CB207" i="1"/>
  <c r="BQ64" i="7" s="1"/>
  <c r="CA207" i="1"/>
  <c r="BP64" i="7" s="1"/>
  <c r="BZ207" i="1"/>
  <c r="BX207" i="1"/>
  <c r="BN64" i="7" s="1"/>
  <c r="BW207" i="1"/>
  <c r="BM64" i="7" s="1"/>
  <c r="BV207" i="1"/>
  <c r="BL64" i="7" s="1"/>
  <c r="BU207" i="1"/>
  <c r="BK64" i="7" s="1"/>
  <c r="BS207" i="1"/>
  <c r="BJ64" i="7" s="1"/>
  <c r="BR207" i="1"/>
  <c r="BI64" i="7" s="1"/>
  <c r="BQ207" i="1"/>
  <c r="BH64" i="7" s="1"/>
  <c r="BP207" i="1"/>
  <c r="BG64" i="7" s="1"/>
  <c r="BN207" i="1"/>
  <c r="BF64" i="7" s="1"/>
  <c r="BM207" i="1"/>
  <c r="BE64" i="7" s="1"/>
  <c r="BL207" i="1"/>
  <c r="BD64" i="7" s="1"/>
  <c r="BK207" i="1"/>
  <c r="BC64" i="7" s="1"/>
  <c r="BI207" i="1"/>
  <c r="BB64" i="7" s="1"/>
  <c r="BH207" i="1"/>
  <c r="BA64" i="7" s="1"/>
  <c r="BG207" i="1"/>
  <c r="AZ64" i="7" s="1"/>
  <c r="BF207" i="1"/>
  <c r="AY64" i="7" s="1"/>
  <c r="BD207" i="1"/>
  <c r="AX64" i="7" s="1"/>
  <c r="BC207" i="1"/>
  <c r="AW64" i="7" s="1"/>
  <c r="BB207" i="1"/>
  <c r="AV64" i="7" s="1"/>
  <c r="BA207" i="1"/>
  <c r="AU64" i="7" s="1"/>
  <c r="AY207" i="1"/>
  <c r="AT64" i="7" s="1"/>
  <c r="AX207" i="1"/>
  <c r="AS64" i="7" s="1"/>
  <c r="AW207" i="1"/>
  <c r="AR64" i="7" s="1"/>
  <c r="AQ65" i="7"/>
  <c r="AP65" i="7"/>
  <c r="AO65" i="7"/>
  <c r="AN65" i="7"/>
  <c r="AM65" i="7"/>
  <c r="AL65" i="7"/>
  <c r="AQ64" i="7"/>
  <c r="AP64" i="7"/>
  <c r="AO64" i="7"/>
  <c r="AN64" i="7"/>
  <c r="AM64" i="7"/>
  <c r="AL64" i="7"/>
  <c r="BH100" i="7"/>
  <c r="BI100" i="7"/>
  <c r="BJ100" i="7"/>
  <c r="BG100" i="7"/>
  <c r="D2" i="7"/>
  <c r="D1" i="7" s="1"/>
  <c r="C1" i="7"/>
  <c r="C61" i="2"/>
  <c r="F327" i="2"/>
  <c r="E327" i="2"/>
  <c r="D327" i="2"/>
  <c r="C327" i="2"/>
  <c r="B327" i="2"/>
  <c r="BV64" i="7" l="1"/>
  <c r="CM208" i="1"/>
  <c r="BV65" i="7"/>
  <c r="CM206" i="1"/>
  <c r="BU65" i="7"/>
  <c r="CL206" i="1"/>
  <c r="BU64" i="7"/>
  <c r="CL208" i="1"/>
  <c r="BT64" i="7"/>
  <c r="CK208" i="1"/>
  <c r="BT65" i="7"/>
  <c r="CK206" i="1"/>
  <c r="BS64" i="7"/>
  <c r="CJ208" i="1"/>
  <c r="BS65" i="7"/>
  <c r="CJ206" i="1"/>
  <c r="CI207" i="1"/>
  <c r="CD207" i="1"/>
  <c r="BO64" i="7"/>
  <c r="E2" i="7"/>
  <c r="E1" i="7" s="1"/>
  <c r="A421" i="1"/>
  <c r="A422" i="1"/>
  <c r="A418" i="1"/>
  <c r="A419" i="1"/>
  <c r="A420" i="1"/>
  <c r="A417" i="1"/>
  <c r="S230" i="2"/>
  <c r="T226" i="2" s="1"/>
  <c r="S29" i="2"/>
  <c r="S30" i="2" s="1"/>
  <c r="S96" i="2"/>
  <c r="S161" i="2"/>
  <c r="S164" i="2"/>
  <c r="S167" i="2"/>
  <c r="S157" i="2"/>
  <c r="S154" i="2"/>
  <c r="S119" i="2"/>
  <c r="T120" i="2" s="1"/>
  <c r="S133" i="2"/>
  <c r="S123" i="2" s="1"/>
  <c r="T124" i="2" s="1"/>
  <c r="CJ209" i="1" l="1"/>
  <c r="CN208" i="1"/>
  <c r="CI208" i="1"/>
  <c r="F2" i="7"/>
  <c r="G2" i="7" s="1"/>
  <c r="H2" i="7" s="1"/>
  <c r="H1" i="7" s="1"/>
  <c r="CI504" i="1"/>
  <c r="L76" i="3"/>
  <c r="M76" i="3"/>
  <c r="N76" i="3"/>
  <c r="O76" i="3"/>
  <c r="P76" i="3"/>
  <c r="Q76" i="3"/>
  <c r="R76" i="3"/>
  <c r="S76" i="3"/>
  <c r="T76" i="3"/>
  <c r="U76" i="3"/>
  <c r="V76" i="3"/>
  <c r="W76" i="3"/>
  <c r="X76" i="3"/>
  <c r="Y76" i="3"/>
  <c r="Z76" i="3"/>
  <c r="AA76" i="3"/>
  <c r="AB76" i="3"/>
  <c r="AC76" i="3"/>
  <c r="AD76" i="3"/>
  <c r="AE76" i="3"/>
  <c r="AF76" i="3"/>
  <c r="AG76" i="3"/>
  <c r="AH76" i="3"/>
  <c r="AI76" i="3"/>
  <c r="AJ76" i="3"/>
  <c r="AK76" i="3"/>
  <c r="L77" i="3"/>
  <c r="M77" i="3"/>
  <c r="N77" i="3"/>
  <c r="O77" i="3"/>
  <c r="P77" i="3"/>
  <c r="Q77" i="3"/>
  <c r="R77" i="3"/>
  <c r="S77" i="3"/>
  <c r="T77" i="3"/>
  <c r="U77" i="3"/>
  <c r="V77" i="3"/>
  <c r="W77" i="3"/>
  <c r="X77" i="3"/>
  <c r="Y77" i="3"/>
  <c r="Z77" i="3"/>
  <c r="AA77" i="3"/>
  <c r="AB77" i="3"/>
  <c r="AC77" i="3"/>
  <c r="AD77" i="3"/>
  <c r="AE77" i="3"/>
  <c r="AF77" i="3"/>
  <c r="AG77" i="3"/>
  <c r="AH77" i="3"/>
  <c r="AI77" i="3"/>
  <c r="AJ77" i="3"/>
  <c r="AK77" i="3"/>
  <c r="L78" i="3"/>
  <c r="M78" i="3"/>
  <c r="N78" i="3"/>
  <c r="O78" i="3"/>
  <c r="P78" i="3"/>
  <c r="Q78" i="3"/>
  <c r="R78" i="3"/>
  <c r="S78" i="3"/>
  <c r="T78" i="3"/>
  <c r="U78" i="3"/>
  <c r="V78" i="3"/>
  <c r="W78" i="3"/>
  <c r="X78" i="3"/>
  <c r="Y78" i="3"/>
  <c r="Z78" i="3"/>
  <c r="AA78" i="3"/>
  <c r="AB78" i="3"/>
  <c r="AC78" i="3"/>
  <c r="AD78" i="3"/>
  <c r="AE78" i="3"/>
  <c r="AF78" i="3"/>
  <c r="AG78" i="3"/>
  <c r="AH78" i="3"/>
  <c r="AI78" i="3"/>
  <c r="AJ78" i="3"/>
  <c r="AK78" i="3"/>
  <c r="L81" i="3"/>
  <c r="M81" i="3"/>
  <c r="N81" i="3"/>
  <c r="O81" i="3"/>
  <c r="P81" i="3"/>
  <c r="Q81" i="3"/>
  <c r="R81" i="3"/>
  <c r="S81" i="3"/>
  <c r="T81" i="3"/>
  <c r="U81" i="3"/>
  <c r="V81" i="3"/>
  <c r="W81" i="3"/>
  <c r="X81" i="3"/>
  <c r="Y81" i="3"/>
  <c r="Z81" i="3"/>
  <c r="AA81" i="3"/>
  <c r="AB81" i="3"/>
  <c r="AC81" i="3"/>
  <c r="L83" i="3"/>
  <c r="M83" i="3"/>
  <c r="N83" i="3"/>
  <c r="O83" i="3"/>
  <c r="P83" i="3"/>
  <c r="Q83" i="3"/>
  <c r="R83" i="3"/>
  <c r="S83" i="3"/>
  <c r="T83" i="3"/>
  <c r="U83" i="3"/>
  <c r="V83" i="3"/>
  <c r="W83" i="3"/>
  <c r="X83" i="3"/>
  <c r="Y83" i="3"/>
  <c r="Z83" i="3"/>
  <c r="AA83" i="3"/>
  <c r="AB83" i="3"/>
  <c r="AC83" i="3"/>
  <c r="AD83" i="3"/>
  <c r="AE83" i="3"/>
  <c r="AF83" i="3"/>
  <c r="AG83" i="3"/>
  <c r="AH83" i="3"/>
  <c r="AI83" i="3"/>
  <c r="AJ83" i="3"/>
  <c r="AK83" i="3"/>
  <c r="L87" i="3"/>
  <c r="M87" i="3"/>
  <c r="N87" i="3"/>
  <c r="O87" i="3"/>
  <c r="P87" i="3"/>
  <c r="Q87" i="3"/>
  <c r="R87" i="3"/>
  <c r="S87" i="3"/>
  <c r="T87" i="3"/>
  <c r="U87" i="3"/>
  <c r="V87" i="3"/>
  <c r="W87" i="3"/>
  <c r="X87" i="3"/>
  <c r="Y87" i="3"/>
  <c r="Z87" i="3"/>
  <c r="AA87" i="3"/>
  <c r="AB87" i="3"/>
  <c r="AC87" i="3"/>
  <c r="AD87" i="3"/>
  <c r="AE87" i="3"/>
  <c r="AF87" i="3"/>
  <c r="AG87" i="3"/>
  <c r="AH87" i="3"/>
  <c r="AI87" i="3"/>
  <c r="AJ87" i="3"/>
  <c r="AK87" i="3"/>
  <c r="F71" i="3"/>
  <c r="G71" i="3" s="1"/>
  <c r="H71" i="3" s="1"/>
  <c r="I71" i="3" s="1"/>
  <c r="J71" i="3" s="1"/>
  <c r="K71" i="3" s="1"/>
  <c r="L71" i="3" s="1"/>
  <c r="M71" i="3" s="1"/>
  <c r="N71" i="3" s="1"/>
  <c r="O71" i="3" s="1"/>
  <c r="P71" i="3" s="1"/>
  <c r="Q71" i="3" s="1"/>
  <c r="R71" i="3" s="1"/>
  <c r="S71" i="3" s="1"/>
  <c r="T71" i="3" s="1"/>
  <c r="U71" i="3" s="1"/>
  <c r="V71" i="3" s="1"/>
  <c r="W71" i="3" s="1"/>
  <c r="X71" i="3" s="1"/>
  <c r="Y71" i="3" s="1"/>
  <c r="Z71" i="3" s="1"/>
  <c r="AA71" i="3" s="1"/>
  <c r="AB71" i="3" s="1"/>
  <c r="AC71" i="3" s="1"/>
  <c r="AD71" i="3" s="1"/>
  <c r="AE71" i="3" s="1"/>
  <c r="AF71" i="3" s="1"/>
  <c r="AG71" i="3" s="1"/>
  <c r="AH71" i="3" s="1"/>
  <c r="AI71" i="3" s="1"/>
  <c r="AJ71" i="3" s="1"/>
  <c r="AK71" i="3" s="1"/>
  <c r="AL71" i="3" s="1"/>
  <c r="AM71" i="3" s="1"/>
  <c r="AN71" i="3" s="1"/>
  <c r="C306" i="2"/>
  <c r="M86" i="3" s="1"/>
  <c r="D306" i="2"/>
  <c r="N86" i="3" s="1"/>
  <c r="E306" i="2"/>
  <c r="O86" i="3" s="1"/>
  <c r="F306" i="2"/>
  <c r="P86" i="3" s="1"/>
  <c r="G306" i="2"/>
  <c r="Q86" i="3" s="1"/>
  <c r="H306" i="2"/>
  <c r="R86" i="3" s="1"/>
  <c r="I306" i="2"/>
  <c r="J306" i="2"/>
  <c r="B306" i="2"/>
  <c r="L86" i="3" s="1"/>
  <c r="C292" i="2"/>
  <c r="M73" i="3" s="1"/>
  <c r="D292" i="2"/>
  <c r="N73" i="3" s="1"/>
  <c r="C294" i="2"/>
  <c r="M75" i="3" s="1"/>
  <c r="D294" i="2"/>
  <c r="N75" i="3" s="1"/>
  <c r="E294" i="2"/>
  <c r="O75" i="3" s="1"/>
  <c r="F294" i="2"/>
  <c r="P75" i="3" s="1"/>
  <c r="G294" i="2"/>
  <c r="Q75" i="3" s="1"/>
  <c r="H294" i="2"/>
  <c r="R75" i="3" s="1"/>
  <c r="I294" i="2"/>
  <c r="S75" i="3" s="1"/>
  <c r="J294" i="2"/>
  <c r="T75" i="3" s="1"/>
  <c r="B294" i="2"/>
  <c r="L75" i="3" s="1"/>
  <c r="B292" i="2"/>
  <c r="L73" i="3" s="1"/>
  <c r="B285" i="2"/>
  <c r="C285" i="2" s="1"/>
  <c r="D285" i="2" s="1"/>
  <c r="E285" i="2" s="1"/>
  <c r="F285" i="2" s="1"/>
  <c r="G285" i="2" s="1"/>
  <c r="H285" i="2" s="1"/>
  <c r="I285" i="2" s="1"/>
  <c r="J285" i="2" s="1"/>
  <c r="K285" i="2" s="1"/>
  <c r="L285" i="2" s="1"/>
  <c r="M285" i="2" s="1"/>
  <c r="N285" i="2" s="1"/>
  <c r="O285" i="2" s="1"/>
  <c r="P285" i="2" s="1"/>
  <c r="Q285" i="2" s="1"/>
  <c r="R285" i="2" s="1"/>
  <c r="S285" i="2" s="1"/>
  <c r="T285" i="2" l="1"/>
  <c r="U285" i="2" s="1"/>
  <c r="V285" i="2" s="1"/>
  <c r="W285" i="2" s="1"/>
  <c r="X285" i="2" s="1"/>
  <c r="Y285" i="2" s="1"/>
  <c r="Z285" i="2" s="1"/>
  <c r="AA285" i="2" s="1"/>
  <c r="S214" i="2"/>
  <c r="T215" i="2" s="1"/>
  <c r="T6" i="19"/>
  <c r="F1" i="7"/>
  <c r="I2" i="7"/>
  <c r="I1" i="7" s="1"/>
  <c r="G1" i="7"/>
  <c r="S86" i="3"/>
  <c r="T86" i="3"/>
  <c r="T7" i="19" l="1"/>
  <c r="T9" i="19" s="1"/>
  <c r="J2" i="7"/>
  <c r="K2" i="7" s="1"/>
  <c r="T18" i="19" l="1"/>
  <c r="T21" i="19" s="1"/>
  <c r="J1" i="7"/>
  <c r="L2" i="7"/>
  <c r="K1" i="7"/>
  <c r="L1" i="7" l="1"/>
  <c r="M2" i="7"/>
  <c r="BV39" i="7"/>
  <c r="BV44" i="7"/>
  <c r="CH104" i="1"/>
  <c r="CH110" i="1"/>
  <c r="CM111" i="1" s="1"/>
  <c r="CM237" i="1" s="1"/>
  <c r="CM238" i="1" s="1"/>
  <c r="CH143" i="1"/>
  <c r="CM144" i="1" s="1"/>
  <c r="CH148" i="1"/>
  <c r="CH154" i="1"/>
  <c r="CM155" i="1" s="1"/>
  <c r="CH159" i="1"/>
  <c r="CH166" i="1"/>
  <c r="CM167" i="1" s="1"/>
  <c r="CH168" i="1"/>
  <c r="CM169" i="1" s="1"/>
  <c r="CH170" i="1"/>
  <c r="CH200" i="1"/>
  <c r="CM201" i="1" s="1"/>
  <c r="CH203" i="1"/>
  <c r="CH211" i="1"/>
  <c r="CL212" i="1" s="1"/>
  <c r="CH264" i="1"/>
  <c r="CH269" i="1"/>
  <c r="CH291" i="1"/>
  <c r="CM292" i="1" s="1"/>
  <c r="CH326" i="1"/>
  <c r="CM328" i="1" s="1"/>
  <c r="CH329" i="1"/>
  <c r="CM331" i="1" s="1"/>
  <c r="CH336" i="1"/>
  <c r="CH340" i="1"/>
  <c r="CM342" i="1" s="1"/>
  <c r="CH345" i="1"/>
  <c r="CM347" i="1" s="1"/>
  <c r="CH349" i="1"/>
  <c r="CH353" i="1"/>
  <c r="CM355" i="1" s="1"/>
  <c r="CH357" i="1"/>
  <c r="CH366" i="1"/>
  <c r="CM368" i="1" s="1"/>
  <c r="CH370" i="1"/>
  <c r="CM372" i="1" s="1"/>
  <c r="CH391" i="1"/>
  <c r="CM392" i="1" s="1"/>
  <c r="CH394" i="1"/>
  <c r="CM395" i="1" s="1"/>
  <c r="CH398" i="1"/>
  <c r="CH399" i="1"/>
  <c r="CH408" i="1"/>
  <c r="CH409" i="1"/>
  <c r="CH412" i="1"/>
  <c r="CH413" i="1"/>
  <c r="CH424" i="1"/>
  <c r="CH11" i="1" s="1"/>
  <c r="CM27" i="1" s="1"/>
  <c r="CH425" i="1"/>
  <c r="CH12" i="1" s="1"/>
  <c r="CM28" i="1" s="1"/>
  <c r="CH431" i="1"/>
  <c r="CM541" i="1" s="1"/>
  <c r="CH432" i="1"/>
  <c r="CH451" i="1"/>
  <c r="CH453" i="1"/>
  <c r="CH463" i="1"/>
  <c r="CH464" i="1"/>
  <c r="CH469" i="1"/>
  <c r="CH479" i="1"/>
  <c r="CH494" i="1"/>
  <c r="CH501" i="1"/>
  <c r="CH508" i="1"/>
  <c r="CH534" i="1"/>
  <c r="CM533" i="1" l="1"/>
  <c r="CM418" i="1"/>
  <c r="CM433" i="1"/>
  <c r="CM542" i="1"/>
  <c r="CM246" i="1"/>
  <c r="CM247" i="1" s="1"/>
  <c r="CM256" i="1"/>
  <c r="CM257" i="1" s="1"/>
  <c r="CM417" i="1"/>
  <c r="CM532" i="1"/>
  <c r="BV80" i="7"/>
  <c r="CM265" i="1"/>
  <c r="BV40" i="7"/>
  <c r="CM171" i="1"/>
  <c r="BV9" i="7"/>
  <c r="BV22" i="7" s="1"/>
  <c r="CM454" i="1"/>
  <c r="BV63" i="7"/>
  <c r="CM204" i="1"/>
  <c r="CH465" i="1"/>
  <c r="CM466" i="1" s="1"/>
  <c r="V42" i="18"/>
  <c r="V37" i="16"/>
  <c r="V41" i="18"/>
  <c r="V36" i="16"/>
  <c r="V33" i="16"/>
  <c r="V38" i="18"/>
  <c r="V35" i="16"/>
  <c r="V40" i="18"/>
  <c r="V34" i="16"/>
  <c r="V39" i="18"/>
  <c r="CH49" i="1"/>
  <c r="V77" i="18"/>
  <c r="V32" i="16"/>
  <c r="V37" i="18"/>
  <c r="V10" i="16"/>
  <c r="V10" i="18"/>
  <c r="V31" i="16"/>
  <c r="V36" i="18"/>
  <c r="V8" i="16"/>
  <c r="V8" i="18"/>
  <c r="V35" i="18"/>
  <c r="V30" i="16"/>
  <c r="V64" i="18"/>
  <c r="V56" i="16"/>
  <c r="BV7" i="7"/>
  <c r="V26" i="16"/>
  <c r="V31" i="18"/>
  <c r="CH37" i="1"/>
  <c r="V44" i="16"/>
  <c r="V49" i="18"/>
  <c r="BV49" i="7"/>
  <c r="CJ191" i="1"/>
  <c r="CO192" i="1" s="1"/>
  <c r="BV101" i="7"/>
  <c r="BV31" i="7"/>
  <c r="BV98" i="7" s="1"/>
  <c r="BV32" i="7"/>
  <c r="BV99" i="7" s="1"/>
  <c r="M1" i="7"/>
  <c r="N2" i="7"/>
  <c r="CH8" i="1"/>
  <c r="CM24" i="1" s="1"/>
  <c r="CH253" i="1"/>
  <c r="CM254" i="1" s="1"/>
  <c r="BV81" i="7"/>
  <c r="CI269" i="1"/>
  <c r="CH97" i="1"/>
  <c r="CI110" i="1"/>
  <c r="CH96" i="1"/>
  <c r="CI104" i="1"/>
  <c r="CH515" i="1"/>
  <c r="I310" i="2"/>
  <c r="Q310" i="2"/>
  <c r="Y310" i="2"/>
  <c r="S310" i="2"/>
  <c r="J310" i="2"/>
  <c r="R310" i="2"/>
  <c r="Z310" i="2"/>
  <c r="K310" i="2"/>
  <c r="AA310" i="2"/>
  <c r="C310" i="2"/>
  <c r="H310" i="2"/>
  <c r="V310" i="2"/>
  <c r="N310" i="2"/>
  <c r="B309" i="2"/>
  <c r="B311" i="2" s="1"/>
  <c r="D310" i="2"/>
  <c r="P310" i="2"/>
  <c r="G309" i="2"/>
  <c r="L310" i="2"/>
  <c r="W310" i="2"/>
  <c r="F309" i="2"/>
  <c r="U310" i="2"/>
  <c r="M310" i="2"/>
  <c r="X310" i="2"/>
  <c r="O310" i="2"/>
  <c r="E310" i="2"/>
  <c r="F310" i="2"/>
  <c r="G310" i="2"/>
  <c r="C309" i="2"/>
  <c r="D309" i="2"/>
  <c r="H309" i="2"/>
  <c r="J309" i="2"/>
  <c r="E309" i="2"/>
  <c r="I309" i="2"/>
  <c r="CH471" i="1"/>
  <c r="D42" i="4"/>
  <c r="BV48" i="7"/>
  <c r="CH277" i="1"/>
  <c r="CM278" i="1" s="1"/>
  <c r="CH384" i="1"/>
  <c r="CM385" i="1" s="1"/>
  <c r="CH117" i="1"/>
  <c r="BV51" i="7"/>
  <c r="BV43" i="7"/>
  <c r="CH241" i="1"/>
  <c r="BV42" i="7"/>
  <c r="CH266" i="1"/>
  <c r="BV47" i="7"/>
  <c r="CH38" i="1"/>
  <c r="CM39" i="1" s="1"/>
  <c r="CH374" i="1"/>
  <c r="CM375" i="1" s="1"/>
  <c r="CH332" i="1"/>
  <c r="CM334" i="1" s="1"/>
  <c r="CH258" i="1"/>
  <c r="CM259" i="1" s="1"/>
  <c r="CH248" i="1"/>
  <c r="CM249" i="1" s="1"/>
  <c r="CH52" i="1"/>
  <c r="BV12" i="7" s="1"/>
  <c r="CH452" i="1"/>
  <c r="CH236" i="1"/>
  <c r="CH7" i="1"/>
  <c r="CM23" i="1" s="1"/>
  <c r="CH509" i="1"/>
  <c r="CH455" i="1"/>
  <c r="CJ108" i="1" l="1"/>
  <c r="CJ109" i="1" s="1"/>
  <c r="CN111" i="1"/>
  <c r="CN237" i="1" s="1"/>
  <c r="CN238" i="1" s="1"/>
  <c r="CN270" i="1"/>
  <c r="CN271" i="1"/>
  <c r="CN264" i="1" s="1"/>
  <c r="BZ108" i="7"/>
  <c r="BZ124" i="7"/>
  <c r="BZ111" i="7"/>
  <c r="BZ127" i="7"/>
  <c r="BZ125" i="7"/>
  <c r="BZ109" i="7"/>
  <c r="BV35" i="7"/>
  <c r="CH30" i="1"/>
  <c r="CH337" i="1" s="1"/>
  <c r="CM516" i="1"/>
  <c r="BV11" i="7"/>
  <c r="BV37" i="7" s="1"/>
  <c r="CM50" i="1"/>
  <c r="CH327" i="1"/>
  <c r="V12" i="18"/>
  <c r="V79" i="18"/>
  <c r="CH472" i="1"/>
  <c r="V58" i="18"/>
  <c r="V50" i="16"/>
  <c r="V51" i="18"/>
  <c r="V46" i="16"/>
  <c r="CJ271" i="1"/>
  <c r="CJ273" i="1" s="1"/>
  <c r="CJ270" i="1"/>
  <c r="CI96" i="1"/>
  <c r="CN102" i="1" s="1"/>
  <c r="CJ102" i="1"/>
  <c r="BV33" i="7"/>
  <c r="BV34" i="7" s="1"/>
  <c r="O2" i="7"/>
  <c r="N1" i="7"/>
  <c r="CH31" i="1"/>
  <c r="CH98" i="1"/>
  <c r="CH99" i="1" s="1"/>
  <c r="F311" i="2"/>
  <c r="CI97" i="1"/>
  <c r="CN108" i="1" s="1"/>
  <c r="CN109" i="1" s="1"/>
  <c r="CH160" i="1"/>
  <c r="CI117" i="1"/>
  <c r="D311" i="2"/>
  <c r="G311" i="2"/>
  <c r="I311" i="2"/>
  <c r="E311" i="2"/>
  <c r="C311" i="2"/>
  <c r="J311" i="2"/>
  <c r="H311" i="2"/>
  <c r="CH473" i="1"/>
  <c r="CH210" i="1"/>
  <c r="BV50" i="7" s="1"/>
  <c r="BV46" i="7"/>
  <c r="CH448" i="1"/>
  <c r="CH518" i="1"/>
  <c r="CH361" i="1"/>
  <c r="CM363" i="1" s="1"/>
  <c r="CN273" i="1" l="1"/>
  <c r="CO274" i="1"/>
  <c r="CN105" i="1"/>
  <c r="CN242" i="1" s="1"/>
  <c r="CN243" i="1" s="1"/>
  <c r="CN256" i="1" s="1"/>
  <c r="CN257" i="1" s="1"/>
  <c r="CN103" i="1"/>
  <c r="CN266" i="1"/>
  <c r="CN115" i="1"/>
  <c r="CN118" i="1"/>
  <c r="CN119" i="1"/>
  <c r="CN246" i="1"/>
  <c r="CN247" i="1" s="1"/>
  <c r="CH346" i="1"/>
  <c r="CH350" i="1"/>
  <c r="CH358" i="1"/>
  <c r="CH333" i="1"/>
  <c r="CH354" i="1"/>
  <c r="BV24" i="7"/>
  <c r="CH341" i="1"/>
  <c r="CH367" i="1"/>
  <c r="CH371" i="1"/>
  <c r="CH330" i="1"/>
  <c r="CH51" i="1"/>
  <c r="CM32" i="1"/>
  <c r="V52" i="16"/>
  <c r="V60" i="18"/>
  <c r="V38" i="16"/>
  <c r="V39" i="16" s="1"/>
  <c r="V43" i="18"/>
  <c r="V44" i="18" s="1"/>
  <c r="CI98" i="1"/>
  <c r="CI99" i="1" s="1"/>
  <c r="CJ115" i="1"/>
  <c r="CJ173" i="1" s="1"/>
  <c r="CO174" i="1" s="1"/>
  <c r="CJ197" i="1"/>
  <c r="BW45" i="7" s="1"/>
  <c r="CJ105" i="1"/>
  <c r="CJ242" i="1" s="1"/>
  <c r="CJ243" i="1" s="1"/>
  <c r="CO244" i="1" s="1"/>
  <c r="CJ103" i="1"/>
  <c r="CJ276" i="1"/>
  <c r="P2" i="7"/>
  <c r="O1" i="7"/>
  <c r="CH40" i="1"/>
  <c r="CH362" i="1"/>
  <c r="CN276" i="1" l="1"/>
  <c r="CN116" i="1"/>
  <c r="CN136" i="1" s="1"/>
  <c r="CN173" i="1"/>
  <c r="CN230" i="1"/>
  <c r="CN251" i="1"/>
  <c r="CN252" i="1" s="1"/>
  <c r="BW41" i="7"/>
  <c r="V46" i="18"/>
  <c r="V41" i="16"/>
  <c r="CJ251" i="1"/>
  <c r="CJ252" i="1" s="1"/>
  <c r="CJ118" i="1"/>
  <c r="CJ230" i="1" s="1"/>
  <c r="CJ116" i="1"/>
  <c r="Q2" i="7"/>
  <c r="P1" i="7"/>
  <c r="R2" i="7" l="1"/>
  <c r="Q1" i="7"/>
  <c r="BU39" i="7"/>
  <c r="BU44" i="7"/>
  <c r="CG104" i="1"/>
  <c r="CG110" i="1"/>
  <c r="CL111" i="1" s="1"/>
  <c r="CL237" i="1" s="1"/>
  <c r="CL238" i="1" s="1"/>
  <c r="CG143" i="1"/>
  <c r="CL144" i="1" s="1"/>
  <c r="CG148" i="1"/>
  <c r="CG154" i="1"/>
  <c r="CL155" i="1" s="1"/>
  <c r="CG159" i="1"/>
  <c r="CG166" i="1"/>
  <c r="CG168" i="1"/>
  <c r="CG170" i="1"/>
  <c r="CG200" i="1"/>
  <c r="CG203" i="1"/>
  <c r="CH209" i="1"/>
  <c r="CG211" i="1"/>
  <c r="CG264" i="1"/>
  <c r="CG269" i="1"/>
  <c r="CG291" i="1"/>
  <c r="CG326" i="1"/>
  <c r="CL328" i="1" s="1"/>
  <c r="CG329" i="1"/>
  <c r="CL331" i="1" s="1"/>
  <c r="CG336" i="1"/>
  <c r="CG340" i="1"/>
  <c r="CL342" i="1" s="1"/>
  <c r="CG345" i="1"/>
  <c r="CL347" i="1" s="1"/>
  <c r="CG349" i="1"/>
  <c r="CG353" i="1"/>
  <c r="CL355" i="1" s="1"/>
  <c r="CG357" i="1"/>
  <c r="CG366" i="1"/>
  <c r="CL368" i="1" s="1"/>
  <c r="CG370" i="1"/>
  <c r="CL372" i="1" s="1"/>
  <c r="CG391" i="1"/>
  <c r="CL392" i="1" s="1"/>
  <c r="CG394" i="1"/>
  <c r="CL395" i="1" s="1"/>
  <c r="CG398" i="1"/>
  <c r="CG399" i="1"/>
  <c r="CG408" i="1"/>
  <c r="CG409" i="1"/>
  <c r="CG412" i="1"/>
  <c r="CG413" i="1"/>
  <c r="CG424" i="1"/>
  <c r="CG11" i="1" s="1"/>
  <c r="CL27" i="1" s="1"/>
  <c r="CG425" i="1"/>
  <c r="CG12" i="1" s="1"/>
  <c r="CL28" i="1" s="1"/>
  <c r="CG431" i="1"/>
  <c r="CL541" i="1" s="1"/>
  <c r="CG432" i="1"/>
  <c r="CG451" i="1"/>
  <c r="CG453" i="1"/>
  <c r="CG463" i="1"/>
  <c r="CG464" i="1"/>
  <c r="CG469" i="1"/>
  <c r="CG479" i="1"/>
  <c r="CG494" i="1"/>
  <c r="CG501" i="1"/>
  <c r="CG508" i="1"/>
  <c r="CG534" i="1"/>
  <c r="BT39" i="7"/>
  <c r="BT44" i="7"/>
  <c r="CF494" i="1"/>
  <c r="CE494" i="1"/>
  <c r="CC494" i="1"/>
  <c r="CB494" i="1"/>
  <c r="CA494" i="1"/>
  <c r="BZ494" i="1"/>
  <c r="CF104" i="1"/>
  <c r="CF96" i="1" s="1"/>
  <c r="CF110" i="1"/>
  <c r="CF143" i="1"/>
  <c r="CK144" i="1" s="1"/>
  <c r="CF148" i="1"/>
  <c r="CF154" i="1"/>
  <c r="CK155" i="1" s="1"/>
  <c r="CF159" i="1"/>
  <c r="CF166" i="1"/>
  <c r="CF168" i="1"/>
  <c r="CF170" i="1"/>
  <c r="CF200" i="1"/>
  <c r="CK201" i="1" s="1"/>
  <c r="CF203" i="1"/>
  <c r="CF211" i="1"/>
  <c r="CF264" i="1"/>
  <c r="CF269" i="1"/>
  <c r="BT81" i="7" s="1"/>
  <c r="CF291" i="1"/>
  <c r="CF326" i="1"/>
  <c r="CF329" i="1"/>
  <c r="CF336" i="1"/>
  <c r="CF370" i="1"/>
  <c r="CK372" i="1" s="1"/>
  <c r="CF340" i="1"/>
  <c r="CF366" i="1"/>
  <c r="CK368" i="1" s="1"/>
  <c r="CF345" i="1"/>
  <c r="CF349" i="1"/>
  <c r="CF353" i="1"/>
  <c r="CF357" i="1"/>
  <c r="CF391" i="1"/>
  <c r="CK392" i="1" s="1"/>
  <c r="CF394" i="1"/>
  <c r="CK395" i="1" s="1"/>
  <c r="CF398" i="1"/>
  <c r="CF399" i="1"/>
  <c r="CF408" i="1"/>
  <c r="CF409" i="1"/>
  <c r="CF412" i="1"/>
  <c r="CF413" i="1"/>
  <c r="CF424" i="1"/>
  <c r="CF11" i="1" s="1"/>
  <c r="CK27" i="1" s="1"/>
  <c r="CF425" i="1"/>
  <c r="CF12" i="1" s="1"/>
  <c r="CK28" i="1" s="1"/>
  <c r="CF431" i="1"/>
  <c r="CK541" i="1" s="1"/>
  <c r="CF432" i="1"/>
  <c r="CF451" i="1"/>
  <c r="CF453" i="1"/>
  <c r="CF463" i="1"/>
  <c r="CF464" i="1"/>
  <c r="CF469" i="1"/>
  <c r="CF479" i="1"/>
  <c r="CF501" i="1"/>
  <c r="CF508" i="1"/>
  <c r="CF534" i="1"/>
  <c r="BS39" i="7"/>
  <c r="BS44" i="7"/>
  <c r="CE508" i="1"/>
  <c r="S77" i="18" s="1"/>
  <c r="CE501" i="1"/>
  <c r="CE479" i="1"/>
  <c r="CE469" i="1"/>
  <c r="CE464" i="1"/>
  <c r="CE463" i="1"/>
  <c r="CE453" i="1"/>
  <c r="CJ454" i="1" s="1"/>
  <c r="CE451" i="1"/>
  <c r="CE432" i="1"/>
  <c r="CE431" i="1"/>
  <c r="CJ541" i="1" s="1"/>
  <c r="CE425" i="1"/>
  <c r="CE424" i="1"/>
  <c r="CE413" i="1"/>
  <c r="CJ421" i="1" s="1"/>
  <c r="CE412" i="1"/>
  <c r="CJ420" i="1" s="1"/>
  <c r="CE409" i="1"/>
  <c r="CE408" i="1"/>
  <c r="CE399" i="1"/>
  <c r="CE398" i="1"/>
  <c r="CE394" i="1"/>
  <c r="CJ395" i="1" s="1"/>
  <c r="CE391" i="1"/>
  <c r="CJ392" i="1" s="1"/>
  <c r="CE357" i="1"/>
  <c r="CE353" i="1"/>
  <c r="CE349" i="1"/>
  <c r="CE345" i="1"/>
  <c r="CE366" i="1"/>
  <c r="CJ368" i="1" s="1"/>
  <c r="CE340" i="1"/>
  <c r="CE370" i="1"/>
  <c r="CJ372" i="1" s="1"/>
  <c r="CE336" i="1"/>
  <c r="CE329" i="1"/>
  <c r="CE326" i="1"/>
  <c r="CE291" i="1"/>
  <c r="CJ292" i="1" s="1"/>
  <c r="CE269" i="1"/>
  <c r="BS81" i="7" s="1"/>
  <c r="CE264" i="1"/>
  <c r="CE211" i="1"/>
  <c r="BS51" i="7" s="1"/>
  <c r="CE203" i="1"/>
  <c r="CE200" i="1"/>
  <c r="CE170" i="1"/>
  <c r="CJ171" i="1" s="1"/>
  <c r="CE168" i="1"/>
  <c r="CJ169" i="1" s="1"/>
  <c r="CE166" i="1"/>
  <c r="CJ167" i="1" s="1"/>
  <c r="CE159" i="1"/>
  <c r="CE154" i="1"/>
  <c r="CJ155" i="1" s="1"/>
  <c r="CE148" i="1"/>
  <c r="CE143" i="1"/>
  <c r="CJ144" i="1" s="1"/>
  <c r="CE110" i="1"/>
  <c r="CE104" i="1"/>
  <c r="BS48" i="7" s="1"/>
  <c r="CL433" i="1" l="1"/>
  <c r="CL542" i="1"/>
  <c r="BU49" i="7"/>
  <c r="CL201" i="1"/>
  <c r="CL418" i="1"/>
  <c r="CL533" i="1"/>
  <c r="BU43" i="7"/>
  <c r="CL169" i="1"/>
  <c r="CL532" i="1"/>
  <c r="CL417" i="1"/>
  <c r="BU40" i="7"/>
  <c r="CL171" i="1"/>
  <c r="CG384" i="1"/>
  <c r="CL385" i="1" s="1"/>
  <c r="CL292" i="1"/>
  <c r="CL246" i="1"/>
  <c r="CL247" i="1" s="1"/>
  <c r="CL256" i="1"/>
  <c r="CL257" i="1" s="1"/>
  <c r="BU80" i="7"/>
  <c r="CL265" i="1"/>
  <c r="BU42" i="7"/>
  <c r="CL167" i="1"/>
  <c r="BU9" i="7"/>
  <c r="BU22" i="7" s="1"/>
  <c r="CL454" i="1"/>
  <c r="BU63" i="7"/>
  <c r="CL204" i="1"/>
  <c r="CE465" i="1"/>
  <c r="CJ466" i="1" s="1"/>
  <c r="CF465" i="1"/>
  <c r="CK466" i="1" s="1"/>
  <c r="CG465" i="1"/>
  <c r="CL466" i="1" s="1"/>
  <c r="S64" i="18"/>
  <c r="S56" i="16"/>
  <c r="BU7" i="7"/>
  <c r="U26" i="16"/>
  <c r="U31" i="18"/>
  <c r="S8" i="18"/>
  <c r="S8" i="16"/>
  <c r="CK347" i="1"/>
  <c r="T34" i="16"/>
  <c r="T39" i="18"/>
  <c r="CK342" i="1"/>
  <c r="T38" i="18"/>
  <c r="T33" i="16"/>
  <c r="U31" i="16"/>
  <c r="U36" i="18"/>
  <c r="CK355" i="1"/>
  <c r="T36" i="16"/>
  <c r="T41" i="18"/>
  <c r="T10" i="18"/>
  <c r="T10" i="16"/>
  <c r="U41" i="18"/>
  <c r="U36" i="16"/>
  <c r="CJ331" i="1"/>
  <c r="S36" i="18"/>
  <c r="S31" i="16"/>
  <c r="S37" i="18"/>
  <c r="S32" i="16"/>
  <c r="U38" i="18"/>
  <c r="U33" i="16"/>
  <c r="U32" i="16"/>
  <c r="U37" i="18"/>
  <c r="CJ342" i="1"/>
  <c r="S38" i="18"/>
  <c r="S33" i="16"/>
  <c r="T37" i="18"/>
  <c r="T32" i="16"/>
  <c r="U35" i="18"/>
  <c r="U30" i="16"/>
  <c r="CJ347" i="1"/>
  <c r="S39" i="18"/>
  <c r="S34" i="16"/>
  <c r="T8" i="16"/>
  <c r="T8" i="18"/>
  <c r="S40" i="18"/>
  <c r="S35" i="16"/>
  <c r="CJ355" i="1"/>
  <c r="S36" i="16"/>
  <c r="S41" i="18"/>
  <c r="U42" i="18"/>
  <c r="U37" i="16"/>
  <c r="T31" i="18"/>
  <c r="T26" i="16"/>
  <c r="U40" i="18"/>
  <c r="U35" i="16"/>
  <c r="S10" i="16"/>
  <c r="S10" i="18"/>
  <c r="CG49" i="1"/>
  <c r="U77" i="18"/>
  <c r="T56" i="16"/>
  <c r="T64" i="18"/>
  <c r="S44" i="16"/>
  <c r="S49" i="18"/>
  <c r="CF37" i="1"/>
  <c r="T44" i="16"/>
  <c r="T49" i="18"/>
  <c r="T35" i="16"/>
  <c r="T40" i="18"/>
  <c r="CJ328" i="1"/>
  <c r="S35" i="18"/>
  <c r="S30" i="16"/>
  <c r="W78" i="18"/>
  <c r="U34" i="16"/>
  <c r="U39" i="18"/>
  <c r="U10" i="16"/>
  <c r="U10" i="18"/>
  <c r="CF49" i="1"/>
  <c r="CK50" i="1" s="1"/>
  <c r="T77" i="18"/>
  <c r="CK331" i="1"/>
  <c r="T36" i="18"/>
  <c r="T31" i="16"/>
  <c r="U8" i="16"/>
  <c r="U8" i="18"/>
  <c r="CK328" i="1"/>
  <c r="T35" i="18"/>
  <c r="T30" i="16"/>
  <c r="U64" i="18"/>
  <c r="U56" i="16"/>
  <c r="S26" i="16"/>
  <c r="S31" i="18"/>
  <c r="S42" i="18"/>
  <c r="S37" i="16"/>
  <c r="T42" i="18"/>
  <c r="T37" i="16"/>
  <c r="CG37" i="1"/>
  <c r="U44" i="16"/>
  <c r="U49" i="18"/>
  <c r="BT40" i="7"/>
  <c r="CK171" i="1"/>
  <c r="CK532" i="1"/>
  <c r="CK417" i="1"/>
  <c r="CF97" i="1"/>
  <c r="CF98" i="1" s="1"/>
  <c r="CF99" i="1" s="1"/>
  <c r="CK111" i="1"/>
  <c r="CK237" i="1" s="1"/>
  <c r="CK238" i="1" s="1"/>
  <c r="CP239" i="1" s="1"/>
  <c r="CF515" i="1"/>
  <c r="CK516" i="1" s="1"/>
  <c r="CK433" i="1"/>
  <c r="CK542" i="1"/>
  <c r="CF384" i="1"/>
  <c r="CK385" i="1" s="1"/>
  <c r="CK292" i="1"/>
  <c r="BT80" i="7"/>
  <c r="CK265" i="1"/>
  <c r="BU51" i="7"/>
  <c r="CK212" i="1"/>
  <c r="CK533" i="1"/>
  <c r="CK418" i="1"/>
  <c r="BT43" i="7"/>
  <c r="CK169" i="1"/>
  <c r="BT42" i="7"/>
  <c r="CK167" i="1"/>
  <c r="BT9" i="7"/>
  <c r="BT22" i="7" s="1"/>
  <c r="CK454" i="1"/>
  <c r="BT63" i="7"/>
  <c r="CK204" i="1"/>
  <c r="BS47" i="7"/>
  <c r="CJ111" i="1"/>
  <c r="CJ237" i="1" s="1"/>
  <c r="CJ238" i="1" s="1"/>
  <c r="CO239" i="1" s="1"/>
  <c r="CJ532" i="1"/>
  <c r="CJ417" i="1"/>
  <c r="CJ418" i="1"/>
  <c r="CJ533" i="1"/>
  <c r="CJ542" i="1"/>
  <c r="CJ433" i="1"/>
  <c r="BS49" i="7"/>
  <c r="CJ201" i="1"/>
  <c r="BS63" i="7"/>
  <c r="CJ204" i="1"/>
  <c r="BT51" i="7"/>
  <c r="CJ212" i="1"/>
  <c r="BS80" i="7"/>
  <c r="CJ265" i="1"/>
  <c r="BU101" i="7"/>
  <c r="BS31" i="7"/>
  <c r="BS98" i="7" s="1"/>
  <c r="BT31" i="7"/>
  <c r="BT98" i="7" s="1"/>
  <c r="BU32" i="7"/>
  <c r="BU99" i="7" s="1"/>
  <c r="BU31" i="7"/>
  <c r="BT32" i="7"/>
  <c r="BT99" i="7" s="1"/>
  <c r="BS32" i="7"/>
  <c r="BS99" i="7" s="1"/>
  <c r="BT101" i="7"/>
  <c r="BS101" i="7"/>
  <c r="CI349" i="1"/>
  <c r="AS40" i="18" s="1"/>
  <c r="AI40" i="18" s="1"/>
  <c r="R1" i="7"/>
  <c r="S2" i="7"/>
  <c r="CI326" i="1"/>
  <c r="CI463" i="1"/>
  <c r="CI353" i="1"/>
  <c r="CI291" i="1"/>
  <c r="CI340" i="1"/>
  <c r="CI425" i="1"/>
  <c r="CI451" i="1"/>
  <c r="CI408" i="1"/>
  <c r="CF277" i="1"/>
  <c r="CK278" i="1" s="1"/>
  <c r="CI409" i="1"/>
  <c r="CF8" i="1"/>
  <c r="CK24" i="1" s="1"/>
  <c r="CG277" i="1"/>
  <c r="CL278" i="1" s="1"/>
  <c r="CF253" i="1"/>
  <c r="CK254" i="1" s="1"/>
  <c r="CG8" i="1"/>
  <c r="CL24" i="1" s="1"/>
  <c r="CG253" i="1"/>
  <c r="CL254" i="1" s="1"/>
  <c r="CI508" i="1"/>
  <c r="CI501" i="1"/>
  <c r="CI345" i="1"/>
  <c r="BS43" i="7"/>
  <c r="CI168" i="1"/>
  <c r="CN169" i="1" s="1"/>
  <c r="BS42" i="7"/>
  <c r="CI166" i="1"/>
  <c r="CN167" i="1" s="1"/>
  <c r="BS40" i="7"/>
  <c r="CI170" i="1"/>
  <c r="CN171" i="1" s="1"/>
  <c r="CI357" i="1"/>
  <c r="AS42" i="18" s="1"/>
  <c r="AI42" i="18" s="1"/>
  <c r="CI413" i="1"/>
  <c r="CI329" i="1"/>
  <c r="CI336" i="1"/>
  <c r="AS37" i="18" s="1"/>
  <c r="AI37" i="18" s="1"/>
  <c r="CI424" i="1"/>
  <c r="CI469" i="1"/>
  <c r="CI431" i="1"/>
  <c r="CN541" i="1" s="1"/>
  <c r="CI494" i="1"/>
  <c r="BS7" i="7"/>
  <c r="CI432" i="1"/>
  <c r="BS9" i="7"/>
  <c r="BS22" i="7" s="1"/>
  <c r="CI453" i="1"/>
  <c r="CI412" i="1"/>
  <c r="CI464" i="1"/>
  <c r="S346" i="2" s="1"/>
  <c r="BT49" i="7"/>
  <c r="CH191" i="1"/>
  <c r="CM192" i="1" s="1"/>
  <c r="CG97" i="1"/>
  <c r="CH108" i="1"/>
  <c r="CH109" i="1" s="1"/>
  <c r="CG96" i="1"/>
  <c r="CH102" i="1"/>
  <c r="BU81" i="7"/>
  <c r="CH270" i="1"/>
  <c r="CH271" i="1"/>
  <c r="CH273" i="1" s="1"/>
  <c r="CM274" i="1" s="1"/>
  <c r="C36" i="4"/>
  <c r="BU48" i="7"/>
  <c r="BU47" i="7"/>
  <c r="CG509" i="1"/>
  <c r="CG266" i="1"/>
  <c r="CG102" i="1"/>
  <c r="CG103" i="1" s="1"/>
  <c r="CG191" i="1"/>
  <c r="CL192" i="1" s="1"/>
  <c r="CG117" i="1"/>
  <c r="CG271" i="1"/>
  <c r="CG273" i="1" s="1"/>
  <c r="CL274" i="1" s="1"/>
  <c r="CG241" i="1"/>
  <c r="CG209" i="1"/>
  <c r="CG108" i="1"/>
  <c r="CG109" i="1" s="1"/>
  <c r="CG471" i="1"/>
  <c r="CG515" i="1"/>
  <c r="CL516" i="1" s="1"/>
  <c r="CG270" i="1"/>
  <c r="CG38" i="1"/>
  <c r="CL39" i="1" s="1"/>
  <c r="CG374" i="1"/>
  <c r="CG332" i="1"/>
  <c r="CL334" i="1" s="1"/>
  <c r="CG258" i="1"/>
  <c r="CL259" i="1" s="1"/>
  <c r="CG248" i="1"/>
  <c r="CL249" i="1" s="1"/>
  <c r="CG52" i="1"/>
  <c r="BU12" i="7" s="1"/>
  <c r="CG452" i="1"/>
  <c r="CG236" i="1"/>
  <c r="CG7" i="1"/>
  <c r="CL23" i="1" s="1"/>
  <c r="CG455" i="1"/>
  <c r="CF209" i="1"/>
  <c r="CF332" i="1"/>
  <c r="CK334" i="1" s="1"/>
  <c r="BT7" i="7"/>
  <c r="BT48" i="7"/>
  <c r="BT47" i="7"/>
  <c r="CF270" i="1"/>
  <c r="CF374" i="1"/>
  <c r="CD494" i="1"/>
  <c r="CF471" i="1"/>
  <c r="CF455" i="1"/>
  <c r="CF266" i="1"/>
  <c r="CF452" i="1"/>
  <c r="CF117" i="1"/>
  <c r="CG115" i="1" s="1"/>
  <c r="CF108" i="1"/>
  <c r="CF109" i="1" s="1"/>
  <c r="CF271" i="1"/>
  <c r="CF273" i="1" s="1"/>
  <c r="CK274" i="1" s="1"/>
  <c r="CF241" i="1"/>
  <c r="CF102" i="1"/>
  <c r="CF105" i="1" s="1"/>
  <c r="CF242" i="1" s="1"/>
  <c r="CF509" i="1"/>
  <c r="CF38" i="1"/>
  <c r="CK39" i="1" s="1"/>
  <c r="CF258" i="1"/>
  <c r="CF248" i="1"/>
  <c r="CK249" i="1" s="1"/>
  <c r="CF52" i="1"/>
  <c r="BT12" i="7" s="1"/>
  <c r="CF236" i="1"/>
  <c r="CF7" i="1"/>
  <c r="CK23" i="1" s="1"/>
  <c r="CE534" i="1"/>
  <c r="CE509" i="1"/>
  <c r="CE52" i="1"/>
  <c r="BS12" i="7" s="1"/>
  <c r="CE471" i="1"/>
  <c r="CE12" i="1"/>
  <c r="CJ28" i="1" s="1"/>
  <c r="CE11" i="1"/>
  <c r="CJ27" i="1" s="1"/>
  <c r="CE374" i="1"/>
  <c r="CE332" i="1"/>
  <c r="CJ334" i="1" s="1"/>
  <c r="CE384" i="1"/>
  <c r="CJ385" i="1" s="1"/>
  <c r="CE277" i="1"/>
  <c r="CJ278" i="1" s="1"/>
  <c r="CE248" i="1"/>
  <c r="CJ249" i="1" s="1"/>
  <c r="CE236" i="1"/>
  <c r="CE97" i="1"/>
  <c r="CE49" i="1"/>
  <c r="CE38" i="1"/>
  <c r="CJ39" i="1" s="1"/>
  <c r="CE8" i="1"/>
  <c r="CJ24" i="1" s="1"/>
  <c r="CE7" i="1"/>
  <c r="CJ23" i="1" s="1"/>
  <c r="C23" i="11"/>
  <c r="C4" i="11"/>
  <c r="E22" i="11" s="1"/>
  <c r="R230" i="2"/>
  <c r="S226" i="2" s="1"/>
  <c r="CC463" i="1"/>
  <c r="CN292" i="1" l="1"/>
  <c r="CN420" i="1"/>
  <c r="AS41" i="18"/>
  <c r="AI41" i="18" s="1"/>
  <c r="CN355" i="1"/>
  <c r="CN433" i="1"/>
  <c r="CN542" i="1"/>
  <c r="AS38" i="18"/>
  <c r="AI38" i="18" s="1"/>
  <c r="CN342" i="1"/>
  <c r="AS39" i="18"/>
  <c r="AI39" i="18" s="1"/>
  <c r="CN347" i="1"/>
  <c r="AS35" i="18"/>
  <c r="AI35" i="18" s="1"/>
  <c r="CN328" i="1"/>
  <c r="AS36" i="18"/>
  <c r="AI36" i="18" s="1"/>
  <c r="CN331" i="1"/>
  <c r="AC150" i="3"/>
  <c r="CN533" i="1"/>
  <c r="CN418" i="1"/>
  <c r="T25" i="19"/>
  <c r="CN454" i="1"/>
  <c r="AC149" i="3"/>
  <c r="CN417" i="1"/>
  <c r="CN532" i="1"/>
  <c r="BU35" i="7"/>
  <c r="BY127" i="7"/>
  <c r="BY111" i="7"/>
  <c r="BY125" i="7"/>
  <c r="BY109" i="7"/>
  <c r="CG518" i="1"/>
  <c r="CL375" i="1"/>
  <c r="BU11" i="7"/>
  <c r="BU37" i="7" s="1"/>
  <c r="CL50" i="1"/>
  <c r="AB40" i="18"/>
  <c r="AF40" i="18" s="1"/>
  <c r="CG327" i="1"/>
  <c r="CG173" i="1"/>
  <c r="CL174" i="1" s="1"/>
  <c r="T24" i="19"/>
  <c r="AC156" i="3"/>
  <c r="S12" i="18"/>
  <c r="W13" i="18" s="1"/>
  <c r="T12" i="18"/>
  <c r="U12" i="18"/>
  <c r="AB38" i="18"/>
  <c r="AD38" i="18" s="1"/>
  <c r="CI505" i="1"/>
  <c r="T33" i="19"/>
  <c r="AB42" i="18"/>
  <c r="AF42" i="18" s="1"/>
  <c r="AB35" i="18"/>
  <c r="AD35" i="18" s="1"/>
  <c r="AB36" i="18"/>
  <c r="AD36" i="18" s="1"/>
  <c r="AB41" i="18"/>
  <c r="AD41" i="18" s="1"/>
  <c r="AB39" i="18"/>
  <c r="AD39" i="18" s="1"/>
  <c r="AB37" i="18"/>
  <c r="AD37" i="18" s="1"/>
  <c r="BT11" i="7"/>
  <c r="BT37" i="7" s="1"/>
  <c r="S345" i="2"/>
  <c r="S93" i="2" s="1"/>
  <c r="CI465" i="1"/>
  <c r="CN466" i="1" s="1"/>
  <c r="U46" i="16"/>
  <c r="AB10" i="18"/>
  <c r="W11" i="18"/>
  <c r="X9" i="16"/>
  <c r="CF472" i="1"/>
  <c r="T58" i="18"/>
  <c r="T50" i="16"/>
  <c r="AS10" i="18"/>
  <c r="AS10" i="16"/>
  <c r="AB10" i="16"/>
  <c r="W11" i="16"/>
  <c r="X27" i="16"/>
  <c r="AS31" i="18"/>
  <c r="AS26" i="16"/>
  <c r="X50" i="18"/>
  <c r="T51" i="18"/>
  <c r="X52" i="18"/>
  <c r="X32" i="18"/>
  <c r="AS49" i="18"/>
  <c r="AS44" i="16"/>
  <c r="AB31" i="18"/>
  <c r="W32" i="18"/>
  <c r="AB8" i="16"/>
  <c r="W9" i="16"/>
  <c r="S50" i="16"/>
  <c r="S58" i="18"/>
  <c r="AS30" i="18"/>
  <c r="AS25" i="16"/>
  <c r="S51" i="18"/>
  <c r="AB49" i="18"/>
  <c r="W52" i="18"/>
  <c r="W50" i="18"/>
  <c r="X11" i="16"/>
  <c r="AB8" i="18"/>
  <c r="W9" i="18"/>
  <c r="T79" i="18"/>
  <c r="X78" i="18"/>
  <c r="S46" i="16"/>
  <c r="AB44" i="16"/>
  <c r="W47" i="16"/>
  <c r="W45" i="16"/>
  <c r="X11" i="18"/>
  <c r="T46" i="16"/>
  <c r="X47" i="16"/>
  <c r="X45" i="16"/>
  <c r="AB26" i="16"/>
  <c r="W27" i="16"/>
  <c r="AB77" i="18"/>
  <c r="U79" i="18"/>
  <c r="AB56" i="16"/>
  <c r="AS8" i="18"/>
  <c r="AS8" i="16"/>
  <c r="U58" i="18"/>
  <c r="U50" i="16"/>
  <c r="S73" i="2"/>
  <c r="CI467" i="1" s="1"/>
  <c r="AS77" i="18"/>
  <c r="U51" i="18"/>
  <c r="S79" i="18"/>
  <c r="X9" i="18"/>
  <c r="AB64" i="18"/>
  <c r="BX109" i="7"/>
  <c r="BX125" i="7"/>
  <c r="BX108" i="7"/>
  <c r="BX124" i="7"/>
  <c r="BX111" i="7"/>
  <c r="BX127" i="7"/>
  <c r="CF31" i="1"/>
  <c r="CF51" i="1" s="1"/>
  <c r="CF30" i="1"/>
  <c r="CF367" i="1" s="1"/>
  <c r="BT35" i="7"/>
  <c r="CK246" i="1"/>
  <c r="CK247" i="1" s="1"/>
  <c r="CK256" i="1"/>
  <c r="CK257" i="1" s="1"/>
  <c r="CF518" i="1"/>
  <c r="CK375" i="1"/>
  <c r="CF327" i="1"/>
  <c r="CK259" i="1"/>
  <c r="BS35" i="7"/>
  <c r="BW127" i="7"/>
  <c r="BW111" i="7"/>
  <c r="BW125" i="7"/>
  <c r="BW109" i="7"/>
  <c r="BW108" i="7"/>
  <c r="BW124" i="7"/>
  <c r="BU33" i="7"/>
  <c r="BU34" i="7" s="1"/>
  <c r="CE448" i="1"/>
  <c r="CJ375" i="1"/>
  <c r="BS11" i="7"/>
  <c r="CJ50" i="1"/>
  <c r="CJ256" i="1"/>
  <c r="CJ257" i="1" s="1"/>
  <c r="CJ246" i="1"/>
  <c r="CJ247" i="1" s="1"/>
  <c r="BT33" i="7"/>
  <c r="BT34" i="7" s="1"/>
  <c r="BU98" i="7"/>
  <c r="BS33" i="7"/>
  <c r="BS34" i="7" s="1"/>
  <c r="CI253" i="1"/>
  <c r="CN254" i="1" s="1"/>
  <c r="CF276" i="1"/>
  <c r="T2" i="7"/>
  <c r="S1" i="7"/>
  <c r="CI332" i="1"/>
  <c r="CN334" i="1" s="1"/>
  <c r="CI509" i="1"/>
  <c r="CI511" i="1"/>
  <c r="CI277" i="1"/>
  <c r="CN278" i="1" s="1"/>
  <c r="CI248" i="1"/>
  <c r="CN249" i="1" s="1"/>
  <c r="CI258" i="1"/>
  <c r="CN259" i="1" s="1"/>
  <c r="CI471" i="1"/>
  <c r="T26" i="19" s="1"/>
  <c r="CI236" i="1"/>
  <c r="CI241" i="1"/>
  <c r="S166" i="2"/>
  <c r="S163" i="2"/>
  <c r="S156" i="2"/>
  <c r="S153" i="2"/>
  <c r="S160" i="2"/>
  <c r="CI455" i="1"/>
  <c r="CI452" i="1"/>
  <c r="CG98" i="1"/>
  <c r="CG99" i="1" s="1"/>
  <c r="CH105" i="1"/>
  <c r="CH242" i="1" s="1"/>
  <c r="CH243" i="1" s="1"/>
  <c r="CM244" i="1" s="1"/>
  <c r="CH103" i="1"/>
  <c r="CH115" i="1"/>
  <c r="CH173" i="1" s="1"/>
  <c r="CM174" i="1" s="1"/>
  <c r="CH197" i="1"/>
  <c r="BV45" i="7" s="1"/>
  <c r="CH276" i="1"/>
  <c r="CG210" i="1"/>
  <c r="BU50" i="7" s="1"/>
  <c r="BU46" i="7"/>
  <c r="CG160" i="1"/>
  <c r="CG105" i="1"/>
  <c r="CG242" i="1" s="1"/>
  <c r="CG243" i="1" s="1"/>
  <c r="CG473" i="1"/>
  <c r="CG472" i="1"/>
  <c r="CG30" i="1"/>
  <c r="CG333" i="1" s="1"/>
  <c r="CG31" i="1"/>
  <c r="CL32" i="1" s="1"/>
  <c r="CF160" i="1"/>
  <c r="CG197" i="1"/>
  <c r="BU45" i="7" s="1"/>
  <c r="CG276" i="1"/>
  <c r="CG448" i="1"/>
  <c r="CG361" i="1"/>
  <c r="CL363" i="1" s="1"/>
  <c r="CF210" i="1"/>
  <c r="BT50" i="7" s="1"/>
  <c r="BT46" i="7"/>
  <c r="CF473" i="1"/>
  <c r="CF243" i="1"/>
  <c r="CF103" i="1"/>
  <c r="CF361" i="1"/>
  <c r="CF448" i="1"/>
  <c r="CE37" i="1"/>
  <c r="CE452" i="1"/>
  <c r="CE518" i="1"/>
  <c r="CE473" i="1"/>
  <c r="CE472" i="1"/>
  <c r="CE241" i="1"/>
  <c r="CE117" i="1"/>
  <c r="CE515" i="1"/>
  <c r="CJ516" i="1" s="1"/>
  <c r="CE96" i="1"/>
  <c r="CE98" i="1" s="1"/>
  <c r="CE99" i="1" s="1"/>
  <c r="CE253" i="1"/>
  <c r="CJ254" i="1" s="1"/>
  <c r="CE266" i="1"/>
  <c r="CE455" i="1"/>
  <c r="CE361" i="1"/>
  <c r="CE258" i="1"/>
  <c r="E23" i="11"/>
  <c r="C21" i="11"/>
  <c r="R26" i="2"/>
  <c r="Q26" i="2"/>
  <c r="P26" i="2"/>
  <c r="O26" i="2"/>
  <c r="N26" i="2"/>
  <c r="CD504" i="1"/>
  <c r="S6" i="19" s="1"/>
  <c r="S234" i="2"/>
  <c r="R234" i="2"/>
  <c r="R235" i="2" s="1"/>
  <c r="Q234" i="2"/>
  <c r="Q235" i="2" s="1"/>
  <c r="R207" i="2"/>
  <c r="R119" i="2"/>
  <c r="S120" i="2" s="1"/>
  <c r="R114" i="2"/>
  <c r="R115" i="2"/>
  <c r="R104" i="2"/>
  <c r="R91" i="2"/>
  <c r="R133" i="2"/>
  <c r="R123" i="2" s="1"/>
  <c r="S124" i="2" s="1"/>
  <c r="P119" i="2"/>
  <c r="Q119" i="2"/>
  <c r="R185" i="2"/>
  <c r="R164" i="2"/>
  <c r="R157" i="2"/>
  <c r="R154" i="2"/>
  <c r="T28" i="19" l="1"/>
  <c r="T29" i="19" s="1"/>
  <c r="CN512" i="1"/>
  <c r="BY108" i="7"/>
  <c r="BY124" i="7"/>
  <c r="BU24" i="7"/>
  <c r="AD40" i="18"/>
  <c r="CG251" i="1"/>
  <c r="CG252" i="1" s="1"/>
  <c r="CL244" i="1"/>
  <c r="AB12" i="18"/>
  <c r="AD12" i="18" s="1"/>
  <c r="BV41" i="7"/>
  <c r="CI327" i="1"/>
  <c r="BU41" i="7"/>
  <c r="X13" i="18"/>
  <c r="AS12" i="18"/>
  <c r="BT24" i="7"/>
  <c r="AF38" i="18"/>
  <c r="AF35" i="18"/>
  <c r="T43" i="19"/>
  <c r="S7" i="19"/>
  <c r="AF41" i="18"/>
  <c r="AD42" i="18"/>
  <c r="AF39" i="18"/>
  <c r="AF36" i="18"/>
  <c r="AF37" i="18"/>
  <c r="S60" i="18"/>
  <c r="AB58" i="18"/>
  <c r="W59" i="18"/>
  <c r="AI10" i="18"/>
  <c r="AF10" i="18" s="1"/>
  <c r="AD8" i="18"/>
  <c r="T60" i="18"/>
  <c r="X59" i="18"/>
  <c r="AD8" i="16"/>
  <c r="AB79" i="18"/>
  <c r="AD77" i="18"/>
  <c r="U38" i="16"/>
  <c r="U39" i="16" s="1"/>
  <c r="U43" i="18"/>
  <c r="U44" i="18" s="1"/>
  <c r="CI472" i="1"/>
  <c r="AS58" i="18"/>
  <c r="AS50" i="16"/>
  <c r="AX26" i="16"/>
  <c r="AI26" i="16"/>
  <c r="AF26" i="16" s="1"/>
  <c r="AD31" i="18"/>
  <c r="AD10" i="18"/>
  <c r="AB46" i="16"/>
  <c r="AD44" i="16"/>
  <c r="AD64" i="18"/>
  <c r="U52" i="16"/>
  <c r="T52" i="16"/>
  <c r="X51" i="16"/>
  <c r="AD26" i="16"/>
  <c r="AS79" i="18"/>
  <c r="AI77" i="18"/>
  <c r="AF77" i="18" s="1"/>
  <c r="U60" i="18"/>
  <c r="AS46" i="16"/>
  <c r="AX44" i="16"/>
  <c r="AI44" i="16"/>
  <c r="AF44" i="16" s="1"/>
  <c r="BR31" i="18"/>
  <c r="AI31" i="18"/>
  <c r="AF31" i="18" s="1"/>
  <c r="S74" i="2"/>
  <c r="BR49" i="18"/>
  <c r="AS51" i="18"/>
  <c r="AI49" i="18"/>
  <c r="AF49" i="18" s="1"/>
  <c r="AD10" i="16"/>
  <c r="AB51" i="18"/>
  <c r="AD49" i="18"/>
  <c r="AI8" i="16"/>
  <c r="AF8" i="16" s="1"/>
  <c r="AD56" i="16"/>
  <c r="S52" i="16"/>
  <c r="AB50" i="16"/>
  <c r="W51" i="16"/>
  <c r="CJ363" i="1"/>
  <c r="S43" i="18"/>
  <c r="S44" i="18" s="1"/>
  <c r="S38" i="16"/>
  <c r="S39" i="16" s="1"/>
  <c r="CK363" i="1"/>
  <c r="T43" i="18"/>
  <c r="T44" i="18" s="1"/>
  <c r="T38" i="16"/>
  <c r="T39" i="16" s="1"/>
  <c r="AI8" i="18"/>
  <c r="AF8" i="18" s="1"/>
  <c r="AI10" i="16"/>
  <c r="AF10" i="16" s="1"/>
  <c r="CF40" i="1"/>
  <c r="CF350" i="1"/>
  <c r="CF337" i="1"/>
  <c r="CF333" i="1"/>
  <c r="CF371" i="1"/>
  <c r="CF358" i="1"/>
  <c r="CF341" i="1"/>
  <c r="CF354" i="1"/>
  <c r="CF330" i="1"/>
  <c r="CK32" i="1"/>
  <c r="CF346" i="1"/>
  <c r="CF251" i="1"/>
  <c r="CF252" i="1" s="1"/>
  <c r="CK244" i="1"/>
  <c r="BS37" i="7"/>
  <c r="BS24" i="7"/>
  <c r="CE327" i="1"/>
  <c r="CJ259" i="1"/>
  <c r="U2" i="7"/>
  <c r="T1" i="7"/>
  <c r="U234" i="2"/>
  <c r="U237" i="2" s="1"/>
  <c r="V234" i="2" s="1"/>
  <c r="V237" i="2" s="1"/>
  <c r="W234" i="2" s="1"/>
  <c r="W237" i="2" s="1"/>
  <c r="X234" i="2" s="1"/>
  <c r="X237" i="2" s="1"/>
  <c r="Y234" i="2" s="1"/>
  <c r="Y237" i="2" s="1"/>
  <c r="Z234" i="2" s="1"/>
  <c r="Z237" i="2" s="1"/>
  <c r="AA234" i="2" s="1"/>
  <c r="AA237" i="2" s="1"/>
  <c r="S235" i="2"/>
  <c r="CI361" i="1"/>
  <c r="CN363" i="1" s="1"/>
  <c r="CH118" i="1"/>
  <c r="CH230" i="1" s="1"/>
  <c r="CH116" i="1"/>
  <c r="CH251" i="1"/>
  <c r="CH252" i="1" s="1"/>
  <c r="CG367" i="1"/>
  <c r="CG358" i="1"/>
  <c r="CG350" i="1"/>
  <c r="CG337" i="1"/>
  <c r="CG346" i="1"/>
  <c r="CG341" i="1"/>
  <c r="CG371" i="1"/>
  <c r="CG330" i="1"/>
  <c r="CG354" i="1"/>
  <c r="CG40" i="1"/>
  <c r="CG51" i="1"/>
  <c r="CG118" i="1"/>
  <c r="CG230" i="1" s="1"/>
  <c r="CG116" i="1"/>
  <c r="CG362" i="1"/>
  <c r="CF362" i="1"/>
  <c r="BS46" i="7"/>
  <c r="CF115" i="1"/>
  <c r="CF173" i="1" s="1"/>
  <c r="CF197" i="1"/>
  <c r="BT45" i="7" s="1"/>
  <c r="CE30" i="1"/>
  <c r="CE362" i="1" s="1"/>
  <c r="CE31" i="1"/>
  <c r="CJ32" i="1" s="1"/>
  <c r="CE210" i="1"/>
  <c r="BS50" i="7" s="1"/>
  <c r="CE160" i="1"/>
  <c r="R113" i="2"/>
  <c r="R120" i="2"/>
  <c r="Q120" i="2"/>
  <c r="BT41" i="7" l="1"/>
  <c r="CK174" i="1"/>
  <c r="AI12" i="18"/>
  <c r="AF12" i="18" s="1"/>
  <c r="CI374" i="1"/>
  <c r="CN375" i="1" s="1"/>
  <c r="AS43" i="18"/>
  <c r="AF79" i="18"/>
  <c r="AF51" i="18"/>
  <c r="S46" i="18"/>
  <c r="AB44" i="18"/>
  <c r="W45" i="18"/>
  <c r="AF46" i="16"/>
  <c r="AB52" i="16"/>
  <c r="AD50" i="16"/>
  <c r="AS60" i="18"/>
  <c r="AI58" i="18"/>
  <c r="AF58" i="18" s="1"/>
  <c r="AF60" i="18" s="1"/>
  <c r="T41" i="16"/>
  <c r="X40" i="16"/>
  <c r="U46" i="18"/>
  <c r="T46" i="18"/>
  <c r="X45" i="18"/>
  <c r="U41" i="16"/>
  <c r="AS52" i="16"/>
  <c r="AI50" i="16"/>
  <c r="AF50" i="16" s="1"/>
  <c r="AF52" i="16" s="1"/>
  <c r="AB60" i="18"/>
  <c r="AD58" i="18"/>
  <c r="S41" i="16"/>
  <c r="AB39" i="16"/>
  <c r="W40" i="16"/>
  <c r="U1" i="7"/>
  <c r="V2" i="7"/>
  <c r="CF118" i="1"/>
  <c r="CF230" i="1" s="1"/>
  <c r="CF116" i="1"/>
  <c r="CE51" i="1"/>
  <c r="CE40" i="1"/>
  <c r="CE350" i="1"/>
  <c r="CE371" i="1"/>
  <c r="CE330" i="1"/>
  <c r="CE341" i="1"/>
  <c r="CE346" i="1"/>
  <c r="CE367" i="1"/>
  <c r="CE337" i="1"/>
  <c r="CE358" i="1"/>
  <c r="CE333" i="1"/>
  <c r="CE354" i="1"/>
  <c r="BR39" i="7"/>
  <c r="BR44" i="7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CI11" i="1"/>
  <c r="CQ11" i="1"/>
  <c r="CR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CI12" i="1"/>
  <c r="CQ12" i="1"/>
  <c r="CR12" i="1"/>
  <c r="B12" i="1"/>
  <c r="B11" i="1"/>
  <c r="B10" i="1"/>
  <c r="B9" i="1"/>
  <c r="B8" i="1"/>
  <c r="B7" i="1"/>
  <c r="CS11" i="1"/>
  <c r="CT11" i="1"/>
  <c r="CU11" i="1"/>
  <c r="CV11" i="1"/>
  <c r="CW11" i="1"/>
  <c r="CS12" i="1"/>
  <c r="CT12" i="1"/>
  <c r="CU12" i="1"/>
  <c r="CV12" i="1"/>
  <c r="CW12" i="1"/>
  <c r="AS44" i="18" l="1"/>
  <c r="AI44" i="18" s="1"/>
  <c r="AF44" i="18" s="1"/>
  <c r="AB41" i="16"/>
  <c r="AD39" i="16"/>
  <c r="AB46" i="18"/>
  <c r="AD44" i="18"/>
  <c r="W2" i="7"/>
  <c r="V1" i="7"/>
  <c r="AP27" i="1"/>
  <c r="L28" i="1"/>
  <c r="R26" i="1"/>
  <c r="AY25" i="1"/>
  <c r="BD27" i="1"/>
  <c r="AN27" i="1"/>
  <c r="X27" i="1"/>
  <c r="AO26" i="1"/>
  <c r="Q26" i="1"/>
  <c r="BN28" i="1"/>
  <c r="AX28" i="1"/>
  <c r="Z28" i="1"/>
  <c r="AE27" i="1"/>
  <c r="BD26" i="1"/>
  <c r="AF26" i="1"/>
  <c r="P26" i="1"/>
  <c r="AP24" i="1"/>
  <c r="R24" i="1"/>
  <c r="BG23" i="1"/>
  <c r="AQ23" i="1"/>
  <c r="AI23" i="1"/>
  <c r="K23" i="1"/>
  <c r="BL28" i="1"/>
  <c r="BD28" i="1"/>
  <c r="BA28" i="1"/>
  <c r="AN28" i="1"/>
  <c r="AC28" i="1"/>
  <c r="M28" i="1"/>
  <c r="N23" i="1"/>
  <c r="AH28" i="1"/>
  <c r="BK27" i="1"/>
  <c r="O27" i="1"/>
  <c r="AV26" i="1"/>
  <c r="BM25" i="1"/>
  <c r="BF24" i="1"/>
  <c r="Z24" i="1"/>
  <c r="S23" i="1"/>
  <c r="BF28" i="1"/>
  <c r="AP28" i="1"/>
  <c r="R28" i="1"/>
  <c r="AU27" i="1"/>
  <c r="BL26" i="1"/>
  <c r="AN26" i="1"/>
  <c r="X26" i="1"/>
  <c r="BN24" i="1"/>
  <c r="AX24" i="1"/>
  <c r="AH24" i="1"/>
  <c r="BO23" i="1"/>
  <c r="AY23" i="1"/>
  <c r="AA23" i="1"/>
  <c r="AF28" i="1"/>
  <c r="P28" i="1"/>
  <c r="BI27" i="1"/>
  <c r="BA27" i="1"/>
  <c r="AS27" i="1"/>
  <c r="AK27" i="1"/>
  <c r="AC27" i="1"/>
  <c r="BJ26" i="1"/>
  <c r="BB26" i="1"/>
  <c r="AT26" i="1"/>
  <c r="AL26" i="1"/>
  <c r="AD26" i="1"/>
  <c r="V26" i="1"/>
  <c r="N26" i="1"/>
  <c r="BK25" i="1"/>
  <c r="BC25" i="1"/>
  <c r="AU25" i="1"/>
  <c r="AM25" i="1"/>
  <c r="AE25" i="1"/>
  <c r="W25" i="1"/>
  <c r="O25" i="1"/>
  <c r="G25" i="1"/>
  <c r="BL24" i="1"/>
  <c r="BD24" i="1"/>
  <c r="AV24" i="1"/>
  <c r="AN24" i="1"/>
  <c r="AF24" i="1"/>
  <c r="X24" i="1"/>
  <c r="P24" i="1"/>
  <c r="BM23" i="1"/>
  <c r="G28" i="1"/>
  <c r="S25" i="1"/>
  <c r="BL27" i="1"/>
  <c r="P27" i="1"/>
  <c r="BE26" i="1"/>
  <c r="AG26" i="1"/>
  <c r="BH23" i="1"/>
  <c r="AZ23" i="1"/>
  <c r="AR23" i="1"/>
  <c r="AJ23" i="1"/>
  <c r="AB23" i="1"/>
  <c r="T23" i="1"/>
  <c r="AS24" i="1"/>
  <c r="M24" i="1"/>
  <c r="BM28" i="1"/>
  <c r="BE28" i="1"/>
  <c r="AW28" i="1"/>
  <c r="AO28" i="1"/>
  <c r="AG28" i="1"/>
  <c r="Y28" i="1"/>
  <c r="Q28" i="1"/>
  <c r="BJ27" i="1"/>
  <c r="BB27" i="1"/>
  <c r="AT27" i="1"/>
  <c r="AL27" i="1"/>
  <c r="AD27" i="1"/>
  <c r="V27" i="1"/>
  <c r="N27" i="1"/>
  <c r="BK26" i="1"/>
  <c r="BC26" i="1"/>
  <c r="AU26" i="1"/>
  <c r="AM26" i="1"/>
  <c r="AE26" i="1"/>
  <c r="W26" i="1"/>
  <c r="O26" i="1"/>
  <c r="G26" i="1"/>
  <c r="BL25" i="1"/>
  <c r="BD25" i="1"/>
  <c r="AV25" i="1"/>
  <c r="AN25" i="1"/>
  <c r="AF25" i="1"/>
  <c r="X25" i="1"/>
  <c r="P25" i="1"/>
  <c r="BN23" i="1"/>
  <c r="BF23" i="1"/>
  <c r="AX23" i="1"/>
  <c r="AP23" i="1"/>
  <c r="AH23" i="1"/>
  <c r="Z23" i="1"/>
  <c r="R23" i="1"/>
  <c r="O23" i="1"/>
  <c r="BJ28" i="1"/>
  <c r="AV28" i="1"/>
  <c r="AT28" i="1"/>
  <c r="BJ24" i="1"/>
  <c r="V24" i="1"/>
  <c r="AK28" i="1"/>
  <c r="L25" i="1"/>
  <c r="X28" i="1"/>
  <c r="BI28" i="1"/>
  <c r="N28" i="1"/>
  <c r="BB24" i="1"/>
  <c r="AD24" i="1"/>
  <c r="BK23" i="1"/>
  <c r="AZ28" i="1"/>
  <c r="AJ28" i="1"/>
  <c r="AB28" i="1"/>
  <c r="AW27" i="1"/>
  <c r="AG27" i="1"/>
  <c r="Q27" i="1"/>
  <c r="BN26" i="1"/>
  <c r="BF26" i="1"/>
  <c r="AX26" i="1"/>
  <c r="AP26" i="1"/>
  <c r="AH26" i="1"/>
  <c r="Z26" i="1"/>
  <c r="BO25" i="1"/>
  <c r="BG25" i="1"/>
  <c r="AQ25" i="1"/>
  <c r="AI25" i="1"/>
  <c r="AA25" i="1"/>
  <c r="K25" i="1"/>
  <c r="BH24" i="1"/>
  <c r="AZ24" i="1"/>
  <c r="AR24" i="1"/>
  <c r="AJ24" i="1"/>
  <c r="AB24" i="1"/>
  <c r="T24" i="1"/>
  <c r="L24" i="1"/>
  <c r="BI23" i="1"/>
  <c r="BA23" i="1"/>
  <c r="AS23" i="1"/>
  <c r="AK23" i="1"/>
  <c r="AC23" i="1"/>
  <c r="U23" i="1"/>
  <c r="M23" i="1"/>
  <c r="AR25" i="1"/>
  <c r="AL28" i="1"/>
  <c r="AT24" i="1"/>
  <c r="N24" i="1"/>
  <c r="G24" i="1"/>
  <c r="BH28" i="1"/>
  <c r="AR28" i="1"/>
  <c r="T28" i="1"/>
  <c r="BM27" i="1"/>
  <c r="BE27" i="1"/>
  <c r="AO27" i="1"/>
  <c r="Y27" i="1"/>
  <c r="AM23" i="1"/>
  <c r="BB28" i="1"/>
  <c r="AD28" i="1"/>
  <c r="BH27" i="1"/>
  <c r="AR27" i="1"/>
  <c r="AB27" i="1"/>
  <c r="G27" i="1"/>
  <c r="N25" i="1"/>
  <c r="BJ25" i="1"/>
  <c r="BE25" i="1"/>
  <c r="AT25" i="1"/>
  <c r="AO25" i="1"/>
  <c r="AL25" i="1"/>
  <c r="AG25" i="1"/>
  <c r="BM6" i="1"/>
  <c r="BM24" i="1"/>
  <c r="BE6" i="1"/>
  <c r="BE24" i="1"/>
  <c r="AW6" i="1"/>
  <c r="AW24" i="1"/>
  <c r="AO6" i="1"/>
  <c r="AO24" i="1"/>
  <c r="AG6" i="1"/>
  <c r="AG24" i="1"/>
  <c r="Y6" i="1"/>
  <c r="Y24" i="1"/>
  <c r="Q6" i="1"/>
  <c r="Q24" i="1"/>
  <c r="V28" i="1"/>
  <c r="BC27" i="1"/>
  <c r="W27" i="1"/>
  <c r="AL24" i="1"/>
  <c r="AF23" i="1"/>
  <c r="Z27" i="1"/>
  <c r="U27" i="1"/>
  <c r="R27" i="1"/>
  <c r="M27" i="1"/>
  <c r="BE23" i="1"/>
  <c r="BJ23" i="1"/>
  <c r="AW23" i="1"/>
  <c r="BB23" i="1"/>
  <c r="AO23" i="1"/>
  <c r="AT23" i="1"/>
  <c r="AG23" i="1"/>
  <c r="AL23" i="1"/>
  <c r="Y23" i="1"/>
  <c r="AD23" i="1"/>
  <c r="Q23" i="1"/>
  <c r="V23" i="1"/>
  <c r="U28" i="1"/>
  <c r="BN27" i="1"/>
  <c r="AM27" i="1"/>
  <c r="T27" i="1"/>
  <c r="AK24" i="1"/>
  <c r="AE23" i="1"/>
  <c r="BK28" i="1"/>
  <c r="BC28" i="1"/>
  <c r="AU28" i="1"/>
  <c r="AM28" i="1"/>
  <c r="AE28" i="1"/>
  <c r="W28" i="1"/>
  <c r="O28" i="1"/>
  <c r="BI26" i="1"/>
  <c r="BA26" i="1"/>
  <c r="AS26" i="1"/>
  <c r="AK26" i="1"/>
  <c r="AC26" i="1"/>
  <c r="U26" i="1"/>
  <c r="M26" i="1"/>
  <c r="BK24" i="1"/>
  <c r="BC24" i="1"/>
  <c r="AU24" i="1"/>
  <c r="AM24" i="1"/>
  <c r="AE24" i="1"/>
  <c r="W24" i="1"/>
  <c r="O24" i="1"/>
  <c r="AS28" i="1"/>
  <c r="AZ27" i="1"/>
  <c r="AJ27" i="1"/>
  <c r="AJ25" i="1"/>
  <c r="BD23" i="1"/>
  <c r="X23" i="1"/>
  <c r="BB25" i="1"/>
  <c r="AW25" i="1"/>
  <c r="V25" i="1"/>
  <c r="Q25" i="1"/>
  <c r="I6" i="1"/>
  <c r="BL23" i="1"/>
  <c r="BO27" i="1"/>
  <c r="BG27" i="1"/>
  <c r="AY27" i="1"/>
  <c r="AQ27" i="1"/>
  <c r="AI27" i="1"/>
  <c r="AA27" i="1"/>
  <c r="S27" i="1"/>
  <c r="K27" i="1"/>
  <c r="BH26" i="1"/>
  <c r="AZ26" i="1"/>
  <c r="AR26" i="1"/>
  <c r="AJ26" i="1"/>
  <c r="AB26" i="1"/>
  <c r="T26" i="1"/>
  <c r="L26" i="1"/>
  <c r="BI25" i="1"/>
  <c r="BN25" i="1"/>
  <c r="BA25" i="1"/>
  <c r="BF25" i="1"/>
  <c r="AS25" i="1"/>
  <c r="AX25" i="1"/>
  <c r="AK25" i="1"/>
  <c r="AP25" i="1"/>
  <c r="AC25" i="1"/>
  <c r="AH25" i="1"/>
  <c r="U25" i="1"/>
  <c r="Z25" i="1"/>
  <c r="M25" i="1"/>
  <c r="R25" i="1"/>
  <c r="G23" i="1"/>
  <c r="L23" i="1"/>
  <c r="AX27" i="1"/>
  <c r="AH27" i="1"/>
  <c r="BI24" i="1"/>
  <c r="AC24" i="1"/>
  <c r="BC23" i="1"/>
  <c r="W23" i="1"/>
  <c r="BO26" i="1"/>
  <c r="BG26" i="1"/>
  <c r="AY26" i="1"/>
  <c r="AQ26" i="1"/>
  <c r="AI26" i="1"/>
  <c r="AA26" i="1"/>
  <c r="S26" i="1"/>
  <c r="K26" i="1"/>
  <c r="AV27" i="1"/>
  <c r="AF27" i="1"/>
  <c r="L27" i="1"/>
  <c r="AW26" i="1"/>
  <c r="BH25" i="1"/>
  <c r="AB25" i="1"/>
  <c r="AV23" i="1"/>
  <c r="P23" i="1"/>
  <c r="AD25" i="1"/>
  <c r="Y25" i="1"/>
  <c r="Y26" i="1"/>
  <c r="BA24" i="1"/>
  <c r="U24" i="1"/>
  <c r="AU23" i="1"/>
  <c r="BO28" i="1"/>
  <c r="BG28" i="1"/>
  <c r="AY28" i="1"/>
  <c r="AQ28" i="1"/>
  <c r="AI28" i="1"/>
  <c r="AA28" i="1"/>
  <c r="S28" i="1"/>
  <c r="K28" i="1"/>
  <c r="BO24" i="1"/>
  <c r="BG24" i="1"/>
  <c r="AY24" i="1"/>
  <c r="AQ24" i="1"/>
  <c r="AI24" i="1"/>
  <c r="AA24" i="1"/>
  <c r="S24" i="1"/>
  <c r="K24" i="1"/>
  <c r="BF27" i="1"/>
  <c r="BM26" i="1"/>
  <c r="AZ25" i="1"/>
  <c r="T25" i="1"/>
  <c r="AN23" i="1"/>
  <c r="B6" i="1"/>
  <c r="X6" i="1"/>
  <c r="BK6" i="1"/>
  <c r="AU6" i="1"/>
  <c r="O6" i="1"/>
  <c r="G6" i="1"/>
  <c r="BD6" i="1"/>
  <c r="AE6" i="1"/>
  <c r="BB6" i="1"/>
  <c r="AL6" i="1"/>
  <c r="AD6" i="1"/>
  <c r="V6" i="1"/>
  <c r="N6" i="1"/>
  <c r="F6" i="1"/>
  <c r="AN6" i="1"/>
  <c r="W6" i="1"/>
  <c r="BJ6" i="1"/>
  <c r="BA6" i="1"/>
  <c r="AS6" i="1"/>
  <c r="AC6" i="1"/>
  <c r="U6" i="1"/>
  <c r="M6" i="1"/>
  <c r="E6" i="1"/>
  <c r="P6" i="1"/>
  <c r="BC6" i="1"/>
  <c r="D6" i="1"/>
  <c r="BL6" i="1"/>
  <c r="AV6" i="1"/>
  <c r="AF6" i="1"/>
  <c r="H6" i="1"/>
  <c r="AM6" i="1"/>
  <c r="AT6" i="1"/>
  <c r="BI6" i="1"/>
  <c r="AK6" i="1"/>
  <c r="BH6" i="1"/>
  <c r="AZ6" i="1"/>
  <c r="AR6" i="1"/>
  <c r="AJ6" i="1"/>
  <c r="AB6" i="1"/>
  <c r="T6" i="1"/>
  <c r="L6" i="1"/>
  <c r="BN6" i="1"/>
  <c r="BF6" i="1"/>
  <c r="AX6" i="1"/>
  <c r="AP6" i="1"/>
  <c r="AH6" i="1"/>
  <c r="Z6" i="1"/>
  <c r="R6" i="1"/>
  <c r="J6" i="1"/>
  <c r="BO6" i="1"/>
  <c r="BG6" i="1"/>
  <c r="AY6" i="1"/>
  <c r="AQ6" i="1"/>
  <c r="AI6" i="1"/>
  <c r="AA6" i="1"/>
  <c r="S6" i="1"/>
  <c r="K6" i="1"/>
  <c r="C6" i="1"/>
  <c r="CC336" i="1"/>
  <c r="CB336" i="1"/>
  <c r="CA336" i="1"/>
  <c r="BZ336" i="1"/>
  <c r="BX336" i="1"/>
  <c r="BW336" i="1"/>
  <c r="BV336" i="1"/>
  <c r="BU336" i="1"/>
  <c r="CC349" i="1"/>
  <c r="CB349" i="1"/>
  <c r="CA349" i="1"/>
  <c r="BZ349" i="1"/>
  <c r="BX349" i="1"/>
  <c r="BW349" i="1"/>
  <c r="BV349" i="1"/>
  <c r="BU349" i="1"/>
  <c r="CC353" i="1"/>
  <c r="CB353" i="1"/>
  <c r="CA353" i="1"/>
  <c r="BZ353" i="1"/>
  <c r="BX353" i="1"/>
  <c r="BW353" i="1"/>
  <c r="BV353" i="1"/>
  <c r="BU353" i="1"/>
  <c r="BS353" i="1"/>
  <c r="BR353" i="1"/>
  <c r="BQ353" i="1"/>
  <c r="BP353" i="1"/>
  <c r="BN353" i="1"/>
  <c r="BM353" i="1"/>
  <c r="BL353" i="1"/>
  <c r="BK353" i="1"/>
  <c r="BI353" i="1"/>
  <c r="BH353" i="1"/>
  <c r="BG353" i="1"/>
  <c r="BF353" i="1"/>
  <c r="BD353" i="1"/>
  <c r="BC353" i="1"/>
  <c r="BB353" i="1"/>
  <c r="BA353" i="1"/>
  <c r="AY353" i="1"/>
  <c r="AX353" i="1"/>
  <c r="AW353" i="1"/>
  <c r="CC357" i="1"/>
  <c r="CB357" i="1"/>
  <c r="CA357" i="1"/>
  <c r="BZ357" i="1"/>
  <c r="BX357" i="1"/>
  <c r="BW357" i="1"/>
  <c r="BV357" i="1"/>
  <c r="BU357" i="1"/>
  <c r="BS361" i="1"/>
  <c r="BR361" i="1"/>
  <c r="BQ361" i="1"/>
  <c r="BP361" i="1"/>
  <c r="BN361" i="1"/>
  <c r="BM361" i="1"/>
  <c r="BL361" i="1"/>
  <c r="BK361" i="1"/>
  <c r="BI361" i="1"/>
  <c r="BH361" i="1"/>
  <c r="BG361" i="1"/>
  <c r="BF361" i="1"/>
  <c r="BD361" i="1"/>
  <c r="BC361" i="1"/>
  <c r="BB361" i="1"/>
  <c r="BA361" i="1"/>
  <c r="AY361" i="1"/>
  <c r="AX361" i="1"/>
  <c r="AW361" i="1"/>
  <c r="CC345" i="1"/>
  <c r="CB345" i="1"/>
  <c r="CA345" i="1"/>
  <c r="BZ345" i="1"/>
  <c r="BX345" i="1"/>
  <c r="BW345" i="1"/>
  <c r="BV345" i="1"/>
  <c r="BU345" i="1"/>
  <c r="BS345" i="1"/>
  <c r="BR345" i="1"/>
  <c r="BQ345" i="1"/>
  <c r="BP345" i="1"/>
  <c r="BN345" i="1"/>
  <c r="BM345" i="1"/>
  <c r="BL345" i="1"/>
  <c r="BK345" i="1"/>
  <c r="BI345" i="1"/>
  <c r="BH345" i="1"/>
  <c r="BG345" i="1"/>
  <c r="BF345" i="1"/>
  <c r="BD345" i="1"/>
  <c r="BC345" i="1"/>
  <c r="BB345" i="1"/>
  <c r="BA345" i="1"/>
  <c r="AY345" i="1"/>
  <c r="AX345" i="1"/>
  <c r="AW345" i="1"/>
  <c r="CC340" i="1"/>
  <c r="CB340" i="1"/>
  <c r="CA340" i="1"/>
  <c r="BZ340" i="1"/>
  <c r="BX340" i="1"/>
  <c r="BW340" i="1"/>
  <c r="BV340" i="1"/>
  <c r="BU340" i="1"/>
  <c r="BS340" i="1"/>
  <c r="BR340" i="1"/>
  <c r="BQ340" i="1"/>
  <c r="BP340" i="1"/>
  <c r="BN340" i="1"/>
  <c r="BM340" i="1"/>
  <c r="BL340" i="1"/>
  <c r="BK340" i="1"/>
  <c r="BI340" i="1"/>
  <c r="BH340" i="1"/>
  <c r="BG340" i="1"/>
  <c r="BF340" i="1"/>
  <c r="BD340" i="1"/>
  <c r="BC340" i="1"/>
  <c r="BB340" i="1"/>
  <c r="BA340" i="1"/>
  <c r="AY340" i="1"/>
  <c r="AX340" i="1"/>
  <c r="AW340" i="1"/>
  <c r="CC329" i="1"/>
  <c r="CB329" i="1"/>
  <c r="CA329" i="1"/>
  <c r="BZ329" i="1"/>
  <c r="BX329" i="1"/>
  <c r="BW329" i="1"/>
  <c r="BV329" i="1"/>
  <c r="BU329" i="1"/>
  <c r="BS329" i="1"/>
  <c r="BR329" i="1"/>
  <c r="BQ329" i="1"/>
  <c r="BP329" i="1"/>
  <c r="BN329" i="1"/>
  <c r="BM329" i="1"/>
  <c r="BL329" i="1"/>
  <c r="BK329" i="1"/>
  <c r="BI329" i="1"/>
  <c r="BH329" i="1"/>
  <c r="BG329" i="1"/>
  <c r="BF329" i="1"/>
  <c r="BD329" i="1"/>
  <c r="BC329" i="1"/>
  <c r="BB329" i="1"/>
  <c r="BA329" i="1"/>
  <c r="AY329" i="1"/>
  <c r="AX329" i="1"/>
  <c r="AW329" i="1"/>
  <c r="AV329" i="1"/>
  <c r="AT329" i="1"/>
  <c r="AS329" i="1"/>
  <c r="AR329" i="1"/>
  <c r="AQ329" i="1"/>
  <c r="CC326" i="1"/>
  <c r="CB326" i="1"/>
  <c r="CA326" i="1"/>
  <c r="BZ326" i="1"/>
  <c r="BX326" i="1"/>
  <c r="BW326" i="1"/>
  <c r="BV326" i="1"/>
  <c r="BU326" i="1"/>
  <c r="BS326" i="1"/>
  <c r="BR326" i="1"/>
  <c r="BQ326" i="1"/>
  <c r="BP326" i="1"/>
  <c r="BN326" i="1"/>
  <c r="BM326" i="1"/>
  <c r="BL326" i="1"/>
  <c r="BK326" i="1"/>
  <c r="BI326" i="1"/>
  <c r="BH326" i="1"/>
  <c r="BG326" i="1"/>
  <c r="BF326" i="1"/>
  <c r="BD326" i="1"/>
  <c r="BC326" i="1"/>
  <c r="BB326" i="1"/>
  <c r="BA326" i="1"/>
  <c r="AY326" i="1"/>
  <c r="AX326" i="1"/>
  <c r="AW326" i="1"/>
  <c r="CC291" i="1"/>
  <c r="CH292" i="1" s="1"/>
  <c r="CB291" i="1"/>
  <c r="CG292" i="1" s="1"/>
  <c r="CA291" i="1"/>
  <c r="CF292" i="1" s="1"/>
  <c r="BW291" i="1"/>
  <c r="BV291" i="1"/>
  <c r="BU291" i="1"/>
  <c r="BS291" i="1"/>
  <c r="BR291" i="1"/>
  <c r="BQ291" i="1"/>
  <c r="BP291" i="1"/>
  <c r="K422" i="1"/>
  <c r="J422" i="1"/>
  <c r="I422" i="1"/>
  <c r="H422" i="1"/>
  <c r="G422" i="1"/>
  <c r="CC501" i="1"/>
  <c r="CB501" i="1"/>
  <c r="CA501" i="1"/>
  <c r="BZ501" i="1"/>
  <c r="BX501" i="1"/>
  <c r="BW501" i="1"/>
  <c r="BV501" i="1"/>
  <c r="BS501" i="1"/>
  <c r="BM501" i="1"/>
  <c r="BL501" i="1"/>
  <c r="BK501" i="1"/>
  <c r="BI501" i="1"/>
  <c r="BH501" i="1"/>
  <c r="BG501" i="1"/>
  <c r="BF501" i="1"/>
  <c r="BD501" i="1"/>
  <c r="BC501" i="1"/>
  <c r="BB501" i="1"/>
  <c r="BA501" i="1"/>
  <c r="BN481" i="1"/>
  <c r="BM481" i="1"/>
  <c r="BL481" i="1"/>
  <c r="BK481" i="1"/>
  <c r="BI481" i="1"/>
  <c r="BB23" i="7" s="1"/>
  <c r="BH481" i="1"/>
  <c r="BA23" i="7" s="1"/>
  <c r="BG481" i="1"/>
  <c r="AZ23" i="7" s="1"/>
  <c r="BF481" i="1"/>
  <c r="AY23" i="7" s="1"/>
  <c r="BD481" i="1"/>
  <c r="AX23" i="7" s="1"/>
  <c r="BC481" i="1"/>
  <c r="AW23" i="7" s="1"/>
  <c r="BB481" i="1"/>
  <c r="AV23" i="7" s="1"/>
  <c r="BA481" i="1"/>
  <c r="AU23" i="7" s="1"/>
  <c r="AY481" i="1"/>
  <c r="AT23" i="7" s="1"/>
  <c r="CC479" i="1"/>
  <c r="CB479" i="1"/>
  <c r="CA479" i="1"/>
  <c r="BZ479" i="1"/>
  <c r="BX479" i="1"/>
  <c r="BW479" i="1"/>
  <c r="BV479" i="1"/>
  <c r="BU479" i="1"/>
  <c r="BS479" i="1"/>
  <c r="BR479" i="1"/>
  <c r="BQ479" i="1"/>
  <c r="BP479" i="1"/>
  <c r="BN479" i="1"/>
  <c r="BM479" i="1"/>
  <c r="BL479" i="1"/>
  <c r="BK479" i="1"/>
  <c r="BI479" i="1"/>
  <c r="BH479" i="1"/>
  <c r="BG479" i="1"/>
  <c r="BF479" i="1"/>
  <c r="BD479" i="1"/>
  <c r="BC479" i="1"/>
  <c r="BB479" i="1"/>
  <c r="BA479" i="1"/>
  <c r="AY479" i="1"/>
  <c r="AX479" i="1"/>
  <c r="AW479" i="1"/>
  <c r="AV479" i="1"/>
  <c r="AT479" i="1"/>
  <c r="AS479" i="1"/>
  <c r="AR479" i="1"/>
  <c r="AQ479" i="1"/>
  <c r="CC469" i="1"/>
  <c r="CB469" i="1"/>
  <c r="CA469" i="1"/>
  <c r="BZ469" i="1"/>
  <c r="BX469" i="1"/>
  <c r="BW469" i="1"/>
  <c r="BV469" i="1"/>
  <c r="BU469" i="1"/>
  <c r="BC469" i="1"/>
  <c r="BB469" i="1"/>
  <c r="BA469" i="1"/>
  <c r="AY469" i="1"/>
  <c r="AX469" i="1"/>
  <c r="AV469" i="1"/>
  <c r="CC464" i="1"/>
  <c r="CC465" i="1" s="1"/>
  <c r="CB464" i="1"/>
  <c r="CA464" i="1"/>
  <c r="BZ464" i="1"/>
  <c r="BX464" i="1"/>
  <c r="BW464" i="1"/>
  <c r="BV464" i="1"/>
  <c r="BU464" i="1"/>
  <c r="BS464" i="1"/>
  <c r="BR464" i="1"/>
  <c r="BQ464" i="1"/>
  <c r="BP464" i="1"/>
  <c r="BN464" i="1"/>
  <c r="BM464" i="1"/>
  <c r="BL464" i="1"/>
  <c r="BK464" i="1"/>
  <c r="BI464" i="1"/>
  <c r="BH464" i="1"/>
  <c r="BG464" i="1"/>
  <c r="BF464" i="1"/>
  <c r="BD464" i="1"/>
  <c r="BC464" i="1"/>
  <c r="BB464" i="1"/>
  <c r="BA464" i="1"/>
  <c r="AY464" i="1"/>
  <c r="AX464" i="1"/>
  <c r="AW464" i="1"/>
  <c r="CB463" i="1"/>
  <c r="CA463" i="1"/>
  <c r="BZ463" i="1"/>
  <c r="BX463" i="1"/>
  <c r="BW463" i="1"/>
  <c r="BV463" i="1"/>
  <c r="BU463" i="1"/>
  <c r="BQ463" i="1"/>
  <c r="BP463" i="1"/>
  <c r="BH463" i="1"/>
  <c r="BG463" i="1"/>
  <c r="BF463" i="1"/>
  <c r="BD463" i="1"/>
  <c r="BC463" i="1"/>
  <c r="BB463" i="1"/>
  <c r="BA463" i="1"/>
  <c r="AY463" i="1"/>
  <c r="AW463" i="1"/>
  <c r="AF451" i="1"/>
  <c r="CC453" i="1"/>
  <c r="CB453" i="1"/>
  <c r="CG454" i="1" s="1"/>
  <c r="CA453" i="1"/>
  <c r="CF454" i="1" s="1"/>
  <c r="BZ453" i="1"/>
  <c r="CE454" i="1" s="1"/>
  <c r="BX453" i="1"/>
  <c r="BW453" i="1"/>
  <c r="BV453" i="1"/>
  <c r="BU453" i="1"/>
  <c r="BS453" i="1"/>
  <c r="BR453" i="1"/>
  <c r="BQ453" i="1"/>
  <c r="BP453" i="1"/>
  <c r="BN453" i="1"/>
  <c r="BM453" i="1"/>
  <c r="BL453" i="1"/>
  <c r="BK453" i="1"/>
  <c r="BI453" i="1"/>
  <c r="BH453" i="1"/>
  <c r="BG453" i="1"/>
  <c r="BF453" i="1"/>
  <c r="BC453" i="1"/>
  <c r="BB453" i="1"/>
  <c r="BA453" i="1"/>
  <c r="AY453" i="1"/>
  <c r="AX453" i="1"/>
  <c r="AW453" i="1"/>
  <c r="AV453" i="1"/>
  <c r="CC451" i="1"/>
  <c r="CB451" i="1"/>
  <c r="CA451" i="1"/>
  <c r="BZ451" i="1"/>
  <c r="BX451" i="1"/>
  <c r="BW451" i="1"/>
  <c r="BV451" i="1"/>
  <c r="BU451" i="1"/>
  <c r="BS451" i="1"/>
  <c r="BR451" i="1"/>
  <c r="BQ451" i="1"/>
  <c r="BP451" i="1"/>
  <c r="BN451" i="1"/>
  <c r="BM451" i="1"/>
  <c r="BL451" i="1"/>
  <c r="BK451" i="1"/>
  <c r="BI451" i="1"/>
  <c r="BH451" i="1"/>
  <c r="BG451" i="1"/>
  <c r="BF451" i="1"/>
  <c r="BD451" i="1"/>
  <c r="BC451" i="1"/>
  <c r="BB451" i="1"/>
  <c r="BA451" i="1"/>
  <c r="AY451" i="1"/>
  <c r="AX451" i="1"/>
  <c r="AW451" i="1"/>
  <c r="AV451" i="1"/>
  <c r="AT451" i="1"/>
  <c r="AS451" i="1"/>
  <c r="AR451" i="1"/>
  <c r="AQ451" i="1"/>
  <c r="AO451" i="1"/>
  <c r="AN451" i="1"/>
  <c r="AM451" i="1"/>
  <c r="AL451" i="1"/>
  <c r="AJ451" i="1"/>
  <c r="AI451" i="1"/>
  <c r="AH451" i="1"/>
  <c r="AG451" i="1"/>
  <c r="BZ465" i="1" l="1"/>
  <c r="CE466" i="1" s="1"/>
  <c r="BG465" i="1"/>
  <c r="BX465" i="1"/>
  <c r="CC466" i="1" s="1"/>
  <c r="BB465" i="1"/>
  <c r="AW465" i="1"/>
  <c r="BH465" i="1"/>
  <c r="BP465" i="1"/>
  <c r="BD465" i="1"/>
  <c r="BF465" i="1"/>
  <c r="BV465" i="1"/>
  <c r="BW465" i="1"/>
  <c r="AY465" i="1"/>
  <c r="BA465" i="1"/>
  <c r="CA465" i="1"/>
  <c r="CH466" i="1"/>
  <c r="CB465" i="1"/>
  <c r="BC465" i="1"/>
  <c r="BQ465" i="1"/>
  <c r="BU465" i="1"/>
  <c r="D64" i="18"/>
  <c r="D56" i="16"/>
  <c r="N35" i="16"/>
  <c r="N40" i="18"/>
  <c r="D31" i="16"/>
  <c r="D36" i="18"/>
  <c r="F34" i="16"/>
  <c r="F39" i="18"/>
  <c r="I41" i="18"/>
  <c r="I36" i="16"/>
  <c r="H34" i="16"/>
  <c r="H39" i="18"/>
  <c r="H33" i="16"/>
  <c r="H38" i="18"/>
  <c r="H64" i="18"/>
  <c r="H56" i="16"/>
  <c r="L41" i="18"/>
  <c r="L36" i="16"/>
  <c r="H41" i="18"/>
  <c r="H36" i="16"/>
  <c r="L49" i="18"/>
  <c r="L44" i="16"/>
  <c r="E64" i="18"/>
  <c r="E56" i="16"/>
  <c r="F38" i="18"/>
  <c r="F33" i="16"/>
  <c r="Q40" i="18"/>
  <c r="Q35" i="16"/>
  <c r="O49" i="18"/>
  <c r="O44" i="16"/>
  <c r="L30" i="16"/>
  <c r="L35" i="18"/>
  <c r="H36" i="18"/>
  <c r="H31" i="16"/>
  <c r="I38" i="18"/>
  <c r="I33" i="16"/>
  <c r="J39" i="18"/>
  <c r="J34" i="16"/>
  <c r="K37" i="16"/>
  <c r="K42" i="18"/>
  <c r="R35" i="16"/>
  <c r="R40" i="18"/>
  <c r="P49" i="18"/>
  <c r="P44" i="16"/>
  <c r="I64" i="18"/>
  <c r="I56" i="16"/>
  <c r="M30" i="16"/>
  <c r="M35" i="18"/>
  <c r="I31" i="16"/>
  <c r="I36" i="18"/>
  <c r="J38" i="18"/>
  <c r="J33" i="16"/>
  <c r="K34" i="16"/>
  <c r="K39" i="18"/>
  <c r="L37" i="16"/>
  <c r="L42" i="18"/>
  <c r="M41" i="18"/>
  <c r="M36" i="16"/>
  <c r="K37" i="18"/>
  <c r="K32" i="16"/>
  <c r="G43" i="18"/>
  <c r="G38" i="16"/>
  <c r="I30" i="16"/>
  <c r="I35" i="18"/>
  <c r="I34" i="16"/>
  <c r="I39" i="18"/>
  <c r="M37" i="16"/>
  <c r="M42" i="18"/>
  <c r="O35" i="18"/>
  <c r="O30" i="16"/>
  <c r="N42" i="18"/>
  <c r="N37" i="16"/>
  <c r="CE355" i="1"/>
  <c r="O41" i="18"/>
  <c r="O36" i="16"/>
  <c r="E44" i="16"/>
  <c r="E49" i="18"/>
  <c r="L64" i="18"/>
  <c r="L56" i="16"/>
  <c r="P35" i="18"/>
  <c r="P30" i="16"/>
  <c r="L31" i="16"/>
  <c r="L36" i="18"/>
  <c r="M33" i="16"/>
  <c r="M38" i="18"/>
  <c r="N39" i="18"/>
  <c r="N34" i="16"/>
  <c r="O42" i="18"/>
  <c r="O37" i="16"/>
  <c r="CF355" i="1"/>
  <c r="P36" i="16"/>
  <c r="P41" i="18"/>
  <c r="N32" i="16"/>
  <c r="N37" i="18"/>
  <c r="H43" i="18"/>
  <c r="H38" i="16"/>
  <c r="N49" i="18"/>
  <c r="N44" i="16"/>
  <c r="J43" i="18"/>
  <c r="J38" i="16"/>
  <c r="C49" i="18"/>
  <c r="C44" i="16"/>
  <c r="J56" i="16"/>
  <c r="J64" i="18"/>
  <c r="J36" i="18"/>
  <c r="J31" i="16"/>
  <c r="L33" i="16"/>
  <c r="L38" i="18"/>
  <c r="M39" i="18"/>
  <c r="M34" i="16"/>
  <c r="M37" i="18"/>
  <c r="M32" i="16"/>
  <c r="F49" i="18"/>
  <c r="F44" i="16"/>
  <c r="M64" i="18"/>
  <c r="M56" i="16"/>
  <c r="C35" i="18"/>
  <c r="C30" i="16"/>
  <c r="Q35" i="18"/>
  <c r="Q30" i="16"/>
  <c r="M31" i="16"/>
  <c r="M36" i="18"/>
  <c r="N33" i="16"/>
  <c r="N38" i="18"/>
  <c r="CE347" i="1"/>
  <c r="O39" i="18"/>
  <c r="O34" i="16"/>
  <c r="P42" i="18"/>
  <c r="P37" i="16"/>
  <c r="C41" i="18"/>
  <c r="C36" i="16"/>
  <c r="CG355" i="1"/>
  <c r="Q36" i="16"/>
  <c r="Q41" i="18"/>
  <c r="O37" i="18"/>
  <c r="O32" i="16"/>
  <c r="K49" i="18"/>
  <c r="K44" i="16"/>
  <c r="G34" i="16"/>
  <c r="G39" i="18"/>
  <c r="J41" i="18"/>
  <c r="J36" i="16"/>
  <c r="L37" i="18"/>
  <c r="L32" i="16"/>
  <c r="K36" i="18"/>
  <c r="K31" i="16"/>
  <c r="BC23" i="7"/>
  <c r="C65" i="18"/>
  <c r="C57" i="16"/>
  <c r="N31" i="16"/>
  <c r="N36" i="18"/>
  <c r="C38" i="16"/>
  <c r="C43" i="18"/>
  <c r="P37" i="18"/>
  <c r="P32" i="16"/>
  <c r="BD23" i="7"/>
  <c r="D57" i="16"/>
  <c r="D65" i="18"/>
  <c r="C34" i="16"/>
  <c r="C39" i="18"/>
  <c r="E41" i="18"/>
  <c r="E36" i="16"/>
  <c r="I49" i="18"/>
  <c r="I44" i="16"/>
  <c r="F35" i="18"/>
  <c r="F30" i="16"/>
  <c r="CF331" i="1"/>
  <c r="P36" i="18"/>
  <c r="P31" i="16"/>
  <c r="C38" i="18"/>
  <c r="C33" i="16"/>
  <c r="CG342" i="1"/>
  <c r="Q38" i="18"/>
  <c r="Q33" i="16"/>
  <c r="D39" i="18"/>
  <c r="D34" i="16"/>
  <c r="CH347" i="1"/>
  <c r="R34" i="16"/>
  <c r="R39" i="18"/>
  <c r="E43" i="18"/>
  <c r="E38" i="16"/>
  <c r="F36" i="16"/>
  <c r="F41" i="18"/>
  <c r="L35" i="16"/>
  <c r="L40" i="18"/>
  <c r="R32" i="16"/>
  <c r="R37" i="18"/>
  <c r="R56" i="16"/>
  <c r="R64" i="18"/>
  <c r="H35" i="18"/>
  <c r="H30" i="16"/>
  <c r="CH331" i="1"/>
  <c r="R31" i="16"/>
  <c r="R36" i="18"/>
  <c r="E38" i="18"/>
  <c r="E33" i="16"/>
  <c r="E36" i="18"/>
  <c r="E31" i="16"/>
  <c r="O35" i="16"/>
  <c r="O40" i="18"/>
  <c r="M44" i="16"/>
  <c r="M49" i="18"/>
  <c r="F64" i="18"/>
  <c r="F56" i="16"/>
  <c r="J30" i="16"/>
  <c r="J35" i="18"/>
  <c r="F36" i="18"/>
  <c r="F31" i="16"/>
  <c r="G38" i="18"/>
  <c r="G33" i="16"/>
  <c r="I43" i="18"/>
  <c r="I38" i="16"/>
  <c r="P40" i="18"/>
  <c r="P35" i="16"/>
  <c r="G56" i="16"/>
  <c r="G64" i="18"/>
  <c r="K30" i="16"/>
  <c r="K35" i="18"/>
  <c r="G31" i="16"/>
  <c r="G36" i="18"/>
  <c r="K41" i="18"/>
  <c r="K36" i="16"/>
  <c r="Q49" i="18"/>
  <c r="Q44" i="16"/>
  <c r="N35" i="18"/>
  <c r="N30" i="16"/>
  <c r="K33" i="16"/>
  <c r="K38" i="18"/>
  <c r="L39" i="18"/>
  <c r="L34" i="16"/>
  <c r="N41" i="18"/>
  <c r="N36" i="16"/>
  <c r="D44" i="16"/>
  <c r="D49" i="18"/>
  <c r="R44" i="16"/>
  <c r="R49" i="18"/>
  <c r="K56" i="16"/>
  <c r="K64" i="18"/>
  <c r="G49" i="18"/>
  <c r="G44" i="16"/>
  <c r="N64" i="18"/>
  <c r="N56" i="16"/>
  <c r="D35" i="18"/>
  <c r="D30" i="16"/>
  <c r="R35" i="18"/>
  <c r="R30" i="16"/>
  <c r="CE342" i="1"/>
  <c r="O33" i="16"/>
  <c r="O38" i="18"/>
  <c r="CF347" i="1"/>
  <c r="P39" i="18"/>
  <c r="P34" i="16"/>
  <c r="Q42" i="18"/>
  <c r="Q37" i="16"/>
  <c r="D36" i="16"/>
  <c r="D41" i="18"/>
  <c r="CH355" i="1"/>
  <c r="R36" i="16"/>
  <c r="R41" i="18"/>
  <c r="H44" i="16"/>
  <c r="H49" i="18"/>
  <c r="O56" i="16"/>
  <c r="O64" i="18"/>
  <c r="E35" i="18"/>
  <c r="E30" i="16"/>
  <c r="CE331" i="1"/>
  <c r="O36" i="18"/>
  <c r="O31" i="16"/>
  <c r="CF342" i="1"/>
  <c r="P33" i="16"/>
  <c r="P38" i="18"/>
  <c r="CG347" i="1"/>
  <c r="Q39" i="18"/>
  <c r="Q34" i="16"/>
  <c r="D38" i="16"/>
  <c r="D43" i="18"/>
  <c r="R37" i="16"/>
  <c r="R42" i="18"/>
  <c r="K40" i="18"/>
  <c r="K35" i="16"/>
  <c r="Q37" i="18"/>
  <c r="Q32" i="16"/>
  <c r="P56" i="16"/>
  <c r="P64" i="18"/>
  <c r="BE23" i="7"/>
  <c r="E65" i="18"/>
  <c r="E57" i="16"/>
  <c r="J44" i="16"/>
  <c r="J49" i="18"/>
  <c r="C64" i="18"/>
  <c r="C56" i="16"/>
  <c r="Q56" i="16"/>
  <c r="Q64" i="18"/>
  <c r="BF23" i="7"/>
  <c r="F57" i="16"/>
  <c r="F65" i="18"/>
  <c r="G35" i="18"/>
  <c r="G30" i="16"/>
  <c r="C31" i="16"/>
  <c r="C36" i="18"/>
  <c r="CG331" i="1"/>
  <c r="Q36" i="18"/>
  <c r="Q31" i="16"/>
  <c r="D38" i="18"/>
  <c r="D33" i="16"/>
  <c r="CH342" i="1"/>
  <c r="R38" i="18"/>
  <c r="R33" i="16"/>
  <c r="E39" i="18"/>
  <c r="E34" i="16"/>
  <c r="F43" i="18"/>
  <c r="F38" i="16"/>
  <c r="G41" i="18"/>
  <c r="G36" i="16"/>
  <c r="M35" i="16"/>
  <c r="M40" i="18"/>
  <c r="BJ22" i="1"/>
  <c r="CG328" i="1"/>
  <c r="CH328" i="1"/>
  <c r="CF328" i="1"/>
  <c r="CE328" i="1"/>
  <c r="X2" i="7"/>
  <c r="W1" i="7"/>
  <c r="BR9" i="7"/>
  <c r="BR22" i="7" s="1"/>
  <c r="CH454" i="1"/>
  <c r="AZ22" i="1"/>
  <c r="BE464" i="1"/>
  <c r="BE463" i="1"/>
  <c r="AM22" i="1"/>
  <c r="AN22" i="1"/>
  <c r="AX22" i="1"/>
  <c r="V22" i="1"/>
  <c r="BB22" i="1"/>
  <c r="AA22" i="1"/>
  <c r="BD22" i="1"/>
  <c r="BM22" i="1"/>
  <c r="AI22" i="1"/>
  <c r="G22" i="1"/>
  <c r="AP22" i="1"/>
  <c r="O22" i="1"/>
  <c r="AC22" i="1"/>
  <c r="AQ22" i="1"/>
  <c r="BG22" i="1"/>
  <c r="BF22" i="1"/>
  <c r="BH22" i="1"/>
  <c r="AD22" i="1"/>
  <c r="Z22" i="1"/>
  <c r="AU22" i="1"/>
  <c r="AV22" i="1"/>
  <c r="S22" i="1"/>
  <c r="R22" i="1"/>
  <c r="T22" i="1"/>
  <c r="AT22" i="1"/>
  <c r="P22" i="1"/>
  <c r="AE22" i="1"/>
  <c r="AG22" i="1"/>
  <c r="AH22" i="1"/>
  <c r="AJ22" i="1"/>
  <c r="M22" i="1"/>
  <c r="AR22" i="1"/>
  <c r="AF22" i="1"/>
  <c r="U22" i="1"/>
  <c r="N22" i="1"/>
  <c r="AO22" i="1"/>
  <c r="W22" i="1"/>
  <c r="AB22" i="1"/>
  <c r="AY22" i="1"/>
  <c r="BL22" i="1"/>
  <c r="AS22" i="1"/>
  <c r="BK22" i="1"/>
  <c r="Q22" i="1"/>
  <c r="AW22" i="1"/>
  <c r="BO22" i="1"/>
  <c r="BN22" i="1"/>
  <c r="AK22" i="1"/>
  <c r="BA22" i="1"/>
  <c r="AL22" i="1"/>
  <c r="X22" i="1"/>
  <c r="K22" i="1"/>
  <c r="L22" i="1"/>
  <c r="BI22" i="1"/>
  <c r="BC22" i="1"/>
  <c r="Y22" i="1"/>
  <c r="BE22" i="1"/>
  <c r="CD353" i="1"/>
  <c r="CD349" i="1"/>
  <c r="AR40" i="18" s="1"/>
  <c r="CD336" i="1"/>
  <c r="AR37" i="18" s="1"/>
  <c r="CD340" i="1"/>
  <c r="CD345" i="1"/>
  <c r="CD326" i="1"/>
  <c r="AR35" i="18" s="1"/>
  <c r="CD329" i="1"/>
  <c r="CD357" i="1"/>
  <c r="AR42" i="18" s="1"/>
  <c r="BY357" i="1"/>
  <c r="AQ42" i="18" s="1"/>
  <c r="BY349" i="1"/>
  <c r="AQ40" i="18" s="1"/>
  <c r="BY336" i="1"/>
  <c r="AQ37" i="18" s="1"/>
  <c r="BW471" i="1"/>
  <c r="CD501" i="1"/>
  <c r="S33" i="19" s="1"/>
  <c r="BV471" i="1"/>
  <c r="CD453" i="1"/>
  <c r="S25" i="19" s="1"/>
  <c r="CD451" i="1"/>
  <c r="CA471" i="1"/>
  <c r="CB471" i="1"/>
  <c r="BO481" i="1"/>
  <c r="CC471" i="1"/>
  <c r="CD464" i="1"/>
  <c r="R346" i="2" s="1"/>
  <c r="R105" i="2" s="1"/>
  <c r="R109" i="2" s="1"/>
  <c r="BX471" i="1"/>
  <c r="BU471" i="1"/>
  <c r="CD469" i="1"/>
  <c r="BZ471" i="1"/>
  <c r="BJ481" i="1"/>
  <c r="CD463" i="1"/>
  <c r="BG466" i="1" l="1"/>
  <c r="BD466" i="1"/>
  <c r="S43" i="19"/>
  <c r="BV466" i="1"/>
  <c r="BU466" i="1"/>
  <c r="BB466" i="1"/>
  <c r="CI331" i="1"/>
  <c r="AR36" i="18"/>
  <c r="CI347" i="1"/>
  <c r="AR39" i="18"/>
  <c r="CI355" i="1"/>
  <c r="AR41" i="18"/>
  <c r="CI342" i="1"/>
  <c r="AR38" i="18"/>
  <c r="BF466" i="1"/>
  <c r="CD465" i="1"/>
  <c r="CI466" i="1" s="1"/>
  <c r="BE465" i="1"/>
  <c r="BZ466" i="1"/>
  <c r="CB466" i="1"/>
  <c r="CG466" i="1"/>
  <c r="CA466" i="1"/>
  <c r="CF466" i="1"/>
  <c r="BH466" i="1"/>
  <c r="C60" i="16"/>
  <c r="F60" i="16"/>
  <c r="F68" i="18"/>
  <c r="D58" i="16"/>
  <c r="D66" i="18"/>
  <c r="E66" i="18"/>
  <c r="C68" i="18"/>
  <c r="E60" i="16"/>
  <c r="Q45" i="16"/>
  <c r="U45" i="16"/>
  <c r="N45" i="16"/>
  <c r="N50" i="18"/>
  <c r="Q50" i="18"/>
  <c r="U50" i="18"/>
  <c r="R50" i="18"/>
  <c r="V50" i="18"/>
  <c r="Q50" i="16"/>
  <c r="Q58" i="18"/>
  <c r="I45" i="16"/>
  <c r="P58" i="18"/>
  <c r="P50" i="16"/>
  <c r="J50" i="18"/>
  <c r="H50" i="18"/>
  <c r="I50" i="18"/>
  <c r="C58" i="16"/>
  <c r="E68" i="18"/>
  <c r="K45" i="16"/>
  <c r="K50" i="18"/>
  <c r="AR44" i="16"/>
  <c r="AR49" i="18"/>
  <c r="J45" i="16"/>
  <c r="H45" i="16"/>
  <c r="L45" i="16"/>
  <c r="E58" i="16"/>
  <c r="M50" i="18"/>
  <c r="M45" i="16"/>
  <c r="N58" i="18"/>
  <c r="N50" i="16"/>
  <c r="R45" i="16"/>
  <c r="V45" i="16"/>
  <c r="C66" i="18"/>
  <c r="R50" i="16"/>
  <c r="R58" i="18"/>
  <c r="L50" i="18"/>
  <c r="M50" i="16"/>
  <c r="M58" i="18"/>
  <c r="F66" i="18"/>
  <c r="G45" i="16"/>
  <c r="P45" i="16"/>
  <c r="T45" i="16"/>
  <c r="O45" i="16"/>
  <c r="S45" i="16"/>
  <c r="D60" i="16"/>
  <c r="L58" i="18"/>
  <c r="L50" i="16"/>
  <c r="O50" i="16"/>
  <c r="O58" i="18"/>
  <c r="K58" i="18"/>
  <c r="K50" i="16"/>
  <c r="F58" i="16"/>
  <c r="G50" i="18"/>
  <c r="P50" i="18"/>
  <c r="T50" i="18"/>
  <c r="O50" i="18"/>
  <c r="S50" i="18"/>
  <c r="D68" i="18"/>
  <c r="BR35" i="7"/>
  <c r="CI328" i="1"/>
  <c r="Y2" i="7"/>
  <c r="X1" i="7"/>
  <c r="CD505" i="1"/>
  <c r="C13" i="11"/>
  <c r="CI454" i="1"/>
  <c r="R345" i="2"/>
  <c r="R93" i="2" s="1"/>
  <c r="R106" i="2"/>
  <c r="R110" i="2" s="1"/>
  <c r="CD332" i="1"/>
  <c r="CI334" i="1" s="1"/>
  <c r="CD452" i="1"/>
  <c r="CD471" i="1"/>
  <c r="S26" i="19" s="1"/>
  <c r="Q51" i="16" l="1"/>
  <c r="U51" i="16"/>
  <c r="AS45" i="16"/>
  <c r="O59" i="18"/>
  <c r="S59" i="18"/>
  <c r="R46" i="2"/>
  <c r="R47" i="2" s="1"/>
  <c r="R48" i="2" s="1"/>
  <c r="AR50" i="16"/>
  <c r="AR58" i="18"/>
  <c r="Q59" i="18"/>
  <c r="U59" i="18"/>
  <c r="P59" i="18"/>
  <c r="T59" i="18"/>
  <c r="R51" i="16"/>
  <c r="V51" i="16"/>
  <c r="AS50" i="18"/>
  <c r="O51" i="16"/>
  <c r="S51" i="16"/>
  <c r="P51" i="16"/>
  <c r="T51" i="16"/>
  <c r="R59" i="18"/>
  <c r="V59" i="18"/>
  <c r="Z2" i="7"/>
  <c r="Y1" i="7"/>
  <c r="CC104" i="1"/>
  <c r="CC110" i="1"/>
  <c r="CC143" i="1"/>
  <c r="CH144" i="1" s="1"/>
  <c r="CC148" i="1"/>
  <c r="CC154" i="1"/>
  <c r="CH155" i="1" s="1"/>
  <c r="CC159" i="1"/>
  <c r="CC166" i="1"/>
  <c r="CH167" i="1" s="1"/>
  <c r="CC168" i="1"/>
  <c r="CH169" i="1" s="1"/>
  <c r="CC170" i="1"/>
  <c r="CC200" i="1"/>
  <c r="CH201" i="1" s="1"/>
  <c r="CC203" i="1"/>
  <c r="CH206" i="1"/>
  <c r="CH208" i="1"/>
  <c r="CC211" i="1"/>
  <c r="CC264" i="1"/>
  <c r="CC269" i="1"/>
  <c r="CC384" i="1"/>
  <c r="CH385" i="1" s="1"/>
  <c r="CC370" i="1"/>
  <c r="CH372" i="1" s="1"/>
  <c r="CC366" i="1"/>
  <c r="CH368" i="1" s="1"/>
  <c r="CC391" i="1"/>
  <c r="CH392" i="1" s="1"/>
  <c r="CC394" i="1"/>
  <c r="CH395" i="1" s="1"/>
  <c r="CC398" i="1"/>
  <c r="CC399" i="1"/>
  <c r="CC408" i="1"/>
  <c r="CC409" i="1"/>
  <c r="CC411" i="1"/>
  <c r="CC412" i="1"/>
  <c r="CC413" i="1"/>
  <c r="CC424" i="1"/>
  <c r="CC11" i="1" s="1"/>
  <c r="CH27" i="1" s="1"/>
  <c r="CC425" i="1"/>
  <c r="CC12" i="1" s="1"/>
  <c r="CH28" i="1" s="1"/>
  <c r="CC431" i="1"/>
  <c r="CH541" i="1" s="1"/>
  <c r="CC432" i="1"/>
  <c r="CC37" i="1"/>
  <c r="CC452" i="1"/>
  <c r="CC508" i="1"/>
  <c r="CC534" i="1"/>
  <c r="Z271" i="3"/>
  <c r="Y271" i="3"/>
  <c r="E268" i="3"/>
  <c r="D268" i="3"/>
  <c r="C268" i="3"/>
  <c r="Z261" i="3"/>
  <c r="Y261" i="3"/>
  <c r="AJ258" i="3"/>
  <c r="AK258" i="3"/>
  <c r="AC258" i="3"/>
  <c r="AD258" i="3"/>
  <c r="AE258" i="3"/>
  <c r="AF258" i="3"/>
  <c r="AG258" i="3"/>
  <c r="AH258" i="3"/>
  <c r="AI258" i="3"/>
  <c r="E255" i="3"/>
  <c r="D255" i="3"/>
  <c r="C255" i="3"/>
  <c r="BQ39" i="7"/>
  <c r="BQ44" i="7"/>
  <c r="CB104" i="1"/>
  <c r="CC102" i="1" s="1"/>
  <c r="CB110" i="1"/>
  <c r="CB143" i="1"/>
  <c r="CG144" i="1" s="1"/>
  <c r="CB148" i="1"/>
  <c r="CB154" i="1"/>
  <c r="CG155" i="1" s="1"/>
  <c r="CB159" i="1"/>
  <c r="CB166" i="1"/>
  <c r="CB168" i="1"/>
  <c r="CB170" i="1"/>
  <c r="CB200" i="1"/>
  <c r="CB203" i="1"/>
  <c r="CG206" i="1"/>
  <c r="CG208" i="1"/>
  <c r="CB211" i="1"/>
  <c r="CB264" i="1"/>
  <c r="CG265" i="1" s="1"/>
  <c r="CB269" i="1"/>
  <c r="CB370" i="1"/>
  <c r="CG372" i="1" s="1"/>
  <c r="CB366" i="1"/>
  <c r="CG368" i="1" s="1"/>
  <c r="CB391" i="1"/>
  <c r="CG392" i="1" s="1"/>
  <c r="CB394" i="1"/>
  <c r="CG395" i="1" s="1"/>
  <c r="CB398" i="1"/>
  <c r="CB399" i="1"/>
  <c r="CB408" i="1"/>
  <c r="CB409" i="1"/>
  <c r="CB411" i="1"/>
  <c r="CB412" i="1"/>
  <c r="CB413" i="1"/>
  <c r="CB424" i="1"/>
  <c r="CB11" i="1" s="1"/>
  <c r="CG27" i="1" s="1"/>
  <c r="CB425" i="1"/>
  <c r="CB12" i="1" s="1"/>
  <c r="CG28" i="1" s="1"/>
  <c r="CB431" i="1"/>
  <c r="CG541" i="1" s="1"/>
  <c r="CB432" i="1"/>
  <c r="CB37" i="1"/>
  <c r="CB508" i="1"/>
  <c r="Q77" i="18" s="1"/>
  <c r="CB534" i="1"/>
  <c r="BP39" i="7"/>
  <c r="BP44" i="7"/>
  <c r="CA104" i="1"/>
  <c r="CA96" i="1" s="1"/>
  <c r="CA110" i="1"/>
  <c r="CA143" i="1"/>
  <c r="CF144" i="1" s="1"/>
  <c r="CA148" i="1"/>
  <c r="CA154" i="1"/>
  <c r="CF155" i="1" s="1"/>
  <c r="CA159" i="1"/>
  <c r="CA166" i="1"/>
  <c r="CF167" i="1" s="1"/>
  <c r="CA168" i="1"/>
  <c r="CA170" i="1"/>
  <c r="CA200" i="1"/>
  <c r="CA203" i="1"/>
  <c r="CF206" i="1"/>
  <c r="CF208" i="1"/>
  <c r="CA211" i="1"/>
  <c r="CA264" i="1"/>
  <c r="CA269" i="1"/>
  <c r="CA384" i="1"/>
  <c r="CF385" i="1" s="1"/>
  <c r="CA370" i="1"/>
  <c r="CF372" i="1" s="1"/>
  <c r="CA366" i="1"/>
  <c r="CF368" i="1" s="1"/>
  <c r="CA391" i="1"/>
  <c r="CF392" i="1" s="1"/>
  <c r="CA394" i="1"/>
  <c r="CF395" i="1" s="1"/>
  <c r="CA398" i="1"/>
  <c r="CA399" i="1"/>
  <c r="CA408" i="1"/>
  <c r="CA409" i="1"/>
  <c r="CA411" i="1"/>
  <c r="CA412" i="1"/>
  <c r="CA413" i="1"/>
  <c r="CA424" i="1"/>
  <c r="CA11" i="1" s="1"/>
  <c r="CF27" i="1" s="1"/>
  <c r="CA425" i="1"/>
  <c r="CA12" i="1" s="1"/>
  <c r="CF28" i="1" s="1"/>
  <c r="CA431" i="1"/>
  <c r="CF541" i="1" s="1"/>
  <c r="CA432" i="1"/>
  <c r="CA37" i="1"/>
  <c r="BP9" i="7"/>
  <c r="BP22" i="7" s="1"/>
  <c r="CA508" i="1"/>
  <c r="CA534" i="1"/>
  <c r="C472" i="1"/>
  <c r="D472" i="1"/>
  <c r="E472" i="1"/>
  <c r="CY81" i="7"/>
  <c r="CX81" i="7"/>
  <c r="CW81" i="7"/>
  <c r="CV81" i="7"/>
  <c r="CU81" i="7"/>
  <c r="CP81" i="7"/>
  <c r="CO81" i="7"/>
  <c r="CN81" i="7"/>
  <c r="CM81" i="7"/>
  <c r="CL81" i="7"/>
  <c r="CK81" i="7"/>
  <c r="CJ81" i="7"/>
  <c r="CI81" i="7"/>
  <c r="CH81" i="7"/>
  <c r="CG81" i="7"/>
  <c r="D239" i="3"/>
  <c r="E239" i="3"/>
  <c r="C239" i="3"/>
  <c r="CA49" i="1" l="1"/>
  <c r="CF50" i="1" s="1"/>
  <c r="P77" i="18"/>
  <c r="P26" i="16"/>
  <c r="P31" i="18"/>
  <c r="BQ73" i="7"/>
  <c r="BQ100" i="7" s="1"/>
  <c r="Q14" i="18"/>
  <c r="Q12" i="16"/>
  <c r="BR73" i="7"/>
  <c r="BR100" i="7" s="1"/>
  <c r="R12" i="16"/>
  <c r="R14" i="18"/>
  <c r="Q10" i="18"/>
  <c r="Q10" i="16"/>
  <c r="R10" i="18"/>
  <c r="R10" i="16"/>
  <c r="R8" i="18"/>
  <c r="R8" i="16"/>
  <c r="BP73" i="7"/>
  <c r="BP100" i="7" s="1"/>
  <c r="P12" i="16"/>
  <c r="P14" i="18"/>
  <c r="CC49" i="1"/>
  <c r="BR11" i="7" s="1"/>
  <c r="R77" i="18"/>
  <c r="P10" i="18"/>
  <c r="P10" i="16"/>
  <c r="Q8" i="18"/>
  <c r="Q8" i="16"/>
  <c r="U78" i="18"/>
  <c r="Q26" i="16"/>
  <c r="Q31" i="18"/>
  <c r="Q79" i="18" s="1"/>
  <c r="R31" i="18"/>
  <c r="R26" i="16"/>
  <c r="AS59" i="18"/>
  <c r="P8" i="18"/>
  <c r="P8" i="16"/>
  <c r="AS51" i="16"/>
  <c r="BP35" i="7"/>
  <c r="BQ31" i="7"/>
  <c r="BQ98" i="7" s="1"/>
  <c r="BR32" i="7"/>
  <c r="BR99" i="7" s="1"/>
  <c r="BV109" i="7" s="1"/>
  <c r="BP101" i="7"/>
  <c r="BT111" i="7" s="1"/>
  <c r="BP31" i="7"/>
  <c r="BP32" i="7"/>
  <c r="BP99" i="7" s="1"/>
  <c r="BT125" i="7" s="1"/>
  <c r="BR31" i="7"/>
  <c r="BR98" i="7" s="1"/>
  <c r="BQ32" i="7"/>
  <c r="BQ99" i="7" s="1"/>
  <c r="BU125" i="7" s="1"/>
  <c r="BQ101" i="7"/>
  <c r="BU111" i="7" s="1"/>
  <c r="BR101" i="7"/>
  <c r="BV111" i="7" s="1"/>
  <c r="CG204" i="1"/>
  <c r="BQ63" i="7"/>
  <c r="CH204" i="1"/>
  <c r="BR63" i="7"/>
  <c r="CF204" i="1"/>
  <c r="BP63" i="7"/>
  <c r="Z1" i="7"/>
  <c r="AA2" i="7"/>
  <c r="CG417" i="1"/>
  <c r="CH417" i="1"/>
  <c r="CF420" i="1"/>
  <c r="CF418" i="1"/>
  <c r="CF417" i="1"/>
  <c r="CG421" i="1"/>
  <c r="CH421" i="1"/>
  <c r="CG420" i="1"/>
  <c r="CH420" i="1"/>
  <c r="CF421" i="1"/>
  <c r="CG418" i="1"/>
  <c r="CH418" i="1"/>
  <c r="BR7" i="7"/>
  <c r="CH542" i="1"/>
  <c r="CH433" i="1"/>
  <c r="CH532" i="1"/>
  <c r="BR80" i="7"/>
  <c r="CH265" i="1"/>
  <c r="CC9" i="1"/>
  <c r="BR47" i="7"/>
  <c r="CH111" i="1"/>
  <c r="CH237" i="1" s="1"/>
  <c r="CH238" i="1" s="1"/>
  <c r="CM239" i="1" s="1"/>
  <c r="CH533" i="1"/>
  <c r="BR40" i="7"/>
  <c r="CH171" i="1"/>
  <c r="CG542" i="1"/>
  <c r="CG433" i="1"/>
  <c r="CG532" i="1"/>
  <c r="BQ42" i="7"/>
  <c r="CG167" i="1"/>
  <c r="BQ49" i="7"/>
  <c r="CG201" i="1"/>
  <c r="BQ47" i="7"/>
  <c r="CG111" i="1"/>
  <c r="CG237" i="1" s="1"/>
  <c r="CG238" i="1" s="1"/>
  <c r="CL239" i="1" s="1"/>
  <c r="BR51" i="7"/>
  <c r="CG212" i="1"/>
  <c r="CB9" i="1"/>
  <c r="BQ40" i="7"/>
  <c r="CG171" i="1"/>
  <c r="CG533" i="1"/>
  <c r="BQ43" i="7"/>
  <c r="CG169" i="1"/>
  <c r="BP81" i="7"/>
  <c r="CC270" i="1"/>
  <c r="BQ81" i="7"/>
  <c r="CB270" i="1"/>
  <c r="CF532" i="1"/>
  <c r="CA9" i="1"/>
  <c r="BP49" i="7"/>
  <c r="CF201" i="1"/>
  <c r="BP47" i="7"/>
  <c r="CF111" i="1"/>
  <c r="CF237" i="1" s="1"/>
  <c r="CF238" i="1" s="1"/>
  <c r="CK239" i="1" s="1"/>
  <c r="BQ51" i="7"/>
  <c r="CF212" i="1"/>
  <c r="CA374" i="1"/>
  <c r="CF375" i="1" s="1"/>
  <c r="CF542" i="1"/>
  <c r="CF433" i="1"/>
  <c r="BP80" i="7"/>
  <c r="CF265" i="1"/>
  <c r="CF533" i="1"/>
  <c r="BP43" i="7"/>
  <c r="CF169" i="1"/>
  <c r="BP40" i="7"/>
  <c r="CF171" i="1"/>
  <c r="BP51" i="7"/>
  <c r="CE212" i="1"/>
  <c r="BR49" i="7"/>
  <c r="CE191" i="1"/>
  <c r="CJ192" i="1" s="1"/>
  <c r="CC277" i="1"/>
  <c r="CD269" i="1"/>
  <c r="BR81" i="7"/>
  <c r="CC241" i="1"/>
  <c r="BR43" i="7"/>
  <c r="CC236" i="1"/>
  <c r="BR42" i="7"/>
  <c r="CD104" i="1"/>
  <c r="BR48" i="7"/>
  <c r="CC253" i="1"/>
  <c r="CH254" i="1" s="1"/>
  <c r="CC7" i="1"/>
  <c r="CH23" i="1" s="1"/>
  <c r="CA248" i="1"/>
  <c r="CF249" i="1" s="1"/>
  <c r="CA8" i="1"/>
  <c r="CF24" i="1" s="1"/>
  <c r="CB248" i="1"/>
  <c r="CG249" i="1" s="1"/>
  <c r="CB8" i="1"/>
  <c r="CG24" i="1" s="1"/>
  <c r="CC248" i="1"/>
  <c r="CH249" i="1" s="1"/>
  <c r="CC8" i="1"/>
  <c r="CH24" i="1" s="1"/>
  <c r="CA253" i="1"/>
  <c r="CF254" i="1" s="1"/>
  <c r="CA7" i="1"/>
  <c r="CF23" i="1" s="1"/>
  <c r="CB253" i="1"/>
  <c r="CG254" i="1" s="1"/>
  <c r="CB7" i="1"/>
  <c r="CG23" i="1" s="1"/>
  <c r="CC105" i="1"/>
  <c r="CC242" i="1" s="1"/>
  <c r="BQ7" i="7"/>
  <c r="CB374" i="1"/>
  <c r="CG375" i="1" s="1"/>
  <c r="CC515" i="1"/>
  <c r="CC374" i="1"/>
  <c r="CH375" i="1" s="1"/>
  <c r="CC97" i="1"/>
  <c r="CD110" i="1"/>
  <c r="CC455" i="1"/>
  <c r="CC191" i="1"/>
  <c r="CH192" i="1" s="1"/>
  <c r="CC258" i="1"/>
  <c r="CC473" i="1"/>
  <c r="CC103" i="1"/>
  <c r="CC472" i="1"/>
  <c r="CC96" i="1"/>
  <c r="CC332" i="1"/>
  <c r="CH334" i="1" s="1"/>
  <c r="CC271" i="1"/>
  <c r="CC273" i="1" s="1"/>
  <c r="CH274" i="1" s="1"/>
  <c r="CC209" i="1"/>
  <c r="CC108" i="1"/>
  <c r="CC109" i="1" s="1"/>
  <c r="CC38" i="1"/>
  <c r="CH39" i="1" s="1"/>
  <c r="CC117" i="1"/>
  <c r="BR46" i="7" s="1"/>
  <c r="CC266" i="1"/>
  <c r="CC52" i="1"/>
  <c r="BR12" i="7" s="1"/>
  <c r="CC509" i="1"/>
  <c r="CB236" i="1"/>
  <c r="CB332" i="1"/>
  <c r="CG334" i="1" s="1"/>
  <c r="CB241" i="1"/>
  <c r="CB452" i="1"/>
  <c r="CA266" i="1"/>
  <c r="CB258" i="1"/>
  <c r="CA241" i="1"/>
  <c r="CB117" i="1"/>
  <c r="CB515" i="1"/>
  <c r="CB509" i="1"/>
  <c r="BQ9" i="7"/>
  <c r="BQ22" i="7" s="1"/>
  <c r="BQ48" i="7"/>
  <c r="CB455" i="1"/>
  <c r="CB277" i="1"/>
  <c r="CB102" i="1"/>
  <c r="CB105" i="1" s="1"/>
  <c r="CB242" i="1" s="1"/>
  <c r="CB271" i="1"/>
  <c r="CB273" i="1" s="1"/>
  <c r="CG274" i="1" s="1"/>
  <c r="CB97" i="1"/>
  <c r="CB49" i="1"/>
  <c r="CG50" i="1" s="1"/>
  <c r="BQ80" i="7"/>
  <c r="CB384" i="1"/>
  <c r="CG385" i="1" s="1"/>
  <c r="CB96" i="1"/>
  <c r="CB38" i="1"/>
  <c r="CG39" i="1" s="1"/>
  <c r="CB266" i="1"/>
  <c r="CB52" i="1"/>
  <c r="BQ12" i="7" s="1"/>
  <c r="CB209" i="1"/>
  <c r="CB108" i="1"/>
  <c r="CB109" i="1" s="1"/>
  <c r="CA277" i="1"/>
  <c r="CA332" i="1"/>
  <c r="CF334" i="1" s="1"/>
  <c r="BP48" i="7"/>
  <c r="CA452" i="1"/>
  <c r="CA117" i="1"/>
  <c r="CA515" i="1"/>
  <c r="CA472" i="1"/>
  <c r="CA509" i="1"/>
  <c r="CA455" i="1"/>
  <c r="CA52" i="1"/>
  <c r="BP12" i="7" s="1"/>
  <c r="CA236" i="1"/>
  <c r="BP7" i="7"/>
  <c r="CA97" i="1"/>
  <c r="CA98" i="1" s="1"/>
  <c r="CA99" i="1" s="1"/>
  <c r="CA258" i="1"/>
  <c r="CA38" i="1"/>
  <c r="CF39" i="1" s="1"/>
  <c r="BP42" i="7"/>
  <c r="AH133" i="3"/>
  <c r="AI133" i="3"/>
  <c r="AJ133" i="3"/>
  <c r="AK133" i="3"/>
  <c r="E59" i="4"/>
  <c r="F59" i="4"/>
  <c r="D59" i="4"/>
  <c r="AY501" i="1"/>
  <c r="AX501" i="1"/>
  <c r="X114" i="2"/>
  <c r="Y114" i="2"/>
  <c r="Z114" i="2"/>
  <c r="AA114" i="2"/>
  <c r="X280" i="2"/>
  <c r="Y280" i="2"/>
  <c r="Z280" i="2"/>
  <c r="AA280" i="2"/>
  <c r="X325" i="2"/>
  <c r="Y325" i="2"/>
  <c r="Z325" i="2"/>
  <c r="CI371" i="1"/>
  <c r="CN371" i="1" s="1"/>
  <c r="CN370" i="1" s="1"/>
  <c r="AP372" i="1"/>
  <c r="AO372" i="1"/>
  <c r="AN372" i="1"/>
  <c r="AM372" i="1"/>
  <c r="AL372" i="1"/>
  <c r="AK372" i="1"/>
  <c r="AJ372" i="1"/>
  <c r="AI372" i="1"/>
  <c r="AH372" i="1"/>
  <c r="AG372" i="1"/>
  <c r="AP374" i="1"/>
  <c r="AO374" i="1"/>
  <c r="AN374" i="1"/>
  <c r="AM374" i="1"/>
  <c r="AL374" i="1"/>
  <c r="AK374" i="1"/>
  <c r="B374" i="1"/>
  <c r="BZ370" i="1"/>
  <c r="CE372" i="1" s="1"/>
  <c r="BX370" i="1"/>
  <c r="CC372" i="1" s="1"/>
  <c r="BW370" i="1"/>
  <c r="CB372" i="1" s="1"/>
  <c r="BV370" i="1"/>
  <c r="CA372" i="1" s="1"/>
  <c r="BU370" i="1"/>
  <c r="BS370" i="1"/>
  <c r="BR370" i="1"/>
  <c r="BQ370" i="1"/>
  <c r="BP370" i="1"/>
  <c r="BN370" i="1"/>
  <c r="BM370" i="1"/>
  <c r="BL370" i="1"/>
  <c r="BK370" i="1"/>
  <c r="BI370" i="1"/>
  <c r="BH370" i="1"/>
  <c r="BG370" i="1"/>
  <c r="BF370" i="1"/>
  <c r="BD370" i="1"/>
  <c r="BC370" i="1"/>
  <c r="BB370" i="1"/>
  <c r="BA370" i="1"/>
  <c r="AY370" i="1"/>
  <c r="AX370" i="1"/>
  <c r="AW370" i="1"/>
  <c r="AV370" i="1"/>
  <c r="AT370" i="1"/>
  <c r="AT372" i="1" s="1"/>
  <c r="AS370" i="1"/>
  <c r="AR370" i="1"/>
  <c r="AR372" i="1" s="1"/>
  <c r="AQ370" i="1"/>
  <c r="AQ372" i="1" s="1"/>
  <c r="CC355" i="1"/>
  <c r="CB355" i="1"/>
  <c r="CA355" i="1"/>
  <c r="BP11" i="7" l="1"/>
  <c r="Q12" i="18"/>
  <c r="P12" i="18"/>
  <c r="R12" i="18"/>
  <c r="CH50" i="1"/>
  <c r="V11" i="16"/>
  <c r="V11" i="18"/>
  <c r="U11" i="16"/>
  <c r="U9" i="16"/>
  <c r="U11" i="18"/>
  <c r="U9" i="18"/>
  <c r="T9" i="16"/>
  <c r="T11" i="16"/>
  <c r="T9" i="18"/>
  <c r="T11" i="18"/>
  <c r="R79" i="18"/>
  <c r="V78" i="18"/>
  <c r="V27" i="16"/>
  <c r="R46" i="16"/>
  <c r="V47" i="16"/>
  <c r="R52" i="16"/>
  <c r="T32" i="18"/>
  <c r="P51" i="18"/>
  <c r="T52" i="18"/>
  <c r="P60" i="18"/>
  <c r="V32" i="18"/>
  <c r="R51" i="18"/>
  <c r="V52" i="18"/>
  <c r="R60" i="18"/>
  <c r="T27" i="16"/>
  <c r="P46" i="16"/>
  <c r="T47" i="16"/>
  <c r="P52" i="16"/>
  <c r="U32" i="18"/>
  <c r="Q51" i="18"/>
  <c r="U52" i="18"/>
  <c r="Q60" i="18"/>
  <c r="V9" i="16"/>
  <c r="P79" i="18"/>
  <c r="T78" i="18"/>
  <c r="U27" i="16"/>
  <c r="U47" i="16"/>
  <c r="Q46" i="16"/>
  <c r="Q52" i="16"/>
  <c r="V9" i="18"/>
  <c r="BR37" i="7"/>
  <c r="BR24" i="7"/>
  <c r="BQ35" i="7"/>
  <c r="BT127" i="7"/>
  <c r="BU127" i="7"/>
  <c r="BV127" i="7"/>
  <c r="BP33" i="7"/>
  <c r="BP34" i="7" s="1"/>
  <c r="BQ33" i="7"/>
  <c r="BQ34" i="7" s="1"/>
  <c r="BP98" i="7"/>
  <c r="BT124" i="7" s="1"/>
  <c r="BV125" i="7"/>
  <c r="BR33" i="7"/>
  <c r="BR34" i="7" s="1"/>
  <c r="CG278" i="1"/>
  <c r="CF278" i="1"/>
  <c r="CH278" i="1"/>
  <c r="BU109" i="7"/>
  <c r="BT109" i="7"/>
  <c r="CF259" i="1"/>
  <c r="CA327" i="1"/>
  <c r="CH259" i="1"/>
  <c r="CC327" i="1"/>
  <c r="CG259" i="1"/>
  <c r="CB327" i="1"/>
  <c r="BV108" i="7"/>
  <c r="BV124" i="7"/>
  <c r="BU124" i="7"/>
  <c r="BU108" i="7"/>
  <c r="AB2" i="7"/>
  <c r="AA1" i="7"/>
  <c r="CE108" i="1"/>
  <c r="CE109" i="1" s="1"/>
  <c r="CI111" i="1"/>
  <c r="CI237" i="1" s="1"/>
  <c r="CI238" i="1" s="1"/>
  <c r="CN239" i="1" s="1"/>
  <c r="CI270" i="1"/>
  <c r="CI271" i="1"/>
  <c r="CH246" i="1"/>
  <c r="CH247" i="1" s="1"/>
  <c r="CH256" i="1"/>
  <c r="CH257" i="1" s="1"/>
  <c r="CC30" i="1"/>
  <c r="CC330" i="1" s="1"/>
  <c r="CH516" i="1"/>
  <c r="CB30" i="1"/>
  <c r="CB350" i="1" s="1"/>
  <c r="CG516" i="1"/>
  <c r="CG246" i="1"/>
  <c r="CG247" i="1" s="1"/>
  <c r="CG256" i="1"/>
  <c r="CG257" i="1" s="1"/>
  <c r="CE270" i="1"/>
  <c r="CA30" i="1"/>
  <c r="CA350" i="1" s="1"/>
  <c r="CF516" i="1"/>
  <c r="CF246" i="1"/>
  <c r="CF247" i="1" s="1"/>
  <c r="CF256" i="1"/>
  <c r="CF257" i="1" s="1"/>
  <c r="CT81" i="7"/>
  <c r="CE271" i="1"/>
  <c r="CE273" i="1" s="1"/>
  <c r="CD96" i="1"/>
  <c r="CI102" i="1" s="1"/>
  <c r="CE102" i="1"/>
  <c r="CC243" i="1"/>
  <c r="AB258" i="3"/>
  <c r="CC276" i="1"/>
  <c r="CC6" i="1"/>
  <c r="CB6" i="1"/>
  <c r="CA6" i="1"/>
  <c r="CC31" i="1"/>
  <c r="CC98" i="1"/>
  <c r="CC99" i="1" s="1"/>
  <c r="CD97" i="1"/>
  <c r="CI108" i="1" s="1"/>
  <c r="CI109" i="1" s="1"/>
  <c r="CC160" i="1"/>
  <c r="CD117" i="1"/>
  <c r="CB210" i="1"/>
  <c r="BQ50" i="7" s="1"/>
  <c r="CC115" i="1"/>
  <c r="CC118" i="1" s="1"/>
  <c r="CC230" i="1" s="1"/>
  <c r="CC210" i="1"/>
  <c r="BR50" i="7" s="1"/>
  <c r="CC197" i="1"/>
  <c r="BR45" i="7" s="1"/>
  <c r="CB31" i="1"/>
  <c r="CB243" i="1"/>
  <c r="CB103" i="1"/>
  <c r="BQ46" i="7"/>
  <c r="CB276" i="1"/>
  <c r="CB160" i="1"/>
  <c r="BQ11" i="7"/>
  <c r="CA210" i="1"/>
  <c r="BP50" i="7" s="1"/>
  <c r="CB115" i="1"/>
  <c r="CB173" i="1" s="1"/>
  <c r="CB473" i="1"/>
  <c r="CB472" i="1"/>
  <c r="CB197" i="1"/>
  <c r="BQ45" i="7" s="1"/>
  <c r="CB98" i="1"/>
  <c r="CB99" i="1" s="1"/>
  <c r="BP46" i="7"/>
  <c r="CA160" i="1"/>
  <c r="CA31" i="1"/>
  <c r="BR372" i="1"/>
  <c r="CA473" i="1"/>
  <c r="BG372" i="1"/>
  <c r="BY370" i="1"/>
  <c r="Y326" i="2"/>
  <c r="BS372" i="1"/>
  <c r="BD372" i="1"/>
  <c r="BJ370" i="1"/>
  <c r="BP372" i="1"/>
  <c r="AZ370" i="1"/>
  <c r="BB372" i="1"/>
  <c r="AU370" i="1"/>
  <c r="AU372" i="1" s="1"/>
  <c r="BE370" i="1"/>
  <c r="BO370" i="1"/>
  <c r="BN372" i="1"/>
  <c r="BQ372" i="1"/>
  <c r="BH372" i="1"/>
  <c r="AY372" i="1"/>
  <c r="BI372" i="1"/>
  <c r="BA372" i="1"/>
  <c r="BV372" i="1"/>
  <c r="BW372" i="1"/>
  <c r="BY353" i="1"/>
  <c r="BC372" i="1"/>
  <c r="AV372" i="1"/>
  <c r="BT370" i="1"/>
  <c r="AW372" i="1"/>
  <c r="BM372" i="1"/>
  <c r="AX372" i="1"/>
  <c r="BF372" i="1"/>
  <c r="BZ372" i="1"/>
  <c r="BL372" i="1"/>
  <c r="BU372" i="1"/>
  <c r="BK372" i="1"/>
  <c r="BX372" i="1"/>
  <c r="AS372" i="1"/>
  <c r="Z326" i="2"/>
  <c r="CQ371" i="1"/>
  <c r="BP37" i="7" l="1"/>
  <c r="BP24" i="7"/>
  <c r="CI264" i="1"/>
  <c r="BQ41" i="7"/>
  <c r="CG174" i="1"/>
  <c r="CC173" i="1"/>
  <c r="V13" i="18"/>
  <c r="T13" i="18"/>
  <c r="U13" i="18"/>
  <c r="CD355" i="1"/>
  <c r="AQ41" i="18"/>
  <c r="BQ37" i="7"/>
  <c r="BQ24" i="7"/>
  <c r="BT108" i="7"/>
  <c r="CI273" i="1"/>
  <c r="CJ274" i="1"/>
  <c r="AB1" i="7"/>
  <c r="AC2" i="7"/>
  <c r="CC337" i="1"/>
  <c r="CC358" i="1"/>
  <c r="CC350" i="1"/>
  <c r="CI103" i="1"/>
  <c r="CI105" i="1"/>
  <c r="CI242" i="1" s="1"/>
  <c r="CI243" i="1" s="1"/>
  <c r="CI115" i="1"/>
  <c r="CI118" i="1"/>
  <c r="CN120" i="1" s="1"/>
  <c r="CI119" i="1"/>
  <c r="CC346" i="1"/>
  <c r="CI246" i="1"/>
  <c r="CI247" i="1" s="1"/>
  <c r="CC367" i="1"/>
  <c r="CC354" i="1"/>
  <c r="CC341" i="1"/>
  <c r="CC371" i="1"/>
  <c r="CC333" i="1"/>
  <c r="CC251" i="1"/>
  <c r="CC252" i="1" s="1"/>
  <c r="CH244" i="1"/>
  <c r="CC51" i="1"/>
  <c r="CH32" i="1"/>
  <c r="CB354" i="1"/>
  <c r="CB330" i="1"/>
  <c r="CB358" i="1"/>
  <c r="CB337" i="1"/>
  <c r="CB367" i="1"/>
  <c r="CB333" i="1"/>
  <c r="CB346" i="1"/>
  <c r="CB371" i="1"/>
  <c r="CB341" i="1"/>
  <c r="CB40" i="1"/>
  <c r="CG32" i="1"/>
  <c r="CA346" i="1"/>
  <c r="CB251" i="1"/>
  <c r="CB252" i="1" s="1"/>
  <c r="CG244" i="1"/>
  <c r="CA330" i="1"/>
  <c r="CA371" i="1"/>
  <c r="CA333" i="1"/>
  <c r="CA367" i="1"/>
  <c r="CA358" i="1"/>
  <c r="CA40" i="1"/>
  <c r="CF32" i="1"/>
  <c r="CA337" i="1"/>
  <c r="CA341" i="1"/>
  <c r="CA354" i="1"/>
  <c r="CD98" i="1"/>
  <c r="CR98" i="1" s="1"/>
  <c r="CS98" i="1" s="1"/>
  <c r="CT98" i="1" s="1"/>
  <c r="CU98" i="1" s="1"/>
  <c r="CV98" i="1" s="1"/>
  <c r="CW98" i="1" s="1"/>
  <c r="CE105" i="1"/>
  <c r="CE242" i="1" s="1"/>
  <c r="CE243" i="1" s="1"/>
  <c r="CJ244" i="1" s="1"/>
  <c r="CE103" i="1"/>
  <c r="CE276" i="1"/>
  <c r="CE115" i="1"/>
  <c r="CE173" i="1" s="1"/>
  <c r="CE197" i="1"/>
  <c r="BS45" i="7" s="1"/>
  <c r="CC40" i="1"/>
  <c r="CC116" i="1"/>
  <c r="CB51" i="1"/>
  <c r="CB118" i="1"/>
  <c r="CB230" i="1" s="1"/>
  <c r="CB116" i="1"/>
  <c r="CA51" i="1"/>
  <c r="BJ372" i="1"/>
  <c r="BO372" i="1"/>
  <c r="BE372" i="1"/>
  <c r="AZ372" i="1"/>
  <c r="BT372" i="1"/>
  <c r="BY372" i="1"/>
  <c r="CR371" i="1"/>
  <c r="CN265" i="1" l="1"/>
  <c r="CI266" i="1"/>
  <c r="CI251" i="1"/>
  <c r="CI252" i="1" s="1"/>
  <c r="CN244" i="1"/>
  <c r="CI276" i="1"/>
  <c r="CN274" i="1"/>
  <c r="BR41" i="7"/>
  <c r="CH174" i="1"/>
  <c r="BS41" i="7"/>
  <c r="CJ174" i="1"/>
  <c r="CI116" i="1"/>
  <c r="CI173" i="1"/>
  <c r="CN174" i="1" s="1"/>
  <c r="AC1" i="7"/>
  <c r="AD2" i="7"/>
  <c r="CI256" i="1"/>
  <c r="CI257" i="1" s="1"/>
  <c r="CD99" i="1"/>
  <c r="CE118" i="1"/>
  <c r="CE230" i="1" s="1"/>
  <c r="CE116" i="1"/>
  <c r="CE251" i="1"/>
  <c r="CE252" i="1" s="1"/>
  <c r="CS371" i="1"/>
  <c r="AE2" i="7" l="1"/>
  <c r="AD1" i="7"/>
  <c r="CT371" i="1"/>
  <c r="CN71" i="1" l="1"/>
  <c r="AF2" i="7"/>
  <c r="AE1" i="7"/>
  <c r="CU371" i="1"/>
  <c r="AG2" i="7" l="1"/>
  <c r="AF1" i="7"/>
  <c r="CV371" i="1"/>
  <c r="CN77" i="1" l="1"/>
  <c r="AH2" i="7"/>
  <c r="AG1" i="7"/>
  <c r="CW371" i="1"/>
  <c r="CN64" i="1" l="1"/>
  <c r="CN62" i="1"/>
  <c r="CN63" i="1"/>
  <c r="CN76" i="1"/>
  <c r="CQ73" i="1"/>
  <c r="AH1" i="7"/>
  <c r="AI2" i="7"/>
  <c r="CP80" i="7"/>
  <c r="CO80" i="7"/>
  <c r="CN80" i="7"/>
  <c r="CM80" i="7"/>
  <c r="CL80" i="7"/>
  <c r="CK80" i="7"/>
  <c r="CJ80" i="7"/>
  <c r="CI80" i="7"/>
  <c r="CH80" i="7"/>
  <c r="CG80" i="7"/>
  <c r="CP73" i="7"/>
  <c r="CO73" i="7"/>
  <c r="CN73" i="7"/>
  <c r="CM73" i="7"/>
  <c r="CL73" i="7"/>
  <c r="CK73" i="7"/>
  <c r="CJ73" i="7"/>
  <c r="CI73" i="7"/>
  <c r="CH73" i="7"/>
  <c r="CG73" i="7"/>
  <c r="CQ73" i="7"/>
  <c r="CM43" i="7"/>
  <c r="CL43" i="7"/>
  <c r="CK43" i="7"/>
  <c r="CJ43" i="7"/>
  <c r="CI43" i="7"/>
  <c r="CH43" i="7"/>
  <c r="CG43" i="7"/>
  <c r="CM42" i="7"/>
  <c r="CL42" i="7"/>
  <c r="CK42" i="7"/>
  <c r="CJ42" i="7"/>
  <c r="CI42" i="7"/>
  <c r="CH42" i="7"/>
  <c r="CG42" i="7"/>
  <c r="CQ33" i="7"/>
  <c r="CP33" i="7"/>
  <c r="CO33" i="7"/>
  <c r="CN33" i="7"/>
  <c r="CM33" i="7"/>
  <c r="CL33" i="7"/>
  <c r="CK33" i="7"/>
  <c r="CJ33" i="7"/>
  <c r="CI33" i="7"/>
  <c r="CH33" i="7"/>
  <c r="CG33" i="7"/>
  <c r="AU169" i="1"/>
  <c r="AU167" i="1"/>
  <c r="C529" i="1"/>
  <c r="D529" i="1"/>
  <c r="E529" i="1"/>
  <c r="F529" i="1"/>
  <c r="H529" i="1"/>
  <c r="I529" i="1"/>
  <c r="J529" i="1"/>
  <c r="K529" i="1"/>
  <c r="M529" i="1"/>
  <c r="N529" i="1"/>
  <c r="O529" i="1"/>
  <c r="P529" i="1"/>
  <c r="R529" i="1"/>
  <c r="S529" i="1"/>
  <c r="T529" i="1"/>
  <c r="U529" i="1"/>
  <c r="W529" i="1"/>
  <c r="X529" i="1"/>
  <c r="Y529" i="1"/>
  <c r="Z529" i="1"/>
  <c r="AB529" i="1"/>
  <c r="AC529" i="1"/>
  <c r="AD529" i="1"/>
  <c r="AE529" i="1"/>
  <c r="AG529" i="1"/>
  <c r="AH529" i="1"/>
  <c r="AI529" i="1"/>
  <c r="AJ529" i="1"/>
  <c r="AL529" i="1"/>
  <c r="AM529" i="1"/>
  <c r="AN529" i="1"/>
  <c r="AO529" i="1"/>
  <c r="AQ529" i="1"/>
  <c r="AR529" i="1"/>
  <c r="AS529" i="1"/>
  <c r="AT529" i="1"/>
  <c r="AV529" i="1"/>
  <c r="AW529" i="1"/>
  <c r="AX529" i="1"/>
  <c r="AY529" i="1"/>
  <c r="BA529" i="1"/>
  <c r="BB529" i="1"/>
  <c r="BC529" i="1"/>
  <c r="BD529" i="1"/>
  <c r="BF529" i="1"/>
  <c r="BG529" i="1"/>
  <c r="BH529" i="1"/>
  <c r="BI529" i="1"/>
  <c r="B529" i="1"/>
  <c r="BW534" i="1"/>
  <c r="BX534" i="1"/>
  <c r="BY534" i="1"/>
  <c r="BZ534" i="1"/>
  <c r="AB532" i="1"/>
  <c r="AC532" i="1"/>
  <c r="AD532" i="1"/>
  <c r="AE532" i="1"/>
  <c r="AF532" i="1"/>
  <c r="AG532" i="1"/>
  <c r="AH532" i="1"/>
  <c r="AI532" i="1"/>
  <c r="AJ532" i="1"/>
  <c r="AK532" i="1"/>
  <c r="AL532" i="1"/>
  <c r="AM532" i="1"/>
  <c r="AN532" i="1"/>
  <c r="AO532" i="1"/>
  <c r="AP532" i="1"/>
  <c r="AQ532" i="1"/>
  <c r="AR532" i="1"/>
  <c r="AS532" i="1"/>
  <c r="AT532" i="1"/>
  <c r="AU532" i="1"/>
  <c r="AV532" i="1"/>
  <c r="AW532" i="1"/>
  <c r="AX532" i="1"/>
  <c r="AY532" i="1"/>
  <c r="AZ532" i="1"/>
  <c r="BA532" i="1"/>
  <c r="BB532" i="1"/>
  <c r="BC532" i="1"/>
  <c r="BD532" i="1"/>
  <c r="BE532" i="1"/>
  <c r="BF532" i="1"/>
  <c r="BG532" i="1"/>
  <c r="BH532" i="1"/>
  <c r="BI532" i="1"/>
  <c r="BJ532" i="1"/>
  <c r="BK532" i="1"/>
  <c r="BL532" i="1"/>
  <c r="BM532" i="1"/>
  <c r="BN532" i="1"/>
  <c r="BO532" i="1"/>
  <c r="AB533" i="1"/>
  <c r="AC533" i="1"/>
  <c r="AD533" i="1"/>
  <c r="AE533" i="1"/>
  <c r="AF533" i="1"/>
  <c r="AG533" i="1"/>
  <c r="AH533" i="1"/>
  <c r="AI533" i="1"/>
  <c r="AJ533" i="1"/>
  <c r="AK533" i="1"/>
  <c r="AL533" i="1"/>
  <c r="AM533" i="1"/>
  <c r="AN533" i="1"/>
  <c r="AO533" i="1"/>
  <c r="AP533" i="1"/>
  <c r="AQ533" i="1"/>
  <c r="AR533" i="1"/>
  <c r="AS533" i="1"/>
  <c r="AT533" i="1"/>
  <c r="AU533" i="1"/>
  <c r="AV533" i="1"/>
  <c r="AW533" i="1"/>
  <c r="AX533" i="1"/>
  <c r="AY533" i="1"/>
  <c r="AZ533" i="1"/>
  <c r="BA533" i="1"/>
  <c r="BB533" i="1"/>
  <c r="BC533" i="1"/>
  <c r="BD533" i="1"/>
  <c r="BE533" i="1"/>
  <c r="BF533" i="1"/>
  <c r="BG533" i="1"/>
  <c r="BH533" i="1"/>
  <c r="BI533" i="1"/>
  <c r="BJ533" i="1"/>
  <c r="BK533" i="1"/>
  <c r="BL533" i="1"/>
  <c r="BM533" i="1"/>
  <c r="BN533" i="1"/>
  <c r="BO533" i="1"/>
  <c r="AB534" i="1"/>
  <c r="AC534" i="1"/>
  <c r="AD534" i="1"/>
  <c r="AE534" i="1"/>
  <c r="AF534" i="1"/>
  <c r="AG534" i="1"/>
  <c r="AH534" i="1"/>
  <c r="AI534" i="1"/>
  <c r="AJ534" i="1"/>
  <c r="AK534" i="1"/>
  <c r="AL534" i="1"/>
  <c r="AM534" i="1"/>
  <c r="AN534" i="1"/>
  <c r="AO534" i="1"/>
  <c r="AP534" i="1"/>
  <c r="AQ534" i="1"/>
  <c r="AR534" i="1"/>
  <c r="AS534" i="1"/>
  <c r="AT534" i="1"/>
  <c r="AU534" i="1"/>
  <c r="AV534" i="1"/>
  <c r="AW534" i="1"/>
  <c r="AX534" i="1"/>
  <c r="AY534" i="1"/>
  <c r="AZ534" i="1"/>
  <c r="BA534" i="1"/>
  <c r="BB534" i="1"/>
  <c r="BC534" i="1"/>
  <c r="BD534" i="1"/>
  <c r="BE534" i="1"/>
  <c r="BF534" i="1"/>
  <c r="BG534" i="1"/>
  <c r="BH534" i="1"/>
  <c r="BI534" i="1"/>
  <c r="BJ534" i="1"/>
  <c r="BK534" i="1"/>
  <c r="BL534" i="1"/>
  <c r="BM534" i="1"/>
  <c r="BN534" i="1"/>
  <c r="BO534" i="1"/>
  <c r="BP534" i="1"/>
  <c r="BQ534" i="1"/>
  <c r="BR534" i="1"/>
  <c r="BS534" i="1"/>
  <c r="BT534" i="1"/>
  <c r="BU534" i="1"/>
  <c r="AB535" i="1"/>
  <c r="AC535" i="1"/>
  <c r="AD535" i="1"/>
  <c r="AE535" i="1"/>
  <c r="AF535" i="1"/>
  <c r="AG535" i="1"/>
  <c r="AH535" i="1"/>
  <c r="AI535" i="1"/>
  <c r="AJ535" i="1"/>
  <c r="AK535" i="1"/>
  <c r="AL535" i="1"/>
  <c r="AM535" i="1"/>
  <c r="AN535" i="1"/>
  <c r="AO535" i="1"/>
  <c r="AP535" i="1"/>
  <c r="AQ535" i="1"/>
  <c r="AR535" i="1"/>
  <c r="AS535" i="1"/>
  <c r="AT535" i="1"/>
  <c r="AU535" i="1"/>
  <c r="AV535" i="1"/>
  <c r="AW535" i="1"/>
  <c r="AX535" i="1"/>
  <c r="AY535" i="1"/>
  <c r="AZ535" i="1"/>
  <c r="BA535" i="1"/>
  <c r="BB535" i="1"/>
  <c r="BC535" i="1"/>
  <c r="BD535" i="1"/>
  <c r="BE535" i="1"/>
  <c r="BF535" i="1"/>
  <c r="BG535" i="1"/>
  <c r="BH535" i="1"/>
  <c r="BI535" i="1"/>
  <c r="BJ535" i="1"/>
  <c r="BK535" i="1"/>
  <c r="BL535" i="1"/>
  <c r="BM535" i="1"/>
  <c r="BN535" i="1"/>
  <c r="BO535" i="1"/>
  <c r="AB536" i="1"/>
  <c r="AC536" i="1"/>
  <c r="AD536" i="1"/>
  <c r="AE536" i="1"/>
  <c r="AF536" i="1"/>
  <c r="AG536" i="1"/>
  <c r="AH536" i="1"/>
  <c r="AI536" i="1"/>
  <c r="AJ536" i="1"/>
  <c r="AK536" i="1"/>
  <c r="AL536" i="1"/>
  <c r="AM536" i="1"/>
  <c r="AN536" i="1"/>
  <c r="AO536" i="1"/>
  <c r="AP536" i="1"/>
  <c r="AQ536" i="1"/>
  <c r="AR536" i="1"/>
  <c r="AS536" i="1"/>
  <c r="AT536" i="1"/>
  <c r="AU536" i="1"/>
  <c r="AV536" i="1"/>
  <c r="AW536" i="1"/>
  <c r="AX536" i="1"/>
  <c r="AY536" i="1"/>
  <c r="AZ536" i="1"/>
  <c r="BA536" i="1"/>
  <c r="BB536" i="1"/>
  <c r="BC536" i="1"/>
  <c r="BD536" i="1"/>
  <c r="BE536" i="1"/>
  <c r="BF536" i="1"/>
  <c r="BG536" i="1"/>
  <c r="BH536" i="1"/>
  <c r="BI536" i="1"/>
  <c r="BJ536" i="1"/>
  <c r="BK536" i="1"/>
  <c r="BL536" i="1"/>
  <c r="BM536" i="1"/>
  <c r="BN536" i="1"/>
  <c r="BO536" i="1"/>
  <c r="AB539" i="1"/>
  <c r="AC539" i="1"/>
  <c r="AD539" i="1"/>
  <c r="AE539" i="1"/>
  <c r="AF539" i="1"/>
  <c r="AG539" i="1"/>
  <c r="AH539" i="1"/>
  <c r="AI539" i="1"/>
  <c r="AJ539" i="1"/>
  <c r="AK539" i="1"/>
  <c r="AL539" i="1"/>
  <c r="AM539" i="1"/>
  <c r="AN539" i="1"/>
  <c r="AO539" i="1"/>
  <c r="AP539" i="1"/>
  <c r="AQ539" i="1"/>
  <c r="AR539" i="1"/>
  <c r="AS539" i="1"/>
  <c r="AT539" i="1"/>
  <c r="AU539" i="1"/>
  <c r="AV539" i="1"/>
  <c r="AW539" i="1"/>
  <c r="AX539" i="1"/>
  <c r="AY539" i="1"/>
  <c r="AZ539" i="1"/>
  <c r="BA539" i="1"/>
  <c r="BB539" i="1"/>
  <c r="BC539" i="1"/>
  <c r="BD539" i="1"/>
  <c r="BE539" i="1"/>
  <c r="BF539" i="1"/>
  <c r="BG539" i="1"/>
  <c r="BH539" i="1"/>
  <c r="BI539" i="1"/>
  <c r="BJ539" i="1"/>
  <c r="BK539" i="1"/>
  <c r="BL539" i="1"/>
  <c r="BM539" i="1"/>
  <c r="BN539" i="1"/>
  <c r="BO539" i="1"/>
  <c r="AB541" i="1"/>
  <c r="AC541" i="1"/>
  <c r="AD541" i="1"/>
  <c r="AE541" i="1"/>
  <c r="AF541" i="1"/>
  <c r="AG541" i="1"/>
  <c r="AH541" i="1"/>
  <c r="AI541" i="1"/>
  <c r="AJ541" i="1"/>
  <c r="AK541" i="1"/>
  <c r="AL541" i="1"/>
  <c r="AM541" i="1"/>
  <c r="AN541" i="1"/>
  <c r="AO541" i="1"/>
  <c r="AP541" i="1"/>
  <c r="AQ541" i="1"/>
  <c r="AR541" i="1"/>
  <c r="AS541" i="1"/>
  <c r="AT541" i="1"/>
  <c r="AU541" i="1"/>
  <c r="AV541" i="1"/>
  <c r="AW541" i="1"/>
  <c r="AX541" i="1"/>
  <c r="AY541" i="1"/>
  <c r="AZ541" i="1"/>
  <c r="BA541" i="1"/>
  <c r="BB541" i="1"/>
  <c r="BC541" i="1"/>
  <c r="BD541" i="1"/>
  <c r="BE541" i="1"/>
  <c r="BF541" i="1"/>
  <c r="BG541" i="1"/>
  <c r="BH541" i="1"/>
  <c r="BI541" i="1"/>
  <c r="BJ541" i="1"/>
  <c r="BK541" i="1"/>
  <c r="BL541" i="1"/>
  <c r="BM541" i="1"/>
  <c r="BN541" i="1"/>
  <c r="BO541" i="1"/>
  <c r="AA541" i="1"/>
  <c r="AA539" i="1"/>
  <c r="AA536" i="1"/>
  <c r="AA535" i="1"/>
  <c r="AA534" i="1"/>
  <c r="AA533" i="1"/>
  <c r="AA532" i="1"/>
  <c r="BV534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CD534" i="1"/>
  <c r="CQ271" i="1"/>
  <c r="CR271" i="1"/>
  <c r="CS271" i="1"/>
  <c r="CT271" i="1"/>
  <c r="CU271" i="1"/>
  <c r="CV271" i="1"/>
  <c r="CW271" i="1"/>
  <c r="CQ270" i="1"/>
  <c r="CR270" i="1"/>
  <c r="CS270" i="1"/>
  <c r="CT270" i="1"/>
  <c r="CU270" i="1"/>
  <c r="CV270" i="1"/>
  <c r="CW270" i="1"/>
  <c r="CN66" i="1" l="1"/>
  <c r="CR73" i="1"/>
  <c r="AJ2" i="7"/>
  <c r="AI1" i="7"/>
  <c r="S14" i="1"/>
  <c r="T14" i="1"/>
  <c r="P14" i="1"/>
  <c r="Q14" i="1"/>
  <c r="M14" i="1"/>
  <c r="U14" i="1"/>
  <c r="N14" i="1"/>
  <c r="V14" i="1"/>
  <c r="G14" i="1"/>
  <c r="K14" i="1"/>
  <c r="L14" i="1"/>
  <c r="O14" i="1"/>
  <c r="R14" i="1"/>
  <c r="CS73" i="1" l="1"/>
  <c r="AJ1" i="7"/>
  <c r="AK2" i="7"/>
  <c r="BZ269" i="1"/>
  <c r="BX269" i="1"/>
  <c r="BW269" i="1"/>
  <c r="BV269" i="1"/>
  <c r="BU269" i="1"/>
  <c r="BS269" i="1"/>
  <c r="BR269" i="1"/>
  <c r="BQ269" i="1"/>
  <c r="BP269" i="1"/>
  <c r="BN269" i="1"/>
  <c r="BM269" i="1"/>
  <c r="BL269" i="1"/>
  <c r="BZ264" i="1"/>
  <c r="CE265" i="1" s="1"/>
  <c r="BX264" i="1"/>
  <c r="CC265" i="1" s="1"/>
  <c r="BW264" i="1"/>
  <c r="CB265" i="1" s="1"/>
  <c r="BV264" i="1"/>
  <c r="CA265" i="1" s="1"/>
  <c r="BU264" i="1"/>
  <c r="BS264" i="1"/>
  <c r="BR264" i="1"/>
  <c r="BQ264" i="1"/>
  <c r="BP264" i="1"/>
  <c r="BN264" i="1"/>
  <c r="BM264" i="1"/>
  <c r="BL264" i="1"/>
  <c r="CT73" i="1" l="1"/>
  <c r="AK1" i="7"/>
  <c r="AL2" i="7"/>
  <c r="BQ270" i="1"/>
  <c r="BV270" i="1"/>
  <c r="BT269" i="1"/>
  <c r="BU271" i="1" s="1"/>
  <c r="BU273" i="1" s="1"/>
  <c r="BS270" i="1"/>
  <c r="BW270" i="1"/>
  <c r="BR270" i="1"/>
  <c r="BM270" i="1"/>
  <c r="BN270" i="1"/>
  <c r="BO269" i="1"/>
  <c r="Y258" i="3" s="1"/>
  <c r="BY269" i="1"/>
  <c r="CS81" i="7" s="1"/>
  <c r="BX270" i="1"/>
  <c r="CA271" i="1"/>
  <c r="CA273" i="1" s="1"/>
  <c r="CF274" i="1" s="1"/>
  <c r="CA270" i="1"/>
  <c r="BW271" i="1"/>
  <c r="BW273" i="1" s="1"/>
  <c r="CB274" i="1" s="1"/>
  <c r="BP265" i="1"/>
  <c r="BX271" i="1"/>
  <c r="BX273" i="1" s="1"/>
  <c r="CC274" i="1" s="1"/>
  <c r="BS265" i="1"/>
  <c r="BU265" i="1"/>
  <c r="BV271" i="1"/>
  <c r="BV273" i="1" s="1"/>
  <c r="BQ265" i="1"/>
  <c r="BV265" i="1"/>
  <c r="BR265" i="1"/>
  <c r="BW265" i="1"/>
  <c r="BX265" i="1"/>
  <c r="BZ265" i="1"/>
  <c r="BO264" i="1"/>
  <c r="CU73" i="1" l="1"/>
  <c r="Z258" i="3"/>
  <c r="AM2" i="7"/>
  <c r="AL1" i="7"/>
  <c r="CA274" i="1"/>
  <c r="CR81" i="7"/>
  <c r="CA276" i="1"/>
  <c r="AA258" i="3"/>
  <c r="CD271" i="1"/>
  <c r="BZ271" i="1"/>
  <c r="BZ273" i="1" s="1"/>
  <c r="CE274" i="1" s="1"/>
  <c r="BZ270" i="1"/>
  <c r="BP270" i="1"/>
  <c r="BT270" i="1"/>
  <c r="BY270" i="1"/>
  <c r="CD270" i="1"/>
  <c r="BU270" i="1"/>
  <c r="CQ80" i="7"/>
  <c r="Y260" i="3"/>
  <c r="BT271" i="1"/>
  <c r="CQ81" i="7"/>
  <c r="BY273" i="1"/>
  <c r="BY271" i="1"/>
  <c r="CV73" i="1" l="1"/>
  <c r="AN2" i="7"/>
  <c r="AM1" i="7"/>
  <c r="BZ274" i="1"/>
  <c r="CD273" i="1"/>
  <c r="BY282" i="1"/>
  <c r="CW73" i="1" l="1"/>
  <c r="AO2" i="7"/>
  <c r="AN1" i="7"/>
  <c r="CD274" i="1"/>
  <c r="CI274" i="1"/>
  <c r="CD282" i="1"/>
  <c r="AP2" i="7" l="1"/>
  <c r="AO1" i="7"/>
  <c r="CI282" i="1"/>
  <c r="CN283" i="1" s="1"/>
  <c r="AP1" i="7" l="1"/>
  <c r="AQ2" i="7"/>
  <c r="AR2" i="7" l="1"/>
  <c r="AQ1" i="7"/>
  <c r="CQ282" i="1"/>
  <c r="AS2" i="7" l="1"/>
  <c r="AR1" i="7"/>
  <c r="CR282" i="1"/>
  <c r="AS1" i="7" l="1"/>
  <c r="AT2" i="7"/>
  <c r="CS282" i="1"/>
  <c r="AU2" i="7" l="1"/>
  <c r="AT1" i="7"/>
  <c r="CT282" i="1"/>
  <c r="AV2" i="7" l="1"/>
  <c r="AU1" i="7"/>
  <c r="CU282" i="1"/>
  <c r="AW2" i="7" l="1"/>
  <c r="AV1" i="7"/>
  <c r="CV282" i="1"/>
  <c r="AX2" i="7" l="1"/>
  <c r="AW1" i="7"/>
  <c r="CW282" i="1"/>
  <c r="AY2" i="7" l="1"/>
  <c r="AX1" i="7"/>
  <c r="CW303" i="1"/>
  <c r="CU283" i="1"/>
  <c r="CV283" i="1"/>
  <c r="CT303" i="1"/>
  <c r="CU303" i="1"/>
  <c r="CV303" i="1"/>
  <c r="BY75" i="1"/>
  <c r="BY74" i="1"/>
  <c r="BO71" i="1"/>
  <c r="BJ71" i="1"/>
  <c r="BE71" i="1"/>
  <c r="AZ71" i="1"/>
  <c r="AU75" i="1"/>
  <c r="AU71" i="1"/>
  <c r="BO69" i="1"/>
  <c r="BJ69" i="1"/>
  <c r="BE69" i="1"/>
  <c r="AZ69" i="1"/>
  <c r="AU69" i="1"/>
  <c r="AZ2" i="7" l="1"/>
  <c r="AY1" i="7"/>
  <c r="CW283" i="1"/>
  <c r="BA2" i="7" l="1"/>
  <c r="AZ1" i="7"/>
  <c r="CI534" i="1"/>
  <c r="BA1" i="7" l="1"/>
  <c r="BB2" i="7"/>
  <c r="BC2" i="7" l="1"/>
  <c r="BB1" i="7"/>
  <c r="CQ534" i="1"/>
  <c r="BD2" i="7" l="1"/>
  <c r="BC1" i="7"/>
  <c r="CR534" i="1"/>
  <c r="BE2" i="7" l="1"/>
  <c r="BD1" i="7"/>
  <c r="CS534" i="1"/>
  <c r="BF2" i="7" l="1"/>
  <c r="BE1" i="7"/>
  <c r="CT534" i="1"/>
  <c r="BF1" i="7" l="1"/>
  <c r="BG2" i="7"/>
  <c r="CU534" i="1"/>
  <c r="BH2" i="7" l="1"/>
  <c r="BG1" i="7"/>
  <c r="CW534" i="1"/>
  <c r="CV534" i="1"/>
  <c r="BI2" i="7" l="1"/>
  <c r="BH1" i="7"/>
  <c r="B57" i="10"/>
  <c r="B58" i="10" s="1"/>
  <c r="B59" i="10" s="1"/>
  <c r="B60" i="10" s="1"/>
  <c r="B51" i="10"/>
  <c r="B52" i="10" s="1"/>
  <c r="B53" i="10" s="1"/>
  <c r="B54" i="10" s="1"/>
  <c r="B20" i="10"/>
  <c r="B14" i="10"/>
  <c r="BI1" i="7" l="1"/>
  <c r="BJ2" i="7"/>
  <c r="D5" i="10"/>
  <c r="G5" i="10"/>
  <c r="I5" i="10"/>
  <c r="J5" i="10"/>
  <c r="L5" i="10"/>
  <c r="O5" i="10"/>
  <c r="P5" i="10"/>
  <c r="U5" i="10"/>
  <c r="V5" i="10"/>
  <c r="X5" i="10"/>
  <c r="AD5" i="10"/>
  <c r="AG5" i="10"/>
  <c r="AH5" i="10"/>
  <c r="AL5" i="10"/>
  <c r="AP5" i="10"/>
  <c r="AQ5" i="10"/>
  <c r="AM2" i="10"/>
  <c r="AN2" i="10" s="1"/>
  <c r="AO2" i="10" s="1"/>
  <c r="AO5" i="10" s="1"/>
  <c r="AI2" i="10"/>
  <c r="AJ2" i="10" s="1"/>
  <c r="AK2" i="10" s="1"/>
  <c r="AK5" i="10" s="1"/>
  <c r="AE2" i="10"/>
  <c r="AF2" i="10" s="1"/>
  <c r="AF5" i="10" s="1"/>
  <c r="Y2" i="10"/>
  <c r="Z2" i="10" s="1"/>
  <c r="AA2" i="10" s="1"/>
  <c r="AB2" i="10" s="1"/>
  <c r="AC2" i="10" s="1"/>
  <c r="AC5" i="10" s="1"/>
  <c r="W2" i="10"/>
  <c r="W5" i="10" s="1"/>
  <c r="Q2" i="10"/>
  <c r="R2" i="10" s="1"/>
  <c r="S2" i="10" s="1"/>
  <c r="T2" i="10" s="1"/>
  <c r="T5" i="10" s="1"/>
  <c r="M2" i="10"/>
  <c r="M5" i="10" s="1"/>
  <c r="K2" i="10"/>
  <c r="K5" i="10" s="1"/>
  <c r="H2" i="10"/>
  <c r="H5" i="10" s="1"/>
  <c r="E2" i="10"/>
  <c r="E5" i="10" s="1"/>
  <c r="BE5" i="10"/>
  <c r="BE6" i="10" s="1"/>
  <c r="BE8" i="10"/>
  <c r="BE11" i="10"/>
  <c r="BE14" i="10"/>
  <c r="BE15" i="10" s="1"/>
  <c r="BE18" i="10"/>
  <c r="BE20" i="10" s="1"/>
  <c r="BE21" i="10" s="1"/>
  <c r="BE22" i="10" s="1"/>
  <c r="BE25" i="10" s="1"/>
  <c r="BE27" i="10" s="1"/>
  <c r="BE28" i="10" s="1"/>
  <c r="BE29" i="10" s="1"/>
  <c r="BE30" i="10" s="1"/>
  <c r="BE31" i="10" s="1"/>
  <c r="BE33" i="10" s="1"/>
  <c r="BE34" i="10" s="1"/>
  <c r="BE37" i="10" s="1"/>
  <c r="BE38" i="10" s="1"/>
  <c r="BE39" i="10" s="1"/>
  <c r="BE41" i="10" s="1"/>
  <c r="BE42" i="10" s="1"/>
  <c r="BE43" i="10" s="1"/>
  <c r="BF45" i="10" s="1"/>
  <c r="BF4" i="10"/>
  <c r="BF3" i="10"/>
  <c r="C5" i="10"/>
  <c r="AA6" i="10"/>
  <c r="AB6" i="10" s="1"/>
  <c r="AC6" i="10" s="1"/>
  <c r="AD6" i="10" s="1"/>
  <c r="AE6" i="10" s="1"/>
  <c r="AF6" i="10" s="1"/>
  <c r="AG6" i="10" s="1"/>
  <c r="AH6" i="10" s="1"/>
  <c r="AI6" i="10" s="1"/>
  <c r="AJ6" i="10" s="1"/>
  <c r="AK6" i="10" s="1"/>
  <c r="AL6" i="10" s="1"/>
  <c r="O6" i="10"/>
  <c r="P6" i="10" s="1"/>
  <c r="Q6" i="10" s="1"/>
  <c r="R6" i="10" s="1"/>
  <c r="S6" i="10" s="1"/>
  <c r="T6" i="10" s="1"/>
  <c r="U6" i="10" s="1"/>
  <c r="V6" i="10" s="1"/>
  <c r="W6" i="10" s="1"/>
  <c r="X6" i="10" s="1"/>
  <c r="Y6" i="10" s="1"/>
  <c r="Z6" i="10" s="1"/>
  <c r="B232" i="2"/>
  <c r="C232" i="2" s="1"/>
  <c r="D232" i="2" s="1"/>
  <c r="E232" i="2" s="1"/>
  <c r="F232" i="2" s="1"/>
  <c r="G232" i="2" s="1"/>
  <c r="H232" i="2" s="1"/>
  <c r="I232" i="2" s="1"/>
  <c r="J232" i="2" s="1"/>
  <c r="K232" i="2" s="1"/>
  <c r="L232" i="2" s="1"/>
  <c r="M232" i="2" s="1"/>
  <c r="N232" i="2" s="1"/>
  <c r="O232" i="2" s="1"/>
  <c r="P232" i="2" s="1"/>
  <c r="Q232" i="2" s="1"/>
  <c r="R232" i="2" s="1"/>
  <c r="S232" i="2" s="1"/>
  <c r="T232" i="2" l="1"/>
  <c r="U232" i="2" s="1"/>
  <c r="V232" i="2" s="1"/>
  <c r="W232" i="2" s="1"/>
  <c r="X232" i="2" s="1"/>
  <c r="Y232" i="2" s="1"/>
  <c r="Z232" i="2" s="1"/>
  <c r="AA232" i="2" s="1"/>
  <c r="BK2" i="7"/>
  <c r="BJ1" i="7"/>
  <c r="T7" i="10"/>
  <c r="T9" i="10" s="1"/>
  <c r="W7" i="10"/>
  <c r="W9" i="10" s="1"/>
  <c r="V7" i="10"/>
  <c r="V9" i="10" s="1"/>
  <c r="N2" i="10"/>
  <c r="N5" i="10" s="1"/>
  <c r="U7" i="10"/>
  <c r="P7" i="10"/>
  <c r="AL7" i="10"/>
  <c r="AC7" i="10"/>
  <c r="AH7" i="10"/>
  <c r="AF7" i="10"/>
  <c r="AK7" i="10"/>
  <c r="AG7" i="10"/>
  <c r="O7" i="10"/>
  <c r="AE5" i="10"/>
  <c r="AE7" i="10" s="1"/>
  <c r="AD7" i="10"/>
  <c r="X7" i="10"/>
  <c r="AM5" i="10"/>
  <c r="AJ5" i="10"/>
  <c r="AJ7" i="10" s="1"/>
  <c r="AB5" i="10"/>
  <c r="AB7" i="10" s="1"/>
  <c r="AI5" i="10"/>
  <c r="AI7" i="10" s="1"/>
  <c r="AA5" i="10"/>
  <c r="AA7" i="10" s="1"/>
  <c r="S5" i="10"/>
  <c r="S7" i="10" s="1"/>
  <c r="Z5" i="10"/>
  <c r="Z7" i="10" s="1"/>
  <c r="R5" i="10"/>
  <c r="R7" i="10" s="1"/>
  <c r="Y5" i="10"/>
  <c r="Y7" i="10" s="1"/>
  <c r="Q5" i="10"/>
  <c r="Q7" i="10" s="1"/>
  <c r="AN5" i="10"/>
  <c r="F2" i="10"/>
  <c r="F5" i="10" s="1"/>
  <c r="BF40" i="10"/>
  <c r="BF32" i="10"/>
  <c r="BF24" i="10"/>
  <c r="BF15" i="10"/>
  <c r="BF6" i="10"/>
  <c r="BF39" i="10"/>
  <c r="BF23" i="10"/>
  <c r="BF30" i="10"/>
  <c r="BF22" i="10"/>
  <c r="BF12" i="10"/>
  <c r="BF37" i="10"/>
  <c r="BF29" i="10"/>
  <c r="BF21" i="10"/>
  <c r="BF11" i="10"/>
  <c r="BF31" i="10"/>
  <c r="BF14" i="10"/>
  <c r="BF5" i="10"/>
  <c r="BF38" i="10"/>
  <c r="BF44" i="10"/>
  <c r="BF36" i="10"/>
  <c r="BF28" i="10"/>
  <c r="BF20" i="10"/>
  <c r="BF10" i="10"/>
  <c r="BF43" i="10"/>
  <c r="BF35" i="10"/>
  <c r="BF27" i="10"/>
  <c r="BF18" i="10"/>
  <c r="BF9" i="10"/>
  <c r="BF42" i="10"/>
  <c r="BF34" i="10"/>
  <c r="BF26" i="10"/>
  <c r="BF17" i="10"/>
  <c r="BF8" i="10"/>
  <c r="BF41" i="10"/>
  <c r="BF33" i="10"/>
  <c r="BF25" i="10"/>
  <c r="BF16" i="10"/>
  <c r="BF7" i="10"/>
  <c r="BL2" i="7" l="1"/>
  <c r="BK1" i="7"/>
  <c r="Q9" i="10"/>
  <c r="AJ9" i="10"/>
  <c r="AG9" i="10"/>
  <c r="P9" i="10"/>
  <c r="Y9" i="10"/>
  <c r="AK9" i="10"/>
  <c r="R9" i="10"/>
  <c r="X9" i="10"/>
  <c r="AF9" i="10"/>
  <c r="Z9" i="10"/>
  <c r="AD9" i="10"/>
  <c r="AH9" i="10"/>
  <c r="U9" i="10"/>
  <c r="S9" i="10"/>
  <c r="AC9" i="10"/>
  <c r="AA9" i="10"/>
  <c r="AE9" i="10"/>
  <c r="AL9" i="10"/>
  <c r="AI9" i="10"/>
  <c r="AB9" i="10"/>
  <c r="O9" i="10"/>
  <c r="BM2" i="7" l="1"/>
  <c r="BL1" i="7"/>
  <c r="D29" i="10"/>
  <c r="E29" i="10"/>
  <c r="F29" i="10"/>
  <c r="G29" i="10"/>
  <c r="C29" i="10"/>
  <c r="D4" i="10"/>
  <c r="E4" i="10" s="1"/>
  <c r="F4" i="10" s="1"/>
  <c r="G4" i="10" s="1"/>
  <c r="H4" i="10" s="1"/>
  <c r="I4" i="10" s="1"/>
  <c r="J4" i="10" s="1"/>
  <c r="K4" i="10" s="1"/>
  <c r="L4" i="10" s="1"/>
  <c r="M4" i="10" s="1"/>
  <c r="N4" i="10" s="1"/>
  <c r="O4" i="10" s="1"/>
  <c r="B15" i="10"/>
  <c r="B16" i="10" s="1"/>
  <c r="B17" i="10" s="1"/>
  <c r="B21" i="10"/>
  <c r="B22" i="10" s="1"/>
  <c r="B23" i="10" s="1"/>
  <c r="BW431" i="1"/>
  <c r="CB541" i="1" s="1"/>
  <c r="BV431" i="1"/>
  <c r="CA541" i="1" s="1"/>
  <c r="BU431" i="1"/>
  <c r="BS431" i="1"/>
  <c r="BS541" i="1" s="1"/>
  <c r="BR431" i="1"/>
  <c r="BR541" i="1" s="1"/>
  <c r="BQ431" i="1"/>
  <c r="BQ541" i="1" s="1"/>
  <c r="BP431" i="1"/>
  <c r="BP541" i="1" s="1"/>
  <c r="BZ425" i="1"/>
  <c r="BX425" i="1"/>
  <c r="BX12" i="1" s="1"/>
  <c r="BW425" i="1"/>
  <c r="BW12" i="1" s="1"/>
  <c r="BV425" i="1"/>
  <c r="BV12" i="1" s="1"/>
  <c r="BU425" i="1"/>
  <c r="BU12" i="1" s="1"/>
  <c r="BS425" i="1"/>
  <c r="BS12" i="1" s="1"/>
  <c r="BS28" i="1" s="1"/>
  <c r="BR425" i="1"/>
  <c r="BR12" i="1" s="1"/>
  <c r="BR28" i="1" s="1"/>
  <c r="BQ425" i="1"/>
  <c r="BQ12" i="1" s="1"/>
  <c r="BQ28" i="1" s="1"/>
  <c r="BP425" i="1"/>
  <c r="BP12" i="1" s="1"/>
  <c r="BP28" i="1" s="1"/>
  <c r="BZ424" i="1"/>
  <c r="BX424" i="1"/>
  <c r="BX11" i="1" s="1"/>
  <c r="BW424" i="1"/>
  <c r="BW11" i="1" s="1"/>
  <c r="BV424" i="1"/>
  <c r="BV11" i="1" s="1"/>
  <c r="BU424" i="1"/>
  <c r="BU11" i="1" s="1"/>
  <c r="BS424" i="1"/>
  <c r="BS11" i="1" s="1"/>
  <c r="BS27" i="1" s="1"/>
  <c r="BR424" i="1"/>
  <c r="BR11" i="1" s="1"/>
  <c r="BR27" i="1" s="1"/>
  <c r="BQ424" i="1"/>
  <c r="BQ11" i="1" s="1"/>
  <c r="BQ27" i="1" s="1"/>
  <c r="BP424" i="1"/>
  <c r="BP11" i="1" s="1"/>
  <c r="BP27" i="1" s="1"/>
  <c r="BZ413" i="1"/>
  <c r="BX413" i="1"/>
  <c r="BW413" i="1"/>
  <c r="BV413" i="1"/>
  <c r="BU413" i="1"/>
  <c r="BS413" i="1"/>
  <c r="BR413" i="1"/>
  <c r="BQ413" i="1"/>
  <c r="BP413" i="1"/>
  <c r="BZ412" i="1"/>
  <c r="BX412" i="1"/>
  <c r="BW412" i="1"/>
  <c r="BV412" i="1"/>
  <c r="BU412" i="1"/>
  <c r="BS412" i="1"/>
  <c r="BR412" i="1"/>
  <c r="BQ412" i="1"/>
  <c r="BP412" i="1"/>
  <c r="BZ411" i="1"/>
  <c r="BX411" i="1"/>
  <c r="BZ409" i="1"/>
  <c r="BX409" i="1"/>
  <c r="BW409" i="1"/>
  <c r="BV409" i="1"/>
  <c r="BU409" i="1"/>
  <c r="BS409" i="1"/>
  <c r="BR409" i="1"/>
  <c r="BQ409" i="1"/>
  <c r="BP409" i="1"/>
  <c r="BZ408" i="1"/>
  <c r="BX408" i="1"/>
  <c r="BW408" i="1"/>
  <c r="BV408" i="1"/>
  <c r="BU408" i="1"/>
  <c r="BS408" i="1"/>
  <c r="BR408" i="1"/>
  <c r="BQ408" i="1"/>
  <c r="BP408" i="1"/>
  <c r="C30" i="10" a="1"/>
  <c r="J8" i="18" l="1"/>
  <c r="J8" i="16"/>
  <c r="N12" i="16"/>
  <c r="N14" i="18"/>
  <c r="L8" i="16"/>
  <c r="L8" i="18"/>
  <c r="O10" i="18"/>
  <c r="O10" i="16"/>
  <c r="K8" i="16"/>
  <c r="K8" i="18"/>
  <c r="BO73" i="7"/>
  <c r="BO100" i="7" s="1"/>
  <c r="O14" i="18"/>
  <c r="O12" i="16"/>
  <c r="M8" i="18"/>
  <c r="M8" i="16"/>
  <c r="N8" i="18"/>
  <c r="N8" i="16"/>
  <c r="O8" i="18"/>
  <c r="O8" i="16"/>
  <c r="I10" i="18"/>
  <c r="I10" i="16"/>
  <c r="J10" i="16"/>
  <c r="J10" i="18"/>
  <c r="G10" i="18"/>
  <c r="G10" i="16"/>
  <c r="H10" i="16"/>
  <c r="H10" i="18"/>
  <c r="K10" i="16"/>
  <c r="K10" i="18"/>
  <c r="G8" i="16"/>
  <c r="G8" i="18"/>
  <c r="L10" i="16"/>
  <c r="L10" i="18"/>
  <c r="H8" i="18"/>
  <c r="H8" i="16"/>
  <c r="M10" i="18"/>
  <c r="M10" i="16"/>
  <c r="I8" i="16"/>
  <c r="I8" i="18"/>
  <c r="N10" i="16"/>
  <c r="N10" i="18"/>
  <c r="BK101" i="7"/>
  <c r="BO31" i="7"/>
  <c r="BO98" i="7" s="1"/>
  <c r="BL32" i="7"/>
  <c r="BL99" i="7" s="1"/>
  <c r="BM32" i="7"/>
  <c r="BM99" i="7" s="1"/>
  <c r="BL101" i="7"/>
  <c r="BN32" i="7"/>
  <c r="BN99" i="7" s="1"/>
  <c r="BM101" i="7"/>
  <c r="BN101" i="7"/>
  <c r="BJ32" i="7"/>
  <c r="BJ99" i="7" s="1"/>
  <c r="BK32" i="7"/>
  <c r="BK99" i="7" s="1"/>
  <c r="BO32" i="7"/>
  <c r="BO99" i="7" s="1"/>
  <c r="BS109" i="7" s="1"/>
  <c r="BK31" i="7"/>
  <c r="BM31" i="7"/>
  <c r="BO101" i="7"/>
  <c r="BS127" i="7" s="1"/>
  <c r="BG32" i="7"/>
  <c r="BG99" i="7" s="1"/>
  <c r="BL31" i="7"/>
  <c r="BL98" i="7" s="1"/>
  <c r="BH32" i="7"/>
  <c r="BH99" i="7" s="1"/>
  <c r="BI32" i="7"/>
  <c r="BI99" i="7" s="1"/>
  <c r="BN31" i="7"/>
  <c r="BG31" i="7"/>
  <c r="BH31" i="7"/>
  <c r="BI31" i="7"/>
  <c r="BJ31" i="7"/>
  <c r="BH101" i="7"/>
  <c r="BI101" i="7"/>
  <c r="BG101" i="7"/>
  <c r="BJ101" i="7"/>
  <c r="BN2" i="7"/>
  <c r="BM1" i="7"/>
  <c r="BU420" i="1"/>
  <c r="BU421" i="1"/>
  <c r="BX7" i="1"/>
  <c r="CC23" i="1" s="1"/>
  <c r="BX417" i="1"/>
  <c r="CC417" i="1"/>
  <c r="BX8" i="1"/>
  <c r="BX418" i="1"/>
  <c r="CC418" i="1"/>
  <c r="BV420" i="1"/>
  <c r="CA420" i="1"/>
  <c r="BX9" i="1"/>
  <c r="CC25" i="1" s="1"/>
  <c r="CC419" i="1"/>
  <c r="BP7" i="1"/>
  <c r="BP23" i="1" s="1"/>
  <c r="BV421" i="1"/>
  <c r="CA421" i="1"/>
  <c r="BS7" i="1"/>
  <c r="BS23" i="1" s="1"/>
  <c r="CD412" i="1"/>
  <c r="BZ420" i="1"/>
  <c r="CE420" i="1"/>
  <c r="BX421" i="1"/>
  <c r="CC421" i="1"/>
  <c r="BW8" i="1"/>
  <c r="CB24" i="1" s="1"/>
  <c r="BW418" i="1"/>
  <c r="CB418" i="1"/>
  <c r="BQ7" i="1"/>
  <c r="BQ23" i="1" s="1"/>
  <c r="BW420" i="1"/>
  <c r="CB420" i="1"/>
  <c r="BU417" i="1"/>
  <c r="BV7" i="1"/>
  <c r="BV417" i="1"/>
  <c r="CA417" i="1"/>
  <c r="CD413" i="1"/>
  <c r="BZ421" i="1"/>
  <c r="CE421" i="1"/>
  <c r="BZ417" i="1"/>
  <c r="CE417" i="1"/>
  <c r="BZ418" i="1"/>
  <c r="CE418" i="1"/>
  <c r="BR7" i="1"/>
  <c r="BR23" i="1" s="1"/>
  <c r="BX420" i="1"/>
  <c r="CC420" i="1"/>
  <c r="BW421" i="1"/>
  <c r="CB421" i="1"/>
  <c r="BU418" i="1"/>
  <c r="BW7" i="1"/>
  <c r="BW417" i="1"/>
  <c r="CB417" i="1"/>
  <c r="BV8" i="1"/>
  <c r="CA24" i="1" s="1"/>
  <c r="BV418" i="1"/>
  <c r="CA418" i="1"/>
  <c r="BZ7" i="1"/>
  <c r="CE23" i="1" s="1"/>
  <c r="CE532" i="1"/>
  <c r="BZ8" i="1"/>
  <c r="CE24" i="1" s="1"/>
  <c r="CE533" i="1"/>
  <c r="BU27" i="1"/>
  <c r="BV27" i="1"/>
  <c r="CA27" i="1"/>
  <c r="BU28" i="1"/>
  <c r="BW27" i="1"/>
  <c r="CB27" i="1"/>
  <c r="BV28" i="1"/>
  <c r="CA28" i="1"/>
  <c r="BX27" i="1"/>
  <c r="CC27" i="1"/>
  <c r="BW28" i="1"/>
  <c r="CB28" i="1"/>
  <c r="BX28" i="1"/>
  <c r="CC28" i="1"/>
  <c r="BQ533" i="1"/>
  <c r="BQ8" i="1"/>
  <c r="BQ24" i="1" s="1"/>
  <c r="CD411" i="1"/>
  <c r="AB151" i="3" s="1"/>
  <c r="BZ9" i="1"/>
  <c r="BU253" i="1"/>
  <c r="BU254" i="1" s="1"/>
  <c r="BU7" i="1"/>
  <c r="BU248" i="1"/>
  <c r="BU249" i="1" s="1"/>
  <c r="BU8" i="1"/>
  <c r="CD425" i="1"/>
  <c r="CD12" i="1" s="1"/>
  <c r="BZ12" i="1"/>
  <c r="BP533" i="1"/>
  <c r="BP8" i="1"/>
  <c r="BP24" i="1" s="1"/>
  <c r="BR533" i="1"/>
  <c r="BR8" i="1"/>
  <c r="BR24" i="1" s="1"/>
  <c r="BS533" i="1"/>
  <c r="BS8" i="1"/>
  <c r="BS24" i="1" s="1"/>
  <c r="CD424" i="1"/>
  <c r="CD11" i="1" s="1"/>
  <c r="BZ11" i="1"/>
  <c r="BZ253" i="1"/>
  <c r="CE254" i="1" s="1"/>
  <c r="CD408" i="1"/>
  <c r="AB149" i="3" s="1"/>
  <c r="BZ248" i="1"/>
  <c r="CD409" i="1"/>
  <c r="AB150" i="3" s="1"/>
  <c r="BX253" i="1"/>
  <c r="CC532" i="1"/>
  <c r="CC535" i="1"/>
  <c r="BX248" i="1"/>
  <c r="CC533" i="1"/>
  <c r="BW248" i="1"/>
  <c r="CB533" i="1"/>
  <c r="BW253" i="1"/>
  <c r="CB532" i="1"/>
  <c r="BV248" i="1"/>
  <c r="CA533" i="1"/>
  <c r="BV253" i="1"/>
  <c r="CA532" i="1"/>
  <c r="BU541" i="1"/>
  <c r="BP532" i="1"/>
  <c r="BZ533" i="1"/>
  <c r="BZ532" i="1"/>
  <c r="BX533" i="1"/>
  <c r="BR532" i="1"/>
  <c r="BQ532" i="1"/>
  <c r="BS532" i="1"/>
  <c r="BT412" i="1"/>
  <c r="BU532" i="1"/>
  <c r="BU533" i="1"/>
  <c r="BW541" i="1"/>
  <c r="BW532" i="1"/>
  <c r="BX532" i="1"/>
  <c r="BW533" i="1"/>
  <c r="BX277" i="1"/>
  <c r="BZ277" i="1"/>
  <c r="BW277" i="1"/>
  <c r="BU258" i="1"/>
  <c r="BV541" i="1"/>
  <c r="BZ258" i="1"/>
  <c r="BV258" i="1"/>
  <c r="BV532" i="1"/>
  <c r="BV277" i="1"/>
  <c r="BV533" i="1"/>
  <c r="BU277" i="1"/>
  <c r="BU276" i="1" s="1"/>
  <c r="BY412" i="1"/>
  <c r="BW258" i="1"/>
  <c r="BX258" i="1"/>
  <c r="BY425" i="1"/>
  <c r="BY12" i="1" s="1"/>
  <c r="BY424" i="1"/>
  <c r="BY11" i="1" s="1"/>
  <c r="BT409" i="1"/>
  <c r="BY413" i="1"/>
  <c r="BT408" i="1"/>
  <c r="P4" i="10"/>
  <c r="O27" i="10"/>
  <c r="O26" i="10"/>
  <c r="BT424" i="1"/>
  <c r="BT11" i="1" s="1"/>
  <c r="BT27" i="1" s="1"/>
  <c r="BY408" i="1"/>
  <c r="AA149" i="3" s="1"/>
  <c r="BT413" i="1"/>
  <c r="BT425" i="1"/>
  <c r="BT12" i="1" s="1"/>
  <c r="BT28" i="1" s="1"/>
  <c r="BY409" i="1"/>
  <c r="AA150" i="3" s="1"/>
  <c r="BT431" i="1"/>
  <c r="K12" i="18" l="1"/>
  <c r="BW327" i="1"/>
  <c r="BV327" i="1"/>
  <c r="I12" i="18"/>
  <c r="L12" i="18"/>
  <c r="P13" i="18" s="1"/>
  <c r="M12" i="18"/>
  <c r="O12" i="18"/>
  <c r="G12" i="18"/>
  <c r="H12" i="18"/>
  <c r="N12" i="18"/>
  <c r="J12" i="18"/>
  <c r="K9" i="16"/>
  <c r="K9" i="18"/>
  <c r="K11" i="16"/>
  <c r="M9" i="18"/>
  <c r="Q9" i="18"/>
  <c r="N11" i="18"/>
  <c r="R11" i="18"/>
  <c r="AP8" i="18"/>
  <c r="AP8" i="16"/>
  <c r="N11" i="16"/>
  <c r="R11" i="16"/>
  <c r="AP10" i="16"/>
  <c r="AP10" i="18"/>
  <c r="M11" i="18"/>
  <c r="Q11" i="18"/>
  <c r="O11" i="16"/>
  <c r="S11" i="16"/>
  <c r="BT541" i="1"/>
  <c r="AP25" i="16"/>
  <c r="AP30" i="18"/>
  <c r="O11" i="18"/>
  <c r="S11" i="18"/>
  <c r="M11" i="16"/>
  <c r="Q11" i="16"/>
  <c r="AQ10" i="16"/>
  <c r="AQ10" i="18"/>
  <c r="L9" i="18"/>
  <c r="P9" i="18"/>
  <c r="AR8" i="18"/>
  <c r="AR8" i="16"/>
  <c r="L11" i="18"/>
  <c r="P11" i="18"/>
  <c r="O9" i="16"/>
  <c r="S9" i="16"/>
  <c r="L9" i="16"/>
  <c r="P9" i="16"/>
  <c r="L11" i="16"/>
  <c r="P11" i="16"/>
  <c r="O9" i="18"/>
  <c r="S9" i="18"/>
  <c r="R15" i="18"/>
  <c r="AR10" i="18"/>
  <c r="AR10" i="16"/>
  <c r="AQ8" i="18"/>
  <c r="AQ8" i="16"/>
  <c r="N9" i="16"/>
  <c r="R9" i="16"/>
  <c r="R13" i="16"/>
  <c r="AR12" i="16"/>
  <c r="AR14" i="18"/>
  <c r="N9" i="18"/>
  <c r="R9" i="18"/>
  <c r="K11" i="18"/>
  <c r="M9" i="16"/>
  <c r="Q9" i="16"/>
  <c r="BS125" i="7"/>
  <c r="BO33" i="7"/>
  <c r="BO34" i="7" s="1"/>
  <c r="BS111" i="7"/>
  <c r="BL33" i="7"/>
  <c r="BL34" i="7" s="1"/>
  <c r="BN33" i="7"/>
  <c r="BN34" i="7" s="1"/>
  <c r="BN98" i="7"/>
  <c r="BM33" i="7"/>
  <c r="BM34" i="7" s="1"/>
  <c r="BK33" i="7"/>
  <c r="BK34" i="7" s="1"/>
  <c r="BV276" i="1"/>
  <c r="CA278" i="1"/>
  <c r="CD277" i="1"/>
  <c r="CI278" i="1" s="1"/>
  <c r="BM98" i="7"/>
  <c r="BW276" i="1"/>
  <c r="CB278" i="1"/>
  <c r="BZ276" i="1"/>
  <c r="BZ278" i="1"/>
  <c r="CE278" i="1"/>
  <c r="BK98" i="7"/>
  <c r="BX276" i="1"/>
  <c r="CC278" i="1"/>
  <c r="CE259" i="1"/>
  <c r="BZ327" i="1"/>
  <c r="BU259" i="1"/>
  <c r="BU327" i="1"/>
  <c r="CC259" i="1"/>
  <c r="BX327" i="1"/>
  <c r="BS124" i="7"/>
  <c r="BS108" i="7"/>
  <c r="BH33" i="7"/>
  <c r="BH34" i="7" s="1"/>
  <c r="BH98" i="7"/>
  <c r="BG33" i="7"/>
  <c r="BG34" i="7" s="1"/>
  <c r="BG98" i="7"/>
  <c r="BJ33" i="7"/>
  <c r="BJ34" i="7" s="1"/>
  <c r="BJ98" i="7"/>
  <c r="BI33" i="7"/>
  <c r="BI34" i="7" s="1"/>
  <c r="BI98" i="7"/>
  <c r="BV23" i="1"/>
  <c r="BN1" i="7"/>
  <c r="BO2" i="7"/>
  <c r="BX6" i="1"/>
  <c r="CC22" i="1" s="1"/>
  <c r="CD264" i="1"/>
  <c r="CI265" i="1" s="1"/>
  <c r="CC24" i="1"/>
  <c r="BW23" i="1"/>
  <c r="CB23" i="1"/>
  <c r="CA23" i="1"/>
  <c r="BX23" i="1"/>
  <c r="CD9" i="1"/>
  <c r="CS73" i="7"/>
  <c r="BY420" i="1"/>
  <c r="CD421" i="1"/>
  <c r="CI421" i="1"/>
  <c r="CD420" i="1"/>
  <c r="CI420" i="1"/>
  <c r="BY8" i="1"/>
  <c r="BY418" i="1"/>
  <c r="CD418" i="1"/>
  <c r="CI418" i="1"/>
  <c r="BT7" i="1"/>
  <c r="BT23" i="1" s="1"/>
  <c r="BY7" i="1"/>
  <c r="BY417" i="1"/>
  <c r="BY421" i="1"/>
  <c r="CR73" i="7"/>
  <c r="CD7" i="1"/>
  <c r="CD417" i="1"/>
  <c r="CI417" i="1"/>
  <c r="BU23" i="1"/>
  <c r="BZ249" i="1"/>
  <c r="CE249" i="1"/>
  <c r="BZ27" i="1"/>
  <c r="CE27" i="1"/>
  <c r="BZ28" i="1"/>
  <c r="CE28" i="1"/>
  <c r="BY27" i="1"/>
  <c r="CD27" i="1"/>
  <c r="CD28" i="1"/>
  <c r="BW24" i="1"/>
  <c r="BU24" i="1"/>
  <c r="BZ23" i="1"/>
  <c r="BZ6" i="1"/>
  <c r="BV24" i="1"/>
  <c r="BY28" i="1"/>
  <c r="BZ24" i="1"/>
  <c r="BX24" i="1"/>
  <c r="BT248" i="1"/>
  <c r="BT8" i="1"/>
  <c r="BT24" i="1" s="1"/>
  <c r="BZ254" i="1"/>
  <c r="CD248" i="1"/>
  <c r="CI249" i="1" s="1"/>
  <c r="CD8" i="1"/>
  <c r="CD258" i="1"/>
  <c r="CD253" i="1"/>
  <c r="CI254" i="1" s="1"/>
  <c r="BV254" i="1"/>
  <c r="CA254" i="1"/>
  <c r="BX249" i="1"/>
  <c r="CC249" i="1"/>
  <c r="BW254" i="1"/>
  <c r="CB254" i="1"/>
  <c r="BX254" i="1"/>
  <c r="CC254" i="1"/>
  <c r="BW249" i="1"/>
  <c r="CB249" i="1"/>
  <c r="BV249" i="1"/>
  <c r="CA249" i="1"/>
  <c r="BW259" i="1"/>
  <c r="CB259" i="1"/>
  <c r="BT407" i="1"/>
  <c r="BY407" i="1"/>
  <c r="BV259" i="1"/>
  <c r="CA259" i="1"/>
  <c r="CS31" i="7"/>
  <c r="BY248" i="1"/>
  <c r="BX259" i="1"/>
  <c r="CR32" i="7"/>
  <c r="BT253" i="1"/>
  <c r="CS32" i="7"/>
  <c r="BY253" i="1"/>
  <c r="BT533" i="1"/>
  <c r="CR31" i="7"/>
  <c r="BT264" i="1"/>
  <c r="BY533" i="1"/>
  <c r="BT532" i="1"/>
  <c r="BY532" i="1"/>
  <c r="BY264" i="1"/>
  <c r="BY277" i="1"/>
  <c r="BZ259" i="1"/>
  <c r="BY258" i="1"/>
  <c r="BT258" i="1"/>
  <c r="Q4" i="10"/>
  <c r="P27" i="10"/>
  <c r="P26" i="10"/>
  <c r="Q230" i="2"/>
  <c r="R226" i="2" s="1"/>
  <c r="Q226" i="2"/>
  <c r="Q159" i="2"/>
  <c r="Q185" i="2"/>
  <c r="Q23" i="2" s="1"/>
  <c r="P91" i="2"/>
  <c r="Q91" i="2"/>
  <c r="Q4" i="2"/>
  <c r="Q134" i="2" s="1"/>
  <c r="Q5" i="2"/>
  <c r="Q6" i="2"/>
  <c r="Q8" i="2"/>
  <c r="Q12" i="2"/>
  <c r="Q14" i="2"/>
  <c r="Q24" i="2"/>
  <c r="Q25" i="2"/>
  <c r="Q29" i="2"/>
  <c r="Q30" i="2" s="1"/>
  <c r="Q33" i="2"/>
  <c r="Q34" i="2"/>
  <c r="Q104" i="2"/>
  <c r="Q114" i="2"/>
  <c r="Q115" i="2"/>
  <c r="R116" i="2" s="1"/>
  <c r="Q126" i="2"/>
  <c r="Q56" i="2" s="1"/>
  <c r="Q299" i="2" s="1"/>
  <c r="AA80" i="3" s="1"/>
  <c r="Q133" i="2"/>
  <c r="Q123" i="2" s="1"/>
  <c r="R124" i="2" s="1"/>
  <c r="Q154" i="2"/>
  <c r="Q157" i="2"/>
  <c r="Q164" i="2"/>
  <c r="Q167" i="2"/>
  <c r="Q207" i="2"/>
  <c r="Q280" i="2"/>
  <c r="Q325" i="2"/>
  <c r="K13" i="18" l="1"/>
  <c r="L13" i="18"/>
  <c r="CS33" i="7"/>
  <c r="M13" i="18"/>
  <c r="Q13" i="18"/>
  <c r="AQ12" i="18"/>
  <c r="AR12" i="18"/>
  <c r="N13" i="18"/>
  <c r="R13" i="18"/>
  <c r="AP12" i="18"/>
  <c r="O13" i="18"/>
  <c r="S13" i="18"/>
  <c r="AQ9" i="16"/>
  <c r="AQ11" i="18"/>
  <c r="AQ11" i="16"/>
  <c r="AQ9" i="18"/>
  <c r="AR11" i="16"/>
  <c r="AS11" i="16"/>
  <c r="AR9" i="16"/>
  <c r="AS9" i="16"/>
  <c r="AR11" i="18"/>
  <c r="AS11" i="18"/>
  <c r="AR9" i="18"/>
  <c r="AS9" i="18"/>
  <c r="CD278" i="1"/>
  <c r="CD276" i="1"/>
  <c r="CI259" i="1"/>
  <c r="CD327" i="1"/>
  <c r="CD265" i="1"/>
  <c r="BP2" i="7"/>
  <c r="BO1" i="7"/>
  <c r="BY23" i="1"/>
  <c r="CD23" i="1"/>
  <c r="Q22" i="2"/>
  <c r="Q27" i="2" s="1"/>
  <c r="R161" i="2"/>
  <c r="BY249" i="1"/>
  <c r="CD6" i="1"/>
  <c r="CD24" i="1"/>
  <c r="BY24" i="1"/>
  <c r="CD254" i="1"/>
  <c r="CD259" i="1"/>
  <c r="CD249" i="1"/>
  <c r="BY254" i="1"/>
  <c r="BY276" i="1"/>
  <c r="AA261" i="3"/>
  <c r="CR80" i="7"/>
  <c r="Z260" i="3"/>
  <c r="CS80" i="7"/>
  <c r="AA260" i="3"/>
  <c r="CR33" i="7"/>
  <c r="BT265" i="1"/>
  <c r="BY259" i="1"/>
  <c r="BY265" i="1"/>
  <c r="R4" i="10"/>
  <c r="Q27" i="10"/>
  <c r="Q26" i="10"/>
  <c r="Q161" i="2"/>
  <c r="Q253" i="2"/>
  <c r="Q43" i="2"/>
  <c r="Q113" i="2"/>
  <c r="BO44" i="7"/>
  <c r="BO39" i="7"/>
  <c r="BZ399" i="1"/>
  <c r="BZ398" i="1"/>
  <c r="BV398" i="1"/>
  <c r="BW398" i="1"/>
  <c r="BX398" i="1"/>
  <c r="BV399" i="1"/>
  <c r="BW399" i="1"/>
  <c r="BX399" i="1"/>
  <c r="BU399" i="1"/>
  <c r="BU398" i="1"/>
  <c r="BS399" i="1"/>
  <c r="BR399" i="1"/>
  <c r="BQ399" i="1"/>
  <c r="BP399" i="1"/>
  <c r="BS398" i="1"/>
  <c r="BR398" i="1"/>
  <c r="BQ398" i="1"/>
  <c r="BP398" i="1"/>
  <c r="BZ508" i="1"/>
  <c r="O77" i="18" s="1"/>
  <c r="BO9" i="7"/>
  <c r="BO22" i="7" s="1"/>
  <c r="BZ38" i="1"/>
  <c r="CE39" i="1" s="1"/>
  <c r="BZ432" i="1"/>
  <c r="BZ394" i="1"/>
  <c r="CE395" i="1" s="1"/>
  <c r="BZ391" i="1"/>
  <c r="CE392" i="1" s="1"/>
  <c r="BZ366" i="1"/>
  <c r="CE368" i="1" s="1"/>
  <c r="BZ211" i="1"/>
  <c r="BO51" i="7" s="1"/>
  <c r="CE206" i="1"/>
  <c r="BZ203" i="1"/>
  <c r="BZ200" i="1"/>
  <c r="CE201" i="1" s="1"/>
  <c r="BZ170" i="1"/>
  <c r="CE171" i="1" s="1"/>
  <c r="BZ168" i="1"/>
  <c r="BZ166" i="1"/>
  <c r="CE167" i="1" s="1"/>
  <c r="BZ159" i="1"/>
  <c r="BZ154" i="1"/>
  <c r="CE155" i="1" s="1"/>
  <c r="BZ148" i="1"/>
  <c r="BZ143" i="1"/>
  <c r="CE144" i="1" s="1"/>
  <c r="BZ110" i="1"/>
  <c r="BZ104" i="1"/>
  <c r="CA102" i="1" s="1"/>
  <c r="AQ13" i="18" l="1"/>
  <c r="AR13" i="18"/>
  <c r="AS13" i="18"/>
  <c r="O31" i="18"/>
  <c r="O79" i="18" s="1"/>
  <c r="O26" i="16"/>
  <c r="S78" i="18"/>
  <c r="BO35" i="7"/>
  <c r="CE204" i="1"/>
  <c r="BO63" i="7"/>
  <c r="BP1" i="7"/>
  <c r="BQ2" i="7"/>
  <c r="CD168" i="1"/>
  <c r="CI169" i="1" s="1"/>
  <c r="CE169" i="1"/>
  <c r="CA108" i="1"/>
  <c r="CA109" i="1" s="1"/>
  <c r="CE111" i="1"/>
  <c r="CE237" i="1" s="1"/>
  <c r="CE238" i="1" s="1"/>
  <c r="CJ239" i="1" s="1"/>
  <c r="CE433" i="1"/>
  <c r="CE542" i="1"/>
  <c r="CA209" i="1"/>
  <c r="CE208" i="1"/>
  <c r="CD432" i="1"/>
  <c r="BZ374" i="1"/>
  <c r="CE375" i="1" s="1"/>
  <c r="BO40" i="7"/>
  <c r="CD170" i="1"/>
  <c r="CI171" i="1" s="1"/>
  <c r="BZ236" i="1"/>
  <c r="CD166" i="1"/>
  <c r="CI167" i="1" s="1"/>
  <c r="BZ49" i="1"/>
  <c r="CD508" i="1"/>
  <c r="CT80" i="7"/>
  <c r="AB260" i="3"/>
  <c r="BO49" i="7"/>
  <c r="CB191" i="1"/>
  <c r="CG192" i="1" s="1"/>
  <c r="CA105" i="1"/>
  <c r="CA242" i="1" s="1"/>
  <c r="CA243" i="1" s="1"/>
  <c r="CF244" i="1" s="1"/>
  <c r="CA103" i="1"/>
  <c r="Q169" i="2"/>
  <c r="Q258" i="2" s="1"/>
  <c r="BZ266" i="1"/>
  <c r="BZ241" i="1"/>
  <c r="BZ97" i="1"/>
  <c r="BZ117" i="1"/>
  <c r="S4" i="10"/>
  <c r="R27" i="10"/>
  <c r="R26" i="10"/>
  <c r="BO7" i="7"/>
  <c r="BO43" i="7"/>
  <c r="BO42" i="7"/>
  <c r="BO47" i="7"/>
  <c r="BO48" i="7"/>
  <c r="BZ37" i="1"/>
  <c r="BZ472" i="1"/>
  <c r="BZ96" i="1"/>
  <c r="BZ509" i="1"/>
  <c r="BZ452" i="1"/>
  <c r="BZ455" i="1"/>
  <c r="BZ52" i="1"/>
  <c r="BO12" i="7" s="1"/>
  <c r="BZ332" i="1"/>
  <c r="CE334" i="1" s="1"/>
  <c r="BZ515" i="1"/>
  <c r="CE516" i="1" s="1"/>
  <c r="S24" i="19" l="1"/>
  <c r="AB156" i="3"/>
  <c r="R73" i="2"/>
  <c r="R74" i="2" s="1"/>
  <c r="AR77" i="18"/>
  <c r="S27" i="16"/>
  <c r="S47" i="16"/>
  <c r="O46" i="16"/>
  <c r="O52" i="16"/>
  <c r="CI433" i="1"/>
  <c r="AR26" i="16"/>
  <c r="AR31" i="18"/>
  <c r="S32" i="18"/>
  <c r="S52" i="18"/>
  <c r="O51" i="18"/>
  <c r="O60" i="18"/>
  <c r="BQ1" i="7"/>
  <c r="BR2" i="7"/>
  <c r="BO11" i="7"/>
  <c r="CE50" i="1"/>
  <c r="CE246" i="1"/>
  <c r="CE247" i="1" s="1"/>
  <c r="CE256" i="1"/>
  <c r="CE257" i="1" s="1"/>
  <c r="CD374" i="1"/>
  <c r="R166" i="2"/>
  <c r="R153" i="2"/>
  <c r="R163" i="2"/>
  <c r="R160" i="2"/>
  <c r="R156" i="2"/>
  <c r="CD509" i="1"/>
  <c r="CA251" i="1"/>
  <c r="CA252" i="1" s="1"/>
  <c r="BO46" i="7"/>
  <c r="CA197" i="1"/>
  <c r="BP45" i="7" s="1"/>
  <c r="CA115" i="1"/>
  <c r="CA173" i="1" s="1"/>
  <c r="Q58" i="2"/>
  <c r="Q292" i="2" s="1"/>
  <c r="AA73" i="3" s="1"/>
  <c r="BZ98" i="1"/>
  <c r="BZ99" i="1" s="1"/>
  <c r="BZ210" i="1"/>
  <c r="BO50" i="7" s="1"/>
  <c r="BZ160" i="1"/>
  <c r="T4" i="10"/>
  <c r="S27" i="10"/>
  <c r="S26" i="10"/>
  <c r="BZ31" i="1"/>
  <c r="CE32" i="1" s="1"/>
  <c r="BZ30" i="1"/>
  <c r="BP41" i="7" l="1"/>
  <c r="CF174" i="1"/>
  <c r="AR44" i="18"/>
  <c r="CD467" i="1"/>
  <c r="AS32" i="18"/>
  <c r="AR51" i="18"/>
  <c r="AR60" i="18"/>
  <c r="AR79" i="18"/>
  <c r="AS78" i="18"/>
  <c r="AS27" i="16"/>
  <c r="AR46" i="16"/>
  <c r="AR52" i="16"/>
  <c r="BO37" i="7"/>
  <c r="BO24" i="7"/>
  <c r="BS2" i="7"/>
  <c r="BR1" i="7"/>
  <c r="U163" i="2"/>
  <c r="BZ358" i="1"/>
  <c r="BZ337" i="1"/>
  <c r="BZ371" i="1"/>
  <c r="BZ350" i="1"/>
  <c r="CT73" i="7"/>
  <c r="AB261" i="3"/>
  <c r="CA118" i="1"/>
  <c r="CA230" i="1" s="1"/>
  <c r="CA116" i="1"/>
  <c r="U4" i="10"/>
  <c r="T27" i="10"/>
  <c r="T26" i="10"/>
  <c r="BZ40" i="1"/>
  <c r="BZ51" i="1"/>
  <c r="BZ354" i="1"/>
  <c r="BZ341" i="1"/>
  <c r="BZ367" i="1"/>
  <c r="BZ330" i="1"/>
  <c r="BZ346" i="1"/>
  <c r="BZ333" i="1"/>
  <c r="BT2" i="7" l="1"/>
  <c r="BS1" i="7"/>
  <c r="V163" i="2"/>
  <c r="V4" i="10"/>
  <c r="U27" i="10"/>
  <c r="U26" i="10"/>
  <c r="CT45" i="7"/>
  <c r="CU45" i="7"/>
  <c r="CV45" i="7"/>
  <c r="CW45" i="7"/>
  <c r="CX45" i="7"/>
  <c r="CY45" i="7"/>
  <c r="CH8" i="7"/>
  <c r="CG8" i="7"/>
  <c r="BU2" i="7" l="1"/>
  <c r="BT1" i="7"/>
  <c r="W163" i="2"/>
  <c r="W4" i="10"/>
  <c r="V27" i="10"/>
  <c r="V26" i="10"/>
  <c r="BN39" i="7"/>
  <c r="BN44" i="7"/>
  <c r="CK62" i="7"/>
  <c r="CK59" i="7"/>
  <c r="CK57" i="7"/>
  <c r="CK56" i="7"/>
  <c r="CK55" i="7"/>
  <c r="CK54" i="7"/>
  <c r="CK51" i="7"/>
  <c r="CK50" i="7"/>
  <c r="CK46" i="7"/>
  <c r="CK44" i="7"/>
  <c r="CK39" i="7"/>
  <c r="CK9" i="7"/>
  <c r="CJ62" i="7"/>
  <c r="CJ59" i="7"/>
  <c r="CJ57" i="7"/>
  <c r="CJ56" i="7"/>
  <c r="CJ55" i="7"/>
  <c r="CJ54" i="7"/>
  <c r="CJ51" i="7"/>
  <c r="CJ50" i="7"/>
  <c r="CJ49" i="7"/>
  <c r="CJ46" i="7"/>
  <c r="CJ44" i="7"/>
  <c r="CJ39" i="7"/>
  <c r="CJ9" i="7"/>
  <c r="CI62" i="7"/>
  <c r="CI59" i="7"/>
  <c r="CI57" i="7"/>
  <c r="CI56" i="7"/>
  <c r="CI51" i="7"/>
  <c r="CI50" i="7"/>
  <c r="CI49" i="7"/>
  <c r="CI46" i="7"/>
  <c r="CI44" i="7"/>
  <c r="CI39" i="7"/>
  <c r="CI9" i="7"/>
  <c r="CH62" i="7"/>
  <c r="CH60" i="7"/>
  <c r="CH59" i="7"/>
  <c r="CH58" i="7"/>
  <c r="CH57" i="7"/>
  <c r="CH56" i="7"/>
  <c r="CH55" i="7"/>
  <c r="CH54" i="7"/>
  <c r="CH51" i="7"/>
  <c r="CH50" i="7"/>
  <c r="CH49" i="7"/>
  <c r="CH46" i="7"/>
  <c r="CH44" i="7"/>
  <c r="CH40" i="7"/>
  <c r="CH39" i="7"/>
  <c r="CH9" i="7"/>
  <c r="CG62" i="7"/>
  <c r="CG60" i="7"/>
  <c r="CG59" i="7"/>
  <c r="CG58" i="7"/>
  <c r="CG57" i="7"/>
  <c r="CG56" i="7"/>
  <c r="CG55" i="7"/>
  <c r="CG54" i="7"/>
  <c r="CG51" i="7"/>
  <c r="CG50" i="7"/>
  <c r="CG49" i="7"/>
  <c r="CG46" i="7"/>
  <c r="CG44" i="7"/>
  <c r="CG40" i="7"/>
  <c r="CG39" i="7"/>
  <c r="CG9" i="7"/>
  <c r="CS45" i="7"/>
  <c r="CH2" i="7"/>
  <c r="CI2" i="7" s="1"/>
  <c r="CJ2" i="7" s="1"/>
  <c r="CK2" i="7" s="1"/>
  <c r="CL2" i="7" s="1"/>
  <c r="CM2" i="7" s="1"/>
  <c r="CN2" i="7" s="1"/>
  <c r="CO2" i="7" s="1"/>
  <c r="CP2" i="7" s="1"/>
  <c r="CQ2" i="7" s="1"/>
  <c r="CR2" i="7" s="1"/>
  <c r="CS2" i="7" s="1"/>
  <c r="CT2" i="7" s="1"/>
  <c r="CU2" i="7" s="1"/>
  <c r="CV2" i="7" s="1"/>
  <c r="CW2" i="7" s="1"/>
  <c r="CX2" i="7" s="1"/>
  <c r="CY2" i="7" s="1"/>
  <c r="CH1" i="7"/>
  <c r="CI1" i="7" s="1"/>
  <c r="CJ1" i="7" s="1"/>
  <c r="CK1" i="7" s="1"/>
  <c r="CL1" i="7" s="1"/>
  <c r="CM1" i="7" s="1"/>
  <c r="CN1" i="7" s="1"/>
  <c r="CO1" i="7" s="1"/>
  <c r="CP1" i="7" s="1"/>
  <c r="CQ1" i="7" s="1"/>
  <c r="CR1" i="7" s="1"/>
  <c r="CS1" i="7" s="1"/>
  <c r="CT1" i="7" s="1"/>
  <c r="CU1" i="7" s="1"/>
  <c r="CV1" i="7" s="1"/>
  <c r="CW1" i="7" s="1"/>
  <c r="CX1" i="7" s="1"/>
  <c r="CY1" i="7" s="1"/>
  <c r="BE487" i="1"/>
  <c r="CB454" i="1"/>
  <c r="CA454" i="1"/>
  <c r="BZ454" i="1"/>
  <c r="CC347" i="1"/>
  <c r="CB347" i="1"/>
  <c r="CA347" i="1"/>
  <c r="BX366" i="1"/>
  <c r="CC368" i="1" s="1"/>
  <c r="BW366" i="1"/>
  <c r="CB368" i="1" s="1"/>
  <c r="BV366" i="1"/>
  <c r="CA368" i="1" s="1"/>
  <c r="BU366" i="1"/>
  <c r="BS366" i="1"/>
  <c r="BR366" i="1"/>
  <c r="BQ366" i="1"/>
  <c r="BP366" i="1"/>
  <c r="BN366" i="1"/>
  <c r="BM366" i="1"/>
  <c r="BL366" i="1"/>
  <c r="BK366" i="1"/>
  <c r="BI366" i="1"/>
  <c r="BH366" i="1"/>
  <c r="BG366" i="1"/>
  <c r="BF366" i="1"/>
  <c r="BD366" i="1"/>
  <c r="BC366" i="1"/>
  <c r="BB366" i="1"/>
  <c r="BA366" i="1"/>
  <c r="AY366" i="1"/>
  <c r="AX366" i="1"/>
  <c r="AW366" i="1"/>
  <c r="CC342" i="1"/>
  <c r="CB342" i="1"/>
  <c r="CA342" i="1"/>
  <c r="CC331" i="1"/>
  <c r="CB331" i="1"/>
  <c r="AV374" i="1"/>
  <c r="AT374" i="1"/>
  <c r="AS374" i="1"/>
  <c r="AR374" i="1"/>
  <c r="AQ374" i="1"/>
  <c r="CC328" i="1"/>
  <c r="CB328" i="1"/>
  <c r="CA328" i="1"/>
  <c r="BX432" i="1"/>
  <c r="BW432" i="1"/>
  <c r="BV432" i="1"/>
  <c r="BU432" i="1"/>
  <c r="BS432" i="1"/>
  <c r="BR432" i="1"/>
  <c r="BQ432" i="1"/>
  <c r="BP432" i="1"/>
  <c r="BN432" i="1"/>
  <c r="BM432" i="1"/>
  <c r="BL432" i="1"/>
  <c r="BK432" i="1"/>
  <c r="BI432" i="1"/>
  <c r="BH432" i="1"/>
  <c r="BG432" i="1"/>
  <c r="BF432" i="1"/>
  <c r="BD432" i="1"/>
  <c r="BC432" i="1"/>
  <c r="BB432" i="1"/>
  <c r="BX104" i="1"/>
  <c r="BX110" i="1"/>
  <c r="BX143" i="1"/>
  <c r="CC144" i="1" s="1"/>
  <c r="BX148" i="1"/>
  <c r="BX154" i="1"/>
  <c r="CC155" i="1" s="1"/>
  <c r="BX159" i="1"/>
  <c r="BX166" i="1"/>
  <c r="BX168" i="1"/>
  <c r="CC169" i="1" s="1"/>
  <c r="BX170" i="1"/>
  <c r="BX200" i="1"/>
  <c r="CC201" i="1" s="1"/>
  <c r="BX203" i="1"/>
  <c r="CC206" i="1"/>
  <c r="CC208" i="1"/>
  <c r="BX211" i="1"/>
  <c r="BX391" i="1"/>
  <c r="CC392" i="1" s="1"/>
  <c r="BX394" i="1"/>
  <c r="CC395" i="1" s="1"/>
  <c r="BX508" i="1"/>
  <c r="N77" i="18" s="1"/>
  <c r="D276" i="3"/>
  <c r="E276" i="3"/>
  <c r="F276" i="3"/>
  <c r="G276" i="3"/>
  <c r="H276" i="3"/>
  <c r="I276" i="3"/>
  <c r="J276" i="3"/>
  <c r="K276" i="3"/>
  <c r="D277" i="3"/>
  <c r="E277" i="3"/>
  <c r="F277" i="3"/>
  <c r="G277" i="3"/>
  <c r="H277" i="3"/>
  <c r="I277" i="3"/>
  <c r="J277" i="3"/>
  <c r="K277" i="3"/>
  <c r="D282" i="3"/>
  <c r="E282" i="3"/>
  <c r="F282" i="3"/>
  <c r="G282" i="3"/>
  <c r="H282" i="3"/>
  <c r="I282" i="3"/>
  <c r="J282" i="3"/>
  <c r="K282" i="3"/>
  <c r="C282" i="3"/>
  <c r="C277" i="3"/>
  <c r="C276" i="3"/>
  <c r="BX374" i="1" l="1"/>
  <c r="BX361" i="1" s="1"/>
  <c r="N26" i="16"/>
  <c r="N31" i="18"/>
  <c r="N79" i="18" s="1"/>
  <c r="D31" i="18"/>
  <c r="D26" i="16"/>
  <c r="E31" i="18"/>
  <c r="E26" i="16"/>
  <c r="R78" i="18"/>
  <c r="G31" i="18"/>
  <c r="G26" i="16"/>
  <c r="BW374" i="1"/>
  <c r="BW361" i="1" s="1"/>
  <c r="M26" i="16"/>
  <c r="M31" i="18"/>
  <c r="H31" i="18"/>
  <c r="H26" i="16"/>
  <c r="I31" i="18"/>
  <c r="I26" i="16"/>
  <c r="C26" i="16"/>
  <c r="C31" i="18"/>
  <c r="F31" i="18"/>
  <c r="F26" i="16"/>
  <c r="BU374" i="1"/>
  <c r="BU361" i="1" s="1"/>
  <c r="K26" i="16"/>
  <c r="K31" i="18"/>
  <c r="J31" i="18"/>
  <c r="J26" i="16"/>
  <c r="BV374" i="1"/>
  <c r="BV361" i="1" s="1"/>
  <c r="L31" i="18"/>
  <c r="L26" i="16"/>
  <c r="CC204" i="1"/>
  <c r="BN63" i="7"/>
  <c r="BV2" i="7"/>
  <c r="BU1" i="7"/>
  <c r="E278" i="3"/>
  <c r="E279" i="3" s="1"/>
  <c r="E280" i="3" s="1"/>
  <c r="X163" i="2"/>
  <c r="CC433" i="1"/>
  <c r="CC542" i="1"/>
  <c r="BN9" i="7"/>
  <c r="BN22" i="7" s="1"/>
  <c r="CC454" i="1"/>
  <c r="BX97" i="1"/>
  <c r="CC111" i="1"/>
  <c r="CC237" i="1" s="1"/>
  <c r="CC238" i="1" s="1"/>
  <c r="CH239" i="1" s="1"/>
  <c r="BN40" i="7"/>
  <c r="CC171" i="1"/>
  <c r="BX236" i="1"/>
  <c r="CC167" i="1"/>
  <c r="CB433" i="1"/>
  <c r="CB542" i="1"/>
  <c r="BN51" i="7"/>
  <c r="CB212" i="1"/>
  <c r="CA433" i="1"/>
  <c r="CA542" i="1"/>
  <c r="AX374" i="1"/>
  <c r="AY374" i="1"/>
  <c r="BA374" i="1"/>
  <c r="BM542" i="1"/>
  <c r="BW542" i="1"/>
  <c r="BZ347" i="1"/>
  <c r="BY345" i="1"/>
  <c r="BZ368" i="1"/>
  <c r="BY366" i="1"/>
  <c r="AW374" i="1"/>
  <c r="BZ342" i="1"/>
  <c r="BY340" i="1"/>
  <c r="BZ331" i="1"/>
  <c r="BZ328" i="1"/>
  <c r="BY326" i="1"/>
  <c r="AQ35" i="18" s="1"/>
  <c r="BN48" i="7"/>
  <c r="BX266" i="1"/>
  <c r="BX241" i="1"/>
  <c r="BP542" i="1"/>
  <c r="BN43" i="7"/>
  <c r="BN42" i="7"/>
  <c r="BQ542" i="1"/>
  <c r="BN542" i="1"/>
  <c r="BX542" i="1"/>
  <c r="BG542" i="1"/>
  <c r="BH542" i="1"/>
  <c r="BR542" i="1"/>
  <c r="BI542" i="1"/>
  <c r="BS542" i="1"/>
  <c r="BK542" i="1"/>
  <c r="BU542" i="1"/>
  <c r="BZ542" i="1"/>
  <c r="BL542" i="1"/>
  <c r="BV542" i="1"/>
  <c r="BY432" i="1"/>
  <c r="X4" i="10"/>
  <c r="W27" i="10"/>
  <c r="W26" i="10"/>
  <c r="BN7" i="7"/>
  <c r="BZ433" i="1"/>
  <c r="BY469" i="1"/>
  <c r="BN49" i="7"/>
  <c r="BZ191" i="1"/>
  <c r="CE192" i="1" s="1"/>
  <c r="BY110" i="1"/>
  <c r="CD111" i="1" s="1"/>
  <c r="CD237" i="1" s="1"/>
  <c r="BY200" i="1"/>
  <c r="CA191" i="1" s="1"/>
  <c r="BY104" i="1"/>
  <c r="BZ102" i="1" s="1"/>
  <c r="BN47" i="7"/>
  <c r="G278" i="3"/>
  <c r="G279" i="3" s="1"/>
  <c r="G280" i="3" s="1"/>
  <c r="BX347" i="1"/>
  <c r="BX472" i="1"/>
  <c r="H278" i="3"/>
  <c r="H279" i="3" s="1"/>
  <c r="H280" i="3" s="1"/>
  <c r="BX403" i="1"/>
  <c r="BX454" i="1"/>
  <c r="BX452" i="1"/>
  <c r="BY453" i="1"/>
  <c r="BE481" i="1"/>
  <c r="BX117" i="1"/>
  <c r="BY117" i="1" s="1"/>
  <c r="BX450" i="1"/>
  <c r="AZ479" i="1"/>
  <c r="BY464" i="1"/>
  <c r="BY463" i="1"/>
  <c r="BY451" i="1"/>
  <c r="BX509" i="1"/>
  <c r="BX342" i="1"/>
  <c r="BX455" i="1"/>
  <c r="BX368" i="1"/>
  <c r="BX332" i="1"/>
  <c r="CC334" i="1" s="1"/>
  <c r="BX52" i="1"/>
  <c r="BN12" i="7" s="1"/>
  <c r="BX433" i="1"/>
  <c r="BX515" i="1"/>
  <c r="BX37" i="1"/>
  <c r="BX328" i="1"/>
  <c r="BX96" i="1"/>
  <c r="BX38" i="1"/>
  <c r="CC39" i="1" s="1"/>
  <c r="BX49" i="1"/>
  <c r="BX331" i="1"/>
  <c r="I278" i="3"/>
  <c r="I279" i="3" s="1"/>
  <c r="F278" i="3"/>
  <c r="F279" i="3" s="1"/>
  <c r="F280" i="3" s="1"/>
  <c r="K278" i="3"/>
  <c r="K279" i="3" s="1"/>
  <c r="J278" i="3"/>
  <c r="J279" i="3" s="1"/>
  <c r="J280" i="3" s="1"/>
  <c r="C278" i="3"/>
  <c r="C279" i="3" s="1"/>
  <c r="C280" i="3" s="1"/>
  <c r="D278" i="3"/>
  <c r="D279" i="3" s="1"/>
  <c r="D280" i="3" s="1"/>
  <c r="BM39" i="7"/>
  <c r="BM44" i="7"/>
  <c r="BW508" i="1"/>
  <c r="BW38" i="1"/>
  <c r="CB39" i="1" s="1"/>
  <c r="BW515" i="1"/>
  <c r="CB516" i="1" s="1"/>
  <c r="BW394" i="1"/>
  <c r="CB395" i="1" s="1"/>
  <c r="BW391" i="1"/>
  <c r="CB392" i="1" s="1"/>
  <c r="BW211" i="1"/>
  <c r="CB206" i="1"/>
  <c r="BW203" i="1"/>
  <c r="BW200" i="1"/>
  <c r="BW170" i="1"/>
  <c r="CB171" i="1" s="1"/>
  <c r="BW168" i="1"/>
  <c r="CB169" i="1" s="1"/>
  <c r="BW166" i="1"/>
  <c r="BW159" i="1"/>
  <c r="BW154" i="1"/>
  <c r="CB155" i="1" s="1"/>
  <c r="BW148" i="1"/>
  <c r="BW143" i="1"/>
  <c r="CB144" i="1" s="1"/>
  <c r="BW110" i="1"/>
  <c r="CB111" i="1" s="1"/>
  <c r="CB237" i="1" s="1"/>
  <c r="CB238" i="1" s="1"/>
  <c r="CG239" i="1" s="1"/>
  <c r="BW104" i="1"/>
  <c r="BW37" i="1"/>
  <c r="R24" i="19" l="1"/>
  <c r="AA156" i="3"/>
  <c r="CD454" i="1"/>
  <c r="R25" i="19"/>
  <c r="CD342" i="1"/>
  <c r="AQ38" i="18"/>
  <c r="CD347" i="1"/>
  <c r="AQ39" i="18"/>
  <c r="Q345" i="2"/>
  <c r="BY465" i="1"/>
  <c r="BW49" i="1"/>
  <c r="BM11" i="7" s="1"/>
  <c r="M77" i="18"/>
  <c r="J27" i="16"/>
  <c r="J41" i="16"/>
  <c r="J46" i="16"/>
  <c r="M27" i="16"/>
  <c r="M47" i="16"/>
  <c r="M46" i="16"/>
  <c r="M52" i="16"/>
  <c r="Q27" i="16"/>
  <c r="Q47" i="16"/>
  <c r="J46" i="18"/>
  <c r="J32" i="18"/>
  <c r="J51" i="18"/>
  <c r="M38" i="16"/>
  <c r="M39" i="16" s="1"/>
  <c r="M41" i="16" s="1"/>
  <c r="M43" i="18"/>
  <c r="M44" i="18" s="1"/>
  <c r="M46" i="18" s="1"/>
  <c r="K32" i="18"/>
  <c r="K51" i="18"/>
  <c r="K52" i="18"/>
  <c r="K60" i="18"/>
  <c r="O32" i="18"/>
  <c r="O52" i="18"/>
  <c r="G27" i="16"/>
  <c r="G41" i="16"/>
  <c r="G46" i="16"/>
  <c r="K27" i="16"/>
  <c r="K47" i="16"/>
  <c r="K46" i="16"/>
  <c r="K52" i="16"/>
  <c r="O27" i="16"/>
  <c r="O47" i="16"/>
  <c r="G46" i="18"/>
  <c r="G32" i="18"/>
  <c r="G51" i="18"/>
  <c r="K43" i="18"/>
  <c r="K44" i="18" s="1"/>
  <c r="K46" i="18" s="1"/>
  <c r="K38" i="16"/>
  <c r="K39" i="16" s="1"/>
  <c r="K41" i="16" s="1"/>
  <c r="F41" i="16"/>
  <c r="F62" i="16"/>
  <c r="F46" i="16"/>
  <c r="C46" i="18"/>
  <c r="C51" i="18"/>
  <c r="C70" i="18"/>
  <c r="Q166" i="2"/>
  <c r="AQ31" i="18"/>
  <c r="AQ26" i="16"/>
  <c r="C41" i="16"/>
  <c r="C46" i="16"/>
  <c r="C62" i="16"/>
  <c r="E46" i="18"/>
  <c r="E51" i="18"/>
  <c r="E70" i="18"/>
  <c r="E41" i="16"/>
  <c r="E62" i="16"/>
  <c r="E46" i="16"/>
  <c r="AQ49" i="18"/>
  <c r="AQ44" i="16"/>
  <c r="I27" i="16"/>
  <c r="I41" i="16"/>
  <c r="I46" i="16"/>
  <c r="D41" i="16"/>
  <c r="D46" i="16"/>
  <c r="D62" i="16"/>
  <c r="D46" i="18"/>
  <c r="D51" i="18"/>
  <c r="D70" i="18"/>
  <c r="H27" i="16"/>
  <c r="H41" i="16"/>
  <c r="H46" i="16"/>
  <c r="L32" i="18"/>
  <c r="L52" i="18"/>
  <c r="L51" i="18"/>
  <c r="L60" i="18"/>
  <c r="P32" i="18"/>
  <c r="P52" i="18"/>
  <c r="H46" i="18"/>
  <c r="H32" i="18"/>
  <c r="H51" i="18"/>
  <c r="N27" i="16"/>
  <c r="N47" i="16"/>
  <c r="N46" i="16"/>
  <c r="N52" i="16"/>
  <c r="R27" i="16"/>
  <c r="R47" i="16"/>
  <c r="F46" i="18"/>
  <c r="F51" i="18"/>
  <c r="F70" i="18"/>
  <c r="I46" i="18"/>
  <c r="I32" i="18"/>
  <c r="I51" i="18"/>
  <c r="L27" i="16"/>
  <c r="L47" i="16"/>
  <c r="L46" i="16"/>
  <c r="L52" i="16"/>
  <c r="P47" i="16"/>
  <c r="P27" i="16"/>
  <c r="N32" i="18"/>
  <c r="N51" i="18"/>
  <c r="N52" i="18"/>
  <c r="N60" i="18"/>
  <c r="R52" i="18"/>
  <c r="R32" i="18"/>
  <c r="L38" i="16"/>
  <c r="L39" i="16" s="1"/>
  <c r="L41" i="16" s="1"/>
  <c r="L43" i="18"/>
  <c r="L44" i="18" s="1"/>
  <c r="L46" i="18" s="1"/>
  <c r="M32" i="18"/>
  <c r="M52" i="18"/>
  <c r="M51" i="18"/>
  <c r="M60" i="18"/>
  <c r="Q52" i="18"/>
  <c r="Q32" i="18"/>
  <c r="N38" i="16"/>
  <c r="N39" i="16" s="1"/>
  <c r="N41" i="16" s="1"/>
  <c r="N43" i="18"/>
  <c r="N44" i="18" s="1"/>
  <c r="N46" i="18" s="1"/>
  <c r="BN35" i="7"/>
  <c r="BV1" i="7"/>
  <c r="BW2" i="7"/>
  <c r="CD328" i="1"/>
  <c r="BY327" i="1"/>
  <c r="CB204" i="1"/>
  <c r="BM63" i="7"/>
  <c r="Y163" i="2"/>
  <c r="BX98" i="1"/>
  <c r="BX99" i="1" s="1"/>
  <c r="BY374" i="1"/>
  <c r="CD118" i="1"/>
  <c r="CI120" i="1" s="1"/>
  <c r="CD115" i="1"/>
  <c r="CD119" i="1"/>
  <c r="BY471" i="1"/>
  <c r="R26" i="19" s="1"/>
  <c r="BX30" i="1"/>
  <c r="BX367" i="1" s="1"/>
  <c r="CC516" i="1"/>
  <c r="CC246" i="1"/>
  <c r="CC247" i="1" s="1"/>
  <c r="CC256" i="1"/>
  <c r="CC257" i="1" s="1"/>
  <c r="BN11" i="7"/>
  <c r="CC50" i="1"/>
  <c r="Q136" i="2"/>
  <c r="CD433" i="1"/>
  <c r="BX209" i="1"/>
  <c r="CB208" i="1"/>
  <c r="BW236" i="1"/>
  <c r="CB167" i="1"/>
  <c r="CB256" i="1"/>
  <c r="CB257" i="1" s="1"/>
  <c r="CB246" i="1"/>
  <c r="CB247" i="1" s="1"/>
  <c r="BM49" i="7"/>
  <c r="CB201" i="1"/>
  <c r="BM51" i="7"/>
  <c r="CA212" i="1"/>
  <c r="BZ105" i="1"/>
  <c r="BZ242" i="1" s="1"/>
  <c r="BZ243" i="1" s="1"/>
  <c r="BZ103" i="1"/>
  <c r="BY97" i="1"/>
  <c r="CD108" i="1" s="1"/>
  <c r="CD109" i="1" s="1"/>
  <c r="BZ108" i="1"/>
  <c r="BZ109" i="1" s="1"/>
  <c r="BW97" i="1"/>
  <c r="BX108" i="1"/>
  <c r="BX109" i="1" s="1"/>
  <c r="BW266" i="1"/>
  <c r="BW241" i="1"/>
  <c r="BW96" i="1"/>
  <c r="BX102" i="1"/>
  <c r="BM43" i="7"/>
  <c r="BM42" i="7"/>
  <c r="Q315" i="2"/>
  <c r="Y4" i="10"/>
  <c r="X27" i="10"/>
  <c r="X26" i="10"/>
  <c r="Q173" i="2"/>
  <c r="Q163" i="2"/>
  <c r="Q156" i="2"/>
  <c r="Q153" i="2"/>
  <c r="Q160" i="2"/>
  <c r="CS9" i="7"/>
  <c r="Q265" i="2"/>
  <c r="Q332" i="2"/>
  <c r="Q291" i="2" s="1"/>
  <c r="Q277" i="2"/>
  <c r="Q266" i="2"/>
  <c r="Q346" i="2"/>
  <c r="Q105" i="2" s="1"/>
  <c r="Q278" i="2"/>
  <c r="BZ115" i="1"/>
  <c r="BZ173" i="1" s="1"/>
  <c r="BZ197" i="1"/>
  <c r="BO45" i="7" s="1"/>
  <c r="BY37" i="1"/>
  <c r="BY38" i="1"/>
  <c r="CS7" i="7"/>
  <c r="BY31" i="1"/>
  <c r="BY96" i="1"/>
  <c r="CD102" i="1" s="1"/>
  <c r="BX210" i="1"/>
  <c r="BN46" i="7"/>
  <c r="BX160" i="1"/>
  <c r="BY452" i="1"/>
  <c r="BY455" i="1"/>
  <c r="BX31" i="1"/>
  <c r="I280" i="3"/>
  <c r="K280" i="3"/>
  <c r="BW332" i="1"/>
  <c r="CB334" i="1" s="1"/>
  <c r="BW509" i="1"/>
  <c r="BW31" i="1"/>
  <c r="BW30" i="1"/>
  <c r="BM47" i="7"/>
  <c r="BM7" i="7"/>
  <c r="BW117" i="1"/>
  <c r="BW52" i="1"/>
  <c r="BM12" i="7" s="1"/>
  <c r="BM48" i="7"/>
  <c r="BW403" i="1"/>
  <c r="BM40" i="7"/>
  <c r="CD116" i="1" l="1"/>
  <c r="CD173" i="1"/>
  <c r="BO41" i="7"/>
  <c r="CE174" i="1"/>
  <c r="AQ44" i="18"/>
  <c r="CD466" i="1"/>
  <c r="CB50" i="1"/>
  <c r="AQ58" i="18"/>
  <c r="AQ50" i="16"/>
  <c r="AR27" i="16"/>
  <c r="AR32" i="18"/>
  <c r="M79" i="18"/>
  <c r="Q78" i="18"/>
  <c r="AQ46" i="16"/>
  <c r="AR45" i="16"/>
  <c r="AQ51" i="18"/>
  <c r="AR50" i="18"/>
  <c r="BW1" i="7"/>
  <c r="BX2" i="7"/>
  <c r="BN37" i="7"/>
  <c r="BN24" i="7"/>
  <c r="BM37" i="7"/>
  <c r="BM24" i="7"/>
  <c r="AA72" i="3"/>
  <c r="BZ251" i="1"/>
  <c r="BZ252" i="1" s="1"/>
  <c r="CE244" i="1"/>
  <c r="BY472" i="1"/>
  <c r="Q46" i="2"/>
  <c r="Z163" i="2"/>
  <c r="BX354" i="1"/>
  <c r="BX341" i="1"/>
  <c r="BX346" i="1"/>
  <c r="BX333" i="1"/>
  <c r="BX337" i="1"/>
  <c r="BX358" i="1"/>
  <c r="BX371" i="1"/>
  <c r="BW358" i="1"/>
  <c r="BW337" i="1"/>
  <c r="BX330" i="1"/>
  <c r="BX350" i="1"/>
  <c r="BW371" i="1"/>
  <c r="BW350" i="1"/>
  <c r="CD105" i="1"/>
  <c r="CD242" i="1" s="1"/>
  <c r="CD103" i="1"/>
  <c r="BX40" i="1"/>
  <c r="CC32" i="1"/>
  <c r="BW40" i="1"/>
  <c r="CB32" i="1"/>
  <c r="BW98" i="1"/>
  <c r="BW99" i="1" s="1"/>
  <c r="BX105" i="1"/>
  <c r="BX242" i="1" s="1"/>
  <c r="BX243" i="1" s="1"/>
  <c r="BX103" i="1"/>
  <c r="BY98" i="1"/>
  <c r="BY99" i="1" s="1"/>
  <c r="Z4" i="10"/>
  <c r="Y27" i="10"/>
  <c r="Y26" i="10"/>
  <c r="Q109" i="2"/>
  <c r="Q106" i="2"/>
  <c r="Q110" i="2" s="1"/>
  <c r="Q93" i="2"/>
  <c r="BZ116" i="1"/>
  <c r="BZ118" i="1"/>
  <c r="BZ230" i="1" s="1"/>
  <c r="BN50" i="7"/>
  <c r="BY210" i="1"/>
  <c r="BY211" i="1" s="1"/>
  <c r="CC212" i="1" s="1"/>
  <c r="BY40" i="1"/>
  <c r="BX51" i="1"/>
  <c r="BX115" i="1"/>
  <c r="BX173" i="1" s="1"/>
  <c r="BX197" i="1"/>
  <c r="BN45" i="7" s="1"/>
  <c r="BW341" i="1"/>
  <c r="BW354" i="1"/>
  <c r="BW367" i="1"/>
  <c r="BW210" i="1"/>
  <c r="BM50" i="7" s="1"/>
  <c r="BM46" i="7"/>
  <c r="BW333" i="1"/>
  <c r="BW346" i="1"/>
  <c r="BW160" i="1"/>
  <c r="BW330" i="1"/>
  <c r="BW51" i="1"/>
  <c r="BX1" i="7" l="1"/>
  <c r="BY2" i="7"/>
  <c r="BN41" i="7"/>
  <c r="CC174" i="1"/>
  <c r="CI174" i="1"/>
  <c r="AQ52" i="16"/>
  <c r="AR51" i="16"/>
  <c r="AQ60" i="18"/>
  <c r="AR59" i="18"/>
  <c r="Q47" i="2"/>
  <c r="Q48" i="2" s="1"/>
  <c r="AA163" i="2"/>
  <c r="BX251" i="1"/>
  <c r="BX252" i="1" s="1"/>
  <c r="CC244" i="1"/>
  <c r="AA4" i="10"/>
  <c r="Z27" i="10"/>
  <c r="Z26" i="10"/>
  <c r="Q97" i="2"/>
  <c r="BX118" i="1"/>
  <c r="BX230" i="1" s="1"/>
  <c r="BX116" i="1"/>
  <c r="AV104" i="1"/>
  <c r="AV110" i="1"/>
  <c r="AP43" i="7"/>
  <c r="AO43" i="7"/>
  <c r="AN43" i="7"/>
  <c r="AM43" i="7"/>
  <c r="AL43" i="7"/>
  <c r="AK43" i="7"/>
  <c r="AJ43" i="7"/>
  <c r="AI43" i="7"/>
  <c r="AH43" i="7"/>
  <c r="AG43" i="7"/>
  <c r="AF43" i="7"/>
  <c r="AE43" i="7"/>
  <c r="AD43" i="7"/>
  <c r="AC43" i="7"/>
  <c r="AB43" i="7"/>
  <c r="AA43" i="7"/>
  <c r="Z43" i="7"/>
  <c r="Y43" i="7"/>
  <c r="X43" i="7"/>
  <c r="W43" i="7"/>
  <c r="V43" i="7"/>
  <c r="U43" i="7"/>
  <c r="T43" i="7"/>
  <c r="S43" i="7"/>
  <c r="R43" i="7"/>
  <c r="Q43" i="7"/>
  <c r="P43" i="7"/>
  <c r="O43" i="7"/>
  <c r="N43" i="7"/>
  <c r="M43" i="7"/>
  <c r="L43" i="7"/>
  <c r="K43" i="7"/>
  <c r="J43" i="7"/>
  <c r="I43" i="7"/>
  <c r="H43" i="7"/>
  <c r="G43" i="7"/>
  <c r="AP42" i="7"/>
  <c r="AO42" i="7"/>
  <c r="AN42" i="7"/>
  <c r="AM42" i="7"/>
  <c r="AL42" i="7"/>
  <c r="AK42" i="7"/>
  <c r="AJ42" i="7"/>
  <c r="AI42" i="7"/>
  <c r="AH42" i="7"/>
  <c r="AG42" i="7"/>
  <c r="AF42" i="7"/>
  <c r="AE42" i="7"/>
  <c r="AD42" i="7"/>
  <c r="AC42" i="7"/>
  <c r="AB42" i="7"/>
  <c r="AA42" i="7"/>
  <c r="Z42" i="7"/>
  <c r="Y42" i="7"/>
  <c r="X42" i="7"/>
  <c r="W42" i="7"/>
  <c r="V42" i="7"/>
  <c r="U42" i="7"/>
  <c r="T42" i="7"/>
  <c r="S42" i="7"/>
  <c r="R42" i="7"/>
  <c r="Q42" i="7"/>
  <c r="P42" i="7"/>
  <c r="O42" i="7"/>
  <c r="N42" i="7"/>
  <c r="M42" i="7"/>
  <c r="L42" i="7"/>
  <c r="K42" i="7"/>
  <c r="J42" i="7"/>
  <c r="I42" i="7"/>
  <c r="H42" i="7"/>
  <c r="G42" i="7"/>
  <c r="AP47" i="7"/>
  <c r="AO47" i="7"/>
  <c r="AN47" i="7"/>
  <c r="AM47" i="7"/>
  <c r="AL47" i="7"/>
  <c r="AK47" i="7"/>
  <c r="AJ47" i="7"/>
  <c r="AI47" i="7"/>
  <c r="AH47" i="7"/>
  <c r="AG47" i="7"/>
  <c r="AF47" i="7"/>
  <c r="AE47" i="7"/>
  <c r="AD47" i="7"/>
  <c r="AC47" i="7"/>
  <c r="AB47" i="7"/>
  <c r="AA47" i="7"/>
  <c r="Z47" i="7"/>
  <c r="Y47" i="7"/>
  <c r="X47" i="7"/>
  <c r="W47" i="7"/>
  <c r="V47" i="7"/>
  <c r="U47" i="7"/>
  <c r="T47" i="7"/>
  <c r="S47" i="7"/>
  <c r="R47" i="7"/>
  <c r="Q47" i="7"/>
  <c r="P47" i="7"/>
  <c r="O47" i="7"/>
  <c r="N47" i="7"/>
  <c r="M47" i="7"/>
  <c r="L47" i="7"/>
  <c r="K47" i="7"/>
  <c r="J47" i="7"/>
  <c r="I47" i="7"/>
  <c r="H47" i="7"/>
  <c r="G47" i="7"/>
  <c r="AP48" i="7"/>
  <c r="AO48" i="7"/>
  <c r="AN48" i="7"/>
  <c r="AM48" i="7"/>
  <c r="AL48" i="7"/>
  <c r="AK48" i="7"/>
  <c r="AJ48" i="7"/>
  <c r="AI48" i="7"/>
  <c r="AH48" i="7"/>
  <c r="AG48" i="7"/>
  <c r="AF48" i="7"/>
  <c r="AE48" i="7"/>
  <c r="AD48" i="7"/>
  <c r="AC48" i="7"/>
  <c r="AB48" i="7"/>
  <c r="AA48" i="7"/>
  <c r="Z48" i="7"/>
  <c r="Y48" i="7"/>
  <c r="X48" i="7"/>
  <c r="W48" i="7"/>
  <c r="V48" i="7"/>
  <c r="U48" i="7"/>
  <c r="T48" i="7"/>
  <c r="S48" i="7"/>
  <c r="R48" i="7"/>
  <c r="Q48" i="7"/>
  <c r="P48" i="7"/>
  <c r="O48" i="7"/>
  <c r="N48" i="7"/>
  <c r="M48" i="7"/>
  <c r="L48" i="7"/>
  <c r="K48" i="7"/>
  <c r="J48" i="7"/>
  <c r="I48" i="7"/>
  <c r="H48" i="7"/>
  <c r="G48" i="7"/>
  <c r="BV104" i="1"/>
  <c r="BU104" i="1"/>
  <c r="BS104" i="1"/>
  <c r="BT104" i="1" s="1"/>
  <c r="BR104" i="1"/>
  <c r="BS102" i="1" s="1"/>
  <c r="BQ104" i="1"/>
  <c r="BP104" i="1"/>
  <c r="BQ102" i="1" s="1"/>
  <c r="BN104" i="1"/>
  <c r="BM104" i="1"/>
  <c r="BN102" i="1" s="1"/>
  <c r="BL104" i="1"/>
  <c r="BK104" i="1"/>
  <c r="BL102" i="1" s="1"/>
  <c r="BI104" i="1"/>
  <c r="BJ104" i="1" s="1"/>
  <c r="BH104" i="1"/>
  <c r="BI102" i="1" s="1"/>
  <c r="BG104" i="1"/>
  <c r="BH102" i="1" s="1"/>
  <c r="BF104" i="1"/>
  <c r="BG102" i="1" s="1"/>
  <c r="BD104" i="1"/>
  <c r="BC104" i="1"/>
  <c r="BD102" i="1" s="1"/>
  <c r="BB104" i="1"/>
  <c r="BA104" i="1"/>
  <c r="BB102" i="1" s="1"/>
  <c r="AY104" i="1"/>
  <c r="AX104" i="1"/>
  <c r="AW104" i="1"/>
  <c r="BV110" i="1"/>
  <c r="CA111" i="1" s="1"/>
  <c r="CA237" i="1" s="1"/>
  <c r="CA238" i="1" s="1"/>
  <c r="CF239" i="1" s="1"/>
  <c r="BU110" i="1"/>
  <c r="BS110" i="1"/>
  <c r="BR110" i="1"/>
  <c r="BQ110" i="1"/>
  <c r="BP110" i="1"/>
  <c r="BN110" i="1"/>
  <c r="BM110" i="1"/>
  <c r="BL110" i="1"/>
  <c r="BK110" i="1"/>
  <c r="BI110" i="1"/>
  <c r="BH110" i="1"/>
  <c r="BG110" i="1"/>
  <c r="BF110" i="1"/>
  <c r="BD110" i="1"/>
  <c r="BC110" i="1"/>
  <c r="BB110" i="1"/>
  <c r="BA110" i="1"/>
  <c r="AY110" i="1"/>
  <c r="AX110" i="1"/>
  <c r="AW110" i="1"/>
  <c r="AV168" i="1"/>
  <c r="AV166" i="1"/>
  <c r="BV168" i="1"/>
  <c r="CA169" i="1" s="1"/>
  <c r="BU168" i="1"/>
  <c r="BS168" i="1"/>
  <c r="BR168" i="1"/>
  <c r="BQ168" i="1"/>
  <c r="BP168" i="1"/>
  <c r="BN168" i="1"/>
  <c r="BM168" i="1"/>
  <c r="BL168" i="1"/>
  <c r="BK168" i="1"/>
  <c r="BK241" i="1" s="1"/>
  <c r="BI168" i="1"/>
  <c r="BI241" i="1" s="1"/>
  <c r="BH168" i="1"/>
  <c r="BH241" i="1" s="1"/>
  <c r="BG168" i="1"/>
  <c r="BG241" i="1" s="1"/>
  <c r="BF168" i="1"/>
  <c r="BF241" i="1" s="1"/>
  <c r="BD168" i="1"/>
  <c r="BD241" i="1" s="1"/>
  <c r="BC168" i="1"/>
  <c r="BC241" i="1" s="1"/>
  <c r="BB168" i="1"/>
  <c r="BB241" i="1" s="1"/>
  <c r="BA168" i="1"/>
  <c r="BA241" i="1" s="1"/>
  <c r="AY168" i="1"/>
  <c r="AX168" i="1"/>
  <c r="AW168" i="1"/>
  <c r="BV166" i="1"/>
  <c r="BU166" i="1"/>
  <c r="BU236" i="1" s="1"/>
  <c r="BS166" i="1"/>
  <c r="BS236" i="1" s="1"/>
  <c r="BR166" i="1"/>
  <c r="BR236" i="1" s="1"/>
  <c r="BQ166" i="1"/>
  <c r="BQ236" i="1" s="1"/>
  <c r="BP166" i="1"/>
  <c r="BP236" i="1" s="1"/>
  <c r="BN166" i="1"/>
  <c r="BN236" i="1" s="1"/>
  <c r="BM166" i="1"/>
  <c r="BM236" i="1" s="1"/>
  <c r="BL166" i="1"/>
  <c r="BL236" i="1" s="1"/>
  <c r="BK166" i="1"/>
  <c r="BK236" i="1" s="1"/>
  <c r="BI166" i="1"/>
  <c r="BI236" i="1" s="1"/>
  <c r="BH166" i="1"/>
  <c r="BH236" i="1" s="1"/>
  <c r="BG166" i="1"/>
  <c r="BG236" i="1" s="1"/>
  <c r="BF166" i="1"/>
  <c r="BF236" i="1" s="1"/>
  <c r="BD166" i="1"/>
  <c r="BD236" i="1" s="1"/>
  <c r="BC166" i="1"/>
  <c r="BC236" i="1" s="1"/>
  <c r="BB166" i="1"/>
  <c r="BB236" i="1" s="1"/>
  <c r="BA166" i="1"/>
  <c r="BA236" i="1" s="1"/>
  <c r="AY166" i="1"/>
  <c r="AX166" i="1"/>
  <c r="AW166" i="1"/>
  <c r="BY1" i="7" l="1"/>
  <c r="BZ2" i="7"/>
  <c r="CA246" i="1"/>
  <c r="CA247" i="1" s="1"/>
  <c r="CA256" i="1"/>
  <c r="CA257" i="1" s="1"/>
  <c r="BV236" i="1"/>
  <c r="CA167" i="1"/>
  <c r="BL105" i="1"/>
  <c r="BL242" i="1" s="1"/>
  <c r="BN105" i="1"/>
  <c r="BN242" i="1" s="1"/>
  <c r="BL47" i="7"/>
  <c r="BW108" i="1"/>
  <c r="BW109" i="1" s="1"/>
  <c r="BL266" i="1"/>
  <c r="BL241" i="1"/>
  <c r="BV266" i="1"/>
  <c r="BV241" i="1"/>
  <c r="BC97" i="1"/>
  <c r="BH111" i="1"/>
  <c r="BH237" i="1" s="1"/>
  <c r="BH238" i="1" s="1"/>
  <c r="BD108" i="1"/>
  <c r="BD109" i="1" s="1"/>
  <c r="BE47" i="7"/>
  <c r="BR111" i="1"/>
  <c r="BR237" i="1" s="1"/>
  <c r="BR238" i="1" s="1"/>
  <c r="BN108" i="1"/>
  <c r="BN109" i="1" s="1"/>
  <c r="AX102" i="1"/>
  <c r="AX105" i="1" s="1"/>
  <c r="BH103" i="1"/>
  <c r="BH105" i="1"/>
  <c r="BH242" i="1" s="1"/>
  <c r="BH243" i="1" s="1"/>
  <c r="BH48" i="7"/>
  <c r="BR102" i="1"/>
  <c r="BB97" i="1"/>
  <c r="BG111" i="1"/>
  <c r="BG237" i="1" s="1"/>
  <c r="BG238" i="1" s="1"/>
  <c r="BC108" i="1"/>
  <c r="BC109" i="1" s="1"/>
  <c r="BM266" i="1"/>
  <c r="BM241" i="1"/>
  <c r="BD97" i="1"/>
  <c r="BI111" i="1"/>
  <c r="BI237" i="1" s="1"/>
  <c r="BI238" i="1" s="1"/>
  <c r="BO110" i="1"/>
  <c r="BO97" i="1" s="1"/>
  <c r="BS111" i="1"/>
  <c r="BS237" i="1" s="1"/>
  <c r="BS238" i="1" s="1"/>
  <c r="AY102" i="1"/>
  <c r="AY105" i="1" s="1"/>
  <c r="BI103" i="1"/>
  <c r="BI105" i="1"/>
  <c r="BI242" i="1" s="1"/>
  <c r="BI243" i="1" s="1"/>
  <c r="BS103" i="1"/>
  <c r="BS105" i="1"/>
  <c r="BS242" i="1" s="1"/>
  <c r="BQ103" i="1"/>
  <c r="BQ105" i="1"/>
  <c r="BQ242" i="1" s="1"/>
  <c r="BN266" i="1"/>
  <c r="BN241" i="1"/>
  <c r="AY47" i="7"/>
  <c r="BK111" i="1"/>
  <c r="BK237" i="1" s="1"/>
  <c r="BK238" i="1" s="1"/>
  <c r="BG108" i="1"/>
  <c r="BG109" i="1" s="1"/>
  <c r="BG47" i="7"/>
  <c r="BU111" i="1"/>
  <c r="BU237" i="1" s="1"/>
  <c r="BU238" i="1" s="1"/>
  <c r="BQ108" i="1"/>
  <c r="BQ109" i="1" s="1"/>
  <c r="AZ104" i="1"/>
  <c r="AZ96" i="1" s="1"/>
  <c r="CP48" i="7"/>
  <c r="BK102" i="1"/>
  <c r="BT96" i="1"/>
  <c r="BY102" i="1" s="1"/>
  <c r="BY105" i="1" s="1"/>
  <c r="BY242" i="1" s="1"/>
  <c r="BU102" i="1"/>
  <c r="BU105" i="1" s="1"/>
  <c r="BU242" i="1" s="1"/>
  <c r="BP266" i="1"/>
  <c r="BP241" i="1"/>
  <c r="AR47" i="7"/>
  <c r="BB111" i="1"/>
  <c r="BB237" i="1" s="1"/>
  <c r="BB238" i="1" s="1"/>
  <c r="BB239" i="1" s="1"/>
  <c r="AX108" i="1"/>
  <c r="AX109" i="1" s="1"/>
  <c r="AW111" i="1"/>
  <c r="AZ47" i="7"/>
  <c r="BH108" i="1"/>
  <c r="BH109" i="1" s="1"/>
  <c r="BL111" i="1"/>
  <c r="BL237" i="1" s="1"/>
  <c r="BL238" i="1" s="1"/>
  <c r="BH47" i="7"/>
  <c r="BR108" i="1"/>
  <c r="BR109" i="1" s="1"/>
  <c r="BV111" i="1"/>
  <c r="BV237" i="1" s="1"/>
  <c r="BB103" i="1"/>
  <c r="BB105" i="1"/>
  <c r="BB242" i="1" s="1"/>
  <c r="BB243" i="1" s="1"/>
  <c r="BB244" i="1" s="1"/>
  <c r="BV102" i="1"/>
  <c r="BV105" i="1" s="1"/>
  <c r="BV242" i="1" s="1"/>
  <c r="BL97" i="1"/>
  <c r="BQ111" i="1"/>
  <c r="BQ237" i="1" s="1"/>
  <c r="BQ238" i="1" s="1"/>
  <c r="BM108" i="1"/>
  <c r="BM109" i="1" s="1"/>
  <c r="BQ266" i="1"/>
  <c r="BQ241" i="1"/>
  <c r="AS47" i="7"/>
  <c r="AY108" i="1"/>
  <c r="AY109" i="1" s="1"/>
  <c r="AX111" i="1"/>
  <c r="BC111" i="1"/>
  <c r="BC237" i="1" s="1"/>
  <c r="BC238" i="1" s="1"/>
  <c r="BC239" i="1" s="1"/>
  <c r="BA47" i="7"/>
  <c r="BI108" i="1"/>
  <c r="BI109" i="1" s="1"/>
  <c r="BM111" i="1"/>
  <c r="BM237" i="1" s="1"/>
  <c r="BM238" i="1" s="1"/>
  <c r="BR97" i="1"/>
  <c r="BW111" i="1"/>
  <c r="BW237" i="1" s="1"/>
  <c r="BW238" i="1" s="1"/>
  <c r="CB239" i="1" s="1"/>
  <c r="BS108" i="1"/>
  <c r="BS109" i="1" s="1"/>
  <c r="BB96" i="1"/>
  <c r="BC102" i="1"/>
  <c r="BL103" i="1"/>
  <c r="BM102" i="1"/>
  <c r="BW102" i="1"/>
  <c r="BU266" i="1"/>
  <c r="BU241" i="1"/>
  <c r="BR266" i="1"/>
  <c r="BR241" i="1"/>
  <c r="AT47" i="7"/>
  <c r="AY111" i="1"/>
  <c r="BD111" i="1"/>
  <c r="BD237" i="1" s="1"/>
  <c r="BD238" i="1" s="1"/>
  <c r="BD239" i="1" s="1"/>
  <c r="BJ110" i="1"/>
  <c r="BJ97" i="1" s="1"/>
  <c r="BN111" i="1"/>
  <c r="BN237" i="1" s="1"/>
  <c r="BN238" i="1" s="1"/>
  <c r="BS97" i="1"/>
  <c r="BX111" i="1"/>
  <c r="BX237" i="1" s="1"/>
  <c r="BX238" i="1" s="1"/>
  <c r="CC239" i="1" s="1"/>
  <c r="BD103" i="1"/>
  <c r="BD105" i="1"/>
  <c r="BD242" i="1" s="1"/>
  <c r="BD243" i="1" s="1"/>
  <c r="BD244" i="1" s="1"/>
  <c r="AQ47" i="7"/>
  <c r="BA111" i="1"/>
  <c r="BA237" i="1" s="1"/>
  <c r="BA238" i="1" s="1"/>
  <c r="BA239" i="1" s="1"/>
  <c r="AV111" i="1"/>
  <c r="AW108" i="1"/>
  <c r="AW109" i="1" s="1"/>
  <c r="BG103" i="1"/>
  <c r="BG105" i="1"/>
  <c r="BG242" i="1" s="1"/>
  <c r="BG243" i="1" s="1"/>
  <c r="BS266" i="1"/>
  <c r="BS241" i="1"/>
  <c r="AU47" i="7"/>
  <c r="BB108" i="1"/>
  <c r="BB109" i="1" s="1"/>
  <c r="BF111" i="1"/>
  <c r="BF237" i="1" s="1"/>
  <c r="BF238" i="1" s="1"/>
  <c r="BK97" i="1"/>
  <c r="BP111" i="1"/>
  <c r="BP237" i="1" s="1"/>
  <c r="BP238" i="1" s="1"/>
  <c r="BL108" i="1"/>
  <c r="BL109" i="1" s="1"/>
  <c r="BZ111" i="1"/>
  <c r="BZ237" i="1" s="1"/>
  <c r="BZ238" i="1" s="1"/>
  <c r="CE239" i="1" s="1"/>
  <c r="BV108" i="1"/>
  <c r="BV109" i="1" s="1"/>
  <c r="BN103" i="1"/>
  <c r="AQ48" i="7"/>
  <c r="AW102" i="1"/>
  <c r="AW105" i="1" s="1"/>
  <c r="BG42" i="7"/>
  <c r="BP167" i="1"/>
  <c r="AT43" i="7"/>
  <c r="AY169" i="1"/>
  <c r="BC43" i="7"/>
  <c r="BK169" i="1"/>
  <c r="BA42" i="7"/>
  <c r="BH167" i="1"/>
  <c r="BZ169" i="1"/>
  <c r="BU169" i="1"/>
  <c r="BI42" i="7"/>
  <c r="BR167" i="1"/>
  <c r="BW167" i="1"/>
  <c r="BB42" i="7"/>
  <c r="BI167" i="1"/>
  <c r="AQ42" i="7"/>
  <c r="AV167" i="1"/>
  <c r="BJ43" i="7"/>
  <c r="BS169" i="1"/>
  <c r="BX169" i="1"/>
  <c r="BD43" i="7"/>
  <c r="BL169" i="1"/>
  <c r="AT42" i="7"/>
  <c r="AY167" i="1"/>
  <c r="AU42" i="7"/>
  <c r="BA167" i="1"/>
  <c r="BF43" i="7"/>
  <c r="BN169" i="1"/>
  <c r="BH42" i="7"/>
  <c r="BQ167" i="1"/>
  <c r="AV43" i="7"/>
  <c r="BB169" i="1"/>
  <c r="BL167" i="1"/>
  <c r="BL42" i="7"/>
  <c r="BV167" i="1"/>
  <c r="BF169" i="1"/>
  <c r="BP169" i="1"/>
  <c r="AY42" i="7"/>
  <c r="BF167" i="1"/>
  <c r="BB43" i="7"/>
  <c r="BI169" i="1"/>
  <c r="AZ42" i="7"/>
  <c r="BG167" i="1"/>
  <c r="AW43" i="7"/>
  <c r="BC169" i="1"/>
  <c r="BC42" i="7"/>
  <c r="BK167" i="1"/>
  <c r="AQ43" i="7"/>
  <c r="AV169" i="1"/>
  <c r="AV42" i="7"/>
  <c r="BB167" i="1"/>
  <c r="AW42" i="7"/>
  <c r="BC167" i="1"/>
  <c r="BE42" i="7"/>
  <c r="BM167" i="1"/>
  <c r="AR43" i="7"/>
  <c r="AW169" i="1"/>
  <c r="AZ43" i="7"/>
  <c r="BG169" i="1"/>
  <c r="BH43" i="7"/>
  <c r="BQ169" i="1"/>
  <c r="AR42" i="7"/>
  <c r="AW167" i="1"/>
  <c r="AU43" i="7"/>
  <c r="BA169" i="1"/>
  <c r="AS42" i="7"/>
  <c r="AX167" i="1"/>
  <c r="BL43" i="7"/>
  <c r="BV169" i="1"/>
  <c r="BJ42" i="7"/>
  <c r="BS167" i="1"/>
  <c r="BX167" i="1"/>
  <c r="BE43" i="7"/>
  <c r="BM169" i="1"/>
  <c r="BZ167" i="1"/>
  <c r="BU167" i="1"/>
  <c r="AX43" i="7"/>
  <c r="BD169" i="1"/>
  <c r="AX42" i="7"/>
  <c r="BD167" i="1"/>
  <c r="BF42" i="7"/>
  <c r="BN167" i="1"/>
  <c r="AS43" i="7"/>
  <c r="AX169" i="1"/>
  <c r="BA43" i="7"/>
  <c r="BH169" i="1"/>
  <c r="BI43" i="7"/>
  <c r="BR169" i="1"/>
  <c r="BW169" i="1"/>
  <c r="AB4" i="10"/>
  <c r="AA27" i="10"/>
  <c r="AA26" i="10"/>
  <c r="BK43" i="7"/>
  <c r="BY168" i="1"/>
  <c r="BK42" i="7"/>
  <c r="BY166" i="1"/>
  <c r="BK47" i="7"/>
  <c r="BJ168" i="1"/>
  <c r="BT168" i="1"/>
  <c r="BA97" i="1"/>
  <c r="AW97" i="1"/>
  <c r="BQ97" i="1"/>
  <c r="BI97" i="1"/>
  <c r="BL96" i="1"/>
  <c r="BL117" i="1"/>
  <c r="BE168" i="1"/>
  <c r="AT48" i="7"/>
  <c r="AY117" i="1"/>
  <c r="BI96" i="1"/>
  <c r="BI117" i="1"/>
  <c r="BJ117" i="1" s="1"/>
  <c r="BS96" i="1"/>
  <c r="BS117" i="1"/>
  <c r="BT117" i="1" s="1"/>
  <c r="BJ96" i="1"/>
  <c r="BB48" i="7"/>
  <c r="BA96" i="1"/>
  <c r="BA117" i="1"/>
  <c r="BK96" i="1"/>
  <c r="BK117" i="1"/>
  <c r="BU96" i="1"/>
  <c r="BU117" i="1"/>
  <c r="BC96" i="1"/>
  <c r="BC117" i="1"/>
  <c r="BM96" i="1"/>
  <c r="BM117" i="1"/>
  <c r="BL48" i="7"/>
  <c r="BV117" i="1"/>
  <c r="BO104" i="1"/>
  <c r="BN117" i="1"/>
  <c r="BO117" i="1" s="1"/>
  <c r="AV48" i="7"/>
  <c r="BB117" i="1"/>
  <c r="BG48" i="7"/>
  <c r="BP117" i="1"/>
  <c r="BO166" i="1"/>
  <c r="BO236" i="1" s="1"/>
  <c r="AY48" i="7"/>
  <c r="BF117" i="1"/>
  <c r="BQ96" i="1"/>
  <c r="BQ117" i="1"/>
  <c r="BD96" i="1"/>
  <c r="BD117" i="1"/>
  <c r="BE117" i="1" s="1"/>
  <c r="BE110" i="1"/>
  <c r="AW96" i="1"/>
  <c r="AW117" i="1"/>
  <c r="AZ48" i="7"/>
  <c r="BG117" i="1"/>
  <c r="AZ168" i="1"/>
  <c r="AS48" i="7"/>
  <c r="AX117" i="1"/>
  <c r="BA48" i="7"/>
  <c r="BH117" i="1"/>
  <c r="BI48" i="7"/>
  <c r="BR117" i="1"/>
  <c r="BR96" i="1"/>
  <c r="AU48" i="7"/>
  <c r="BB47" i="7"/>
  <c r="AV96" i="1"/>
  <c r="AV117" i="1"/>
  <c r="BO168" i="1"/>
  <c r="BE104" i="1"/>
  <c r="BF102" i="1" s="1"/>
  <c r="AZ110" i="1"/>
  <c r="BP97" i="1"/>
  <c r="BH97" i="1"/>
  <c r="AV47" i="7"/>
  <c r="BI47" i="7"/>
  <c r="AZ166" i="1"/>
  <c r="BG97" i="1"/>
  <c r="AY97" i="1"/>
  <c r="BP96" i="1"/>
  <c r="BH96" i="1"/>
  <c r="AW48" i="7"/>
  <c r="BC48" i="7"/>
  <c r="BJ48" i="7"/>
  <c r="AW47" i="7"/>
  <c r="BC47" i="7"/>
  <c r="BJ47" i="7"/>
  <c r="BE166" i="1"/>
  <c r="BE236" i="1" s="1"/>
  <c r="BV97" i="1"/>
  <c r="BN97" i="1"/>
  <c r="BF97" i="1"/>
  <c r="AX97" i="1"/>
  <c r="BG96" i="1"/>
  <c r="AY96" i="1"/>
  <c r="AX48" i="7"/>
  <c r="BD48" i="7"/>
  <c r="CR48" i="7"/>
  <c r="AX47" i="7"/>
  <c r="BD47" i="7"/>
  <c r="BJ166" i="1"/>
  <c r="BU97" i="1"/>
  <c r="BM97" i="1"/>
  <c r="BV96" i="1"/>
  <c r="BN96" i="1"/>
  <c r="BF96" i="1"/>
  <c r="AX96" i="1"/>
  <c r="AR48" i="7"/>
  <c r="BE48" i="7"/>
  <c r="BK48" i="7"/>
  <c r="AY43" i="7"/>
  <c r="BG43" i="7"/>
  <c r="BT166" i="1"/>
  <c r="CR42" i="7" s="1"/>
  <c r="BT110" i="1"/>
  <c r="BF48" i="7"/>
  <c r="BF47" i="7"/>
  <c r="AV97" i="1"/>
  <c r="BD42" i="7"/>
  <c r="BZ1" i="7" l="1"/>
  <c r="CA2" i="7"/>
  <c r="CS42" i="7"/>
  <c r="CD167" i="1"/>
  <c r="CS43" i="7"/>
  <c r="CD169" i="1"/>
  <c r="BN243" i="1"/>
  <c r="BN244" i="1" s="1"/>
  <c r="AW98" i="1"/>
  <c r="AW99" i="1" s="1"/>
  <c r="BR98" i="1"/>
  <c r="BR99" i="1" s="1"/>
  <c r="BL243" i="1"/>
  <c r="BL244" i="1" s="1"/>
  <c r="CP47" i="7"/>
  <c r="CQ47" i="7"/>
  <c r="BV238" i="1"/>
  <c r="CA239" i="1" s="1"/>
  <c r="BY103" i="1"/>
  <c r="BB98" i="1"/>
  <c r="BB99" i="1" s="1"/>
  <c r="BC98" i="1"/>
  <c r="BC99" i="1" s="1"/>
  <c r="BL98" i="1"/>
  <c r="BL99" i="1" s="1"/>
  <c r="BQ239" i="1"/>
  <c r="BN239" i="1"/>
  <c r="BZ246" i="1"/>
  <c r="BZ247" i="1" s="1"/>
  <c r="BZ256" i="1"/>
  <c r="BZ257" i="1" s="1"/>
  <c r="BX246" i="1"/>
  <c r="BX247" i="1" s="1"/>
  <c r="BX256" i="1"/>
  <c r="BX257" i="1" s="1"/>
  <c r="BW246" i="1"/>
  <c r="BW247" i="1" s="1"/>
  <c r="BU246" i="1"/>
  <c r="BU247" i="1" s="1"/>
  <c r="BS98" i="1"/>
  <c r="BS99" i="1" s="1"/>
  <c r="BV103" i="1"/>
  <c r="BK98" i="1"/>
  <c r="BK99" i="1" s="1"/>
  <c r="BS243" i="1"/>
  <c r="BX244" i="1" s="1"/>
  <c r="BD98" i="1"/>
  <c r="BD99" i="1" s="1"/>
  <c r="BM239" i="1"/>
  <c r="BF239" i="1"/>
  <c r="BG244" i="1"/>
  <c r="AX103" i="1"/>
  <c r="BL239" i="1"/>
  <c r="BS239" i="1"/>
  <c r="BU243" i="1"/>
  <c r="BV243" i="1"/>
  <c r="BP239" i="1"/>
  <c r="BR239" i="1"/>
  <c r="BH239" i="1"/>
  <c r="BY111" i="1"/>
  <c r="BY237" i="1" s="1"/>
  <c r="BU108" i="1"/>
  <c r="BU109" i="1" s="1"/>
  <c r="BA108" i="1"/>
  <c r="BA109" i="1" s="1"/>
  <c r="BE111" i="1"/>
  <c r="BE237" i="1" s="1"/>
  <c r="BE238" i="1" s="1"/>
  <c r="BE239" i="1" s="1"/>
  <c r="CO47" i="7"/>
  <c r="BF108" i="1"/>
  <c r="BF109" i="1" s="1"/>
  <c r="BJ111" i="1"/>
  <c r="BJ237" i="1" s="1"/>
  <c r="BG239" i="1"/>
  <c r="BW239" i="1"/>
  <c r="BF103" i="1"/>
  <c r="BF105" i="1"/>
  <c r="BF242" i="1" s="1"/>
  <c r="BF243" i="1" s="1"/>
  <c r="BX239" i="1"/>
  <c r="BW105" i="1"/>
  <c r="BW242" i="1" s="1"/>
  <c r="BW243" i="1" s="1"/>
  <c r="BW103" i="1"/>
  <c r="BK103" i="1"/>
  <c r="BK105" i="1"/>
  <c r="BK242" i="1" s="1"/>
  <c r="BK243" i="1" s="1"/>
  <c r="BU239" i="1"/>
  <c r="CQ43" i="7"/>
  <c r="BO241" i="1"/>
  <c r="CO43" i="7"/>
  <c r="BE241" i="1"/>
  <c r="CP43" i="7"/>
  <c r="BJ241" i="1"/>
  <c r="BZ239" i="1"/>
  <c r="BQ243" i="1"/>
  <c r="BU103" i="1"/>
  <c r="BP108" i="1"/>
  <c r="BP109" i="1" s="1"/>
  <c r="BT111" i="1"/>
  <c r="BI239" i="1"/>
  <c r="AW103" i="1"/>
  <c r="CP42" i="7"/>
  <c r="BJ236" i="1"/>
  <c r="BI244" i="1"/>
  <c r="BM103" i="1"/>
  <c r="BM105" i="1"/>
  <c r="BM242" i="1" s="1"/>
  <c r="BM243" i="1" s="1"/>
  <c r="BM244" i="1" s="1"/>
  <c r="AY103" i="1"/>
  <c r="BR103" i="1"/>
  <c r="BR105" i="1"/>
  <c r="BR242" i="1" s="1"/>
  <c r="BR243" i="1" s="1"/>
  <c r="CN48" i="7"/>
  <c r="BA102" i="1"/>
  <c r="BK239" i="1"/>
  <c r="CQ48" i="7"/>
  <c r="BP102" i="1"/>
  <c r="BO111" i="1"/>
  <c r="BO237" i="1" s="1"/>
  <c r="BO238" i="1" s="1"/>
  <c r="BK108" i="1"/>
  <c r="BK109" i="1" s="1"/>
  <c r="BC103" i="1"/>
  <c r="BC105" i="1"/>
  <c r="BC242" i="1" s="1"/>
  <c r="BC243" i="1" s="1"/>
  <c r="BC244" i="1" s="1"/>
  <c r="BO167" i="1"/>
  <c r="CQ42" i="7"/>
  <c r="BE167" i="1"/>
  <c r="CO42" i="7"/>
  <c r="BT266" i="1"/>
  <c r="CR43" i="7"/>
  <c r="AZ167" i="1"/>
  <c r="CN42" i="7"/>
  <c r="AZ169" i="1"/>
  <c r="CN43" i="7"/>
  <c r="BY169" i="1"/>
  <c r="BY266" i="1"/>
  <c r="BO169" i="1"/>
  <c r="BO266" i="1"/>
  <c r="BY167" i="1"/>
  <c r="BT236" i="1"/>
  <c r="BT167" i="1"/>
  <c r="BT241" i="1"/>
  <c r="BT169" i="1"/>
  <c r="BE169" i="1"/>
  <c r="BJ169" i="1"/>
  <c r="BJ167" i="1"/>
  <c r="BO119" i="1"/>
  <c r="BT119" i="1"/>
  <c r="BY119" i="1"/>
  <c r="BJ119" i="1"/>
  <c r="CD236" i="1"/>
  <c r="CD238" i="1" s="1"/>
  <c r="CI239" i="1" s="1"/>
  <c r="BY236" i="1"/>
  <c r="BY241" i="1"/>
  <c r="BY243" i="1" s="1"/>
  <c r="BY251" i="1" s="1"/>
  <c r="BY252" i="1" s="1"/>
  <c r="AC4" i="10"/>
  <c r="AB27" i="10"/>
  <c r="AB26" i="10"/>
  <c r="BJ118" i="1"/>
  <c r="BO118" i="1"/>
  <c r="BO115" i="1"/>
  <c r="BO116" i="1" s="1"/>
  <c r="BY115" i="1"/>
  <c r="BY118" i="1"/>
  <c r="BT115" i="1"/>
  <c r="BT118" i="1"/>
  <c r="BJ115" i="1"/>
  <c r="BJ116" i="1" s="1"/>
  <c r="BW197" i="1"/>
  <c r="BM45" i="7" s="1"/>
  <c r="BW115" i="1"/>
  <c r="BW173" i="1" s="1"/>
  <c r="BQ98" i="1"/>
  <c r="BQ99" i="1" s="1"/>
  <c r="BF98" i="1"/>
  <c r="BF99" i="1" s="1"/>
  <c r="BA98" i="1"/>
  <c r="BA99" i="1" s="1"/>
  <c r="BO96" i="1"/>
  <c r="BO98" i="1" s="1"/>
  <c r="BO99" i="1" s="1"/>
  <c r="BJ98" i="1"/>
  <c r="BJ99" i="1" s="1"/>
  <c r="BI98" i="1"/>
  <c r="BI99" i="1" s="1"/>
  <c r="BV98" i="1"/>
  <c r="BV99" i="1" s="1"/>
  <c r="BN98" i="1"/>
  <c r="BN99" i="1" s="1"/>
  <c r="AX98" i="1"/>
  <c r="AX99" i="1" s="1"/>
  <c r="BE97" i="1"/>
  <c r="BM98" i="1"/>
  <c r="BM99" i="1" s="1"/>
  <c r="AV98" i="1"/>
  <c r="AV99" i="1" s="1"/>
  <c r="BU98" i="1"/>
  <c r="BU99" i="1" s="1"/>
  <c r="BG98" i="1"/>
  <c r="BG99" i="1" s="1"/>
  <c r="BT97" i="1"/>
  <c r="CR47" i="7"/>
  <c r="BE96" i="1"/>
  <c r="CO48" i="7"/>
  <c r="BH98" i="1"/>
  <c r="BH99" i="1" s="1"/>
  <c r="AY98" i="1"/>
  <c r="AY99" i="1" s="1"/>
  <c r="BP98" i="1"/>
  <c r="BP99" i="1" s="1"/>
  <c r="CN47" i="7"/>
  <c r="AZ97" i="1"/>
  <c r="AZ98" i="1" s="1"/>
  <c r="AZ99" i="1" s="1"/>
  <c r="CA1" i="7" l="1"/>
  <c r="CB2" i="7"/>
  <c r="CB1" i="7" s="1"/>
  <c r="BY116" i="1"/>
  <c r="BY136" i="1" s="1"/>
  <c r="BY173" i="1"/>
  <c r="BT116" i="1"/>
  <c r="BT173" i="1"/>
  <c r="BM41" i="7"/>
  <c r="CB174" i="1"/>
  <c r="CT43" i="7"/>
  <c r="CD241" i="1"/>
  <c r="CD243" i="1" s="1"/>
  <c r="CD266" i="1"/>
  <c r="CD246" i="1"/>
  <c r="CD247" i="1" s="1"/>
  <c r="BW251" i="1"/>
  <c r="BW252" i="1" s="1"/>
  <c r="CB244" i="1"/>
  <c r="BV239" i="1"/>
  <c r="BQ244" i="1"/>
  <c r="BV246" i="1"/>
  <c r="BV247" i="1" s="1"/>
  <c r="BV251" i="1"/>
  <c r="BV252" i="1" s="1"/>
  <c r="CA244" i="1"/>
  <c r="BW256" i="1"/>
  <c r="BW257" i="1" s="1"/>
  <c r="BV256" i="1"/>
  <c r="BV257" i="1" s="1"/>
  <c r="BZ244" i="1"/>
  <c r="BU251" i="1"/>
  <c r="BU252" i="1" s="1"/>
  <c r="BS244" i="1"/>
  <c r="BU256" i="1"/>
  <c r="BU257" i="1" s="1"/>
  <c r="BW244" i="1"/>
  <c r="BJ238" i="1"/>
  <c r="BJ239" i="1" s="1"/>
  <c r="BR244" i="1"/>
  <c r="BY238" i="1"/>
  <c r="BY246" i="1" s="1"/>
  <c r="BY247" i="1" s="1"/>
  <c r="BK244" i="1"/>
  <c r="BA103" i="1"/>
  <c r="BA105" i="1"/>
  <c r="BA242" i="1" s="1"/>
  <c r="BA243" i="1" s="1"/>
  <c r="BA244" i="1" s="1"/>
  <c r="BP103" i="1"/>
  <c r="BP105" i="1"/>
  <c r="BP242" i="1" s="1"/>
  <c r="BP243" i="1" s="1"/>
  <c r="BV244" i="1"/>
  <c r="BH244" i="1"/>
  <c r="CU42" i="7"/>
  <c r="CT42" i="7"/>
  <c r="CR99" i="1"/>
  <c r="AD4" i="10"/>
  <c r="AC27" i="10"/>
  <c r="AC26" i="10"/>
  <c r="BT98" i="1"/>
  <c r="BT99" i="1" s="1"/>
  <c r="BY108" i="1"/>
  <c r="BY109" i="1" s="1"/>
  <c r="BW118" i="1"/>
  <c r="BW230" i="1" s="1"/>
  <c r="BW116" i="1"/>
  <c r="BE98" i="1"/>
  <c r="BE99" i="1" s="1"/>
  <c r="AP62" i="7"/>
  <c r="AO62" i="7"/>
  <c r="AN62" i="7"/>
  <c r="AM62" i="7"/>
  <c r="CL62" i="7"/>
  <c r="AL62" i="7"/>
  <c r="AK62" i="7"/>
  <c r="AJ62" i="7"/>
  <c r="AI62" i="7"/>
  <c r="AH62" i="7"/>
  <c r="AG62" i="7"/>
  <c r="AF62" i="7"/>
  <c r="AE62" i="7"/>
  <c r="AD62" i="7"/>
  <c r="AC62" i="7"/>
  <c r="AB62" i="7"/>
  <c r="AP60" i="7"/>
  <c r="AO60" i="7"/>
  <c r="AN60" i="7"/>
  <c r="AM60" i="7"/>
  <c r="AL60" i="7"/>
  <c r="AK60" i="7"/>
  <c r="AJ60" i="7"/>
  <c r="AI60" i="7"/>
  <c r="V60" i="7"/>
  <c r="U60" i="7"/>
  <c r="T60" i="7"/>
  <c r="S60" i="7"/>
  <c r="AP59" i="7"/>
  <c r="AO59" i="7"/>
  <c r="AN59" i="7"/>
  <c r="AM59" i="7"/>
  <c r="CL59" i="7"/>
  <c r="AL59" i="7"/>
  <c r="AK59" i="7"/>
  <c r="AJ59" i="7"/>
  <c r="AI59" i="7"/>
  <c r="AH59" i="7"/>
  <c r="AG59" i="7"/>
  <c r="AF59" i="7"/>
  <c r="AE59" i="7"/>
  <c r="AD59" i="7"/>
  <c r="AC59" i="7"/>
  <c r="AB59" i="7"/>
  <c r="AA59" i="7"/>
  <c r="Z59" i="7"/>
  <c r="Y59" i="7"/>
  <c r="X59" i="7"/>
  <c r="W59" i="7"/>
  <c r="V59" i="7"/>
  <c r="U59" i="7"/>
  <c r="T59" i="7"/>
  <c r="S59" i="7"/>
  <c r="AP58" i="7"/>
  <c r="AO58" i="7"/>
  <c r="AN58" i="7"/>
  <c r="AM58" i="7"/>
  <c r="AL58" i="7"/>
  <c r="AK58" i="7"/>
  <c r="AJ58" i="7"/>
  <c r="AI58" i="7"/>
  <c r="AD58" i="7"/>
  <c r="AC58" i="7"/>
  <c r="AB58" i="7"/>
  <c r="AA58" i="7"/>
  <c r="Z58" i="7"/>
  <c r="Y58" i="7"/>
  <c r="X58" i="7"/>
  <c r="W58" i="7"/>
  <c r="V58" i="7"/>
  <c r="U58" i="7"/>
  <c r="T58" i="7"/>
  <c r="S58" i="7"/>
  <c r="AP57" i="7"/>
  <c r="AO57" i="7"/>
  <c r="AN57" i="7"/>
  <c r="AM57" i="7"/>
  <c r="CL57" i="7"/>
  <c r="AL57" i="7"/>
  <c r="AK57" i="7"/>
  <c r="AJ57" i="7"/>
  <c r="AI57" i="7"/>
  <c r="AH57" i="7"/>
  <c r="AG57" i="7"/>
  <c r="AF57" i="7"/>
  <c r="AE57" i="7"/>
  <c r="AD57" i="7"/>
  <c r="AC57" i="7"/>
  <c r="AB57" i="7"/>
  <c r="AA57" i="7"/>
  <c r="Z57" i="7"/>
  <c r="Y57" i="7"/>
  <c r="X57" i="7"/>
  <c r="W57" i="7"/>
  <c r="V57" i="7"/>
  <c r="U57" i="7"/>
  <c r="T57" i="7"/>
  <c r="S57" i="7"/>
  <c r="AP56" i="7"/>
  <c r="AO56" i="7"/>
  <c r="AN56" i="7"/>
  <c r="AM56" i="7"/>
  <c r="CL56" i="7"/>
  <c r="AL56" i="7"/>
  <c r="AK56" i="7"/>
  <c r="AJ56" i="7"/>
  <c r="AI56" i="7"/>
  <c r="AH56" i="7"/>
  <c r="AG56" i="7"/>
  <c r="AF56" i="7"/>
  <c r="AE56" i="7"/>
  <c r="AD56" i="7"/>
  <c r="AC56" i="7"/>
  <c r="AB56" i="7"/>
  <c r="AA56" i="7"/>
  <c r="Z56" i="7"/>
  <c r="Y56" i="7"/>
  <c r="X56" i="7"/>
  <c r="W56" i="7"/>
  <c r="V56" i="7"/>
  <c r="U56" i="7"/>
  <c r="T56" i="7"/>
  <c r="S56" i="7"/>
  <c r="R56" i="7"/>
  <c r="Q56" i="7"/>
  <c r="P56" i="7"/>
  <c r="O56" i="7"/>
  <c r="AP55" i="7"/>
  <c r="AO55" i="7"/>
  <c r="AN55" i="7"/>
  <c r="AM55" i="7"/>
  <c r="CL55" i="7"/>
  <c r="AL55" i="7"/>
  <c r="AK55" i="7"/>
  <c r="AJ55" i="7"/>
  <c r="AI55" i="7"/>
  <c r="AH55" i="7"/>
  <c r="AG55" i="7"/>
  <c r="AF55" i="7"/>
  <c r="AE55" i="7"/>
  <c r="AD55" i="7"/>
  <c r="AC55" i="7"/>
  <c r="AB55" i="7"/>
  <c r="AA55" i="7"/>
  <c r="Z55" i="7"/>
  <c r="Y55" i="7"/>
  <c r="X55" i="7"/>
  <c r="W55" i="7"/>
  <c r="V55" i="7"/>
  <c r="U55" i="7"/>
  <c r="T55" i="7"/>
  <c r="S55" i="7"/>
  <c r="R55" i="7"/>
  <c r="Q55" i="7"/>
  <c r="P55" i="7"/>
  <c r="O55" i="7"/>
  <c r="AP54" i="7"/>
  <c r="AO54" i="7"/>
  <c r="AN54" i="7"/>
  <c r="AM54" i="7"/>
  <c r="CL54" i="7"/>
  <c r="AL54" i="7"/>
  <c r="AK54" i="7"/>
  <c r="AJ54" i="7"/>
  <c r="AI54" i="7"/>
  <c r="AH54" i="7"/>
  <c r="AG54" i="7"/>
  <c r="AF54" i="7"/>
  <c r="AE54" i="7"/>
  <c r="AD54" i="7"/>
  <c r="AC54" i="7"/>
  <c r="AB54" i="7"/>
  <c r="AA54" i="7"/>
  <c r="Z54" i="7"/>
  <c r="Y54" i="7"/>
  <c r="X54" i="7"/>
  <c r="W54" i="7"/>
  <c r="V54" i="7"/>
  <c r="U54" i="7"/>
  <c r="T54" i="7"/>
  <c r="S54" i="7"/>
  <c r="R54" i="7"/>
  <c r="Q54" i="7"/>
  <c r="P54" i="7"/>
  <c r="O54" i="7"/>
  <c r="AQ51" i="7"/>
  <c r="CM51" i="7"/>
  <c r="AP51" i="7"/>
  <c r="AO51" i="7"/>
  <c r="AN51" i="7"/>
  <c r="AM51" i="7"/>
  <c r="AL51" i="7"/>
  <c r="AK51" i="7"/>
  <c r="AJ51" i="7"/>
  <c r="AI51" i="7"/>
  <c r="AH51" i="7"/>
  <c r="AG51" i="7"/>
  <c r="AF51" i="7"/>
  <c r="AE51" i="7"/>
  <c r="AD51" i="7"/>
  <c r="AC51" i="7"/>
  <c r="AB51" i="7"/>
  <c r="AA51" i="7"/>
  <c r="AK50" i="7"/>
  <c r="AJ50" i="7"/>
  <c r="AI50" i="7"/>
  <c r="AH50" i="7"/>
  <c r="AG50" i="7"/>
  <c r="AF50" i="7"/>
  <c r="AE50" i="7"/>
  <c r="AD50" i="7"/>
  <c r="AC50" i="7"/>
  <c r="AB50" i="7"/>
  <c r="AA50" i="7"/>
  <c r="AQ49" i="7"/>
  <c r="AP49" i="7"/>
  <c r="AO49" i="7"/>
  <c r="AN49" i="7"/>
  <c r="AM49" i="7"/>
  <c r="AL49" i="7"/>
  <c r="AK49" i="7"/>
  <c r="AJ49" i="7"/>
  <c r="AI49" i="7"/>
  <c r="AH49" i="7"/>
  <c r="AG49" i="7"/>
  <c r="AF49" i="7"/>
  <c r="AE49" i="7"/>
  <c r="AD49" i="7"/>
  <c r="AC49" i="7"/>
  <c r="AB49" i="7"/>
  <c r="AA49" i="7"/>
  <c r="AQ46" i="7"/>
  <c r="AP46" i="7"/>
  <c r="AO46" i="7"/>
  <c r="AN46" i="7"/>
  <c r="AM46" i="7"/>
  <c r="CL46" i="7"/>
  <c r="AL46" i="7"/>
  <c r="AK46" i="7"/>
  <c r="AJ46" i="7"/>
  <c r="AI46" i="7"/>
  <c r="AH46" i="7"/>
  <c r="AG46" i="7"/>
  <c r="AF46" i="7"/>
  <c r="AE46" i="7"/>
  <c r="AD46" i="7"/>
  <c r="AC46" i="7"/>
  <c r="AB46" i="7"/>
  <c r="AA46" i="7"/>
  <c r="Z46" i="7"/>
  <c r="Y46" i="7"/>
  <c r="X46" i="7"/>
  <c r="W46" i="7"/>
  <c r="V46" i="7"/>
  <c r="U46" i="7"/>
  <c r="T46" i="7"/>
  <c r="S46" i="7"/>
  <c r="R46" i="7"/>
  <c r="Q46" i="7"/>
  <c r="P46" i="7"/>
  <c r="O46" i="7"/>
  <c r="N46" i="7"/>
  <c r="M46" i="7"/>
  <c r="L46" i="7"/>
  <c r="K46" i="7"/>
  <c r="I46" i="7"/>
  <c r="H46" i="7"/>
  <c r="G46" i="7"/>
  <c r="CR45" i="7"/>
  <c r="CQ45" i="7"/>
  <c r="CP45" i="7"/>
  <c r="CO45" i="7"/>
  <c r="CN45" i="7"/>
  <c r="BL44" i="7"/>
  <c r="BK44" i="7"/>
  <c r="BJ44" i="7"/>
  <c r="BI44" i="7"/>
  <c r="BH44" i="7"/>
  <c r="BG44" i="7"/>
  <c r="BF44" i="7"/>
  <c r="BE44" i="7"/>
  <c r="BD44" i="7"/>
  <c r="BC44" i="7"/>
  <c r="BB44" i="7"/>
  <c r="BA44" i="7"/>
  <c r="AZ44" i="7"/>
  <c r="AY44" i="7"/>
  <c r="AX44" i="7"/>
  <c r="AW44" i="7"/>
  <c r="AV44" i="7"/>
  <c r="AU44" i="7"/>
  <c r="AT44" i="7"/>
  <c r="AS44" i="7"/>
  <c r="AR44" i="7"/>
  <c r="AQ44" i="7"/>
  <c r="AP44" i="7"/>
  <c r="AO44" i="7"/>
  <c r="AN44" i="7"/>
  <c r="AM44" i="7"/>
  <c r="CL44" i="7"/>
  <c r="AL44" i="7"/>
  <c r="AK44" i="7"/>
  <c r="AJ44" i="7"/>
  <c r="AI44" i="7"/>
  <c r="AH44" i="7"/>
  <c r="AG44" i="7"/>
  <c r="AF44" i="7"/>
  <c r="AE44" i="7"/>
  <c r="AD44" i="7"/>
  <c r="AC44" i="7"/>
  <c r="AB44" i="7"/>
  <c r="AA44" i="7"/>
  <c r="Z44" i="7"/>
  <c r="Y44" i="7"/>
  <c r="X44" i="7"/>
  <c r="W44" i="7"/>
  <c r="V44" i="7"/>
  <c r="U44" i="7"/>
  <c r="T44" i="7"/>
  <c r="S44" i="7"/>
  <c r="R44" i="7"/>
  <c r="Q44" i="7"/>
  <c r="P44" i="7"/>
  <c r="O44" i="7"/>
  <c r="N44" i="7"/>
  <c r="M44" i="7"/>
  <c r="L44" i="7"/>
  <c r="K44" i="7"/>
  <c r="J44" i="7"/>
  <c r="I44" i="7"/>
  <c r="H44" i="7"/>
  <c r="G44" i="7"/>
  <c r="AQ40" i="7"/>
  <c r="AP40" i="7"/>
  <c r="AO40" i="7"/>
  <c r="AN40" i="7"/>
  <c r="AM40" i="7"/>
  <c r="AL40" i="7"/>
  <c r="AK40" i="7"/>
  <c r="AJ40" i="7"/>
  <c r="AI40" i="7"/>
  <c r="AH40" i="7"/>
  <c r="AG40" i="7"/>
  <c r="AF40" i="7"/>
  <c r="AE40" i="7"/>
  <c r="AD40" i="7"/>
  <c r="AC40" i="7"/>
  <c r="AB40" i="7"/>
  <c r="AA40" i="7"/>
  <c r="Z40" i="7"/>
  <c r="Y40" i="7"/>
  <c r="X40" i="7"/>
  <c r="W40" i="7"/>
  <c r="V40" i="7"/>
  <c r="U40" i="7"/>
  <c r="T40" i="7"/>
  <c r="S40" i="7"/>
  <c r="R40" i="7"/>
  <c r="Q40" i="7"/>
  <c r="P40" i="7"/>
  <c r="O40" i="7"/>
  <c r="N40" i="7"/>
  <c r="M40" i="7"/>
  <c r="L40" i="7"/>
  <c r="K40" i="7"/>
  <c r="J40" i="7"/>
  <c r="I40" i="7"/>
  <c r="H40" i="7"/>
  <c r="G40" i="7"/>
  <c r="BL39" i="7"/>
  <c r="BK39" i="7"/>
  <c r="BJ39" i="7"/>
  <c r="BI39" i="7"/>
  <c r="BH39" i="7"/>
  <c r="BG39" i="7"/>
  <c r="BF39" i="7"/>
  <c r="BE39" i="7"/>
  <c r="BD39" i="7"/>
  <c r="BC39" i="7"/>
  <c r="BB39" i="7"/>
  <c r="BA39" i="7"/>
  <c r="AZ39" i="7"/>
  <c r="AY39" i="7"/>
  <c r="AX39" i="7"/>
  <c r="AW39" i="7"/>
  <c r="AV39" i="7"/>
  <c r="AU39" i="7"/>
  <c r="AT39" i="7"/>
  <c r="AS39" i="7"/>
  <c r="AR39" i="7"/>
  <c r="AQ39" i="7"/>
  <c r="AP39" i="7"/>
  <c r="AO39" i="7"/>
  <c r="AN39" i="7"/>
  <c r="AM39" i="7"/>
  <c r="CL39" i="7"/>
  <c r="AL39" i="7"/>
  <c r="AK39" i="7"/>
  <c r="AJ39" i="7"/>
  <c r="AI39" i="7"/>
  <c r="AH39" i="7"/>
  <c r="AG39" i="7"/>
  <c r="AF39" i="7"/>
  <c r="AE39" i="7"/>
  <c r="AD39" i="7"/>
  <c r="AC39" i="7"/>
  <c r="AB39" i="7"/>
  <c r="AA39" i="7"/>
  <c r="Z39" i="7"/>
  <c r="Y39" i="7"/>
  <c r="X39" i="7"/>
  <c r="W39" i="7"/>
  <c r="V39" i="7"/>
  <c r="U39" i="7"/>
  <c r="T39" i="7"/>
  <c r="S39" i="7"/>
  <c r="R39" i="7"/>
  <c r="Q39" i="7"/>
  <c r="P39" i="7"/>
  <c r="O39" i="7"/>
  <c r="N39" i="7"/>
  <c r="M39" i="7"/>
  <c r="L39" i="7"/>
  <c r="K39" i="7"/>
  <c r="J39" i="7"/>
  <c r="I39" i="7"/>
  <c r="H39" i="7"/>
  <c r="G39" i="7"/>
  <c r="I34" i="7"/>
  <c r="H34" i="7"/>
  <c r="G34" i="7"/>
  <c r="AP10" i="7"/>
  <c r="AP36" i="7" s="1"/>
  <c r="J10" i="7"/>
  <c r="J36" i="7" s="1"/>
  <c r="I10" i="7"/>
  <c r="I36" i="7" s="1"/>
  <c r="H10" i="7"/>
  <c r="H36" i="7" s="1"/>
  <c r="G10" i="7"/>
  <c r="G36" i="7" s="1"/>
  <c r="CL9" i="7"/>
  <c r="AD9" i="7"/>
  <c r="AC9" i="7"/>
  <c r="AB9" i="7"/>
  <c r="AA9" i="7"/>
  <c r="Z9" i="7"/>
  <c r="Y9" i="7"/>
  <c r="X9" i="7"/>
  <c r="W9" i="7"/>
  <c r="V9" i="7"/>
  <c r="U9" i="7"/>
  <c r="T9" i="7"/>
  <c r="S9" i="7"/>
  <c r="R9" i="7"/>
  <c r="Q9" i="7"/>
  <c r="P9" i="7"/>
  <c r="O9" i="7"/>
  <c r="N9" i="7"/>
  <c r="M9" i="7"/>
  <c r="L9" i="7"/>
  <c r="K9" i="7"/>
  <c r="J9" i="7"/>
  <c r="I9" i="7"/>
  <c r="H9" i="7"/>
  <c r="G9" i="7"/>
  <c r="AP8" i="7"/>
  <c r="AP33" i="7" s="1"/>
  <c r="I8" i="7"/>
  <c r="I33" i="7" s="1"/>
  <c r="H8" i="7"/>
  <c r="H33" i="7" s="1"/>
  <c r="G8" i="7"/>
  <c r="G33" i="7" s="1"/>
  <c r="I7" i="7"/>
  <c r="I30" i="7" s="1"/>
  <c r="H7" i="7"/>
  <c r="H30" i="7" s="1"/>
  <c r="G7" i="7"/>
  <c r="G30" i="7" s="1"/>
  <c r="AO4" i="7"/>
  <c r="AN4" i="7"/>
  <c r="AM4" i="7"/>
  <c r="AL4" i="7"/>
  <c r="AK4" i="7"/>
  <c r="AJ4" i="7"/>
  <c r="AI4" i="7"/>
  <c r="AH4" i="7"/>
  <c r="AG4" i="7"/>
  <c r="AF4" i="7"/>
  <c r="AE4" i="7"/>
  <c r="AD4" i="7"/>
  <c r="AC4" i="7"/>
  <c r="AB4" i="7"/>
  <c r="AA4" i="7"/>
  <c r="Z4" i="7"/>
  <c r="Y4" i="7"/>
  <c r="X4" i="7"/>
  <c r="W4" i="7"/>
  <c r="V4" i="7"/>
  <c r="U4" i="7"/>
  <c r="T4" i="7"/>
  <c r="S4" i="7"/>
  <c r="R4" i="7"/>
  <c r="Q4" i="7"/>
  <c r="P4" i="7"/>
  <c r="O4" i="7"/>
  <c r="N4" i="7"/>
  <c r="M4" i="7"/>
  <c r="L4" i="7"/>
  <c r="K4" i="7"/>
  <c r="J4" i="7"/>
  <c r="I4" i="7"/>
  <c r="H4" i="7"/>
  <c r="G4" i="7"/>
  <c r="AM3" i="7"/>
  <c r="AL3" i="7"/>
  <c r="AK3" i="7"/>
  <c r="AJ3" i="7"/>
  <c r="AI3" i="7"/>
  <c r="AH3" i="7"/>
  <c r="AG3" i="7"/>
  <c r="AF3" i="7"/>
  <c r="AE3" i="7"/>
  <c r="AD3" i="7"/>
  <c r="AC3" i="7"/>
  <c r="AB3" i="7"/>
  <c r="AA3" i="7"/>
  <c r="Z3" i="7"/>
  <c r="Y3" i="7"/>
  <c r="X3" i="7"/>
  <c r="W3" i="7"/>
  <c r="V3" i="7"/>
  <c r="U3" i="7"/>
  <c r="T3" i="7"/>
  <c r="S3" i="7"/>
  <c r="R3" i="7"/>
  <c r="Q3" i="7"/>
  <c r="P3" i="7"/>
  <c r="O3" i="7"/>
  <c r="N3" i="7"/>
  <c r="M3" i="7"/>
  <c r="L3" i="7"/>
  <c r="K3" i="7"/>
  <c r="J3" i="7"/>
  <c r="I3" i="7"/>
  <c r="H3" i="7"/>
  <c r="G3" i="7"/>
  <c r="M228" i="6"/>
  <c r="L228" i="6"/>
  <c r="K228" i="6"/>
  <c r="J228" i="6"/>
  <c r="I228" i="6"/>
  <c r="J226" i="6"/>
  <c r="K226" i="6" s="1"/>
  <c r="L226" i="6" s="1"/>
  <c r="M226" i="6" s="1"/>
  <c r="N226" i="6" s="1"/>
  <c r="O226" i="6" s="1"/>
  <c r="P226" i="6" s="1"/>
  <c r="Q226" i="6" s="1"/>
  <c r="N213" i="6"/>
  <c r="M213" i="6"/>
  <c r="L213" i="6"/>
  <c r="K213" i="6"/>
  <c r="J213" i="6"/>
  <c r="I213" i="6"/>
  <c r="J212" i="6"/>
  <c r="K212" i="6" s="1"/>
  <c r="L212" i="6" s="1"/>
  <c r="M212" i="6" s="1"/>
  <c r="N212" i="6" s="1"/>
  <c r="O212" i="6" s="1"/>
  <c r="P212" i="6" s="1"/>
  <c r="Q212" i="6" s="1"/>
  <c r="U188" i="6"/>
  <c r="U184" i="6"/>
  <c r="T184" i="6"/>
  <c r="S184" i="6"/>
  <c r="R184" i="6"/>
  <c r="Q184" i="6"/>
  <c r="P184" i="6"/>
  <c r="O184" i="6"/>
  <c r="N184" i="6"/>
  <c r="M184" i="6"/>
  <c r="L184" i="6"/>
  <c r="K184" i="6"/>
  <c r="J184" i="6"/>
  <c r="I184" i="6"/>
  <c r="U183" i="6"/>
  <c r="T183" i="6"/>
  <c r="S183" i="6"/>
  <c r="R183" i="6"/>
  <c r="Q183" i="6"/>
  <c r="P183" i="6"/>
  <c r="O183" i="6"/>
  <c r="N183" i="6"/>
  <c r="M183" i="6"/>
  <c r="L183" i="6"/>
  <c r="K183" i="6"/>
  <c r="J183" i="6"/>
  <c r="I183" i="6"/>
  <c r="U182" i="6"/>
  <c r="T182" i="6"/>
  <c r="S182" i="6"/>
  <c r="R182" i="6"/>
  <c r="Q182" i="6"/>
  <c r="P182" i="6"/>
  <c r="O182" i="6"/>
  <c r="N182" i="6"/>
  <c r="M182" i="6"/>
  <c r="L182" i="6"/>
  <c r="K182" i="6"/>
  <c r="J182" i="6"/>
  <c r="I182" i="6"/>
  <c r="U181" i="6"/>
  <c r="T181" i="6"/>
  <c r="S181" i="6"/>
  <c r="R181" i="6"/>
  <c r="Q181" i="6"/>
  <c r="P181" i="6"/>
  <c r="O181" i="6"/>
  <c r="N181" i="6"/>
  <c r="M181" i="6"/>
  <c r="L181" i="6"/>
  <c r="K181" i="6"/>
  <c r="J181" i="6"/>
  <c r="I181" i="6"/>
  <c r="P180" i="6"/>
  <c r="O180" i="6"/>
  <c r="N180" i="6"/>
  <c r="M180" i="6"/>
  <c r="L180" i="6"/>
  <c r="K180" i="6"/>
  <c r="J180" i="6"/>
  <c r="I180" i="6"/>
  <c r="R170" i="6"/>
  <c r="Q170" i="6"/>
  <c r="P170" i="6"/>
  <c r="O170" i="6"/>
  <c r="N170" i="6"/>
  <c r="M170" i="6"/>
  <c r="R160" i="6"/>
  <c r="Q160" i="6"/>
  <c r="P160" i="6"/>
  <c r="O160" i="6"/>
  <c r="N160" i="6"/>
  <c r="M160" i="6"/>
  <c r="L160" i="6"/>
  <c r="K160" i="6"/>
  <c r="J160" i="6"/>
  <c r="I160" i="6"/>
  <c r="Q159" i="6"/>
  <c r="P158" i="6"/>
  <c r="O158" i="6"/>
  <c r="N158" i="6"/>
  <c r="M158" i="6"/>
  <c r="L158" i="6"/>
  <c r="K158" i="6"/>
  <c r="J158" i="6"/>
  <c r="I158" i="6"/>
  <c r="W131" i="6"/>
  <c r="V131" i="6"/>
  <c r="U131" i="6"/>
  <c r="T131" i="6"/>
  <c r="S131" i="6"/>
  <c r="R131" i="6"/>
  <c r="Q131" i="6"/>
  <c r="P131" i="6"/>
  <c r="O131" i="6"/>
  <c r="N131" i="6"/>
  <c r="M131" i="6"/>
  <c r="L131" i="6"/>
  <c r="K131" i="6"/>
  <c r="J131" i="6"/>
  <c r="I131" i="6"/>
  <c r="W106" i="6"/>
  <c r="V106" i="6"/>
  <c r="U106" i="6"/>
  <c r="T106" i="6"/>
  <c r="S106" i="6"/>
  <c r="R106" i="6"/>
  <c r="Q106" i="6"/>
  <c r="L106" i="6"/>
  <c r="K106" i="6"/>
  <c r="J106" i="6"/>
  <c r="I106" i="6"/>
  <c r="W105" i="6"/>
  <c r="V105" i="6"/>
  <c r="U105" i="6"/>
  <c r="T105" i="6"/>
  <c r="S105" i="6"/>
  <c r="R105" i="6"/>
  <c r="Q105" i="6"/>
  <c r="P105" i="6"/>
  <c r="O105" i="6"/>
  <c r="N105" i="6"/>
  <c r="M105" i="6"/>
  <c r="L105" i="6"/>
  <c r="K105" i="6"/>
  <c r="J105" i="6"/>
  <c r="I105" i="6"/>
  <c r="W104" i="6"/>
  <c r="V104" i="6"/>
  <c r="U104" i="6"/>
  <c r="T104" i="6"/>
  <c r="S104" i="6"/>
  <c r="R104" i="6"/>
  <c r="Q104" i="6"/>
  <c r="P104" i="6"/>
  <c r="O104" i="6"/>
  <c r="N104" i="6"/>
  <c r="M104" i="6"/>
  <c r="L104" i="6"/>
  <c r="K104" i="6"/>
  <c r="J104" i="6"/>
  <c r="I104" i="6"/>
  <c r="W103" i="6"/>
  <c r="V103" i="6"/>
  <c r="U103" i="6"/>
  <c r="T103" i="6"/>
  <c r="S103" i="6"/>
  <c r="R103" i="6"/>
  <c r="Q103" i="6"/>
  <c r="P103" i="6"/>
  <c r="O103" i="6"/>
  <c r="N103" i="6"/>
  <c r="M103" i="6"/>
  <c r="L103" i="6"/>
  <c r="K103" i="6"/>
  <c r="J103" i="6"/>
  <c r="I103" i="6"/>
  <c r="L72" i="6"/>
  <c r="K72" i="6"/>
  <c r="J72" i="6"/>
  <c r="I72" i="6"/>
  <c r="Y71" i="6"/>
  <c r="X71" i="6"/>
  <c r="W71" i="6"/>
  <c r="V71" i="6"/>
  <c r="U71" i="6"/>
  <c r="T71" i="6"/>
  <c r="S71" i="6"/>
  <c r="R71" i="6"/>
  <c r="Q71" i="6"/>
  <c r="P71" i="6"/>
  <c r="O71" i="6"/>
  <c r="N71" i="6"/>
  <c r="M71" i="6"/>
  <c r="L71" i="6"/>
  <c r="K71" i="6"/>
  <c r="J71" i="6"/>
  <c r="I71" i="6"/>
  <c r="X69" i="6"/>
  <c r="W69" i="6"/>
  <c r="V69" i="6"/>
  <c r="U69" i="6"/>
  <c r="T69" i="6"/>
  <c r="S69" i="6"/>
  <c r="R69" i="6"/>
  <c r="Q69" i="6"/>
  <c r="P69" i="6"/>
  <c r="O69" i="6"/>
  <c r="N69" i="6"/>
  <c r="M69" i="6"/>
  <c r="L69" i="6"/>
  <c r="K69" i="6"/>
  <c r="J69" i="6"/>
  <c r="I69" i="6"/>
  <c r="X67" i="6"/>
  <c r="W67" i="6"/>
  <c r="V67" i="6"/>
  <c r="U67" i="6"/>
  <c r="T67" i="6"/>
  <c r="S67" i="6"/>
  <c r="R67" i="6"/>
  <c r="Q67" i="6"/>
  <c r="P67" i="6"/>
  <c r="O67" i="6"/>
  <c r="N67" i="6"/>
  <c r="M67" i="6"/>
  <c r="L67" i="6"/>
  <c r="K67" i="6"/>
  <c r="J67" i="6"/>
  <c r="I67" i="6"/>
  <c r="X66" i="6"/>
  <c r="X76" i="6" s="1"/>
  <c r="R66" i="6"/>
  <c r="R76" i="6" s="1"/>
  <c r="R102" i="6" s="1"/>
  <c r="R130" i="6" s="1"/>
  <c r="L155" i="6" s="1"/>
  <c r="Q66" i="6"/>
  <c r="Q76" i="6" s="1"/>
  <c r="Q102" i="6" s="1"/>
  <c r="Q130" i="6" s="1"/>
  <c r="K155" i="6" s="1"/>
  <c r="P66" i="6"/>
  <c r="P76" i="6" s="1"/>
  <c r="P102" i="6" s="1"/>
  <c r="P130" i="6" s="1"/>
  <c r="J155" i="6" s="1"/>
  <c r="O66" i="6"/>
  <c r="O76" i="6" s="1"/>
  <c r="O102" i="6" s="1"/>
  <c r="O130" i="6" s="1"/>
  <c r="I155" i="6" s="1"/>
  <c r="N66" i="6"/>
  <c r="N76" i="6" s="1"/>
  <c r="N102" i="6" s="1"/>
  <c r="N130" i="6" s="1"/>
  <c r="M66" i="6"/>
  <c r="M76" i="6" s="1"/>
  <c r="M102" i="6" s="1"/>
  <c r="M130" i="6" s="1"/>
  <c r="L66" i="6"/>
  <c r="L76" i="6" s="1"/>
  <c r="L102" i="6" s="1"/>
  <c r="L130" i="6" s="1"/>
  <c r="K66" i="6"/>
  <c r="K76" i="6" s="1"/>
  <c r="K102" i="6" s="1"/>
  <c r="K130" i="6" s="1"/>
  <c r="J66" i="6"/>
  <c r="J76" i="6" s="1"/>
  <c r="J102" i="6" s="1"/>
  <c r="J130" i="6" s="1"/>
  <c r="I66" i="6"/>
  <c r="I76" i="6" s="1"/>
  <c r="I102" i="6" s="1"/>
  <c r="I130" i="6" s="1"/>
  <c r="V61" i="6"/>
  <c r="V66" i="6" s="1"/>
  <c r="V76" i="6" s="1"/>
  <c r="V102" i="6" s="1"/>
  <c r="V130" i="6" s="1"/>
  <c r="P155" i="6" s="1"/>
  <c r="U61" i="6"/>
  <c r="U66" i="6" s="1"/>
  <c r="U76" i="6" s="1"/>
  <c r="U102" i="6" s="1"/>
  <c r="U130" i="6" s="1"/>
  <c r="O155" i="6" s="1"/>
  <c r="T61" i="6"/>
  <c r="T66" i="6" s="1"/>
  <c r="T76" i="6" s="1"/>
  <c r="T102" i="6" s="1"/>
  <c r="T130" i="6" s="1"/>
  <c r="N155" i="6" s="1"/>
  <c r="X51" i="6"/>
  <c r="W51" i="6"/>
  <c r="V51" i="6"/>
  <c r="U51" i="6"/>
  <c r="T51" i="6"/>
  <c r="S51" i="6"/>
  <c r="R51" i="6"/>
  <c r="Q51" i="6"/>
  <c r="P51" i="6"/>
  <c r="O51" i="6"/>
  <c r="N51" i="6"/>
  <c r="M51" i="6"/>
  <c r="L51" i="6"/>
  <c r="K51" i="6"/>
  <c r="J51" i="6"/>
  <c r="I51" i="6"/>
  <c r="X50" i="6"/>
  <c r="W50" i="6"/>
  <c r="V50" i="6"/>
  <c r="U50" i="6"/>
  <c r="T50" i="6"/>
  <c r="S50" i="6"/>
  <c r="R50" i="6"/>
  <c r="Q50" i="6"/>
  <c r="P50" i="6"/>
  <c r="O50" i="6"/>
  <c r="N50" i="6"/>
  <c r="M50" i="6"/>
  <c r="L50" i="6"/>
  <c r="K50" i="6"/>
  <c r="J50" i="6"/>
  <c r="I50" i="6"/>
  <c r="X49" i="6"/>
  <c r="W49" i="6"/>
  <c r="V49" i="6"/>
  <c r="U49" i="6"/>
  <c r="T49" i="6"/>
  <c r="S49" i="6"/>
  <c r="R49" i="6"/>
  <c r="Q49" i="6"/>
  <c r="P49" i="6"/>
  <c r="O49" i="6"/>
  <c r="N49" i="6"/>
  <c r="M49" i="6"/>
  <c r="L49" i="6"/>
  <c r="K49" i="6"/>
  <c r="J49" i="6"/>
  <c r="I49" i="6"/>
  <c r="X48" i="6"/>
  <c r="W48" i="6"/>
  <c r="V48" i="6"/>
  <c r="U48" i="6"/>
  <c r="T48" i="6"/>
  <c r="S48" i="6"/>
  <c r="R48" i="6"/>
  <c r="Q48" i="6"/>
  <c r="P48" i="6"/>
  <c r="O48" i="6"/>
  <c r="N48" i="6"/>
  <c r="M48" i="6"/>
  <c r="L48" i="6"/>
  <c r="K48" i="6"/>
  <c r="J48" i="6"/>
  <c r="I48" i="6"/>
  <c r="X47" i="6"/>
  <c r="W47" i="6"/>
  <c r="W61" i="6" s="1"/>
  <c r="W66" i="6" s="1"/>
  <c r="W76" i="6" s="1"/>
  <c r="W102" i="6" s="1"/>
  <c r="W130" i="6" s="1"/>
  <c r="Q155" i="6" s="1"/>
  <c r="S47" i="6"/>
  <c r="S61" i="6" s="1"/>
  <c r="S66" i="6" s="1"/>
  <c r="S76" i="6" s="1"/>
  <c r="S102" i="6" s="1"/>
  <c r="S130" i="6" s="1"/>
  <c r="M155" i="6" s="1"/>
  <c r="V40" i="6"/>
  <c r="U40" i="6"/>
  <c r="T40" i="6"/>
  <c r="S40" i="6"/>
  <c r="R40" i="6"/>
  <c r="Q40" i="6"/>
  <c r="P40" i="6"/>
  <c r="O40" i="6"/>
  <c r="N40" i="6"/>
  <c r="M40" i="6"/>
  <c r="S39" i="6"/>
  <c r="R39" i="6"/>
  <c r="Q39" i="6"/>
  <c r="P39" i="6"/>
  <c r="O39" i="6"/>
  <c r="N39" i="6"/>
  <c r="M39" i="6"/>
  <c r="X38" i="6"/>
  <c r="W38" i="6"/>
  <c r="V38" i="6"/>
  <c r="U38" i="6"/>
  <c r="T38" i="6"/>
  <c r="S38" i="6"/>
  <c r="R38" i="6"/>
  <c r="Q38" i="6"/>
  <c r="P38" i="6"/>
  <c r="O38" i="6"/>
  <c r="N38" i="6"/>
  <c r="T37" i="6"/>
  <c r="S37" i="6"/>
  <c r="R37" i="6"/>
  <c r="Q37" i="6"/>
  <c r="P37" i="6"/>
  <c r="O37" i="6"/>
  <c r="N37" i="6"/>
  <c r="X36" i="6"/>
  <c r="X77" i="6" s="1"/>
  <c r="W36" i="6"/>
  <c r="W77" i="6" s="1"/>
  <c r="V36" i="6"/>
  <c r="V77" i="6" s="1"/>
  <c r="U36" i="6"/>
  <c r="U77" i="6" s="1"/>
  <c r="T36" i="6"/>
  <c r="T77" i="6" s="1"/>
  <c r="S36" i="6"/>
  <c r="S77" i="6" s="1"/>
  <c r="R36" i="6"/>
  <c r="R77" i="6" s="1"/>
  <c r="Q36" i="6"/>
  <c r="Q77" i="6" s="1"/>
  <c r="X34" i="6"/>
  <c r="W34" i="6"/>
  <c r="V34" i="6"/>
  <c r="U34" i="6"/>
  <c r="T34" i="6"/>
  <c r="S34" i="6"/>
  <c r="R34" i="6"/>
  <c r="Q34" i="6"/>
  <c r="P34" i="6"/>
  <c r="O34" i="6"/>
  <c r="N34" i="6"/>
  <c r="M34" i="6"/>
  <c r="L34" i="6"/>
  <c r="K34" i="6"/>
  <c r="J34" i="6"/>
  <c r="I34" i="6"/>
  <c r="W33" i="6"/>
  <c r="V33" i="6"/>
  <c r="U33" i="6"/>
  <c r="T33" i="6"/>
  <c r="S33" i="6"/>
  <c r="R33" i="6"/>
  <c r="Q33" i="6"/>
  <c r="P33" i="6"/>
  <c r="O33" i="6"/>
  <c r="N33" i="6"/>
  <c r="M33" i="6"/>
  <c r="L33" i="6"/>
  <c r="K33" i="6"/>
  <c r="J33" i="6"/>
  <c r="I33" i="6"/>
  <c r="U32" i="6"/>
  <c r="T32" i="6"/>
  <c r="S32" i="6"/>
  <c r="D22" i="6"/>
  <c r="D21" i="6"/>
  <c r="D19" i="6"/>
  <c r="D17" i="6"/>
  <c r="D16" i="6"/>
  <c r="D11" i="6"/>
  <c r="W9" i="6"/>
  <c r="V9" i="6"/>
  <c r="U9" i="6"/>
  <c r="T9" i="6"/>
  <c r="S9" i="6"/>
  <c r="R9" i="6"/>
  <c r="Q9" i="6"/>
  <c r="W8" i="6"/>
  <c r="V8" i="6"/>
  <c r="U8" i="6"/>
  <c r="T8" i="6"/>
  <c r="S8" i="6"/>
  <c r="R8" i="6"/>
  <c r="Q8" i="6"/>
  <c r="W7" i="6"/>
  <c r="V7" i="6"/>
  <c r="U7" i="6"/>
  <c r="T7" i="6"/>
  <c r="S7" i="6"/>
  <c r="R7" i="6"/>
  <c r="Q7" i="6"/>
  <c r="P250" i="3"/>
  <c r="O250" i="3"/>
  <c r="M250" i="3"/>
  <c r="L250" i="3"/>
  <c r="S249" i="3"/>
  <c r="R249" i="3"/>
  <c r="Q249" i="3"/>
  <c r="P249" i="3"/>
  <c r="O249" i="3"/>
  <c r="N249" i="3"/>
  <c r="M249" i="3"/>
  <c r="L249" i="3"/>
  <c r="K241" i="3"/>
  <c r="J241" i="3"/>
  <c r="I241" i="3"/>
  <c r="C198" i="3"/>
  <c r="B198" i="3"/>
  <c r="B197" i="3"/>
  <c r="C196" i="3"/>
  <c r="B196" i="3"/>
  <c r="B195" i="3"/>
  <c r="B194" i="3"/>
  <c r="C193" i="3"/>
  <c r="B193" i="3"/>
  <c r="C192" i="3"/>
  <c r="B192" i="3"/>
  <c r="C191" i="3"/>
  <c r="B191" i="3"/>
  <c r="C190" i="3"/>
  <c r="B190" i="3"/>
  <c r="F189" i="3"/>
  <c r="G189" i="3" s="1"/>
  <c r="H189" i="3" s="1"/>
  <c r="I189" i="3" s="1"/>
  <c r="J189" i="3" s="1"/>
  <c r="K189" i="3" s="1"/>
  <c r="L189" i="3" s="1"/>
  <c r="M189" i="3" s="1"/>
  <c r="N189" i="3" s="1"/>
  <c r="O189" i="3" s="1"/>
  <c r="P189" i="3" s="1"/>
  <c r="Q189" i="3" s="1"/>
  <c r="R189" i="3" s="1"/>
  <c r="S189" i="3" s="1"/>
  <c r="T189" i="3" s="1"/>
  <c r="U189" i="3" s="1"/>
  <c r="V189" i="3" s="1"/>
  <c r="W189" i="3" s="1"/>
  <c r="X189" i="3" s="1"/>
  <c r="Y189" i="3" s="1"/>
  <c r="Z189" i="3" s="1"/>
  <c r="AA189" i="3" s="1"/>
  <c r="AB189" i="3" s="1"/>
  <c r="AC189" i="3" s="1"/>
  <c r="AD189" i="3" s="1"/>
  <c r="AE189" i="3" s="1"/>
  <c r="AF189" i="3" s="1"/>
  <c r="AG189" i="3" s="1"/>
  <c r="F147" i="3"/>
  <c r="G147" i="3" s="1"/>
  <c r="H147" i="3" s="1"/>
  <c r="I147" i="3" s="1"/>
  <c r="J147" i="3" s="1"/>
  <c r="K147" i="3" s="1"/>
  <c r="L147" i="3" s="1"/>
  <c r="M147" i="3" s="1"/>
  <c r="N147" i="3" s="1"/>
  <c r="O147" i="3" s="1"/>
  <c r="P147" i="3" s="1"/>
  <c r="Q147" i="3" s="1"/>
  <c r="R147" i="3" s="1"/>
  <c r="S147" i="3" s="1"/>
  <c r="T147" i="3" s="1"/>
  <c r="U147" i="3" s="1"/>
  <c r="V147" i="3" s="1"/>
  <c r="W147" i="3" s="1"/>
  <c r="X147" i="3" s="1"/>
  <c r="Y147" i="3" s="1"/>
  <c r="Z147" i="3" s="1"/>
  <c r="AA147" i="3" s="1"/>
  <c r="AB147" i="3" s="1"/>
  <c r="AC147" i="3" s="1"/>
  <c r="AD147" i="3" s="1"/>
  <c r="AE147" i="3" s="1"/>
  <c r="AF147" i="3" s="1"/>
  <c r="AG147" i="3" s="1"/>
  <c r="F139" i="3"/>
  <c r="G139" i="3" s="1"/>
  <c r="H139" i="3" s="1"/>
  <c r="I139" i="3" s="1"/>
  <c r="J139" i="3" s="1"/>
  <c r="K139" i="3" s="1"/>
  <c r="L139" i="3" s="1"/>
  <c r="M139" i="3" s="1"/>
  <c r="N139" i="3" s="1"/>
  <c r="O139" i="3" s="1"/>
  <c r="P139" i="3" s="1"/>
  <c r="Q139" i="3" s="1"/>
  <c r="R139" i="3" s="1"/>
  <c r="S139" i="3" s="1"/>
  <c r="T139" i="3" s="1"/>
  <c r="U139" i="3" s="1"/>
  <c r="V139" i="3" s="1"/>
  <c r="W139" i="3" s="1"/>
  <c r="X139" i="3" s="1"/>
  <c r="Y139" i="3" s="1"/>
  <c r="Z139" i="3" s="1"/>
  <c r="AA139" i="3" s="1"/>
  <c r="AB139" i="3" s="1"/>
  <c r="AC139" i="3" s="1"/>
  <c r="AD139" i="3" s="1"/>
  <c r="AE139" i="3" s="1"/>
  <c r="AF139" i="3" s="1"/>
  <c r="AG139" i="3" s="1"/>
  <c r="K138" i="3"/>
  <c r="J138" i="3"/>
  <c r="N137" i="3"/>
  <c r="M137" i="3"/>
  <c r="L137" i="3"/>
  <c r="L138" i="3" s="1"/>
  <c r="AG133" i="3"/>
  <c r="AF133" i="3"/>
  <c r="AE133" i="3"/>
  <c r="AD133" i="3"/>
  <c r="AC133" i="3"/>
  <c r="AB133" i="3"/>
  <c r="AA133" i="3"/>
  <c r="Z133" i="3"/>
  <c r="Y133" i="3"/>
  <c r="X133" i="3"/>
  <c r="V133" i="3"/>
  <c r="U133" i="3"/>
  <c r="T133" i="3"/>
  <c r="S133" i="3"/>
  <c r="R133" i="3"/>
  <c r="Q133" i="3"/>
  <c r="P133" i="3"/>
  <c r="O133" i="3"/>
  <c r="N133" i="3"/>
  <c r="M133" i="3"/>
  <c r="L133" i="3"/>
  <c r="F126" i="3"/>
  <c r="G126" i="3" s="1"/>
  <c r="H126" i="3" s="1"/>
  <c r="I126" i="3" s="1"/>
  <c r="J126" i="3" s="1"/>
  <c r="K126" i="3" s="1"/>
  <c r="L126" i="3" s="1"/>
  <c r="M126" i="3" s="1"/>
  <c r="N126" i="3" s="1"/>
  <c r="O126" i="3" s="1"/>
  <c r="P126" i="3" s="1"/>
  <c r="Q126" i="3" s="1"/>
  <c r="R126" i="3" s="1"/>
  <c r="S126" i="3" s="1"/>
  <c r="T126" i="3" s="1"/>
  <c r="U126" i="3" s="1"/>
  <c r="V126" i="3" s="1"/>
  <c r="W126" i="3" s="1"/>
  <c r="X126" i="3" s="1"/>
  <c r="Y126" i="3" s="1"/>
  <c r="Z126" i="3" s="1"/>
  <c r="AA126" i="3" s="1"/>
  <c r="AB126" i="3" s="1"/>
  <c r="AC126" i="3" s="1"/>
  <c r="AD126" i="3" s="1"/>
  <c r="AE126" i="3" s="1"/>
  <c r="AF126" i="3" s="1"/>
  <c r="AG126" i="3" s="1"/>
  <c r="F89" i="3"/>
  <c r="G89" i="3" s="1"/>
  <c r="H89" i="3" s="1"/>
  <c r="I89" i="3" s="1"/>
  <c r="J89" i="3" s="1"/>
  <c r="K89" i="3" s="1"/>
  <c r="L89" i="3" s="1"/>
  <c r="M89" i="3" s="1"/>
  <c r="N89" i="3" s="1"/>
  <c r="O89" i="3" s="1"/>
  <c r="P89" i="3" s="1"/>
  <c r="Q89" i="3" s="1"/>
  <c r="R89" i="3" s="1"/>
  <c r="S89" i="3" s="1"/>
  <c r="T89" i="3" s="1"/>
  <c r="U89" i="3" s="1"/>
  <c r="V89" i="3" s="1"/>
  <c r="W89" i="3" s="1"/>
  <c r="X89" i="3" s="1"/>
  <c r="Y89" i="3" s="1"/>
  <c r="Z89" i="3" s="1"/>
  <c r="AA89" i="3" s="1"/>
  <c r="AB89" i="3" s="1"/>
  <c r="AC89" i="3" s="1"/>
  <c r="AD89" i="3" s="1"/>
  <c r="AE89" i="3" s="1"/>
  <c r="AF89" i="3" s="1"/>
  <c r="AG89" i="3" s="1"/>
  <c r="T55" i="3"/>
  <c r="T241" i="3" s="1"/>
  <c r="S55" i="3"/>
  <c r="S241" i="3" s="1"/>
  <c r="R55" i="3"/>
  <c r="R241" i="3" s="1"/>
  <c r="Q55" i="3"/>
  <c r="Q241" i="3" s="1"/>
  <c r="P55" i="3"/>
  <c r="P241" i="3" s="1"/>
  <c r="O55" i="3"/>
  <c r="O241" i="3" s="1"/>
  <c r="N55" i="3"/>
  <c r="N241" i="3" s="1"/>
  <c r="M55" i="3"/>
  <c r="M241" i="3" s="1"/>
  <c r="L55" i="3"/>
  <c r="L241" i="3" s="1"/>
  <c r="T51" i="3"/>
  <c r="T242" i="3" s="1"/>
  <c r="S51" i="3"/>
  <c r="S242" i="3" s="1"/>
  <c r="R51" i="3"/>
  <c r="R242" i="3" s="1"/>
  <c r="Q51" i="3"/>
  <c r="Q242" i="3" s="1"/>
  <c r="P51" i="3"/>
  <c r="P242" i="3" s="1"/>
  <c r="O51" i="3"/>
  <c r="O242" i="3" s="1"/>
  <c r="N51" i="3"/>
  <c r="N242" i="3" s="1"/>
  <c r="M51" i="3"/>
  <c r="M242" i="3" s="1"/>
  <c r="L51" i="3"/>
  <c r="L242" i="3" s="1"/>
  <c r="Z33" i="3"/>
  <c r="Y33" i="3"/>
  <c r="X33" i="3"/>
  <c r="W33" i="3"/>
  <c r="V33" i="3"/>
  <c r="U33" i="3"/>
  <c r="T33" i="3"/>
  <c r="S33" i="3"/>
  <c r="R33" i="3"/>
  <c r="Q33" i="3"/>
  <c r="P33" i="3"/>
  <c r="O33" i="3"/>
  <c r="N33" i="3"/>
  <c r="M33" i="3"/>
  <c r="L33" i="3"/>
  <c r="K33" i="3"/>
  <c r="J31" i="3"/>
  <c r="K25" i="3"/>
  <c r="J25" i="3"/>
  <c r="K23" i="3"/>
  <c r="J23" i="3"/>
  <c r="T22" i="3"/>
  <c r="T282" i="3" s="1"/>
  <c r="S22" i="3"/>
  <c r="S282" i="3" s="1"/>
  <c r="R22" i="3"/>
  <c r="R282" i="3" s="1"/>
  <c r="Q22" i="3"/>
  <c r="Q282" i="3" s="1"/>
  <c r="P22" i="3"/>
  <c r="P282" i="3" s="1"/>
  <c r="O22" i="3"/>
  <c r="O282" i="3" s="1"/>
  <c r="N22" i="3"/>
  <c r="N282" i="3" s="1"/>
  <c r="M22" i="3"/>
  <c r="M282" i="3" s="1"/>
  <c r="L22" i="3"/>
  <c r="L282" i="3" s="1"/>
  <c r="J17" i="3"/>
  <c r="K17" i="3" s="1"/>
  <c r="L17" i="3" s="1"/>
  <c r="M17" i="3" s="1"/>
  <c r="N17" i="3" s="1"/>
  <c r="O17" i="3" s="1"/>
  <c r="P17" i="3" s="1"/>
  <c r="Q17" i="3" s="1"/>
  <c r="R17" i="3" s="1"/>
  <c r="S17" i="3" s="1"/>
  <c r="T17" i="3" s="1"/>
  <c r="U17" i="3" s="1"/>
  <c r="V17" i="3" s="1"/>
  <c r="W17" i="3" s="1"/>
  <c r="X17" i="3" s="1"/>
  <c r="Y17" i="3" s="1"/>
  <c r="Z17" i="3" s="1"/>
  <c r="AA17" i="3" s="1"/>
  <c r="AB17" i="3" s="1"/>
  <c r="AC17" i="3" s="1"/>
  <c r="AD17" i="3" s="1"/>
  <c r="AE17" i="3" s="1"/>
  <c r="AF17" i="3" s="1"/>
  <c r="AG17" i="3" s="1"/>
  <c r="F17" i="3"/>
  <c r="G17" i="3" s="1"/>
  <c r="H17" i="3" s="1"/>
  <c r="M15" i="3"/>
  <c r="L15" i="3"/>
  <c r="M14" i="3"/>
  <c r="L14" i="3"/>
  <c r="T13" i="3"/>
  <c r="S13" i="3"/>
  <c r="R13" i="3"/>
  <c r="Q13" i="3"/>
  <c r="P13" i="3"/>
  <c r="O13" i="3"/>
  <c r="N13" i="3"/>
  <c r="M13" i="3"/>
  <c r="L13" i="3"/>
  <c r="Z11" i="3"/>
  <c r="Y4" i="3"/>
  <c r="Y3" i="3" s="1"/>
  <c r="X4" i="3"/>
  <c r="X3" i="3" s="1"/>
  <c r="W4" i="3"/>
  <c r="W3" i="3" s="1"/>
  <c r="V4" i="3"/>
  <c r="V3" i="3" s="1"/>
  <c r="U4" i="3"/>
  <c r="U3" i="3" s="1"/>
  <c r="T4" i="3"/>
  <c r="T3" i="3" s="1"/>
  <c r="S4" i="3"/>
  <c r="S3" i="3" s="1"/>
  <c r="R4" i="3"/>
  <c r="R3" i="3" s="1"/>
  <c r="Q4" i="3"/>
  <c r="Q3" i="3" s="1"/>
  <c r="P4" i="3"/>
  <c r="P3" i="3" s="1"/>
  <c r="O4" i="3"/>
  <c r="O3" i="3" s="1"/>
  <c r="N4" i="3"/>
  <c r="N3" i="3" s="1"/>
  <c r="M4" i="3"/>
  <c r="M3" i="3" s="1"/>
  <c r="L4" i="3"/>
  <c r="L3" i="3" s="1"/>
  <c r="F2" i="3"/>
  <c r="N346" i="2"/>
  <c r="N105" i="2" s="1"/>
  <c r="X21" i="3" s="1"/>
  <c r="I346" i="2"/>
  <c r="I105" i="2" s="1"/>
  <c r="S21" i="3" s="1"/>
  <c r="H346" i="2"/>
  <c r="H105" i="2" s="1"/>
  <c r="R21" i="3" s="1"/>
  <c r="G346" i="2"/>
  <c r="G105" i="2" s="1"/>
  <c r="Q21" i="3" s="1"/>
  <c r="F346" i="2"/>
  <c r="F105" i="2" s="1"/>
  <c r="P21" i="3" s="1"/>
  <c r="E346" i="2"/>
  <c r="E105" i="2" s="1"/>
  <c r="O21" i="3" s="1"/>
  <c r="D346" i="2"/>
  <c r="D105" i="2" s="1"/>
  <c r="N21" i="3" s="1"/>
  <c r="C346" i="2"/>
  <c r="C105" i="2" s="1"/>
  <c r="M21" i="3" s="1"/>
  <c r="B346" i="2"/>
  <c r="B105" i="2" s="1"/>
  <c r="L21" i="3" s="1"/>
  <c r="O345" i="2"/>
  <c r="O93" i="2" s="1"/>
  <c r="Y20" i="3" s="1"/>
  <c r="I345" i="2"/>
  <c r="H345" i="2"/>
  <c r="H93" i="2" s="1"/>
  <c r="G345" i="2"/>
  <c r="G93" i="2" s="1"/>
  <c r="F345" i="2"/>
  <c r="E345" i="2"/>
  <c r="E93" i="2" s="1"/>
  <c r="D345" i="2"/>
  <c r="C345" i="2"/>
  <c r="B345" i="2"/>
  <c r="B93" i="2" s="1"/>
  <c r="J332" i="2"/>
  <c r="J291" i="2" s="1"/>
  <c r="I332" i="2"/>
  <c r="I291" i="2" s="1"/>
  <c r="H332" i="2"/>
  <c r="H291" i="2" s="1"/>
  <c r="R72" i="3" s="1"/>
  <c r="G332" i="2"/>
  <c r="G291" i="2" s="1"/>
  <c r="Q72" i="3" s="1"/>
  <c r="F332" i="2"/>
  <c r="F291" i="2" s="1"/>
  <c r="E332" i="2"/>
  <c r="E291" i="2" s="1"/>
  <c r="D332" i="2"/>
  <c r="D291" i="2" s="1"/>
  <c r="C332" i="2"/>
  <c r="C291" i="2" s="1"/>
  <c r="B332" i="2"/>
  <c r="B291" i="2" s="1"/>
  <c r="W325" i="2"/>
  <c r="X326" i="2" s="1"/>
  <c r="V325" i="2"/>
  <c r="S325" i="2"/>
  <c r="T326" i="2" s="1"/>
  <c r="R325" i="2"/>
  <c r="P325" i="2"/>
  <c r="Q326" i="2" s="1"/>
  <c r="O325" i="2"/>
  <c r="N325" i="2"/>
  <c r="M325" i="2"/>
  <c r="F325" i="2"/>
  <c r="E325" i="2"/>
  <c r="C325" i="2"/>
  <c r="B325" i="2"/>
  <c r="J322" i="2"/>
  <c r="I322" i="2"/>
  <c r="H322" i="2"/>
  <c r="G322" i="2"/>
  <c r="F322" i="2"/>
  <c r="E322" i="2"/>
  <c r="D322" i="2"/>
  <c r="C322" i="2"/>
  <c r="M320" i="2"/>
  <c r="L320" i="2"/>
  <c r="K320" i="2"/>
  <c r="J320" i="2"/>
  <c r="I320" i="2"/>
  <c r="H320" i="2"/>
  <c r="G320" i="2"/>
  <c r="F320" i="2"/>
  <c r="E320" i="2"/>
  <c r="D320" i="2"/>
  <c r="C320" i="2"/>
  <c r="N319" i="2"/>
  <c r="B317" i="2"/>
  <c r="J316" i="2"/>
  <c r="I316" i="2"/>
  <c r="H316" i="2"/>
  <c r="G316" i="2"/>
  <c r="F316" i="2"/>
  <c r="E316" i="2"/>
  <c r="D316" i="2"/>
  <c r="C316" i="2"/>
  <c r="B316" i="2"/>
  <c r="J315" i="2"/>
  <c r="I315" i="2"/>
  <c r="H315" i="2"/>
  <c r="G315" i="2"/>
  <c r="F315" i="2"/>
  <c r="E315" i="2"/>
  <c r="D315" i="2"/>
  <c r="C315" i="2"/>
  <c r="B315" i="2"/>
  <c r="B324" i="2" s="1"/>
  <c r="B314" i="2"/>
  <c r="C314" i="2" s="1"/>
  <c r="D314" i="2" s="1"/>
  <c r="E314" i="2" s="1"/>
  <c r="F314" i="2" s="1"/>
  <c r="G314" i="2" s="1"/>
  <c r="H314" i="2" s="1"/>
  <c r="I314" i="2" s="1"/>
  <c r="J314" i="2" s="1"/>
  <c r="K314" i="2" s="1"/>
  <c r="L314" i="2" s="1"/>
  <c r="M314" i="2" s="1"/>
  <c r="N314" i="2" s="1"/>
  <c r="O314" i="2" s="1"/>
  <c r="P314" i="2" s="1"/>
  <c r="W280" i="2"/>
  <c r="V280" i="2"/>
  <c r="U280" i="2"/>
  <c r="S280" i="2"/>
  <c r="R280" i="2"/>
  <c r="P280" i="2"/>
  <c r="O280" i="2"/>
  <c r="N280" i="2"/>
  <c r="M280" i="2"/>
  <c r="L280" i="2"/>
  <c r="K280" i="2"/>
  <c r="J280" i="2"/>
  <c r="I280" i="2"/>
  <c r="H280" i="2"/>
  <c r="G280" i="2"/>
  <c r="F280" i="2"/>
  <c r="E280" i="2"/>
  <c r="D280" i="2"/>
  <c r="C280" i="2"/>
  <c r="B280" i="2"/>
  <c r="I278" i="2"/>
  <c r="H278" i="2"/>
  <c r="G278" i="2"/>
  <c r="F278" i="2"/>
  <c r="E278" i="2"/>
  <c r="D278" i="2"/>
  <c r="C278" i="2"/>
  <c r="B278" i="2"/>
  <c r="I277" i="2"/>
  <c r="H277" i="2"/>
  <c r="G277" i="2"/>
  <c r="F277" i="2"/>
  <c r="E277" i="2"/>
  <c r="D277" i="2"/>
  <c r="C277" i="2"/>
  <c r="B277" i="2"/>
  <c r="J267" i="2"/>
  <c r="I267" i="2"/>
  <c r="H267" i="2"/>
  <c r="G267" i="2"/>
  <c r="F267" i="2"/>
  <c r="E267" i="2"/>
  <c r="D267" i="2"/>
  <c r="C267" i="2"/>
  <c r="B267" i="2"/>
  <c r="I266" i="2"/>
  <c r="H266" i="2"/>
  <c r="G266" i="2"/>
  <c r="F266" i="2"/>
  <c r="E266" i="2"/>
  <c r="D266" i="2"/>
  <c r="C266" i="2"/>
  <c r="B266" i="2"/>
  <c r="J265" i="2"/>
  <c r="I265" i="2"/>
  <c r="H265" i="2"/>
  <c r="G265" i="2"/>
  <c r="F265" i="2"/>
  <c r="E265" i="2"/>
  <c r="D265" i="2"/>
  <c r="C265" i="2"/>
  <c r="B265" i="2"/>
  <c r="B264" i="2"/>
  <c r="C264" i="2" s="1"/>
  <c r="D264" i="2" s="1"/>
  <c r="E264" i="2" s="1"/>
  <c r="F264" i="2" s="1"/>
  <c r="G264" i="2" s="1"/>
  <c r="H264" i="2" s="1"/>
  <c r="I264" i="2" s="1"/>
  <c r="J264" i="2" s="1"/>
  <c r="K264" i="2" s="1"/>
  <c r="L264" i="2" s="1"/>
  <c r="M264" i="2" s="1"/>
  <c r="N264" i="2" s="1"/>
  <c r="O264" i="2" s="1"/>
  <c r="P264" i="2" s="1"/>
  <c r="B261" i="2"/>
  <c r="B258" i="2"/>
  <c r="K255" i="2"/>
  <c r="J255" i="2"/>
  <c r="I255" i="2"/>
  <c r="H255" i="2"/>
  <c r="G255" i="2"/>
  <c r="F255" i="2"/>
  <c r="E255" i="2"/>
  <c r="D255" i="2"/>
  <c r="C255" i="2"/>
  <c r="B255" i="2"/>
  <c r="B253" i="2"/>
  <c r="J252" i="2"/>
  <c r="J55" i="2" s="1"/>
  <c r="I252" i="2"/>
  <c r="I55" i="2" s="1"/>
  <c r="H252" i="2"/>
  <c r="H55" i="2" s="1"/>
  <c r="G252" i="2"/>
  <c r="G55" i="2" s="1"/>
  <c r="F252" i="2"/>
  <c r="F55" i="2" s="1"/>
  <c r="E252" i="2"/>
  <c r="E55" i="2" s="1"/>
  <c r="D252" i="2"/>
  <c r="D55" i="2" s="1"/>
  <c r="C252" i="2"/>
  <c r="C55" i="2" s="1"/>
  <c r="B252" i="2"/>
  <c r="B55" i="2" s="1"/>
  <c r="B251" i="2"/>
  <c r="C251" i="2" s="1"/>
  <c r="D251" i="2" s="1"/>
  <c r="E251" i="2" s="1"/>
  <c r="F251" i="2" s="1"/>
  <c r="G251" i="2" s="1"/>
  <c r="H251" i="2" s="1"/>
  <c r="I251" i="2" s="1"/>
  <c r="J251" i="2" s="1"/>
  <c r="K251" i="2" s="1"/>
  <c r="L251" i="2" s="1"/>
  <c r="M251" i="2" s="1"/>
  <c r="N251" i="2" s="1"/>
  <c r="O251" i="2" s="1"/>
  <c r="P251" i="2" s="1"/>
  <c r="L247" i="2"/>
  <c r="K247" i="2"/>
  <c r="J247" i="2"/>
  <c r="I247" i="2"/>
  <c r="H247" i="2"/>
  <c r="G247" i="2"/>
  <c r="F247" i="2"/>
  <c r="E247" i="2"/>
  <c r="J223" i="2"/>
  <c r="I223" i="2"/>
  <c r="H223" i="2"/>
  <c r="G223" i="2"/>
  <c r="F223" i="2"/>
  <c r="E223" i="2"/>
  <c r="D223" i="2"/>
  <c r="C223" i="2"/>
  <c r="B223" i="2"/>
  <c r="L221" i="2"/>
  <c r="L36" i="2" s="1"/>
  <c r="J221" i="2"/>
  <c r="J36" i="2" s="1"/>
  <c r="I221" i="2"/>
  <c r="I36" i="2" s="1"/>
  <c r="H221" i="2"/>
  <c r="H36" i="2" s="1"/>
  <c r="G221" i="2"/>
  <c r="G36" i="2" s="1"/>
  <c r="F221" i="2"/>
  <c r="F36" i="2" s="1"/>
  <c r="E221" i="2"/>
  <c r="E36" i="2" s="1"/>
  <c r="D221" i="2"/>
  <c r="D36" i="2" s="1"/>
  <c r="B219" i="2"/>
  <c r="D217" i="2"/>
  <c r="E217" i="2" s="1"/>
  <c r="F217" i="2" s="1"/>
  <c r="G217" i="2" s="1"/>
  <c r="H217" i="2" s="1"/>
  <c r="I217" i="2" s="1"/>
  <c r="J217" i="2" s="1"/>
  <c r="K217" i="2" s="1"/>
  <c r="L217" i="2" s="1"/>
  <c r="M217" i="2" s="1"/>
  <c r="N217" i="2" s="1"/>
  <c r="O217" i="2" s="1"/>
  <c r="P217" i="2" s="1"/>
  <c r="D216" i="2"/>
  <c r="E216" i="2" s="1"/>
  <c r="F216" i="2" s="1"/>
  <c r="G216" i="2" s="1"/>
  <c r="H216" i="2" s="1"/>
  <c r="I216" i="2" s="1"/>
  <c r="J216" i="2" s="1"/>
  <c r="K216" i="2" s="1"/>
  <c r="L216" i="2" s="1"/>
  <c r="M216" i="2" s="1"/>
  <c r="N216" i="2" s="1"/>
  <c r="O216" i="2" s="1"/>
  <c r="P216" i="2" s="1"/>
  <c r="N215" i="2"/>
  <c r="M215" i="2"/>
  <c r="L215" i="2"/>
  <c r="K215" i="2"/>
  <c r="J215" i="2"/>
  <c r="AT498" i="1" s="1"/>
  <c r="AT502" i="1" s="1"/>
  <c r="I215" i="2"/>
  <c r="H215" i="2"/>
  <c r="G215" i="2"/>
  <c r="F215" i="2"/>
  <c r="E215" i="2"/>
  <c r="D215" i="2"/>
  <c r="P214" i="2"/>
  <c r="H59" i="4" s="1"/>
  <c r="O214" i="2"/>
  <c r="U212" i="2"/>
  <c r="V212" i="2" s="1"/>
  <c r="W212" i="2" s="1"/>
  <c r="K212" i="2"/>
  <c r="K221" i="2" s="1"/>
  <c r="K36" i="2" s="1"/>
  <c r="B210" i="2"/>
  <c r="C210" i="2" s="1"/>
  <c r="D210" i="2" s="1"/>
  <c r="E210" i="2" s="1"/>
  <c r="F210" i="2" s="1"/>
  <c r="G210" i="2" s="1"/>
  <c r="H210" i="2" s="1"/>
  <c r="I210" i="2" s="1"/>
  <c r="J210" i="2" s="1"/>
  <c r="K210" i="2" s="1"/>
  <c r="L210" i="2" s="1"/>
  <c r="M210" i="2" s="1"/>
  <c r="N210" i="2" s="1"/>
  <c r="O210" i="2" s="1"/>
  <c r="P210" i="2" s="1"/>
  <c r="S207" i="2"/>
  <c r="P207" i="2"/>
  <c r="O207" i="2"/>
  <c r="N207" i="2"/>
  <c r="M207" i="2"/>
  <c r="L207" i="2"/>
  <c r="K207" i="2"/>
  <c r="J207" i="2"/>
  <c r="I207" i="2"/>
  <c r="H207" i="2"/>
  <c r="G207" i="2"/>
  <c r="F207" i="2"/>
  <c r="E207" i="2"/>
  <c r="D207" i="2"/>
  <c r="C207" i="2"/>
  <c r="B207" i="2"/>
  <c r="R205" i="2"/>
  <c r="S205" i="2" s="1"/>
  <c r="B204" i="2"/>
  <c r="C204" i="2" s="1"/>
  <c r="D204" i="2" s="1"/>
  <c r="E204" i="2" s="1"/>
  <c r="F204" i="2" s="1"/>
  <c r="G204" i="2" s="1"/>
  <c r="H204" i="2" s="1"/>
  <c r="I204" i="2" s="1"/>
  <c r="J204" i="2" s="1"/>
  <c r="K204" i="2" s="1"/>
  <c r="L204" i="2" s="1"/>
  <c r="M204" i="2" s="1"/>
  <c r="N204" i="2" s="1"/>
  <c r="O204" i="2" s="1"/>
  <c r="P204" i="2" s="1"/>
  <c r="B193" i="2"/>
  <c r="C193" i="2" s="1"/>
  <c r="D193" i="2" s="1"/>
  <c r="E193" i="2" s="1"/>
  <c r="F193" i="2" s="1"/>
  <c r="G193" i="2" s="1"/>
  <c r="H193" i="2" s="1"/>
  <c r="I193" i="2" s="1"/>
  <c r="J193" i="2" s="1"/>
  <c r="K193" i="2" s="1"/>
  <c r="L193" i="2" s="1"/>
  <c r="M193" i="2" s="1"/>
  <c r="N193" i="2" s="1"/>
  <c r="O193" i="2" s="1"/>
  <c r="P193" i="2" s="1"/>
  <c r="K191" i="2"/>
  <c r="L191" i="2" s="1"/>
  <c r="M191" i="2" s="1"/>
  <c r="B190" i="2"/>
  <c r="C190" i="2" s="1"/>
  <c r="D190" i="2" s="1"/>
  <c r="E190" i="2" s="1"/>
  <c r="F190" i="2" s="1"/>
  <c r="G190" i="2" s="1"/>
  <c r="H190" i="2" s="1"/>
  <c r="I190" i="2" s="1"/>
  <c r="J190" i="2" s="1"/>
  <c r="K190" i="2" s="1"/>
  <c r="L190" i="2" s="1"/>
  <c r="M190" i="2" s="1"/>
  <c r="N190" i="2" s="1"/>
  <c r="O190" i="2" s="1"/>
  <c r="P190" i="2" s="1"/>
  <c r="P188" i="2"/>
  <c r="B187" i="2"/>
  <c r="C187" i="2" s="1"/>
  <c r="D187" i="2" s="1"/>
  <c r="E187" i="2" s="1"/>
  <c r="F187" i="2" s="1"/>
  <c r="G187" i="2" s="1"/>
  <c r="H187" i="2" s="1"/>
  <c r="I187" i="2" s="1"/>
  <c r="J187" i="2" s="1"/>
  <c r="K187" i="2" s="1"/>
  <c r="L187" i="2" s="1"/>
  <c r="M187" i="2" s="1"/>
  <c r="N187" i="2" s="1"/>
  <c r="O187" i="2" s="1"/>
  <c r="P187" i="2" s="1"/>
  <c r="P185" i="2"/>
  <c r="O185" i="2"/>
  <c r="O23" i="2" s="1"/>
  <c r="N185" i="2"/>
  <c r="N23" i="2" s="1"/>
  <c r="M185" i="2"/>
  <c r="M23" i="2" s="1"/>
  <c r="L185" i="2"/>
  <c r="L23" i="2" s="1"/>
  <c r="K185" i="2"/>
  <c r="K23" i="2" s="1"/>
  <c r="J185" i="2"/>
  <c r="J23" i="2" s="1"/>
  <c r="G185" i="2"/>
  <c r="H185" i="2" s="1"/>
  <c r="I185" i="2" s="1"/>
  <c r="I23" i="2" s="1"/>
  <c r="C185" i="2"/>
  <c r="B184" i="2"/>
  <c r="C184" i="2" s="1"/>
  <c r="D184" i="2" s="1"/>
  <c r="E184" i="2" s="1"/>
  <c r="F184" i="2" s="1"/>
  <c r="G184" i="2" s="1"/>
  <c r="H184" i="2" s="1"/>
  <c r="I184" i="2" s="1"/>
  <c r="J184" i="2" s="1"/>
  <c r="K184" i="2" s="1"/>
  <c r="L184" i="2" s="1"/>
  <c r="M184" i="2" s="1"/>
  <c r="N184" i="2" s="1"/>
  <c r="O184" i="2" s="1"/>
  <c r="P184" i="2" s="1"/>
  <c r="P182" i="2"/>
  <c r="B181" i="2"/>
  <c r="C181" i="2" s="1"/>
  <c r="D181" i="2" s="1"/>
  <c r="E181" i="2" s="1"/>
  <c r="F181" i="2" s="1"/>
  <c r="G181" i="2" s="1"/>
  <c r="H181" i="2" s="1"/>
  <c r="I181" i="2" s="1"/>
  <c r="J181" i="2" s="1"/>
  <c r="K181" i="2" s="1"/>
  <c r="L181" i="2" s="1"/>
  <c r="M181" i="2" s="1"/>
  <c r="N181" i="2" s="1"/>
  <c r="O181" i="2" s="1"/>
  <c r="P181" i="2" s="1"/>
  <c r="P179" i="2"/>
  <c r="O179" i="2"/>
  <c r="O16" i="2" s="1"/>
  <c r="N179" i="2"/>
  <c r="N16" i="2" s="1"/>
  <c r="M179" i="2"/>
  <c r="M16" i="2" s="1"/>
  <c r="L179" i="2"/>
  <c r="L16" i="2" s="1"/>
  <c r="K179" i="2"/>
  <c r="K16" i="2" s="1"/>
  <c r="B178" i="2"/>
  <c r="C178" i="2" s="1"/>
  <c r="D178" i="2" s="1"/>
  <c r="E178" i="2" s="1"/>
  <c r="F178" i="2" s="1"/>
  <c r="G178" i="2" s="1"/>
  <c r="H178" i="2" s="1"/>
  <c r="I178" i="2" s="1"/>
  <c r="J178" i="2" s="1"/>
  <c r="K178" i="2" s="1"/>
  <c r="L178" i="2" s="1"/>
  <c r="M178" i="2" s="1"/>
  <c r="N178" i="2" s="1"/>
  <c r="O178" i="2" s="1"/>
  <c r="P178" i="2" s="1"/>
  <c r="D176" i="2"/>
  <c r="B175" i="2"/>
  <c r="C175" i="2" s="1"/>
  <c r="D175" i="2" s="1"/>
  <c r="E175" i="2" s="1"/>
  <c r="F175" i="2" s="1"/>
  <c r="G175" i="2" s="1"/>
  <c r="H175" i="2" s="1"/>
  <c r="I175" i="2" s="1"/>
  <c r="J175" i="2" s="1"/>
  <c r="K175" i="2" s="1"/>
  <c r="L175" i="2" s="1"/>
  <c r="M175" i="2" s="1"/>
  <c r="N175" i="2" s="1"/>
  <c r="O175" i="2" s="1"/>
  <c r="P175" i="2" s="1"/>
  <c r="R172" i="2"/>
  <c r="L172" i="2"/>
  <c r="L8" i="2" s="1"/>
  <c r="K172" i="2"/>
  <c r="K8" i="2" s="1"/>
  <c r="J172" i="2"/>
  <c r="J8" i="2" s="1"/>
  <c r="B171" i="2"/>
  <c r="C171" i="2" s="1"/>
  <c r="D171" i="2" s="1"/>
  <c r="E171" i="2" s="1"/>
  <c r="F171" i="2" s="1"/>
  <c r="G171" i="2" s="1"/>
  <c r="H171" i="2" s="1"/>
  <c r="I171" i="2" s="1"/>
  <c r="J171" i="2" s="1"/>
  <c r="K171" i="2" s="1"/>
  <c r="L171" i="2" s="1"/>
  <c r="M171" i="2" s="1"/>
  <c r="N171" i="2" s="1"/>
  <c r="O171" i="2" s="1"/>
  <c r="P171" i="2" s="1"/>
  <c r="P167" i="2"/>
  <c r="O167" i="2"/>
  <c r="N167" i="2"/>
  <c r="M167" i="2"/>
  <c r="L167" i="2"/>
  <c r="K167" i="2"/>
  <c r="J167" i="2"/>
  <c r="I167" i="2"/>
  <c r="H167" i="2"/>
  <c r="G167" i="2"/>
  <c r="F167" i="2"/>
  <c r="E167" i="2"/>
  <c r="D167" i="2"/>
  <c r="C167" i="2"/>
  <c r="P164" i="2"/>
  <c r="O164" i="2"/>
  <c r="N164" i="2"/>
  <c r="J164" i="2"/>
  <c r="I164" i="2"/>
  <c r="H164" i="2"/>
  <c r="G164" i="2"/>
  <c r="F164" i="2"/>
  <c r="E164" i="2"/>
  <c r="D164" i="2"/>
  <c r="C164" i="2"/>
  <c r="K162" i="2"/>
  <c r="L162" i="2" s="1"/>
  <c r="P161" i="2"/>
  <c r="O161" i="2"/>
  <c r="N161" i="2"/>
  <c r="M161" i="2"/>
  <c r="L161" i="2"/>
  <c r="K161" i="2"/>
  <c r="J161" i="2"/>
  <c r="I161" i="2"/>
  <c r="H161" i="2"/>
  <c r="G161" i="2"/>
  <c r="F161" i="2"/>
  <c r="E161" i="2"/>
  <c r="D161" i="2"/>
  <c r="C161" i="2"/>
  <c r="P157" i="2"/>
  <c r="O157" i="2"/>
  <c r="N157" i="2"/>
  <c r="M157" i="2"/>
  <c r="L157" i="2"/>
  <c r="K157" i="2"/>
  <c r="J157" i="2"/>
  <c r="I157" i="2"/>
  <c r="H157" i="2"/>
  <c r="G157" i="2"/>
  <c r="F157" i="2"/>
  <c r="E157" i="2"/>
  <c r="D157" i="2"/>
  <c r="C157" i="2"/>
  <c r="P154" i="2"/>
  <c r="O154" i="2"/>
  <c r="N154" i="2"/>
  <c r="M154" i="2"/>
  <c r="L154" i="2"/>
  <c r="K154" i="2"/>
  <c r="J154" i="2"/>
  <c r="I154" i="2"/>
  <c r="H154" i="2"/>
  <c r="G154" i="2"/>
  <c r="F154" i="2"/>
  <c r="E154" i="2"/>
  <c r="D154" i="2"/>
  <c r="C154" i="2"/>
  <c r="B151" i="2"/>
  <c r="C151" i="2" s="1"/>
  <c r="D151" i="2" s="1"/>
  <c r="E151" i="2" s="1"/>
  <c r="F151" i="2" s="1"/>
  <c r="G151" i="2" s="1"/>
  <c r="H151" i="2" s="1"/>
  <c r="I151" i="2" s="1"/>
  <c r="J151" i="2" s="1"/>
  <c r="K151" i="2" s="1"/>
  <c r="L151" i="2" s="1"/>
  <c r="M151" i="2" s="1"/>
  <c r="N151" i="2" s="1"/>
  <c r="O151" i="2" s="1"/>
  <c r="P151" i="2" s="1"/>
  <c r="B143" i="2"/>
  <c r="C143" i="2" s="1"/>
  <c r="D143" i="2" s="1"/>
  <c r="E143" i="2" s="1"/>
  <c r="F143" i="2" s="1"/>
  <c r="G143" i="2" s="1"/>
  <c r="H143" i="2" s="1"/>
  <c r="I143" i="2" s="1"/>
  <c r="J143" i="2" s="1"/>
  <c r="K143" i="2" s="1"/>
  <c r="L143" i="2" s="1"/>
  <c r="M143" i="2" s="1"/>
  <c r="N143" i="2" s="1"/>
  <c r="O143" i="2" s="1"/>
  <c r="P143" i="2" s="1"/>
  <c r="P133" i="2"/>
  <c r="P123" i="2" s="1"/>
  <c r="Q124" i="2" s="1"/>
  <c r="O133" i="2"/>
  <c r="O123" i="2" s="1"/>
  <c r="N133" i="2"/>
  <c r="N123" i="2" s="1"/>
  <c r="M133" i="2"/>
  <c r="M123" i="2" s="1"/>
  <c r="L133" i="2"/>
  <c r="L123" i="2" s="1"/>
  <c r="K133" i="2"/>
  <c r="K123" i="2" s="1"/>
  <c r="J133" i="2"/>
  <c r="J123" i="2" s="1"/>
  <c r="I133" i="2"/>
  <c r="I123" i="2" s="1"/>
  <c r="H133" i="2"/>
  <c r="H123" i="2" s="1"/>
  <c r="G133" i="2"/>
  <c r="F133" i="2"/>
  <c r="F123" i="2" s="1"/>
  <c r="E133" i="2"/>
  <c r="E123" i="2" s="1"/>
  <c r="D133" i="2"/>
  <c r="D123" i="2" s="1"/>
  <c r="C133" i="2"/>
  <c r="C123" i="2" s="1"/>
  <c r="B133" i="2"/>
  <c r="B123" i="2" s="1"/>
  <c r="P126" i="2"/>
  <c r="P56" i="2" s="1"/>
  <c r="P299" i="2" s="1"/>
  <c r="Z80" i="3" s="1"/>
  <c r="O126" i="2"/>
  <c r="O56" i="2" s="1"/>
  <c r="O299" i="2" s="1"/>
  <c r="Y80" i="3" s="1"/>
  <c r="N126" i="2"/>
  <c r="N56" i="2" s="1"/>
  <c r="N299" i="2" s="1"/>
  <c r="X80" i="3" s="1"/>
  <c r="M126" i="2"/>
  <c r="M56" i="2" s="1"/>
  <c r="M299" i="2" s="1"/>
  <c r="W80" i="3" s="1"/>
  <c r="L126" i="2"/>
  <c r="L56" i="2" s="1"/>
  <c r="L299" i="2" s="1"/>
  <c r="V80" i="3" s="1"/>
  <c r="K126" i="2"/>
  <c r="K56" i="2" s="1"/>
  <c r="K299" i="2" s="1"/>
  <c r="U80" i="3" s="1"/>
  <c r="J126" i="2"/>
  <c r="J56" i="2" s="1"/>
  <c r="J299" i="2" s="1"/>
  <c r="T80" i="3" s="1"/>
  <c r="I126" i="2"/>
  <c r="I56" i="2" s="1"/>
  <c r="I299" i="2" s="1"/>
  <c r="S80" i="3" s="1"/>
  <c r="H126" i="2"/>
  <c r="H56" i="2" s="1"/>
  <c r="H299" i="2" s="1"/>
  <c r="R80" i="3" s="1"/>
  <c r="G126" i="2"/>
  <c r="G56" i="2" s="1"/>
  <c r="G299" i="2" s="1"/>
  <c r="Q80" i="3" s="1"/>
  <c r="F126" i="2"/>
  <c r="F56" i="2" s="1"/>
  <c r="F299" i="2" s="1"/>
  <c r="P80" i="3" s="1"/>
  <c r="E126" i="2"/>
  <c r="E56" i="2" s="1"/>
  <c r="E299" i="2" s="1"/>
  <c r="O80" i="3" s="1"/>
  <c r="D126" i="2"/>
  <c r="D56" i="2" s="1"/>
  <c r="D299" i="2" s="1"/>
  <c r="N80" i="3" s="1"/>
  <c r="C126" i="2"/>
  <c r="M28" i="3" s="1"/>
  <c r="M128" i="3" s="1"/>
  <c r="B126" i="2"/>
  <c r="L28" i="3" s="1"/>
  <c r="L128" i="3" s="1"/>
  <c r="O119" i="2"/>
  <c r="P120" i="2" s="1"/>
  <c r="N119" i="2"/>
  <c r="M119" i="2"/>
  <c r="L119" i="2"/>
  <c r="K119" i="2"/>
  <c r="J119" i="2"/>
  <c r="I119" i="2"/>
  <c r="H119" i="2"/>
  <c r="G119" i="2"/>
  <c r="F119" i="2"/>
  <c r="E119" i="2"/>
  <c r="D119" i="2"/>
  <c r="C119" i="2"/>
  <c r="B119" i="2"/>
  <c r="P115" i="2"/>
  <c r="O115" i="2"/>
  <c r="N115" i="2"/>
  <c r="M115" i="2"/>
  <c r="L115" i="2"/>
  <c r="K115" i="2"/>
  <c r="J115" i="2"/>
  <c r="I115" i="2"/>
  <c r="H115" i="2"/>
  <c r="G115" i="2"/>
  <c r="F115" i="2"/>
  <c r="E115" i="2"/>
  <c r="D115" i="2"/>
  <c r="C115" i="2"/>
  <c r="B115" i="2"/>
  <c r="W114" i="2"/>
  <c r="V114" i="2"/>
  <c r="U114" i="2"/>
  <c r="S114" i="2"/>
  <c r="P114" i="2"/>
  <c r="O114" i="2"/>
  <c r="N114" i="2"/>
  <c r="M114" i="2"/>
  <c r="L114" i="2"/>
  <c r="K114" i="2"/>
  <c r="J114" i="2"/>
  <c r="I114" i="2"/>
  <c r="H114" i="2"/>
  <c r="G114" i="2"/>
  <c r="F114" i="2"/>
  <c r="E114" i="2"/>
  <c r="D114" i="2"/>
  <c r="C114" i="2"/>
  <c r="B114" i="2"/>
  <c r="B112" i="2"/>
  <c r="C112" i="2" s="1"/>
  <c r="D112" i="2" s="1"/>
  <c r="E112" i="2" s="1"/>
  <c r="F112" i="2" s="1"/>
  <c r="G112" i="2" s="1"/>
  <c r="H112" i="2" s="1"/>
  <c r="I112" i="2" s="1"/>
  <c r="J112" i="2" s="1"/>
  <c r="K112" i="2" s="1"/>
  <c r="L112" i="2" s="1"/>
  <c r="M112" i="2" s="1"/>
  <c r="N112" i="2" s="1"/>
  <c r="O112" i="2" s="1"/>
  <c r="P112" i="2" s="1"/>
  <c r="M105" i="2"/>
  <c r="W21" i="3" s="1"/>
  <c r="P104" i="2"/>
  <c r="M278" i="2"/>
  <c r="B101" i="2"/>
  <c r="C101" i="2" s="1"/>
  <c r="D101" i="2" s="1"/>
  <c r="E101" i="2" s="1"/>
  <c r="F101" i="2" s="1"/>
  <c r="G101" i="2" s="1"/>
  <c r="H101" i="2" s="1"/>
  <c r="I101" i="2" s="1"/>
  <c r="J101" i="2" s="1"/>
  <c r="K101" i="2" s="1"/>
  <c r="L101" i="2" s="1"/>
  <c r="M101" i="2" s="1"/>
  <c r="N101" i="2" s="1"/>
  <c r="O101" i="2" s="1"/>
  <c r="P101" i="2" s="1"/>
  <c r="N93" i="2"/>
  <c r="X20" i="3" s="1"/>
  <c r="M93" i="2"/>
  <c r="W20" i="3" s="1"/>
  <c r="B88" i="2"/>
  <c r="C88" i="2" s="1"/>
  <c r="D88" i="2" s="1"/>
  <c r="E88" i="2" s="1"/>
  <c r="F88" i="2" s="1"/>
  <c r="G88" i="2" s="1"/>
  <c r="H88" i="2" s="1"/>
  <c r="I88" i="2" s="1"/>
  <c r="J88" i="2" s="1"/>
  <c r="K88" i="2" s="1"/>
  <c r="L88" i="2" s="1"/>
  <c r="M88" i="2" s="1"/>
  <c r="N88" i="2" s="1"/>
  <c r="O88" i="2" s="1"/>
  <c r="P88" i="2" s="1"/>
  <c r="B83" i="2"/>
  <c r="C83" i="2" s="1"/>
  <c r="D83" i="2" s="1"/>
  <c r="E83" i="2" s="1"/>
  <c r="F83" i="2" s="1"/>
  <c r="G83" i="2" s="1"/>
  <c r="H83" i="2" s="1"/>
  <c r="I83" i="2" s="1"/>
  <c r="J83" i="2" s="1"/>
  <c r="K83" i="2" s="1"/>
  <c r="L83" i="2" s="1"/>
  <c r="M83" i="2" s="1"/>
  <c r="N83" i="2" s="1"/>
  <c r="O83" i="2" s="1"/>
  <c r="P83" i="2" s="1"/>
  <c r="J80" i="2"/>
  <c r="I80" i="2"/>
  <c r="H80" i="2"/>
  <c r="G80" i="2"/>
  <c r="F80" i="2"/>
  <c r="E80" i="2"/>
  <c r="D80" i="2"/>
  <c r="C80" i="2"/>
  <c r="B80" i="2"/>
  <c r="J78" i="2"/>
  <c r="I78" i="2"/>
  <c r="H78" i="2"/>
  <c r="G78" i="2"/>
  <c r="F78" i="2"/>
  <c r="E78" i="2"/>
  <c r="D78" i="2"/>
  <c r="C78" i="2"/>
  <c r="B78" i="2"/>
  <c r="J75" i="2"/>
  <c r="I75" i="2"/>
  <c r="H75" i="2"/>
  <c r="G75" i="2"/>
  <c r="F75" i="2"/>
  <c r="E75" i="2"/>
  <c r="D75" i="2"/>
  <c r="C75" i="2"/>
  <c r="B75" i="2"/>
  <c r="D69" i="2"/>
  <c r="C69" i="2"/>
  <c r="T134" i="3"/>
  <c r="S134" i="3"/>
  <c r="R134" i="3"/>
  <c r="Q134" i="3"/>
  <c r="P134" i="3"/>
  <c r="O134" i="3"/>
  <c r="N134" i="3"/>
  <c r="M134" i="3"/>
  <c r="B61" i="2"/>
  <c r="L134" i="3" s="1"/>
  <c r="J57" i="2"/>
  <c r="J293" i="2" s="1"/>
  <c r="T74" i="3" s="1"/>
  <c r="I57" i="2"/>
  <c r="I293" i="2" s="1"/>
  <c r="S74" i="3" s="1"/>
  <c r="H57" i="2"/>
  <c r="H293" i="2" s="1"/>
  <c r="R74" i="3" s="1"/>
  <c r="G57" i="2"/>
  <c r="G293" i="2" s="1"/>
  <c r="Q74" i="3" s="1"/>
  <c r="F57" i="2"/>
  <c r="F293" i="2" s="1"/>
  <c r="P74" i="3" s="1"/>
  <c r="E57" i="2"/>
  <c r="E293" i="2" s="1"/>
  <c r="O74" i="3" s="1"/>
  <c r="D57" i="2"/>
  <c r="D293" i="2" s="1"/>
  <c r="N74" i="3" s="1"/>
  <c r="C57" i="2"/>
  <c r="C293" i="2" s="1"/>
  <c r="M74" i="3" s="1"/>
  <c r="B57" i="2"/>
  <c r="B293" i="2" s="1"/>
  <c r="L74" i="3" s="1"/>
  <c r="B54" i="2"/>
  <c r="P36" i="2"/>
  <c r="P34" i="2"/>
  <c r="L34" i="2"/>
  <c r="J34" i="2"/>
  <c r="I34" i="2"/>
  <c r="H34" i="2"/>
  <c r="G34" i="2"/>
  <c r="F34" i="2"/>
  <c r="E34" i="2"/>
  <c r="D34" i="2"/>
  <c r="P33" i="2"/>
  <c r="O33" i="2"/>
  <c r="O37" i="2" s="1"/>
  <c r="N33" i="2"/>
  <c r="N37" i="2" s="1"/>
  <c r="M33" i="2"/>
  <c r="M37" i="2" s="1"/>
  <c r="L33" i="2"/>
  <c r="K33" i="2"/>
  <c r="J33" i="2"/>
  <c r="I33" i="2"/>
  <c r="H33" i="2"/>
  <c r="G33" i="2"/>
  <c r="F33" i="2"/>
  <c r="E33" i="2"/>
  <c r="D33" i="2"/>
  <c r="L31" i="2"/>
  <c r="K31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K26" i="2"/>
  <c r="L26" i="2" s="1"/>
  <c r="M26" i="2" s="1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P24" i="2"/>
  <c r="O24" i="2"/>
  <c r="N24" i="2"/>
  <c r="M24" i="2"/>
  <c r="L24" i="2"/>
  <c r="K24" i="2"/>
  <c r="J24" i="2"/>
  <c r="I24" i="2"/>
  <c r="H24" i="2"/>
  <c r="G24" i="2"/>
  <c r="F24" i="2"/>
  <c r="E24" i="2"/>
  <c r="D24" i="2"/>
  <c r="F23" i="2"/>
  <c r="E23" i="2"/>
  <c r="D23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O17" i="2"/>
  <c r="N17" i="2"/>
  <c r="M17" i="2"/>
  <c r="L17" i="2"/>
  <c r="K17" i="2"/>
  <c r="J17" i="2"/>
  <c r="I17" i="2"/>
  <c r="H17" i="2"/>
  <c r="G17" i="2"/>
  <c r="F17" i="2"/>
  <c r="E17" i="2"/>
  <c r="D17" i="2"/>
  <c r="J16" i="2"/>
  <c r="I16" i="2"/>
  <c r="H16" i="2"/>
  <c r="G16" i="2"/>
  <c r="F16" i="2"/>
  <c r="E16" i="2"/>
  <c r="D16" i="2"/>
  <c r="V15" i="2"/>
  <c r="W15" i="2" s="1"/>
  <c r="X15" i="2" s="1"/>
  <c r="Y15" i="2" s="1"/>
  <c r="Z15" i="2" s="1"/>
  <c r="AA15" i="2" s="1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P9" i="2"/>
  <c r="P8" i="2"/>
  <c r="O8" i="2"/>
  <c r="N8" i="2"/>
  <c r="M8" i="2"/>
  <c r="I8" i="2"/>
  <c r="H8" i="2"/>
  <c r="G8" i="2"/>
  <c r="F8" i="2"/>
  <c r="E8" i="2"/>
  <c r="D8" i="2"/>
  <c r="P6" i="2"/>
  <c r="O6" i="2"/>
  <c r="N6" i="2"/>
  <c r="M6" i="2"/>
  <c r="L6" i="2"/>
  <c r="K6" i="2"/>
  <c r="J6" i="2"/>
  <c r="I6" i="2"/>
  <c r="H6" i="2"/>
  <c r="G6" i="2"/>
  <c r="F6" i="2"/>
  <c r="E6" i="2"/>
  <c r="D6" i="2"/>
  <c r="P5" i="2"/>
  <c r="O5" i="2"/>
  <c r="N5" i="2"/>
  <c r="M5" i="2"/>
  <c r="L5" i="2"/>
  <c r="K5" i="2"/>
  <c r="J5" i="2"/>
  <c r="I5" i="2"/>
  <c r="H5" i="2"/>
  <c r="G5" i="2"/>
  <c r="F5" i="2"/>
  <c r="E5" i="2"/>
  <c r="D5" i="2"/>
  <c r="P4" i="2"/>
  <c r="P134" i="2" s="1"/>
  <c r="O4" i="2"/>
  <c r="O134" i="2" s="1"/>
  <c r="N4" i="2"/>
  <c r="M4" i="2"/>
  <c r="M134" i="2" s="1"/>
  <c r="L4" i="2"/>
  <c r="K4" i="2"/>
  <c r="K134" i="2" s="1"/>
  <c r="J4" i="2"/>
  <c r="I4" i="2"/>
  <c r="I134" i="2" s="1"/>
  <c r="H4" i="2"/>
  <c r="H134" i="2" s="1"/>
  <c r="G4" i="2"/>
  <c r="G134" i="2" s="1"/>
  <c r="F4" i="2"/>
  <c r="E4" i="2"/>
  <c r="E134" i="2" s="1"/>
  <c r="D4" i="2"/>
  <c r="D134" i="2" s="1"/>
  <c r="C134" i="2"/>
  <c r="C2" i="2"/>
  <c r="D2" i="2" s="1"/>
  <c r="E2" i="2" s="1"/>
  <c r="F2" i="2" s="1"/>
  <c r="G2" i="2" s="1"/>
  <c r="H2" i="2" s="1"/>
  <c r="I2" i="2" s="1"/>
  <c r="J2" i="2" s="1"/>
  <c r="K2" i="2" s="1"/>
  <c r="L2" i="2" s="1"/>
  <c r="M2" i="2" s="1"/>
  <c r="N2" i="2" s="1"/>
  <c r="O2" i="2" s="1"/>
  <c r="P2" i="2" s="1"/>
  <c r="V525" i="1"/>
  <c r="AA525" i="1" s="1"/>
  <c r="V518" i="1"/>
  <c r="V520" i="1" s="1"/>
  <c r="U518" i="1"/>
  <c r="U520" i="1" s="1"/>
  <c r="T518" i="1"/>
  <c r="T520" i="1" s="1"/>
  <c r="S518" i="1"/>
  <c r="S520" i="1" s="1"/>
  <c r="R518" i="1"/>
  <c r="R520" i="1" s="1"/>
  <c r="Q518" i="1"/>
  <c r="Q521" i="1" s="1"/>
  <c r="P518" i="1"/>
  <c r="P520" i="1" s="1"/>
  <c r="O518" i="1"/>
  <c r="O520" i="1" s="1"/>
  <c r="N518" i="1"/>
  <c r="N520" i="1" s="1"/>
  <c r="M518" i="1"/>
  <c r="M520" i="1" s="1"/>
  <c r="L518" i="1"/>
  <c r="L521" i="1" s="1"/>
  <c r="K518" i="1"/>
  <c r="J518" i="1"/>
  <c r="I518" i="1"/>
  <c r="H518" i="1"/>
  <c r="G518" i="1"/>
  <c r="G521" i="1" s="1"/>
  <c r="F518" i="1"/>
  <c r="F520" i="1" s="1"/>
  <c r="E515" i="1"/>
  <c r="E31" i="1" s="1"/>
  <c r="D515" i="1"/>
  <c r="D30" i="1" s="1"/>
  <c r="C515" i="1"/>
  <c r="C31" i="1" s="1"/>
  <c r="B514" i="1"/>
  <c r="G514" i="1" s="1"/>
  <c r="L514" i="1" s="1"/>
  <c r="Q514" i="1" s="1"/>
  <c r="V514" i="1" s="1"/>
  <c r="AA514" i="1" s="1"/>
  <c r="AF514" i="1" s="1"/>
  <c r="AK514" i="1" s="1"/>
  <c r="AP514" i="1" s="1"/>
  <c r="AU514" i="1" s="1"/>
  <c r="AZ514" i="1" s="1"/>
  <c r="BE514" i="1" s="1"/>
  <c r="BJ514" i="1" s="1"/>
  <c r="BO514" i="1" s="1"/>
  <c r="BT514" i="1" s="1"/>
  <c r="BY514" i="1" s="1"/>
  <c r="CD514" i="1" s="1"/>
  <c r="CI514" i="1" s="1"/>
  <c r="AP511" i="1"/>
  <c r="K28" i="19" s="1"/>
  <c r="K29" i="19" s="1"/>
  <c r="AK511" i="1"/>
  <c r="J28" i="19" s="1"/>
  <c r="J29" i="19" s="1"/>
  <c r="AF511" i="1"/>
  <c r="I28" i="19" s="1"/>
  <c r="I29" i="19" s="1"/>
  <c r="AA511" i="1"/>
  <c r="H28" i="19" s="1"/>
  <c r="H29" i="19" s="1"/>
  <c r="V511" i="1"/>
  <c r="G28" i="19" s="1"/>
  <c r="G29" i="19" s="1"/>
  <c r="Q511" i="1"/>
  <c r="F28" i="19" s="1"/>
  <c r="F29" i="19" s="1"/>
  <c r="L511" i="1"/>
  <c r="E28" i="19" s="1"/>
  <c r="E29" i="19" s="1"/>
  <c r="G511" i="1"/>
  <c r="D28" i="19" s="1"/>
  <c r="D29" i="19" s="1"/>
  <c r="B511" i="1"/>
  <c r="BV508" i="1"/>
  <c r="L77" i="18" s="1"/>
  <c r="BU508" i="1"/>
  <c r="K77" i="18" s="1"/>
  <c r="BS508" i="1"/>
  <c r="BR508" i="1"/>
  <c r="BQ508" i="1"/>
  <c r="BP508" i="1"/>
  <c r="BN508" i="1"/>
  <c r="BM508" i="1"/>
  <c r="BL508" i="1"/>
  <c r="BK508" i="1"/>
  <c r="BI508" i="1"/>
  <c r="BI49" i="1" s="1"/>
  <c r="BB11" i="7" s="1"/>
  <c r="BH508" i="1"/>
  <c r="BH49" i="1" s="1"/>
  <c r="BA11" i="7" s="1"/>
  <c r="BG508" i="1"/>
  <c r="BG49" i="1" s="1"/>
  <c r="AZ11" i="7" s="1"/>
  <c r="BF508" i="1"/>
  <c r="BF49" i="1" s="1"/>
  <c r="AY11" i="7" s="1"/>
  <c r="BD508" i="1"/>
  <c r="BD49" i="1" s="1"/>
  <c r="AX11" i="7" s="1"/>
  <c r="BC508" i="1"/>
  <c r="BC49" i="1" s="1"/>
  <c r="AW11" i="7" s="1"/>
  <c r="BB508" i="1"/>
  <c r="BB49" i="1" s="1"/>
  <c r="AV11" i="7" s="1"/>
  <c r="BA508" i="1"/>
  <c r="BA49" i="1" s="1"/>
  <c r="AU11" i="7" s="1"/>
  <c r="AY508" i="1"/>
  <c r="AY49" i="1" s="1"/>
  <c r="AT11" i="7" s="1"/>
  <c r="AX508" i="1"/>
  <c r="AX49" i="1" s="1"/>
  <c r="AS11" i="7" s="1"/>
  <c r="AW508" i="1"/>
  <c r="AU508" i="1"/>
  <c r="C13" i="4" s="1"/>
  <c r="BJ504" i="1"/>
  <c r="BE504" i="1"/>
  <c r="N6" i="19" s="1"/>
  <c r="AZ504" i="1"/>
  <c r="M6" i="19" s="1"/>
  <c r="AQ504" i="1"/>
  <c r="AR504" i="1" s="1"/>
  <c r="AS504" i="1" s="1"/>
  <c r="AZ501" i="1"/>
  <c r="M33" i="19" s="1"/>
  <c r="AU501" i="1"/>
  <c r="L33" i="19" s="1"/>
  <c r="BN499" i="1"/>
  <c r="BM499" i="1"/>
  <c r="BL499" i="1"/>
  <c r="BK499" i="1"/>
  <c r="BI499" i="1"/>
  <c r="BH499" i="1"/>
  <c r="BG499" i="1"/>
  <c r="BF499" i="1"/>
  <c r="BD499" i="1"/>
  <c r="BC499" i="1"/>
  <c r="BB499" i="1"/>
  <c r="BA499" i="1"/>
  <c r="AY499" i="1"/>
  <c r="AX499" i="1"/>
  <c r="AP499" i="1"/>
  <c r="AO499" i="1"/>
  <c r="AN499" i="1"/>
  <c r="AM499" i="1"/>
  <c r="AL499" i="1"/>
  <c r="AK499" i="1"/>
  <c r="AJ499" i="1"/>
  <c r="AI499" i="1"/>
  <c r="AH499" i="1"/>
  <c r="AG499" i="1"/>
  <c r="AF499" i="1"/>
  <c r="AE499" i="1"/>
  <c r="AD499" i="1"/>
  <c r="AC499" i="1"/>
  <c r="AB499" i="1"/>
  <c r="AA499" i="1"/>
  <c r="Z499" i="1"/>
  <c r="Y499" i="1"/>
  <c r="X499" i="1"/>
  <c r="W499" i="1"/>
  <c r="V499" i="1"/>
  <c r="U499" i="1"/>
  <c r="T499" i="1"/>
  <c r="S499" i="1"/>
  <c r="R499" i="1"/>
  <c r="Q499" i="1"/>
  <c r="P499" i="1"/>
  <c r="O499" i="1"/>
  <c r="N499" i="1"/>
  <c r="M499" i="1"/>
  <c r="L499" i="1"/>
  <c r="BO487" i="1"/>
  <c r="BO499" i="1" s="1"/>
  <c r="BJ487" i="1"/>
  <c r="AZ487" i="1"/>
  <c r="AU487" i="1"/>
  <c r="BT483" i="1"/>
  <c r="BO483" i="1"/>
  <c r="BJ483" i="1"/>
  <c r="BE483" i="1"/>
  <c r="AU483" i="1"/>
  <c r="AZ483" i="1" s="1"/>
  <c r="AU481" i="1"/>
  <c r="AV482" i="1"/>
  <c r="AT482" i="1"/>
  <c r="AS484" i="1"/>
  <c r="AR484" i="1"/>
  <c r="AQ482" i="1"/>
  <c r="AV476" i="1"/>
  <c r="AQ26" i="7" s="1"/>
  <c r="AT476" i="1"/>
  <c r="AP26" i="7" s="1"/>
  <c r="AS476" i="1"/>
  <c r="AO26" i="7" s="1"/>
  <c r="AK471" i="1"/>
  <c r="AF471" i="1"/>
  <c r="AE471" i="1"/>
  <c r="AD471" i="1"/>
  <c r="AC471" i="1"/>
  <c r="AB471" i="1"/>
  <c r="AA471" i="1"/>
  <c r="Z471" i="1"/>
  <c r="Y471" i="1"/>
  <c r="X471" i="1"/>
  <c r="W471" i="1"/>
  <c r="V471" i="1"/>
  <c r="U471" i="1"/>
  <c r="T471" i="1"/>
  <c r="S471" i="1"/>
  <c r="R471" i="1"/>
  <c r="Q471" i="1"/>
  <c r="P471" i="1"/>
  <c r="O471" i="1"/>
  <c r="N471" i="1"/>
  <c r="M471" i="1"/>
  <c r="L471" i="1"/>
  <c r="K471" i="1"/>
  <c r="J471" i="1"/>
  <c r="I471" i="1"/>
  <c r="H471" i="1"/>
  <c r="G471" i="1"/>
  <c r="B471" i="1"/>
  <c r="B46" i="2" s="1"/>
  <c r="B47" i="2" s="1"/>
  <c r="B48" i="2" s="1"/>
  <c r="AK467" i="1"/>
  <c r="AF467" i="1"/>
  <c r="AA467" i="1"/>
  <c r="V467" i="1"/>
  <c r="Q467" i="1"/>
  <c r="L467" i="1"/>
  <c r="G467" i="1"/>
  <c r="B467" i="1"/>
  <c r="AV464" i="1"/>
  <c r="AV465" i="1" s="1"/>
  <c r="AU464" i="1"/>
  <c r="AP464" i="1"/>
  <c r="AT463" i="1"/>
  <c r="AS463" i="1"/>
  <c r="AR463" i="1"/>
  <c r="AQ463" i="1"/>
  <c r="AO463" i="1"/>
  <c r="AN463" i="1"/>
  <c r="AM463" i="1"/>
  <c r="AL463" i="1"/>
  <c r="E456" i="1"/>
  <c r="D456" i="1"/>
  <c r="C456" i="1"/>
  <c r="AP454" i="1"/>
  <c r="AK454" i="1"/>
  <c r="AF454" i="1"/>
  <c r="AA454" i="1"/>
  <c r="V454" i="1"/>
  <c r="Q454" i="1"/>
  <c r="L454" i="1"/>
  <c r="G454" i="1"/>
  <c r="AP452" i="1"/>
  <c r="AE452" i="1"/>
  <c r="AD452" i="1"/>
  <c r="AC452" i="1"/>
  <c r="AB452" i="1"/>
  <c r="AA452" i="1"/>
  <c r="Z452" i="1"/>
  <c r="Y452" i="1"/>
  <c r="X452" i="1"/>
  <c r="W452" i="1"/>
  <c r="V452" i="1"/>
  <c r="U452" i="1"/>
  <c r="T452" i="1"/>
  <c r="S452" i="1"/>
  <c r="R452" i="1"/>
  <c r="Q452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BU37" i="1"/>
  <c r="BS38" i="1"/>
  <c r="BX39" i="1" s="1"/>
  <c r="BR38" i="1"/>
  <c r="BW39" i="1" s="1"/>
  <c r="BP37" i="1"/>
  <c r="BK37" i="1"/>
  <c r="BI37" i="1"/>
  <c r="BH37" i="1"/>
  <c r="BG38" i="1"/>
  <c r="BF38" i="1"/>
  <c r="BD38" i="1"/>
  <c r="BA38" i="1"/>
  <c r="AV38" i="1"/>
  <c r="AT38" i="1"/>
  <c r="D7" i="6" s="1"/>
  <c r="AS38" i="1"/>
  <c r="AQ37" i="1"/>
  <c r="AO38" i="1"/>
  <c r="AN38" i="1"/>
  <c r="AM38" i="1"/>
  <c r="AL38" i="1"/>
  <c r="AJ38" i="1"/>
  <c r="AI38" i="1"/>
  <c r="AG37" i="1"/>
  <c r="AF452" i="1"/>
  <c r="BW433" i="1"/>
  <c r="AS403" i="1"/>
  <c r="AR403" i="1"/>
  <c r="AQ403" i="1"/>
  <c r="AP403" i="1"/>
  <c r="AO403" i="1"/>
  <c r="AN403" i="1"/>
  <c r="AM403" i="1"/>
  <c r="AL403" i="1"/>
  <c r="AK403" i="1"/>
  <c r="AJ403" i="1"/>
  <c r="AI403" i="1"/>
  <c r="AH403" i="1"/>
  <c r="AG403" i="1"/>
  <c r="AF403" i="1"/>
  <c r="AE403" i="1"/>
  <c r="AD403" i="1"/>
  <c r="AC403" i="1"/>
  <c r="AB403" i="1"/>
  <c r="AA403" i="1"/>
  <c r="Z403" i="1"/>
  <c r="Y403" i="1"/>
  <c r="X403" i="1"/>
  <c r="W403" i="1"/>
  <c r="V403" i="1"/>
  <c r="U403" i="1"/>
  <c r="T403" i="1"/>
  <c r="S403" i="1"/>
  <c r="R403" i="1"/>
  <c r="Q403" i="1"/>
  <c r="P403" i="1"/>
  <c r="O403" i="1"/>
  <c r="N403" i="1"/>
  <c r="M403" i="1"/>
  <c r="L403" i="1"/>
  <c r="K403" i="1"/>
  <c r="J403" i="1"/>
  <c r="I403" i="1"/>
  <c r="H403" i="1"/>
  <c r="G403" i="1"/>
  <c r="G404" i="1" s="1"/>
  <c r="AT395" i="1"/>
  <c r="AS395" i="1"/>
  <c r="AR395" i="1"/>
  <c r="AQ395" i="1"/>
  <c r="AP395" i="1"/>
  <c r="AO395" i="1"/>
  <c r="AN395" i="1"/>
  <c r="AM395" i="1"/>
  <c r="AL395" i="1"/>
  <c r="AK395" i="1"/>
  <c r="AJ395" i="1"/>
  <c r="AI395" i="1"/>
  <c r="AH395" i="1"/>
  <c r="AG395" i="1"/>
  <c r="AF395" i="1"/>
  <c r="AE395" i="1"/>
  <c r="AD395" i="1"/>
  <c r="AC395" i="1"/>
  <c r="AB395" i="1"/>
  <c r="AA395" i="1"/>
  <c r="Z395" i="1"/>
  <c r="Y395" i="1"/>
  <c r="X395" i="1"/>
  <c r="W395" i="1"/>
  <c r="V395" i="1"/>
  <c r="U395" i="1"/>
  <c r="T395" i="1"/>
  <c r="S395" i="1"/>
  <c r="R395" i="1"/>
  <c r="Q395" i="1"/>
  <c r="P395" i="1"/>
  <c r="O395" i="1"/>
  <c r="N395" i="1"/>
  <c r="M395" i="1"/>
  <c r="L395" i="1"/>
  <c r="BV394" i="1"/>
  <c r="CA395" i="1" s="1"/>
  <c r="BU394" i="1"/>
  <c r="BZ395" i="1" s="1"/>
  <c r="BS394" i="1"/>
  <c r="BX395" i="1" s="1"/>
  <c r="BR394" i="1"/>
  <c r="BW395" i="1" s="1"/>
  <c r="BQ394" i="1"/>
  <c r="BP394" i="1"/>
  <c r="BN394" i="1"/>
  <c r="BM394" i="1"/>
  <c r="BL394" i="1"/>
  <c r="BK394" i="1"/>
  <c r="BI394" i="1"/>
  <c r="BH394" i="1"/>
  <c r="BG394" i="1"/>
  <c r="BF394" i="1"/>
  <c r="BD394" i="1"/>
  <c r="BC394" i="1"/>
  <c r="BB394" i="1"/>
  <c r="BA394" i="1"/>
  <c r="AY394" i="1"/>
  <c r="AX394" i="1"/>
  <c r="AX395" i="1" s="1"/>
  <c r="AW394" i="1"/>
  <c r="AW395" i="1" s="1"/>
  <c r="AV394" i="1"/>
  <c r="AV395" i="1" s="1"/>
  <c r="AU394" i="1"/>
  <c r="AU395" i="1" s="1"/>
  <c r="AT392" i="1"/>
  <c r="AS392" i="1"/>
  <c r="AR392" i="1"/>
  <c r="AQ392" i="1"/>
  <c r="AP392" i="1"/>
  <c r="AO392" i="1"/>
  <c r="AN392" i="1"/>
  <c r="AM392" i="1"/>
  <c r="AL392" i="1"/>
  <c r="AK392" i="1"/>
  <c r="AJ392" i="1"/>
  <c r="AI392" i="1"/>
  <c r="AH392" i="1"/>
  <c r="AG392" i="1"/>
  <c r="AF392" i="1"/>
  <c r="AE392" i="1"/>
  <c r="AD392" i="1"/>
  <c r="AC392" i="1"/>
  <c r="AB392" i="1"/>
  <c r="AA392" i="1"/>
  <c r="Z392" i="1"/>
  <c r="Y392" i="1"/>
  <c r="X392" i="1"/>
  <c r="W392" i="1"/>
  <c r="V392" i="1"/>
  <c r="U392" i="1"/>
  <c r="T392" i="1"/>
  <c r="S392" i="1"/>
  <c r="R392" i="1"/>
  <c r="Q392" i="1"/>
  <c r="P392" i="1"/>
  <c r="O392" i="1"/>
  <c r="N392" i="1"/>
  <c r="M392" i="1"/>
  <c r="L392" i="1"/>
  <c r="BV391" i="1"/>
  <c r="CA392" i="1" s="1"/>
  <c r="BU391" i="1"/>
  <c r="BZ392" i="1" s="1"/>
  <c r="BS391" i="1"/>
  <c r="BX392" i="1" s="1"/>
  <c r="BR391" i="1"/>
  <c r="BW392" i="1" s="1"/>
  <c r="BQ391" i="1"/>
  <c r="BP391" i="1"/>
  <c r="BN391" i="1"/>
  <c r="BM391" i="1"/>
  <c r="BL391" i="1"/>
  <c r="BK391" i="1"/>
  <c r="BI391" i="1"/>
  <c r="BH391" i="1"/>
  <c r="BG391" i="1"/>
  <c r="BF391" i="1"/>
  <c r="BD391" i="1"/>
  <c r="BC391" i="1"/>
  <c r="BB391" i="1"/>
  <c r="BA391" i="1"/>
  <c r="AY391" i="1"/>
  <c r="AX391" i="1"/>
  <c r="AX392" i="1" s="1"/>
  <c r="AW391" i="1"/>
  <c r="AV391" i="1"/>
  <c r="AU391" i="1"/>
  <c r="AU392" i="1" s="1"/>
  <c r="BS387" i="1"/>
  <c r="BR387" i="1"/>
  <c r="BQ387" i="1"/>
  <c r="BP387" i="1"/>
  <c r="BN387" i="1"/>
  <c r="BM387" i="1"/>
  <c r="BL387" i="1"/>
  <c r="BK387" i="1"/>
  <c r="BI387" i="1"/>
  <c r="BH387" i="1"/>
  <c r="BG387" i="1"/>
  <c r="BF387" i="1"/>
  <c r="BD387" i="1"/>
  <c r="BC387" i="1"/>
  <c r="BB387" i="1"/>
  <c r="BA387" i="1"/>
  <c r="AY387" i="1"/>
  <c r="AX387" i="1"/>
  <c r="AW387" i="1"/>
  <c r="AV387" i="1"/>
  <c r="AT387" i="1"/>
  <c r="AT379" i="1" s="1"/>
  <c r="AS387" i="1"/>
  <c r="AR387" i="1"/>
  <c r="AR379" i="1" s="1"/>
  <c r="AQ387" i="1"/>
  <c r="BS386" i="1"/>
  <c r="BR386" i="1"/>
  <c r="BQ386" i="1"/>
  <c r="BP386" i="1"/>
  <c r="BN386" i="1"/>
  <c r="BM386" i="1"/>
  <c r="BL386" i="1"/>
  <c r="BK386" i="1"/>
  <c r="BI386" i="1"/>
  <c r="BH386" i="1"/>
  <c r="BG386" i="1"/>
  <c r="BF386" i="1"/>
  <c r="BD386" i="1"/>
  <c r="BC386" i="1"/>
  <c r="BB386" i="1"/>
  <c r="BA386" i="1"/>
  <c r="AY386" i="1"/>
  <c r="AX386" i="1"/>
  <c r="AW386" i="1"/>
  <c r="AV386" i="1"/>
  <c r="AT386" i="1"/>
  <c r="AT526" i="1" s="1"/>
  <c r="AS386" i="1"/>
  <c r="AR386" i="1"/>
  <c r="AR526" i="1" s="1"/>
  <c r="AQ386" i="1"/>
  <c r="BI381" i="1"/>
  <c r="BH381" i="1"/>
  <c r="BG381" i="1"/>
  <c r="BF381" i="1"/>
  <c r="BD381" i="1"/>
  <c r="BC381" i="1"/>
  <c r="BB381" i="1"/>
  <c r="BA381" i="1"/>
  <c r="AY381" i="1"/>
  <c r="AX381" i="1"/>
  <c r="AW381" i="1"/>
  <c r="AV381" i="1"/>
  <c r="AT381" i="1"/>
  <c r="AS381" i="1"/>
  <c r="AR381" i="1"/>
  <c r="AQ381" i="1"/>
  <c r="AO381" i="1"/>
  <c r="AN381" i="1"/>
  <c r="AM381" i="1"/>
  <c r="AL381" i="1"/>
  <c r="AJ381" i="1"/>
  <c r="AI381" i="1"/>
  <c r="AH381" i="1"/>
  <c r="AG381" i="1"/>
  <c r="AE381" i="1"/>
  <c r="AD381" i="1"/>
  <c r="AC381" i="1"/>
  <c r="AB381" i="1"/>
  <c r="Z381" i="1"/>
  <c r="Y381" i="1"/>
  <c r="X381" i="1"/>
  <c r="W381" i="1"/>
  <c r="U381" i="1"/>
  <c r="T381" i="1"/>
  <c r="S381" i="1"/>
  <c r="R381" i="1"/>
  <c r="P381" i="1"/>
  <c r="O381" i="1"/>
  <c r="N381" i="1"/>
  <c r="M381" i="1"/>
  <c r="K381" i="1"/>
  <c r="J381" i="1"/>
  <c r="I381" i="1"/>
  <c r="H381" i="1"/>
  <c r="F381" i="1"/>
  <c r="E381" i="1"/>
  <c r="D381" i="1"/>
  <c r="C381" i="1"/>
  <c r="B381" i="1"/>
  <c r="AK448" i="1"/>
  <c r="AJ374" i="1"/>
  <c r="AJ448" i="1" s="1"/>
  <c r="AI374" i="1"/>
  <c r="AI448" i="1" s="1"/>
  <c r="AH374" i="1"/>
  <c r="AH448" i="1" s="1"/>
  <c r="AG374" i="1"/>
  <c r="AG448" i="1" s="1"/>
  <c r="V374" i="1"/>
  <c r="V448" i="1" s="1"/>
  <c r="U374" i="1"/>
  <c r="U448" i="1" s="1"/>
  <c r="T374" i="1"/>
  <c r="T448" i="1" s="1"/>
  <c r="S374" i="1"/>
  <c r="S448" i="1" s="1"/>
  <c r="R374" i="1"/>
  <c r="R448" i="1" s="1"/>
  <c r="Q374" i="1"/>
  <c r="Q448" i="1" s="1"/>
  <c r="P374" i="1"/>
  <c r="P448" i="1" s="1"/>
  <c r="O374" i="1"/>
  <c r="O448" i="1" s="1"/>
  <c r="N374" i="1"/>
  <c r="N448" i="1" s="1"/>
  <c r="M374" i="1"/>
  <c r="M448" i="1" s="1"/>
  <c r="L374" i="1"/>
  <c r="L448" i="1" s="1"/>
  <c r="K374" i="1"/>
  <c r="K448" i="1" s="1"/>
  <c r="J374" i="1"/>
  <c r="I374" i="1"/>
  <c r="H374" i="1"/>
  <c r="H448" i="1" s="1"/>
  <c r="G374" i="1"/>
  <c r="G448" i="1" s="1"/>
  <c r="AV363" i="1"/>
  <c r="AT363" i="1"/>
  <c r="AS363" i="1"/>
  <c r="AR363" i="1"/>
  <c r="AQ363" i="1"/>
  <c r="AP363" i="1"/>
  <c r="AO363" i="1"/>
  <c r="AN363" i="1"/>
  <c r="AM363" i="1"/>
  <c r="AL363" i="1"/>
  <c r="BA363" i="1"/>
  <c r="AY363" i="1"/>
  <c r="AX363" i="1"/>
  <c r="AU361" i="1"/>
  <c r="AU363" i="1" s="1"/>
  <c r="AV355" i="1"/>
  <c r="AT355" i="1"/>
  <c r="AS355" i="1"/>
  <c r="AR355" i="1"/>
  <c r="AQ355" i="1"/>
  <c r="AP355" i="1"/>
  <c r="AO355" i="1"/>
  <c r="AN355" i="1"/>
  <c r="AM355" i="1"/>
  <c r="AL355" i="1"/>
  <c r="BZ355" i="1"/>
  <c r="BX355" i="1"/>
  <c r="BW355" i="1"/>
  <c r="AY355" i="1"/>
  <c r="AW355" i="1"/>
  <c r="AU353" i="1"/>
  <c r="AU355" i="1" s="1"/>
  <c r="AV347" i="1"/>
  <c r="AT347" i="1"/>
  <c r="AS347" i="1"/>
  <c r="AR347" i="1"/>
  <c r="AQ347" i="1"/>
  <c r="AP347" i="1"/>
  <c r="AO347" i="1"/>
  <c r="AN347" i="1"/>
  <c r="AM347" i="1"/>
  <c r="AL347" i="1"/>
  <c r="BW347" i="1"/>
  <c r="AX347" i="1"/>
  <c r="AW347" i="1"/>
  <c r="AU345" i="1"/>
  <c r="AU347" i="1" s="1"/>
  <c r="AV368" i="1"/>
  <c r="AT368" i="1"/>
  <c r="AS368" i="1"/>
  <c r="AR368" i="1"/>
  <c r="AQ368" i="1"/>
  <c r="BW368" i="1"/>
  <c r="AY368" i="1"/>
  <c r="AX368" i="1"/>
  <c r="AU366" i="1"/>
  <c r="AU368" i="1" s="1"/>
  <c r="AV342" i="1"/>
  <c r="AT342" i="1"/>
  <c r="AS342" i="1"/>
  <c r="AR342" i="1"/>
  <c r="AQ342" i="1"/>
  <c r="AP342" i="1"/>
  <c r="AO342" i="1"/>
  <c r="AN342" i="1"/>
  <c r="AM342" i="1"/>
  <c r="AL342" i="1"/>
  <c r="BW342" i="1"/>
  <c r="BA342" i="1"/>
  <c r="AY342" i="1"/>
  <c r="AX342" i="1"/>
  <c r="AW342" i="1"/>
  <c r="AU340" i="1"/>
  <c r="AU342" i="1" s="1"/>
  <c r="AP334" i="1"/>
  <c r="AO334" i="1"/>
  <c r="AN334" i="1"/>
  <c r="AM334" i="1"/>
  <c r="AL334" i="1"/>
  <c r="F332" i="1"/>
  <c r="F374" i="1" s="1"/>
  <c r="AV328" i="1"/>
  <c r="AV327" i="1"/>
  <c r="AT327" i="1"/>
  <c r="AS327" i="1"/>
  <c r="AR327" i="1"/>
  <c r="AQ327" i="1"/>
  <c r="BW328" i="1"/>
  <c r="BD332" i="1"/>
  <c r="AY332" i="1"/>
  <c r="AX328" i="1"/>
  <c r="AU326" i="1"/>
  <c r="B322" i="1"/>
  <c r="BI318" i="1"/>
  <c r="BH318" i="1"/>
  <c r="BG318" i="1"/>
  <c r="BF318" i="1"/>
  <c r="BD318" i="1"/>
  <c r="BC318" i="1"/>
  <c r="BB318" i="1"/>
  <c r="BA318" i="1"/>
  <c r="AY318" i="1"/>
  <c r="AX318" i="1"/>
  <c r="AW318" i="1"/>
  <c r="AV318" i="1"/>
  <c r="AT318" i="1"/>
  <c r="AS318" i="1"/>
  <c r="AR318" i="1"/>
  <c r="AQ318" i="1"/>
  <c r="AO318" i="1"/>
  <c r="AN318" i="1"/>
  <c r="AM318" i="1"/>
  <c r="AL318" i="1"/>
  <c r="AJ318" i="1"/>
  <c r="AI318" i="1"/>
  <c r="AH318" i="1"/>
  <c r="AG318" i="1"/>
  <c r="AE318" i="1"/>
  <c r="AD318" i="1"/>
  <c r="AC318" i="1"/>
  <c r="AB318" i="1"/>
  <c r="Z318" i="1"/>
  <c r="Y318" i="1"/>
  <c r="X318" i="1"/>
  <c r="W318" i="1"/>
  <c r="U318" i="1"/>
  <c r="T318" i="1"/>
  <c r="S318" i="1"/>
  <c r="R318" i="1"/>
  <c r="P318" i="1"/>
  <c r="O318" i="1"/>
  <c r="N318" i="1"/>
  <c r="M318" i="1"/>
  <c r="K318" i="1"/>
  <c r="J318" i="1"/>
  <c r="I318" i="1"/>
  <c r="H318" i="1"/>
  <c r="F318" i="1"/>
  <c r="E318" i="1"/>
  <c r="D318" i="1"/>
  <c r="C318" i="1"/>
  <c r="B318" i="1"/>
  <c r="AV316" i="1"/>
  <c r="AT316" i="1"/>
  <c r="AS316" i="1"/>
  <c r="AR316" i="1"/>
  <c r="AQ316" i="1"/>
  <c r="AP316" i="1"/>
  <c r="AO316" i="1"/>
  <c r="AN316" i="1"/>
  <c r="AM316" i="1"/>
  <c r="AL316" i="1"/>
  <c r="AK316" i="1"/>
  <c r="AJ316" i="1"/>
  <c r="AI316" i="1"/>
  <c r="AH316" i="1"/>
  <c r="AG316" i="1"/>
  <c r="AF316" i="1"/>
  <c r="AE316" i="1"/>
  <c r="AD316" i="1"/>
  <c r="AC316" i="1"/>
  <c r="AB316" i="1"/>
  <c r="AA316" i="1"/>
  <c r="Z316" i="1"/>
  <c r="Y316" i="1"/>
  <c r="X316" i="1"/>
  <c r="W316" i="1"/>
  <c r="V316" i="1"/>
  <c r="U316" i="1"/>
  <c r="T316" i="1"/>
  <c r="S316" i="1"/>
  <c r="R316" i="1"/>
  <c r="Q316" i="1"/>
  <c r="P316" i="1"/>
  <c r="O316" i="1"/>
  <c r="N316" i="1"/>
  <c r="M316" i="1"/>
  <c r="L316" i="1"/>
  <c r="BN315" i="1"/>
  <c r="BN316" i="1" s="1"/>
  <c r="BM315" i="1"/>
  <c r="BL315" i="1"/>
  <c r="BK315" i="1"/>
  <c r="BF315" i="1"/>
  <c r="BD315" i="1"/>
  <c r="BC315" i="1"/>
  <c r="BB315" i="1"/>
  <c r="BA315" i="1"/>
  <c r="AY315" i="1"/>
  <c r="AY316" i="1" s="1"/>
  <c r="AX315" i="1"/>
  <c r="AX316" i="1" s="1"/>
  <c r="AW315" i="1"/>
  <c r="AU315" i="1"/>
  <c r="AU403" i="1" s="1"/>
  <c r="BY313" i="1"/>
  <c r="CD313" i="1" s="1"/>
  <c r="CI313" i="1" s="1"/>
  <c r="AT312" i="1"/>
  <c r="AS312" i="1"/>
  <c r="AR312" i="1"/>
  <c r="AQ312" i="1"/>
  <c r="AP312" i="1"/>
  <c r="AO312" i="1"/>
  <c r="AN312" i="1"/>
  <c r="AM312" i="1"/>
  <c r="AL312" i="1"/>
  <c r="AK312" i="1"/>
  <c r="AJ312" i="1"/>
  <c r="AI312" i="1"/>
  <c r="AH312" i="1"/>
  <c r="AG312" i="1"/>
  <c r="AF312" i="1"/>
  <c r="AF313" i="1" s="1"/>
  <c r="P310" i="1"/>
  <c r="O310" i="1"/>
  <c r="N310" i="1"/>
  <c r="M310" i="1"/>
  <c r="AP309" i="1"/>
  <c r="AK309" i="1"/>
  <c r="AF309" i="1"/>
  <c r="BN308" i="1"/>
  <c r="BM308" i="1"/>
  <c r="BL308" i="1"/>
  <c r="BK308" i="1"/>
  <c r="BF308" i="1"/>
  <c r="BD308" i="1"/>
  <c r="BC308" i="1"/>
  <c r="BB308" i="1"/>
  <c r="BA308" i="1"/>
  <c r="AY308" i="1"/>
  <c r="AZ308" i="1" s="1"/>
  <c r="AX308" i="1"/>
  <c r="AW308" i="1"/>
  <c r="AU308" i="1"/>
  <c r="AV312" i="1" s="1"/>
  <c r="V306" i="1"/>
  <c r="AA306" i="1" s="1"/>
  <c r="AO304" i="1"/>
  <c r="AO310" i="1" s="1"/>
  <c r="AN304" i="1"/>
  <c r="AN310" i="1" s="1"/>
  <c r="AM304" i="1"/>
  <c r="AM310" i="1" s="1"/>
  <c r="AL304" i="1"/>
  <c r="AL310" i="1" s="1"/>
  <c r="AJ304" i="1"/>
  <c r="AJ310" i="1" s="1"/>
  <c r="AI304" i="1"/>
  <c r="AI310" i="1" s="1"/>
  <c r="AH304" i="1"/>
  <c r="AH310" i="1" s="1"/>
  <c r="AG304" i="1"/>
  <c r="AG310" i="1" s="1"/>
  <c r="AE304" i="1"/>
  <c r="AE310" i="1" s="1"/>
  <c r="AD304" i="1"/>
  <c r="AD310" i="1" s="1"/>
  <c r="AC304" i="1"/>
  <c r="AC310" i="1" s="1"/>
  <c r="AB304" i="1"/>
  <c r="AB310" i="1" s="1"/>
  <c r="Z304" i="1"/>
  <c r="Y304" i="1"/>
  <c r="X304" i="1"/>
  <c r="W304" i="1"/>
  <c r="U304" i="1"/>
  <c r="T304" i="1"/>
  <c r="S304" i="1"/>
  <c r="R304" i="1"/>
  <c r="Q304" i="1"/>
  <c r="DE303" i="1"/>
  <c r="DD303" i="1"/>
  <c r="DC303" i="1"/>
  <c r="CS303" i="1"/>
  <c r="CR303" i="1"/>
  <c r="CQ303" i="1"/>
  <c r="CI303" i="1"/>
  <c r="CD303" i="1"/>
  <c r="BY303" i="1"/>
  <c r="BT303" i="1"/>
  <c r="BO303" i="1"/>
  <c r="BJ303" i="1"/>
  <c r="BE303" i="1"/>
  <c r="AZ303" i="1"/>
  <c r="AU303" i="1"/>
  <c r="AP303" i="1"/>
  <c r="AK303" i="1"/>
  <c r="AF303" i="1"/>
  <c r="AA303" i="1"/>
  <c r="V303" i="1"/>
  <c r="DC302" i="1"/>
  <c r="DD302" i="1" s="1"/>
  <c r="DE302" i="1" s="1"/>
  <c r="AV295" i="1"/>
  <c r="AT295" i="1"/>
  <c r="AS295" i="1"/>
  <c r="AR295" i="1"/>
  <c r="AQ295" i="1"/>
  <c r="AP295" i="1"/>
  <c r="AO295" i="1"/>
  <c r="AN295" i="1"/>
  <c r="AM295" i="1"/>
  <c r="AL295" i="1"/>
  <c r="AK295" i="1"/>
  <c r="AJ295" i="1"/>
  <c r="AI295" i="1"/>
  <c r="AH295" i="1"/>
  <c r="AG295" i="1"/>
  <c r="AF295" i="1"/>
  <c r="AE295" i="1"/>
  <c r="AD295" i="1"/>
  <c r="AC295" i="1"/>
  <c r="AB295" i="1"/>
  <c r="AA295" i="1"/>
  <c r="Z295" i="1"/>
  <c r="Y295" i="1"/>
  <c r="X295" i="1"/>
  <c r="W295" i="1"/>
  <c r="V295" i="1"/>
  <c r="U295" i="1"/>
  <c r="T295" i="1"/>
  <c r="S295" i="1"/>
  <c r="R295" i="1"/>
  <c r="Q295" i="1"/>
  <c r="BS294" i="1"/>
  <c r="BR294" i="1"/>
  <c r="BQ294" i="1"/>
  <c r="BP294" i="1"/>
  <c r="BN294" i="1"/>
  <c r="BM294" i="1"/>
  <c r="BL294" i="1"/>
  <c r="BK294" i="1"/>
  <c r="BI294" i="1"/>
  <c r="BH294" i="1"/>
  <c r="BG294" i="1"/>
  <c r="BF294" i="1"/>
  <c r="BD294" i="1"/>
  <c r="BC294" i="1"/>
  <c r="BB294" i="1"/>
  <c r="BA294" i="1"/>
  <c r="AY294" i="1"/>
  <c r="AX294" i="1"/>
  <c r="AX295" i="1" s="1"/>
  <c r="AW294" i="1"/>
  <c r="AU294" i="1"/>
  <c r="B2" i="5" s="1"/>
  <c r="CA292" i="1"/>
  <c r="BQ384" i="1"/>
  <c r="AA224" i="1"/>
  <c r="CI55" i="7" s="1"/>
  <c r="AK223" i="1"/>
  <c r="AJ223" i="1"/>
  <c r="P36" i="6" s="1"/>
  <c r="P77" i="6" s="1"/>
  <c r="AI223" i="1"/>
  <c r="O36" i="6" s="1"/>
  <c r="O77" i="6" s="1"/>
  <c r="AH223" i="1"/>
  <c r="N36" i="6" s="1"/>
  <c r="N77" i="6" s="1"/>
  <c r="AG223" i="1"/>
  <c r="M36" i="6" s="1"/>
  <c r="M77" i="6" s="1"/>
  <c r="AF223" i="1"/>
  <c r="AE223" i="1"/>
  <c r="L36" i="6" s="1"/>
  <c r="L77" i="6" s="1"/>
  <c r="AD223" i="1"/>
  <c r="K36" i="6" s="1"/>
  <c r="K77" i="6" s="1"/>
  <c r="AC223" i="1"/>
  <c r="J36" i="6" s="1"/>
  <c r="J77" i="6" s="1"/>
  <c r="AB223" i="1"/>
  <c r="I36" i="6" s="1"/>
  <c r="I77" i="6" s="1"/>
  <c r="AA223" i="1"/>
  <c r="Z223" i="1"/>
  <c r="Y223" i="1"/>
  <c r="X223" i="1"/>
  <c r="W223" i="1"/>
  <c r="AK221" i="1"/>
  <c r="AJ221" i="1"/>
  <c r="P7" i="6" s="1"/>
  <c r="AI221" i="1"/>
  <c r="O7" i="6" s="1"/>
  <c r="AH221" i="1"/>
  <c r="N7" i="6" s="1"/>
  <c r="AG221" i="1"/>
  <c r="M7" i="6" s="1"/>
  <c r="AE221" i="1"/>
  <c r="L7" i="6" s="1"/>
  <c r="AD221" i="1"/>
  <c r="K7" i="6" s="1"/>
  <c r="AC221" i="1"/>
  <c r="J7" i="6" s="1"/>
  <c r="AB221" i="1"/>
  <c r="I7" i="6" s="1"/>
  <c r="Z221" i="1"/>
  <c r="Y221" i="1"/>
  <c r="X221" i="1"/>
  <c r="W221" i="1"/>
  <c r="AA220" i="1"/>
  <c r="CI54" i="7" s="1"/>
  <c r="AV212" i="1"/>
  <c r="AU212" i="1"/>
  <c r="AS212" i="1"/>
  <c r="W40" i="6" s="1"/>
  <c r="BV211" i="1"/>
  <c r="BG211" i="1"/>
  <c r="AZ51" i="7" s="1"/>
  <c r="BF211" i="1"/>
  <c r="AY51" i="7" s="1"/>
  <c r="BD211" i="1"/>
  <c r="AX51" i="7" s="1"/>
  <c r="BC211" i="1"/>
  <c r="AW51" i="7" s="1"/>
  <c r="BB211" i="1"/>
  <c r="AV51" i="7" s="1"/>
  <c r="BA211" i="1"/>
  <c r="AU51" i="7" s="1"/>
  <c r="AV210" i="1"/>
  <c r="AQ50" i="7" s="1"/>
  <c r="AT210" i="1"/>
  <c r="AP50" i="7" s="1"/>
  <c r="AS210" i="1"/>
  <c r="AO50" i="7" s="1"/>
  <c r="AR210" i="1"/>
  <c r="AN50" i="7" s="1"/>
  <c r="AQ210" i="1"/>
  <c r="AM50" i="7" s="1"/>
  <c r="AO210" i="1"/>
  <c r="AT209" i="1"/>
  <c r="AS209" i="1"/>
  <c r="AR209" i="1"/>
  <c r="CQ208" i="1"/>
  <c r="CR208" i="1" s="1"/>
  <c r="CS208" i="1" s="1"/>
  <c r="CT208" i="1" s="1"/>
  <c r="CU208" i="1" s="1"/>
  <c r="CV208" i="1" s="1"/>
  <c r="CW208" i="1" s="1"/>
  <c r="AV208" i="1"/>
  <c r="AT208" i="1"/>
  <c r="BX208" i="1"/>
  <c r="BW208" i="1"/>
  <c r="BA208" i="1"/>
  <c r="AW208" i="1"/>
  <c r="AU207" i="1"/>
  <c r="AV209" i="1" s="1"/>
  <c r="AP207" i="1"/>
  <c r="AV206" i="1"/>
  <c r="AT206" i="1"/>
  <c r="CA206" i="1"/>
  <c r="BZ206" i="1"/>
  <c r="BX206" i="1"/>
  <c r="BW206" i="1"/>
  <c r="BA206" i="1"/>
  <c r="AY206" i="1"/>
  <c r="AX206" i="1"/>
  <c r="AW206" i="1"/>
  <c r="AU205" i="1"/>
  <c r="AU206" i="1" s="1"/>
  <c r="BV203" i="1"/>
  <c r="BU203" i="1"/>
  <c r="BS203" i="1"/>
  <c r="BR203" i="1"/>
  <c r="BQ203" i="1"/>
  <c r="BH63" i="7" s="1"/>
  <c r="BP203" i="1"/>
  <c r="BG63" i="7" s="1"/>
  <c r="BN203" i="1"/>
  <c r="BF63" i="7" s="1"/>
  <c r="BM203" i="1"/>
  <c r="BE63" i="7" s="1"/>
  <c r="BL203" i="1"/>
  <c r="BD63" i="7" s="1"/>
  <c r="BK203" i="1"/>
  <c r="BC63" i="7" s="1"/>
  <c r="BI203" i="1"/>
  <c r="BB63" i="7" s="1"/>
  <c r="BH203" i="1"/>
  <c r="BA63" i="7" s="1"/>
  <c r="BG203" i="1"/>
  <c r="AZ63" i="7" s="1"/>
  <c r="BF203" i="1"/>
  <c r="AY63" i="7" s="1"/>
  <c r="BD203" i="1"/>
  <c r="AX63" i="7" s="1"/>
  <c r="BC203" i="1"/>
  <c r="AW63" i="7" s="1"/>
  <c r="BB203" i="1"/>
  <c r="AV63" i="7" s="1"/>
  <c r="BA203" i="1"/>
  <c r="AU63" i="7" s="1"/>
  <c r="AY203" i="1"/>
  <c r="AT63" i="7" s="1"/>
  <c r="AX203" i="1"/>
  <c r="AS63" i="7" s="1"/>
  <c r="AW203" i="1"/>
  <c r="AR63" i="7" s="1"/>
  <c r="AV203" i="1"/>
  <c r="AT203" i="1"/>
  <c r="AS203" i="1"/>
  <c r="AR203" i="1"/>
  <c r="AQ203" i="1"/>
  <c r="AO203" i="1"/>
  <c r="AV201" i="1"/>
  <c r="AT201" i="1"/>
  <c r="X39" i="6" s="1"/>
  <c r="AS201" i="1"/>
  <c r="W39" i="6" s="1"/>
  <c r="AR201" i="1"/>
  <c r="V39" i="6" s="1"/>
  <c r="AQ201" i="1"/>
  <c r="U39" i="6" s="1"/>
  <c r="AO201" i="1"/>
  <c r="T39" i="6" s="1"/>
  <c r="BV200" i="1"/>
  <c r="CA201" i="1" s="1"/>
  <c r="BU200" i="1"/>
  <c r="BZ201" i="1" s="1"/>
  <c r="BS200" i="1"/>
  <c r="BR200" i="1"/>
  <c r="BQ200" i="1"/>
  <c r="BH49" i="7" s="1"/>
  <c r="BP200" i="1"/>
  <c r="BG49" i="7" s="1"/>
  <c r="BN200" i="1"/>
  <c r="BF49" i="7" s="1"/>
  <c r="BM200" i="1"/>
  <c r="BE49" i="7" s="1"/>
  <c r="BL200" i="1"/>
  <c r="BD49" i="7" s="1"/>
  <c r="BK200" i="1"/>
  <c r="BC49" i="7" s="1"/>
  <c r="BI200" i="1"/>
  <c r="BB49" i="7" s="1"/>
  <c r="BH200" i="1"/>
  <c r="BA49" i="7" s="1"/>
  <c r="BG200" i="1"/>
  <c r="AZ49" i="7" s="1"/>
  <c r="BF200" i="1"/>
  <c r="AY49" i="7" s="1"/>
  <c r="BD200" i="1"/>
  <c r="AX49" i="7" s="1"/>
  <c r="BC200" i="1"/>
  <c r="AW49" i="7" s="1"/>
  <c r="BB200" i="1"/>
  <c r="AV49" i="7" s="1"/>
  <c r="BA200" i="1"/>
  <c r="AU49" i="7" s="1"/>
  <c r="AY200" i="1"/>
  <c r="AT49" i="7" s="1"/>
  <c r="AX200" i="1"/>
  <c r="AS49" i="7" s="1"/>
  <c r="AW200" i="1"/>
  <c r="AR49" i="7" s="1"/>
  <c r="AU200" i="1"/>
  <c r="CM49" i="7" s="1"/>
  <c r="AP200" i="1"/>
  <c r="CL49" i="7" s="1"/>
  <c r="AK200" i="1"/>
  <c r="CK49" i="7" s="1"/>
  <c r="BJ194" i="1"/>
  <c r="BO194" i="1" s="1"/>
  <c r="BT194" i="1" s="1"/>
  <c r="AU193" i="1"/>
  <c r="CM62" i="7" s="1"/>
  <c r="AS192" i="1"/>
  <c r="W37" i="6" s="1"/>
  <c r="AR192" i="1"/>
  <c r="V37" i="6" s="1"/>
  <c r="AQ192" i="1"/>
  <c r="U37" i="6" s="1"/>
  <c r="AV191" i="1"/>
  <c r="AT191" i="1"/>
  <c r="X33" i="6" s="1"/>
  <c r="AP191" i="1"/>
  <c r="AE188" i="1"/>
  <c r="AD188" i="1"/>
  <c r="AC188" i="1"/>
  <c r="AB188" i="1"/>
  <c r="BE187" i="1"/>
  <c r="BJ187" i="1" s="1"/>
  <c r="BO187" i="1" s="1"/>
  <c r="BT187" i="1" s="1"/>
  <c r="AP187" i="1"/>
  <c r="AK187" i="1"/>
  <c r="AJ187" i="1"/>
  <c r="AI187" i="1"/>
  <c r="AH187" i="1"/>
  <c r="AG187" i="1"/>
  <c r="AE187" i="1"/>
  <c r="AD187" i="1"/>
  <c r="AC187" i="1"/>
  <c r="AB187" i="1"/>
  <c r="AP186" i="1"/>
  <c r="AK186" i="1"/>
  <c r="AJ186" i="1"/>
  <c r="AI186" i="1"/>
  <c r="AH186" i="1"/>
  <c r="AG186" i="1"/>
  <c r="AF186" i="1"/>
  <c r="AE186" i="1"/>
  <c r="AD186" i="1"/>
  <c r="AC186" i="1"/>
  <c r="AB186" i="1"/>
  <c r="AP185" i="1"/>
  <c r="AK185" i="1"/>
  <c r="AJ185" i="1"/>
  <c r="AI185" i="1"/>
  <c r="AH185" i="1"/>
  <c r="AG185" i="1"/>
  <c r="AF185" i="1"/>
  <c r="AE185" i="1"/>
  <c r="AD185" i="1"/>
  <c r="AC185" i="1"/>
  <c r="AB185" i="1"/>
  <c r="Z185" i="1"/>
  <c r="Y185" i="1"/>
  <c r="X185" i="1"/>
  <c r="W185" i="1"/>
  <c r="AJ180" i="1"/>
  <c r="AI180" i="1"/>
  <c r="AH180" i="1"/>
  <c r="AG180" i="1"/>
  <c r="AU179" i="1"/>
  <c r="AZ179" i="1" s="1"/>
  <c r="AV171" i="1"/>
  <c r="AT171" i="1"/>
  <c r="AS171" i="1"/>
  <c r="AR171" i="1"/>
  <c r="AQ171" i="1"/>
  <c r="AO171" i="1"/>
  <c r="AN171" i="1"/>
  <c r="AM171" i="1"/>
  <c r="AL171" i="1"/>
  <c r="AJ171" i="1"/>
  <c r="AI171" i="1"/>
  <c r="AH171" i="1"/>
  <c r="AG171" i="1"/>
  <c r="AE171" i="1"/>
  <c r="AD171" i="1"/>
  <c r="AC171" i="1"/>
  <c r="AB171" i="1"/>
  <c r="Z171" i="1"/>
  <c r="Y171" i="1"/>
  <c r="X171" i="1"/>
  <c r="W171" i="1"/>
  <c r="V171" i="1"/>
  <c r="U171" i="1"/>
  <c r="T171" i="1"/>
  <c r="S171" i="1"/>
  <c r="R171" i="1"/>
  <c r="P171" i="1"/>
  <c r="O171" i="1"/>
  <c r="N171" i="1"/>
  <c r="M171" i="1"/>
  <c r="G171" i="1"/>
  <c r="BV170" i="1"/>
  <c r="CA171" i="1" s="1"/>
  <c r="BU170" i="1"/>
  <c r="BZ171" i="1" s="1"/>
  <c r="BS170" i="1"/>
  <c r="BR170" i="1"/>
  <c r="BW171" i="1" s="1"/>
  <c r="BQ170" i="1"/>
  <c r="BP170" i="1"/>
  <c r="BN170" i="1"/>
  <c r="BM170" i="1"/>
  <c r="BL170" i="1"/>
  <c r="BK170" i="1"/>
  <c r="BC40" i="7" s="1"/>
  <c r="BI170" i="1"/>
  <c r="BH170" i="1"/>
  <c r="BG170" i="1"/>
  <c r="AZ40" i="7" s="1"/>
  <c r="BF170" i="1"/>
  <c r="BD170" i="1"/>
  <c r="BC170" i="1"/>
  <c r="AW40" i="7" s="1"/>
  <c r="BB170" i="1"/>
  <c r="BA170" i="1"/>
  <c r="BA171" i="1" s="1"/>
  <c r="AY170" i="1"/>
  <c r="AT40" i="7" s="1"/>
  <c r="AX170" i="1"/>
  <c r="AS40" i="7" s="1"/>
  <c r="AW170" i="1"/>
  <c r="AR40" i="7" s="1"/>
  <c r="AU170" i="1"/>
  <c r="L170" i="1"/>
  <c r="Q171" i="1" s="1"/>
  <c r="AT165" i="1"/>
  <c r="AS165" i="1"/>
  <c r="AR165" i="1"/>
  <c r="AQ165" i="1"/>
  <c r="AO165" i="1"/>
  <c r="AN165" i="1"/>
  <c r="AM165" i="1"/>
  <c r="AL165" i="1"/>
  <c r="AJ165" i="1"/>
  <c r="AI165" i="1"/>
  <c r="AH165" i="1"/>
  <c r="AG165" i="1"/>
  <c r="AE165" i="1"/>
  <c r="AD165" i="1"/>
  <c r="AC165" i="1"/>
  <c r="AB165" i="1"/>
  <c r="Z165" i="1"/>
  <c r="Y165" i="1"/>
  <c r="X165" i="1"/>
  <c r="W165" i="1"/>
  <c r="U165" i="1"/>
  <c r="T165" i="1"/>
  <c r="S165" i="1"/>
  <c r="R165" i="1"/>
  <c r="P165" i="1"/>
  <c r="O165" i="1"/>
  <c r="N165" i="1"/>
  <c r="M165" i="1"/>
  <c r="K165" i="1"/>
  <c r="J165" i="1"/>
  <c r="I165" i="1"/>
  <c r="H165" i="1"/>
  <c r="F165" i="1"/>
  <c r="E165" i="1"/>
  <c r="D165" i="1"/>
  <c r="C165" i="1"/>
  <c r="B165" i="1"/>
  <c r="B190" i="1" s="1"/>
  <c r="G190" i="1" s="1"/>
  <c r="L190" i="1" s="1"/>
  <c r="Q190" i="1" s="1"/>
  <c r="V190" i="1" s="1"/>
  <c r="AA190" i="1" s="1"/>
  <c r="AF190" i="1" s="1"/>
  <c r="AK190" i="1" s="1"/>
  <c r="AP190" i="1" s="1"/>
  <c r="AU190" i="1" s="1"/>
  <c r="AZ190" i="1" s="1"/>
  <c r="BE190" i="1" s="1"/>
  <c r="BJ190" i="1" s="1"/>
  <c r="BO190" i="1" s="1"/>
  <c r="BT190" i="1" s="1"/>
  <c r="BV159" i="1"/>
  <c r="BU159" i="1"/>
  <c r="BS159" i="1"/>
  <c r="BR159" i="1"/>
  <c r="BQ159" i="1"/>
  <c r="BP159" i="1"/>
  <c r="BN159" i="1"/>
  <c r="BM159" i="1"/>
  <c r="BL159" i="1"/>
  <c r="BK159" i="1"/>
  <c r="BG159" i="1"/>
  <c r="BF159" i="1"/>
  <c r="BD159" i="1"/>
  <c r="BE159" i="1" s="1"/>
  <c r="BC159" i="1"/>
  <c r="BB159" i="1"/>
  <c r="BA159" i="1"/>
  <c r="AY159" i="1"/>
  <c r="AZ159" i="1" s="1"/>
  <c r="AX159" i="1"/>
  <c r="AW159" i="1"/>
  <c r="AV159" i="1"/>
  <c r="AV160" i="1" s="1"/>
  <c r="AU159" i="1"/>
  <c r="BV154" i="1"/>
  <c r="CA155" i="1" s="1"/>
  <c r="BU154" i="1"/>
  <c r="BZ155" i="1" s="1"/>
  <c r="BS154" i="1"/>
  <c r="BX155" i="1" s="1"/>
  <c r="BR154" i="1"/>
  <c r="BW155" i="1" s="1"/>
  <c r="BQ154" i="1"/>
  <c r="BP154" i="1"/>
  <c r="BN154" i="1"/>
  <c r="BN155" i="1" s="1"/>
  <c r="BM154" i="1"/>
  <c r="BM155" i="1" s="1"/>
  <c r="BL154" i="1"/>
  <c r="BK154" i="1"/>
  <c r="BG154" i="1"/>
  <c r="BF154" i="1"/>
  <c r="BD154" i="1"/>
  <c r="BC154" i="1"/>
  <c r="BB154" i="1"/>
  <c r="BA154" i="1"/>
  <c r="AY154" i="1"/>
  <c r="AX154" i="1"/>
  <c r="AW154" i="1"/>
  <c r="AV154" i="1"/>
  <c r="AT154" i="1"/>
  <c r="AS154" i="1"/>
  <c r="AR154" i="1"/>
  <c r="AQ154" i="1"/>
  <c r="AO154" i="1"/>
  <c r="AN154" i="1"/>
  <c r="AM154" i="1"/>
  <c r="AL154" i="1"/>
  <c r="A153" i="1"/>
  <c r="BS152" i="1"/>
  <c r="BR152" i="1"/>
  <c r="BQ152" i="1"/>
  <c r="BP152" i="1"/>
  <c r="BN152" i="1"/>
  <c r="BM152" i="1"/>
  <c r="BL152" i="1"/>
  <c r="BK152" i="1"/>
  <c r="BG152" i="1"/>
  <c r="BF152" i="1"/>
  <c r="BD152" i="1"/>
  <c r="BC152" i="1"/>
  <c r="BB152" i="1"/>
  <c r="BA152" i="1"/>
  <c r="AY152" i="1"/>
  <c r="AX152" i="1"/>
  <c r="AW152" i="1"/>
  <c r="AV152" i="1"/>
  <c r="AV153" i="1" s="1"/>
  <c r="AU152" i="1"/>
  <c r="AO152" i="1"/>
  <c r="AT153" i="1" s="1"/>
  <c r="AN152" i="1"/>
  <c r="AS153" i="1" s="1"/>
  <c r="AM152" i="1"/>
  <c r="AR153" i="1" s="1"/>
  <c r="AL152" i="1"/>
  <c r="AQ153" i="1" s="1"/>
  <c r="BV148" i="1"/>
  <c r="BU148" i="1"/>
  <c r="BS148" i="1"/>
  <c r="BR148" i="1"/>
  <c r="BQ148" i="1"/>
  <c r="BP148" i="1"/>
  <c r="BN148" i="1"/>
  <c r="BM148" i="1"/>
  <c r="BL148" i="1"/>
  <c r="BK148" i="1"/>
  <c r="BG148" i="1"/>
  <c r="BF148" i="1"/>
  <c r="BD148" i="1"/>
  <c r="BE148" i="1" s="1"/>
  <c r="BC148" i="1"/>
  <c r="BB148" i="1"/>
  <c r="BA148" i="1"/>
  <c r="AY148" i="1"/>
  <c r="AZ148" i="1" s="1"/>
  <c r="AX148" i="1"/>
  <c r="AW148" i="1"/>
  <c r="AV148" i="1"/>
  <c r="BV143" i="1"/>
  <c r="CA144" i="1" s="1"/>
  <c r="BU143" i="1"/>
  <c r="BZ144" i="1" s="1"/>
  <c r="BS143" i="1"/>
  <c r="BX144" i="1" s="1"/>
  <c r="BR143" i="1"/>
  <c r="BW144" i="1" s="1"/>
  <c r="BQ143" i="1"/>
  <c r="BP143" i="1"/>
  <c r="BN143" i="1"/>
  <c r="BN144" i="1" s="1"/>
  <c r="BM143" i="1"/>
  <c r="BM144" i="1" s="1"/>
  <c r="BL143" i="1"/>
  <c r="BK143" i="1"/>
  <c r="BG143" i="1"/>
  <c r="BF143" i="1"/>
  <c r="BD143" i="1"/>
  <c r="BC143" i="1"/>
  <c r="BB143" i="1"/>
  <c r="BA143" i="1"/>
  <c r="AY143" i="1"/>
  <c r="AX143" i="1"/>
  <c r="AW143" i="1"/>
  <c r="AV143" i="1"/>
  <c r="AT143" i="1"/>
  <c r="AS143" i="1"/>
  <c r="AR143" i="1"/>
  <c r="AQ143" i="1"/>
  <c r="AO143" i="1"/>
  <c r="AN143" i="1"/>
  <c r="AM143" i="1"/>
  <c r="AL143" i="1"/>
  <c r="BS141" i="1"/>
  <c r="BR141" i="1"/>
  <c r="BQ141" i="1"/>
  <c r="BP141" i="1"/>
  <c r="BN141" i="1"/>
  <c r="BM141" i="1"/>
  <c r="BL141" i="1"/>
  <c r="BK141" i="1"/>
  <c r="BG141" i="1"/>
  <c r="BF141" i="1"/>
  <c r="BD141" i="1"/>
  <c r="BC141" i="1"/>
  <c r="BB141" i="1"/>
  <c r="BA141" i="1"/>
  <c r="AY141" i="1"/>
  <c r="AY142" i="1" s="1"/>
  <c r="AX141" i="1"/>
  <c r="AX142" i="1" s="1"/>
  <c r="AW141" i="1"/>
  <c r="AV141" i="1"/>
  <c r="AU141" i="1"/>
  <c r="AO141" i="1"/>
  <c r="AT142" i="1" s="1"/>
  <c r="AN141" i="1"/>
  <c r="AS142" i="1" s="1"/>
  <c r="AM141" i="1"/>
  <c r="AR142" i="1" s="1"/>
  <c r="AL141" i="1"/>
  <c r="AQ142" i="1" s="1"/>
  <c r="CD134" i="1"/>
  <c r="AU134" i="1"/>
  <c r="AZ134" i="1" s="1"/>
  <c r="AZ130" i="1"/>
  <c r="AP129" i="1"/>
  <c r="CL60" i="7" s="1"/>
  <c r="AK129" i="1"/>
  <c r="CK60" i="7" s="1"/>
  <c r="AJ129" i="1"/>
  <c r="AH60" i="7" s="1"/>
  <c r="AI129" i="1"/>
  <c r="AG60" i="7" s="1"/>
  <c r="AH129" i="1"/>
  <c r="AF60" i="7" s="1"/>
  <c r="AG129" i="1"/>
  <c r="AE60" i="7" s="1"/>
  <c r="AF129" i="1"/>
  <c r="CJ60" i="7" s="1"/>
  <c r="AE129" i="1"/>
  <c r="AD60" i="7" s="1"/>
  <c r="AD129" i="1"/>
  <c r="AC60" i="7" s="1"/>
  <c r="AC129" i="1"/>
  <c r="AB60" i="7" s="1"/>
  <c r="AB129" i="1"/>
  <c r="AA60" i="7" s="1"/>
  <c r="AA129" i="1"/>
  <c r="CI60" i="7" s="1"/>
  <c r="Z129" i="1"/>
  <c r="Z60" i="7" s="1"/>
  <c r="Y129" i="1"/>
  <c r="Y60" i="7" s="1"/>
  <c r="X129" i="1"/>
  <c r="X60" i="7" s="1"/>
  <c r="W129" i="1"/>
  <c r="W60" i="7" s="1"/>
  <c r="A127" i="1"/>
  <c r="A130" i="1" s="1"/>
  <c r="AJ126" i="1"/>
  <c r="AI126" i="1"/>
  <c r="AH126" i="1"/>
  <c r="AG126" i="1"/>
  <c r="AE126" i="1"/>
  <c r="AD126" i="1"/>
  <c r="AC126" i="1"/>
  <c r="AB126" i="1"/>
  <c r="Z126" i="1"/>
  <c r="Y126" i="1"/>
  <c r="X126" i="1"/>
  <c r="W126" i="1"/>
  <c r="V126" i="1"/>
  <c r="U126" i="1"/>
  <c r="T126" i="1"/>
  <c r="S126" i="1"/>
  <c r="R126" i="1"/>
  <c r="Q126" i="1"/>
  <c r="P126" i="1"/>
  <c r="O126" i="1"/>
  <c r="N126" i="1"/>
  <c r="M126" i="1"/>
  <c r="K126" i="1"/>
  <c r="K127" i="1" s="1"/>
  <c r="J126" i="1"/>
  <c r="J127" i="1" s="1"/>
  <c r="I126" i="1"/>
  <c r="H126" i="1"/>
  <c r="G126" i="1"/>
  <c r="G127" i="1" s="1"/>
  <c r="CR124" i="1"/>
  <c r="CS124" i="1" s="1"/>
  <c r="CT124" i="1" s="1"/>
  <c r="CU124" i="1" s="1"/>
  <c r="CV124" i="1" s="1"/>
  <c r="CW124" i="1" s="1"/>
  <c r="CD124" i="1"/>
  <c r="CI124" i="1" s="1"/>
  <c r="CN124" i="1" s="1"/>
  <c r="AP124" i="1"/>
  <c r="AK124" i="1"/>
  <c r="AJ124" i="1"/>
  <c r="P9" i="6" s="1"/>
  <c r="AI124" i="1"/>
  <c r="O9" i="6" s="1"/>
  <c r="AH124" i="1"/>
  <c r="N9" i="6" s="1"/>
  <c r="AG124" i="1"/>
  <c r="M9" i="6" s="1"/>
  <c r="AF124" i="1"/>
  <c r="AE124" i="1"/>
  <c r="L9" i="6" s="1"/>
  <c r="AD124" i="1"/>
  <c r="K9" i="6" s="1"/>
  <c r="AC124" i="1"/>
  <c r="J9" i="6" s="1"/>
  <c r="AB124" i="1"/>
  <c r="I9" i="6" s="1"/>
  <c r="AA124" i="1"/>
  <c r="Z124" i="1"/>
  <c r="Y124" i="1"/>
  <c r="X124" i="1"/>
  <c r="W124" i="1"/>
  <c r="V124" i="1"/>
  <c r="U124" i="1"/>
  <c r="T124" i="1"/>
  <c r="S124" i="1"/>
  <c r="R124" i="1"/>
  <c r="Q124" i="1"/>
  <c r="P124" i="1"/>
  <c r="O124" i="1"/>
  <c r="N124" i="1"/>
  <c r="M124" i="1"/>
  <c r="L124" i="1"/>
  <c r="G124" i="1"/>
  <c r="AU123" i="1"/>
  <c r="AV119" i="1"/>
  <c r="AT119" i="1"/>
  <c r="AS119" i="1"/>
  <c r="W10" i="6" s="1"/>
  <c r="AR119" i="1"/>
  <c r="V10" i="6" s="1"/>
  <c r="AQ119" i="1"/>
  <c r="U10" i="6" s="1"/>
  <c r="AP119" i="1"/>
  <c r="AO119" i="1"/>
  <c r="T10" i="6" s="1"/>
  <c r="AN119" i="1"/>
  <c r="S10" i="6" s="1"/>
  <c r="AM119" i="1"/>
  <c r="R10" i="6" s="1"/>
  <c r="AL119" i="1"/>
  <c r="Q10" i="6" s="1"/>
  <c r="AK119" i="1"/>
  <c r="AJ119" i="1"/>
  <c r="P10" i="6" s="1"/>
  <c r="AI119" i="1"/>
  <c r="O10" i="6" s="1"/>
  <c r="AH119" i="1"/>
  <c r="N10" i="6" s="1"/>
  <c r="AG119" i="1"/>
  <c r="M10" i="6" s="1"/>
  <c r="AF119" i="1"/>
  <c r="AE119" i="1"/>
  <c r="L10" i="6" s="1"/>
  <c r="AD119" i="1"/>
  <c r="K10" i="6" s="1"/>
  <c r="AC119" i="1"/>
  <c r="J10" i="6" s="1"/>
  <c r="AB119" i="1"/>
  <c r="I10" i="6" s="1"/>
  <c r="AA119" i="1"/>
  <c r="Z119" i="1"/>
  <c r="Y119" i="1"/>
  <c r="X119" i="1"/>
  <c r="W119" i="1"/>
  <c r="V119" i="1"/>
  <c r="U119" i="1"/>
  <c r="T119" i="1"/>
  <c r="S119" i="1"/>
  <c r="R119" i="1"/>
  <c r="Q119" i="1"/>
  <c r="P119" i="1"/>
  <c r="O119" i="1"/>
  <c r="N119" i="1"/>
  <c r="M119" i="1"/>
  <c r="L119" i="1"/>
  <c r="J119" i="1"/>
  <c r="I119" i="1"/>
  <c r="H119" i="1"/>
  <c r="G119" i="1"/>
  <c r="B118" i="1"/>
  <c r="B227" i="1" s="1"/>
  <c r="BL46" i="7"/>
  <c r="BK46" i="7"/>
  <c r="BJ46" i="7"/>
  <c r="BI46" i="7"/>
  <c r="BH46" i="7"/>
  <c r="BG46" i="7"/>
  <c r="BF46" i="7"/>
  <c r="BE46" i="7"/>
  <c r="BD46" i="7"/>
  <c r="BC46" i="7"/>
  <c r="BB46" i="7"/>
  <c r="BA46" i="7"/>
  <c r="AZ46" i="7"/>
  <c r="AY46" i="7"/>
  <c r="AX46" i="7"/>
  <c r="AW46" i="7"/>
  <c r="AV46" i="7"/>
  <c r="AU46" i="7"/>
  <c r="AT46" i="7"/>
  <c r="AS46" i="7"/>
  <c r="AR46" i="7"/>
  <c r="AU117" i="1"/>
  <c r="AU118" i="1" s="1"/>
  <c r="F117" i="1"/>
  <c r="J46" i="7" s="1"/>
  <c r="B116" i="1"/>
  <c r="BS115" i="1"/>
  <c r="BR115" i="1"/>
  <c r="BR118" i="1" s="1"/>
  <c r="BM115" i="1"/>
  <c r="BI115" i="1"/>
  <c r="BH115" i="1"/>
  <c r="BH116" i="1" s="1"/>
  <c r="BC115" i="1"/>
  <c r="AY115" i="1"/>
  <c r="AW115" i="1"/>
  <c r="AU115" i="1"/>
  <c r="AT115" i="1"/>
  <c r="AT118" i="1" s="1"/>
  <c r="AT227" i="1" s="1"/>
  <c r="AS115" i="1"/>
  <c r="AS118" i="1" s="1"/>
  <c r="AS227" i="1" s="1"/>
  <c r="AR115" i="1"/>
  <c r="AR116" i="1" s="1"/>
  <c r="AQ115" i="1"/>
  <c r="AQ116" i="1" s="1"/>
  <c r="AP115" i="1"/>
  <c r="AP135" i="1" s="1"/>
  <c r="AO115" i="1"/>
  <c r="AO118" i="1" s="1"/>
  <c r="AO227" i="1" s="1"/>
  <c r="AN115" i="1"/>
  <c r="AN118" i="1" s="1"/>
  <c r="AN227" i="1" s="1"/>
  <c r="AM115" i="1"/>
  <c r="AM118" i="1" s="1"/>
  <c r="AM227" i="1" s="1"/>
  <c r="AL115" i="1"/>
  <c r="AL118" i="1" s="1"/>
  <c r="AL227" i="1" s="1"/>
  <c r="AK115" i="1"/>
  <c r="AK135" i="1" s="1"/>
  <c r="AJ115" i="1"/>
  <c r="AJ116" i="1" s="1"/>
  <c r="AI115" i="1"/>
  <c r="AI116" i="1" s="1"/>
  <c r="AH115" i="1"/>
  <c r="AH116" i="1" s="1"/>
  <c r="AG115" i="1"/>
  <c r="AG118" i="1" s="1"/>
  <c r="AG227" i="1" s="1"/>
  <c r="AF115" i="1"/>
  <c r="AE115" i="1"/>
  <c r="AE118" i="1" s="1"/>
  <c r="AE227" i="1" s="1"/>
  <c r="AD115" i="1"/>
  <c r="AD118" i="1" s="1"/>
  <c r="AD227" i="1" s="1"/>
  <c r="AC115" i="1"/>
  <c r="AC118" i="1" s="1"/>
  <c r="AC227" i="1" s="1"/>
  <c r="AB115" i="1"/>
  <c r="AB116" i="1" s="1"/>
  <c r="AA115" i="1"/>
  <c r="AA116" i="1" s="1"/>
  <c r="AA136" i="1" s="1"/>
  <c r="Z115" i="1"/>
  <c r="Z116" i="1" s="1"/>
  <c r="Y115" i="1"/>
  <c r="Y118" i="1" s="1"/>
  <c r="Y227" i="1" s="1"/>
  <c r="X115" i="1"/>
  <c r="W115" i="1"/>
  <c r="W118" i="1" s="1"/>
  <c r="W227" i="1" s="1"/>
  <c r="V115" i="1"/>
  <c r="V118" i="1" s="1"/>
  <c r="V227" i="1" s="1"/>
  <c r="U115" i="1"/>
  <c r="U118" i="1" s="1"/>
  <c r="U227" i="1" s="1"/>
  <c r="T115" i="1"/>
  <c r="T116" i="1" s="1"/>
  <c r="S115" i="1"/>
  <c r="S116" i="1" s="1"/>
  <c r="R115" i="1"/>
  <c r="R116" i="1" s="1"/>
  <c r="Q115" i="1"/>
  <c r="Q118" i="1" s="1"/>
  <c r="Q227" i="1" s="1"/>
  <c r="P115" i="1"/>
  <c r="O115" i="1"/>
  <c r="O118" i="1" s="1"/>
  <c r="O227" i="1" s="1"/>
  <c r="N115" i="1"/>
  <c r="N118" i="1" s="1"/>
  <c r="N227" i="1" s="1"/>
  <c r="M115" i="1"/>
  <c r="M118" i="1" s="1"/>
  <c r="M227" i="1" s="1"/>
  <c r="L115" i="1"/>
  <c r="L116" i="1" s="1"/>
  <c r="L136" i="1" s="1"/>
  <c r="K115" i="1"/>
  <c r="K116" i="1" s="1"/>
  <c r="J115" i="1"/>
  <c r="J135" i="1" s="1"/>
  <c r="I115" i="1"/>
  <c r="I118" i="1" s="1"/>
  <c r="I227" i="1" s="1"/>
  <c r="H115" i="1"/>
  <c r="G115" i="1"/>
  <c r="G118" i="1" s="1"/>
  <c r="G227" i="1" s="1"/>
  <c r="F115" i="1"/>
  <c r="E115" i="1"/>
  <c r="E118" i="1" s="1"/>
  <c r="D115" i="1"/>
  <c r="D116" i="1" s="1"/>
  <c r="C115" i="1"/>
  <c r="C116" i="1" s="1"/>
  <c r="BI114" i="1"/>
  <c r="BH114" i="1"/>
  <c r="BG114" i="1"/>
  <c r="BF114" i="1"/>
  <c r="BD114" i="1"/>
  <c r="BC114" i="1"/>
  <c r="BB114" i="1"/>
  <c r="BA114" i="1"/>
  <c r="AY114" i="1"/>
  <c r="AX114" i="1"/>
  <c r="AW114" i="1"/>
  <c r="AV114" i="1"/>
  <c r="AT114" i="1"/>
  <c r="AS114" i="1"/>
  <c r="AR114" i="1"/>
  <c r="AQ114" i="1"/>
  <c r="AO114" i="1"/>
  <c r="AN114" i="1"/>
  <c r="AM114" i="1"/>
  <c r="AL114" i="1"/>
  <c r="AJ114" i="1"/>
  <c r="AI114" i="1"/>
  <c r="AH114" i="1"/>
  <c r="AG114" i="1"/>
  <c r="AE114" i="1"/>
  <c r="AD114" i="1"/>
  <c r="AC114" i="1"/>
  <c r="AB114" i="1"/>
  <c r="Z114" i="1"/>
  <c r="Y114" i="1"/>
  <c r="X114" i="1"/>
  <c r="W114" i="1"/>
  <c r="U114" i="1"/>
  <c r="T114" i="1"/>
  <c r="S114" i="1"/>
  <c r="R114" i="1"/>
  <c r="P114" i="1"/>
  <c r="O114" i="1"/>
  <c r="N114" i="1"/>
  <c r="M114" i="1"/>
  <c r="K114" i="1"/>
  <c r="J114" i="1"/>
  <c r="I114" i="1"/>
  <c r="H114" i="1"/>
  <c r="F114" i="1"/>
  <c r="E114" i="1"/>
  <c r="D114" i="1"/>
  <c r="C114" i="1"/>
  <c r="B114" i="1"/>
  <c r="AP110" i="1"/>
  <c r="CL47" i="7" s="1"/>
  <c r="AK110" i="1"/>
  <c r="CK47" i="7" s="1"/>
  <c r="AF110" i="1"/>
  <c r="CJ47" i="7" s="1"/>
  <c r="AA110" i="1"/>
  <c r="CI47" i="7" s="1"/>
  <c r="V110" i="1"/>
  <c r="CH47" i="7" s="1"/>
  <c r="Q110" i="1"/>
  <c r="CG47" i="7" s="1"/>
  <c r="L110" i="1"/>
  <c r="G110" i="1"/>
  <c r="AU108" i="1"/>
  <c r="AP108" i="1"/>
  <c r="AK108" i="1"/>
  <c r="AF108" i="1"/>
  <c r="AA108" i="1"/>
  <c r="V108" i="1"/>
  <c r="Q108" i="1"/>
  <c r="L108" i="1"/>
  <c r="G108" i="1"/>
  <c r="AP104" i="1"/>
  <c r="CL48" i="7" s="1"/>
  <c r="AK104" i="1"/>
  <c r="CK48" i="7" s="1"/>
  <c r="AF104" i="1"/>
  <c r="CJ48" i="7" s="1"/>
  <c r="AA104" i="1"/>
  <c r="CI48" i="7" s="1"/>
  <c r="V104" i="1"/>
  <c r="CH48" i="7" s="1"/>
  <c r="Q104" i="1"/>
  <c r="CG48" i="7" s="1"/>
  <c r="L104" i="1"/>
  <c r="G104" i="1"/>
  <c r="AU102" i="1"/>
  <c r="AP102" i="1"/>
  <c r="AK102" i="1"/>
  <c r="AF102" i="1"/>
  <c r="AA102" i="1"/>
  <c r="V102" i="1"/>
  <c r="Q102" i="1"/>
  <c r="L102" i="1"/>
  <c r="G102" i="1"/>
  <c r="CQ99" i="1"/>
  <c r="AU99" i="1"/>
  <c r="AP98" i="1"/>
  <c r="AP99" i="1" s="1"/>
  <c r="AK98" i="1"/>
  <c r="AK99" i="1" s="1"/>
  <c r="AF98" i="1"/>
  <c r="AF99" i="1" s="1"/>
  <c r="AA98" i="1"/>
  <c r="AA99" i="1" s="1"/>
  <c r="V98" i="1"/>
  <c r="V99" i="1" s="1"/>
  <c r="Q98" i="1"/>
  <c r="Q99" i="1" s="1"/>
  <c r="L98" i="1"/>
  <c r="L99" i="1" s="1"/>
  <c r="G98" i="1"/>
  <c r="G99" i="1" s="1"/>
  <c r="B98" i="1"/>
  <c r="B99" i="1" s="1"/>
  <c r="BI95" i="1"/>
  <c r="BH95" i="1"/>
  <c r="BG95" i="1"/>
  <c r="BF95" i="1"/>
  <c r="BD95" i="1"/>
  <c r="BC95" i="1"/>
  <c r="BB95" i="1"/>
  <c r="BA95" i="1"/>
  <c r="AY95" i="1"/>
  <c r="AX95" i="1"/>
  <c r="AW95" i="1"/>
  <c r="AV95" i="1"/>
  <c r="AT95" i="1"/>
  <c r="AS95" i="1"/>
  <c r="AR95" i="1"/>
  <c r="AQ95" i="1"/>
  <c r="AO95" i="1"/>
  <c r="AN95" i="1"/>
  <c r="AM95" i="1"/>
  <c r="AL95" i="1"/>
  <c r="AJ95" i="1"/>
  <c r="AI95" i="1"/>
  <c r="AH95" i="1"/>
  <c r="AG95" i="1"/>
  <c r="AE95" i="1"/>
  <c r="AD95" i="1"/>
  <c r="AC95" i="1"/>
  <c r="AB95" i="1"/>
  <c r="Z95" i="1"/>
  <c r="Y95" i="1"/>
  <c r="X95" i="1"/>
  <c r="W95" i="1"/>
  <c r="U95" i="1"/>
  <c r="T95" i="1"/>
  <c r="S95" i="1"/>
  <c r="R95" i="1"/>
  <c r="P95" i="1"/>
  <c r="O95" i="1"/>
  <c r="N95" i="1"/>
  <c r="M95" i="1"/>
  <c r="K95" i="1"/>
  <c r="J95" i="1"/>
  <c r="I95" i="1"/>
  <c r="H95" i="1"/>
  <c r="F95" i="1"/>
  <c r="E95" i="1"/>
  <c r="D95" i="1"/>
  <c r="C95" i="1"/>
  <c r="B95" i="1"/>
  <c r="B101" i="1" s="1"/>
  <c r="AP77" i="1"/>
  <c r="J318" i="2" s="1"/>
  <c r="AK77" i="1"/>
  <c r="I318" i="2" s="1"/>
  <c r="AF77" i="1"/>
  <c r="H318" i="2" s="1"/>
  <c r="AA77" i="1"/>
  <c r="G318" i="2" s="1"/>
  <c r="V77" i="1"/>
  <c r="F318" i="2" s="1"/>
  <c r="Q77" i="1"/>
  <c r="E318" i="2" s="1"/>
  <c r="L77" i="1"/>
  <c r="D318" i="2" s="1"/>
  <c r="G77" i="1"/>
  <c r="C318" i="2" s="1"/>
  <c r="B77" i="1"/>
  <c r="B318" i="2" s="1"/>
  <c r="AU96" i="1"/>
  <c r="CS46" i="7"/>
  <c r="BI68" i="1"/>
  <c r="BH68" i="1"/>
  <c r="BG68" i="1"/>
  <c r="BF68" i="1"/>
  <c r="BD68" i="1"/>
  <c r="BC68" i="1"/>
  <c r="BB68" i="1"/>
  <c r="BA68" i="1"/>
  <c r="AY68" i="1"/>
  <c r="AX68" i="1"/>
  <c r="AW68" i="1"/>
  <c r="AV68" i="1"/>
  <c r="AT68" i="1"/>
  <c r="AS68" i="1"/>
  <c r="AR68" i="1"/>
  <c r="AQ68" i="1"/>
  <c r="AO68" i="1"/>
  <c r="AN68" i="1"/>
  <c r="AM68" i="1"/>
  <c r="AL68" i="1"/>
  <c r="AJ68" i="1"/>
  <c r="AI68" i="1"/>
  <c r="AH68" i="1"/>
  <c r="AG68" i="1"/>
  <c r="AE68" i="1"/>
  <c r="AD68" i="1"/>
  <c r="AC68" i="1"/>
  <c r="AB68" i="1"/>
  <c r="Z68" i="1"/>
  <c r="Y68" i="1"/>
  <c r="X68" i="1"/>
  <c r="W68" i="1"/>
  <c r="U68" i="1"/>
  <c r="T68" i="1"/>
  <c r="S68" i="1"/>
  <c r="R68" i="1"/>
  <c r="P68" i="1"/>
  <c r="O68" i="1"/>
  <c r="N68" i="1"/>
  <c r="M68" i="1"/>
  <c r="K68" i="1"/>
  <c r="J68" i="1"/>
  <c r="I68" i="1"/>
  <c r="H68" i="1"/>
  <c r="F68" i="1"/>
  <c r="E68" i="1"/>
  <c r="D68" i="1"/>
  <c r="C68" i="1"/>
  <c r="B68" i="1"/>
  <c r="B80" i="1" s="1"/>
  <c r="BD65" i="1"/>
  <c r="BD66" i="1" s="1"/>
  <c r="BC65" i="1"/>
  <c r="BC66" i="1" s="1"/>
  <c r="BB65" i="1"/>
  <c r="BB66" i="1" s="1"/>
  <c r="BA65" i="1"/>
  <c r="BA66" i="1" s="1"/>
  <c r="AY65" i="1"/>
  <c r="AY66" i="1" s="1"/>
  <c r="AX65" i="1"/>
  <c r="AX66" i="1" s="1"/>
  <c r="AW65" i="1"/>
  <c r="AW66" i="1" s="1"/>
  <c r="AV65" i="1"/>
  <c r="AV66" i="1" s="1"/>
  <c r="AT65" i="1"/>
  <c r="AT66" i="1" s="1"/>
  <c r="AS65" i="1"/>
  <c r="AS66" i="1" s="1"/>
  <c r="AR65" i="1"/>
  <c r="AR66" i="1" s="1"/>
  <c r="AQ65" i="1"/>
  <c r="AQ66" i="1" s="1"/>
  <c r="AO65" i="1"/>
  <c r="AO66" i="1" s="1"/>
  <c r="AN65" i="1"/>
  <c r="AN66" i="1" s="1"/>
  <c r="AM65" i="1"/>
  <c r="AM66" i="1" s="1"/>
  <c r="AL65" i="1"/>
  <c r="AL66" i="1" s="1"/>
  <c r="AJ65" i="1"/>
  <c r="AJ66" i="1" s="1"/>
  <c r="AI65" i="1"/>
  <c r="AI66" i="1" s="1"/>
  <c r="AH65" i="1"/>
  <c r="AH66" i="1" s="1"/>
  <c r="AG65" i="1"/>
  <c r="AG66" i="1" s="1"/>
  <c r="AE65" i="1"/>
  <c r="AE66" i="1" s="1"/>
  <c r="AD65" i="1"/>
  <c r="AD66" i="1" s="1"/>
  <c r="AC65" i="1"/>
  <c r="AC66" i="1" s="1"/>
  <c r="AB65" i="1"/>
  <c r="AB66" i="1" s="1"/>
  <c r="Z65" i="1"/>
  <c r="Z66" i="1" s="1"/>
  <c r="Y65" i="1"/>
  <c r="Y66" i="1" s="1"/>
  <c r="X65" i="1"/>
  <c r="X66" i="1" s="1"/>
  <c r="W65" i="1"/>
  <c r="W66" i="1" s="1"/>
  <c r="U65" i="1"/>
  <c r="U66" i="1" s="1"/>
  <c r="T65" i="1"/>
  <c r="T66" i="1" s="1"/>
  <c r="S65" i="1"/>
  <c r="S66" i="1" s="1"/>
  <c r="R65" i="1"/>
  <c r="R66" i="1" s="1"/>
  <c r="P65" i="1"/>
  <c r="P66" i="1" s="1"/>
  <c r="O65" i="1"/>
  <c r="O66" i="1" s="1"/>
  <c r="N65" i="1"/>
  <c r="N66" i="1" s="1"/>
  <c r="M65" i="1"/>
  <c r="M66" i="1" s="1"/>
  <c r="K65" i="1"/>
  <c r="K66" i="1" s="1"/>
  <c r="J65" i="1"/>
  <c r="J66" i="1" s="1"/>
  <c r="I65" i="1"/>
  <c r="I66" i="1" s="1"/>
  <c r="H65" i="1"/>
  <c r="H66" i="1" s="1"/>
  <c r="F65" i="1"/>
  <c r="F66" i="1" s="1"/>
  <c r="E65" i="1"/>
  <c r="E66" i="1" s="1"/>
  <c r="D65" i="1"/>
  <c r="D66" i="1" s="1"/>
  <c r="C65" i="1"/>
  <c r="C66" i="1" s="1"/>
  <c r="BI61" i="1"/>
  <c r="BH61" i="1"/>
  <c r="BG61" i="1"/>
  <c r="BF61" i="1"/>
  <c r="BD61" i="1"/>
  <c r="BC61" i="1"/>
  <c r="BB61" i="1"/>
  <c r="BA61" i="1"/>
  <c r="AY61" i="1"/>
  <c r="AX61" i="1"/>
  <c r="AW61" i="1"/>
  <c r="AV61" i="1"/>
  <c r="AT61" i="1"/>
  <c r="AS61" i="1"/>
  <c r="AR61" i="1"/>
  <c r="AQ61" i="1"/>
  <c r="AO61" i="1"/>
  <c r="AN61" i="1"/>
  <c r="AM61" i="1"/>
  <c r="AL61" i="1"/>
  <c r="AJ61" i="1"/>
  <c r="AI61" i="1"/>
  <c r="AH61" i="1"/>
  <c r="AG61" i="1"/>
  <c r="AE61" i="1"/>
  <c r="AD61" i="1"/>
  <c r="AC61" i="1"/>
  <c r="AB61" i="1"/>
  <c r="Z61" i="1"/>
  <c r="Y61" i="1"/>
  <c r="X61" i="1"/>
  <c r="W61" i="1"/>
  <c r="U61" i="1"/>
  <c r="T61" i="1"/>
  <c r="S61" i="1"/>
  <c r="R61" i="1"/>
  <c r="P61" i="1"/>
  <c r="O61" i="1"/>
  <c r="N61" i="1"/>
  <c r="M61" i="1"/>
  <c r="K61" i="1"/>
  <c r="J61" i="1"/>
  <c r="I61" i="1"/>
  <c r="H61" i="1"/>
  <c r="F61" i="1"/>
  <c r="E61" i="1"/>
  <c r="D61" i="1"/>
  <c r="C61" i="1"/>
  <c r="B61" i="1"/>
  <c r="AV52" i="1"/>
  <c r="AQ12" i="7" s="1"/>
  <c r="AK52" i="1"/>
  <c r="CK12" i="7" s="1"/>
  <c r="AJ52" i="1"/>
  <c r="AH12" i="7" s="1"/>
  <c r="AI52" i="1"/>
  <c r="AG12" i="7" s="1"/>
  <c r="AH52" i="1"/>
  <c r="AF12" i="7" s="1"/>
  <c r="AG52" i="1"/>
  <c r="AE12" i="7" s="1"/>
  <c r="AF52" i="1"/>
  <c r="CJ12" i="7" s="1"/>
  <c r="AE52" i="1"/>
  <c r="AD12" i="7" s="1"/>
  <c r="AD52" i="1"/>
  <c r="AC12" i="7" s="1"/>
  <c r="AC52" i="1"/>
  <c r="AB12" i="7" s="1"/>
  <c r="AB52" i="1"/>
  <c r="AA12" i="7" s="1"/>
  <c r="AA52" i="1"/>
  <c r="CI12" i="7" s="1"/>
  <c r="Z52" i="1"/>
  <c r="Z12" i="7" s="1"/>
  <c r="Y52" i="1"/>
  <c r="Y12" i="7" s="1"/>
  <c r="X52" i="1"/>
  <c r="X12" i="7" s="1"/>
  <c r="W52" i="1"/>
  <c r="W12" i="7" s="1"/>
  <c r="V52" i="1"/>
  <c r="CH12" i="7" s="1"/>
  <c r="U52" i="1"/>
  <c r="V12" i="7" s="1"/>
  <c r="T52" i="1"/>
  <c r="U12" i="7" s="1"/>
  <c r="S52" i="1"/>
  <c r="T12" i="7" s="1"/>
  <c r="R52" i="1"/>
  <c r="S12" i="7" s="1"/>
  <c r="Q52" i="1"/>
  <c r="CG12" i="7" s="1"/>
  <c r="P52" i="1"/>
  <c r="R12" i="7" s="1"/>
  <c r="O52" i="1"/>
  <c r="Q12" i="7" s="1"/>
  <c r="N52" i="1"/>
  <c r="P12" i="7" s="1"/>
  <c r="M52" i="1"/>
  <c r="O12" i="7" s="1"/>
  <c r="L52" i="1"/>
  <c r="K52" i="1"/>
  <c r="N12" i="7" s="1"/>
  <c r="J52" i="1"/>
  <c r="M12" i="7" s="1"/>
  <c r="I52" i="1"/>
  <c r="L12" i="7" s="1"/>
  <c r="H52" i="1"/>
  <c r="K12" i="7" s="1"/>
  <c r="G52" i="1"/>
  <c r="F52" i="1"/>
  <c r="J12" i="7" s="1"/>
  <c r="E52" i="1"/>
  <c r="I12" i="7" s="1"/>
  <c r="D52" i="1"/>
  <c r="H12" i="7" s="1"/>
  <c r="C52" i="1"/>
  <c r="G12" i="7" s="1"/>
  <c r="B52" i="1"/>
  <c r="AV49" i="1"/>
  <c r="AQ11" i="7" s="1"/>
  <c r="AT49" i="1"/>
  <c r="AP11" i="7" s="1"/>
  <c r="AS49" i="1"/>
  <c r="AO11" i="7" s="1"/>
  <c r="AR49" i="1"/>
  <c r="AN11" i="7" s="1"/>
  <c r="AQ49" i="1"/>
  <c r="AM11" i="7" s="1"/>
  <c r="AP49" i="1"/>
  <c r="CL11" i="7" s="1"/>
  <c r="AO49" i="1"/>
  <c r="AN49" i="1"/>
  <c r="AM49" i="1"/>
  <c r="AL49" i="1"/>
  <c r="AK49" i="1"/>
  <c r="CK11" i="7" s="1"/>
  <c r="AJ49" i="1"/>
  <c r="AH11" i="7" s="1"/>
  <c r="AI49" i="1"/>
  <c r="AG11" i="7" s="1"/>
  <c r="AH49" i="1"/>
  <c r="AF11" i="7" s="1"/>
  <c r="AG49" i="1"/>
  <c r="AE11" i="7" s="1"/>
  <c r="AF49" i="1"/>
  <c r="CJ11" i="7" s="1"/>
  <c r="AE49" i="1"/>
  <c r="AD11" i="7" s="1"/>
  <c r="AD49" i="1"/>
  <c r="AC11" i="7" s="1"/>
  <c r="AC49" i="1"/>
  <c r="AB11" i="7" s="1"/>
  <c r="AB49" i="1"/>
  <c r="AA11" i="7" s="1"/>
  <c r="AA49" i="1"/>
  <c r="CI11" i="7" s="1"/>
  <c r="Z49" i="1"/>
  <c r="Z11" i="7" s="1"/>
  <c r="Y49" i="1"/>
  <c r="Y11" i="7" s="1"/>
  <c r="X49" i="1"/>
  <c r="X11" i="7" s="1"/>
  <c r="W49" i="1"/>
  <c r="W11" i="7" s="1"/>
  <c r="V49" i="1"/>
  <c r="CH11" i="7" s="1"/>
  <c r="U49" i="1"/>
  <c r="V11" i="7" s="1"/>
  <c r="T49" i="1"/>
  <c r="U11" i="7" s="1"/>
  <c r="S49" i="1"/>
  <c r="T11" i="7" s="1"/>
  <c r="R49" i="1"/>
  <c r="S11" i="7" s="1"/>
  <c r="Q49" i="1"/>
  <c r="CG11" i="7" s="1"/>
  <c r="P49" i="1"/>
  <c r="R11" i="7" s="1"/>
  <c r="O49" i="1"/>
  <c r="Q11" i="7" s="1"/>
  <c r="N49" i="1"/>
  <c r="P11" i="7" s="1"/>
  <c r="M49" i="1"/>
  <c r="O11" i="7" s="1"/>
  <c r="L49" i="1"/>
  <c r="K49" i="1"/>
  <c r="N11" i="7" s="1"/>
  <c r="J49" i="1"/>
  <c r="M11" i="7" s="1"/>
  <c r="I49" i="1"/>
  <c r="L11" i="7" s="1"/>
  <c r="H49" i="1"/>
  <c r="K11" i="7" s="1"/>
  <c r="G49" i="1"/>
  <c r="F49" i="1"/>
  <c r="J11" i="7" s="1"/>
  <c r="E49" i="1"/>
  <c r="I11" i="7" s="1"/>
  <c r="D49" i="1"/>
  <c r="H11" i="7" s="1"/>
  <c r="C49" i="1"/>
  <c r="G11" i="7" s="1"/>
  <c r="B49" i="1"/>
  <c r="BV38" i="1"/>
  <c r="CA39" i="1" s="1"/>
  <c r="BL38" i="1"/>
  <c r="BB38" i="1"/>
  <c r="AR38" i="1"/>
  <c r="AP38" i="1"/>
  <c r="AH38" i="1"/>
  <c r="AE38" i="1"/>
  <c r="AD38" i="1"/>
  <c r="AC38" i="1"/>
  <c r="AB38" i="1"/>
  <c r="AA38" i="1"/>
  <c r="Z38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B38" i="1"/>
  <c r="BV37" i="1"/>
  <c r="BL37" i="1"/>
  <c r="BB37" i="1"/>
  <c r="AR37" i="1"/>
  <c r="AP37" i="1"/>
  <c r="T19" i="3" s="1"/>
  <c r="T276" i="3" s="1"/>
  <c r="AH37" i="1"/>
  <c r="AE37" i="1"/>
  <c r="AD37" i="1"/>
  <c r="AC37" i="1"/>
  <c r="AB37" i="1"/>
  <c r="AA37" i="1"/>
  <c r="Q19" i="3" s="1"/>
  <c r="Q276" i="3" s="1"/>
  <c r="Z37" i="1"/>
  <c r="Y37" i="1"/>
  <c r="X37" i="1"/>
  <c r="W37" i="1"/>
  <c r="V37" i="1"/>
  <c r="P19" i="3" s="1"/>
  <c r="P276" i="3" s="1"/>
  <c r="U37" i="1"/>
  <c r="T37" i="1"/>
  <c r="S37" i="1"/>
  <c r="R37" i="1"/>
  <c r="Q37" i="1"/>
  <c r="O19" i="3" s="1"/>
  <c r="O276" i="3" s="1"/>
  <c r="P37" i="1"/>
  <c r="O37" i="1"/>
  <c r="N37" i="1"/>
  <c r="M37" i="1"/>
  <c r="L37" i="1"/>
  <c r="N19" i="3" s="1"/>
  <c r="N276" i="3" s="1"/>
  <c r="K37" i="1"/>
  <c r="J37" i="1"/>
  <c r="I37" i="1"/>
  <c r="H37" i="1"/>
  <c r="G37" i="1"/>
  <c r="M19" i="3" s="1"/>
  <c r="M276" i="3" s="1"/>
  <c r="F37" i="1"/>
  <c r="E37" i="1"/>
  <c r="D37" i="1"/>
  <c r="C37" i="1"/>
  <c r="B37" i="1"/>
  <c r="L19" i="3" s="1"/>
  <c r="L276" i="3" s="1"/>
  <c r="BN2" i="1"/>
  <c r="BM2" i="1"/>
  <c r="BL2" i="1"/>
  <c r="BK2" i="1"/>
  <c r="G2" i="1"/>
  <c r="G529" i="1" s="1"/>
  <c r="C60" i="4"/>
  <c r="D60" i="4" s="1"/>
  <c r="E60" i="4" s="1"/>
  <c r="F60" i="4" s="1"/>
  <c r="G60" i="4" s="1"/>
  <c r="H60" i="4" s="1"/>
  <c r="I60" i="4" s="1"/>
  <c r="J60" i="4" s="1"/>
  <c r="K60" i="4" s="1"/>
  <c r="L60" i="4" s="1"/>
  <c r="M60" i="4" s="1"/>
  <c r="N60" i="4" s="1"/>
  <c r="O60" i="4" s="1"/>
  <c r="P60" i="4" s="1"/>
  <c r="Q60" i="4" s="1"/>
  <c r="R60" i="4" s="1"/>
  <c r="S60" i="4" s="1"/>
  <c r="D58" i="4"/>
  <c r="E58" i="4" s="1"/>
  <c r="F58" i="4" s="1"/>
  <c r="G58" i="4" s="1"/>
  <c r="H58" i="4" s="1"/>
  <c r="I58" i="4" s="1"/>
  <c r="J58" i="4" s="1"/>
  <c r="K58" i="4" s="1"/>
  <c r="L58" i="4" s="1"/>
  <c r="M58" i="4" s="1"/>
  <c r="N58" i="4" s="1"/>
  <c r="O58" i="4" s="1"/>
  <c r="P58" i="4" s="1"/>
  <c r="Q58" i="4" s="1"/>
  <c r="R58" i="4" s="1"/>
  <c r="S58" i="4" s="1"/>
  <c r="C51" i="4"/>
  <c r="C195" i="3" s="1"/>
  <c r="C50" i="4"/>
  <c r="C194" i="3" s="1"/>
  <c r="N18" i="4"/>
  <c r="O18" i="4" s="1"/>
  <c r="P18" i="4" s="1"/>
  <c r="Q18" i="4" s="1"/>
  <c r="R18" i="4" s="1"/>
  <c r="S18" i="4" s="1"/>
  <c r="C10" i="4"/>
  <c r="D6" i="4"/>
  <c r="E6" i="4" s="1"/>
  <c r="D3" i="4"/>
  <c r="E3" i="4" s="1"/>
  <c r="CN514" i="1" l="1"/>
  <c r="CQ514" i="1" s="1"/>
  <c r="CR514" i="1" s="1"/>
  <c r="CS514" i="1" s="1"/>
  <c r="CT514" i="1" s="1"/>
  <c r="CU514" i="1" s="1"/>
  <c r="CV514" i="1" s="1"/>
  <c r="CW514" i="1" s="1"/>
  <c r="CN313" i="1"/>
  <c r="CQ313" i="1" s="1"/>
  <c r="CR313" i="1" s="1"/>
  <c r="CS313" i="1" s="1"/>
  <c r="CT313" i="1" s="1"/>
  <c r="CU313" i="1" s="1"/>
  <c r="CV313" i="1" s="1"/>
  <c r="CW313" i="1" s="1"/>
  <c r="T205" i="2"/>
  <c r="U205" i="2" s="1"/>
  <c r="V205" i="2" s="1"/>
  <c r="W205" i="2" s="1"/>
  <c r="X205" i="2" s="1"/>
  <c r="BY174" i="1"/>
  <c r="CD174" i="1"/>
  <c r="N14" i="3"/>
  <c r="E31" i="19"/>
  <c r="Q14" i="3"/>
  <c r="H31" i="19"/>
  <c r="D46" i="2"/>
  <c r="D47" i="2" s="1"/>
  <c r="D48" i="2" s="1"/>
  <c r="E26" i="19"/>
  <c r="T14" i="3"/>
  <c r="K31" i="19"/>
  <c r="G46" i="2"/>
  <c r="G47" i="2" s="1"/>
  <c r="G48" i="2" s="1"/>
  <c r="H26" i="19"/>
  <c r="L43" i="19"/>
  <c r="M43" i="19"/>
  <c r="O14" i="3"/>
  <c r="F31" i="19"/>
  <c r="R14" i="3"/>
  <c r="I31" i="19"/>
  <c r="E46" i="2"/>
  <c r="E47" i="2" s="1"/>
  <c r="E48" i="2" s="1"/>
  <c r="F26" i="19"/>
  <c r="H46" i="2"/>
  <c r="H47" i="2" s="1"/>
  <c r="H48" i="2" s="1"/>
  <c r="I26" i="19"/>
  <c r="I46" i="2"/>
  <c r="I47" i="2" s="1"/>
  <c r="I48" i="2" s="1"/>
  <c r="J26" i="19"/>
  <c r="P14" i="3"/>
  <c r="G31" i="19"/>
  <c r="C46" i="2"/>
  <c r="C47" i="2" s="1"/>
  <c r="C48" i="2" s="1"/>
  <c r="D26" i="19"/>
  <c r="S14" i="3"/>
  <c r="J31" i="19"/>
  <c r="F46" i="2"/>
  <c r="F47" i="2" s="1"/>
  <c r="F48" i="2" s="1"/>
  <c r="G26" i="19"/>
  <c r="Y14" i="3"/>
  <c r="P31" i="19"/>
  <c r="P50" i="19" s="1"/>
  <c r="N7" i="19"/>
  <c r="M7" i="19"/>
  <c r="C6" i="10"/>
  <c r="D6" i="10" s="1"/>
  <c r="O6" i="19"/>
  <c r="BA466" i="1"/>
  <c r="AL448" i="1"/>
  <c r="AL465" i="1"/>
  <c r="AM52" i="1"/>
  <c r="AJ12" i="7" s="1"/>
  <c r="AM465" i="1"/>
  <c r="AN52" i="1"/>
  <c r="AK12" i="7" s="1"/>
  <c r="AN465" i="1"/>
  <c r="AO448" i="1"/>
  <c r="AO465" i="1"/>
  <c r="AQ448" i="1"/>
  <c r="AQ465" i="1"/>
  <c r="AR52" i="1"/>
  <c r="AN12" i="7" s="1"/>
  <c r="AR465" i="1"/>
  <c r="AS52" i="1"/>
  <c r="AO12" i="7" s="1"/>
  <c r="AS465" i="1"/>
  <c r="AT52" i="1"/>
  <c r="AP12" i="7" s="1"/>
  <c r="AT465" i="1"/>
  <c r="BS49" i="1"/>
  <c r="BJ11" i="7" s="1"/>
  <c r="J77" i="18"/>
  <c r="K79" i="18"/>
  <c r="O78" i="18"/>
  <c r="BN49" i="1"/>
  <c r="BF11" i="7" s="1"/>
  <c r="BF37" i="7" s="1"/>
  <c r="F77" i="18"/>
  <c r="F79" i="18" s="1"/>
  <c r="L79" i="18"/>
  <c r="P78" i="18"/>
  <c r="AP64" i="16"/>
  <c r="AP72" i="18"/>
  <c r="BL49" i="1"/>
  <c r="BD11" i="7" s="1"/>
  <c r="BD37" i="7" s="1"/>
  <c r="D77" i="18"/>
  <c r="D79" i="18" s="1"/>
  <c r="BK49" i="1"/>
  <c r="BC11" i="7" s="1"/>
  <c r="BC37" i="7" s="1"/>
  <c r="C77" i="18"/>
  <c r="C79" i="18" s="1"/>
  <c r="BM49" i="1"/>
  <c r="BE11" i="7" s="1"/>
  <c r="BE37" i="7" s="1"/>
  <c r="E77" i="18"/>
  <c r="E79" i="18" s="1"/>
  <c r="BP49" i="1"/>
  <c r="BG11" i="7" s="1"/>
  <c r="BG37" i="7" s="1"/>
  <c r="G77" i="18"/>
  <c r="K78" i="18" s="1"/>
  <c r="BQ49" i="1"/>
  <c r="BH11" i="7" s="1"/>
  <c r="BH37" i="7" s="1"/>
  <c r="H77" i="18"/>
  <c r="L78" i="18" s="1"/>
  <c r="BR49" i="1"/>
  <c r="BW50" i="1" s="1"/>
  <c r="I77" i="18"/>
  <c r="H37" i="7"/>
  <c r="H24" i="7"/>
  <c r="J37" i="7"/>
  <c r="J24" i="7"/>
  <c r="AN37" i="7"/>
  <c r="AN24" i="7"/>
  <c r="AV37" i="7"/>
  <c r="AV24" i="7"/>
  <c r="Q35" i="7"/>
  <c r="Q22" i="7"/>
  <c r="R37" i="7"/>
  <c r="R24" i="7"/>
  <c r="AC37" i="7"/>
  <c r="AC24" i="7"/>
  <c r="G37" i="7"/>
  <c r="G24" i="7"/>
  <c r="AD37" i="7"/>
  <c r="AD24" i="7"/>
  <c r="AO37" i="7"/>
  <c r="AO24" i="7"/>
  <c r="AW37" i="7"/>
  <c r="AW24" i="7"/>
  <c r="R35" i="7"/>
  <c r="R22" i="7"/>
  <c r="AX37" i="7"/>
  <c r="AX24" i="7"/>
  <c r="S35" i="7"/>
  <c r="S22" i="7"/>
  <c r="AY37" i="7"/>
  <c r="AY24" i="7"/>
  <c r="T35" i="7"/>
  <c r="T22" i="7"/>
  <c r="AZ37" i="7"/>
  <c r="AZ24" i="7"/>
  <c r="AH37" i="7"/>
  <c r="AH24" i="7"/>
  <c r="S37" i="7"/>
  <c r="S24" i="7"/>
  <c r="AE37" i="7"/>
  <c r="AE24" i="7"/>
  <c r="J35" i="7"/>
  <c r="J22" i="7"/>
  <c r="X35" i="7"/>
  <c r="X22" i="7"/>
  <c r="W35" i="7"/>
  <c r="W22" i="7"/>
  <c r="L37" i="7"/>
  <c r="L24" i="7"/>
  <c r="W37" i="7"/>
  <c r="W24" i="7"/>
  <c r="K35" i="7"/>
  <c r="K22" i="7"/>
  <c r="Y35" i="7"/>
  <c r="Y22" i="7"/>
  <c r="AP37" i="7"/>
  <c r="AP24" i="7"/>
  <c r="AQ37" i="7"/>
  <c r="AQ24" i="7"/>
  <c r="BA37" i="7"/>
  <c r="BA24" i="7"/>
  <c r="I35" i="7"/>
  <c r="I22" i="7"/>
  <c r="M37" i="7"/>
  <c r="M24" i="7"/>
  <c r="X37" i="7"/>
  <c r="X24" i="7"/>
  <c r="N37" i="7"/>
  <c r="N24" i="7"/>
  <c r="Y37" i="7"/>
  <c r="Y24" i="7"/>
  <c r="L35" i="7"/>
  <c r="L22" i="7"/>
  <c r="Z35" i="7"/>
  <c r="Z22" i="7"/>
  <c r="M35" i="7"/>
  <c r="M22" i="7"/>
  <c r="AA35" i="7"/>
  <c r="AA22" i="7"/>
  <c r="T37" i="7"/>
  <c r="T24" i="7"/>
  <c r="U37" i="7"/>
  <c r="U24" i="7"/>
  <c r="G35" i="7"/>
  <c r="G22" i="7"/>
  <c r="V37" i="7"/>
  <c r="V24" i="7"/>
  <c r="Z37" i="7"/>
  <c r="Z24" i="7"/>
  <c r="O37" i="7"/>
  <c r="O24" i="7"/>
  <c r="AS37" i="7"/>
  <c r="AS24" i="7"/>
  <c r="N35" i="7"/>
  <c r="N22" i="7"/>
  <c r="AB35" i="7"/>
  <c r="AB22" i="7"/>
  <c r="I37" i="7"/>
  <c r="I24" i="7"/>
  <c r="U35" i="7"/>
  <c r="U22" i="7"/>
  <c r="AG37" i="7"/>
  <c r="AG24" i="7"/>
  <c r="V35" i="7"/>
  <c r="V22" i="7"/>
  <c r="K37" i="7"/>
  <c r="K24" i="7"/>
  <c r="BB37" i="7"/>
  <c r="BB24" i="7"/>
  <c r="P37" i="7"/>
  <c r="P24" i="7"/>
  <c r="AA37" i="7"/>
  <c r="AA24" i="7"/>
  <c r="AT37" i="7"/>
  <c r="AT24" i="7"/>
  <c r="O35" i="7"/>
  <c r="O22" i="7"/>
  <c r="AC35" i="7"/>
  <c r="AC22" i="7"/>
  <c r="AF37" i="7"/>
  <c r="AF24" i="7"/>
  <c r="H35" i="7"/>
  <c r="H22" i="7"/>
  <c r="Q37" i="7"/>
  <c r="Q24" i="7"/>
  <c r="AB37" i="7"/>
  <c r="AB24" i="7"/>
  <c r="AM37" i="7"/>
  <c r="AM24" i="7"/>
  <c r="AU37" i="7"/>
  <c r="AU24" i="7"/>
  <c r="P35" i="7"/>
  <c r="P22" i="7"/>
  <c r="AD35" i="7"/>
  <c r="AD22" i="7"/>
  <c r="BF227" i="1"/>
  <c r="AX227" i="1"/>
  <c r="AX382" i="1" s="1"/>
  <c r="AS33" i="7" s="1"/>
  <c r="BQ382" i="1"/>
  <c r="BQ388" i="1" s="1"/>
  <c r="Q44" i="6"/>
  <c r="L44" i="6"/>
  <c r="BW204" i="1"/>
  <c r="BI63" i="7"/>
  <c r="R169" i="6"/>
  <c r="AQ63" i="7"/>
  <c r="M169" i="6"/>
  <c r="AL63" i="7"/>
  <c r="BX204" i="1"/>
  <c r="BJ63" i="7"/>
  <c r="N169" i="6"/>
  <c r="AM63" i="7"/>
  <c r="BZ204" i="1"/>
  <c r="BK63" i="7"/>
  <c r="O169" i="6"/>
  <c r="AN63" i="7"/>
  <c r="CA204" i="1"/>
  <c r="BL63" i="7"/>
  <c r="P169" i="6"/>
  <c r="AO63" i="7"/>
  <c r="Q169" i="6"/>
  <c r="AP63" i="7"/>
  <c r="R8" i="2"/>
  <c r="S172" i="2"/>
  <c r="T172" i="2" s="1"/>
  <c r="T173" i="2" s="1"/>
  <c r="CD256" i="1"/>
  <c r="CD257" i="1" s="1"/>
  <c r="CI244" i="1"/>
  <c r="S72" i="3"/>
  <c r="B298" i="2"/>
  <c r="L72" i="3"/>
  <c r="T72" i="3"/>
  <c r="C298" i="2"/>
  <c r="M72" i="3"/>
  <c r="D298" i="2"/>
  <c r="N72" i="3"/>
  <c r="O72" i="3"/>
  <c r="P72" i="3"/>
  <c r="N44" i="6"/>
  <c r="BB227" i="1"/>
  <c r="BB382" i="1" s="1"/>
  <c r="AV34" i="7" s="1"/>
  <c r="BM382" i="1"/>
  <c r="BE34" i="7" s="1"/>
  <c r="R20" i="3"/>
  <c r="R277" i="3" s="1"/>
  <c r="H99" i="2"/>
  <c r="L20" i="3"/>
  <c r="L277" i="3" s="1"/>
  <c r="L278" i="3" s="1"/>
  <c r="B99" i="2"/>
  <c r="O20" i="3"/>
  <c r="O277" i="3" s="1"/>
  <c r="O278" i="3" s="1"/>
  <c r="O279" i="3" s="1"/>
  <c r="O280" i="3" s="1"/>
  <c r="E99" i="2"/>
  <c r="Q20" i="3"/>
  <c r="Q277" i="3" s="1"/>
  <c r="Q278" i="3" s="1"/>
  <c r="G99" i="2"/>
  <c r="B71" i="2"/>
  <c r="C71" i="2" s="1"/>
  <c r="D71" i="2" s="1"/>
  <c r="E71" i="2" s="1"/>
  <c r="F71" i="2" s="1"/>
  <c r="G71" i="2" s="1"/>
  <c r="H71" i="2" s="1"/>
  <c r="I71" i="2" s="1"/>
  <c r="J71" i="2" s="1"/>
  <c r="K71" i="2" s="1"/>
  <c r="L71" i="2" s="1"/>
  <c r="M71" i="2" s="1"/>
  <c r="N71" i="2" s="1"/>
  <c r="O71" i="2" s="1"/>
  <c r="P71" i="2" s="1"/>
  <c r="Q71" i="2" s="1"/>
  <c r="R71" i="2" s="1"/>
  <c r="S71" i="2" s="1"/>
  <c r="BL382" i="1"/>
  <c r="BD33" i="7" s="1"/>
  <c r="AV227" i="1"/>
  <c r="AV382" i="1" s="1"/>
  <c r="AQ34" i="7" s="1"/>
  <c r="CD239" i="1"/>
  <c r="CD251" i="1"/>
  <c r="CD252" i="1" s="1"/>
  <c r="CD244" i="1"/>
  <c r="F255" i="3"/>
  <c r="F268" i="3"/>
  <c r="M44" i="6"/>
  <c r="BI382" i="1"/>
  <c r="BB33" i="7" s="1"/>
  <c r="V44" i="6"/>
  <c r="BW209" i="1"/>
  <c r="CA208" i="1"/>
  <c r="M479" i="1"/>
  <c r="M482" i="1" s="1"/>
  <c r="U479" i="1"/>
  <c r="U482" i="1" s="1"/>
  <c r="AC479" i="1"/>
  <c r="AC484" i="1" s="1"/>
  <c r="B479" i="1"/>
  <c r="B484" i="1" s="1"/>
  <c r="N479" i="1"/>
  <c r="N482" i="1" s="1"/>
  <c r="V479" i="1"/>
  <c r="F269" i="2" s="1"/>
  <c r="AD479" i="1"/>
  <c r="AD482" i="1" s="1"/>
  <c r="AK479" i="1"/>
  <c r="I79" i="2" s="1"/>
  <c r="I196" i="2" s="1"/>
  <c r="K479" i="1"/>
  <c r="K484" i="1" s="1"/>
  <c r="S479" i="1"/>
  <c r="S484" i="1" s="1"/>
  <c r="AA479" i="1"/>
  <c r="G269" i="2" s="1"/>
  <c r="BY256" i="1"/>
  <c r="BY257" i="1" s="1"/>
  <c r="Z4" i="3"/>
  <c r="Z3" i="3" s="1"/>
  <c r="G59" i="4"/>
  <c r="AH17" i="3"/>
  <c r="AI17" i="3" s="1"/>
  <c r="AJ17" i="3" s="1"/>
  <c r="AK17" i="3" s="1"/>
  <c r="AL17" i="3" s="1"/>
  <c r="AM17" i="3" s="1"/>
  <c r="AN17" i="3" s="1"/>
  <c r="AH89" i="3"/>
  <c r="AI89" i="3" s="1"/>
  <c r="AJ89" i="3" s="1"/>
  <c r="AK89" i="3" s="1"/>
  <c r="AL89" i="3" s="1"/>
  <c r="AM89" i="3" s="1"/>
  <c r="AN89" i="3" s="1"/>
  <c r="AH189" i="3"/>
  <c r="AI189" i="3" s="1"/>
  <c r="AJ189" i="3" s="1"/>
  <c r="AK189" i="3" s="1"/>
  <c r="AL189" i="3" s="1"/>
  <c r="AM189" i="3" s="1"/>
  <c r="AN189" i="3" s="1"/>
  <c r="G2" i="3"/>
  <c r="F239" i="3"/>
  <c r="AH126" i="3"/>
  <c r="AI126" i="3" s="1"/>
  <c r="AJ126" i="3" s="1"/>
  <c r="AK126" i="3" s="1"/>
  <c r="AL126" i="3" s="1"/>
  <c r="AM126" i="3" s="1"/>
  <c r="AN126" i="3" s="1"/>
  <c r="AH139" i="3"/>
  <c r="AI139" i="3" s="1"/>
  <c r="AJ139" i="3" s="1"/>
  <c r="AK139" i="3" s="1"/>
  <c r="AL139" i="3" s="1"/>
  <c r="AM139" i="3" s="1"/>
  <c r="AN139" i="3" s="1"/>
  <c r="AH147" i="3"/>
  <c r="AI147" i="3" s="1"/>
  <c r="AJ147" i="3" s="1"/>
  <c r="AK147" i="3" s="1"/>
  <c r="AL147" i="3" s="1"/>
  <c r="AM147" i="3" s="1"/>
  <c r="AN147" i="3" s="1"/>
  <c r="W34" i="2"/>
  <c r="X212" i="2"/>
  <c r="I375" i="1"/>
  <c r="I448" i="1"/>
  <c r="J375" i="1"/>
  <c r="J448" i="1"/>
  <c r="BO239" i="1"/>
  <c r="CV42" i="7"/>
  <c r="BF244" i="1"/>
  <c r="BP244" i="1"/>
  <c r="BU244" i="1"/>
  <c r="CV43" i="7"/>
  <c r="CU43" i="7"/>
  <c r="BL95" i="1"/>
  <c r="BL529" i="1"/>
  <c r="BM95" i="1"/>
  <c r="BM529" i="1"/>
  <c r="BN95" i="1"/>
  <c r="BN529" i="1"/>
  <c r="BK95" i="1"/>
  <c r="BK529" i="1"/>
  <c r="W44" i="6"/>
  <c r="BK156" i="1"/>
  <c r="L126" i="1"/>
  <c r="L127" i="1" s="1"/>
  <c r="CQ168" i="1"/>
  <c r="Q214" i="2"/>
  <c r="AM6" i="10"/>
  <c r="AE4" i="10"/>
  <c r="AD27" i="10"/>
  <c r="AD26" i="10"/>
  <c r="BH382" i="1"/>
  <c r="BA33" i="7" s="1"/>
  <c r="Q88" i="2"/>
  <c r="R88" i="2" s="1"/>
  <c r="S88" i="2" s="1"/>
  <c r="Q175" i="2"/>
  <c r="R175" i="2" s="1"/>
  <c r="S175" i="2" s="1"/>
  <c r="Q264" i="2"/>
  <c r="R264" i="2" s="1"/>
  <c r="S264" i="2" s="1"/>
  <c r="Q216" i="2"/>
  <c r="R216" i="2" s="1"/>
  <c r="Q181" i="2"/>
  <c r="R181" i="2" s="1"/>
  <c r="S181" i="2" s="1"/>
  <c r="Q193" i="2"/>
  <c r="R193" i="2" s="1"/>
  <c r="S193" i="2" s="1"/>
  <c r="Q178" i="2"/>
  <c r="R178" i="2" s="1"/>
  <c r="S178" i="2" s="1"/>
  <c r="Q112" i="2"/>
  <c r="R112" i="2" s="1"/>
  <c r="S112" i="2" s="1"/>
  <c r="Q171" i="2"/>
  <c r="R171" i="2" s="1"/>
  <c r="S171" i="2" s="1"/>
  <c r="Q184" i="2"/>
  <c r="R184" i="2" s="1"/>
  <c r="S184" i="2" s="1"/>
  <c r="Q204" i="2"/>
  <c r="R204" i="2" s="1"/>
  <c r="S204" i="2" s="1"/>
  <c r="Q217" i="2"/>
  <c r="R217" i="2" s="1"/>
  <c r="S217" i="2" s="1"/>
  <c r="Q182" i="2"/>
  <c r="Q17" i="2" s="1"/>
  <c r="Q179" i="2" s="1"/>
  <c r="Q16" i="2" s="1"/>
  <c r="Q18" i="2" s="1"/>
  <c r="Q2" i="2"/>
  <c r="Q143" i="2"/>
  <c r="R143" i="2" s="1"/>
  <c r="S143" i="2" s="1"/>
  <c r="Q187" i="2"/>
  <c r="R187" i="2" s="1"/>
  <c r="S187" i="2" s="1"/>
  <c r="Q210" i="2"/>
  <c r="R210" i="2" s="1"/>
  <c r="S210" i="2" s="1"/>
  <c r="Q32" i="2"/>
  <c r="Q151" i="2"/>
  <c r="R151" i="2" s="1"/>
  <c r="S151" i="2" s="1"/>
  <c r="Q188" i="2"/>
  <c r="R188" i="2" s="1"/>
  <c r="AA4" i="3"/>
  <c r="AA3" i="3" s="1"/>
  <c r="Q251" i="2"/>
  <c r="R251" i="2" s="1"/>
  <c r="S251" i="2" s="1"/>
  <c r="Q314" i="2"/>
  <c r="R314" i="2" s="1"/>
  <c r="S314" i="2" s="1"/>
  <c r="Q83" i="2"/>
  <c r="R83" i="2" s="1"/>
  <c r="S83" i="2" s="1"/>
  <c r="Q101" i="2"/>
  <c r="R101" i="2" s="1"/>
  <c r="S101" i="2" s="1"/>
  <c r="Q116" i="2"/>
  <c r="Q190" i="2"/>
  <c r="R190" i="2" s="1"/>
  <c r="S190" i="2" s="1"/>
  <c r="BR227" i="1"/>
  <c r="AW227" i="1"/>
  <c r="AW382" i="1" s="1"/>
  <c r="AR34" i="7" s="1"/>
  <c r="BY207" i="1"/>
  <c r="BZ208" i="1"/>
  <c r="BA295" i="1"/>
  <c r="BE294" i="1"/>
  <c r="BO294" i="1"/>
  <c r="BU384" i="1"/>
  <c r="BL51" i="7"/>
  <c r="BZ212" i="1"/>
  <c r="BJ294" i="1"/>
  <c r="BT294" i="1"/>
  <c r="BP384" i="1"/>
  <c r="BT291" i="1"/>
  <c r="BY170" i="1"/>
  <c r="CD171" i="1" s="1"/>
  <c r="BY190" i="1"/>
  <c r="CD190" i="1" s="1"/>
  <c r="CI190" i="1" s="1"/>
  <c r="BY194" i="1"/>
  <c r="BY187" i="1"/>
  <c r="BP382" i="1"/>
  <c r="I44" i="6"/>
  <c r="BY508" i="1"/>
  <c r="BR382" i="1"/>
  <c r="AI11" i="7"/>
  <c r="AL50" i="7"/>
  <c r="AJ11" i="7"/>
  <c r="AK11" i="7"/>
  <c r="AL11" i="7"/>
  <c r="D31" i="1"/>
  <c r="T44" i="6"/>
  <c r="K44" i="6"/>
  <c r="S44" i="6"/>
  <c r="BS382" i="1"/>
  <c r="BG382" i="1"/>
  <c r="AZ34" i="7" s="1"/>
  <c r="O44" i="6"/>
  <c r="AQ52" i="1"/>
  <c r="AM12" i="7" s="1"/>
  <c r="BY394" i="1"/>
  <c r="BY391" i="1"/>
  <c r="BY393" i="1" s="1"/>
  <c r="AR448" i="1"/>
  <c r="BS384" i="1"/>
  <c r="BG227" i="1"/>
  <c r="BJ49" i="7"/>
  <c r="BX201" i="1"/>
  <c r="BL49" i="7"/>
  <c r="BX191" i="1"/>
  <c r="CC192" i="1" s="1"/>
  <c r="BJ40" i="7"/>
  <c r="BX171" i="1"/>
  <c r="K132" i="6"/>
  <c r="S132" i="6"/>
  <c r="X277" i="3"/>
  <c r="P283" i="3"/>
  <c r="Q283" i="3"/>
  <c r="W277" i="3"/>
  <c r="R283" i="3"/>
  <c r="S283" i="3"/>
  <c r="T283" i="3"/>
  <c r="AL52" i="1"/>
  <c r="AY227" i="1"/>
  <c r="AY382" i="1" s="1"/>
  <c r="BP38" i="1"/>
  <c r="BC52" i="1"/>
  <c r="AW12" i="7" s="1"/>
  <c r="BC227" i="1"/>
  <c r="BC382" i="1" s="1"/>
  <c r="O132" i="6"/>
  <c r="BK227" i="1"/>
  <c r="AL37" i="1"/>
  <c r="AV37" i="1"/>
  <c r="BF37" i="1"/>
  <c r="Q74" i="1"/>
  <c r="BQ227" i="1"/>
  <c r="BI49" i="7"/>
  <c r="BW201" i="1"/>
  <c r="BK49" i="7"/>
  <c r="BW191" i="1"/>
  <c r="CB192" i="1" s="1"/>
  <c r="BQ52" i="1"/>
  <c r="BH12" i="7" s="1"/>
  <c r="BH403" i="1"/>
  <c r="Q75" i="1"/>
  <c r="BH327" i="1"/>
  <c r="AJ37" i="1"/>
  <c r="P16" i="2"/>
  <c r="AQ375" i="1"/>
  <c r="BA52" i="1"/>
  <c r="AU12" i="7" s="1"/>
  <c r="BB52" i="1"/>
  <c r="AV12" i="7" s="1"/>
  <c r="AI37" i="1"/>
  <c r="G23" i="2"/>
  <c r="G27" i="2" s="1"/>
  <c r="G32" i="2" s="1"/>
  <c r="U44" i="6"/>
  <c r="AW52" i="1"/>
  <c r="AR12" i="7" s="1"/>
  <c r="BH171" i="1"/>
  <c r="AF75" i="1"/>
  <c r="O55" i="6"/>
  <c r="W55" i="6"/>
  <c r="O56" i="6"/>
  <c r="W56" i="6"/>
  <c r="O57" i="6"/>
  <c r="W57" i="6"/>
  <c r="Q74" i="6"/>
  <c r="Y74" i="6"/>
  <c r="AF74" i="1"/>
  <c r="D35" i="2"/>
  <c r="D37" i="2" s="1"/>
  <c r="N27" i="3" s="1"/>
  <c r="AO52" i="1"/>
  <c r="Q105" i="1"/>
  <c r="L111" i="1"/>
  <c r="P17" i="2"/>
  <c r="Q109" i="1"/>
  <c r="BE179" i="1"/>
  <c r="BJ179" i="1" s="1"/>
  <c r="BO179" i="1" s="1"/>
  <c r="BT179" i="1" s="1"/>
  <c r="BD52" i="1"/>
  <c r="AX12" i="7" s="1"/>
  <c r="BK38" i="1"/>
  <c r="BK39" i="1" s="1"/>
  <c r="AW49" i="1"/>
  <c r="AR11" i="7" s="1"/>
  <c r="BG52" i="1"/>
  <c r="AZ12" i="7" s="1"/>
  <c r="BA37" i="1"/>
  <c r="AQ38" i="1"/>
  <c r="AQ39" i="1" s="1"/>
  <c r="E324" i="2"/>
  <c r="C30" i="1"/>
  <c r="AV313" i="1"/>
  <c r="H37" i="2"/>
  <c r="R27" i="3" s="1"/>
  <c r="AX209" i="1"/>
  <c r="BH209" i="1"/>
  <c r="BH395" i="1"/>
  <c r="W326" i="2"/>
  <c r="I334" i="2"/>
  <c r="L73" i="6"/>
  <c r="BD316" i="1"/>
  <c r="BK328" i="1"/>
  <c r="BU328" i="1"/>
  <c r="BU355" i="1"/>
  <c r="BC484" i="1"/>
  <c r="BM484" i="1"/>
  <c r="BM486" i="1" s="1"/>
  <c r="I324" i="2"/>
  <c r="BU52" i="1"/>
  <c r="BS37" i="1"/>
  <c r="BV52" i="1"/>
  <c r="BL12" i="7" s="1"/>
  <c r="BI38" i="1"/>
  <c r="BI39" i="1" s="1"/>
  <c r="AV403" i="1"/>
  <c r="BP403" i="1"/>
  <c r="BP52" i="1"/>
  <c r="BG12" i="7" s="1"/>
  <c r="AY37" i="1"/>
  <c r="BL327" i="1"/>
  <c r="M124" i="2"/>
  <c r="N138" i="3"/>
  <c r="D93" i="2"/>
  <c r="H23" i="2"/>
  <c r="H27" i="2" s="1"/>
  <c r="H32" i="2" s="1"/>
  <c r="K116" i="2"/>
  <c r="BU49" i="1"/>
  <c r="BZ50" i="1" s="1"/>
  <c r="J113" i="2"/>
  <c r="BV49" i="1"/>
  <c r="AO37" i="1"/>
  <c r="AG38" i="1"/>
  <c r="AL39" i="1" s="1"/>
  <c r="AY38" i="1"/>
  <c r="AY39" i="1" s="1"/>
  <c r="Q73" i="1"/>
  <c r="BQ155" i="1"/>
  <c r="BV155" i="1"/>
  <c r="BO207" i="1"/>
  <c r="BP209" i="1" s="1"/>
  <c r="R34" i="2"/>
  <c r="F93" i="2"/>
  <c r="D113" i="2"/>
  <c r="L113" i="2"/>
  <c r="C116" i="2"/>
  <c r="AU476" i="1"/>
  <c r="K267" i="2" s="1"/>
  <c r="AJ127" i="1"/>
  <c r="BE154" i="1"/>
  <c r="BG484" i="1"/>
  <c r="AZ499" i="1"/>
  <c r="M113" i="2"/>
  <c r="BL156" i="1"/>
  <c r="C56" i="2"/>
  <c r="L73" i="1"/>
  <c r="AF37" i="1"/>
  <c r="R19" i="3" s="1"/>
  <c r="BU38" i="1"/>
  <c r="BZ39" i="1" s="1"/>
  <c r="S127" i="1"/>
  <c r="M375" i="1"/>
  <c r="U375" i="1"/>
  <c r="BU395" i="1"/>
  <c r="AY156" i="1"/>
  <c r="AF38" i="1"/>
  <c r="AF39" i="1" s="1"/>
  <c r="BI206" i="1"/>
  <c r="J124" i="2"/>
  <c r="BN145" i="1"/>
  <c r="BP145" i="1"/>
  <c r="AQ144" i="1"/>
  <c r="AQ155" i="1"/>
  <c r="AS144" i="1"/>
  <c r="BC144" i="1"/>
  <c r="BU144" i="1"/>
  <c r="AW156" i="1"/>
  <c r="BG156" i="1"/>
  <c r="BS156" i="1"/>
  <c r="BF327" i="1"/>
  <c r="BP327" i="1"/>
  <c r="AW403" i="1"/>
  <c r="BG403" i="1"/>
  <c r="BQ403" i="1"/>
  <c r="BA156" i="1"/>
  <c r="BB145" i="1"/>
  <c r="BA39" i="1"/>
  <c r="BA144" i="1"/>
  <c r="AY191" i="1"/>
  <c r="AY192" i="1" s="1"/>
  <c r="BI191" i="1"/>
  <c r="BS191" i="1"/>
  <c r="BV209" i="1"/>
  <c r="BF382" i="1"/>
  <c r="AY33" i="7" s="1"/>
  <c r="BD204" i="1"/>
  <c r="BG206" i="1"/>
  <c r="BQ206" i="1"/>
  <c r="BI227" i="1"/>
  <c r="AY484" i="1"/>
  <c r="BI484" i="1"/>
  <c r="AP313" i="1"/>
  <c r="M18" i="2"/>
  <c r="J44" i="6"/>
  <c r="BR37" i="1"/>
  <c r="BG37" i="1"/>
  <c r="BQ38" i="1"/>
  <c r="BQ39" i="1" s="1"/>
  <c r="BH52" i="1"/>
  <c r="BA12" i="7" s="1"/>
  <c r="L105" i="1"/>
  <c r="G109" i="1"/>
  <c r="AX155" i="1"/>
  <c r="BU155" i="1"/>
  <c r="BF204" i="1"/>
  <c r="BP204" i="1"/>
  <c r="BH227" i="1"/>
  <c r="BS227" i="1"/>
  <c r="BG327" i="1"/>
  <c r="AQ313" i="1"/>
  <c r="BK368" i="1"/>
  <c r="BG347" i="1"/>
  <c r="BE386" i="1"/>
  <c r="BO386" i="1"/>
  <c r="AA404" i="1"/>
  <c r="K34" i="2"/>
  <c r="K37" i="2" s="1"/>
  <c r="C93" i="2"/>
  <c r="E113" i="2"/>
  <c r="M116" i="2"/>
  <c r="D124" i="2"/>
  <c r="S326" i="2"/>
  <c r="J39" i="1"/>
  <c r="AY52" i="1"/>
  <c r="AT12" i="7" s="1"/>
  <c r="V73" i="1"/>
  <c r="BD145" i="1"/>
  <c r="BQ145" i="1"/>
  <c r="AR144" i="1"/>
  <c r="AX191" i="1"/>
  <c r="AX192" i="1" s="1"/>
  <c r="BL209" i="1"/>
  <c r="BL227" i="1"/>
  <c r="BK347" i="1"/>
  <c r="BJ394" i="1"/>
  <c r="BT394" i="1"/>
  <c r="AQ499" i="1"/>
  <c r="R33" i="2"/>
  <c r="I120" i="2"/>
  <c r="F334" i="2"/>
  <c r="BS209" i="1"/>
  <c r="F124" i="2"/>
  <c r="R44" i="6"/>
  <c r="AX37" i="1"/>
  <c r="R39" i="1"/>
  <c r="AN37" i="1"/>
  <c r="AA73" i="1"/>
  <c r="BR145" i="1"/>
  <c r="BM227" i="1"/>
  <c r="BE326" i="1"/>
  <c r="AZ387" i="1"/>
  <c r="BJ387" i="1"/>
  <c r="AY403" i="1"/>
  <c r="BS403" i="1"/>
  <c r="BX404" i="1" s="1"/>
  <c r="AW37" i="1"/>
  <c r="E30" i="1"/>
  <c r="AM37" i="1"/>
  <c r="Z39" i="1"/>
  <c r="BH38" i="1"/>
  <c r="AW38" i="1"/>
  <c r="BB39" i="1" s="1"/>
  <c r="V74" i="1"/>
  <c r="AX38" i="1"/>
  <c r="AX39" i="1" s="1"/>
  <c r="AF73" i="1"/>
  <c r="AA74" i="1"/>
  <c r="V75" i="1"/>
  <c r="AK105" i="1"/>
  <c r="AT144" i="1"/>
  <c r="BD144" i="1"/>
  <c r="BQ144" i="1"/>
  <c r="AX156" i="1"/>
  <c r="BH191" i="1"/>
  <c r="BC209" i="1"/>
  <c r="BP227" i="1"/>
  <c r="BC327" i="1"/>
  <c r="BL355" i="1"/>
  <c r="S34" i="2"/>
  <c r="C54" i="2"/>
  <c r="C120" i="2"/>
  <c r="K120" i="2"/>
  <c r="U55" i="6"/>
  <c r="M56" i="6"/>
  <c r="BQ37" i="1"/>
  <c r="M39" i="1"/>
  <c r="U39" i="1"/>
  <c r="AA75" i="1"/>
  <c r="AU116" i="1"/>
  <c r="AU136" i="1" s="1"/>
  <c r="BC204" i="1"/>
  <c r="BM204" i="1"/>
  <c r="BD327" i="1"/>
  <c r="BN327" i="1"/>
  <c r="AZ476" i="1"/>
  <c r="L267" i="2" s="1"/>
  <c r="B56" i="2"/>
  <c r="B299" i="2" s="1"/>
  <c r="L80" i="3" s="1"/>
  <c r="N55" i="6"/>
  <c r="V55" i="6"/>
  <c r="N56" i="6"/>
  <c r="V56" i="6"/>
  <c r="X74" i="6"/>
  <c r="AZ154" i="1"/>
  <c r="AY201" i="1"/>
  <c r="BI295" i="1"/>
  <c r="BH331" i="1"/>
  <c r="BC342" i="1"/>
  <c r="BC368" i="1"/>
  <c r="BK403" i="1"/>
  <c r="BU403" i="1"/>
  <c r="BU433" i="1"/>
  <c r="BD482" i="1"/>
  <c r="K27" i="2"/>
  <c r="K32" i="2" s="1"/>
  <c r="G113" i="2"/>
  <c r="O113" i="2"/>
  <c r="G120" i="2"/>
  <c r="J334" i="2"/>
  <c r="L132" i="6"/>
  <c r="T132" i="6"/>
  <c r="G105" i="1"/>
  <c r="AP109" i="1"/>
  <c r="AK109" i="1"/>
  <c r="AY331" i="1"/>
  <c r="BI331" i="1"/>
  <c r="N375" i="1"/>
  <c r="V375" i="1"/>
  <c r="BF52" i="1"/>
  <c r="AY12" i="7" s="1"/>
  <c r="M80" i="2"/>
  <c r="BK482" i="1"/>
  <c r="F113" i="2"/>
  <c r="N113" i="2"/>
  <c r="K164" i="2"/>
  <c r="K169" i="2" s="1"/>
  <c r="J324" i="2"/>
  <c r="D334" i="2"/>
  <c r="BK144" i="1"/>
  <c r="BA204" i="1"/>
  <c r="E116" i="2"/>
  <c r="AR39" i="1"/>
  <c r="AY144" i="1"/>
  <c r="BR171" i="1"/>
  <c r="BN312" i="1"/>
  <c r="BN313" i="1" s="1"/>
  <c r="BF316" i="1"/>
  <c r="AP463" i="1"/>
  <c r="K18" i="2"/>
  <c r="G37" i="2"/>
  <c r="Q27" i="3" s="1"/>
  <c r="K113" i="2"/>
  <c r="J120" i="2"/>
  <c r="E124" i="2"/>
  <c r="I169" i="2"/>
  <c r="I58" i="2" s="1"/>
  <c r="I292" i="2" s="1"/>
  <c r="S73" i="3" s="1"/>
  <c r="W132" i="6"/>
  <c r="AH39" i="1"/>
  <c r="BB160" i="1"/>
  <c r="BC312" i="1"/>
  <c r="J27" i="2"/>
  <c r="J32" i="2" s="1"/>
  <c r="I43" i="2"/>
  <c r="D116" i="2"/>
  <c r="L116" i="2"/>
  <c r="I124" i="2"/>
  <c r="C169" i="2"/>
  <c r="C258" i="2" s="1"/>
  <c r="F324" i="2"/>
  <c r="H334" i="2"/>
  <c r="J132" i="6"/>
  <c r="AF105" i="1"/>
  <c r="BC355" i="1"/>
  <c r="I27" i="2"/>
  <c r="I32" i="2" s="1"/>
  <c r="P54" i="6"/>
  <c r="X54" i="6"/>
  <c r="P55" i="6"/>
  <c r="X55" i="6"/>
  <c r="P56" i="6"/>
  <c r="X56" i="6"/>
  <c r="P57" i="6"/>
  <c r="X57" i="6"/>
  <c r="BT200" i="1"/>
  <c r="AR313" i="1"/>
  <c r="BQ328" i="1"/>
  <c r="BD355" i="1"/>
  <c r="L375" i="1"/>
  <c r="BT387" i="1"/>
  <c r="G18" i="2"/>
  <c r="P37" i="2"/>
  <c r="Z27" i="3" s="1"/>
  <c r="O124" i="2"/>
  <c r="Q55" i="6"/>
  <c r="Q57" i="6"/>
  <c r="AP53" i="7"/>
  <c r="AS37" i="1"/>
  <c r="BL115" i="1"/>
  <c r="BL118" i="1" s="1"/>
  <c r="BL230" i="1" s="1"/>
  <c r="R127" i="1"/>
  <c r="Z127" i="1"/>
  <c r="BF171" i="1"/>
  <c r="BP171" i="1"/>
  <c r="BA191" i="1"/>
  <c r="BA192" i="1" s="1"/>
  <c r="AV204" i="1"/>
  <c r="BE207" i="1"/>
  <c r="BF209" i="1" s="1"/>
  <c r="AO313" i="1"/>
  <c r="BG332" i="1"/>
  <c r="BD331" i="1"/>
  <c r="BS368" i="1"/>
  <c r="BC347" i="1"/>
  <c r="BK355" i="1"/>
  <c r="AZ361" i="1"/>
  <c r="AZ363" i="1" s="1"/>
  <c r="BL403" i="1"/>
  <c r="O169" i="2"/>
  <c r="Y130" i="3" s="1"/>
  <c r="M57" i="6"/>
  <c r="T74" i="6"/>
  <c r="BC37" i="1"/>
  <c r="BM37" i="1"/>
  <c r="AW145" i="1"/>
  <c r="BE508" i="1"/>
  <c r="W22" i="3" s="1"/>
  <c r="W282" i="3" s="1"/>
  <c r="BR2" i="1"/>
  <c r="AK73" i="1"/>
  <c r="AP105" i="1"/>
  <c r="BB144" i="1"/>
  <c r="BL155" i="1"/>
  <c r="AZ193" i="1"/>
  <c r="CN62" i="7" s="1"/>
  <c r="AZ200" i="1"/>
  <c r="CN49" i="7" s="1"/>
  <c r="BN204" i="1"/>
  <c r="BH332" i="1"/>
  <c r="BR327" i="1"/>
  <c r="BO340" i="1"/>
  <c r="BU342" i="1"/>
  <c r="BC403" i="1"/>
  <c r="BM403" i="1"/>
  <c r="BA395" i="1"/>
  <c r="Q520" i="1"/>
  <c r="N326" i="2"/>
  <c r="N57" i="6"/>
  <c r="V57" i="6"/>
  <c r="N132" i="6"/>
  <c r="V132" i="6"/>
  <c r="AT37" i="1"/>
  <c r="BD37" i="1"/>
  <c r="BN37" i="1"/>
  <c r="BB115" i="1"/>
  <c r="BB118" i="1" s="1"/>
  <c r="BB230" i="1" s="1"/>
  <c r="BV115" i="1"/>
  <c r="BK142" i="1"/>
  <c r="BU191" i="1"/>
  <c r="BZ192" i="1" s="1"/>
  <c r="BC201" i="1"/>
  <c r="BH206" i="1"/>
  <c r="BR206" i="1"/>
  <c r="BP208" i="1"/>
  <c r="BK327" i="1"/>
  <c r="BB328" i="1"/>
  <c r="BN395" i="1"/>
  <c r="AK404" i="1"/>
  <c r="Q56" i="6"/>
  <c r="P74" i="6"/>
  <c r="P132" i="6"/>
  <c r="AY116" i="1"/>
  <c r="BA328" i="1"/>
  <c r="BC38" i="1"/>
  <c r="BM38" i="1"/>
  <c r="BR39" i="1" s="1"/>
  <c r="AK75" i="1"/>
  <c r="Q103" i="1"/>
  <c r="O127" i="1"/>
  <c r="W127" i="1"/>
  <c r="AG127" i="1"/>
  <c r="BL142" i="1"/>
  <c r="BS206" i="1"/>
  <c r="BQ208" i="1"/>
  <c r="AL313" i="1"/>
  <c r="AT313" i="1"/>
  <c r="BC328" i="1"/>
  <c r="BS347" i="1"/>
  <c r="BQ355" i="1"/>
  <c r="BD227" i="1"/>
  <c r="BD382" i="1" s="1"/>
  <c r="AX34" i="7" s="1"/>
  <c r="BN382" i="1"/>
  <c r="C326" i="2"/>
  <c r="R326" i="2"/>
  <c r="AK74" i="1"/>
  <c r="G103" i="1"/>
  <c r="BS118" i="1"/>
  <c r="BS230" i="1" s="1"/>
  <c r="BA227" i="1"/>
  <c r="BA382" i="1" s="1"/>
  <c r="AC39" i="1"/>
  <c r="BN38" i="1"/>
  <c r="BS39" i="1" s="1"/>
  <c r="V103" i="1"/>
  <c r="V111" i="1"/>
  <c r="P127" i="1"/>
  <c r="X127" i="1"/>
  <c r="AH127" i="1"/>
  <c r="BF155" i="1"/>
  <c r="BR155" i="1"/>
  <c r="BK204" i="1"/>
  <c r="BU204" i="1"/>
  <c r="BK206" i="1"/>
  <c r="BU206" i="1"/>
  <c r="BG342" i="1"/>
  <c r="BQ342" i="1"/>
  <c r="BG368" i="1"/>
  <c r="BU347" i="1"/>
  <c r="BN392" i="1"/>
  <c r="BL395" i="1"/>
  <c r="S55" i="6"/>
  <c r="I73" i="6"/>
  <c r="R132" i="6"/>
  <c r="BS327" i="1"/>
  <c r="AA103" i="1"/>
  <c r="BI118" i="1"/>
  <c r="BI230" i="1" s="1"/>
  <c r="Y127" i="1"/>
  <c r="AI127" i="1"/>
  <c r="AW155" i="1"/>
  <c r="BG155" i="1"/>
  <c r="BS155" i="1"/>
  <c r="BB204" i="1"/>
  <c r="BL204" i="1"/>
  <c r="BV204" i="1"/>
  <c r="AN313" i="1"/>
  <c r="AY312" i="1"/>
  <c r="AY313" i="1" s="1"/>
  <c r="AS448" i="1"/>
  <c r="K375" i="1"/>
  <c r="BR368" i="1"/>
  <c r="BV347" i="1"/>
  <c r="BI355" i="1"/>
  <c r="BS355" i="1"/>
  <c r="G375" i="1"/>
  <c r="BA392" i="1"/>
  <c r="AF404" i="1"/>
  <c r="BB484" i="1"/>
  <c r="BL482" i="1"/>
  <c r="S74" i="6"/>
  <c r="AK111" i="1"/>
  <c r="F118" i="1"/>
  <c r="F227" i="1" s="1"/>
  <c r="F291" i="1" s="1"/>
  <c r="F384" i="1" s="1"/>
  <c r="BM118" i="1"/>
  <c r="BM230" i="1" s="1"/>
  <c r="BA145" i="1"/>
  <c r="BM145" i="1"/>
  <c r="BC160" i="1"/>
  <c r="BN160" i="1"/>
  <c r="BG209" i="1"/>
  <c r="AY327" i="1"/>
  <c r="AX327" i="1"/>
  <c r="R25" i="2"/>
  <c r="I93" i="2"/>
  <c r="BP160" i="1"/>
  <c r="BE329" i="1"/>
  <c r="BA331" i="1"/>
  <c r="L39" i="1"/>
  <c r="T39" i="1"/>
  <c r="AB39" i="1"/>
  <c r="AJ39" i="1"/>
  <c r="AS39" i="1"/>
  <c r="BL39" i="1"/>
  <c r="G75" i="1"/>
  <c r="V78" i="1"/>
  <c r="AF103" i="1"/>
  <c r="AP111" i="1"/>
  <c r="AV115" i="1"/>
  <c r="AV118" i="1" s="1"/>
  <c r="BD115" i="1"/>
  <c r="BD118" i="1" s="1"/>
  <c r="BD230" i="1" s="1"/>
  <c r="BQ115" i="1"/>
  <c r="BQ118" i="1" s="1"/>
  <c r="BQ230" i="1" s="1"/>
  <c r="BC145" i="1"/>
  <c r="AZ143" i="1"/>
  <c r="BF144" i="1"/>
  <c r="BR144" i="1"/>
  <c r="BP144" i="1"/>
  <c r="BB156" i="1"/>
  <c r="BN156" i="1"/>
  <c r="AX153" i="1"/>
  <c r="AY155" i="1"/>
  <c r="AZ170" i="1"/>
  <c r="AZ171" i="1" s="1"/>
  <c r="BG201" i="1"/>
  <c r="AY209" i="1"/>
  <c r="BI209" i="1"/>
  <c r="BR209" i="1"/>
  <c r="BN227" i="1"/>
  <c r="BD295" i="1"/>
  <c r="AU9" i="7"/>
  <c r="AU22" i="7" s="1"/>
  <c r="L134" i="2"/>
  <c r="E176" i="2"/>
  <c r="D7" i="2"/>
  <c r="D10" i="2" s="1"/>
  <c r="B75" i="1"/>
  <c r="AP75" i="1"/>
  <c r="BB142" i="1"/>
  <c r="BK316" i="1"/>
  <c r="BB327" i="1"/>
  <c r="I113" i="2"/>
  <c r="I116" i="2"/>
  <c r="B74" i="1"/>
  <c r="AP74" i="1"/>
  <c r="L75" i="1"/>
  <c r="AA109" i="1"/>
  <c r="G111" i="1"/>
  <c r="AW118" i="1"/>
  <c r="AB127" i="1"/>
  <c r="AW144" i="1"/>
  <c r="BG144" i="1"/>
  <c r="BS144" i="1"/>
  <c r="BC156" i="1"/>
  <c r="BP156" i="1"/>
  <c r="BC153" i="1"/>
  <c r="AW160" i="1"/>
  <c r="BF160" i="1"/>
  <c r="BR160" i="1"/>
  <c r="BM191" i="1"/>
  <c r="BK201" i="1"/>
  <c r="AW204" i="1"/>
  <c r="BG204" i="1"/>
  <c r="BQ204" i="1"/>
  <c r="BB206" i="1"/>
  <c r="BL206" i="1"/>
  <c r="BV206" i="1"/>
  <c r="BM295" i="1"/>
  <c r="BH295" i="1"/>
  <c r="BM328" i="1"/>
  <c r="BK342" i="1"/>
  <c r="O120" i="2"/>
  <c r="AU49" i="1"/>
  <c r="AU50" i="1" s="1"/>
  <c r="BN115" i="1"/>
  <c r="BN116" i="1" s="1"/>
  <c r="BK191" i="1"/>
  <c r="BP2" i="1"/>
  <c r="N39" i="1"/>
  <c r="V39" i="1"/>
  <c r="AD39" i="1"/>
  <c r="AM39" i="1"/>
  <c r="G74" i="1"/>
  <c r="AU97" i="1"/>
  <c r="AU110" i="1" s="1"/>
  <c r="V105" i="1"/>
  <c r="AP103" i="1"/>
  <c r="L109" i="1"/>
  <c r="AX115" i="1"/>
  <c r="AX116" i="1" s="1"/>
  <c r="BG115" i="1"/>
  <c r="BG116" i="1" s="1"/>
  <c r="AZ117" i="1"/>
  <c r="BE119" i="1" s="1"/>
  <c r="T127" i="1"/>
  <c r="AC127" i="1"/>
  <c r="AZ141" i="1"/>
  <c r="AZ145" i="1" s="1"/>
  <c r="AX144" i="1"/>
  <c r="BD153" i="1"/>
  <c r="BQ153" i="1"/>
  <c r="BK153" i="1"/>
  <c r="AR155" i="1"/>
  <c r="BB155" i="1"/>
  <c r="AV155" i="1"/>
  <c r="AX160" i="1"/>
  <c r="BG160" i="1"/>
  <c r="BS160" i="1"/>
  <c r="BB171" i="1"/>
  <c r="BL171" i="1"/>
  <c r="BV171" i="1"/>
  <c r="BC191" i="1"/>
  <c r="BN191" i="1"/>
  <c r="BS201" i="1"/>
  <c r="AX204" i="1"/>
  <c r="BH204" i="1"/>
  <c r="BR204" i="1"/>
  <c r="BC206" i="1"/>
  <c r="BM206" i="1"/>
  <c r="BL208" i="1"/>
  <c r="BU208" i="1"/>
  <c r="AW209" i="1"/>
  <c r="BL295" i="1"/>
  <c r="AK313" i="1"/>
  <c r="AS313" i="1"/>
  <c r="BB312" i="1"/>
  <c r="BM160" i="1"/>
  <c r="BC118" i="1"/>
  <c r="BC230" i="1" s="1"/>
  <c r="BK155" i="1"/>
  <c r="O39" i="1"/>
  <c r="W39" i="1"/>
  <c r="AE39" i="1"/>
  <c r="AN39" i="1"/>
  <c r="BF39" i="1"/>
  <c r="B73" i="1"/>
  <c r="AP73" i="1"/>
  <c r="L74" i="1"/>
  <c r="AA105" i="1"/>
  <c r="M127" i="1"/>
  <c r="U127" i="1"/>
  <c r="AD127" i="1"/>
  <c r="BG142" i="1"/>
  <c r="BS142" i="1"/>
  <c r="BL144" i="1"/>
  <c r="BV144" i="1"/>
  <c r="BF153" i="1"/>
  <c r="BR153" i="1"/>
  <c r="BP153" i="1"/>
  <c r="AS155" i="1"/>
  <c r="BC155" i="1"/>
  <c r="BP155" i="1"/>
  <c r="BA155" i="1"/>
  <c r="BK160" i="1"/>
  <c r="BU160" i="1"/>
  <c r="AW171" i="1"/>
  <c r="BD191" i="1"/>
  <c r="BP191" i="1"/>
  <c r="AY204" i="1"/>
  <c r="BI204" i="1"/>
  <c r="BS204" i="1"/>
  <c r="BD206" i="1"/>
  <c r="BN206" i="1"/>
  <c r="BM208" i="1"/>
  <c r="BV208" i="1"/>
  <c r="BB209" i="1"/>
  <c r="AU210" i="1"/>
  <c r="CM50" i="7" s="1"/>
  <c r="BP295" i="1"/>
  <c r="BC316" i="1"/>
  <c r="BP328" i="1"/>
  <c r="AV331" i="1"/>
  <c r="L37" i="2"/>
  <c r="V27" i="3" s="1"/>
  <c r="BM156" i="1"/>
  <c r="P39" i="1"/>
  <c r="X39" i="1"/>
  <c r="G73" i="1"/>
  <c r="AA111" i="1"/>
  <c r="AZ115" i="1"/>
  <c r="N127" i="1"/>
  <c r="V127" i="1"/>
  <c r="AE127" i="1"/>
  <c r="AT155" i="1"/>
  <c r="BD155" i="1"/>
  <c r="BA160" i="1"/>
  <c r="BD171" i="1"/>
  <c r="BN171" i="1"/>
  <c r="BF191" i="1"/>
  <c r="BJ200" i="1"/>
  <c r="CP49" i="7" s="1"/>
  <c r="BF206" i="1"/>
  <c r="BP206" i="1"/>
  <c r="AU208" i="1"/>
  <c r="BD209" i="1"/>
  <c r="BN208" i="1"/>
  <c r="BQ209" i="1"/>
  <c r="BQ295" i="1"/>
  <c r="V304" i="1"/>
  <c r="V305" i="1" s="1"/>
  <c r="BD312" i="1"/>
  <c r="AM313" i="1"/>
  <c r="AU312" i="1"/>
  <c r="AU313" i="1" s="1"/>
  <c r="AW331" i="1"/>
  <c r="P23" i="2"/>
  <c r="P27" i="2" s="1"/>
  <c r="P32" i="2" s="1"/>
  <c r="P326" i="2"/>
  <c r="O326" i="2"/>
  <c r="BB347" i="1"/>
  <c r="AW392" i="1"/>
  <c r="BA484" i="1"/>
  <c r="BK484" i="1"/>
  <c r="BK486" i="1" s="1"/>
  <c r="BJ499" i="1"/>
  <c r="BJ508" i="1"/>
  <c r="X22" i="3" s="1"/>
  <c r="X282" i="3" s="1"/>
  <c r="D27" i="2"/>
  <c r="D32" i="2" s="1"/>
  <c r="L27" i="2"/>
  <c r="L32" i="2" s="1"/>
  <c r="D43" i="2"/>
  <c r="D67" i="2" s="1"/>
  <c r="L43" i="2"/>
  <c r="L27" i="3"/>
  <c r="H113" i="2"/>
  <c r="P113" i="2"/>
  <c r="J116" i="2"/>
  <c r="H120" i="2"/>
  <c r="H135" i="2"/>
  <c r="R7" i="3" s="1"/>
  <c r="R25" i="3" s="1"/>
  <c r="C324" i="2"/>
  <c r="J73" i="6"/>
  <c r="BM347" i="1"/>
  <c r="BP355" i="1"/>
  <c r="R375" i="1"/>
  <c r="BQ395" i="1"/>
  <c r="Q404" i="1"/>
  <c r="AZ451" i="1"/>
  <c r="BC482" i="1"/>
  <c r="BM482" i="1"/>
  <c r="V521" i="1"/>
  <c r="E18" i="2"/>
  <c r="E27" i="2"/>
  <c r="E32" i="2" s="1"/>
  <c r="M27" i="2"/>
  <c r="M32" i="2" s="1"/>
  <c r="M39" i="2" s="1"/>
  <c r="F27" i="2"/>
  <c r="F32" i="2" s="1"/>
  <c r="N27" i="2"/>
  <c r="N32" i="2" s="1"/>
  <c r="N39" i="2" s="1"/>
  <c r="E43" i="2"/>
  <c r="M43" i="2"/>
  <c r="D14" i="5" s="1"/>
  <c r="I37" i="2"/>
  <c r="S27" i="3" s="1"/>
  <c r="E169" i="2"/>
  <c r="E58" i="2" s="1"/>
  <c r="E292" i="2" s="1"/>
  <c r="O73" i="3" s="1"/>
  <c r="E334" i="2"/>
  <c r="Q54" i="6"/>
  <c r="BD347" i="1"/>
  <c r="BN347" i="1"/>
  <c r="BG355" i="1"/>
  <c r="BA452" i="1"/>
  <c r="BN482" i="1"/>
  <c r="AQ484" i="1"/>
  <c r="F18" i="2"/>
  <c r="N18" i="2"/>
  <c r="O27" i="2"/>
  <c r="O32" i="2" s="1"/>
  <c r="O39" i="2" s="1"/>
  <c r="J37" i="2"/>
  <c r="T27" i="3" s="1"/>
  <c r="F169" i="2"/>
  <c r="F258" i="2" s="1"/>
  <c r="N169" i="2"/>
  <c r="X130" i="3" s="1"/>
  <c r="P215" i="2"/>
  <c r="D324" i="2"/>
  <c r="R55" i="6"/>
  <c r="R56" i="6"/>
  <c r="R57" i="6"/>
  <c r="M74" i="6"/>
  <c r="U74" i="6"/>
  <c r="BJ345" i="1"/>
  <c r="BH355" i="1"/>
  <c r="T375" i="1"/>
  <c r="AL375" i="1"/>
  <c r="BF392" i="1"/>
  <c r="BI392" i="1"/>
  <c r="BD395" i="1"/>
  <c r="BI403" i="1"/>
  <c r="AY395" i="1"/>
  <c r="BF482" i="1"/>
  <c r="O18" i="2"/>
  <c r="G43" i="2"/>
  <c r="O43" i="2"/>
  <c r="F14" i="5" s="1"/>
  <c r="C124" i="2"/>
  <c r="K124" i="2"/>
  <c r="G169" i="2"/>
  <c r="G58" i="2" s="1"/>
  <c r="G292" i="2" s="1"/>
  <c r="S56" i="6"/>
  <c r="S57" i="6"/>
  <c r="N74" i="6"/>
  <c r="V74" i="6"/>
  <c r="BE366" i="1"/>
  <c r="BQ347" i="1"/>
  <c r="BE387" i="1"/>
  <c r="BO387" i="1"/>
  <c r="BM392" i="1"/>
  <c r="BO394" i="1"/>
  <c r="BC395" i="1"/>
  <c r="L404" i="1"/>
  <c r="BG482" i="1"/>
  <c r="BO508" i="1"/>
  <c r="O73" i="2" s="1"/>
  <c r="H43" i="2"/>
  <c r="P43" i="2"/>
  <c r="M27" i="3"/>
  <c r="O116" i="2"/>
  <c r="E120" i="2"/>
  <c r="M120" i="2"/>
  <c r="L124" i="2"/>
  <c r="F326" i="2"/>
  <c r="J127" i="3"/>
  <c r="J132" i="3" s="1"/>
  <c r="T54" i="6"/>
  <c r="O74" i="6"/>
  <c r="W74" i="6"/>
  <c r="N173" i="6"/>
  <c r="O173" i="6" s="1"/>
  <c r="P173" i="6" s="1"/>
  <c r="Q173" i="6" s="1"/>
  <c r="R173" i="6" s="1"/>
  <c r="BB368" i="1"/>
  <c r="BR347" i="1"/>
  <c r="BE353" i="1"/>
  <c r="BQ392" i="1"/>
  <c r="BB395" i="1"/>
  <c r="BG395" i="1"/>
  <c r="I18" i="2"/>
  <c r="G324" i="2"/>
  <c r="K127" i="3"/>
  <c r="K132" i="3" s="1"/>
  <c r="K136" i="3" s="1"/>
  <c r="M54" i="6"/>
  <c r="U54" i="6"/>
  <c r="M55" i="6"/>
  <c r="U56" i="6"/>
  <c r="U57" i="6"/>
  <c r="AZ340" i="1"/>
  <c r="AZ342" i="1" s="1"/>
  <c r="BS342" i="1"/>
  <c r="BH368" i="1"/>
  <c r="BI347" i="1"/>
  <c r="AZ386" i="1"/>
  <c r="BT386" i="1"/>
  <c r="AU387" i="1"/>
  <c r="BD403" i="1"/>
  <c r="BU392" i="1"/>
  <c r="BM395" i="1"/>
  <c r="BK395" i="1"/>
  <c r="AY482" i="1"/>
  <c r="BI482" i="1"/>
  <c r="F37" i="2"/>
  <c r="P27" i="3" s="1"/>
  <c r="H116" i="2"/>
  <c r="P116" i="2"/>
  <c r="F120" i="2"/>
  <c r="N120" i="2"/>
  <c r="N124" i="2"/>
  <c r="J169" i="2"/>
  <c r="J58" i="2" s="1"/>
  <c r="J292" i="2" s="1"/>
  <c r="T73" i="3" s="1"/>
  <c r="H324" i="2"/>
  <c r="C334" i="2"/>
  <c r="D61" i="4"/>
  <c r="F3" i="4"/>
  <c r="E10" i="4"/>
  <c r="F6" i="4"/>
  <c r="D10" i="4"/>
  <c r="BJ102" i="1"/>
  <c r="BJ105" i="1" s="1"/>
  <c r="BJ242" i="1" s="1"/>
  <c r="BJ243" i="1" s="1"/>
  <c r="G381" i="1"/>
  <c r="G318" i="1"/>
  <c r="G165" i="1"/>
  <c r="L2" i="1"/>
  <c r="L529" i="1" s="1"/>
  <c r="G68" i="1"/>
  <c r="G61" i="1"/>
  <c r="G114" i="1"/>
  <c r="G95" i="1"/>
  <c r="BO108" i="1"/>
  <c r="C61" i="4"/>
  <c r="BT102" i="1"/>
  <c r="BT105" i="1" s="1"/>
  <c r="BJ108" i="1"/>
  <c r="C53" i="4"/>
  <c r="G80" i="1"/>
  <c r="L80" i="1" s="1"/>
  <c r="Q80" i="1" s="1"/>
  <c r="V80" i="1" s="1"/>
  <c r="AA80" i="1" s="1"/>
  <c r="AF80" i="1" s="1"/>
  <c r="AK80" i="1" s="1"/>
  <c r="AP80" i="1" s="1"/>
  <c r="AU80" i="1" s="1"/>
  <c r="AZ80" i="1" s="1"/>
  <c r="BE80" i="1" s="1"/>
  <c r="BJ80" i="1" s="1"/>
  <c r="BO80" i="1" s="1"/>
  <c r="BT80" i="1" s="1"/>
  <c r="B87" i="1"/>
  <c r="AZ102" i="1"/>
  <c r="AU104" i="1"/>
  <c r="CM48" i="7" s="1"/>
  <c r="BE108" i="1"/>
  <c r="B107" i="1"/>
  <c r="G107" i="1" s="1"/>
  <c r="L107" i="1" s="1"/>
  <c r="Q107" i="1" s="1"/>
  <c r="V107" i="1" s="1"/>
  <c r="AA107" i="1" s="1"/>
  <c r="AF107" i="1" s="1"/>
  <c r="AK107" i="1" s="1"/>
  <c r="AP107" i="1" s="1"/>
  <c r="AU107" i="1" s="1"/>
  <c r="AZ107" i="1" s="1"/>
  <c r="BE107" i="1" s="1"/>
  <c r="BJ107" i="1" s="1"/>
  <c r="BO107" i="1" s="1"/>
  <c r="BT107" i="1" s="1"/>
  <c r="G101" i="1"/>
  <c r="L101" i="1" s="1"/>
  <c r="Q101" i="1" s="1"/>
  <c r="V101" i="1" s="1"/>
  <c r="AA101" i="1" s="1"/>
  <c r="AF101" i="1" s="1"/>
  <c r="AK101" i="1" s="1"/>
  <c r="AP101" i="1" s="1"/>
  <c r="AU101" i="1" s="1"/>
  <c r="AZ101" i="1" s="1"/>
  <c r="BE101" i="1" s="1"/>
  <c r="BJ101" i="1" s="1"/>
  <c r="BO101" i="1" s="1"/>
  <c r="BT101" i="1" s="1"/>
  <c r="BQ2" i="1"/>
  <c r="BQ529" i="1" s="1"/>
  <c r="O246" i="3"/>
  <c r="O23" i="3"/>
  <c r="Q39" i="1"/>
  <c r="Y39" i="1"/>
  <c r="AO39" i="1"/>
  <c r="H50" i="1"/>
  <c r="P50" i="1"/>
  <c r="X50" i="1"/>
  <c r="AF50" i="1"/>
  <c r="AN50" i="1"/>
  <c r="AV50" i="1"/>
  <c r="BD50" i="1"/>
  <c r="BN61" i="1"/>
  <c r="BM68" i="1"/>
  <c r="CQ46" i="7"/>
  <c r="Y51" i="3"/>
  <c r="Y242" i="3" s="1"/>
  <c r="O315" i="2"/>
  <c r="BP115" i="1"/>
  <c r="BT135" i="1"/>
  <c r="BP197" i="1"/>
  <c r="BG45" i="7" s="1"/>
  <c r="AP78" i="1"/>
  <c r="V109" i="1"/>
  <c r="BF145" i="1"/>
  <c r="L23" i="3"/>
  <c r="L246" i="3"/>
  <c r="T23" i="3"/>
  <c r="T246" i="3"/>
  <c r="I50" i="1"/>
  <c r="Q50" i="1"/>
  <c r="Y50" i="1"/>
  <c r="AG50" i="1"/>
  <c r="AO50" i="1"/>
  <c r="BN68" i="1"/>
  <c r="U55" i="3"/>
  <c r="U241" i="3" s="1"/>
  <c r="K321" i="2"/>
  <c r="CR46" i="7"/>
  <c r="Z51" i="3"/>
  <c r="Z242" i="3" s="1"/>
  <c r="P315" i="2"/>
  <c r="Q324" i="2" s="1"/>
  <c r="BU197" i="1"/>
  <c r="BU115" i="1"/>
  <c r="G78" i="1"/>
  <c r="AK103" i="1"/>
  <c r="Q111" i="1"/>
  <c r="BE134" i="1"/>
  <c r="BK381" i="1"/>
  <c r="BK318" i="1"/>
  <c r="BS2" i="1"/>
  <c r="Q246" i="3"/>
  <c r="Q23" i="3"/>
  <c r="K39" i="1"/>
  <c r="S39" i="1"/>
  <c r="AA39" i="1"/>
  <c r="AI39" i="1"/>
  <c r="BG39" i="1"/>
  <c r="J50" i="1"/>
  <c r="R50" i="1"/>
  <c r="Z50" i="1"/>
  <c r="AH50" i="1"/>
  <c r="AP50" i="1"/>
  <c r="AX50" i="1"/>
  <c r="BF50" i="1"/>
  <c r="V55" i="3"/>
  <c r="V241" i="3" s="1"/>
  <c r="L321" i="2"/>
  <c r="AA51" i="3"/>
  <c r="AA242" i="3" s="1"/>
  <c r="L78" i="1"/>
  <c r="AF109" i="1"/>
  <c r="BL381" i="1"/>
  <c r="BL318" i="1"/>
  <c r="BL114" i="1"/>
  <c r="N246" i="3"/>
  <c r="N23" i="3"/>
  <c r="K50" i="1"/>
  <c r="S50" i="1"/>
  <c r="AA50" i="1"/>
  <c r="AI50" i="1"/>
  <c r="AQ50" i="1"/>
  <c r="AY50" i="1"/>
  <c r="BG50" i="1"/>
  <c r="W55" i="3"/>
  <c r="W241" i="3" s="1"/>
  <c r="M321" i="2"/>
  <c r="Q78" i="1"/>
  <c r="V85" i="1"/>
  <c r="V92" i="1" s="1"/>
  <c r="M382" i="1"/>
  <c r="M291" i="1"/>
  <c r="M384" i="1" s="1"/>
  <c r="U382" i="1"/>
  <c r="U291" i="1"/>
  <c r="U384" i="1" s="1"/>
  <c r="AC382" i="1"/>
  <c r="AC291" i="1"/>
  <c r="AC226" i="1"/>
  <c r="AS382" i="1"/>
  <c r="AS291" i="1"/>
  <c r="AS228" i="1"/>
  <c r="L244" i="3"/>
  <c r="B382" i="1"/>
  <c r="B291" i="1"/>
  <c r="B384" i="1" s="1"/>
  <c r="B323" i="1" s="1"/>
  <c r="BM381" i="1"/>
  <c r="BM318" i="1"/>
  <c r="BM114" i="1"/>
  <c r="L50" i="1"/>
  <c r="T50" i="1"/>
  <c r="AB50" i="1"/>
  <c r="AJ50" i="1"/>
  <c r="AR50" i="1"/>
  <c r="BH50" i="1"/>
  <c r="X55" i="3"/>
  <c r="X241" i="3" s="1"/>
  <c r="N321" i="2"/>
  <c r="N318" i="2" s="1"/>
  <c r="AA85" i="1"/>
  <c r="AA92" i="1" s="1"/>
  <c r="L103" i="1"/>
  <c r="AF111" i="1"/>
  <c r="N382" i="1"/>
  <c r="N291" i="1"/>
  <c r="N384" i="1" s="1"/>
  <c r="P244" i="3"/>
  <c r="V382" i="1"/>
  <c r="V228" i="1"/>
  <c r="V291" i="1"/>
  <c r="AD382" i="1"/>
  <c r="AD291" i="1"/>
  <c r="AD228" i="1"/>
  <c r="AD226" i="1"/>
  <c r="AL382" i="1"/>
  <c r="AL228" i="1"/>
  <c r="AL291" i="1"/>
  <c r="AP227" i="1"/>
  <c r="AT382" i="1"/>
  <c r="AT291" i="1"/>
  <c r="AT228" i="1"/>
  <c r="AU224" i="1"/>
  <c r="AU125" i="1"/>
  <c r="BN381" i="1"/>
  <c r="BN318" i="1"/>
  <c r="BN114" i="1"/>
  <c r="P23" i="3"/>
  <c r="P246" i="3"/>
  <c r="AT39" i="1"/>
  <c r="D8" i="6" s="1"/>
  <c r="M50" i="1"/>
  <c r="U50" i="1"/>
  <c r="AC50" i="1"/>
  <c r="AK50" i="1"/>
  <c r="AS50" i="1"/>
  <c r="BA50" i="1"/>
  <c r="BI50" i="1"/>
  <c r="BK61" i="1"/>
  <c r="O321" i="2"/>
  <c r="Y55" i="3"/>
  <c r="Y241" i="3" s="1"/>
  <c r="AA78" i="1"/>
  <c r="AF85" i="1"/>
  <c r="AF92" i="1" s="1"/>
  <c r="M244" i="3"/>
  <c r="G382" i="1"/>
  <c r="G291" i="1"/>
  <c r="O382" i="1"/>
  <c r="O291" i="1"/>
  <c r="O384" i="1" s="1"/>
  <c r="W382" i="1"/>
  <c r="W291" i="1"/>
  <c r="W384" i="1" s="1"/>
  <c r="W226" i="1"/>
  <c r="AE382" i="1"/>
  <c r="AE291" i="1"/>
  <c r="AE226" i="1"/>
  <c r="AM382" i="1"/>
  <c r="AM291" i="1"/>
  <c r="M23" i="3"/>
  <c r="M246" i="3"/>
  <c r="N50" i="1"/>
  <c r="V50" i="1"/>
  <c r="AD50" i="1"/>
  <c r="AL50" i="1"/>
  <c r="AT50" i="1"/>
  <c r="BL61" i="1"/>
  <c r="BK68" i="1"/>
  <c r="CO46" i="7"/>
  <c r="W51" i="3"/>
  <c r="W242" i="3" s="1"/>
  <c r="M315" i="2"/>
  <c r="BF115" i="1"/>
  <c r="BF197" i="1"/>
  <c r="AY45" i="7" s="1"/>
  <c r="BJ135" i="1"/>
  <c r="AF78" i="1"/>
  <c r="AK85" i="1"/>
  <c r="BK114" i="1"/>
  <c r="H118" i="1"/>
  <c r="H227" i="1" s="1"/>
  <c r="H135" i="1"/>
  <c r="H116" i="1"/>
  <c r="P118" i="1"/>
  <c r="P227" i="1" s="1"/>
  <c r="U228" i="1" s="1"/>
  <c r="P116" i="1"/>
  <c r="X118" i="1"/>
  <c r="X227" i="1" s="1"/>
  <c r="X116" i="1"/>
  <c r="AF118" i="1"/>
  <c r="AF135" i="1"/>
  <c r="AF116" i="1"/>
  <c r="AF136" i="1" s="1"/>
  <c r="AN291" i="1"/>
  <c r="AN382" i="1"/>
  <c r="G50" i="1"/>
  <c r="O50" i="1"/>
  <c r="W50" i="1"/>
  <c r="AE50" i="1"/>
  <c r="AM50" i="1"/>
  <c r="BC50" i="1"/>
  <c r="BM61" i="1"/>
  <c r="BL68" i="1"/>
  <c r="CP46" i="7"/>
  <c r="X51" i="3"/>
  <c r="X242" i="3" s="1"/>
  <c r="N315" i="2"/>
  <c r="BO135" i="1"/>
  <c r="BK197" i="1"/>
  <c r="BC45" i="7" s="1"/>
  <c r="BK115" i="1"/>
  <c r="AK78" i="1"/>
  <c r="AP85" i="1"/>
  <c r="I382" i="1"/>
  <c r="I291" i="1"/>
  <c r="I384" i="1" s="1"/>
  <c r="O244" i="3"/>
  <c r="Q382" i="1"/>
  <c r="Q291" i="1"/>
  <c r="Y382" i="1"/>
  <c r="Y291" i="1"/>
  <c r="Y384" i="1" s="1"/>
  <c r="Y226" i="1"/>
  <c r="AG382" i="1"/>
  <c r="AG291" i="1"/>
  <c r="AG226" i="1"/>
  <c r="AO382" i="1"/>
  <c r="AO291" i="1"/>
  <c r="E116" i="1"/>
  <c r="M116" i="1"/>
  <c r="U116" i="1"/>
  <c r="AC116" i="1"/>
  <c r="AK116" i="1"/>
  <c r="AK136" i="1" s="1"/>
  <c r="AK137" i="1" s="1"/>
  <c r="AS116" i="1"/>
  <c r="BI116" i="1"/>
  <c r="J118" i="1"/>
  <c r="J227" i="1" s="1"/>
  <c r="R118" i="1"/>
  <c r="R227" i="1" s="1"/>
  <c r="W228" i="1" s="1"/>
  <c r="Z118" i="1"/>
  <c r="Z227" i="1" s="1"/>
  <c r="AH118" i="1"/>
  <c r="AH227" i="1" s="1"/>
  <c r="AM228" i="1" s="1"/>
  <c r="AP118" i="1"/>
  <c r="AU119" i="1"/>
  <c r="AZ123" i="1"/>
  <c r="AI130" i="1"/>
  <c r="O8" i="6" s="1"/>
  <c r="K135" i="1"/>
  <c r="AU135" i="1"/>
  <c r="BA142" i="1"/>
  <c r="BM142" i="1"/>
  <c r="AX145" i="1"/>
  <c r="BG145" i="1"/>
  <c r="BS145" i="1"/>
  <c r="AZ152" i="1"/>
  <c r="AZ156" i="1" s="1"/>
  <c r="AW153" i="1"/>
  <c r="BG153" i="1"/>
  <c r="BS153" i="1"/>
  <c r="AY160" i="1"/>
  <c r="AU191" i="1"/>
  <c r="AV192" i="1"/>
  <c r="BD197" i="1"/>
  <c r="AX45" i="7" s="1"/>
  <c r="BN197" i="1"/>
  <c r="BF45" i="7" s="1"/>
  <c r="BB201" i="1"/>
  <c r="BR201" i="1"/>
  <c r="BB208" i="1"/>
  <c r="BR208" i="1"/>
  <c r="BC210" i="1"/>
  <c r="AW50" i="7" s="1"/>
  <c r="BQ327" i="1"/>
  <c r="AU329" i="1"/>
  <c r="AU374" i="1" s="1"/>
  <c r="AT332" i="1"/>
  <c r="AY334" i="1" s="1"/>
  <c r="F116" i="1"/>
  <c r="N116" i="1"/>
  <c r="V116" i="1"/>
  <c r="V136" i="1" s="1"/>
  <c r="AD116" i="1"/>
  <c r="AL116" i="1"/>
  <c r="AT116" i="1"/>
  <c r="BR116" i="1"/>
  <c r="C118" i="1"/>
  <c r="K118" i="1"/>
  <c r="K227" i="1" s="1"/>
  <c r="S118" i="1"/>
  <c r="S227" i="1" s="1"/>
  <c r="AA118" i="1"/>
  <c r="AI118" i="1"/>
  <c r="AI227" i="1" s="1"/>
  <c r="AQ118" i="1"/>
  <c r="AQ227" i="1" s="1"/>
  <c r="AY118" i="1"/>
  <c r="AB130" i="1"/>
  <c r="I8" i="6" s="1"/>
  <c r="AJ130" i="1"/>
  <c r="P8" i="6" s="1"/>
  <c r="L135" i="1"/>
  <c r="L137" i="1" s="1"/>
  <c r="BN142" i="1"/>
  <c r="BE143" i="1"/>
  <c r="AY145" i="1"/>
  <c r="BK145" i="1"/>
  <c r="BD156" i="1"/>
  <c r="BQ156" i="1"/>
  <c r="BL160" i="1"/>
  <c r="BV160" i="1"/>
  <c r="CM40" i="7"/>
  <c r="U250" i="3"/>
  <c r="T250" i="3"/>
  <c r="K325" i="2"/>
  <c r="AX40" i="7"/>
  <c r="BD40" i="7"/>
  <c r="BT170" i="1"/>
  <c r="BM171" i="1"/>
  <c r="BU171" i="1"/>
  <c r="AV197" i="1"/>
  <c r="AQ45" i="7" s="1"/>
  <c r="AU201" i="1"/>
  <c r="BC208" i="1"/>
  <c r="BK208" i="1"/>
  <c r="BS208" i="1"/>
  <c r="BD210" i="1"/>
  <c r="BF212" i="1"/>
  <c r="AA304" i="1"/>
  <c r="AF306" i="1"/>
  <c r="AZ309" i="1"/>
  <c r="AW312" i="1"/>
  <c r="AW313" i="1" s="1"/>
  <c r="AW316" i="1"/>
  <c r="AZ315" i="1"/>
  <c r="BR328" i="1"/>
  <c r="BF332" i="1"/>
  <c r="BJ329" i="1"/>
  <c r="BF331" i="1"/>
  <c r="G116" i="1"/>
  <c r="G136" i="1" s="1"/>
  <c r="O116" i="1"/>
  <c r="W116" i="1"/>
  <c r="AE116" i="1"/>
  <c r="AM116" i="1"/>
  <c r="BC116" i="1"/>
  <c r="BS116" i="1"/>
  <c r="D118" i="1"/>
  <c r="L118" i="1"/>
  <c r="L227" i="1" s="1"/>
  <c r="Q228" i="1" s="1"/>
  <c r="T118" i="1"/>
  <c r="T227" i="1" s="1"/>
  <c r="AB118" i="1"/>
  <c r="AB227" i="1" s="1"/>
  <c r="AG228" i="1" s="1"/>
  <c r="AJ118" i="1"/>
  <c r="AJ227" i="1" s="1"/>
  <c r="AO228" i="1" s="1"/>
  <c r="AR118" i="1"/>
  <c r="AR227" i="1" s="1"/>
  <c r="BH118" i="1"/>
  <c r="BH230" i="1" s="1"/>
  <c r="AW119" i="1"/>
  <c r="AU126" i="1"/>
  <c r="AC130" i="1"/>
  <c r="J8" i="6" s="1"/>
  <c r="AK130" i="1"/>
  <c r="Q135" i="1"/>
  <c r="BC142" i="1"/>
  <c r="BP142" i="1"/>
  <c r="AV144" i="1"/>
  <c r="BL145" i="1"/>
  <c r="AY153" i="1"/>
  <c r="BL153" i="1"/>
  <c r="BF156" i="1"/>
  <c r="BR156" i="1"/>
  <c r="BE170" i="1"/>
  <c r="BE40" i="7"/>
  <c r="BK40" i="7"/>
  <c r="AX171" i="1"/>
  <c r="AW191" i="1"/>
  <c r="AW192" i="1" s="1"/>
  <c r="AW197" i="1"/>
  <c r="AR45" i="7" s="1"/>
  <c r="BG197" i="1"/>
  <c r="AZ45" i="7" s="1"/>
  <c r="BQ197" i="1"/>
  <c r="BH45" i="7" s="1"/>
  <c r="BE200" i="1"/>
  <c r="BD201" i="1"/>
  <c r="BL201" i="1"/>
  <c r="AZ207" i="1"/>
  <c r="BA209" i="1" s="1"/>
  <c r="BD208" i="1"/>
  <c r="BM209" i="1"/>
  <c r="BG212" i="1"/>
  <c r="BN295" i="1"/>
  <c r="BA327" i="1"/>
  <c r="BA332" i="1"/>
  <c r="BI327" i="1"/>
  <c r="BI332" i="1"/>
  <c r="BG331" i="1"/>
  <c r="AN116" i="1"/>
  <c r="AK118" i="1"/>
  <c r="AX119" i="1"/>
  <c r="AU129" i="1"/>
  <c r="AD130" i="1"/>
  <c r="K8" i="6" s="1"/>
  <c r="AP130" i="1"/>
  <c r="V135" i="1"/>
  <c r="BE141" i="1"/>
  <c r="BD142" i="1"/>
  <c r="BQ142" i="1"/>
  <c r="BA153" i="1"/>
  <c r="BM153" i="1"/>
  <c r="AY40" i="7"/>
  <c r="BF40" i="7"/>
  <c r="BL40" i="7"/>
  <c r="AY171" i="1"/>
  <c r="BG171" i="1"/>
  <c r="AX197" i="1"/>
  <c r="AS45" i="7" s="1"/>
  <c r="BH197" i="1"/>
  <c r="BA45" i="7" s="1"/>
  <c r="BR197" i="1"/>
  <c r="BI45" i="7" s="1"/>
  <c r="AW201" i="1"/>
  <c r="BM201" i="1"/>
  <c r="BU201" i="1"/>
  <c r="BN209" i="1"/>
  <c r="AP210" i="1"/>
  <c r="BF210" i="1"/>
  <c r="AY50" i="7" s="1"/>
  <c r="BV210" i="1"/>
  <c r="BL50" i="7" s="1"/>
  <c r="BR384" i="1"/>
  <c r="AW295" i="1"/>
  <c r="AZ294" i="1"/>
  <c r="BF295" i="1"/>
  <c r="BL312" i="1"/>
  <c r="BL313" i="1" s="1"/>
  <c r="BL316" i="1"/>
  <c r="BU332" i="1"/>
  <c r="BZ334" i="1" s="1"/>
  <c r="AX332" i="1"/>
  <c r="AX331" i="1"/>
  <c r="I116" i="1"/>
  <c r="Q116" i="1"/>
  <c r="Q136" i="1" s="1"/>
  <c r="Y116" i="1"/>
  <c r="AG116" i="1"/>
  <c r="AO116" i="1"/>
  <c r="AW116" i="1"/>
  <c r="BM116" i="1"/>
  <c r="K119" i="1"/>
  <c r="AY119" i="1"/>
  <c r="AE130" i="1"/>
  <c r="L8" i="6" s="1"/>
  <c r="G135" i="1"/>
  <c r="AA135" i="1"/>
  <c r="AA137" i="1" s="1"/>
  <c r="AV142" i="1"/>
  <c r="BF142" i="1"/>
  <c r="BR142" i="1"/>
  <c r="BB153" i="1"/>
  <c r="BN153" i="1"/>
  <c r="N250" i="3"/>
  <c r="L325" i="2"/>
  <c r="M326" i="2" s="1"/>
  <c r="D325" i="2"/>
  <c r="D326" i="2" s="1"/>
  <c r="BO170" i="1"/>
  <c r="L171" i="1"/>
  <c r="AE58" i="7"/>
  <c r="M106" i="6"/>
  <c r="AG188" i="1"/>
  <c r="AY197" i="1"/>
  <c r="AT45" i="7" s="1"/>
  <c r="BI197" i="1"/>
  <c r="BB45" i="7" s="1"/>
  <c r="BS197" i="1"/>
  <c r="BJ45" i="7" s="1"/>
  <c r="BO200" i="1"/>
  <c r="AP201" i="1"/>
  <c r="AX201" i="1"/>
  <c r="BF201" i="1"/>
  <c r="BN201" i="1"/>
  <c r="BV201" i="1"/>
  <c r="BJ207" i="1"/>
  <c r="AX208" i="1"/>
  <c r="BF208" i="1"/>
  <c r="BG210" i="1"/>
  <c r="AZ50" i="7" s="1"/>
  <c r="AF221" i="1"/>
  <c r="BA312" i="1"/>
  <c r="BA313" i="1" s="1"/>
  <c r="BA316" i="1"/>
  <c r="BM312" i="1"/>
  <c r="BM313" i="1" s="1"/>
  <c r="J116" i="1"/>
  <c r="AP116" i="1"/>
  <c r="AP136" i="1" s="1"/>
  <c r="AP137" i="1" s="1"/>
  <c r="AF130" i="1"/>
  <c r="AW142" i="1"/>
  <c r="BE152" i="1"/>
  <c r="BD160" i="1"/>
  <c r="BQ160" i="1"/>
  <c r="BA40" i="7"/>
  <c r="BG40" i="7"/>
  <c r="BI171" i="1"/>
  <c r="BQ171" i="1"/>
  <c r="AF58" i="7"/>
  <c r="N106" i="6"/>
  <c r="AH188" i="1"/>
  <c r="AY208" i="1"/>
  <c r="BG208" i="1"/>
  <c r="BR295" i="1"/>
  <c r="BD334" i="1"/>
  <c r="BM327" i="1"/>
  <c r="CM46" i="7"/>
  <c r="U51" i="3"/>
  <c r="U242" i="3" s="1"/>
  <c r="K315" i="2"/>
  <c r="AG130" i="1"/>
  <c r="M8" i="6" s="1"/>
  <c r="I135" i="1"/>
  <c r="AU40" i="7"/>
  <c r="BB40" i="7"/>
  <c r="BH40" i="7"/>
  <c r="AG58" i="7"/>
  <c r="O106" i="6"/>
  <c r="AI188" i="1"/>
  <c r="AT192" i="1"/>
  <c r="X37" i="6" s="1"/>
  <c r="BB197" i="1"/>
  <c r="AV45" i="7" s="1"/>
  <c r="BL197" i="1"/>
  <c r="BD45" i="7" s="1"/>
  <c r="BV197" i="1"/>
  <c r="BL45" i="7" s="1"/>
  <c r="BH201" i="1"/>
  <c r="BP201" i="1"/>
  <c r="BT207" i="1"/>
  <c r="BH208" i="1"/>
  <c r="BA210" i="1"/>
  <c r="AU50" i="7" s="1"/>
  <c r="BV384" i="1"/>
  <c r="BV292" i="1"/>
  <c r="BB331" i="1"/>
  <c r="BB332" i="1"/>
  <c r="CM39" i="7"/>
  <c r="T249" i="3"/>
  <c r="U249" i="3"/>
  <c r="AH130" i="1"/>
  <c r="N8" i="6" s="1"/>
  <c r="CI134" i="1"/>
  <c r="CN134" i="1" s="1"/>
  <c r="CN135" i="1" s="1"/>
  <c r="CN137" i="1" s="1"/>
  <c r="CN289" i="1" s="1"/>
  <c r="AV40" i="7"/>
  <c r="BJ170" i="1"/>
  <c r="BI40" i="7"/>
  <c r="BR230" i="1"/>
  <c r="BC171" i="1"/>
  <c r="BK171" i="1"/>
  <c r="BS171" i="1"/>
  <c r="AH58" i="7"/>
  <c r="P106" i="6"/>
  <c r="AJ188" i="1"/>
  <c r="BR191" i="1"/>
  <c r="BC197" i="1"/>
  <c r="AW45" i="7" s="1"/>
  <c r="BM197" i="1"/>
  <c r="BE45" i="7" s="1"/>
  <c r="BA201" i="1"/>
  <c r="BI201" i="1"/>
  <c r="BQ201" i="1"/>
  <c r="BI208" i="1"/>
  <c r="BB210" i="1"/>
  <c r="AV50" i="7" s="1"/>
  <c r="AA221" i="1"/>
  <c r="BB295" i="1"/>
  <c r="AW332" i="1"/>
  <c r="AZ326" i="1"/>
  <c r="AW328" i="1"/>
  <c r="AW327" i="1"/>
  <c r="BJ326" i="1"/>
  <c r="BI328" i="1"/>
  <c r="BC331" i="1"/>
  <c r="AY295" i="1"/>
  <c r="BG295" i="1"/>
  <c r="AX312" i="1"/>
  <c r="AX313" i="1" s="1"/>
  <c r="AT403" i="1"/>
  <c r="AU404" i="1"/>
  <c r="BT326" i="1"/>
  <c r="AP35" i="18" s="1"/>
  <c r="BD328" i="1"/>
  <c r="BL328" i="1"/>
  <c r="BK331" i="1"/>
  <c r="AS332" i="1"/>
  <c r="BL342" i="1"/>
  <c r="BT340" i="1"/>
  <c r="BO366" i="1"/>
  <c r="BU368" i="1"/>
  <c r="BT345" i="1"/>
  <c r="AY448" i="1"/>
  <c r="BD342" i="1"/>
  <c r="BM342" i="1"/>
  <c r="BV368" i="1"/>
  <c r="BO353" i="1"/>
  <c r="BF328" i="1"/>
  <c r="BN328" i="1"/>
  <c r="BV328" i="1"/>
  <c r="BC332" i="1"/>
  <c r="BK332" i="1"/>
  <c r="BE340" i="1"/>
  <c r="BN342" i="1"/>
  <c r="BV342" i="1"/>
  <c r="BM368" i="1"/>
  <c r="AZ345" i="1"/>
  <c r="BM355" i="1"/>
  <c r="BU292" i="1"/>
  <c r="BB316" i="1"/>
  <c r="BM316" i="1"/>
  <c r="BO326" i="1"/>
  <c r="BG328" i="1"/>
  <c r="AZ329" i="1"/>
  <c r="AV332" i="1"/>
  <c r="BF342" i="1"/>
  <c r="BN368" i="1"/>
  <c r="BE345" i="1"/>
  <c r="AY347" i="1"/>
  <c r="AZ353" i="1"/>
  <c r="BJ353" i="1"/>
  <c r="O375" i="1"/>
  <c r="AU295" i="1"/>
  <c r="BC295" i="1"/>
  <c r="BK295" i="1"/>
  <c r="BS295" i="1"/>
  <c r="AU309" i="1"/>
  <c r="AU316" i="1"/>
  <c r="AY328" i="1"/>
  <c r="BH328" i="1"/>
  <c r="BP342" i="1"/>
  <c r="AW368" i="1"/>
  <c r="AZ366" i="1"/>
  <c r="BF368" i="1"/>
  <c r="BT366" i="1"/>
  <c r="BY368" i="1" s="1"/>
  <c r="BL347" i="1"/>
  <c r="S375" i="1"/>
  <c r="BH342" i="1"/>
  <c r="BQ368" i="1"/>
  <c r="BR355" i="1"/>
  <c r="AS526" i="1"/>
  <c r="AU386" i="1"/>
  <c r="AU327" i="1"/>
  <c r="AQ332" i="1"/>
  <c r="BI342" i="1"/>
  <c r="BR342" i="1"/>
  <c r="BS328" i="1"/>
  <c r="AR332" i="1"/>
  <c r="BB342" i="1"/>
  <c r="BA368" i="1"/>
  <c r="BI368" i="1"/>
  <c r="BO345" i="1"/>
  <c r="BB355" i="1"/>
  <c r="BA355" i="1"/>
  <c r="BJ386" i="1"/>
  <c r="BJ340" i="1"/>
  <c r="BF347" i="1"/>
  <c r="BT353" i="1"/>
  <c r="AW448" i="1"/>
  <c r="BK382" i="1"/>
  <c r="AX403" i="1"/>
  <c r="BF403" i="1"/>
  <c r="BN403" i="1"/>
  <c r="BV403" i="1"/>
  <c r="BH392" i="1"/>
  <c r="BP392" i="1"/>
  <c r="BF395" i="1"/>
  <c r="BJ7" i="7"/>
  <c r="BS515" i="1"/>
  <c r="BX516" i="1" s="1"/>
  <c r="BS509" i="1"/>
  <c r="AU451" i="1"/>
  <c r="BO451" i="1"/>
  <c r="BT451" i="1"/>
  <c r="AU463" i="1"/>
  <c r="AU465" i="1" s="1"/>
  <c r="BO391" i="1"/>
  <c r="BE394" i="1"/>
  <c r="BJ366" i="1"/>
  <c r="BD368" i="1"/>
  <c r="BL368" i="1"/>
  <c r="BH347" i="1"/>
  <c r="BP347" i="1"/>
  <c r="AX355" i="1"/>
  <c r="BF355" i="1"/>
  <c r="BN355" i="1"/>
  <c r="BV355" i="1"/>
  <c r="H375" i="1"/>
  <c r="P375" i="1"/>
  <c r="AZ391" i="1"/>
  <c r="BB392" i="1"/>
  <c r="BR392" i="1"/>
  <c r="BV395" i="1"/>
  <c r="V404" i="1"/>
  <c r="H479" i="1"/>
  <c r="P479" i="1"/>
  <c r="X479" i="1"/>
  <c r="AF479" i="1"/>
  <c r="AN10" i="7"/>
  <c r="AN36" i="7" s="1"/>
  <c r="AR498" i="1"/>
  <c r="BA347" i="1"/>
  <c r="AW363" i="1"/>
  <c r="Q375" i="1"/>
  <c r="AO375" i="1"/>
  <c r="BC392" i="1"/>
  <c r="BK392" i="1"/>
  <c r="BS392" i="1"/>
  <c r="BI395" i="1"/>
  <c r="BA403" i="1"/>
  <c r="AO10" i="7"/>
  <c r="AO36" i="7" s="1"/>
  <c r="AS498" i="1"/>
  <c r="AS499" i="1"/>
  <c r="AT504" i="1"/>
  <c r="BA448" i="1"/>
  <c r="BB403" i="1"/>
  <c r="BJ391" i="1"/>
  <c r="BR403" i="1"/>
  <c r="BW404" i="1" s="1"/>
  <c r="AV392" i="1"/>
  <c r="BD392" i="1"/>
  <c r="BL392" i="1"/>
  <c r="AZ394" i="1"/>
  <c r="AZ395" i="1" s="1"/>
  <c r="BP395" i="1"/>
  <c r="BP368" i="1"/>
  <c r="AS379" i="1"/>
  <c r="AT525" i="1"/>
  <c r="BT391" i="1"/>
  <c r="BV392" i="1"/>
  <c r="BR395" i="1"/>
  <c r="AP404" i="1"/>
  <c r="L479" i="1"/>
  <c r="T479" i="1"/>
  <c r="AB479" i="1"/>
  <c r="BE391" i="1"/>
  <c r="AY392" i="1"/>
  <c r="BG392" i="1"/>
  <c r="BS395" i="1"/>
  <c r="AK451" i="1"/>
  <c r="BL7" i="7"/>
  <c r="BV515" i="1"/>
  <c r="CA516" i="1" s="1"/>
  <c r="K346" i="2"/>
  <c r="K278" i="2"/>
  <c r="G479" i="1"/>
  <c r="O479" i="1"/>
  <c r="W479" i="1"/>
  <c r="AE479" i="1"/>
  <c r="BU509" i="1"/>
  <c r="B134" i="2"/>
  <c r="B135" i="2" s="1"/>
  <c r="B43" i="2"/>
  <c r="J134" i="2"/>
  <c r="J135" i="2" s="1"/>
  <c r="J43" i="2"/>
  <c r="C43" i="2"/>
  <c r="K43" i="2"/>
  <c r="AR482" i="1"/>
  <c r="BH482" i="1"/>
  <c r="AV484" i="1"/>
  <c r="BD484" i="1"/>
  <c r="BD486" i="1" s="1"/>
  <c r="BL484" i="1"/>
  <c r="BL486" i="1" s="1"/>
  <c r="BV509" i="1"/>
  <c r="BG7" i="7"/>
  <c r="BP515" i="1"/>
  <c r="I479" i="1"/>
  <c r="Q479" i="1"/>
  <c r="Y479" i="1"/>
  <c r="BE479" i="1"/>
  <c r="AS482" i="1"/>
  <c r="BA482" i="1"/>
  <c r="AR499" i="1"/>
  <c r="H18" i="2"/>
  <c r="BH7" i="7"/>
  <c r="BQ515" i="1"/>
  <c r="BJ451" i="1"/>
  <c r="M277" i="2"/>
  <c r="M266" i="2"/>
  <c r="J479" i="1"/>
  <c r="R479" i="1"/>
  <c r="Z479" i="1"/>
  <c r="BB482" i="1"/>
  <c r="BF484" i="1"/>
  <c r="BF486" i="1" s="1"/>
  <c r="BN484" i="1"/>
  <c r="BN486" i="1" s="1"/>
  <c r="E37" i="2"/>
  <c r="W27" i="3"/>
  <c r="BI7" i="7"/>
  <c r="BR515" i="1"/>
  <c r="BW516" i="1" s="1"/>
  <c r="AZ508" i="1"/>
  <c r="BP509" i="1"/>
  <c r="F134" i="2"/>
  <c r="F43" i="2"/>
  <c r="N134" i="2"/>
  <c r="N43" i="2"/>
  <c r="J18" i="2"/>
  <c r="X27" i="3"/>
  <c r="BH484" i="1"/>
  <c r="BH486" i="1" s="1"/>
  <c r="BQ509" i="1"/>
  <c r="Y27" i="3"/>
  <c r="BT432" i="1"/>
  <c r="Q24" i="19" s="1"/>
  <c r="BV433" i="1"/>
  <c r="BE451" i="1"/>
  <c r="BA471" i="1"/>
  <c r="K80" i="2"/>
  <c r="K57" i="2"/>
  <c r="K293" i="2" s="1"/>
  <c r="U74" i="3" s="1"/>
  <c r="O213" i="6"/>
  <c r="U13" i="3"/>
  <c r="BR509" i="1"/>
  <c r="D18" i="2"/>
  <c r="L18" i="2"/>
  <c r="BK7" i="7"/>
  <c r="BU515" i="1"/>
  <c r="BZ516" i="1" s="1"/>
  <c r="J346" i="2"/>
  <c r="J278" i="2"/>
  <c r="AF525" i="1"/>
  <c r="P213" i="6"/>
  <c r="V13" i="3"/>
  <c r="L306" i="2"/>
  <c r="U22" i="3"/>
  <c r="U282" i="3" s="1"/>
  <c r="K73" i="2"/>
  <c r="K294" i="2" s="1"/>
  <c r="U75" i="3" s="1"/>
  <c r="BT508" i="1"/>
  <c r="H254" i="2"/>
  <c r="H194" i="2"/>
  <c r="G135" i="2"/>
  <c r="I254" i="2"/>
  <c r="I194" i="2"/>
  <c r="W133" i="3"/>
  <c r="E340" i="2"/>
  <c r="E279" i="2"/>
  <c r="B254" i="2"/>
  <c r="B259" i="2" s="1"/>
  <c r="B194" i="2"/>
  <c r="J254" i="2"/>
  <c r="J194" i="2"/>
  <c r="I135" i="2"/>
  <c r="C254" i="2"/>
  <c r="C194" i="2"/>
  <c r="E135" i="2"/>
  <c r="D254" i="2"/>
  <c r="D194" i="2"/>
  <c r="E254" i="2"/>
  <c r="E194" i="2"/>
  <c r="I340" i="2"/>
  <c r="I279" i="2"/>
  <c r="D135" i="2"/>
  <c r="U34" i="2"/>
  <c r="F254" i="2"/>
  <c r="F194" i="2"/>
  <c r="V34" i="2"/>
  <c r="G254" i="2"/>
  <c r="G194" i="2"/>
  <c r="H340" i="2"/>
  <c r="H279" i="2"/>
  <c r="P124" i="2"/>
  <c r="S28" i="3"/>
  <c r="S128" i="3" s="1"/>
  <c r="I253" i="2"/>
  <c r="N191" i="2"/>
  <c r="T28" i="3"/>
  <c r="T128" i="3" s="1"/>
  <c r="J253" i="2"/>
  <c r="C135" i="2"/>
  <c r="B279" i="2"/>
  <c r="B340" i="2"/>
  <c r="J279" i="2"/>
  <c r="J340" i="2"/>
  <c r="F116" i="2"/>
  <c r="N116" i="2"/>
  <c r="D120" i="2"/>
  <c r="L120" i="2"/>
  <c r="G123" i="2"/>
  <c r="G124" i="2" s="1"/>
  <c r="U28" i="3"/>
  <c r="U128" i="3" s="1"/>
  <c r="K253" i="2"/>
  <c r="M164" i="2"/>
  <c r="M169" i="2" s="1"/>
  <c r="L164" i="2"/>
  <c r="L169" i="2" s="1"/>
  <c r="C279" i="2"/>
  <c r="C340" i="2"/>
  <c r="G116" i="2"/>
  <c r="N28" i="3"/>
  <c r="N128" i="3" s="1"/>
  <c r="D253" i="2"/>
  <c r="V28" i="3"/>
  <c r="V128" i="3" s="1"/>
  <c r="L253" i="2"/>
  <c r="D169" i="2"/>
  <c r="D279" i="2"/>
  <c r="D340" i="2"/>
  <c r="O28" i="3"/>
  <c r="O128" i="3" s="1"/>
  <c r="E253" i="2"/>
  <c r="W28" i="3"/>
  <c r="W128" i="3" s="1"/>
  <c r="M253" i="2"/>
  <c r="P28" i="3"/>
  <c r="P128" i="3" s="1"/>
  <c r="F253" i="2"/>
  <c r="X28" i="3"/>
  <c r="X128" i="3" s="1"/>
  <c r="N253" i="2"/>
  <c r="F340" i="2"/>
  <c r="F279" i="2"/>
  <c r="Q28" i="3"/>
  <c r="Q128" i="3" s="1"/>
  <c r="G253" i="2"/>
  <c r="Y28" i="3"/>
  <c r="Y128" i="3" s="1"/>
  <c r="O253" i="2"/>
  <c r="G279" i="2"/>
  <c r="G340" i="2"/>
  <c r="R28" i="3"/>
  <c r="R128" i="3" s="1"/>
  <c r="H253" i="2"/>
  <c r="Z28" i="3"/>
  <c r="Z128" i="3" s="1"/>
  <c r="P253" i="2"/>
  <c r="H169" i="2"/>
  <c r="P169" i="2"/>
  <c r="C219" i="2"/>
  <c r="D219" i="2" s="1"/>
  <c r="E219" i="2" s="1"/>
  <c r="F219" i="2" s="1"/>
  <c r="G219" i="2" s="1"/>
  <c r="H219" i="2" s="1"/>
  <c r="I219" i="2" s="1"/>
  <c r="J219" i="2" s="1"/>
  <c r="K219" i="2" s="1"/>
  <c r="L219" i="2" s="1"/>
  <c r="M219" i="2" s="1"/>
  <c r="N219" i="2" s="1"/>
  <c r="O219" i="2" s="1"/>
  <c r="P219" i="2" s="1"/>
  <c r="B241" i="2"/>
  <c r="C241" i="2" s="1"/>
  <c r="D241" i="2" s="1"/>
  <c r="E241" i="2" s="1"/>
  <c r="F241" i="2" s="1"/>
  <c r="G241" i="2" s="1"/>
  <c r="H241" i="2" s="1"/>
  <c r="I241" i="2" s="1"/>
  <c r="J241" i="2" s="1"/>
  <c r="K241" i="2" s="1"/>
  <c r="L241" i="2" s="1"/>
  <c r="M241" i="2" s="1"/>
  <c r="N241" i="2" s="1"/>
  <c r="O241" i="2" s="1"/>
  <c r="P241" i="2" s="1"/>
  <c r="O215" i="2"/>
  <c r="O319" i="2"/>
  <c r="G334" i="2"/>
  <c r="M138" i="3"/>
  <c r="P44" i="6"/>
  <c r="X44" i="6"/>
  <c r="R74" i="6"/>
  <c r="R54" i="6"/>
  <c r="S54" i="6"/>
  <c r="K73" i="6"/>
  <c r="Q132" i="6"/>
  <c r="N54" i="6"/>
  <c r="V54" i="6"/>
  <c r="O54" i="6"/>
  <c r="W54" i="6"/>
  <c r="T55" i="6"/>
  <c r="T56" i="6"/>
  <c r="T57" i="6"/>
  <c r="M132" i="6"/>
  <c r="U132" i="6"/>
  <c r="CN190" i="1" l="1"/>
  <c r="CQ190" i="1" s="1"/>
  <c r="CR190" i="1" s="1"/>
  <c r="CS190" i="1" s="1"/>
  <c r="CT190" i="1" s="1"/>
  <c r="CU190" i="1" s="1"/>
  <c r="CV190" i="1" s="1"/>
  <c r="CW190" i="1" s="1"/>
  <c r="T210" i="2"/>
  <c r="U210" i="2" s="1"/>
  <c r="V210" i="2" s="1"/>
  <c r="W210" i="2" s="1"/>
  <c r="X210" i="2" s="1"/>
  <c r="Y210" i="2" s="1"/>
  <c r="Z210" i="2" s="1"/>
  <c r="AA210" i="2" s="1"/>
  <c r="T264" i="2"/>
  <c r="U264" i="2" s="1"/>
  <c r="V264" i="2" s="1"/>
  <c r="W264" i="2" s="1"/>
  <c r="X264" i="2" s="1"/>
  <c r="Y264" i="2" s="1"/>
  <c r="Z264" i="2" s="1"/>
  <c r="AA264" i="2" s="1"/>
  <c r="T187" i="2"/>
  <c r="U187" i="2" s="1"/>
  <c r="V187" i="2" s="1"/>
  <c r="W187" i="2" s="1"/>
  <c r="X187" i="2" s="1"/>
  <c r="Y187" i="2" s="1"/>
  <c r="Z187" i="2" s="1"/>
  <c r="AA187" i="2" s="1"/>
  <c r="T175" i="2"/>
  <c r="U175" i="2" s="1"/>
  <c r="V175" i="2" s="1"/>
  <c r="W175" i="2" s="1"/>
  <c r="X175" i="2" s="1"/>
  <c r="Y175" i="2" s="1"/>
  <c r="Z175" i="2" s="1"/>
  <c r="AA175" i="2" s="1"/>
  <c r="T71" i="2"/>
  <c r="U71" i="2" s="1"/>
  <c r="V71" i="2" s="1"/>
  <c r="W71" i="2" s="1"/>
  <c r="X71" i="2" s="1"/>
  <c r="Y71" i="2" s="1"/>
  <c r="Z71" i="2" s="1"/>
  <c r="AA71" i="2" s="1"/>
  <c r="T143" i="2"/>
  <c r="U143" i="2" s="1"/>
  <c r="V143" i="2" s="1"/>
  <c r="W143" i="2" s="1"/>
  <c r="X143" i="2" s="1"/>
  <c r="Y143" i="2" s="1"/>
  <c r="Z143" i="2" s="1"/>
  <c r="AA143" i="2" s="1"/>
  <c r="T88" i="2"/>
  <c r="U88" i="2" s="1"/>
  <c r="V88" i="2" s="1"/>
  <c r="W88" i="2" s="1"/>
  <c r="X88" i="2" s="1"/>
  <c r="Y88" i="2" s="1"/>
  <c r="Z88" i="2" s="1"/>
  <c r="AA88" i="2" s="1"/>
  <c r="T190" i="2"/>
  <c r="U190" i="2" s="1"/>
  <c r="V190" i="2" s="1"/>
  <c r="W190" i="2" s="1"/>
  <c r="X190" i="2" s="1"/>
  <c r="Y190" i="2" s="1"/>
  <c r="Z190" i="2" s="1"/>
  <c r="AA190" i="2" s="1"/>
  <c r="T217" i="2"/>
  <c r="U217" i="2" s="1"/>
  <c r="V217" i="2" s="1"/>
  <c r="W217" i="2" s="1"/>
  <c r="X217" i="2" s="1"/>
  <c r="Y217" i="2" s="1"/>
  <c r="Z217" i="2" s="1"/>
  <c r="AA217" i="2" s="1"/>
  <c r="T101" i="2"/>
  <c r="U101" i="2" s="1"/>
  <c r="V101" i="2" s="1"/>
  <c r="W101" i="2" s="1"/>
  <c r="X101" i="2" s="1"/>
  <c r="Y101" i="2" s="1"/>
  <c r="Z101" i="2" s="1"/>
  <c r="AA101" i="2" s="1"/>
  <c r="T204" i="2"/>
  <c r="U204" i="2" s="1"/>
  <c r="V204" i="2" s="1"/>
  <c r="W204" i="2" s="1"/>
  <c r="X204" i="2" s="1"/>
  <c r="Y204" i="2" s="1"/>
  <c r="Z204" i="2" s="1"/>
  <c r="AA204" i="2" s="1"/>
  <c r="T83" i="2"/>
  <c r="U83" i="2" s="1"/>
  <c r="V83" i="2" s="1"/>
  <c r="W83" i="2" s="1"/>
  <c r="X83" i="2" s="1"/>
  <c r="Y83" i="2" s="1"/>
  <c r="Z83" i="2" s="1"/>
  <c r="AA83" i="2" s="1"/>
  <c r="T184" i="2"/>
  <c r="U184" i="2" s="1"/>
  <c r="V184" i="2" s="1"/>
  <c r="W184" i="2" s="1"/>
  <c r="X184" i="2" s="1"/>
  <c r="Y184" i="2" s="1"/>
  <c r="Z184" i="2" s="1"/>
  <c r="AA184" i="2" s="1"/>
  <c r="T314" i="2"/>
  <c r="U314" i="2" s="1"/>
  <c r="V314" i="2" s="1"/>
  <c r="W314" i="2" s="1"/>
  <c r="X314" i="2" s="1"/>
  <c r="Y314" i="2" s="1"/>
  <c r="Z314" i="2" s="1"/>
  <c r="AA314" i="2" s="1"/>
  <c r="T171" i="2"/>
  <c r="U171" i="2" s="1"/>
  <c r="V171" i="2" s="1"/>
  <c r="W171" i="2" s="1"/>
  <c r="X171" i="2" s="1"/>
  <c r="Y171" i="2" s="1"/>
  <c r="Z171" i="2" s="1"/>
  <c r="AA171" i="2" s="1"/>
  <c r="T251" i="2"/>
  <c r="U251" i="2" s="1"/>
  <c r="V251" i="2" s="1"/>
  <c r="W251" i="2" s="1"/>
  <c r="X251" i="2" s="1"/>
  <c r="Y251" i="2" s="1"/>
  <c r="Z251" i="2" s="1"/>
  <c r="AA251" i="2" s="1"/>
  <c r="T112" i="2"/>
  <c r="U112" i="2" s="1"/>
  <c r="V112" i="2" s="1"/>
  <c r="W112" i="2" s="1"/>
  <c r="X112" i="2" s="1"/>
  <c r="Y112" i="2" s="1"/>
  <c r="Z112" i="2" s="1"/>
  <c r="AA112" i="2" s="1"/>
  <c r="T178" i="2"/>
  <c r="U178" i="2" s="1"/>
  <c r="V178" i="2" s="1"/>
  <c r="W178" i="2" s="1"/>
  <c r="X178" i="2" s="1"/>
  <c r="Y178" i="2" s="1"/>
  <c r="Z178" i="2" s="1"/>
  <c r="AA178" i="2" s="1"/>
  <c r="T193" i="2"/>
  <c r="U193" i="2" s="1"/>
  <c r="V193" i="2" s="1"/>
  <c r="W193" i="2" s="1"/>
  <c r="X193" i="2" s="1"/>
  <c r="Y193" i="2" s="1"/>
  <c r="Z193" i="2" s="1"/>
  <c r="AA193" i="2" s="1"/>
  <c r="T151" i="2"/>
  <c r="U151" i="2" s="1"/>
  <c r="V151" i="2" s="1"/>
  <c r="W151" i="2" s="1"/>
  <c r="X151" i="2" s="1"/>
  <c r="Y151" i="2" s="1"/>
  <c r="Z151" i="2" s="1"/>
  <c r="AA151" i="2" s="1"/>
  <c r="T181" i="2"/>
  <c r="U181" i="2" s="1"/>
  <c r="V181" i="2" s="1"/>
  <c r="W181" i="2" s="1"/>
  <c r="X181" i="2" s="1"/>
  <c r="Y181" i="2" s="1"/>
  <c r="Z181" i="2" s="1"/>
  <c r="AA181" i="2" s="1"/>
  <c r="BN50" i="1"/>
  <c r="BG24" i="7"/>
  <c r="BX50" i="1"/>
  <c r="BS50" i="1"/>
  <c r="BM50" i="1"/>
  <c r="BU118" i="1"/>
  <c r="BU230" i="1" s="1"/>
  <c r="BU173" i="1"/>
  <c r="BV116" i="1"/>
  <c r="BV173" i="1"/>
  <c r="BL50" i="1"/>
  <c r="AP77" i="18"/>
  <c r="AP78" i="18" s="1"/>
  <c r="C7" i="10"/>
  <c r="C27" i="10" s="1"/>
  <c r="AQ466" i="1"/>
  <c r="X14" i="3"/>
  <c r="O31" i="19"/>
  <c r="O50" i="19" s="1"/>
  <c r="G50" i="19"/>
  <c r="G44" i="19"/>
  <c r="K50" i="19"/>
  <c r="K44" i="19"/>
  <c r="V14" i="3"/>
  <c r="M31" i="19"/>
  <c r="I50" i="19"/>
  <c r="I44" i="19"/>
  <c r="H50" i="19"/>
  <c r="H44" i="19"/>
  <c r="J50" i="19"/>
  <c r="J44" i="19"/>
  <c r="F50" i="19"/>
  <c r="F44" i="19"/>
  <c r="E50" i="19"/>
  <c r="E44" i="19"/>
  <c r="O7" i="19"/>
  <c r="BY342" i="1"/>
  <c r="AP38" i="18"/>
  <c r="BY355" i="1"/>
  <c r="AP41" i="18"/>
  <c r="BY347" i="1"/>
  <c r="AP39" i="18"/>
  <c r="AR466" i="1"/>
  <c r="AW466" i="1"/>
  <c r="J345" i="2"/>
  <c r="J93" i="2" s="1"/>
  <c r="AP465" i="1"/>
  <c r="AP466" i="1" s="1"/>
  <c r="AT466" i="1"/>
  <c r="AY466" i="1"/>
  <c r="AS466" i="1"/>
  <c r="AV466" i="1"/>
  <c r="BB10" i="7"/>
  <c r="BB36" i="7" s="1"/>
  <c r="BI486" i="1"/>
  <c r="AY485" i="1"/>
  <c r="AZ10" i="7"/>
  <c r="AZ36" i="7" s="1"/>
  <c r="BG486" i="1"/>
  <c r="AV10" i="7"/>
  <c r="AV36" i="7" s="1"/>
  <c r="BB486" i="1"/>
  <c r="AW10" i="7"/>
  <c r="AW36" i="7" s="1"/>
  <c r="BC486" i="1"/>
  <c r="AM10" i="7"/>
  <c r="AM36" i="7" s="1"/>
  <c r="AU10" i="7"/>
  <c r="AU36" i="7" s="1"/>
  <c r="BC24" i="7"/>
  <c r="BR50" i="1"/>
  <c r="BP50" i="1"/>
  <c r="BK50" i="1"/>
  <c r="BQ50" i="1"/>
  <c r="BD24" i="7"/>
  <c r="BI11" i="7"/>
  <c r="BI37" i="7" s="1"/>
  <c r="BF24" i="7"/>
  <c r="BH24" i="7"/>
  <c r="I78" i="18"/>
  <c r="I79" i="18"/>
  <c r="M78" i="18"/>
  <c r="H79" i="18"/>
  <c r="H78" i="18"/>
  <c r="D65" i="16"/>
  <c r="D67" i="16" s="1"/>
  <c r="D73" i="18"/>
  <c r="D75" i="18" s="1"/>
  <c r="P166" i="2"/>
  <c r="AP31" i="18"/>
  <c r="AP26" i="16"/>
  <c r="G78" i="18"/>
  <c r="G79" i="18"/>
  <c r="Q73" i="2"/>
  <c r="BY467" i="1" s="1"/>
  <c r="AQ77" i="18"/>
  <c r="BE10" i="7"/>
  <c r="BE36" i="7" s="1"/>
  <c r="E65" i="16"/>
  <c r="E67" i="16" s="1"/>
  <c r="E73" i="18"/>
  <c r="E75" i="18" s="1"/>
  <c r="AD28" i="7"/>
  <c r="BE24" i="7"/>
  <c r="J79" i="18"/>
  <c r="J78" i="18"/>
  <c r="N78" i="18"/>
  <c r="AP49" i="18"/>
  <c r="AP44" i="16"/>
  <c r="F73" i="18"/>
  <c r="F75" i="18" s="1"/>
  <c r="F65" i="16"/>
  <c r="F67" i="16" s="1"/>
  <c r="BC10" i="7"/>
  <c r="BC36" i="7" s="1"/>
  <c r="C73" i="18"/>
  <c r="C75" i="18" s="1"/>
  <c r="C65" i="16"/>
  <c r="C67" i="16" s="1"/>
  <c r="H28" i="7"/>
  <c r="G28" i="7"/>
  <c r="N28" i="7"/>
  <c r="L28" i="7"/>
  <c r="K28" i="7"/>
  <c r="BK228" i="1"/>
  <c r="U28" i="7"/>
  <c r="AS34" i="7"/>
  <c r="M28" i="7"/>
  <c r="Z28" i="7"/>
  <c r="R28" i="7"/>
  <c r="AB28" i="7"/>
  <c r="S28" i="7"/>
  <c r="I28" i="7"/>
  <c r="AK37" i="7"/>
  <c r="AK24" i="7"/>
  <c r="AJ37" i="7"/>
  <c r="AJ24" i="7"/>
  <c r="AI37" i="7"/>
  <c r="AI24" i="7"/>
  <c r="Q28" i="7"/>
  <c r="W28" i="7"/>
  <c r="BJ37" i="7"/>
  <c r="BJ24" i="7"/>
  <c r="P28" i="7"/>
  <c r="AC28" i="7"/>
  <c r="X28" i="7"/>
  <c r="T28" i="7"/>
  <c r="AL37" i="7"/>
  <c r="AL24" i="7"/>
  <c r="O28" i="7"/>
  <c r="V28" i="7"/>
  <c r="AA28" i="7"/>
  <c r="Y28" i="7"/>
  <c r="J28" i="7"/>
  <c r="AR37" i="7"/>
  <c r="AR24" i="7"/>
  <c r="AU35" i="7"/>
  <c r="AU19" i="7"/>
  <c r="N172" i="6"/>
  <c r="O172" i="6" s="1"/>
  <c r="P172" i="6" s="1"/>
  <c r="Q172" i="6" s="1"/>
  <c r="R172" i="6" s="1"/>
  <c r="AX228" i="1"/>
  <c r="AX383" i="1"/>
  <c r="BZ209" i="1"/>
  <c r="CD208" i="1"/>
  <c r="BQ383" i="1"/>
  <c r="S188" i="2"/>
  <c r="S216" i="2"/>
  <c r="V86" i="3"/>
  <c r="L309" i="2"/>
  <c r="L311" i="2" s="1"/>
  <c r="M79" i="3"/>
  <c r="G298" i="2"/>
  <c r="Q73" i="3"/>
  <c r="J298" i="2"/>
  <c r="O99" i="2"/>
  <c r="O294" i="2"/>
  <c r="Y75" i="3" s="1"/>
  <c r="E298" i="2"/>
  <c r="L79" i="3"/>
  <c r="B301" i="2"/>
  <c r="AV33" i="7"/>
  <c r="C253" i="2"/>
  <c r="C259" i="2" s="1"/>
  <c r="C261" i="2" s="1"/>
  <c r="C262" i="2" s="1"/>
  <c r="C299" i="2"/>
  <c r="M80" i="3" s="1"/>
  <c r="BG228" i="1"/>
  <c r="D301" i="2"/>
  <c r="N79" i="3"/>
  <c r="I298" i="2"/>
  <c r="S19" i="4"/>
  <c r="N19" i="4"/>
  <c r="O19" i="4"/>
  <c r="P19" i="4"/>
  <c r="Q19" i="4"/>
  <c r="R19" i="4"/>
  <c r="BE33" i="7"/>
  <c r="BR383" i="1"/>
  <c r="BD34" i="7"/>
  <c r="BA383" i="1"/>
  <c r="AQ33" i="7"/>
  <c r="AV228" i="1"/>
  <c r="AD484" i="1"/>
  <c r="N20" i="3"/>
  <c r="N277" i="3" s="1"/>
  <c r="N278" i="3" s="1"/>
  <c r="N279" i="3" s="1"/>
  <c r="N280" i="3" s="1"/>
  <c r="D99" i="2"/>
  <c r="S20" i="3"/>
  <c r="S277" i="3" s="1"/>
  <c r="I99" i="2"/>
  <c r="P20" i="3"/>
  <c r="P277" i="3" s="1"/>
  <c r="P278" i="3" s="1"/>
  <c r="P279" i="3" s="1"/>
  <c r="P280" i="3" s="1"/>
  <c r="P285" i="3" s="1"/>
  <c r="F99" i="2"/>
  <c r="M20" i="3"/>
  <c r="M277" i="3" s="1"/>
  <c r="M278" i="3" s="1"/>
  <c r="M279" i="3" s="1"/>
  <c r="M280" i="3" s="1"/>
  <c r="C99" i="2"/>
  <c r="B65" i="2"/>
  <c r="D54" i="2"/>
  <c r="C65" i="2"/>
  <c r="R2" i="2"/>
  <c r="BB34" i="7"/>
  <c r="BI379" i="1"/>
  <c r="BJ378" i="1" s="1"/>
  <c r="V484" i="1"/>
  <c r="G27" i="19" s="1"/>
  <c r="G255" i="3"/>
  <c r="G268" i="3"/>
  <c r="I81" i="2"/>
  <c r="M484" i="1"/>
  <c r="K482" i="1"/>
  <c r="AA482" i="1"/>
  <c r="AA484" i="1"/>
  <c r="H27" i="19" s="1"/>
  <c r="U484" i="1"/>
  <c r="S482" i="1"/>
  <c r="B81" i="2"/>
  <c r="N484" i="1"/>
  <c r="B482" i="1"/>
  <c r="B269" i="2"/>
  <c r="B271" i="2" s="1"/>
  <c r="B276" i="2" s="1"/>
  <c r="B281" i="2" s="1"/>
  <c r="B282" i="2" s="1"/>
  <c r="B79" i="2"/>
  <c r="B196" i="2" s="1"/>
  <c r="B200" i="2" s="1"/>
  <c r="G81" i="2"/>
  <c r="AC482" i="1"/>
  <c r="G79" i="2"/>
  <c r="G196" i="2" s="1"/>
  <c r="G200" i="2" s="1"/>
  <c r="V482" i="1"/>
  <c r="F81" i="2"/>
  <c r="F79" i="2"/>
  <c r="F196" i="2" s="1"/>
  <c r="F200" i="2" s="1"/>
  <c r="BL11" i="7"/>
  <c r="CA50" i="1"/>
  <c r="BV385" i="1"/>
  <c r="CA385" i="1"/>
  <c r="I269" i="2"/>
  <c r="AK482" i="1"/>
  <c r="AK484" i="1"/>
  <c r="J27" i="19" s="1"/>
  <c r="CQ166" i="1"/>
  <c r="Q215" i="2"/>
  <c r="I59" i="4"/>
  <c r="H2" i="3"/>
  <c r="G239" i="3"/>
  <c r="BY328" i="1"/>
  <c r="AZ374" i="1"/>
  <c r="Y212" i="2"/>
  <c r="X34" i="2"/>
  <c r="Y205" i="2"/>
  <c r="AN375" i="1"/>
  <c r="AN448" i="1"/>
  <c r="AM375" i="1"/>
  <c r="AM448" i="1"/>
  <c r="AT375" i="1"/>
  <c r="AT448" i="1"/>
  <c r="AV375" i="1"/>
  <c r="AV448" i="1"/>
  <c r="CM47" i="7"/>
  <c r="AZ111" i="1"/>
  <c r="AV108" i="1"/>
  <c r="AV109" i="1" s="1"/>
  <c r="CW43" i="7"/>
  <c r="Q127" i="1"/>
  <c r="BX2" i="1"/>
  <c r="BS529" i="1"/>
  <c r="BW2" i="1"/>
  <c r="BR529" i="1"/>
  <c r="BP95" i="1"/>
  <c r="BP529" i="1"/>
  <c r="BY542" i="1"/>
  <c r="CT99" i="1"/>
  <c r="AK92" i="1"/>
  <c r="CS99" i="1"/>
  <c r="CR168" i="1"/>
  <c r="CQ241" i="1"/>
  <c r="BA34" i="7"/>
  <c r="BM383" i="1"/>
  <c r="BH379" i="1"/>
  <c r="AF4" i="10"/>
  <c r="AE27" i="10"/>
  <c r="AE26" i="10"/>
  <c r="AN6" i="10"/>
  <c r="AM7" i="10"/>
  <c r="E6" i="10"/>
  <c r="D7" i="10"/>
  <c r="BY171" i="1"/>
  <c r="BY208" i="1"/>
  <c r="AR33" i="7"/>
  <c r="BB383" i="1"/>
  <c r="BB228" i="1"/>
  <c r="G14" i="5"/>
  <c r="Q44" i="2"/>
  <c r="Q241" i="2"/>
  <c r="R241" i="2" s="1"/>
  <c r="S241" i="2" s="1"/>
  <c r="Q219" i="2"/>
  <c r="R219" i="2" s="1"/>
  <c r="S219" i="2" s="1"/>
  <c r="R182" i="2"/>
  <c r="S182" i="2" s="1"/>
  <c r="T182" i="2" s="1"/>
  <c r="AZ160" i="1"/>
  <c r="BE115" i="1"/>
  <c r="BE116" i="1" s="1"/>
  <c r="BE136" i="1" s="1"/>
  <c r="BE118" i="1"/>
  <c r="BE224" i="1" s="1"/>
  <c r="BU385" i="1"/>
  <c r="BE295" i="1"/>
  <c r="BJ295" i="1"/>
  <c r="BP383" i="1"/>
  <c r="BP388" i="1"/>
  <c r="BY101" i="1"/>
  <c r="BY80" i="1"/>
  <c r="CD80" i="1" s="1"/>
  <c r="CI80" i="1" s="1"/>
  <c r="CD194" i="1"/>
  <c r="CI194" i="1" s="1"/>
  <c r="BY107" i="1"/>
  <c r="BY179" i="1"/>
  <c r="CD187" i="1"/>
  <c r="CI187" i="1" s="1"/>
  <c r="CR49" i="7"/>
  <c r="BY201" i="1"/>
  <c r="BY52" i="1"/>
  <c r="BY49" i="1"/>
  <c r="BY191" i="1"/>
  <c r="BR231" i="1"/>
  <c r="BR232" i="1" s="1"/>
  <c r="AI12" i="7"/>
  <c r="AL12" i="7"/>
  <c r="AZ33" i="7"/>
  <c r="BL383" i="1"/>
  <c r="BG383" i="1"/>
  <c r="BK11" i="7"/>
  <c r="BK45" i="7"/>
  <c r="BK12" i="7"/>
  <c r="C275" i="2"/>
  <c r="M130" i="3"/>
  <c r="BM404" i="1"/>
  <c r="BS388" i="1"/>
  <c r="BT382" i="1"/>
  <c r="P18" i="2"/>
  <c r="BY395" i="1"/>
  <c r="P39" i="2"/>
  <c r="O258" i="2"/>
  <c r="BY392" i="1"/>
  <c r="BR61" i="1"/>
  <c r="BR114" i="1"/>
  <c r="BR318" i="1"/>
  <c r="AW375" i="1"/>
  <c r="BC228" i="1"/>
  <c r="BY403" i="1"/>
  <c r="BR95" i="1"/>
  <c r="BR68" i="1"/>
  <c r="BR381" i="1"/>
  <c r="BX192" i="1"/>
  <c r="P136" i="2"/>
  <c r="BY433" i="1"/>
  <c r="BH404" i="1"/>
  <c r="BU39" i="1"/>
  <c r="U283" i="3"/>
  <c r="L279" i="3"/>
  <c r="L280" i="3" s="1"/>
  <c r="R246" i="3"/>
  <c r="R276" i="3"/>
  <c r="R278" i="3" s="1"/>
  <c r="Q279" i="3"/>
  <c r="Q280" i="3" s="1"/>
  <c r="AP471" i="1"/>
  <c r="AP467" i="1"/>
  <c r="J277" i="2"/>
  <c r="J266" i="2"/>
  <c r="BH334" i="1"/>
  <c r="AF83" i="1"/>
  <c r="AF90" i="1" s="1"/>
  <c r="H317" i="2" s="1"/>
  <c r="AP83" i="1"/>
  <c r="AP90" i="1" s="1"/>
  <c r="J317" i="2" s="1"/>
  <c r="AY228" i="1"/>
  <c r="BN118" i="1"/>
  <c r="BN230" i="1" s="1"/>
  <c r="BN231" i="1" s="1"/>
  <c r="BN232" i="1" s="1"/>
  <c r="BA485" i="1"/>
  <c r="BH228" i="1"/>
  <c r="F39" i="2"/>
  <c r="Q76" i="1"/>
  <c r="Q65" i="1" s="1"/>
  <c r="Q66" i="1" s="1"/>
  <c r="BD116" i="1"/>
  <c r="Y22" i="3"/>
  <c r="Y282" i="3" s="1"/>
  <c r="I44" i="2"/>
  <c r="AK81" i="1"/>
  <c r="AK88" i="1" s="1"/>
  <c r="BC404" i="1"/>
  <c r="AY34" i="7"/>
  <c r="AZ227" i="1"/>
  <c r="V244" i="3" s="1"/>
  <c r="BD231" i="1"/>
  <c r="BD232" i="1" s="1"/>
  <c r="BI383" i="1"/>
  <c r="AU484" i="1"/>
  <c r="L27" i="19" s="1"/>
  <c r="BJ382" i="1"/>
  <c r="AX33" i="7"/>
  <c r="BU192" i="1"/>
  <c r="AW50" i="1"/>
  <c r="E13" i="4"/>
  <c r="V83" i="1"/>
  <c r="V90" i="1" s="1"/>
  <c r="F317" i="2" s="1"/>
  <c r="BW192" i="1"/>
  <c r="AU83" i="1"/>
  <c r="AU90" i="1" s="1"/>
  <c r="K317" i="2" s="1"/>
  <c r="E258" i="2"/>
  <c r="E259" i="2" s="1"/>
  <c r="M73" i="2"/>
  <c r="BE193" i="1"/>
  <c r="CO62" i="7" s="1"/>
  <c r="AA305" i="1"/>
  <c r="BP39" i="1"/>
  <c r="O130" i="3"/>
  <c r="BD228" i="1"/>
  <c r="BF383" i="1"/>
  <c r="BB50" i="1"/>
  <c r="BU404" i="1"/>
  <c r="Q81" i="1"/>
  <c r="AY498" i="1"/>
  <c r="AY500" i="1" s="1"/>
  <c r="BG485" i="1"/>
  <c r="AT10" i="7"/>
  <c r="AT36" i="7" s="1"/>
  <c r="BQ228" i="1"/>
  <c r="L39" i="2"/>
  <c r="N73" i="2"/>
  <c r="O322" i="2"/>
  <c r="AG39" i="1"/>
  <c r="BP404" i="1"/>
  <c r="AF81" i="1"/>
  <c r="AF88" i="1" s="1"/>
  <c r="AA81" i="1"/>
  <c r="AA88" i="1" s="1"/>
  <c r="BF192" i="1"/>
  <c r="BD192" i="1"/>
  <c r="BB116" i="1"/>
  <c r="BO342" i="1"/>
  <c r="BM192" i="1"/>
  <c r="K78" i="2"/>
  <c r="BA456" i="1"/>
  <c r="BA519" i="1" s="1"/>
  <c r="V81" i="1"/>
  <c r="V88" i="1" s="1"/>
  <c r="AU33" i="7"/>
  <c r="AK82" i="1"/>
  <c r="AK89" i="1" s="1"/>
  <c r="AU34" i="7"/>
  <c r="BV50" i="1"/>
  <c r="AF76" i="1"/>
  <c r="AF65" i="1" s="1"/>
  <c r="AF66" i="1" s="1"/>
  <c r="AS375" i="1"/>
  <c r="BL404" i="1"/>
  <c r="BE227" i="1"/>
  <c r="W244" i="3" s="1"/>
  <c r="AP81" i="1"/>
  <c r="AP88" i="1" s="1"/>
  <c r="BK404" i="1"/>
  <c r="BE382" i="1"/>
  <c r="BO208" i="1"/>
  <c r="BD404" i="1"/>
  <c r="AK83" i="1"/>
  <c r="AK90" i="1" s="1"/>
  <c r="I317" i="2" s="1"/>
  <c r="AF82" i="1"/>
  <c r="AF89" i="1" s="1"/>
  <c r="U130" i="3"/>
  <c r="K258" i="2"/>
  <c r="G258" i="2"/>
  <c r="G259" i="2" s="1"/>
  <c r="O44" i="2"/>
  <c r="BQ116" i="1"/>
  <c r="F382" i="1"/>
  <c r="J34" i="7" s="1"/>
  <c r="Q130" i="3"/>
  <c r="BV118" i="1"/>
  <c r="BV230" i="1" s="1"/>
  <c r="G81" i="1"/>
  <c r="BF228" i="1"/>
  <c r="BH39" i="1"/>
  <c r="BM228" i="1"/>
  <c r="N258" i="2"/>
  <c r="C44" i="2"/>
  <c r="M44" i="2"/>
  <c r="K227" i="6"/>
  <c r="K229" i="6" s="1"/>
  <c r="AA83" i="1"/>
  <c r="AA90" i="1" s="1"/>
  <c r="G317" i="2" s="1"/>
  <c r="P44" i="2"/>
  <c r="AU137" i="1"/>
  <c r="AZ119" i="1"/>
  <c r="H39" i="2"/>
  <c r="BP381" i="1"/>
  <c r="BC192" i="1"/>
  <c r="G39" i="2"/>
  <c r="BA404" i="1"/>
  <c r="BB191" i="1"/>
  <c r="BB192" i="1" s="1"/>
  <c r="BG334" i="1"/>
  <c r="AZ201" i="1"/>
  <c r="BA197" i="1"/>
  <c r="AU45" i="7" s="1"/>
  <c r="V250" i="3"/>
  <c r="BO395" i="1"/>
  <c r="AT485" i="1"/>
  <c r="D12" i="6" s="1"/>
  <c r="CN40" i="7"/>
  <c r="V51" i="3"/>
  <c r="V242" i="3" s="1"/>
  <c r="AX118" i="1"/>
  <c r="BD39" i="1"/>
  <c r="BA375" i="1"/>
  <c r="BV404" i="1"/>
  <c r="BE368" i="1"/>
  <c r="AZ118" i="1"/>
  <c r="AZ125" i="1" s="1"/>
  <c r="L315" i="2"/>
  <c r="L324" i="2" s="1"/>
  <c r="AV39" i="1"/>
  <c r="CN46" i="7"/>
  <c r="AQ498" i="1"/>
  <c r="AQ502" i="1" s="1"/>
  <c r="BR404" i="1"/>
  <c r="BE144" i="1"/>
  <c r="AZ116" i="1"/>
  <c r="AZ136" i="1" s="1"/>
  <c r="BE155" i="1"/>
  <c r="U27" i="3"/>
  <c r="K39" i="2"/>
  <c r="BL228" i="1"/>
  <c r="AR375" i="1"/>
  <c r="V137" i="1"/>
  <c r="V289" i="1" s="1"/>
  <c r="BB404" i="1"/>
  <c r="BN39" i="1"/>
  <c r="BE327" i="1"/>
  <c r="BR192" i="1"/>
  <c r="L81" i="1"/>
  <c r="I39" i="2"/>
  <c r="J39" i="2"/>
  <c r="BE355" i="1"/>
  <c r="D39" i="2"/>
  <c r="G137" i="1"/>
  <c r="G289" i="1" s="1"/>
  <c r="BP61" i="1"/>
  <c r="H44" i="2"/>
  <c r="AA76" i="1"/>
  <c r="AA65" i="1" s="1"/>
  <c r="AA66" i="1" s="1"/>
  <c r="G76" i="1"/>
  <c r="G65" i="1" s="1"/>
  <c r="G66" i="1" s="1"/>
  <c r="BA228" i="1"/>
  <c r="BF33" i="7"/>
  <c r="BS228" i="1"/>
  <c r="BS192" i="1"/>
  <c r="BN383" i="1"/>
  <c r="BT395" i="1"/>
  <c r="BF34" i="7"/>
  <c r="BS383" i="1"/>
  <c r="AZ327" i="1"/>
  <c r="BP318" i="1"/>
  <c r="AZ135" i="1"/>
  <c r="AW39" i="1"/>
  <c r="L83" i="1"/>
  <c r="BC39" i="1"/>
  <c r="V76" i="1"/>
  <c r="V65" i="1" s="1"/>
  <c r="V66" i="1" s="1"/>
  <c r="L78" i="2"/>
  <c r="BU2" i="1"/>
  <c r="BU529" i="1" s="1"/>
  <c r="BU50" i="1"/>
  <c r="BI192" i="1"/>
  <c r="BN192" i="1"/>
  <c r="L227" i="6"/>
  <c r="L229" i="6" s="1"/>
  <c r="E44" i="2"/>
  <c r="BE482" i="1"/>
  <c r="L44" i="2"/>
  <c r="BH383" i="1"/>
  <c r="BP68" i="1"/>
  <c r="I131" i="2"/>
  <c r="I129" i="2" s="1"/>
  <c r="C14" i="5"/>
  <c r="M57" i="2"/>
  <c r="BJ347" i="1"/>
  <c r="BR228" i="1"/>
  <c r="R23" i="3"/>
  <c r="R24" i="3" s="1"/>
  <c r="R248" i="3" s="1"/>
  <c r="F259" i="2"/>
  <c r="BN404" i="1"/>
  <c r="CD394" i="1"/>
  <c r="CI394" i="1" s="1"/>
  <c r="BP228" i="1"/>
  <c r="G82" i="1"/>
  <c r="J136" i="3"/>
  <c r="BP114" i="1"/>
  <c r="AK76" i="1"/>
  <c r="AK65" i="1" s="1"/>
  <c r="AK66" i="1" s="1"/>
  <c r="BN228" i="1"/>
  <c r="BE332" i="1"/>
  <c r="BV39" i="1"/>
  <c r="CM11" i="7"/>
  <c r="D20" i="2"/>
  <c r="BT201" i="1"/>
  <c r="B8" i="5"/>
  <c r="BT136" i="1"/>
  <c r="BT137" i="1" s="1"/>
  <c r="BT289" i="1" s="1"/>
  <c r="AP82" i="1"/>
  <c r="AP89" i="1" s="1"/>
  <c r="AA82" i="1"/>
  <c r="AA89" i="1" s="1"/>
  <c r="BM39" i="1"/>
  <c r="AP76" i="1"/>
  <c r="I227" i="6"/>
  <c r="I229" i="6" s="1"/>
  <c r="J258" i="2"/>
  <c r="J259" i="2" s="1"/>
  <c r="I258" i="2"/>
  <c r="I259" i="2" s="1"/>
  <c r="BV191" i="1"/>
  <c r="CA192" i="1" s="1"/>
  <c r="V82" i="1"/>
  <c r="V89" i="1" s="1"/>
  <c r="T130" i="3"/>
  <c r="BD313" i="1"/>
  <c r="S130" i="3"/>
  <c r="AU448" i="1"/>
  <c r="BG118" i="1"/>
  <c r="BG230" i="1" s="1"/>
  <c r="BG231" i="1" s="1"/>
  <c r="BG232" i="1" s="1"/>
  <c r="K58" i="2"/>
  <c r="K292" i="2" s="1"/>
  <c r="U73" i="3" s="1"/>
  <c r="C14" i="4"/>
  <c r="D44" i="2"/>
  <c r="N322" i="2"/>
  <c r="AP52" i="1"/>
  <c r="CL12" i="7" s="1"/>
  <c r="BI228" i="1"/>
  <c r="AV116" i="1"/>
  <c r="Q83" i="1"/>
  <c r="BQ404" i="1"/>
  <c r="CD135" i="1"/>
  <c r="BT108" i="1"/>
  <c r="BT109" i="1" s="1"/>
  <c r="AZ108" i="1"/>
  <c r="AZ109" i="1" s="1"/>
  <c r="BP192" i="1"/>
  <c r="L82" i="1"/>
  <c r="AP92" i="1"/>
  <c r="E326" i="2"/>
  <c r="J227" i="6"/>
  <c r="J229" i="6" s="1"/>
  <c r="BU116" i="1"/>
  <c r="G83" i="1"/>
  <c r="BE49" i="1"/>
  <c r="BE52" i="1"/>
  <c r="CO12" i="7" s="1"/>
  <c r="O58" i="2"/>
  <c r="O292" i="2" s="1"/>
  <c r="Y73" i="3" s="1"/>
  <c r="G14" i="4"/>
  <c r="BL116" i="1"/>
  <c r="BH192" i="1"/>
  <c r="Q137" i="1"/>
  <c r="Q289" i="1" s="1"/>
  <c r="Q82" i="1"/>
  <c r="S25" i="2"/>
  <c r="BE395" i="1"/>
  <c r="N324" i="2"/>
  <c r="H124" i="2"/>
  <c r="BJ49" i="1"/>
  <c r="F13" i="4"/>
  <c r="BA115" i="1"/>
  <c r="BK192" i="1"/>
  <c r="L76" i="1"/>
  <c r="G13" i="4"/>
  <c r="BO49" i="1"/>
  <c r="BK209" i="1"/>
  <c r="AZ37" i="1"/>
  <c r="V19" i="3" s="1"/>
  <c r="AZ38" i="1"/>
  <c r="BL191" i="1"/>
  <c r="BI404" i="1"/>
  <c r="N58" i="2"/>
  <c r="N292" i="2" s="1"/>
  <c r="X73" i="3" s="1"/>
  <c r="F14" i="4"/>
  <c r="B76" i="1"/>
  <c r="B65" i="1" s="1"/>
  <c r="B66" i="1" s="1"/>
  <c r="P130" i="3"/>
  <c r="F58" i="2"/>
  <c r="F292" i="2" s="1"/>
  <c r="F176" i="2"/>
  <c r="E7" i="2"/>
  <c r="E10" i="2" s="1"/>
  <c r="E20" i="2" s="1"/>
  <c r="W130" i="3"/>
  <c r="M258" i="2"/>
  <c r="M58" i="2"/>
  <c r="M292" i="2" s="1"/>
  <c r="W73" i="3" s="1"/>
  <c r="E14" i="4"/>
  <c r="I482" i="1"/>
  <c r="I484" i="1"/>
  <c r="AE482" i="1"/>
  <c r="AE484" i="1"/>
  <c r="BT403" i="1"/>
  <c r="BT393" i="1"/>
  <c r="BT392" i="1"/>
  <c r="P482" i="1"/>
  <c r="P484" i="1"/>
  <c r="BS31" i="1"/>
  <c r="BX32" i="1" s="1"/>
  <c r="BS30" i="1"/>
  <c r="BS371" i="1" s="1"/>
  <c r="AZ331" i="1"/>
  <c r="AX50" i="7"/>
  <c r="BE210" i="1"/>
  <c r="V130" i="3"/>
  <c r="L258" i="2"/>
  <c r="L58" i="2"/>
  <c r="L292" i="2" s="1"/>
  <c r="V73" i="3" s="1"/>
  <c r="D14" i="4"/>
  <c r="J341" i="2"/>
  <c r="J343" i="2"/>
  <c r="M7" i="3"/>
  <c r="M25" i="3" s="1"/>
  <c r="D131" i="2"/>
  <c r="D129" i="2" s="1"/>
  <c r="N7" i="3"/>
  <c r="N25" i="3" s="1"/>
  <c r="E131" i="2"/>
  <c r="E129" i="2" s="1"/>
  <c r="L129" i="3"/>
  <c r="B198" i="2"/>
  <c r="S129" i="3"/>
  <c r="I198" i="2"/>
  <c r="I200" i="2"/>
  <c r="Q7" i="3"/>
  <c r="Q25" i="3" s="1"/>
  <c r="H131" i="2"/>
  <c r="H129" i="2" s="1"/>
  <c r="J105" i="2"/>
  <c r="T21" i="3" s="1"/>
  <c r="BU516" i="1"/>
  <c r="BU31" i="1"/>
  <c r="BZ32" i="1" s="1"/>
  <c r="BU30" i="1"/>
  <c r="K254" i="2"/>
  <c r="K194" i="2"/>
  <c r="BQ31" i="1"/>
  <c r="BQ30" i="1"/>
  <c r="BQ371" i="1" s="1"/>
  <c r="W482" i="1"/>
  <c r="W484" i="1"/>
  <c r="T484" i="1"/>
  <c r="T482" i="1"/>
  <c r="L29" i="3"/>
  <c r="B222" i="2"/>
  <c r="Q180" i="6"/>
  <c r="AQ334" i="1"/>
  <c r="AU332" i="1"/>
  <c r="S180" i="6"/>
  <c r="AS334" i="1"/>
  <c r="BQ231" i="1"/>
  <c r="BQ232" i="1" s="1"/>
  <c r="K324" i="2"/>
  <c r="BA334" i="1"/>
  <c r="CO49" i="7"/>
  <c r="BG191" i="1"/>
  <c r="BE201" i="1"/>
  <c r="T291" i="1"/>
  <c r="T384" i="1" s="1"/>
  <c r="T382" i="1"/>
  <c r="Y383" i="1" s="1"/>
  <c r="T228" i="1"/>
  <c r="BF334" i="1"/>
  <c r="J382" i="1"/>
  <c r="O383" i="1" s="1"/>
  <c r="J291" i="1"/>
  <c r="J384" i="1" s="1"/>
  <c r="AK227" i="1"/>
  <c r="AP228" i="1" s="1"/>
  <c r="Q384" i="1"/>
  <c r="Q432" i="1" s="1"/>
  <c r="F24" i="19" s="1"/>
  <c r="M127" i="3"/>
  <c r="M24" i="3"/>
  <c r="M248" i="3" s="1"/>
  <c r="M247" i="3"/>
  <c r="G456" i="1"/>
  <c r="G383" i="1"/>
  <c r="CM44" i="7"/>
  <c r="AU220" i="1"/>
  <c r="V526" i="1"/>
  <c r="V456" i="1"/>
  <c r="V383" i="1"/>
  <c r="CS48" i="7"/>
  <c r="N247" i="3"/>
  <c r="N24" i="3"/>
  <c r="N248" i="3" s="1"/>
  <c r="N127" i="3"/>
  <c r="BQ381" i="1"/>
  <c r="BQ318" i="1"/>
  <c r="BQ114" i="1"/>
  <c r="BQ95" i="1"/>
  <c r="BV2" i="1"/>
  <c r="BQ68" i="1"/>
  <c r="BQ61" i="1"/>
  <c r="BE109" i="1"/>
  <c r="AU111" i="1"/>
  <c r="AU109" i="1"/>
  <c r="O75" i="2"/>
  <c r="BJ331" i="1"/>
  <c r="N130" i="3"/>
  <c r="D258" i="2"/>
  <c r="D259" i="2" s="1"/>
  <c r="I341" i="2"/>
  <c r="I343" i="2"/>
  <c r="N129" i="3"/>
  <c r="D198" i="2"/>
  <c r="Z22" i="3"/>
  <c r="Z282" i="3" s="1"/>
  <c r="P73" i="2"/>
  <c r="P294" i="2" s="1"/>
  <c r="Z75" i="3" s="1"/>
  <c r="BT509" i="1"/>
  <c r="BT49" i="1"/>
  <c r="H13" i="4"/>
  <c r="BA10" i="7"/>
  <c r="BA36" i="7" s="1"/>
  <c r="BH485" i="1"/>
  <c r="F44" i="2"/>
  <c r="V22" i="3"/>
  <c r="V282" i="3" s="1"/>
  <c r="L73" i="2"/>
  <c r="L294" i="2" s="1"/>
  <c r="V75" i="3" s="1"/>
  <c r="AZ49" i="1"/>
  <c r="D13" i="4"/>
  <c r="O27" i="3"/>
  <c r="E39" i="2"/>
  <c r="BF10" i="7"/>
  <c r="BF36" i="7" s="1"/>
  <c r="BN485" i="1"/>
  <c r="BP31" i="1"/>
  <c r="BP30" i="1"/>
  <c r="BP371" i="1" s="1"/>
  <c r="BD10" i="7"/>
  <c r="BD36" i="7" s="1"/>
  <c r="BL485" i="1"/>
  <c r="O482" i="1"/>
  <c r="O484" i="1"/>
  <c r="BV516" i="1"/>
  <c r="BV31" i="1"/>
  <c r="CA32" i="1" s="1"/>
  <c r="BV30" i="1"/>
  <c r="T10" i="7"/>
  <c r="T36" i="7" s="1"/>
  <c r="S498" i="1"/>
  <c r="S502" i="1" s="1"/>
  <c r="H482" i="1"/>
  <c r="H484" i="1"/>
  <c r="BT38" i="1"/>
  <c r="BY39" i="1" s="1"/>
  <c r="BT37" i="1"/>
  <c r="Z19" i="3" s="1"/>
  <c r="Z276" i="3" s="1"/>
  <c r="BO328" i="1"/>
  <c r="BO355" i="1"/>
  <c r="BH30" i="7"/>
  <c r="BO368" i="1"/>
  <c r="BM231" i="1"/>
  <c r="BM232" i="1" s="1"/>
  <c r="N244" i="3"/>
  <c r="L291" i="1"/>
  <c r="L382" i="1"/>
  <c r="Q383" i="1" s="1"/>
  <c r="AQ382" i="1"/>
  <c r="AQ291" i="1"/>
  <c r="AQ228" i="1"/>
  <c r="AU227" i="1"/>
  <c r="BS231" i="1"/>
  <c r="BS232" i="1" s="1"/>
  <c r="AU222" i="1"/>
  <c r="AU192" i="1"/>
  <c r="AU203" i="1"/>
  <c r="M52" i="6"/>
  <c r="M68" i="6" s="1"/>
  <c r="AG384" i="1"/>
  <c r="AG432" i="1" s="1"/>
  <c r="Q526" i="1"/>
  <c r="Q456" i="1"/>
  <c r="X382" i="1"/>
  <c r="AC383" i="1" s="1"/>
  <c r="X291" i="1"/>
  <c r="X384" i="1" s="1"/>
  <c r="X228" i="1"/>
  <c r="X226" i="1"/>
  <c r="R52" i="6"/>
  <c r="R68" i="6" s="1"/>
  <c r="AM384" i="1"/>
  <c r="AM388" i="1" s="1"/>
  <c r="AA227" i="1"/>
  <c r="P127" i="3"/>
  <c r="P24" i="3"/>
  <c r="P248" i="3" s="1"/>
  <c r="P247" i="3"/>
  <c r="AI34" i="7"/>
  <c r="AL383" i="1"/>
  <c r="O34" i="7"/>
  <c r="M432" i="1"/>
  <c r="M472" i="1" s="1"/>
  <c r="M388" i="1"/>
  <c r="O8" i="7" s="1"/>
  <c r="O33" i="7" s="1"/>
  <c r="O53" i="7" s="1"/>
  <c r="M456" i="1"/>
  <c r="M318" i="2"/>
  <c r="M322" i="2"/>
  <c r="L381" i="1"/>
  <c r="L318" i="1"/>
  <c r="L165" i="1"/>
  <c r="L114" i="1"/>
  <c r="L95" i="1"/>
  <c r="L68" i="1"/>
  <c r="L61" i="1"/>
  <c r="Q2" i="1"/>
  <c r="Q529" i="1" s="1"/>
  <c r="G6" i="4"/>
  <c r="K105" i="2"/>
  <c r="U21" i="3" s="1"/>
  <c r="V34" i="7"/>
  <c r="U432" i="1"/>
  <c r="U472" i="1" s="1"/>
  <c r="U456" i="1"/>
  <c r="U388" i="1"/>
  <c r="V8" i="7" s="1"/>
  <c r="V33" i="7" s="1"/>
  <c r="V53" i="7" s="1"/>
  <c r="G341" i="2"/>
  <c r="G343" i="2"/>
  <c r="D341" i="2"/>
  <c r="D343" i="2"/>
  <c r="C341" i="2"/>
  <c r="C343" i="2"/>
  <c r="B343" i="2"/>
  <c r="O129" i="3"/>
  <c r="E198" i="2"/>
  <c r="T7" i="3"/>
  <c r="T25" i="3" s="1"/>
  <c r="K75" i="2"/>
  <c r="BE38" i="1"/>
  <c r="BE37" i="1"/>
  <c r="W19" i="3" s="1"/>
  <c r="W276" i="3" s="1"/>
  <c r="W278" i="3" s="1"/>
  <c r="W279" i="3" s="1"/>
  <c r="W280" i="3" s="1"/>
  <c r="AY10" i="7"/>
  <c r="AY36" i="7" s="1"/>
  <c r="BF485" i="1"/>
  <c r="AX10" i="7"/>
  <c r="AX36" i="7" s="1"/>
  <c r="BD485" i="1"/>
  <c r="C269" i="2"/>
  <c r="C271" i="2" s="1"/>
  <c r="C81" i="2"/>
  <c r="C79" i="2"/>
  <c r="C196" i="2" s="1"/>
  <c r="C200" i="2" s="1"/>
  <c r="G482" i="1"/>
  <c r="G484" i="1"/>
  <c r="D27" i="19" s="1"/>
  <c r="D79" i="2"/>
  <c r="D196" i="2" s="1"/>
  <c r="D200" i="2" s="1"/>
  <c r="D269" i="2"/>
  <c r="D81" i="2"/>
  <c r="L484" i="1"/>
  <c r="E27" i="19" s="1"/>
  <c r="L482" i="1"/>
  <c r="AS502" i="1"/>
  <c r="BJ368" i="1"/>
  <c r="BO38" i="1"/>
  <c r="BO37" i="1"/>
  <c r="Y19" i="3" s="1"/>
  <c r="Y276" i="3" s="1"/>
  <c r="BS404" i="1"/>
  <c r="BE347" i="1"/>
  <c r="AY375" i="1"/>
  <c r="AW334" i="1"/>
  <c r="BI231" i="1"/>
  <c r="BI232" i="1" s="1"/>
  <c r="BC313" i="1"/>
  <c r="AF304" i="1"/>
  <c r="AK306" i="1"/>
  <c r="CR40" i="7"/>
  <c r="Z250" i="3"/>
  <c r="BT230" i="1"/>
  <c r="BT171" i="1"/>
  <c r="AI382" i="1"/>
  <c r="AN383" i="1" s="1"/>
  <c r="AI291" i="1"/>
  <c r="AI228" i="1"/>
  <c r="AI226" i="1"/>
  <c r="AE34" i="7"/>
  <c r="AN228" i="1"/>
  <c r="BJ224" i="1"/>
  <c r="B456" i="1"/>
  <c r="B432" i="1"/>
  <c r="B486" i="1" s="1"/>
  <c r="AC228" i="1"/>
  <c r="BT103" i="1"/>
  <c r="Q127" i="3"/>
  <c r="Q24" i="3"/>
  <c r="Q248" i="3" s="1"/>
  <c r="Q247" i="3"/>
  <c r="K322" i="2"/>
  <c r="K318" i="2"/>
  <c r="BB313" i="1"/>
  <c r="R167" i="2"/>
  <c r="R24" i="2"/>
  <c r="M129" i="3"/>
  <c r="C198" i="2"/>
  <c r="BR31" i="1"/>
  <c r="BW32" i="1" s="1"/>
  <c r="BR30" i="1"/>
  <c r="BR371" i="1" s="1"/>
  <c r="J44" i="2"/>
  <c r="BE331" i="1"/>
  <c r="CN39" i="7"/>
  <c r="V249" i="3"/>
  <c r="AZ126" i="1"/>
  <c r="AZ127" i="1" s="1"/>
  <c r="BE123" i="1"/>
  <c r="M227" i="6"/>
  <c r="M229" i="6" s="1"/>
  <c r="F343" i="2"/>
  <c r="F341" i="2"/>
  <c r="L7" i="3"/>
  <c r="L25" i="3" s="1"/>
  <c r="C131" i="2"/>
  <c r="C129" i="2" s="1"/>
  <c r="B131" i="2"/>
  <c r="B129" i="2" s="1"/>
  <c r="E343" i="2"/>
  <c r="E341" i="2"/>
  <c r="R129" i="3"/>
  <c r="H198" i="2"/>
  <c r="G44" i="2"/>
  <c r="F135" i="2"/>
  <c r="F131" i="2" s="1"/>
  <c r="F129" i="2" s="1"/>
  <c r="AQ10" i="7"/>
  <c r="AQ36" i="7" s="1"/>
  <c r="AV498" i="1"/>
  <c r="AV485" i="1"/>
  <c r="B14" i="5"/>
  <c r="K44" i="2"/>
  <c r="AK452" i="1"/>
  <c r="AK38" i="1"/>
  <c r="AK37" i="1"/>
  <c r="S19" i="3" s="1"/>
  <c r="S276" i="3" s="1"/>
  <c r="N10" i="7"/>
  <c r="N36" i="7" s="1"/>
  <c r="K498" i="1"/>
  <c r="K502" i="1" s="1"/>
  <c r="AT499" i="1"/>
  <c r="AU504" i="1"/>
  <c r="L6" i="19" s="1"/>
  <c r="H269" i="2"/>
  <c r="H81" i="2"/>
  <c r="H79" i="2"/>
  <c r="H196" i="2" s="1"/>
  <c r="H200" i="2" s="1"/>
  <c r="AF482" i="1"/>
  <c r="AF484" i="1"/>
  <c r="I27" i="19" s="1"/>
  <c r="AZ403" i="1"/>
  <c r="AZ404" i="1" s="1"/>
  <c r="AZ392" i="1"/>
  <c r="AU38" i="1"/>
  <c r="AU37" i="1"/>
  <c r="U19" i="3" s="1"/>
  <c r="U276" i="3" s="1"/>
  <c r="BJ342" i="1"/>
  <c r="BO347" i="1"/>
  <c r="BJ395" i="1"/>
  <c r="AW33" i="7"/>
  <c r="AW34" i="7"/>
  <c r="BC383" i="1"/>
  <c r="BC231" i="1"/>
  <c r="BC232" i="1" s="1"/>
  <c r="BE328" i="1"/>
  <c r="CQ49" i="7"/>
  <c r="BQ191" i="1"/>
  <c r="BO201" i="1"/>
  <c r="BO191" i="1"/>
  <c r="AT33" i="7"/>
  <c r="AT34" i="7"/>
  <c r="AY383" i="1"/>
  <c r="CL50" i="7"/>
  <c r="AP211" i="1"/>
  <c r="D2" i="5"/>
  <c r="CO40" i="7"/>
  <c r="W250" i="3"/>
  <c r="BE171" i="1"/>
  <c r="BL231" i="1"/>
  <c r="BL232" i="1" s="1"/>
  <c r="BJ201" i="1"/>
  <c r="Y228" i="1"/>
  <c r="O324" i="2"/>
  <c r="AK34" i="7"/>
  <c r="P382" i="1"/>
  <c r="P291" i="1"/>
  <c r="P384" i="1" s="1"/>
  <c r="BF116" i="1"/>
  <c r="BF118" i="1"/>
  <c r="BF230" i="1" s="1"/>
  <c r="AJ34" i="7"/>
  <c r="P34" i="7"/>
  <c r="N432" i="1"/>
  <c r="N472" i="1" s="1"/>
  <c r="N456" i="1"/>
  <c r="N388" i="1"/>
  <c r="P8" i="7" s="1"/>
  <c r="P33" i="7" s="1"/>
  <c r="P53" i="7" s="1"/>
  <c r="N383" i="1"/>
  <c r="J52" i="6"/>
  <c r="J68" i="6" s="1"/>
  <c r="AC384" i="1"/>
  <c r="AC432" i="1" s="1"/>
  <c r="AC472" i="1" s="1"/>
  <c r="BE191" i="1"/>
  <c r="BO136" i="1"/>
  <c r="BO137" i="1" s="1"/>
  <c r="AD34" i="7"/>
  <c r="AE456" i="1"/>
  <c r="L63" i="6" s="1"/>
  <c r="Q52" i="6"/>
  <c r="Q68" i="6" s="1"/>
  <c r="AL384" i="1"/>
  <c r="AL432" i="1" s="1"/>
  <c r="Z130" i="3"/>
  <c r="P258" i="2"/>
  <c r="P58" i="2"/>
  <c r="P292" i="2" s="1"/>
  <c r="H14" i="4"/>
  <c r="H343" i="2"/>
  <c r="H341" i="2"/>
  <c r="AK525" i="1"/>
  <c r="M269" i="2"/>
  <c r="M81" i="2"/>
  <c r="M79" i="2"/>
  <c r="M196" i="2" s="1"/>
  <c r="BE484" i="1"/>
  <c r="N27" i="19" s="1"/>
  <c r="BE392" i="1"/>
  <c r="BE403" i="1"/>
  <c r="BF404" i="1"/>
  <c r="BR388" i="1"/>
  <c r="BT368" i="1"/>
  <c r="BJ355" i="1"/>
  <c r="BG404" i="1"/>
  <c r="BT342" i="1"/>
  <c r="CP40" i="7"/>
  <c r="X250" i="3"/>
  <c r="BJ230" i="1"/>
  <c r="BJ171" i="1"/>
  <c r="BT208" i="1"/>
  <c r="BT191" i="1"/>
  <c r="BJ191" i="1"/>
  <c r="BJ208" i="1"/>
  <c r="CQ40" i="7"/>
  <c r="Y250" i="3"/>
  <c r="BO230" i="1"/>
  <c r="BO171" i="1"/>
  <c r="C2" i="5"/>
  <c r="AZ295" i="1"/>
  <c r="AZ208" i="1"/>
  <c r="AZ191" i="1"/>
  <c r="S382" i="1"/>
  <c r="S291" i="1"/>
  <c r="S384" i="1" s="1"/>
  <c r="S228" i="1"/>
  <c r="T180" i="6"/>
  <c r="AT334" i="1"/>
  <c r="BD383" i="1"/>
  <c r="BU209" i="1"/>
  <c r="T52" i="6"/>
  <c r="T68" i="6" s="1"/>
  <c r="AO384" i="1"/>
  <c r="AO432" i="1" s="1"/>
  <c r="L34" i="7"/>
  <c r="I432" i="1"/>
  <c r="I472" i="1" s="1"/>
  <c r="I388" i="1"/>
  <c r="L8" i="7" s="1"/>
  <c r="L33" i="7" s="1"/>
  <c r="I456" i="1"/>
  <c r="I383" i="1"/>
  <c r="S52" i="6"/>
  <c r="S68" i="6" s="1"/>
  <c r="AN384" i="1"/>
  <c r="AN432" i="1" s="1"/>
  <c r="W34" i="7"/>
  <c r="W456" i="1"/>
  <c r="W432" i="1"/>
  <c r="W472" i="1" s="1"/>
  <c r="W388" i="1"/>
  <c r="W8" i="7" s="1"/>
  <c r="W33" i="7" s="1"/>
  <c r="W53" i="7" s="1"/>
  <c r="X52" i="6"/>
  <c r="X68" i="6" s="1"/>
  <c r="AT384" i="1"/>
  <c r="AT432" i="1" s="1"/>
  <c r="AT486" i="1" s="1"/>
  <c r="K52" i="6"/>
  <c r="K68" i="6" s="1"/>
  <c r="AD384" i="1"/>
  <c r="AD388" i="1" s="1"/>
  <c r="AB34" i="7"/>
  <c r="AC456" i="1"/>
  <c r="J63" i="6" s="1"/>
  <c r="BS381" i="1"/>
  <c r="BS318" i="1"/>
  <c r="BS114" i="1"/>
  <c r="BS68" i="1"/>
  <c r="BS61" i="1"/>
  <c r="BS95" i="1"/>
  <c r="BJ103" i="1"/>
  <c r="BO102" i="1"/>
  <c r="BO105" i="1" s="1"/>
  <c r="BO242" i="1" s="1"/>
  <c r="BO243" i="1" s="1"/>
  <c r="BO244" i="1" s="1"/>
  <c r="T127" i="3"/>
  <c r="T24" i="3"/>
  <c r="T248" i="3" s="1"/>
  <c r="T247" i="3"/>
  <c r="BE208" i="1"/>
  <c r="BT224" i="1"/>
  <c r="C197" i="3"/>
  <c r="BJ109" i="1"/>
  <c r="F10" i="4"/>
  <c r="G3" i="4"/>
  <c r="O7" i="3"/>
  <c r="O25" i="3" s="1"/>
  <c r="J482" i="1"/>
  <c r="J484" i="1"/>
  <c r="R180" i="6"/>
  <c r="AR334" i="1"/>
  <c r="AZ347" i="1"/>
  <c r="BB334" i="1"/>
  <c r="AB291" i="1"/>
  <c r="AB382" i="1"/>
  <c r="AB228" i="1"/>
  <c r="AB226" i="1"/>
  <c r="AF227" i="1"/>
  <c r="BK118" i="1"/>
  <c r="BK230" i="1" s="1"/>
  <c r="BK231" i="1" s="1"/>
  <c r="BK116" i="1"/>
  <c r="G384" i="1"/>
  <c r="G385" i="1" s="1"/>
  <c r="G292" i="1"/>
  <c r="AO34" i="7"/>
  <c r="AS383" i="1"/>
  <c r="E61" i="4"/>
  <c r="R130" i="3"/>
  <c r="H258" i="2"/>
  <c r="H259" i="2" s="1"/>
  <c r="H58" i="2"/>
  <c r="H292" i="2" s="1"/>
  <c r="S7" i="3"/>
  <c r="S25" i="3" s="1"/>
  <c r="J131" i="2"/>
  <c r="J129" i="2" s="1"/>
  <c r="O228" i="6"/>
  <c r="L223" i="2"/>
  <c r="V134" i="3"/>
  <c r="Z482" i="1"/>
  <c r="Z484" i="1"/>
  <c r="Y482" i="1"/>
  <c r="Y484" i="1"/>
  <c r="R214" i="2"/>
  <c r="AR502" i="1"/>
  <c r="X482" i="1"/>
  <c r="X484" i="1"/>
  <c r="BK485" i="1"/>
  <c r="K277" i="2"/>
  <c r="K345" i="2"/>
  <c r="K266" i="2"/>
  <c r="AU467" i="1"/>
  <c r="B6" i="5" s="1"/>
  <c r="AU52" i="1"/>
  <c r="CM12" i="7" s="1"/>
  <c r="BT384" i="1"/>
  <c r="BE342" i="1"/>
  <c r="BT347" i="1"/>
  <c r="BT328" i="1"/>
  <c r="BH231" i="1"/>
  <c r="BH232" i="1" s="1"/>
  <c r="AX334" i="1"/>
  <c r="CM60" i="7"/>
  <c r="AZ129" i="1"/>
  <c r="AR291" i="1"/>
  <c r="AR228" i="1"/>
  <c r="AR382" i="1"/>
  <c r="AW228" i="1"/>
  <c r="K382" i="1"/>
  <c r="K291" i="1"/>
  <c r="K384" i="1" s="1"/>
  <c r="AH382" i="1"/>
  <c r="AH228" i="1"/>
  <c r="AH226" i="1"/>
  <c r="AH291" i="1"/>
  <c r="AL34" i="7"/>
  <c r="BJ136" i="1"/>
  <c r="BJ137" i="1" s="1"/>
  <c r="L52" i="6"/>
  <c r="L68" i="6" s="1"/>
  <c r="AE384" i="1"/>
  <c r="AE388" i="1" s="1"/>
  <c r="BB231" i="1"/>
  <c r="AP34" i="7"/>
  <c r="AT383" i="1"/>
  <c r="AC34" i="7"/>
  <c r="AD456" i="1"/>
  <c r="K63" i="6" s="1"/>
  <c r="AD383" i="1"/>
  <c r="BP116" i="1"/>
  <c r="BP118" i="1"/>
  <c r="BP230" i="1" s="1"/>
  <c r="P129" i="3"/>
  <c r="F198" i="2"/>
  <c r="CR7" i="7"/>
  <c r="G3" i="5"/>
  <c r="P173" i="2"/>
  <c r="P160" i="2"/>
  <c r="P156" i="2"/>
  <c r="P163" i="2"/>
  <c r="P153" i="2"/>
  <c r="BT515" i="1"/>
  <c r="BT31" i="1"/>
  <c r="BY32" i="1" s="1"/>
  <c r="BJ38" i="1"/>
  <c r="BJ37" i="1"/>
  <c r="X19" i="3" s="1"/>
  <c r="X276" i="3" s="1"/>
  <c r="X278" i="3" s="1"/>
  <c r="BT355" i="1"/>
  <c r="BC334" i="1"/>
  <c r="R382" i="1"/>
  <c r="W383" i="1" s="1"/>
  <c r="R228" i="1"/>
  <c r="R291" i="1"/>
  <c r="R384" i="1" s="1"/>
  <c r="L322" i="2"/>
  <c r="L318" i="2"/>
  <c r="AU105" i="1"/>
  <c r="AU103" i="1"/>
  <c r="P319" i="2"/>
  <c r="Q319" i="2" s="1"/>
  <c r="O318" i="2"/>
  <c r="O191" i="2"/>
  <c r="Q129" i="3"/>
  <c r="G198" i="2"/>
  <c r="T129" i="3"/>
  <c r="J198" i="2"/>
  <c r="E14" i="5"/>
  <c r="N44" i="2"/>
  <c r="R482" i="1"/>
  <c r="R484" i="1"/>
  <c r="E269" i="2"/>
  <c r="E81" i="2"/>
  <c r="E79" i="2"/>
  <c r="E196" i="2" s="1"/>
  <c r="E200" i="2" s="1"/>
  <c r="Q482" i="1"/>
  <c r="Q484" i="1"/>
  <c r="F27" i="19" s="1"/>
  <c r="AB4" i="3"/>
  <c r="AB3" i="3" s="1"/>
  <c r="AB10" i="7"/>
  <c r="AB36" i="7" s="1"/>
  <c r="AC498" i="1"/>
  <c r="AC502" i="1" s="1"/>
  <c r="AB484" i="1"/>
  <c r="AB482" i="1"/>
  <c r="BJ403" i="1"/>
  <c r="BJ392" i="1"/>
  <c r="BM485" i="1"/>
  <c r="BO403" i="1"/>
  <c r="BO392" i="1"/>
  <c r="BI485" i="1"/>
  <c r="BC33" i="7"/>
  <c r="BC34" i="7"/>
  <c r="BO382" i="1"/>
  <c r="BK383" i="1"/>
  <c r="AZ368" i="1"/>
  <c r="AZ355" i="1"/>
  <c r="U180" i="6"/>
  <c r="AZ332" i="1"/>
  <c r="AV334" i="1"/>
  <c r="BK334" i="1"/>
  <c r="BJ328" i="1"/>
  <c r="BJ332" i="1"/>
  <c r="L326" i="2"/>
  <c r="BI334" i="1"/>
  <c r="AJ291" i="1"/>
  <c r="AJ228" i="1"/>
  <c r="AJ382" i="1"/>
  <c r="AO383" i="1" s="1"/>
  <c r="AJ226" i="1"/>
  <c r="AZ312" i="1"/>
  <c r="AZ316" i="1"/>
  <c r="AU331" i="1"/>
  <c r="Z382" i="1"/>
  <c r="Z226" i="1"/>
  <c r="Z291" i="1"/>
  <c r="Z384" i="1" s="1"/>
  <c r="Z228" i="1"/>
  <c r="Y34" i="7"/>
  <c r="Y432" i="1"/>
  <c r="Y472" i="1" s="1"/>
  <c r="Y388" i="1"/>
  <c r="Y8" i="7" s="1"/>
  <c r="Y33" i="7" s="1"/>
  <c r="Y53" i="7" s="1"/>
  <c r="Y456" i="1"/>
  <c r="AZ103" i="1"/>
  <c r="BE102" i="1"/>
  <c r="BE105" i="1" s="1"/>
  <c r="BE242" i="1" s="1"/>
  <c r="BE243" i="1" s="1"/>
  <c r="BE244" i="1" s="1"/>
  <c r="BO224" i="1"/>
  <c r="AF137" i="1"/>
  <c r="H291" i="1"/>
  <c r="H384" i="1" s="1"/>
  <c r="H382" i="1"/>
  <c r="AE228" i="1"/>
  <c r="Q34" i="7"/>
  <c r="O456" i="1"/>
  <c r="O388" i="1"/>
  <c r="Q8" i="7" s="1"/>
  <c r="Q33" i="7" s="1"/>
  <c r="Q53" i="7" s="1"/>
  <c r="O432" i="1"/>
  <c r="O472" i="1" s="1"/>
  <c r="AP382" i="1"/>
  <c r="AP291" i="1"/>
  <c r="AP170" i="1"/>
  <c r="V384" i="1"/>
  <c r="V292" i="1"/>
  <c r="W52" i="6"/>
  <c r="W68" i="6" s="1"/>
  <c r="AS384" i="1"/>
  <c r="AS432" i="1" s="1"/>
  <c r="AS486" i="1" s="1"/>
  <c r="L127" i="3"/>
  <c r="L24" i="3"/>
  <c r="L248" i="3" s="1"/>
  <c r="L247" i="3"/>
  <c r="P324" i="2"/>
  <c r="O247" i="3"/>
  <c r="O24" i="3"/>
  <c r="O248" i="3" s="1"/>
  <c r="O127" i="3"/>
  <c r="B122" i="1"/>
  <c r="G87" i="1"/>
  <c r="L87" i="1" s="1"/>
  <c r="Q87" i="1" s="1"/>
  <c r="V87" i="1" s="1"/>
  <c r="AA87" i="1" s="1"/>
  <c r="AF87" i="1" s="1"/>
  <c r="AK87" i="1" s="1"/>
  <c r="AP87" i="1" s="1"/>
  <c r="AU87" i="1" s="1"/>
  <c r="AZ87" i="1" s="1"/>
  <c r="BE87" i="1" s="1"/>
  <c r="BJ87" i="1" s="1"/>
  <c r="BO87" i="1" s="1"/>
  <c r="BT87" i="1" s="1"/>
  <c r="BT237" i="1"/>
  <c r="BT238" i="1" s="1"/>
  <c r="BO109" i="1"/>
  <c r="CW42" i="7" l="1"/>
  <c r="CQ236" i="1"/>
  <c r="J130" i="2"/>
  <c r="CN187" i="1"/>
  <c r="CN394" i="1"/>
  <c r="CN194" i="1"/>
  <c r="CQ194" i="1" s="1"/>
  <c r="CR194" i="1" s="1"/>
  <c r="CS194" i="1" s="1"/>
  <c r="CT194" i="1" s="1"/>
  <c r="CU194" i="1" s="1"/>
  <c r="CV194" i="1" s="1"/>
  <c r="CW194" i="1" s="1"/>
  <c r="CN80" i="1"/>
  <c r="CQ80" i="1" s="1"/>
  <c r="CR80" i="1" s="1"/>
  <c r="CS80" i="1" s="1"/>
  <c r="CT80" i="1" s="1"/>
  <c r="CU80" i="1" s="1"/>
  <c r="CV80" i="1" s="1"/>
  <c r="CW80" i="1" s="1"/>
  <c r="T219" i="2"/>
  <c r="U219" i="2" s="1"/>
  <c r="V219" i="2" s="1"/>
  <c r="W219" i="2" s="1"/>
  <c r="X219" i="2" s="1"/>
  <c r="Y219" i="2" s="1"/>
  <c r="Z219" i="2" s="1"/>
  <c r="AA219" i="2" s="1"/>
  <c r="T241" i="2"/>
  <c r="U241" i="2" s="1"/>
  <c r="V241" i="2" s="1"/>
  <c r="W241" i="2" s="1"/>
  <c r="X241" i="2" s="1"/>
  <c r="Y241" i="2" s="1"/>
  <c r="Z241" i="2" s="1"/>
  <c r="AA241" i="2" s="1"/>
  <c r="T216" i="2"/>
  <c r="U216" i="2" s="1"/>
  <c r="V216" i="2" s="1"/>
  <c r="W216" i="2" s="1"/>
  <c r="X216" i="2" s="1"/>
  <c r="Y216" i="2" s="1"/>
  <c r="Z216" i="2" s="1"/>
  <c r="AA216" i="2" s="1"/>
  <c r="T188" i="2"/>
  <c r="U188" i="2" s="1"/>
  <c r="V188" i="2" s="1"/>
  <c r="W188" i="2" s="1"/>
  <c r="X188" i="2" s="1"/>
  <c r="Y188" i="2" s="1"/>
  <c r="Z188" i="2" s="1"/>
  <c r="AA188" i="2" s="1"/>
  <c r="C9" i="10"/>
  <c r="C26" i="10" s="1"/>
  <c r="BL41" i="7"/>
  <c r="CA174" i="1"/>
  <c r="BK41" i="7"/>
  <c r="BZ174" i="1"/>
  <c r="AU466" i="1"/>
  <c r="E40" i="2"/>
  <c r="J46" i="2"/>
  <c r="J47" i="2" s="1"/>
  <c r="J48" i="2" s="1"/>
  <c r="K26" i="19"/>
  <c r="M50" i="19"/>
  <c r="M44" i="19"/>
  <c r="D40" i="2"/>
  <c r="L7" i="19"/>
  <c r="Q252" i="2"/>
  <c r="Q55" i="2" s="1"/>
  <c r="Q100" i="2"/>
  <c r="Q74" i="2"/>
  <c r="Y486" i="1"/>
  <c r="CM10" i="7"/>
  <c r="CH10" i="7"/>
  <c r="AC486" i="1"/>
  <c r="O486" i="1"/>
  <c r="CK10" i="7"/>
  <c r="AD498" i="1"/>
  <c r="AD502" i="1" s="1"/>
  <c r="P10" i="7"/>
  <c r="P36" i="7" s="1"/>
  <c r="N486" i="1"/>
  <c r="CJ10" i="7"/>
  <c r="CG10" i="7"/>
  <c r="Q486" i="1"/>
  <c r="I486" i="1"/>
  <c r="V10" i="7"/>
  <c r="V36" i="7" s="1"/>
  <c r="U486" i="1"/>
  <c r="CI10" i="7"/>
  <c r="W486" i="1"/>
  <c r="O10" i="7"/>
  <c r="O36" i="7" s="1"/>
  <c r="M486" i="1"/>
  <c r="BI24" i="7"/>
  <c r="Q75" i="2"/>
  <c r="Q340" i="2" s="1"/>
  <c r="Q343" i="2" s="1"/>
  <c r="Q294" i="2"/>
  <c r="AA75" i="3" s="1"/>
  <c r="Q92" i="2"/>
  <c r="Q94" i="2" s="1"/>
  <c r="Q99" i="2"/>
  <c r="AP46" i="16"/>
  <c r="AP45" i="16"/>
  <c r="AQ45" i="16"/>
  <c r="AP27" i="16"/>
  <c r="AQ27" i="16"/>
  <c r="AP50" i="18"/>
  <c r="AP51" i="18"/>
  <c r="AQ50" i="18"/>
  <c r="AP32" i="18"/>
  <c r="AQ32" i="18"/>
  <c r="AP79" i="18"/>
  <c r="AQ79" i="18"/>
  <c r="AQ78" i="18"/>
  <c r="AR78" i="18"/>
  <c r="BL37" i="7"/>
  <c r="BL24" i="7"/>
  <c r="BK37" i="7"/>
  <c r="BK24" i="7"/>
  <c r="AC10" i="7"/>
  <c r="AC36" i="7" s="1"/>
  <c r="S2" i="2"/>
  <c r="J59" i="4"/>
  <c r="S215" i="2"/>
  <c r="G222" i="2"/>
  <c r="C301" i="2"/>
  <c r="C303" i="2" s="1"/>
  <c r="D30" i="19" s="1"/>
  <c r="D32" i="19" s="1"/>
  <c r="J301" i="2"/>
  <c r="T79" i="3"/>
  <c r="M254" i="2"/>
  <c r="M293" i="2"/>
  <c r="W74" i="3" s="1"/>
  <c r="H298" i="2"/>
  <c r="R73" i="3"/>
  <c r="M99" i="2"/>
  <c r="M294" i="2"/>
  <c r="W75" i="3" s="1"/>
  <c r="I301" i="2"/>
  <c r="S79" i="3"/>
  <c r="G301" i="2"/>
  <c r="Q79" i="3"/>
  <c r="N99" i="2"/>
  <c r="N294" i="2"/>
  <c r="X75" i="3" s="1"/>
  <c r="L82" i="3"/>
  <c r="B303" i="2"/>
  <c r="D303" i="2"/>
  <c r="E30" i="19" s="1"/>
  <c r="E32" i="19" s="1"/>
  <c r="N82" i="3"/>
  <c r="E301" i="2"/>
  <c r="O79" i="3"/>
  <c r="Z73" i="3"/>
  <c r="P73" i="3"/>
  <c r="F298" i="2"/>
  <c r="S278" i="3"/>
  <c r="S279" i="3" s="1"/>
  <c r="S280" i="3" s="1"/>
  <c r="P29" i="3"/>
  <c r="F222" i="2"/>
  <c r="Q29" i="3"/>
  <c r="AA498" i="1"/>
  <c r="AA502" i="1" s="1"/>
  <c r="T20" i="3"/>
  <c r="T277" i="3" s="1"/>
  <c r="T278" i="3" s="1"/>
  <c r="T279" i="3" s="1"/>
  <c r="T280" i="3" s="1"/>
  <c r="J99" i="2"/>
  <c r="E54" i="2"/>
  <c r="D65" i="2"/>
  <c r="E275" i="2"/>
  <c r="E50" i="2"/>
  <c r="D275" i="2"/>
  <c r="D50" i="2"/>
  <c r="V498" i="1"/>
  <c r="P15" i="3" s="1"/>
  <c r="F271" i="2" s="1"/>
  <c r="BU350" i="1"/>
  <c r="BU337" i="1"/>
  <c r="BU358" i="1"/>
  <c r="BV358" i="1"/>
  <c r="BV337" i="1"/>
  <c r="BV371" i="1"/>
  <c r="BV350" i="1"/>
  <c r="M498" i="1"/>
  <c r="M502" i="1" s="1"/>
  <c r="CD101" i="1"/>
  <c r="CD107" i="1"/>
  <c r="BX529" i="1"/>
  <c r="CC2" i="1"/>
  <c r="CH2" i="1" s="1"/>
  <c r="CM2" i="1" s="1"/>
  <c r="H255" i="3"/>
  <c r="H268" i="3"/>
  <c r="U498" i="1"/>
  <c r="U502" i="1" s="1"/>
  <c r="N498" i="1"/>
  <c r="N502" i="1" s="1"/>
  <c r="L30" i="3"/>
  <c r="BW529" i="1"/>
  <c r="CB2" i="1"/>
  <c r="CG2" i="1" s="1"/>
  <c r="CL2" i="1" s="1"/>
  <c r="B84" i="2"/>
  <c r="B275" i="2"/>
  <c r="AK498" i="1"/>
  <c r="S15" i="3" s="1"/>
  <c r="I271" i="2" s="1"/>
  <c r="I222" i="2"/>
  <c r="S29" i="3"/>
  <c r="BV529" i="1"/>
  <c r="CA2" i="1"/>
  <c r="CF2" i="1" s="1"/>
  <c r="CK2" i="1" s="1"/>
  <c r="CP2" i="1" s="1"/>
  <c r="AL542" i="1"/>
  <c r="AP479" i="1"/>
  <c r="J269" i="2" s="1"/>
  <c r="CG7" i="7"/>
  <c r="Q472" i="1"/>
  <c r="B136" i="2"/>
  <c r="B472" i="1"/>
  <c r="BW381" i="1"/>
  <c r="CR166" i="1"/>
  <c r="CX42" i="7" s="1"/>
  <c r="BX95" i="1"/>
  <c r="BX114" i="1"/>
  <c r="I2" i="3"/>
  <c r="H239" i="3"/>
  <c r="BX61" i="1"/>
  <c r="BX318" i="1"/>
  <c r="BX381" i="1"/>
  <c r="BX68" i="1"/>
  <c r="BU333" i="1"/>
  <c r="BU371" i="1"/>
  <c r="Z205" i="2"/>
  <c r="Z212" i="2"/>
  <c r="Y34" i="2"/>
  <c r="AP375" i="1"/>
  <c r="AP448" i="1"/>
  <c r="BT246" i="1"/>
  <c r="BT247" i="1" s="1"/>
  <c r="AS542" i="1"/>
  <c r="BY239" i="1"/>
  <c r="BT239" i="1"/>
  <c r="BJ244" i="1"/>
  <c r="BW61" i="1"/>
  <c r="BW318" i="1"/>
  <c r="BW114" i="1"/>
  <c r="BW95" i="1"/>
  <c r="BW68" i="1"/>
  <c r="CX43" i="7"/>
  <c r="AT542" i="1"/>
  <c r="CU99" i="1"/>
  <c r="CS168" i="1"/>
  <c r="CR241" i="1"/>
  <c r="F6" i="10"/>
  <c r="E7" i="10"/>
  <c r="AM9" i="10"/>
  <c r="AO6" i="10"/>
  <c r="AN7" i="10"/>
  <c r="D9" i="10"/>
  <c r="D26" i="10" s="1"/>
  <c r="D27" i="10"/>
  <c r="AG4" i="10"/>
  <c r="AF27" i="10"/>
  <c r="AF26" i="10"/>
  <c r="BG30" i="7"/>
  <c r="R17" i="2"/>
  <c r="BU114" i="1"/>
  <c r="BZ2" i="1"/>
  <c r="CE2" i="1" s="1"/>
  <c r="CJ2" i="1" s="1"/>
  <c r="CO2" i="1" s="1"/>
  <c r="CD179" i="1"/>
  <c r="BY87" i="1"/>
  <c r="CD87" i="1" s="1"/>
  <c r="CI87" i="1" s="1"/>
  <c r="BY224" i="1"/>
  <c r="BY230" i="1"/>
  <c r="BY135" i="1"/>
  <c r="BY192" i="1"/>
  <c r="BY50" i="1"/>
  <c r="BY51" i="1"/>
  <c r="C84" i="2"/>
  <c r="BJ30" i="7"/>
  <c r="BT379" i="1"/>
  <c r="CD200" i="1"/>
  <c r="CF191" i="1" s="1"/>
  <c r="CF192" i="1" s="1"/>
  <c r="CS49" i="7"/>
  <c r="CS47" i="7"/>
  <c r="CS40" i="7"/>
  <c r="F388" i="1"/>
  <c r="J8" i="7" s="1"/>
  <c r="J33" i="7" s="1"/>
  <c r="BY404" i="1"/>
  <c r="F456" i="1"/>
  <c r="F432" i="1"/>
  <c r="F486" i="1" s="1"/>
  <c r="R247" i="3"/>
  <c r="BE228" i="1"/>
  <c r="AO388" i="1"/>
  <c r="Q84" i="1"/>
  <c r="E84" i="2"/>
  <c r="Q285" i="3"/>
  <c r="D84" i="2"/>
  <c r="M75" i="2"/>
  <c r="M340" i="2" s="1"/>
  <c r="BE467" i="1"/>
  <c r="D6" i="5" s="1"/>
  <c r="Y283" i="3"/>
  <c r="X279" i="3"/>
  <c r="X280" i="3" s="1"/>
  <c r="X283" i="3"/>
  <c r="W283" i="3"/>
  <c r="W285" i="3" s="1"/>
  <c r="V283" i="3"/>
  <c r="V246" i="3"/>
  <c r="V276" i="3"/>
  <c r="Z283" i="3"/>
  <c r="R279" i="3"/>
  <c r="R280" i="3" s="1"/>
  <c r="D261" i="2"/>
  <c r="D262" i="2" s="1"/>
  <c r="BJ383" i="1"/>
  <c r="AU498" i="1"/>
  <c r="AU502" i="1" s="1"/>
  <c r="K222" i="2"/>
  <c r="U29" i="3"/>
  <c r="BJ379" i="1"/>
  <c r="B12" i="5"/>
  <c r="B16" i="5" s="1"/>
  <c r="BJ193" i="1"/>
  <c r="CP62" i="7" s="1"/>
  <c r="BU318" i="1"/>
  <c r="AZ382" i="1"/>
  <c r="N75" i="2"/>
  <c r="N279" i="2" s="1"/>
  <c r="BU61" i="1"/>
  <c r="AF84" i="1"/>
  <c r="AF91" i="1" s="1"/>
  <c r="BU381" i="1"/>
  <c r="BU68" i="1"/>
  <c r="BU95" i="1"/>
  <c r="L85" i="1"/>
  <c r="L90" i="1" s="1"/>
  <c r="D317" i="2" s="1"/>
  <c r="V23" i="3"/>
  <c r="V247" i="3" s="1"/>
  <c r="R127" i="3"/>
  <c r="M324" i="2"/>
  <c r="AZ137" i="1"/>
  <c r="AG383" i="1"/>
  <c r="AZ224" i="1"/>
  <c r="M194" i="2"/>
  <c r="W129" i="3" s="1"/>
  <c r="AA84" i="1"/>
  <c r="AA91" i="1" s="1"/>
  <c r="AG388" i="1"/>
  <c r="AE8" i="7" s="1"/>
  <c r="AE33" i="7" s="1"/>
  <c r="AE53" i="7" s="1"/>
  <c r="AK84" i="1"/>
  <c r="AK91" i="1" s="1"/>
  <c r="E130" i="2"/>
  <c r="V84" i="1"/>
  <c r="V91" i="1" s="1"/>
  <c r="BR233" i="1"/>
  <c r="AM432" i="1"/>
  <c r="F130" i="2"/>
  <c r="Q85" i="1"/>
  <c r="Q88" i="1" s="1"/>
  <c r="BJ404" i="1"/>
  <c r="AP84" i="1"/>
  <c r="AP91" i="1" s="1"/>
  <c r="AP65" i="1"/>
  <c r="AP66" i="1" s="1"/>
  <c r="AC388" i="1"/>
  <c r="AB8" i="7" s="1"/>
  <c r="AB33" i="7" s="1"/>
  <c r="AB53" i="7" s="1"/>
  <c r="BE135" i="1"/>
  <c r="BE137" i="1" s="1"/>
  <c r="Q388" i="1"/>
  <c r="AD432" i="1"/>
  <c r="AD472" i="1" s="1"/>
  <c r="BE404" i="1"/>
  <c r="V385" i="1"/>
  <c r="V290" i="1"/>
  <c r="BO231" i="1"/>
  <c r="BO232" i="1" s="1"/>
  <c r="G84" i="1"/>
  <c r="AU375" i="1"/>
  <c r="CO11" i="7"/>
  <c r="D8" i="5"/>
  <c r="G85" i="1"/>
  <c r="G90" i="1" s="1"/>
  <c r="C317" i="2" s="1"/>
  <c r="AE432" i="1"/>
  <c r="AE472" i="1" s="1"/>
  <c r="CP11" i="7"/>
  <c r="E8" i="5"/>
  <c r="BJ50" i="1"/>
  <c r="BO404" i="1"/>
  <c r="BS233" i="1"/>
  <c r="L65" i="1"/>
  <c r="L66" i="1" s="1"/>
  <c r="L84" i="1"/>
  <c r="U138" i="2"/>
  <c r="F7" i="2"/>
  <c r="F10" i="2" s="1"/>
  <c r="F20" i="2" s="1"/>
  <c r="G176" i="2"/>
  <c r="BE103" i="1"/>
  <c r="BO50" i="1"/>
  <c r="CQ11" i="7"/>
  <c r="F8" i="5"/>
  <c r="BA118" i="1"/>
  <c r="BA230" i="1" s="1"/>
  <c r="BA116" i="1"/>
  <c r="R23" i="2"/>
  <c r="BQ233" i="1"/>
  <c r="AI7" i="7"/>
  <c r="AI30" i="7" s="1"/>
  <c r="AL518" i="1"/>
  <c r="AL515" i="1"/>
  <c r="AL433" i="1"/>
  <c r="D273" i="2"/>
  <c r="D274" i="2" s="1"/>
  <c r="D85" i="2"/>
  <c r="E85" i="2"/>
  <c r="E273" i="2"/>
  <c r="E274" i="2" s="1"/>
  <c r="AK7" i="7"/>
  <c r="AK30" i="7" s="1"/>
  <c r="AN518" i="1"/>
  <c r="AN515" i="1"/>
  <c r="AO7" i="7"/>
  <c r="AO30" i="7" s="1"/>
  <c r="AS518" i="1"/>
  <c r="AS515" i="1"/>
  <c r="AS433" i="1"/>
  <c r="AD8" i="7"/>
  <c r="AD33" i="7" s="1"/>
  <c r="AD53" i="7" s="1"/>
  <c r="CE209" i="1"/>
  <c r="AZ334" i="1"/>
  <c r="O29" i="3"/>
  <c r="E222" i="2"/>
  <c r="Q498" i="1"/>
  <c r="M10" i="7"/>
  <c r="M36" i="7" s="1"/>
  <c r="J498" i="1"/>
  <c r="J502" i="1" s="1"/>
  <c r="AB7" i="7"/>
  <c r="AB30" i="7" s="1"/>
  <c r="AC515" i="1"/>
  <c r="AC455" i="1"/>
  <c r="J62" i="6" s="1"/>
  <c r="AC361" i="1"/>
  <c r="AC353" i="1"/>
  <c r="AC345" i="1"/>
  <c r="AC340" i="1"/>
  <c r="AC332" i="1"/>
  <c r="AC473" i="1"/>
  <c r="CL51" i="7"/>
  <c r="AT212" i="1"/>
  <c r="X40" i="6" s="1"/>
  <c r="CO39" i="7"/>
  <c r="W249" i="3"/>
  <c r="BE125" i="1"/>
  <c r="BJ123" i="1"/>
  <c r="Z246" i="3"/>
  <c r="Z23" i="3"/>
  <c r="BP367" i="1"/>
  <c r="BP354" i="1"/>
  <c r="BP341" i="1"/>
  <c r="BP346" i="1"/>
  <c r="AP384" i="1"/>
  <c r="AP432" i="1" s="1"/>
  <c r="AP289" i="1"/>
  <c r="K34" i="7"/>
  <c r="H432" i="1"/>
  <c r="H486" i="1" s="1"/>
  <c r="H456" i="1"/>
  <c r="H388" i="1"/>
  <c r="K8" i="7" s="1"/>
  <c r="K33" i="7" s="1"/>
  <c r="H383" i="1"/>
  <c r="BJ334" i="1"/>
  <c r="P191" i="2"/>
  <c r="Q191" i="2" s="1"/>
  <c r="Q192" i="2" s="1"/>
  <c r="BB232" i="1"/>
  <c r="Z10" i="7"/>
  <c r="Z36" i="7" s="1"/>
  <c r="Z498" i="1"/>
  <c r="Z502" i="1" s="1"/>
  <c r="AS388" i="1"/>
  <c r="BT192" i="1"/>
  <c r="CO10" i="7"/>
  <c r="D12" i="5"/>
  <c r="D16" i="5" s="1"/>
  <c r="W29" i="3"/>
  <c r="M222" i="2"/>
  <c r="BQ192" i="1"/>
  <c r="BV192" i="1"/>
  <c r="C130" i="2"/>
  <c r="BR346" i="1"/>
  <c r="BR341" i="1"/>
  <c r="BR367" i="1"/>
  <c r="BR354" i="1"/>
  <c r="BT242" i="1"/>
  <c r="BT243" i="1" s="1"/>
  <c r="BT256" i="1" s="1"/>
  <c r="BT257" i="1" s="1"/>
  <c r="O52" i="6"/>
  <c r="O68" i="6" s="1"/>
  <c r="AI384" i="1"/>
  <c r="AI432" i="1" s="1"/>
  <c r="Q381" i="1"/>
  <c r="Q318" i="1"/>
  <c r="Q165" i="1"/>
  <c r="Q61" i="1"/>
  <c r="Q114" i="1"/>
  <c r="Q95" i="1"/>
  <c r="V2" i="1"/>
  <c r="V529" i="1" s="1"/>
  <c r="Q68" i="1"/>
  <c r="Q244" i="3"/>
  <c r="AA382" i="1"/>
  <c r="AA291" i="1"/>
  <c r="AA228" i="1"/>
  <c r="AA226" i="1"/>
  <c r="AA170" i="1"/>
  <c r="L456" i="1"/>
  <c r="L383" i="1"/>
  <c r="BT39" i="1"/>
  <c r="BT40" i="1"/>
  <c r="BP40" i="1"/>
  <c r="BP51" i="1"/>
  <c r="L75" i="2"/>
  <c r="V432" i="1"/>
  <c r="G388" i="1"/>
  <c r="W10" i="7"/>
  <c r="W36" i="7" s="1"/>
  <c r="W498" i="1"/>
  <c r="W502" i="1" s="1"/>
  <c r="B273" i="2"/>
  <c r="B274" i="2" s="1"/>
  <c r="D130" i="2"/>
  <c r="BS40" i="1"/>
  <c r="BS51" i="1"/>
  <c r="CD391" i="1"/>
  <c r="CD403" i="1" s="1"/>
  <c r="O7" i="7"/>
  <c r="O30" i="7" s="1"/>
  <c r="M515" i="1"/>
  <c r="M455" i="1"/>
  <c r="M473" i="1"/>
  <c r="AM34" i="7"/>
  <c r="AQ383" i="1"/>
  <c r="AV383" i="1"/>
  <c r="BV381" i="1"/>
  <c r="BV318" i="1"/>
  <c r="BV114" i="1"/>
  <c r="BV95" i="1"/>
  <c r="BV68" i="1"/>
  <c r="BV61" i="1"/>
  <c r="AP456" i="1"/>
  <c r="AA10" i="7"/>
  <c r="AA36" i="7" s="1"/>
  <c r="AB498" i="1"/>
  <c r="AB502" i="1" s="1"/>
  <c r="AF34" i="7"/>
  <c r="AH383" i="1"/>
  <c r="V52" i="6"/>
  <c r="V68" i="6" s="1"/>
  <c r="AR384" i="1"/>
  <c r="AR432" i="1" s="1"/>
  <c r="AR486" i="1" s="1"/>
  <c r="R244" i="3"/>
  <c r="AF382" i="1"/>
  <c r="AF291" i="1"/>
  <c r="AF228" i="1"/>
  <c r="AF170" i="1"/>
  <c r="CJ40" i="7" s="1"/>
  <c r="AF226" i="1"/>
  <c r="AZ192" i="1"/>
  <c r="AZ222" i="1"/>
  <c r="BI30" i="7"/>
  <c r="AM383" i="1"/>
  <c r="R34" i="7"/>
  <c r="P432" i="1"/>
  <c r="P486" i="1" s="1"/>
  <c r="P456" i="1"/>
  <c r="P388" i="1"/>
  <c r="R8" i="7" s="1"/>
  <c r="R33" i="7" s="1"/>
  <c r="R53" i="7" s="1"/>
  <c r="P383" i="1"/>
  <c r="BE126" i="1"/>
  <c r="BE127" i="1" s="1"/>
  <c r="CN44" i="7"/>
  <c r="AZ220" i="1"/>
  <c r="BR40" i="1"/>
  <c r="BR51" i="1"/>
  <c r="AG34" i="7"/>
  <c r="AI383" i="1"/>
  <c r="AP306" i="1"/>
  <c r="AK304" i="1"/>
  <c r="AA28" i="3"/>
  <c r="AA128" i="3" s="1"/>
  <c r="CQ134" i="1"/>
  <c r="L292" i="1"/>
  <c r="L384" i="1"/>
  <c r="L385" i="1" s="1"/>
  <c r="L289" i="1"/>
  <c r="L290" i="1" s="1"/>
  <c r="Q10" i="7"/>
  <c r="Q36" i="7" s="1"/>
  <c r="O498" i="1"/>
  <c r="O502" i="1" s="1"/>
  <c r="CR11" i="7"/>
  <c r="G8" i="5"/>
  <c r="BT51" i="1"/>
  <c r="BT50" i="1"/>
  <c r="C333" i="2"/>
  <c r="G519" i="1"/>
  <c r="U129" i="3"/>
  <c r="K198" i="2"/>
  <c r="I273" i="2"/>
  <c r="I274" i="2" s="1"/>
  <c r="CO50" i="7"/>
  <c r="BE211" i="1"/>
  <c r="X10" i="7"/>
  <c r="X36" i="7" s="1"/>
  <c r="X498" i="1"/>
  <c r="X502" i="1" s="1"/>
  <c r="W7" i="7"/>
  <c r="W30" i="7" s="1"/>
  <c r="W515" i="1"/>
  <c r="W455" i="1"/>
  <c r="W353" i="1"/>
  <c r="W345" i="1"/>
  <c r="W361" i="1"/>
  <c r="W340" i="1"/>
  <c r="W332" i="1"/>
  <c r="W473" i="1"/>
  <c r="O279" i="2"/>
  <c r="O340" i="2"/>
  <c r="BS341" i="1"/>
  <c r="BS354" i="1"/>
  <c r="BS367" i="1"/>
  <c r="BS346" i="1"/>
  <c r="AS385" i="1"/>
  <c r="Y7" i="7"/>
  <c r="Y30" i="7" s="1"/>
  <c r="Y515" i="1"/>
  <c r="Y455" i="1"/>
  <c r="Y345" i="1"/>
  <c r="Y361" i="1"/>
  <c r="Y353" i="1"/>
  <c r="Y332" i="1"/>
  <c r="Y340" i="1"/>
  <c r="Y473" i="1"/>
  <c r="BO383" i="1"/>
  <c r="BO379" i="1"/>
  <c r="BT383" i="1"/>
  <c r="BP231" i="1"/>
  <c r="BT231" i="1" s="1"/>
  <c r="AC8" i="7"/>
  <c r="AC33" i="7" s="1"/>
  <c r="AC53" i="7" s="1"/>
  <c r="AD389" i="1"/>
  <c r="CN60" i="7"/>
  <c r="BE129" i="1"/>
  <c r="K93" i="2"/>
  <c r="F61" i="4"/>
  <c r="L7" i="7"/>
  <c r="L30" i="7" s="1"/>
  <c r="I515" i="1"/>
  <c r="I455" i="1"/>
  <c r="I433" i="1"/>
  <c r="I473" i="1"/>
  <c r="BO103" i="1"/>
  <c r="AJ8" i="7"/>
  <c r="AJ33" i="7" s="1"/>
  <c r="AJ53" i="7" s="1"/>
  <c r="P7" i="3"/>
  <c r="P25" i="3" s="1"/>
  <c r="G131" i="2"/>
  <c r="G129" i="2" s="1"/>
  <c r="G130" i="2" s="1"/>
  <c r="AF305" i="1"/>
  <c r="AF310" i="1"/>
  <c r="AF311" i="1" s="1"/>
  <c r="Q292" i="1"/>
  <c r="U34" i="7"/>
  <c r="T432" i="1"/>
  <c r="T486" i="1" s="1"/>
  <c r="T456" i="1"/>
  <c r="T388" i="1"/>
  <c r="U8" i="7" s="1"/>
  <c r="U33" i="7" s="1"/>
  <c r="U53" i="7" s="1"/>
  <c r="T383" i="1"/>
  <c r="BQ346" i="1"/>
  <c r="BQ367" i="1"/>
  <c r="BQ341" i="1"/>
  <c r="BQ354" i="1"/>
  <c r="R10" i="7"/>
  <c r="R36" i="7" s="1"/>
  <c r="P498" i="1"/>
  <c r="P502" i="1" s="1"/>
  <c r="AK39" i="1"/>
  <c r="AP39" i="1"/>
  <c r="F333" i="2"/>
  <c r="V519" i="1"/>
  <c r="Q7" i="7"/>
  <c r="Q30" i="7" s="1"/>
  <c r="O515" i="1"/>
  <c r="O455" i="1"/>
  <c r="O473" i="1"/>
  <c r="AZ313" i="1"/>
  <c r="BE312" i="1"/>
  <c r="BJ312" i="1" s="1"/>
  <c r="BO312" i="1" s="1"/>
  <c r="BT312" i="1" s="1"/>
  <c r="BY312" i="1" s="1"/>
  <c r="CD312" i="1" s="1"/>
  <c r="CI312" i="1" s="1"/>
  <c r="BT30" i="1"/>
  <c r="BT371" i="1" s="1"/>
  <c r="F85" i="2"/>
  <c r="F273" i="2"/>
  <c r="F274" i="2" s="1"/>
  <c r="BT388" i="1"/>
  <c r="AC4" i="3"/>
  <c r="AC3" i="3" s="1"/>
  <c r="R215" i="2"/>
  <c r="AT385" i="1"/>
  <c r="BE222" i="1"/>
  <c r="BE192" i="1"/>
  <c r="AN388" i="1"/>
  <c r="AV504" i="1"/>
  <c r="K256" i="2"/>
  <c r="K306" i="2" s="1"/>
  <c r="AU499" i="1"/>
  <c r="AV500" i="1"/>
  <c r="AV502" i="1"/>
  <c r="AA250" i="3"/>
  <c r="M29" i="3"/>
  <c r="C222" i="2"/>
  <c r="AL388" i="1"/>
  <c r="E333" i="2"/>
  <c r="Q519" i="1"/>
  <c r="AZ105" i="1"/>
  <c r="AU334" i="1"/>
  <c r="BQ40" i="1"/>
  <c r="BQ51" i="1"/>
  <c r="BT404" i="1"/>
  <c r="L132" i="3"/>
  <c r="L136" i="3" s="1"/>
  <c r="Z34" i="7"/>
  <c r="Z456" i="1"/>
  <c r="Z432" i="1"/>
  <c r="Z472" i="1" s="1"/>
  <c r="Z388" i="1"/>
  <c r="Z8" i="7" s="1"/>
  <c r="Z33" i="7" s="1"/>
  <c r="Z53" i="7" s="1"/>
  <c r="Z383" i="1"/>
  <c r="AP7" i="7"/>
  <c r="AP30" i="7" s="1"/>
  <c r="AT518" i="1"/>
  <c r="AT515" i="1"/>
  <c r="AT433" i="1"/>
  <c r="AN34" i="7"/>
  <c r="AR383" i="1"/>
  <c r="AW383" i="1"/>
  <c r="BK232" i="1"/>
  <c r="M30" i="3"/>
  <c r="C276" i="2"/>
  <c r="C281" i="2" s="1"/>
  <c r="C282" i="2" s="1"/>
  <c r="C283" i="2" s="1"/>
  <c r="V7" i="7"/>
  <c r="V30" i="7" s="1"/>
  <c r="U515" i="1"/>
  <c r="U455" i="1"/>
  <c r="U473" i="1"/>
  <c r="K10" i="7"/>
  <c r="K36" i="7" s="1"/>
  <c r="H498" i="1"/>
  <c r="H502" i="1" s="1"/>
  <c r="N132" i="3"/>
  <c r="N136" i="3" s="1"/>
  <c r="S10" i="7"/>
  <c r="S36" i="7" s="1"/>
  <c r="R498" i="1"/>
  <c r="R502" i="1" s="1"/>
  <c r="AL7" i="7"/>
  <c r="AL30" i="7" s="1"/>
  <c r="AO518" i="1"/>
  <c r="AO515" i="1"/>
  <c r="N34" i="7"/>
  <c r="K456" i="1"/>
  <c r="K383" i="1"/>
  <c r="K432" i="1"/>
  <c r="K388" i="1"/>
  <c r="N8" i="7" s="1"/>
  <c r="N33" i="7" s="1"/>
  <c r="AA34" i="7"/>
  <c r="AB456" i="1"/>
  <c r="I63" i="6" s="1"/>
  <c r="AB383" i="1"/>
  <c r="U172" i="2"/>
  <c r="AE383" i="1"/>
  <c r="BF231" i="1"/>
  <c r="BJ231" i="1" s="1"/>
  <c r="BJ232" i="1" s="1"/>
  <c r="U23" i="3"/>
  <c r="U246" i="3"/>
  <c r="C85" i="2"/>
  <c r="C273" i="2"/>
  <c r="C274" i="2" s="1"/>
  <c r="B173" i="2"/>
  <c r="B163" i="2"/>
  <c r="B192" i="2"/>
  <c r="B156" i="2"/>
  <c r="B166" i="2"/>
  <c r="B153" i="2"/>
  <c r="B100" i="2"/>
  <c r="B160" i="2"/>
  <c r="B74" i="2"/>
  <c r="B518" i="1"/>
  <c r="B521" i="1" s="1"/>
  <c r="B85" i="2" s="1"/>
  <c r="B515" i="1"/>
  <c r="B455" i="1"/>
  <c r="B473" i="1"/>
  <c r="B522" i="1" s="1"/>
  <c r="AE7" i="7"/>
  <c r="AE30" i="7" s="1"/>
  <c r="AG518" i="1"/>
  <c r="AG515" i="1"/>
  <c r="K279" i="2"/>
  <c r="K340" i="2"/>
  <c r="U383" i="1"/>
  <c r="H6" i="4"/>
  <c r="M383" i="1"/>
  <c r="U244" i="3"/>
  <c r="T244" i="3"/>
  <c r="AU382" i="1"/>
  <c r="AU228" i="1"/>
  <c r="AU291" i="1"/>
  <c r="AZ228" i="1"/>
  <c r="P74" i="2"/>
  <c r="P100" i="2"/>
  <c r="P75" i="2"/>
  <c r="P92" i="2"/>
  <c r="CM54" i="7"/>
  <c r="AU177" i="1"/>
  <c r="AU221" i="1"/>
  <c r="S244" i="3"/>
  <c r="AK382" i="1"/>
  <c r="AK291" i="1"/>
  <c r="AK170" i="1"/>
  <c r="CK40" i="7" s="1"/>
  <c r="AK228" i="1"/>
  <c r="AK226" i="1"/>
  <c r="BU330" i="1"/>
  <c r="BU346" i="1"/>
  <c r="BU341" i="1"/>
  <c r="BU354" i="1"/>
  <c r="BU367" i="1"/>
  <c r="AD10" i="7"/>
  <c r="AD36" i="7" s="1"/>
  <c r="AE498" i="1"/>
  <c r="AE502" i="1" s="1"/>
  <c r="N29" i="3"/>
  <c r="D222" i="2"/>
  <c r="L498" i="1"/>
  <c r="BV40" i="1"/>
  <c r="BV32" i="1"/>
  <c r="BV51" i="1"/>
  <c r="B133" i="1"/>
  <c r="G122" i="1"/>
  <c r="L122" i="1" s="1"/>
  <c r="Q122" i="1" s="1"/>
  <c r="V122" i="1" s="1"/>
  <c r="AA122" i="1" s="1"/>
  <c r="AF122" i="1" s="1"/>
  <c r="AK122" i="1" s="1"/>
  <c r="AP122" i="1" s="1"/>
  <c r="AU122" i="1" s="1"/>
  <c r="AZ122" i="1" s="1"/>
  <c r="BE122" i="1" s="1"/>
  <c r="BJ122" i="1" s="1"/>
  <c r="BO122" i="1" s="1"/>
  <c r="BT122" i="1" s="1"/>
  <c r="AH34" i="7"/>
  <c r="AJ383" i="1"/>
  <c r="BE334" i="1"/>
  <c r="G273" i="2"/>
  <c r="G274" i="2" s="1"/>
  <c r="X23" i="3"/>
  <c r="X246" i="3"/>
  <c r="I52" i="6"/>
  <c r="I68" i="6" s="1"/>
  <c r="AB384" i="1"/>
  <c r="AB432" i="1" s="1"/>
  <c r="AB486" i="1" s="1"/>
  <c r="T34" i="7"/>
  <c r="S456" i="1"/>
  <c r="S383" i="1"/>
  <c r="S432" i="1"/>
  <c r="S388" i="1"/>
  <c r="T8" i="7" s="1"/>
  <c r="T33" i="7" s="1"/>
  <c r="T53" i="7" s="1"/>
  <c r="BJ192" i="1"/>
  <c r="AP525" i="1"/>
  <c r="P7" i="7"/>
  <c r="P30" i="7" s="1"/>
  <c r="N515" i="1"/>
  <c r="N455" i="1"/>
  <c r="N433" i="1"/>
  <c r="N473" i="1"/>
  <c r="AU39" i="1"/>
  <c r="AZ39" i="1"/>
  <c r="B333" i="2"/>
  <c r="B519" i="1"/>
  <c r="Y246" i="3"/>
  <c r="Y23" i="3"/>
  <c r="W23" i="3"/>
  <c r="W246" i="3"/>
  <c r="E192" i="2"/>
  <c r="E153" i="2"/>
  <c r="E100" i="2"/>
  <c r="E166" i="2"/>
  <c r="E163" i="2"/>
  <c r="E160" i="2"/>
  <c r="E74" i="2"/>
  <c r="E156" i="2"/>
  <c r="E173" i="2"/>
  <c r="Q515" i="1"/>
  <c r="Q455" i="1"/>
  <c r="E136" i="2"/>
  <c r="E76" i="2"/>
  <c r="Q473" i="1"/>
  <c r="Q522" i="1" s="1"/>
  <c r="CM56" i="7"/>
  <c r="AU178" i="1"/>
  <c r="CN11" i="7"/>
  <c r="C8" i="5"/>
  <c r="AZ50" i="1"/>
  <c r="BE50" i="1"/>
  <c r="BG192" i="1"/>
  <c r="BL192" i="1"/>
  <c r="BU32" i="1"/>
  <c r="BU40" i="1"/>
  <c r="BU51" i="1"/>
  <c r="P52" i="6"/>
  <c r="P68" i="6" s="1"/>
  <c r="AJ384" i="1"/>
  <c r="AJ432" i="1" s="1"/>
  <c r="CL40" i="7"/>
  <c r="J325" i="2"/>
  <c r="AP180" i="1"/>
  <c r="CL58" i="7" s="1"/>
  <c r="AP126" i="1"/>
  <c r="AU171" i="1"/>
  <c r="S34" i="7"/>
  <c r="R456" i="1"/>
  <c r="R432" i="1"/>
  <c r="R486" i="1" s="1"/>
  <c r="R388" i="1"/>
  <c r="S8" i="7" s="1"/>
  <c r="S33" i="7" s="1"/>
  <c r="S53" i="7" s="1"/>
  <c r="R383" i="1"/>
  <c r="BJ39" i="1"/>
  <c r="N52" i="6"/>
  <c r="N68" i="6" s="1"/>
  <c r="AH384" i="1"/>
  <c r="AH432" i="1" s="1"/>
  <c r="AH542" i="1" s="1"/>
  <c r="Y10" i="7"/>
  <c r="Y36" i="7" s="1"/>
  <c r="Y498" i="1"/>
  <c r="Y502" i="1" s="1"/>
  <c r="G10" i="4"/>
  <c r="H3" i="4"/>
  <c r="BO192" i="1"/>
  <c r="R29" i="3"/>
  <c r="H222" i="2"/>
  <c r="AF498" i="1"/>
  <c r="S246" i="3"/>
  <c r="S23" i="3"/>
  <c r="H273" i="2"/>
  <c r="H274" i="2" s="1"/>
  <c r="BO39" i="1"/>
  <c r="BE39" i="1"/>
  <c r="X34" i="7"/>
  <c r="X432" i="1"/>
  <c r="X486" i="1" s="1"/>
  <c r="X456" i="1"/>
  <c r="X388" i="1"/>
  <c r="X8" i="7" s="1"/>
  <c r="X33" i="7" s="1"/>
  <c r="X53" i="7" s="1"/>
  <c r="X383" i="1"/>
  <c r="U52" i="6"/>
  <c r="U68" i="6" s="1"/>
  <c r="AQ384" i="1"/>
  <c r="BV346" i="1"/>
  <c r="BV367" i="1"/>
  <c r="BV341" i="1"/>
  <c r="BV354" i="1"/>
  <c r="V388" i="1"/>
  <c r="G432" i="1"/>
  <c r="M132" i="3"/>
  <c r="M136" i="3" s="1"/>
  <c r="M34" i="7"/>
  <c r="J456" i="1"/>
  <c r="J432" i="1"/>
  <c r="J486" i="1" s="1"/>
  <c r="J388" i="1"/>
  <c r="M8" i="7" s="1"/>
  <c r="M33" i="7" s="1"/>
  <c r="J383" i="1"/>
  <c r="U10" i="7"/>
  <c r="U36" i="7" s="1"/>
  <c r="T498" i="1"/>
  <c r="T502" i="1" s="1"/>
  <c r="L10" i="7"/>
  <c r="L36" i="7" s="1"/>
  <c r="I498" i="1"/>
  <c r="I502" i="1" s="1"/>
  <c r="I130" i="2"/>
  <c r="CP529" i="1" l="1"/>
  <c r="CP165" i="1"/>
  <c r="CP318" i="1"/>
  <c r="CP114" i="1"/>
  <c r="CP68" i="1"/>
  <c r="CP61" i="1"/>
  <c r="CP95" i="1"/>
  <c r="CP381" i="1"/>
  <c r="CO95" i="1"/>
  <c r="CO114" i="1"/>
  <c r="CO165" i="1"/>
  <c r="CO318" i="1"/>
  <c r="CO381" i="1"/>
  <c r="CO61" i="1"/>
  <c r="CO68" i="1"/>
  <c r="CO529" i="1"/>
  <c r="CN312" i="1"/>
  <c r="CQ312" i="1" s="1"/>
  <c r="CR312" i="1" s="1"/>
  <c r="CS312" i="1" s="1"/>
  <c r="CT312" i="1" s="1"/>
  <c r="CU312" i="1" s="1"/>
  <c r="CV312" i="1" s="1"/>
  <c r="CW312" i="1" s="1"/>
  <c r="CN87" i="1"/>
  <c r="CQ87" i="1" s="1"/>
  <c r="CR87" i="1" s="1"/>
  <c r="CS87" i="1" s="1"/>
  <c r="CT87" i="1" s="1"/>
  <c r="CU87" i="1" s="1"/>
  <c r="CV87" i="1" s="1"/>
  <c r="CW87" i="1" s="1"/>
  <c r="CQ394" i="1"/>
  <c r="CR394" i="1" s="1"/>
  <c r="CS394" i="1" s="1"/>
  <c r="CT394" i="1" s="1"/>
  <c r="CU394" i="1" s="1"/>
  <c r="CV394" i="1" s="1"/>
  <c r="CW394" i="1" s="1"/>
  <c r="CQ187" i="1"/>
  <c r="CR187" i="1" s="1"/>
  <c r="CS187" i="1" s="1"/>
  <c r="CT187" i="1" s="1"/>
  <c r="CU187" i="1" s="1"/>
  <c r="CV187" i="1" s="1"/>
  <c r="CW187" i="1" s="1"/>
  <c r="T2" i="2"/>
  <c r="U2" i="2" s="1"/>
  <c r="V2" i="2" s="1"/>
  <c r="W2" i="2" s="1"/>
  <c r="X2" i="2" s="1"/>
  <c r="Y2" i="2" s="1"/>
  <c r="Z2" i="2" s="1"/>
  <c r="AA2" i="2" s="1"/>
  <c r="CM61" i="1"/>
  <c r="CM68" i="1"/>
  <c r="CM95" i="1"/>
  <c r="CM381" i="1"/>
  <c r="CM318" i="1"/>
  <c r="CM165" i="1"/>
  <c r="CM529" i="1"/>
  <c r="CM114" i="1"/>
  <c r="CL61" i="1"/>
  <c r="CL165" i="1"/>
  <c r="CL381" i="1"/>
  <c r="CL529" i="1"/>
  <c r="CL318" i="1"/>
  <c r="CL114" i="1"/>
  <c r="CL95" i="1"/>
  <c r="CL68" i="1"/>
  <c r="V486" i="1"/>
  <c r="G24" i="19"/>
  <c r="U14" i="3"/>
  <c r="L31" i="19"/>
  <c r="G472" i="1"/>
  <c r="D24" i="19"/>
  <c r="F50" i="2"/>
  <c r="F52" i="2" s="1"/>
  <c r="G47" i="19" s="1"/>
  <c r="F40" i="2"/>
  <c r="AP472" i="1"/>
  <c r="K24" i="19"/>
  <c r="Q76" i="2"/>
  <c r="Q279" i="2"/>
  <c r="AD486" i="1"/>
  <c r="K472" i="1"/>
  <c r="K486" i="1"/>
  <c r="AE486" i="1"/>
  <c r="G486" i="1"/>
  <c r="Z486" i="1"/>
  <c r="S472" i="1"/>
  <c r="S486" i="1"/>
  <c r="CK529" i="1"/>
  <c r="CK318" i="1"/>
  <c r="CK61" i="1"/>
  <c r="CK165" i="1"/>
  <c r="CK381" i="1"/>
  <c r="CK68" i="1"/>
  <c r="CK95" i="1"/>
  <c r="CK114" i="1"/>
  <c r="CJ381" i="1"/>
  <c r="CJ165" i="1"/>
  <c r="CJ318" i="1"/>
  <c r="CJ95" i="1"/>
  <c r="CJ61" i="1"/>
  <c r="CJ529" i="1"/>
  <c r="CJ114" i="1"/>
  <c r="CJ68" i="1"/>
  <c r="M82" i="3"/>
  <c r="CI107" i="1"/>
  <c r="CI101" i="1"/>
  <c r="E303" i="2"/>
  <c r="F30" i="19" s="1"/>
  <c r="F32" i="19" s="1"/>
  <c r="O82" i="3"/>
  <c r="H301" i="2"/>
  <c r="R79" i="3"/>
  <c r="K309" i="2"/>
  <c r="K311" i="2" s="1"/>
  <c r="U86" i="3"/>
  <c r="L31" i="3"/>
  <c r="L84" i="3"/>
  <c r="B304" i="2"/>
  <c r="M31" i="3"/>
  <c r="M84" i="3"/>
  <c r="C304" i="2"/>
  <c r="G303" i="2"/>
  <c r="H30" i="19" s="1"/>
  <c r="H32" i="19" s="1"/>
  <c r="Q82" i="3"/>
  <c r="F301" i="2"/>
  <c r="P79" i="3"/>
  <c r="N31" i="3"/>
  <c r="D304" i="2"/>
  <c r="N84" i="3"/>
  <c r="I303" i="2"/>
  <c r="J30" i="19" s="1"/>
  <c r="J32" i="19" s="1"/>
  <c r="S82" i="3"/>
  <c r="J303" i="2"/>
  <c r="K30" i="19" s="1"/>
  <c r="K32" i="19" s="1"/>
  <c r="T82" i="3"/>
  <c r="CH165" i="1"/>
  <c r="CH61" i="1"/>
  <c r="CH114" i="1"/>
  <c r="CH68" i="1"/>
  <c r="CH381" i="1"/>
  <c r="CH95" i="1"/>
  <c r="CH529" i="1"/>
  <c r="CH318" i="1"/>
  <c r="Q15" i="3"/>
  <c r="G271" i="2" s="1"/>
  <c r="G276" i="2" s="1"/>
  <c r="G281" i="2" s="1"/>
  <c r="G282" i="2" s="1"/>
  <c r="CG381" i="1"/>
  <c r="CG529" i="1"/>
  <c r="CG61" i="1"/>
  <c r="CG114" i="1"/>
  <c r="CG165" i="1"/>
  <c r="CG68" i="1"/>
  <c r="CG318" i="1"/>
  <c r="CG95" i="1"/>
  <c r="CF381" i="1"/>
  <c r="CF95" i="1"/>
  <c r="CF529" i="1"/>
  <c r="CF114" i="1"/>
  <c r="CF318" i="1"/>
  <c r="CF61" i="1"/>
  <c r="CF68" i="1"/>
  <c r="CF165" i="1"/>
  <c r="CE61" i="1"/>
  <c r="CE68" i="1"/>
  <c r="CE165" i="1"/>
  <c r="CE381" i="1"/>
  <c r="CE318" i="1"/>
  <c r="CE529" i="1"/>
  <c r="CE114" i="1"/>
  <c r="CE95" i="1"/>
  <c r="N288" i="3"/>
  <c r="N290" i="3" s="1"/>
  <c r="D52" i="2"/>
  <c r="E47" i="19" s="1"/>
  <c r="O288" i="3"/>
  <c r="O290" i="3" s="1"/>
  <c r="E52" i="2"/>
  <c r="F47" i="19" s="1"/>
  <c r="U20" i="3"/>
  <c r="U277" i="3" s="1"/>
  <c r="U278" i="3" s="1"/>
  <c r="U279" i="3" s="1"/>
  <c r="U280" i="3" s="1"/>
  <c r="K99" i="2"/>
  <c r="V502" i="1"/>
  <c r="F54" i="2"/>
  <c r="E65" i="2"/>
  <c r="E66" i="2" s="1"/>
  <c r="F10" i="19" s="1"/>
  <c r="F45" i="19" s="1"/>
  <c r="AP484" i="1"/>
  <c r="K27" i="19" s="1"/>
  <c r="J79" i="2"/>
  <c r="J196" i="2" s="1"/>
  <c r="J200" i="2" s="1"/>
  <c r="J273" i="2" s="1"/>
  <c r="J274" i="2" s="1"/>
  <c r="J81" i="2"/>
  <c r="CC61" i="1"/>
  <c r="CC68" i="1"/>
  <c r="CC95" i="1"/>
  <c r="CC529" i="1"/>
  <c r="CC165" i="1"/>
  <c r="CC318" i="1"/>
  <c r="CC114" i="1"/>
  <c r="CC381" i="1"/>
  <c r="I255" i="3"/>
  <c r="I268" i="3"/>
  <c r="K59" i="4"/>
  <c r="AK502" i="1"/>
  <c r="AK500" i="1"/>
  <c r="AP482" i="1"/>
  <c r="B86" i="2"/>
  <c r="CB114" i="1"/>
  <c r="CB165" i="1"/>
  <c r="CB318" i="1"/>
  <c r="CB61" i="1"/>
  <c r="CB381" i="1"/>
  <c r="CB68" i="1"/>
  <c r="CB95" i="1"/>
  <c r="CB529" i="1"/>
  <c r="F275" i="2"/>
  <c r="CA61" i="1"/>
  <c r="CA381" i="1"/>
  <c r="CA68" i="1"/>
  <c r="CA95" i="1"/>
  <c r="CA529" i="1"/>
  <c r="CA114" i="1"/>
  <c r="CA165" i="1"/>
  <c r="CA318" i="1"/>
  <c r="O433" i="1"/>
  <c r="J472" i="1"/>
  <c r="W433" i="1"/>
  <c r="R472" i="1"/>
  <c r="M433" i="1"/>
  <c r="H472" i="1"/>
  <c r="AC433" i="1"/>
  <c r="X472" i="1"/>
  <c r="Y433" i="1"/>
  <c r="T472" i="1"/>
  <c r="CH7" i="7"/>
  <c r="V472" i="1"/>
  <c r="J7" i="7"/>
  <c r="J30" i="7" s="1"/>
  <c r="F472" i="1"/>
  <c r="CR236" i="1"/>
  <c r="AB542" i="1"/>
  <c r="AB472" i="1"/>
  <c r="U433" i="1"/>
  <c r="P472" i="1"/>
  <c r="CS166" i="1"/>
  <c r="CY42" i="7" s="1"/>
  <c r="J2" i="3"/>
  <c r="I239" i="3"/>
  <c r="W374" i="1"/>
  <c r="W448" i="1" s="1"/>
  <c r="CI40" i="7"/>
  <c r="AA325" i="2"/>
  <c r="AA326" i="2" s="1"/>
  <c r="AC374" i="1"/>
  <c r="AC448" i="1" s="1"/>
  <c r="Z34" i="2"/>
  <c r="AA212" i="2"/>
  <c r="AA205" i="2"/>
  <c r="BT244" i="1"/>
  <c r="BT251" i="1"/>
  <c r="BT252" i="1" s="1"/>
  <c r="AJ542" i="1"/>
  <c r="AR542" i="1"/>
  <c r="CY43" i="7"/>
  <c r="AI542" i="1"/>
  <c r="BZ165" i="1"/>
  <c r="BZ529" i="1"/>
  <c r="AG542" i="1"/>
  <c r="AD345" i="1"/>
  <c r="AD347" i="1" s="1"/>
  <c r="AD542" i="1"/>
  <c r="AE353" i="1"/>
  <c r="AJ355" i="1" s="1"/>
  <c r="AE542" i="1"/>
  <c r="AM542" i="1"/>
  <c r="AC542" i="1"/>
  <c r="AN542" i="1"/>
  <c r="AO542" i="1"/>
  <c r="CS241" i="1"/>
  <c r="CT168" i="1"/>
  <c r="CV99" i="1"/>
  <c r="BY244" i="1"/>
  <c r="AN9" i="10"/>
  <c r="AP6" i="10"/>
  <c r="AO7" i="10"/>
  <c r="E27" i="10"/>
  <c r="E9" i="10"/>
  <c r="E26" i="10" s="1"/>
  <c r="AH4" i="10"/>
  <c r="AG27" i="10"/>
  <c r="AG26" i="10"/>
  <c r="G6" i="10"/>
  <c r="F7" i="10"/>
  <c r="C86" i="2"/>
  <c r="CI179" i="1"/>
  <c r="CN179" i="1" s="1"/>
  <c r="CN224" i="1" s="1"/>
  <c r="BZ381" i="1"/>
  <c r="BZ114" i="1"/>
  <c r="BZ95" i="1"/>
  <c r="BZ68" i="1"/>
  <c r="BZ61" i="1"/>
  <c r="BZ318" i="1"/>
  <c r="CI200" i="1"/>
  <c r="CN200" i="1" s="1"/>
  <c r="CP191" i="1" s="1"/>
  <c r="CT49" i="7"/>
  <c r="BY137" i="1"/>
  <c r="BY122" i="1"/>
  <c r="CD122" i="1" s="1"/>
  <c r="CI122" i="1" s="1"/>
  <c r="CH53" i="7"/>
  <c r="CD210" i="1"/>
  <c r="AM518" i="1"/>
  <c r="AT389" i="1"/>
  <c r="AP171" i="1"/>
  <c r="AP383" i="1"/>
  <c r="CS51" i="7"/>
  <c r="CS50" i="7"/>
  <c r="AL8" i="7"/>
  <c r="AL33" i="7" s="1"/>
  <c r="AL53" i="7" s="1"/>
  <c r="F455" i="1"/>
  <c r="F515" i="1"/>
  <c r="F31" i="1" s="1"/>
  <c r="AD7" i="7"/>
  <c r="AD30" i="7" s="1"/>
  <c r="D86" i="2"/>
  <c r="E86" i="2"/>
  <c r="M279" i="2"/>
  <c r="BO193" i="1"/>
  <c r="BO222" i="1" s="1"/>
  <c r="CQ56" i="7" s="1"/>
  <c r="C69" i="4"/>
  <c r="U15" i="3"/>
  <c r="K271" i="2" s="1"/>
  <c r="U30" i="3" s="1"/>
  <c r="E261" i="2"/>
  <c r="F261" i="2" s="1"/>
  <c r="R285" i="3"/>
  <c r="T285" i="3"/>
  <c r="S285" i="3"/>
  <c r="X285" i="3"/>
  <c r="BJ222" i="1"/>
  <c r="CP56" i="7" s="1"/>
  <c r="CP53" i="7" s="1"/>
  <c r="AD361" i="1"/>
  <c r="N340" i="2"/>
  <c r="N341" i="2" s="1"/>
  <c r="AD353" i="1"/>
  <c r="AD355" i="1" s="1"/>
  <c r="CN8" i="7"/>
  <c r="BE383" i="1"/>
  <c r="AD515" i="1"/>
  <c r="AD31" i="1" s="1"/>
  <c r="AE332" i="1"/>
  <c r="AJ334" i="1" s="1"/>
  <c r="AE340" i="1"/>
  <c r="AJ342" i="1" s="1"/>
  <c r="AE345" i="1"/>
  <c r="AJ347" i="1" s="1"/>
  <c r="AE455" i="1"/>
  <c r="L62" i="6" s="1"/>
  <c r="AD473" i="1"/>
  <c r="L88" i="1"/>
  <c r="L89" i="1"/>
  <c r="L92" i="1"/>
  <c r="V24" i="3"/>
  <c r="V248" i="3" s="1"/>
  <c r="V127" i="3"/>
  <c r="L91" i="1"/>
  <c r="AD433" i="1"/>
  <c r="AE361" i="1"/>
  <c r="AD455" i="1"/>
  <c r="K62" i="6" s="1"/>
  <c r="AR388" i="1"/>
  <c r="AE433" i="1"/>
  <c r="AC7" i="7"/>
  <c r="AC30" i="7" s="1"/>
  <c r="AE473" i="1"/>
  <c r="AD332" i="1"/>
  <c r="AD340" i="1"/>
  <c r="AD342" i="1" s="1"/>
  <c r="M200" i="2"/>
  <c r="M198" i="2"/>
  <c r="AM515" i="1"/>
  <c r="AM30" i="1" s="1"/>
  <c r="AM371" i="1" s="1"/>
  <c r="AJ7" i="7"/>
  <c r="AJ30" i="7" s="1"/>
  <c r="Q92" i="1"/>
  <c r="Q90" i="1"/>
  <c r="E317" i="2" s="1"/>
  <c r="Q89" i="1"/>
  <c r="H130" i="2"/>
  <c r="Q91" i="1"/>
  <c r="AE515" i="1"/>
  <c r="AE31" i="1" s="1"/>
  <c r="AK526" i="1"/>
  <c r="Q385" i="1"/>
  <c r="AI388" i="1"/>
  <c r="AG8" i="7" s="1"/>
  <c r="AG33" i="7" s="1"/>
  <c r="AG53" i="7" s="1"/>
  <c r="BT232" i="1"/>
  <c r="BT233" i="1" s="1"/>
  <c r="AP388" i="1"/>
  <c r="G92" i="1"/>
  <c r="G88" i="1"/>
  <c r="G89" i="1"/>
  <c r="G91" i="1"/>
  <c r="BA231" i="1"/>
  <c r="BE231" i="1" s="1"/>
  <c r="BE230" i="1"/>
  <c r="F84" i="2"/>
  <c r="F86" i="2" s="1"/>
  <c r="V138" i="2"/>
  <c r="U25" i="2"/>
  <c r="AJ388" i="1"/>
  <c r="AJ389" i="1" s="1"/>
  <c r="S23" i="2"/>
  <c r="H176" i="2"/>
  <c r="G7" i="2"/>
  <c r="G10" i="2" s="1"/>
  <c r="G20" i="2" s="1"/>
  <c r="AF7" i="7"/>
  <c r="AF30" i="7" s="1"/>
  <c r="AH518" i="1"/>
  <c r="AH515" i="1"/>
  <c r="AH433" i="1"/>
  <c r="AM433" i="1"/>
  <c r="BJ227" i="1"/>
  <c r="AA7" i="7"/>
  <c r="AA30" i="7" s="1"/>
  <c r="AB515" i="1"/>
  <c r="AG516" i="1" s="1"/>
  <c r="AB455" i="1"/>
  <c r="I62" i="6" s="1"/>
  <c r="AB433" i="1"/>
  <c r="AB353" i="1"/>
  <c r="AB345" i="1"/>
  <c r="AB340" i="1"/>
  <c r="AB361" i="1"/>
  <c r="AB332" i="1"/>
  <c r="AB473" i="1"/>
  <c r="AG433" i="1"/>
  <c r="AH7" i="7"/>
  <c r="AH30" i="7" s="1"/>
  <c r="AJ518" i="1"/>
  <c r="AJ515" i="1"/>
  <c r="AO516" i="1" s="1"/>
  <c r="AJ433" i="1"/>
  <c r="AO433" i="1"/>
  <c r="AG7" i="7"/>
  <c r="AG30" i="7" s="1"/>
  <c r="AI433" i="1"/>
  <c r="AI518" i="1"/>
  <c r="AI515" i="1"/>
  <c r="AN516" i="1" s="1"/>
  <c r="AN433" i="1"/>
  <c r="T7" i="7"/>
  <c r="T30" i="7" s="1"/>
  <c r="S455" i="1"/>
  <c r="S433" i="1"/>
  <c r="S515" i="1"/>
  <c r="S473" i="1"/>
  <c r="N7" i="7"/>
  <c r="N30" i="7" s="1"/>
  <c r="K455" i="1"/>
  <c r="K433" i="1"/>
  <c r="K515" i="1"/>
  <c r="K473" i="1"/>
  <c r="K326" i="2"/>
  <c r="N516" i="1"/>
  <c r="N31" i="1"/>
  <c r="N30" i="1"/>
  <c r="CN54" i="7"/>
  <c r="AZ177" i="1"/>
  <c r="AZ221" i="1"/>
  <c r="AQ385" i="1"/>
  <c r="N15" i="3"/>
  <c r="D271" i="2" s="1"/>
  <c r="L502" i="1"/>
  <c r="I276" i="2"/>
  <c r="I281" i="2" s="1"/>
  <c r="I282" i="2" s="1"/>
  <c r="S30" i="3"/>
  <c r="I270" i="2"/>
  <c r="CM57" i="7"/>
  <c r="AU185" i="1"/>
  <c r="AU180" i="1"/>
  <c r="AU225" i="1" s="1"/>
  <c r="CM55" i="7" s="1"/>
  <c r="P30" i="3"/>
  <c r="F270" i="2"/>
  <c r="F276" i="2"/>
  <c r="F281" i="2" s="1"/>
  <c r="F282" i="2" s="1"/>
  <c r="BP232" i="1"/>
  <c r="O343" i="2"/>
  <c r="Q290" i="1"/>
  <c r="R7" i="7"/>
  <c r="R30" i="7" s="1"/>
  <c r="P515" i="1"/>
  <c r="U516" i="1" s="1"/>
  <c r="P455" i="1"/>
  <c r="P433" i="1"/>
  <c r="P473" i="1"/>
  <c r="R250" i="3"/>
  <c r="H325" i="2"/>
  <c r="AF180" i="1"/>
  <c r="CJ58" i="7" s="1"/>
  <c r="AF126" i="1"/>
  <c r="AF171" i="1"/>
  <c r="CO44" i="7"/>
  <c r="BE220" i="1"/>
  <c r="AS516" i="1"/>
  <c r="AS31" i="1"/>
  <c r="AS30" i="1"/>
  <c r="AS371" i="1" s="1"/>
  <c r="R15" i="3"/>
  <c r="H271" i="2" s="1"/>
  <c r="AF500" i="1"/>
  <c r="AF502" i="1"/>
  <c r="AG30" i="1"/>
  <c r="AG371" i="1" s="1"/>
  <c r="AG31" i="1"/>
  <c r="M343" i="2"/>
  <c r="C173" i="2"/>
  <c r="C156" i="2"/>
  <c r="C166" i="2"/>
  <c r="C153" i="2"/>
  <c r="C192" i="2"/>
  <c r="C163" i="2"/>
  <c r="C160" i="2"/>
  <c r="C100" i="2"/>
  <c r="C74" i="2"/>
  <c r="G515" i="1"/>
  <c r="G455" i="1"/>
  <c r="G433" i="1"/>
  <c r="G473" i="1"/>
  <c r="G522" i="1" s="1"/>
  <c r="C136" i="2"/>
  <c r="W247" i="3"/>
  <c r="W24" i="3"/>
  <c r="W248" i="3" s="1"/>
  <c r="W127" i="3"/>
  <c r="X127" i="3"/>
  <c r="X24" i="3"/>
  <c r="X248" i="3" s="1"/>
  <c r="X247" i="3"/>
  <c r="BF232" i="1"/>
  <c r="AB388" i="1"/>
  <c r="U7" i="7"/>
  <c r="U30" i="7" s="1"/>
  <c r="T515" i="1"/>
  <c r="Y516" i="1" s="1"/>
  <c r="T455" i="1"/>
  <c r="T433" i="1"/>
  <c r="T473" i="1"/>
  <c r="Y30" i="1"/>
  <c r="Y31" i="1"/>
  <c r="AH388" i="1"/>
  <c r="M31" i="1"/>
  <c r="M30" i="1"/>
  <c r="K7" i="7"/>
  <c r="K30" i="7" s="1"/>
  <c r="H515" i="1"/>
  <c r="H455" i="1"/>
  <c r="H433" i="1"/>
  <c r="H473" i="1"/>
  <c r="AC31" i="1"/>
  <c r="AC30" i="1"/>
  <c r="O15" i="3"/>
  <c r="E271" i="2" s="1"/>
  <c r="Q502" i="1"/>
  <c r="AU383" i="1"/>
  <c r="AZ383" i="1"/>
  <c r="AW504" i="1"/>
  <c r="AW499" i="1" s="1"/>
  <c r="AV499" i="1"/>
  <c r="V172" i="2"/>
  <c r="CM59" i="7"/>
  <c r="AU186" i="1"/>
  <c r="AU525" i="1"/>
  <c r="AP526" i="1"/>
  <c r="AC389" i="1"/>
  <c r="I6" i="4"/>
  <c r="Z7" i="7"/>
  <c r="Z30" i="7" s="1"/>
  <c r="Z515" i="1"/>
  <c r="Z455" i="1"/>
  <c r="Z433" i="1"/>
  <c r="Z345" i="1"/>
  <c r="Z361" i="1"/>
  <c r="Z332" i="1"/>
  <c r="Z340" i="1"/>
  <c r="Z353" i="1"/>
  <c r="Z473" i="1"/>
  <c r="I516" i="1"/>
  <c r="I30" i="1"/>
  <c r="I31" i="1"/>
  <c r="CO60" i="7"/>
  <c r="BJ129" i="1"/>
  <c r="AF384" i="1"/>
  <c r="AF432" i="1" s="1"/>
  <c r="I24" i="19" s="1"/>
  <c r="AF292" i="1"/>
  <c r="AF289" i="1"/>
  <c r="AQ388" i="1"/>
  <c r="L340" i="2"/>
  <c r="L279" i="2"/>
  <c r="Q250" i="3"/>
  <c r="G325" i="2"/>
  <c r="G326" i="2" s="1"/>
  <c r="AA126" i="1"/>
  <c r="AA127" i="1" s="1"/>
  <c r="AA179" i="1"/>
  <c r="CI58" i="7" s="1"/>
  <c r="AA171" i="1"/>
  <c r="V381" i="1"/>
  <c r="V318" i="1"/>
  <c r="V165" i="1"/>
  <c r="V95" i="1"/>
  <c r="V68" i="1"/>
  <c r="V61" i="1"/>
  <c r="AA2" i="1"/>
  <c r="AA529" i="1" s="1"/>
  <c r="V114" i="1"/>
  <c r="AH334" i="1"/>
  <c r="AE389" i="1"/>
  <c r="AL516" i="1"/>
  <c r="AL31" i="1"/>
  <c r="AL30" i="1"/>
  <c r="AL371" i="1" s="1"/>
  <c r="U31" i="1"/>
  <c r="U30" i="1"/>
  <c r="D333" i="2"/>
  <c r="L519" i="1"/>
  <c r="AN30" i="1"/>
  <c r="AN371" i="1" s="1"/>
  <c r="AN31" i="1"/>
  <c r="X7" i="7"/>
  <c r="X30" i="7" s="1"/>
  <c r="X515" i="1"/>
  <c r="X455" i="1"/>
  <c r="X433" i="1"/>
  <c r="X353" i="1"/>
  <c r="AC355" i="1" s="1"/>
  <c r="X332" i="1"/>
  <c r="AC334" i="1" s="1"/>
  <c r="X345" i="1"/>
  <c r="X361" i="1"/>
  <c r="AC363" i="1" s="1"/>
  <c r="X340" i="1"/>
  <c r="AC342" i="1" s="1"/>
  <c r="X473" i="1"/>
  <c r="H10" i="4"/>
  <c r="I3" i="4"/>
  <c r="Z18" i="3"/>
  <c r="Z245" i="3" s="1"/>
  <c r="BT341" i="1"/>
  <c r="BT346" i="1"/>
  <c r="BT354" i="1"/>
  <c r="BT367" i="1"/>
  <c r="L432" i="1"/>
  <c r="E24" i="19" s="1"/>
  <c r="E329" i="2"/>
  <c r="E336" i="2"/>
  <c r="E337" i="2" s="1"/>
  <c r="Q30" i="1"/>
  <c r="O18" i="3" s="1"/>
  <c r="O245" i="3" s="1"/>
  <c r="Q31" i="1"/>
  <c r="E342" i="2"/>
  <c r="S250" i="3"/>
  <c r="I325" i="2"/>
  <c r="AK171" i="1"/>
  <c r="AK180" i="1"/>
  <c r="CK58" i="7" s="1"/>
  <c r="AK126" i="1"/>
  <c r="AP127" i="1" s="1"/>
  <c r="U127" i="3"/>
  <c r="U24" i="3"/>
  <c r="U248" i="3" s="1"/>
  <c r="U247" i="3"/>
  <c r="AT516" i="1"/>
  <c r="AT31" i="1"/>
  <c r="AT30" i="1"/>
  <c r="AT371" i="1" s="1"/>
  <c r="W31" i="1"/>
  <c r="W30" i="1"/>
  <c r="CR134" i="1"/>
  <c r="AK305" i="1"/>
  <c r="AK310" i="1"/>
  <c r="AK311" i="1" s="1"/>
  <c r="AF456" i="1"/>
  <c r="AF383" i="1"/>
  <c r="AF526" i="1"/>
  <c r="CL7" i="7"/>
  <c r="J173" i="2"/>
  <c r="J163" i="2"/>
  <c r="J192" i="2"/>
  <c r="J156" i="2"/>
  <c r="J153" i="2"/>
  <c r="J100" i="2"/>
  <c r="J166" i="2"/>
  <c r="J160" i="2"/>
  <c r="J74" i="2"/>
  <c r="AP518" i="1"/>
  <c r="AP515" i="1"/>
  <c r="AP455" i="1"/>
  <c r="J76" i="2"/>
  <c r="J136" i="2"/>
  <c r="AP473" i="1"/>
  <c r="AP522" i="1" s="1"/>
  <c r="AQ432" i="1"/>
  <c r="CD404" i="1"/>
  <c r="CI391" i="1"/>
  <c r="CN391" i="1" s="1"/>
  <c r="CN393" i="1" s="1"/>
  <c r="AO8" i="7"/>
  <c r="AO33" i="7" s="1"/>
  <c r="AO53" i="7" s="1"/>
  <c r="AS389" i="1"/>
  <c r="P192" i="2"/>
  <c r="AH342" i="1"/>
  <c r="CO51" i="7"/>
  <c r="CP39" i="7"/>
  <c r="X249" i="3"/>
  <c r="BO123" i="1"/>
  <c r="BJ125" i="1"/>
  <c r="BJ126" i="1"/>
  <c r="BJ127" i="1" s="1"/>
  <c r="CD191" i="1"/>
  <c r="U119" i="2"/>
  <c r="B217" i="1"/>
  <c r="B139" i="1"/>
  <c r="G133" i="1"/>
  <c r="L133" i="1" s="1"/>
  <c r="Q133" i="1" s="1"/>
  <c r="V133" i="1" s="1"/>
  <c r="AA133" i="1" s="1"/>
  <c r="AF133" i="1" s="1"/>
  <c r="AK133" i="1" s="1"/>
  <c r="AP133" i="1" s="1"/>
  <c r="AU133" i="1" s="1"/>
  <c r="AZ133" i="1" s="1"/>
  <c r="BE133" i="1" s="1"/>
  <c r="BJ133" i="1" s="1"/>
  <c r="BO133" i="1" s="1"/>
  <c r="BT133" i="1" s="1"/>
  <c r="AK384" i="1"/>
  <c r="AK292" i="1"/>
  <c r="AK289" i="1"/>
  <c r="AU384" i="1"/>
  <c r="AU289" i="1"/>
  <c r="AU292" i="1"/>
  <c r="AI8" i="7"/>
  <c r="AI33" i="7" s="1"/>
  <c r="AI53" i="7" s="1"/>
  <c r="AL389" i="1"/>
  <c r="O31" i="1"/>
  <c r="O30" i="1"/>
  <c r="G61" i="4"/>
  <c r="CQ504" i="1"/>
  <c r="V6" i="19" s="1"/>
  <c r="AP304" i="1"/>
  <c r="AU306" i="1"/>
  <c r="BO233" i="1"/>
  <c r="BO227" i="1"/>
  <c r="J333" i="2"/>
  <c r="AP519" i="1"/>
  <c r="AP292" i="1"/>
  <c r="AH347" i="1"/>
  <c r="P340" i="2"/>
  <c r="Q341" i="2" s="1"/>
  <c r="P279" i="2"/>
  <c r="P76" i="2"/>
  <c r="K343" i="2"/>
  <c r="K341" i="2"/>
  <c r="AN7" i="7"/>
  <c r="AN30" i="7" s="1"/>
  <c r="AR518" i="1"/>
  <c r="AR515" i="1"/>
  <c r="AR433" i="1"/>
  <c r="F192" i="2"/>
  <c r="F173" i="2"/>
  <c r="F166" i="2"/>
  <c r="F163" i="2"/>
  <c r="F160" i="2"/>
  <c r="F74" i="2"/>
  <c r="F156" i="2"/>
  <c r="F153" i="2"/>
  <c r="F100" i="2"/>
  <c r="V515" i="1"/>
  <c r="V455" i="1"/>
  <c r="V433" i="1"/>
  <c r="F76" i="2"/>
  <c r="V473" i="1"/>
  <c r="V522" i="1" s="1"/>
  <c r="F136" i="2"/>
  <c r="AA456" i="1"/>
  <c r="AA383" i="1"/>
  <c r="AA526" i="1"/>
  <c r="CO56" i="7"/>
  <c r="BE223" i="1"/>
  <c r="BE178" i="1"/>
  <c r="AH363" i="1"/>
  <c r="M7" i="7"/>
  <c r="M30" i="7" s="1"/>
  <c r="J515" i="1"/>
  <c r="O516" i="1" s="1"/>
  <c r="J455" i="1"/>
  <c r="J433" i="1"/>
  <c r="J473" i="1"/>
  <c r="AU127" i="1"/>
  <c r="S247" i="3"/>
  <c r="S127" i="3"/>
  <c r="S24" i="3"/>
  <c r="S248" i="3" s="1"/>
  <c r="S7" i="7"/>
  <c r="S30" i="7" s="1"/>
  <c r="R515" i="1"/>
  <c r="R455" i="1"/>
  <c r="R433" i="1"/>
  <c r="R473" i="1"/>
  <c r="Y127" i="3"/>
  <c r="Y24" i="3"/>
  <c r="Y248" i="3" s="1"/>
  <c r="Y247" i="3"/>
  <c r="AK456" i="1"/>
  <c r="AK383" i="1"/>
  <c r="B336" i="2"/>
  <c r="B337" i="2" s="1"/>
  <c r="B329" i="2"/>
  <c r="B30" i="1"/>
  <c r="L18" i="3" s="1"/>
  <c r="L245" i="3" s="1"/>
  <c r="B31" i="1"/>
  <c r="B342" i="2"/>
  <c r="AO30" i="1"/>
  <c r="AO371" i="1" s="1"/>
  <c r="AO31" i="1"/>
  <c r="N228" i="6"/>
  <c r="K223" i="2"/>
  <c r="U134" i="3"/>
  <c r="AK8" i="7"/>
  <c r="AK33" i="7" s="1"/>
  <c r="AK53" i="7" s="1"/>
  <c r="AD4" i="3"/>
  <c r="AD3" i="3" s="1"/>
  <c r="R319" i="2"/>
  <c r="Y374" i="1"/>
  <c r="Y448" i="1" s="1"/>
  <c r="CN56" i="7"/>
  <c r="AZ223" i="1"/>
  <c r="AZ178" i="1"/>
  <c r="AR385" i="1"/>
  <c r="L388" i="1"/>
  <c r="AA384" i="1"/>
  <c r="AA385" i="1" s="1"/>
  <c r="AA289" i="1"/>
  <c r="AA290" i="1" s="1"/>
  <c r="AA292" i="1"/>
  <c r="Z247" i="3"/>
  <c r="Z24" i="3"/>
  <c r="Z248" i="3" s="1"/>
  <c r="Z127" i="3"/>
  <c r="AH355" i="1"/>
  <c r="CN122" i="1" l="1"/>
  <c r="CQ122" i="1" s="1"/>
  <c r="CR122" i="1" s="1"/>
  <c r="CS122" i="1" s="1"/>
  <c r="CT122" i="1" s="1"/>
  <c r="CU122" i="1" s="1"/>
  <c r="CV122" i="1" s="1"/>
  <c r="CW122" i="1" s="1"/>
  <c r="CN210" i="1"/>
  <c r="CN211" i="1" s="1"/>
  <c r="CN191" i="1"/>
  <c r="CN101" i="1"/>
  <c r="CQ101" i="1" s="1"/>
  <c r="CR101" i="1" s="1"/>
  <c r="CS101" i="1" s="1"/>
  <c r="CT101" i="1" s="1"/>
  <c r="CU101" i="1" s="1"/>
  <c r="CV101" i="1" s="1"/>
  <c r="CW101" i="1" s="1"/>
  <c r="CN107" i="1"/>
  <c r="CQ107" i="1" s="1"/>
  <c r="CR107" i="1" s="1"/>
  <c r="CS107" i="1" s="1"/>
  <c r="CT107" i="1" s="1"/>
  <c r="CU107" i="1" s="1"/>
  <c r="CV107" i="1" s="1"/>
  <c r="CW107" i="1" s="1"/>
  <c r="CN403" i="1"/>
  <c r="P288" i="3"/>
  <c r="P290" i="3" s="1"/>
  <c r="G50" i="2"/>
  <c r="G52" i="2" s="1"/>
  <c r="H47" i="19" s="1"/>
  <c r="G40" i="2"/>
  <c r="L50" i="19"/>
  <c r="L44" i="19"/>
  <c r="V7" i="19"/>
  <c r="V9" i="19" s="1"/>
  <c r="AQ542" i="1"/>
  <c r="AQ486" i="1"/>
  <c r="L472" i="1"/>
  <c r="L486" i="1"/>
  <c r="AF472" i="1"/>
  <c r="AF486" i="1"/>
  <c r="T29" i="3"/>
  <c r="AP486" i="1"/>
  <c r="CU49" i="7"/>
  <c r="CK191" i="1"/>
  <c r="AU485" i="1"/>
  <c r="CL10" i="7"/>
  <c r="L59" i="4"/>
  <c r="C31" i="4"/>
  <c r="C8" i="11" s="1"/>
  <c r="C9" i="11" s="1"/>
  <c r="G270" i="2"/>
  <c r="Q84" i="3"/>
  <c r="G304" i="2"/>
  <c r="Q31" i="3"/>
  <c r="Q30" i="3"/>
  <c r="S31" i="3"/>
  <c r="I304" i="2"/>
  <c r="S84" i="3"/>
  <c r="F303" i="2"/>
  <c r="G30" i="19" s="1"/>
  <c r="G32" i="19" s="1"/>
  <c r="P82" i="3"/>
  <c r="H303" i="2"/>
  <c r="I30" i="19" s="1"/>
  <c r="I32" i="19" s="1"/>
  <c r="R82" i="3"/>
  <c r="T31" i="3"/>
  <c r="T84" i="3"/>
  <c r="J304" i="2"/>
  <c r="O84" i="3"/>
  <c r="E304" i="2"/>
  <c r="O31" i="3"/>
  <c r="AP498" i="1"/>
  <c r="T15" i="3" s="1"/>
  <c r="J271" i="2" s="1"/>
  <c r="J222" i="2"/>
  <c r="E67" i="2"/>
  <c r="O137" i="3"/>
  <c r="E69" i="2"/>
  <c r="I214" i="6" s="1"/>
  <c r="G54" i="2"/>
  <c r="F65" i="2"/>
  <c r="F66" i="2" s="1"/>
  <c r="G10" i="19" s="1"/>
  <c r="G45" i="19" s="1"/>
  <c r="J255" i="3"/>
  <c r="J268" i="3"/>
  <c r="G275" i="2"/>
  <c r="CT166" i="1"/>
  <c r="CT236" i="1" s="1"/>
  <c r="CS236" i="1"/>
  <c r="AE374" i="1"/>
  <c r="AB374" i="1"/>
  <c r="AB448" i="1" s="1"/>
  <c r="K2" i="3"/>
  <c r="J239" i="3"/>
  <c r="AD363" i="1"/>
  <c r="AD374" i="1"/>
  <c r="AA34" i="2"/>
  <c r="AI347" i="1"/>
  <c r="CJ7" i="7"/>
  <c r="CW99" i="1"/>
  <c r="CU168" i="1"/>
  <c r="CT241" i="1"/>
  <c r="AI4" i="10"/>
  <c r="AH27" i="10"/>
  <c r="AH26" i="10"/>
  <c r="F27" i="10"/>
  <c r="F9" i="10"/>
  <c r="F26" i="10" s="1"/>
  <c r="AO9" i="10"/>
  <c r="H6" i="10"/>
  <c r="G7" i="10"/>
  <c r="AQ6" i="10"/>
  <c r="AP7" i="10"/>
  <c r="U182" i="2"/>
  <c r="CI210" i="1"/>
  <c r="CL53" i="7"/>
  <c r="CV49" i="7"/>
  <c r="CT50" i="7"/>
  <c r="CQ179" i="1"/>
  <c r="BY133" i="1"/>
  <c r="CD133" i="1" s="1"/>
  <c r="CI133" i="1" s="1"/>
  <c r="F30" i="1"/>
  <c r="AR389" i="1"/>
  <c r="AN8" i="7"/>
  <c r="AN33" i="7" s="1"/>
  <c r="AN53" i="7" s="1"/>
  <c r="E262" i="2"/>
  <c r="AI363" i="1"/>
  <c r="BJ223" i="1"/>
  <c r="CQ62" i="7"/>
  <c r="BT193" i="1"/>
  <c r="K276" i="2"/>
  <c r="K281" i="2" s="1"/>
  <c r="K282" i="2" s="1"/>
  <c r="BT227" i="1"/>
  <c r="Z244" i="3" s="1"/>
  <c r="BO178" i="1"/>
  <c r="CQ59" i="7" s="1"/>
  <c r="AE342" i="1"/>
  <c r="BO223" i="1"/>
  <c r="BJ178" i="1"/>
  <c r="CP59" i="7" s="1"/>
  <c r="AI355" i="1"/>
  <c r="U285" i="3"/>
  <c r="O341" i="2"/>
  <c r="N343" i="2"/>
  <c r="CN53" i="7"/>
  <c r="BE232" i="1"/>
  <c r="BJ233" i="1" s="1"/>
  <c r="AD516" i="1"/>
  <c r="AJ363" i="1"/>
  <c r="AE347" i="1"/>
  <c r="AI342" i="1"/>
  <c r="AD30" i="1"/>
  <c r="AE363" i="1"/>
  <c r="AM516" i="1"/>
  <c r="AI334" i="1"/>
  <c r="AO389" i="1"/>
  <c r="AD334" i="1"/>
  <c r="AA345" i="1"/>
  <c r="AM31" i="1"/>
  <c r="AM51" i="1" s="1"/>
  <c r="AA332" i="1"/>
  <c r="AA361" i="1"/>
  <c r="AK385" i="1"/>
  <c r="AF388" i="1"/>
  <c r="AN389" i="1"/>
  <c r="AK290" i="1"/>
  <c r="AE516" i="1"/>
  <c r="AE30" i="1"/>
  <c r="AI389" i="1"/>
  <c r="I326" i="2"/>
  <c r="AK127" i="1"/>
  <c r="AE334" i="1"/>
  <c r="AH8" i="7"/>
  <c r="AH33" i="7" s="1"/>
  <c r="AH53" i="7" s="1"/>
  <c r="AP385" i="1"/>
  <c r="AK432" i="1"/>
  <c r="J24" i="19" s="1"/>
  <c r="BA232" i="1"/>
  <c r="AC347" i="1"/>
  <c r="CM58" i="7"/>
  <c r="AA340" i="1"/>
  <c r="AK388" i="1"/>
  <c r="AP290" i="1"/>
  <c r="W138" i="2"/>
  <c r="V25" i="2"/>
  <c r="U185" i="2"/>
  <c r="AA353" i="1"/>
  <c r="CQ53" i="7"/>
  <c r="G84" i="2"/>
  <c r="I176" i="2"/>
  <c r="H7" i="2"/>
  <c r="H10" i="2" s="1"/>
  <c r="H20" i="2" s="1"/>
  <c r="P177" i="6"/>
  <c r="AO40" i="1"/>
  <c r="AO51" i="1"/>
  <c r="R516" i="1"/>
  <c r="R30" i="1"/>
  <c r="R31" i="1"/>
  <c r="W32" i="1" s="1"/>
  <c r="CO59" i="7"/>
  <c r="BE186" i="1"/>
  <c r="AA388" i="1"/>
  <c r="AU290" i="1"/>
  <c r="CI403" i="1"/>
  <c r="CI404" i="1" s="1"/>
  <c r="J336" i="2"/>
  <c r="J337" i="2" s="1"/>
  <c r="AP30" i="1"/>
  <c r="AP371" i="1" s="1"/>
  <c r="AP31" i="1"/>
  <c r="J342" i="2"/>
  <c r="H192" i="2"/>
  <c r="H173" i="2"/>
  <c r="H166" i="2"/>
  <c r="H163" i="2"/>
  <c r="H160" i="2"/>
  <c r="H74" i="2"/>
  <c r="H156" i="2"/>
  <c r="H153" i="2"/>
  <c r="H100" i="2"/>
  <c r="AF515" i="1"/>
  <c r="AF531" i="1"/>
  <c r="AF455" i="1"/>
  <c r="H136" i="2"/>
  <c r="AF473" i="1"/>
  <c r="AF522" i="1" s="1"/>
  <c r="H76" i="2"/>
  <c r="Q51" i="1"/>
  <c r="Q40" i="1"/>
  <c r="AF385" i="1"/>
  <c r="I51" i="1"/>
  <c r="I40" i="1"/>
  <c r="O30" i="3"/>
  <c r="E276" i="2"/>
  <c r="E281" i="2" s="1"/>
  <c r="E282" i="2" s="1"/>
  <c r="E270" i="2"/>
  <c r="AE355" i="1"/>
  <c r="AF127" i="1"/>
  <c r="P516" i="1"/>
  <c r="P30" i="1"/>
  <c r="P31" i="1"/>
  <c r="U32" i="1" s="1"/>
  <c r="Y375" i="1"/>
  <c r="Y518" i="1"/>
  <c r="Y520" i="1" s="1"/>
  <c r="AF353" i="1"/>
  <c r="AB355" i="1"/>
  <c r="AG355" i="1"/>
  <c r="AO354" i="1"/>
  <c r="AO341" i="1"/>
  <c r="AO346" i="1"/>
  <c r="AO362" i="1"/>
  <c r="AO333" i="1"/>
  <c r="AA432" i="1"/>
  <c r="H24" i="19" s="1"/>
  <c r="CI191" i="1"/>
  <c r="R191" i="2"/>
  <c r="AP520" i="1"/>
  <c r="AP521" i="1"/>
  <c r="J85" i="2" s="1"/>
  <c r="CS134" i="1"/>
  <c r="X374" i="1"/>
  <c r="AL346" i="1"/>
  <c r="AL362" i="1"/>
  <c r="AL354" i="1"/>
  <c r="AL333" i="1"/>
  <c r="AL341" i="1"/>
  <c r="Y51" i="1"/>
  <c r="Y40" i="1"/>
  <c r="G283" i="2"/>
  <c r="CO54" i="7"/>
  <c r="BE177" i="1"/>
  <c r="BE221" i="1"/>
  <c r="N32" i="1"/>
  <c r="N51" i="1"/>
  <c r="N40" i="1"/>
  <c r="H333" i="2"/>
  <c r="AF519" i="1"/>
  <c r="X516" i="1"/>
  <c r="X30" i="1"/>
  <c r="X31" i="1"/>
  <c r="AC32" i="1" s="1"/>
  <c r="S319" i="2"/>
  <c r="T319" i="2" s="1"/>
  <c r="T318" i="2" s="1"/>
  <c r="AH375" i="1"/>
  <c r="AC518" i="1"/>
  <c r="AC520" i="1" s="1"/>
  <c r="U214" i="2"/>
  <c r="M59" i="4" s="1"/>
  <c r="CR504" i="1"/>
  <c r="W6" i="19" s="1"/>
  <c r="AU385" i="1"/>
  <c r="AU320" i="1"/>
  <c r="B150" i="1"/>
  <c r="G150" i="1" s="1"/>
  <c r="L150" i="1" s="1"/>
  <c r="Q150" i="1" s="1"/>
  <c r="V150" i="1" s="1"/>
  <c r="AA150" i="1" s="1"/>
  <c r="AF150" i="1" s="1"/>
  <c r="AK150" i="1" s="1"/>
  <c r="AP150" i="1" s="1"/>
  <c r="AU150" i="1" s="1"/>
  <c r="AZ150" i="1" s="1"/>
  <c r="BE150" i="1" s="1"/>
  <c r="BJ150" i="1" s="1"/>
  <c r="BO150" i="1" s="1"/>
  <c r="BT150" i="1" s="1"/>
  <c r="G139" i="1"/>
  <c r="L139" i="1" s="1"/>
  <c r="Q139" i="1" s="1"/>
  <c r="V139" i="1" s="1"/>
  <c r="AA139" i="1" s="1"/>
  <c r="AF139" i="1" s="1"/>
  <c r="AK139" i="1" s="1"/>
  <c r="AP139" i="1" s="1"/>
  <c r="AU139" i="1" s="1"/>
  <c r="AZ139" i="1" s="1"/>
  <c r="BE139" i="1" s="1"/>
  <c r="BJ139" i="1" s="1"/>
  <c r="BO139" i="1" s="1"/>
  <c r="BT139" i="1" s="1"/>
  <c r="CD192" i="1"/>
  <c r="AM7" i="7"/>
  <c r="AM30" i="7" s="1"/>
  <c r="AQ518" i="1"/>
  <c r="AQ433" i="1"/>
  <c r="AQ515" i="1"/>
  <c r="O177" i="6"/>
  <c r="AN51" i="1"/>
  <c r="AN40" i="1"/>
  <c r="M177" i="6"/>
  <c r="AL32" i="1"/>
  <c r="AL40" i="1"/>
  <c r="AL51" i="1"/>
  <c r="L341" i="2"/>
  <c r="L343" i="2"/>
  <c r="Z374" i="1"/>
  <c r="Z448" i="1" s="1"/>
  <c r="AC51" i="1"/>
  <c r="AC40" i="1"/>
  <c r="AA8" i="7"/>
  <c r="AA33" i="7" s="1"/>
  <c r="AA53" i="7" s="1"/>
  <c r="AB389" i="1"/>
  <c r="AG389" i="1"/>
  <c r="M341" i="2"/>
  <c r="H326" i="2"/>
  <c r="AD32" i="1"/>
  <c r="AD51" i="1"/>
  <c r="AD40" i="1"/>
  <c r="AB516" i="1"/>
  <c r="AB30" i="1"/>
  <c r="AB31" i="1"/>
  <c r="AG32" i="1" s="1"/>
  <c r="Y244" i="3"/>
  <c r="BO228" i="1"/>
  <c r="H516" i="1"/>
  <c r="H30" i="1"/>
  <c r="H31" i="1"/>
  <c r="M32" i="1" s="1"/>
  <c r="G333" i="2"/>
  <c r="AA519" i="1"/>
  <c r="AE4" i="3"/>
  <c r="AE3" i="3" s="1"/>
  <c r="O40" i="1"/>
  <c r="O51" i="1"/>
  <c r="B288" i="1"/>
  <c r="G217" i="1"/>
  <c r="L217" i="1" s="1"/>
  <c r="Q217" i="1" s="1"/>
  <c r="V217" i="1" s="1"/>
  <c r="AA217" i="1" s="1"/>
  <c r="AF217" i="1" s="1"/>
  <c r="AK217" i="1" s="1"/>
  <c r="AP217" i="1" s="1"/>
  <c r="AU217" i="1" s="1"/>
  <c r="AZ217" i="1" s="1"/>
  <c r="BE217" i="1" s="1"/>
  <c r="BJ217" i="1" s="1"/>
  <c r="BO217" i="1" s="1"/>
  <c r="BT217" i="1" s="1"/>
  <c r="AT346" i="1"/>
  <c r="AT362" i="1"/>
  <c r="AT354" i="1"/>
  <c r="AT367" i="1"/>
  <c r="AT341" i="1"/>
  <c r="AT330" i="1"/>
  <c r="AT333" i="1"/>
  <c r="F40" i="1"/>
  <c r="F51" i="1"/>
  <c r="AN362" i="1"/>
  <c r="AN341" i="1"/>
  <c r="AN354" i="1"/>
  <c r="AN346" i="1"/>
  <c r="AN333" i="1"/>
  <c r="U40" i="1"/>
  <c r="U51" i="1"/>
  <c r="AA381" i="1"/>
  <c r="AA318" i="1"/>
  <c r="AA165" i="1"/>
  <c r="AA114" i="1"/>
  <c r="AA95" i="1"/>
  <c r="AF2" i="1"/>
  <c r="AF529" i="1" s="1"/>
  <c r="AA68" i="1"/>
  <c r="AA61" i="1"/>
  <c r="AM8" i="7"/>
  <c r="AM33" i="7" s="1"/>
  <c r="AM53" i="7" s="1"/>
  <c r="AQ389" i="1"/>
  <c r="J6" i="4"/>
  <c r="AE40" i="1"/>
  <c r="AE51" i="1"/>
  <c r="W172" i="2"/>
  <c r="X172" i="2" s="1"/>
  <c r="AU388" i="1"/>
  <c r="AC516" i="1"/>
  <c r="M40" i="1"/>
  <c r="M51" i="1"/>
  <c r="S516" i="1"/>
  <c r="S31" i="1"/>
  <c r="S30" i="1"/>
  <c r="AB334" i="1"/>
  <c r="AF332" i="1"/>
  <c r="AG334" i="1"/>
  <c r="X244" i="3"/>
  <c r="BJ228" i="1"/>
  <c r="CN59" i="7"/>
  <c r="AZ186" i="1"/>
  <c r="I333" i="2"/>
  <c r="AK519" i="1"/>
  <c r="F329" i="2"/>
  <c r="F336" i="2"/>
  <c r="F337" i="2" s="1"/>
  <c r="F338" i="2" s="1"/>
  <c r="V516" i="1"/>
  <c r="V31" i="1"/>
  <c r="V30" i="1"/>
  <c r="P18" i="3" s="1"/>
  <c r="P245" i="3" s="1"/>
  <c r="F342" i="2"/>
  <c r="H61" i="4"/>
  <c r="V119" i="2"/>
  <c r="CP44" i="7"/>
  <c r="BJ220" i="1"/>
  <c r="W40" i="1"/>
  <c r="W51" i="1"/>
  <c r="T177" i="6"/>
  <c r="D4" i="6"/>
  <c r="AT32" i="1"/>
  <c r="D5" i="6" s="1"/>
  <c r="AT40" i="1"/>
  <c r="D9" i="6" s="1"/>
  <c r="AT51" i="1"/>
  <c r="D192" i="2"/>
  <c r="D173" i="2"/>
  <c r="D166" i="2"/>
  <c r="D153" i="2"/>
  <c r="D100" i="2"/>
  <c r="D163" i="2"/>
  <c r="D160" i="2"/>
  <c r="D74" i="2"/>
  <c r="D156" i="2"/>
  <c r="L515" i="1"/>
  <c r="L455" i="1"/>
  <c r="L433" i="1"/>
  <c r="D136" i="2"/>
  <c r="D76" i="2"/>
  <c r="L473" i="1"/>
  <c r="L522" i="1" s="1"/>
  <c r="Q433" i="1"/>
  <c r="AU432" i="1"/>
  <c r="M516" i="1"/>
  <c r="T516" i="1"/>
  <c r="T30" i="1"/>
  <c r="T31" i="1"/>
  <c r="Y32" i="1" s="1"/>
  <c r="I177" i="6"/>
  <c r="AG51" i="1"/>
  <c r="AG40" i="1"/>
  <c r="AS354" i="1"/>
  <c r="AS367" i="1"/>
  <c r="AS346" i="1"/>
  <c r="AS330" i="1"/>
  <c r="AS341" i="1"/>
  <c r="AS362" i="1"/>
  <c r="AS333" i="1"/>
  <c r="D276" i="2"/>
  <c r="D281" i="2" s="1"/>
  <c r="D282" i="2" s="1"/>
  <c r="D283" i="2" s="1"/>
  <c r="N30" i="3"/>
  <c r="D270" i="2"/>
  <c r="J326" i="2"/>
  <c r="AI516" i="1"/>
  <c r="AI31" i="1"/>
  <c r="AN32" i="1" s="1"/>
  <c r="AI30" i="1"/>
  <c r="AI371" i="1" s="1"/>
  <c r="AJ516" i="1"/>
  <c r="AJ30" i="1"/>
  <c r="AJ371" i="1" s="1"/>
  <c r="AJ31" i="1"/>
  <c r="AB363" i="1"/>
  <c r="AG363" i="1"/>
  <c r="AF361" i="1"/>
  <c r="AH516" i="1"/>
  <c r="AH30" i="1"/>
  <c r="AH371" i="1" s="1"/>
  <c r="AH31" i="1"/>
  <c r="F262" i="2"/>
  <c r="G261" i="2"/>
  <c r="AR516" i="1"/>
  <c r="AR30" i="1"/>
  <c r="AR371" i="1" s="1"/>
  <c r="AR31" i="1"/>
  <c r="P343" i="2"/>
  <c r="P341" i="2"/>
  <c r="P342" i="2"/>
  <c r="AU304" i="1"/>
  <c r="AZ306" i="1"/>
  <c r="CQ39" i="7"/>
  <c r="Y249" i="3"/>
  <c r="BT123" i="1"/>
  <c r="BY123" i="1" s="1"/>
  <c r="BO125" i="1"/>
  <c r="BO126" i="1"/>
  <c r="BO127" i="1" s="1"/>
  <c r="W516" i="1"/>
  <c r="I10" i="4"/>
  <c r="J3" i="4"/>
  <c r="K3" i="4" s="1"/>
  <c r="L3" i="4" s="1"/>
  <c r="AM346" i="1"/>
  <c r="AM362" i="1"/>
  <c r="AM333" i="1"/>
  <c r="AM341" i="1"/>
  <c r="AM354" i="1"/>
  <c r="AF8" i="7"/>
  <c r="AF33" i="7" s="1"/>
  <c r="AF53" i="7" s="1"/>
  <c r="AH389" i="1"/>
  <c r="AM389" i="1"/>
  <c r="AG354" i="1"/>
  <c r="AG362" i="1"/>
  <c r="AG333" i="1"/>
  <c r="AG341" i="1"/>
  <c r="AG346" i="1"/>
  <c r="R30" i="3"/>
  <c r="H276" i="2"/>
  <c r="H281" i="2" s="1"/>
  <c r="H282" i="2" s="1"/>
  <c r="H283" i="2" s="1"/>
  <c r="H270" i="2"/>
  <c r="S177" i="6"/>
  <c r="AS32" i="1"/>
  <c r="AS51" i="1"/>
  <c r="AS40" i="1"/>
  <c r="AB342" i="1"/>
  <c r="AG342" i="1"/>
  <c r="AF340" i="1"/>
  <c r="W375" i="1"/>
  <c r="W518" i="1"/>
  <c r="W520" i="1" s="1"/>
  <c r="B40" i="1"/>
  <c r="B51" i="1"/>
  <c r="J516" i="1"/>
  <c r="J30" i="1"/>
  <c r="J31" i="1"/>
  <c r="AP310" i="1"/>
  <c r="AP311" i="1" s="1"/>
  <c r="AP305" i="1"/>
  <c r="AF290" i="1"/>
  <c r="CP60" i="7"/>
  <c r="BO129" i="1"/>
  <c r="Z516" i="1"/>
  <c r="Z30" i="1"/>
  <c r="Z31" i="1"/>
  <c r="AZ525" i="1"/>
  <c r="AU526" i="1"/>
  <c r="C336" i="2"/>
  <c r="C337" i="2" s="1"/>
  <c r="C338" i="2" s="1"/>
  <c r="C329" i="2"/>
  <c r="G516" i="1"/>
  <c r="G31" i="1"/>
  <c r="G30" i="1"/>
  <c r="M18" i="3" s="1"/>
  <c r="M245" i="3" s="1"/>
  <c r="C342" i="2"/>
  <c r="BP233" i="1"/>
  <c r="CN57" i="7"/>
  <c r="AZ185" i="1"/>
  <c r="AZ180" i="1"/>
  <c r="AZ225" i="1" s="1"/>
  <c r="CN55" i="7" s="1"/>
  <c r="K516" i="1"/>
  <c r="K31" i="1"/>
  <c r="K30" i="1"/>
  <c r="AG347" i="1"/>
  <c r="AB347" i="1"/>
  <c r="AF345" i="1"/>
  <c r="CK192" i="1" l="1"/>
  <c r="CP192" i="1"/>
  <c r="CN404" i="1"/>
  <c r="CN133" i="1"/>
  <c r="CQ133" i="1" s="1"/>
  <c r="CR133" i="1" s="1"/>
  <c r="CS133" i="1" s="1"/>
  <c r="CT133" i="1" s="1"/>
  <c r="CU133" i="1" s="1"/>
  <c r="CV133" i="1" s="1"/>
  <c r="CW133" i="1" s="1"/>
  <c r="CN192" i="1"/>
  <c r="Q288" i="3"/>
  <c r="Q290" i="3" s="1"/>
  <c r="AU486" i="1"/>
  <c r="L24" i="19"/>
  <c r="H50" i="2"/>
  <c r="H52" i="2" s="1"/>
  <c r="I47" i="19" s="1"/>
  <c r="H40" i="2"/>
  <c r="V18" i="19"/>
  <c r="V21" i="19" s="1"/>
  <c r="W7" i="19"/>
  <c r="W9" i="19" s="1"/>
  <c r="AA472" i="1"/>
  <c r="AA486" i="1"/>
  <c r="AK472" i="1"/>
  <c r="AK486" i="1"/>
  <c r="D31" i="4"/>
  <c r="AP500" i="1"/>
  <c r="AP502" i="1"/>
  <c r="R84" i="3"/>
  <c r="H304" i="2"/>
  <c r="R31" i="3"/>
  <c r="P84" i="3"/>
  <c r="F304" i="2"/>
  <c r="P31" i="3"/>
  <c r="AU500" i="1"/>
  <c r="AU542" i="1"/>
  <c r="K166" i="2"/>
  <c r="F67" i="2"/>
  <c r="P137" i="3"/>
  <c r="P138" i="3" s="1"/>
  <c r="F69" i="2"/>
  <c r="J214" i="6" s="1"/>
  <c r="H54" i="2"/>
  <c r="G65" i="2"/>
  <c r="G66" i="2" s="1"/>
  <c r="H10" i="19" s="1"/>
  <c r="H45" i="19" s="1"/>
  <c r="O138" i="3"/>
  <c r="O132" i="3"/>
  <c r="O136" i="3" s="1"/>
  <c r="K255" i="3"/>
  <c r="K268" i="3"/>
  <c r="CU166" i="1"/>
  <c r="CU236" i="1" s="1"/>
  <c r="H275" i="2"/>
  <c r="L2" i="3"/>
  <c r="K239" i="3"/>
  <c r="AF374" i="1"/>
  <c r="AF448" i="1" s="1"/>
  <c r="Y172" i="2"/>
  <c r="W25" i="2"/>
  <c r="X138" i="2"/>
  <c r="AC375" i="1"/>
  <c r="X448" i="1"/>
  <c r="AE518" i="1"/>
  <c r="AE520" i="1" s="1"/>
  <c r="AE448" i="1"/>
  <c r="AD375" i="1"/>
  <c r="AD448" i="1"/>
  <c r="CI7" i="7"/>
  <c r="AA542" i="1"/>
  <c r="AK542" i="1"/>
  <c r="AP542" i="1"/>
  <c r="AF542" i="1"/>
  <c r="CK7" i="7"/>
  <c r="CT134" i="1"/>
  <c r="CU241" i="1"/>
  <c r="CV168" i="1"/>
  <c r="AQ7" i="10"/>
  <c r="AQ9" i="10" s="1"/>
  <c r="AR6" i="10"/>
  <c r="AR7" i="10" s="1"/>
  <c r="I6" i="10"/>
  <c r="H7" i="10"/>
  <c r="AP9" i="10"/>
  <c r="G9" i="10"/>
  <c r="G26" i="10" s="1"/>
  <c r="G27" i="10"/>
  <c r="AJ4" i="10"/>
  <c r="AI27" i="10"/>
  <c r="AI26" i="10"/>
  <c r="V182" i="2"/>
  <c r="CQ200" i="1"/>
  <c r="CW49" i="7" s="1"/>
  <c r="CU50" i="7"/>
  <c r="CK53" i="7"/>
  <c r="CJ53" i="7"/>
  <c r="CI53" i="7"/>
  <c r="BY125" i="1"/>
  <c r="BY126" i="1"/>
  <c r="BY139" i="1"/>
  <c r="CD139" i="1" s="1"/>
  <c r="CI139" i="1" s="1"/>
  <c r="BY217" i="1"/>
  <c r="CD217" i="1" s="1"/>
  <c r="CI217" i="1" s="1"/>
  <c r="BY150" i="1"/>
  <c r="CD150" i="1" s="1"/>
  <c r="CI150" i="1" s="1"/>
  <c r="CR62" i="7"/>
  <c r="BY193" i="1"/>
  <c r="BY222" i="1" s="1"/>
  <c r="BY178" i="1" s="1"/>
  <c r="CR179" i="1"/>
  <c r="I153" i="2"/>
  <c r="AP389" i="1"/>
  <c r="CG53" i="7"/>
  <c r="BT222" i="1"/>
  <c r="BT228" i="1"/>
  <c r="G2" i="5"/>
  <c r="AE375" i="1"/>
  <c r="AJ375" i="1"/>
  <c r="BO186" i="1"/>
  <c r="AM40" i="1"/>
  <c r="BJ186" i="1"/>
  <c r="N177" i="6"/>
  <c r="N189" i="6" s="1"/>
  <c r="AI375" i="1"/>
  <c r="AK515" i="1"/>
  <c r="AP516" i="1" s="1"/>
  <c r="AD518" i="1"/>
  <c r="AD520" i="1" s="1"/>
  <c r="I74" i="2"/>
  <c r="I166" i="2"/>
  <c r="I160" i="2"/>
  <c r="AA374" i="1"/>
  <c r="AF389" i="1"/>
  <c r="AK389" i="1"/>
  <c r="AK518" i="1"/>
  <c r="AK520" i="1" s="1"/>
  <c r="AK433" i="1"/>
  <c r="I136" i="2"/>
  <c r="I192" i="2"/>
  <c r="AP433" i="1"/>
  <c r="AK455" i="1"/>
  <c r="I156" i="2"/>
  <c r="AK531" i="1"/>
  <c r="I173" i="2"/>
  <c r="I163" i="2"/>
  <c r="AK473" i="1"/>
  <c r="AK522" i="1" s="1"/>
  <c r="I100" i="2"/>
  <c r="I76" i="2"/>
  <c r="J176" i="2"/>
  <c r="I7" i="2"/>
  <c r="I10" i="2" s="1"/>
  <c r="I20" i="2" s="1"/>
  <c r="CN58" i="7"/>
  <c r="V185" i="2"/>
  <c r="U23" i="2"/>
  <c r="I283" i="2"/>
  <c r="H84" i="2"/>
  <c r="AF347" i="1"/>
  <c r="AK347" i="1"/>
  <c r="U153" i="2"/>
  <c r="L177" i="6"/>
  <c r="AJ32" i="1"/>
  <c r="AJ40" i="1"/>
  <c r="AJ51" i="1"/>
  <c r="S32" i="1"/>
  <c r="S51" i="1"/>
  <c r="S40" i="1"/>
  <c r="F2" i="5"/>
  <c r="BO295" i="1"/>
  <c r="BO327" i="1"/>
  <c r="AQ516" i="1"/>
  <c r="AQ31" i="1"/>
  <c r="AQ30" i="1"/>
  <c r="AQ371" i="1" s="1"/>
  <c r="CO57" i="7"/>
  <c r="BE185" i="1"/>
  <c r="BE180" i="1"/>
  <c r="CQ207" i="1"/>
  <c r="H336" i="2"/>
  <c r="H337" i="2" s="1"/>
  <c r="AF30" i="1"/>
  <c r="R18" i="3" s="1"/>
  <c r="R245" i="3" s="1"/>
  <c r="AF31" i="1"/>
  <c r="H342" i="2"/>
  <c r="J40" i="1"/>
  <c r="J51" i="1"/>
  <c r="J10" i="4"/>
  <c r="AH362" i="1"/>
  <c r="AH354" i="1"/>
  <c r="AH346" i="1"/>
  <c r="AH333" i="1"/>
  <c r="AH341" i="1"/>
  <c r="CM7" i="7"/>
  <c r="B3" i="5"/>
  <c r="K163" i="2"/>
  <c r="K156" i="2"/>
  <c r="K192" i="2"/>
  <c r="K153" i="2"/>
  <c r="K160" i="2"/>
  <c r="AU515" i="1"/>
  <c r="AU433" i="1"/>
  <c r="AU518" i="1"/>
  <c r="K136" i="2"/>
  <c r="K173" i="2"/>
  <c r="K74" i="2"/>
  <c r="K100" i="2"/>
  <c r="K76" i="2"/>
  <c r="E2" i="5"/>
  <c r="BJ327" i="1"/>
  <c r="U160" i="2"/>
  <c r="AB32" i="1"/>
  <c r="AB40" i="1"/>
  <c r="AB51" i="1"/>
  <c r="Z375" i="1"/>
  <c r="Z518" i="1"/>
  <c r="Z520" i="1" s="1"/>
  <c r="O191" i="6"/>
  <c r="O192" i="6"/>
  <c r="O190" i="6"/>
  <c r="O189" i="6"/>
  <c r="O193" i="6"/>
  <c r="CI192" i="1"/>
  <c r="P32" i="1"/>
  <c r="P51" i="1"/>
  <c r="P40" i="1"/>
  <c r="S191" i="6"/>
  <c r="S192" i="6"/>
  <c r="S193" i="6"/>
  <c r="S190" i="6"/>
  <c r="S189" i="6"/>
  <c r="CR39" i="7"/>
  <c r="Z249" i="3"/>
  <c r="CS39" i="7"/>
  <c r="BT125" i="1"/>
  <c r="BT126" i="1"/>
  <c r="J177" i="6"/>
  <c r="AH40" i="1"/>
  <c r="AH32" i="1"/>
  <c r="AH51" i="1"/>
  <c r="AJ354" i="1"/>
  <c r="AJ346" i="1"/>
  <c r="AJ333" i="1"/>
  <c r="AJ362" i="1"/>
  <c r="AJ341" i="1"/>
  <c r="B297" i="1"/>
  <c r="G297" i="1" s="1"/>
  <c r="L297" i="1" s="1"/>
  <c r="Q297" i="1" s="1"/>
  <c r="V297" i="1" s="1"/>
  <c r="AA297" i="1" s="1"/>
  <c r="AF297" i="1" s="1"/>
  <c r="AK297" i="1" s="1"/>
  <c r="AP297" i="1" s="1"/>
  <c r="AU297" i="1" s="1"/>
  <c r="AZ297" i="1" s="1"/>
  <c r="BE297" i="1" s="1"/>
  <c r="BJ297" i="1" s="1"/>
  <c r="BO297" i="1" s="1"/>
  <c r="BT297" i="1" s="1"/>
  <c r="BY297" i="1" s="1"/>
  <c r="CD297" i="1" s="1"/>
  <c r="CI297" i="1" s="1"/>
  <c r="G288" i="1"/>
  <c r="L288" i="1" s="1"/>
  <c r="Q288" i="1" s="1"/>
  <c r="V288" i="1" s="1"/>
  <c r="AA288" i="1" s="1"/>
  <c r="AF288" i="1" s="1"/>
  <c r="AK288" i="1" s="1"/>
  <c r="AP288" i="1" s="1"/>
  <c r="AU288" i="1" s="1"/>
  <c r="AZ288" i="1" s="1"/>
  <c r="BE288" i="1" s="1"/>
  <c r="BJ288" i="1" s="1"/>
  <c r="BO288" i="1" s="1"/>
  <c r="BT288" i="1" s="1"/>
  <c r="E283" i="2"/>
  <c r="K32" i="1"/>
  <c r="K51" i="1"/>
  <c r="K40" i="1"/>
  <c r="G32" i="1"/>
  <c r="G40" i="1"/>
  <c r="G51" i="1"/>
  <c r="U156" i="2"/>
  <c r="R177" i="6"/>
  <c r="AR32" i="1"/>
  <c r="AR51" i="1"/>
  <c r="AR40" i="1"/>
  <c r="AI362" i="1"/>
  <c r="AI346" i="1"/>
  <c r="AI333" i="1"/>
  <c r="AI354" i="1"/>
  <c r="AI341" i="1"/>
  <c r="CP54" i="7"/>
  <c r="BJ177" i="1"/>
  <c r="BJ221" i="1"/>
  <c r="H51" i="1"/>
  <c r="H40" i="1"/>
  <c r="AU322" i="1"/>
  <c r="AU321" i="1"/>
  <c r="AU324" i="1"/>
  <c r="X32" i="1"/>
  <c r="X51" i="1"/>
  <c r="X40" i="1"/>
  <c r="G173" i="2"/>
  <c r="G166" i="2"/>
  <c r="G163" i="2"/>
  <c r="G160" i="2"/>
  <c r="G192" i="2"/>
  <c r="G156" i="2"/>
  <c r="G153" i="2"/>
  <c r="G100" i="2"/>
  <c r="G74" i="2"/>
  <c r="AA455" i="1"/>
  <c r="AA433" i="1"/>
  <c r="AA515" i="1"/>
  <c r="G76" i="2"/>
  <c r="G136" i="2"/>
  <c r="AA473" i="1"/>
  <c r="AA522" i="1" s="1"/>
  <c r="CQ44" i="7"/>
  <c r="BO220" i="1"/>
  <c r="CM53" i="7"/>
  <c r="AU389" i="1"/>
  <c r="X375" i="1"/>
  <c r="X518" i="1"/>
  <c r="X520" i="1" s="1"/>
  <c r="AA389" i="1"/>
  <c r="AZ526" i="1"/>
  <c r="BE525" i="1"/>
  <c r="AK342" i="1"/>
  <c r="AF342" i="1"/>
  <c r="K177" i="6"/>
  <c r="AI32" i="1"/>
  <c r="AI51" i="1"/>
  <c r="AI40" i="1"/>
  <c r="I193" i="6"/>
  <c r="I189" i="6"/>
  <c r="I190" i="6"/>
  <c r="I192" i="6"/>
  <c r="I191" i="6"/>
  <c r="AF355" i="1"/>
  <c r="AK355" i="1"/>
  <c r="R40" i="1"/>
  <c r="R32" i="1"/>
  <c r="R51" i="1"/>
  <c r="Z40" i="1"/>
  <c r="Z32" i="1"/>
  <c r="Z51" i="1"/>
  <c r="AM32" i="1"/>
  <c r="AZ304" i="1"/>
  <c r="BE306" i="1"/>
  <c r="V32" i="1"/>
  <c r="V51" i="1"/>
  <c r="V40" i="1"/>
  <c r="AK334" i="1"/>
  <c r="AF334" i="1"/>
  <c r="O32" i="1"/>
  <c r="V214" i="2"/>
  <c r="N59" i="4" s="1"/>
  <c r="CS504" i="1"/>
  <c r="X6" i="19" s="1"/>
  <c r="CQ391" i="1"/>
  <c r="P190" i="6"/>
  <c r="P191" i="6"/>
  <c r="P192" i="6"/>
  <c r="P189" i="6"/>
  <c r="P193" i="6"/>
  <c r="CQ60" i="7"/>
  <c r="BT129" i="1"/>
  <c r="BY129" i="1" s="1"/>
  <c r="K6" i="4"/>
  <c r="T30" i="3"/>
  <c r="J270" i="2"/>
  <c r="J276" i="2"/>
  <c r="J281" i="2" s="1"/>
  <c r="J282" i="2" s="1"/>
  <c r="AR367" i="1"/>
  <c r="AR354" i="1"/>
  <c r="AR346" i="1"/>
  <c r="AR362" i="1"/>
  <c r="AR341" i="1"/>
  <c r="AR330" i="1"/>
  <c r="AR333" i="1"/>
  <c r="AK363" i="1"/>
  <c r="AF363" i="1"/>
  <c r="AO32" i="1"/>
  <c r="AU305" i="1"/>
  <c r="AU310" i="1"/>
  <c r="AU311" i="1" s="1"/>
  <c r="AB375" i="1"/>
  <c r="AG375" i="1"/>
  <c r="AB518" i="1"/>
  <c r="AB520" i="1" s="1"/>
  <c r="T32" i="1"/>
  <c r="T40" i="1"/>
  <c r="T51" i="1"/>
  <c r="D329" i="2"/>
  <c r="D336" i="2"/>
  <c r="D337" i="2" s="1"/>
  <c r="L516" i="1"/>
  <c r="L30" i="1"/>
  <c r="N18" i="3" s="1"/>
  <c r="N245" i="3" s="1"/>
  <c r="L31" i="1"/>
  <c r="D342" i="2"/>
  <c r="Q516" i="1"/>
  <c r="W119" i="2"/>
  <c r="X119" i="2" s="1"/>
  <c r="AE32" i="1"/>
  <c r="AF381" i="1"/>
  <c r="AF318" i="1"/>
  <c r="AF165" i="1"/>
  <c r="AF68" i="1"/>
  <c r="AF61" i="1"/>
  <c r="AK2" i="1"/>
  <c r="AK529" i="1" s="1"/>
  <c r="AF114" i="1"/>
  <c r="AF95" i="1"/>
  <c r="M189" i="6"/>
  <c r="M190" i="6"/>
  <c r="M193" i="6"/>
  <c r="M192" i="6"/>
  <c r="M191" i="6"/>
  <c r="AF4" i="3"/>
  <c r="AF3" i="3" s="1"/>
  <c r="U215" i="2"/>
  <c r="AF433" i="1"/>
  <c r="AP40" i="1"/>
  <c r="AP51" i="1"/>
  <c r="F283" i="2"/>
  <c r="G262" i="2"/>
  <c r="H261" i="2"/>
  <c r="T191" i="6"/>
  <c r="T190" i="6"/>
  <c r="T193" i="6"/>
  <c r="T192" i="6"/>
  <c r="T189" i="6"/>
  <c r="I61" i="4"/>
  <c r="S191" i="2"/>
  <c r="T191" i="2" s="1"/>
  <c r="T192" i="2" s="1"/>
  <c r="T18" i="3"/>
  <c r="T245" i="3" s="1"/>
  <c r="AP362" i="1"/>
  <c r="AP354" i="1"/>
  <c r="AP346" i="1"/>
  <c r="AP333" i="1"/>
  <c r="AP341" i="1"/>
  <c r="CN150" i="1" l="1"/>
  <c r="CQ150" i="1" s="1"/>
  <c r="CR150" i="1" s="1"/>
  <c r="CS150" i="1" s="1"/>
  <c r="CT150" i="1" s="1"/>
  <c r="CU150" i="1" s="1"/>
  <c r="CV150" i="1" s="1"/>
  <c r="CW150" i="1" s="1"/>
  <c r="CN297" i="1"/>
  <c r="CQ297" i="1" s="1"/>
  <c r="CR297" i="1" s="1"/>
  <c r="CS297" i="1" s="1"/>
  <c r="CT297" i="1" s="1"/>
  <c r="CU297" i="1" s="1"/>
  <c r="CV297" i="1" s="1"/>
  <c r="CW297" i="1" s="1"/>
  <c r="CN217" i="1"/>
  <c r="CQ217" i="1" s="1"/>
  <c r="CR217" i="1" s="1"/>
  <c r="CS217" i="1" s="1"/>
  <c r="CT217" i="1" s="1"/>
  <c r="CU217" i="1" s="1"/>
  <c r="CV217" i="1" s="1"/>
  <c r="CW217" i="1" s="1"/>
  <c r="CN139" i="1"/>
  <c r="CQ139" i="1" s="1"/>
  <c r="CR139" i="1" s="1"/>
  <c r="CS139" i="1" s="1"/>
  <c r="CT139" i="1" s="1"/>
  <c r="CU139" i="1" s="1"/>
  <c r="CV139" i="1" s="1"/>
  <c r="CW139" i="1" s="1"/>
  <c r="R288" i="3"/>
  <c r="R290" i="3" s="1"/>
  <c r="I50" i="2"/>
  <c r="I52" i="2" s="1"/>
  <c r="J47" i="19" s="1"/>
  <c r="I40" i="2"/>
  <c r="W18" i="19"/>
  <c r="W21" i="19" s="1"/>
  <c r="X7" i="19"/>
  <c r="X9" i="19" s="1"/>
  <c r="G67" i="2"/>
  <c r="G69" i="2"/>
  <c r="K214" i="6" s="1"/>
  <c r="Q137" i="3"/>
  <c r="I54" i="2"/>
  <c r="H65" i="2"/>
  <c r="H66" i="2" s="1"/>
  <c r="I10" i="19" s="1"/>
  <c r="I45" i="19" s="1"/>
  <c r="P132" i="3"/>
  <c r="P136" i="3" s="1"/>
  <c r="U166" i="2"/>
  <c r="CV166" i="1"/>
  <c r="CV236" i="1" s="1"/>
  <c r="L255" i="3"/>
  <c r="L268" i="3"/>
  <c r="I275" i="2"/>
  <c r="M2" i="3"/>
  <c r="L239" i="3"/>
  <c r="Y119" i="2"/>
  <c r="X25" i="2"/>
  <c r="Y138" i="2"/>
  <c r="Z172" i="2"/>
  <c r="AA375" i="1"/>
  <c r="AA448" i="1"/>
  <c r="CW168" i="1"/>
  <c r="CV241" i="1"/>
  <c r="W214" i="2"/>
  <c r="CT504" i="1"/>
  <c r="Y6" i="19" s="1"/>
  <c r="CU134" i="1"/>
  <c r="AR9" i="10"/>
  <c r="AK4" i="10"/>
  <c r="AJ27" i="10"/>
  <c r="AJ26" i="10"/>
  <c r="H9" i="10"/>
  <c r="H26" i="10" s="1"/>
  <c r="H27" i="10"/>
  <c r="J6" i="10"/>
  <c r="I7" i="10"/>
  <c r="W182" i="2"/>
  <c r="CV50" i="7"/>
  <c r="CQ210" i="1"/>
  <c r="CW50" i="7" s="1"/>
  <c r="CR200" i="1"/>
  <c r="CX49" i="7" s="1"/>
  <c r="CS62" i="7"/>
  <c r="BY288" i="1"/>
  <c r="CD288" i="1" s="1"/>
  <c r="CI288" i="1" s="1"/>
  <c r="CS179" i="1"/>
  <c r="BY220" i="1"/>
  <c r="BT127" i="1"/>
  <c r="BY127" i="1"/>
  <c r="BT223" i="1"/>
  <c r="BY223" i="1"/>
  <c r="CD193" i="1"/>
  <c r="CR56" i="7"/>
  <c r="CR53" i="7" s="1"/>
  <c r="BT178" i="1"/>
  <c r="BT327" i="1"/>
  <c r="BT295" i="1"/>
  <c r="AK516" i="1"/>
  <c r="N191" i="6"/>
  <c r="N190" i="6"/>
  <c r="N193" i="6"/>
  <c r="I342" i="2"/>
  <c r="N192" i="6"/>
  <c r="AK30" i="1"/>
  <c r="AK31" i="1"/>
  <c r="AP32" i="1" s="1"/>
  <c r="I336" i="2"/>
  <c r="I337" i="2" s="1"/>
  <c r="I338" i="2" s="1"/>
  <c r="AA518" i="1"/>
  <c r="AA520" i="1" s="1"/>
  <c r="AK521" i="1"/>
  <c r="I85" i="2" s="1"/>
  <c r="AF333" i="1"/>
  <c r="AF341" i="1"/>
  <c r="AF362" i="1"/>
  <c r="AF354" i="1"/>
  <c r="W185" i="2"/>
  <c r="V23" i="2"/>
  <c r="I84" i="2"/>
  <c r="K176" i="2"/>
  <c r="J7" i="2"/>
  <c r="J10" i="2" s="1"/>
  <c r="J20" i="2" s="1"/>
  <c r="I261" i="2"/>
  <c r="H262" i="2"/>
  <c r="D338" i="2"/>
  <c r="E338" i="2"/>
  <c r="U319" i="2"/>
  <c r="BJ306" i="1"/>
  <c r="BE304" i="1"/>
  <c r="BE305" i="1" s="1"/>
  <c r="CP57" i="7"/>
  <c r="BJ185" i="1"/>
  <c r="BJ180" i="1"/>
  <c r="K10" i="4"/>
  <c r="G336" i="2"/>
  <c r="G337" i="2" s="1"/>
  <c r="G338" i="2" s="1"/>
  <c r="AA516" i="1"/>
  <c r="AA31" i="1"/>
  <c r="AF32" i="1" s="1"/>
  <c r="AA30" i="1"/>
  <c r="G342" i="2"/>
  <c r="BE225" i="1"/>
  <c r="CO55" i="7" s="1"/>
  <c r="CO58" i="7"/>
  <c r="AK375" i="1"/>
  <c r="AF375" i="1"/>
  <c r="AF518" i="1"/>
  <c r="J283" i="2"/>
  <c r="K283" i="2"/>
  <c r="AZ305" i="1"/>
  <c r="AZ310" i="1"/>
  <c r="V160" i="2"/>
  <c r="AU521" i="1"/>
  <c r="AF516" i="1"/>
  <c r="J61" i="4"/>
  <c r="L6" i="4"/>
  <c r="AG4" i="3"/>
  <c r="AG3" i="3" s="1"/>
  <c r="V215" i="2"/>
  <c r="AQ362" i="1"/>
  <c r="AQ367" i="1"/>
  <c r="AQ346" i="1"/>
  <c r="AQ354" i="1"/>
  <c r="AQ341" i="1"/>
  <c r="AQ330" i="1"/>
  <c r="AQ333" i="1"/>
  <c r="V153" i="2"/>
  <c r="AA249" i="3"/>
  <c r="CD123" i="1"/>
  <c r="CT39" i="7" s="1"/>
  <c r="CS44" i="7"/>
  <c r="BE526" i="1"/>
  <c r="BJ525" i="1"/>
  <c r="AK381" i="1"/>
  <c r="AK165" i="1"/>
  <c r="AK318" i="1"/>
  <c r="AK114" i="1"/>
  <c r="AK95" i="1"/>
  <c r="AP2" i="1"/>
  <c r="AP529" i="1" s="1"/>
  <c r="AK68" i="1"/>
  <c r="AK61" i="1"/>
  <c r="CR60" i="7"/>
  <c r="CQ403" i="1"/>
  <c r="CQ404" i="1" s="1"/>
  <c r="CR391" i="1"/>
  <c r="K191" i="6"/>
  <c r="K192" i="6"/>
  <c r="K193" i="6"/>
  <c r="K190" i="6"/>
  <c r="K189" i="6"/>
  <c r="R192" i="6"/>
  <c r="R193" i="6"/>
  <c r="R191" i="6"/>
  <c r="R190" i="6"/>
  <c r="R189" i="6"/>
  <c r="J193" i="6"/>
  <c r="J189" i="6"/>
  <c r="J192" i="6"/>
  <c r="J191" i="6"/>
  <c r="J190" i="6"/>
  <c r="AU516" i="1"/>
  <c r="AU31" i="1"/>
  <c r="AU30" i="1"/>
  <c r="AU371" i="1" s="1"/>
  <c r="K342" i="2"/>
  <c r="Q177" i="6"/>
  <c r="AQ32" i="1"/>
  <c r="AQ40" i="1"/>
  <c r="AQ51" i="1"/>
  <c r="AF346" i="1"/>
  <c r="AF51" i="1"/>
  <c r="AF40" i="1"/>
  <c r="V156" i="2"/>
  <c r="CR207" i="1"/>
  <c r="CQ191" i="1"/>
  <c r="L190" i="6"/>
  <c r="L191" i="6"/>
  <c r="L193" i="6"/>
  <c r="L189" i="6"/>
  <c r="L192" i="6"/>
  <c r="L32" i="1"/>
  <c r="L40" i="1"/>
  <c r="L51" i="1"/>
  <c r="Q32" i="1"/>
  <c r="CQ54" i="7"/>
  <c r="BO177" i="1"/>
  <c r="BO221" i="1"/>
  <c r="CR44" i="7"/>
  <c r="BT220" i="1"/>
  <c r="CO53" i="7"/>
  <c r="CN288" i="1" l="1"/>
  <c r="CQ288" i="1" s="1"/>
  <c r="CR288" i="1" s="1"/>
  <c r="CS288" i="1" s="1"/>
  <c r="CT288" i="1" s="1"/>
  <c r="CU288" i="1" s="1"/>
  <c r="CV288" i="1" s="1"/>
  <c r="CW288" i="1" s="1"/>
  <c r="S288" i="3"/>
  <c r="S290" i="3" s="1"/>
  <c r="J50" i="2"/>
  <c r="J52" i="2" s="1"/>
  <c r="K47" i="19" s="1"/>
  <c r="J40" i="2"/>
  <c r="X18" i="19"/>
  <c r="X21" i="19" s="1"/>
  <c r="Y7" i="19"/>
  <c r="Y9" i="19" s="1"/>
  <c r="R137" i="3"/>
  <c r="R138" i="3" s="1"/>
  <c r="H67" i="2"/>
  <c r="H69" i="2"/>
  <c r="L214" i="6" s="1"/>
  <c r="J54" i="2"/>
  <c r="I65" i="2"/>
  <c r="I66" i="2" s="1"/>
  <c r="J10" i="19" s="1"/>
  <c r="J45" i="19" s="1"/>
  <c r="Q132" i="3"/>
  <c r="Q136" i="3" s="1"/>
  <c r="Q138" i="3"/>
  <c r="V166" i="2"/>
  <c r="CW166" i="1"/>
  <c r="CW236" i="1" s="1"/>
  <c r="M255" i="3"/>
  <c r="M268" i="3"/>
  <c r="J275" i="2"/>
  <c r="AH4" i="3"/>
  <c r="AH3" i="3" s="1"/>
  <c r="O59" i="4"/>
  <c r="N2" i="3"/>
  <c r="M239" i="3"/>
  <c r="AK346" i="1"/>
  <c r="AK371" i="1"/>
  <c r="CU504" i="1"/>
  <c r="Z6" i="19" s="1"/>
  <c r="X214" i="2"/>
  <c r="X215" i="2" s="1"/>
  <c r="W23" i="2"/>
  <c r="X185" i="2"/>
  <c r="X182" i="2"/>
  <c r="AA172" i="2"/>
  <c r="Y25" i="2"/>
  <c r="Z138" i="2"/>
  <c r="Z119" i="2"/>
  <c r="CW241" i="1"/>
  <c r="W215" i="2"/>
  <c r="CT179" i="1"/>
  <c r="CV134" i="1"/>
  <c r="K6" i="10"/>
  <c r="J7" i="10"/>
  <c r="AL4" i="10"/>
  <c r="AK27" i="10"/>
  <c r="AK26" i="10"/>
  <c r="I9" i="10"/>
  <c r="I26" i="10" s="1"/>
  <c r="I27" i="10"/>
  <c r="CS200" i="1"/>
  <c r="CR210" i="1"/>
  <c r="CD222" i="1"/>
  <c r="CT62" i="7"/>
  <c r="BY177" i="1"/>
  <c r="BY221" i="1"/>
  <c r="BT186" i="1"/>
  <c r="BY186" i="1"/>
  <c r="CR59" i="7"/>
  <c r="CS56" i="7"/>
  <c r="CI193" i="1"/>
  <c r="CN193" i="1" s="1"/>
  <c r="CN222" i="1" s="1"/>
  <c r="CD129" i="1"/>
  <c r="CS60" i="7"/>
  <c r="CS59" i="7"/>
  <c r="AK51" i="1"/>
  <c r="AK32" i="1"/>
  <c r="J338" i="2"/>
  <c r="AK341" i="1"/>
  <c r="AK354" i="1"/>
  <c r="AK40" i="1"/>
  <c r="S18" i="3"/>
  <c r="S245" i="3" s="1"/>
  <c r="AK333" i="1"/>
  <c r="AK362" i="1"/>
  <c r="AA521" i="1"/>
  <c r="G85" i="2" s="1"/>
  <c r="G86" i="2" s="1"/>
  <c r="I86" i="2"/>
  <c r="L176" i="2"/>
  <c r="K7" i="2"/>
  <c r="K10" i="2" s="1"/>
  <c r="K20" i="2" s="1"/>
  <c r="K40" i="2" s="1"/>
  <c r="H338" i="2"/>
  <c r="J84" i="2"/>
  <c r="J86" i="2" s="1"/>
  <c r="CQ57" i="7"/>
  <c r="BO185" i="1"/>
  <c r="BO180" i="1"/>
  <c r="CQ192" i="1"/>
  <c r="CS207" i="1"/>
  <c r="CT207" i="1" s="1"/>
  <c r="CR191" i="1"/>
  <c r="Q190" i="6"/>
  <c r="Q193" i="6"/>
  <c r="Q192" i="6"/>
  <c r="Q191" i="6"/>
  <c r="Q189" i="6"/>
  <c r="BO525" i="1"/>
  <c r="BJ526" i="1"/>
  <c r="W160" i="2"/>
  <c r="X160" i="2" s="1"/>
  <c r="AP381" i="1"/>
  <c r="AP318" i="1"/>
  <c r="AP165" i="1"/>
  <c r="AP114" i="1"/>
  <c r="AP95" i="1"/>
  <c r="AP68" i="1"/>
  <c r="AP61" i="1"/>
  <c r="AU2" i="1"/>
  <c r="AU529" i="1" s="1"/>
  <c r="BE310" i="1"/>
  <c r="AZ311" i="1"/>
  <c r="BJ225" i="1"/>
  <c r="CP55" i="7" s="1"/>
  <c r="CP58" i="7"/>
  <c r="W156" i="2"/>
  <c r="X156" i="2" s="1"/>
  <c r="AB249" i="3"/>
  <c r="CI123" i="1"/>
  <c r="U191" i="2"/>
  <c r="U18" i="3"/>
  <c r="U245" i="3" s="1"/>
  <c r="AU367" i="1"/>
  <c r="AU354" i="1"/>
  <c r="AU346" i="1"/>
  <c r="AU341" i="1"/>
  <c r="AU362" i="1"/>
  <c r="AU330" i="1"/>
  <c r="AU333" i="1"/>
  <c r="W153" i="2"/>
  <c r="X153" i="2" s="1"/>
  <c r="M6" i="4"/>
  <c r="AF521" i="1"/>
  <c r="H85" i="2" s="1"/>
  <c r="H86" i="2" s="1"/>
  <c r="AF520" i="1"/>
  <c r="I262" i="2"/>
  <c r="J261" i="2"/>
  <c r="W177" i="6"/>
  <c r="AU32" i="1"/>
  <c r="AU51" i="1"/>
  <c r="AU40" i="1"/>
  <c r="K61" i="4"/>
  <c r="Q18" i="3"/>
  <c r="Q245" i="3" s="1"/>
  <c r="AA333" i="1"/>
  <c r="CR54" i="7"/>
  <c r="BT221" i="1"/>
  <c r="BT177" i="1"/>
  <c r="AA32" i="1"/>
  <c r="AA51" i="1"/>
  <c r="AA40" i="1"/>
  <c r="M3" i="4"/>
  <c r="L10" i="4"/>
  <c r="BO306" i="1"/>
  <c r="BJ304" i="1"/>
  <c r="BJ305" i="1" s="1"/>
  <c r="CR403" i="1"/>
  <c r="CR404" i="1" s="1"/>
  <c r="CS391" i="1"/>
  <c r="CT391" i="1" s="1"/>
  <c r="V319" i="2"/>
  <c r="CN178" i="1" l="1"/>
  <c r="CU39" i="7"/>
  <c r="CN123" i="1"/>
  <c r="CV39" i="7" s="1"/>
  <c r="T288" i="3"/>
  <c r="T290" i="3" s="1"/>
  <c r="Y18" i="19"/>
  <c r="Y21" i="19" s="1"/>
  <c r="Z7" i="19"/>
  <c r="Z9" i="19" s="1"/>
  <c r="R132" i="3"/>
  <c r="R136" i="3" s="1"/>
  <c r="I69" i="2"/>
  <c r="M214" i="6" s="1"/>
  <c r="I67" i="2"/>
  <c r="S137" i="3"/>
  <c r="K54" i="2"/>
  <c r="J65" i="2"/>
  <c r="J66" i="2" s="1"/>
  <c r="K10" i="19" s="1"/>
  <c r="K45" i="19" s="1"/>
  <c r="W166" i="2"/>
  <c r="K50" i="2"/>
  <c r="N255" i="3"/>
  <c r="N268" i="3"/>
  <c r="AI4" i="3"/>
  <c r="AI3" i="3" s="1"/>
  <c r="P59" i="4"/>
  <c r="P61" i="4" s="1"/>
  <c r="O2" i="3"/>
  <c r="N239" i="3"/>
  <c r="CV504" i="1"/>
  <c r="AA6" i="19" s="1"/>
  <c r="Y214" i="2"/>
  <c r="Y153" i="2"/>
  <c r="Y156" i="2"/>
  <c r="Y160" i="2"/>
  <c r="AA119" i="2"/>
  <c r="Z25" i="2"/>
  <c r="AA138" i="2"/>
  <c r="Y182" i="2"/>
  <c r="Y185" i="2"/>
  <c r="X23" i="2"/>
  <c r="CW134" i="1"/>
  <c r="CU179" i="1"/>
  <c r="CS210" i="1"/>
  <c r="CT200" i="1"/>
  <c r="CT191" i="1" s="1"/>
  <c r="CU207" i="1"/>
  <c r="CU391" i="1"/>
  <c r="CT403" i="1"/>
  <c r="AM4" i="10"/>
  <c r="AL27" i="10"/>
  <c r="AL26" i="10"/>
  <c r="J9" i="10"/>
  <c r="J26" i="10" s="1"/>
  <c r="J27" i="10"/>
  <c r="L6" i="10"/>
  <c r="K7" i="10"/>
  <c r="CS191" i="1"/>
  <c r="CS192" i="1" s="1"/>
  <c r="CY49" i="7"/>
  <c r="CX50" i="7"/>
  <c r="CI129" i="1"/>
  <c r="CN129" i="1" s="1"/>
  <c r="CT60" i="7"/>
  <c r="CT56" i="7"/>
  <c r="CV62" i="7"/>
  <c r="CU62" i="7"/>
  <c r="CD223" i="1"/>
  <c r="BY185" i="1"/>
  <c r="BY180" i="1"/>
  <c r="CI222" i="1"/>
  <c r="CN223" i="1" s="1"/>
  <c r="CS57" i="7"/>
  <c r="CS54" i="7"/>
  <c r="K84" i="2"/>
  <c r="M176" i="2"/>
  <c r="L7" i="2"/>
  <c r="L10" i="2" s="1"/>
  <c r="L20" i="2" s="1"/>
  <c r="L40" i="2" s="1"/>
  <c r="CS403" i="1"/>
  <c r="CS404" i="1" s="1"/>
  <c r="N3" i="4"/>
  <c r="M10" i="4"/>
  <c r="J262" i="2"/>
  <c r="BT525" i="1"/>
  <c r="BO526" i="1"/>
  <c r="H3" i="5"/>
  <c r="BY515" i="1"/>
  <c r="N6" i="4"/>
  <c r="AC249" i="3"/>
  <c r="BJ310" i="1"/>
  <c r="BE308" i="1"/>
  <c r="CR192" i="1"/>
  <c r="BO225" i="1"/>
  <c r="CQ55" i="7" s="1"/>
  <c r="CQ58" i="7"/>
  <c r="V191" i="2"/>
  <c r="BO304" i="1"/>
  <c r="BO305" i="1" s="1"/>
  <c r="BT306" i="1"/>
  <c r="CR57" i="7"/>
  <c r="BT185" i="1"/>
  <c r="BT180" i="1"/>
  <c r="W319" i="2"/>
  <c r="L61" i="4"/>
  <c r="AU381" i="1"/>
  <c r="AU318" i="1"/>
  <c r="AU165" i="1"/>
  <c r="AZ2" i="1"/>
  <c r="AZ529" i="1" s="1"/>
  <c r="AU68" i="1"/>
  <c r="AU61" i="1"/>
  <c r="AU114" i="1"/>
  <c r="AU95" i="1"/>
  <c r="CN125" i="1" l="1"/>
  <c r="CN220" i="1" s="1"/>
  <c r="CN126" i="1"/>
  <c r="Z18" i="19"/>
  <c r="Z21" i="19" s="1"/>
  <c r="AA7" i="19"/>
  <c r="AA9" i="19" s="1"/>
  <c r="U288" i="3"/>
  <c r="U290" i="3" s="1"/>
  <c r="T137" i="3"/>
  <c r="T138" i="3" s="1"/>
  <c r="J67" i="2"/>
  <c r="J69" i="2"/>
  <c r="N214" i="6" s="1"/>
  <c r="L54" i="2"/>
  <c r="S132" i="3"/>
  <c r="S136" i="3" s="1"/>
  <c r="S138" i="3"/>
  <c r="X166" i="2"/>
  <c r="L50" i="2"/>
  <c r="O255" i="3"/>
  <c r="O268" i="3"/>
  <c r="Y215" i="2"/>
  <c r="Q59" i="4"/>
  <c r="Q61" i="4" s="1"/>
  <c r="AJ4" i="3"/>
  <c r="AJ3" i="3" s="1"/>
  <c r="P2" i="3"/>
  <c r="O239" i="3"/>
  <c r="CW504" i="1"/>
  <c r="AB6" i="19" s="1"/>
  <c r="Z214" i="2"/>
  <c r="X319" i="2"/>
  <c r="Z185" i="2"/>
  <c r="Y23" i="2"/>
  <c r="Z182" i="2"/>
  <c r="AA25" i="2"/>
  <c r="Z160" i="2"/>
  <c r="Z156" i="2"/>
  <c r="Z153" i="2"/>
  <c r="CT404" i="1"/>
  <c r="CY50" i="7"/>
  <c r="CT192" i="1"/>
  <c r="CU403" i="1"/>
  <c r="CU404" i="1" s="1"/>
  <c r="CV391" i="1"/>
  <c r="CU200" i="1"/>
  <c r="CT210" i="1"/>
  <c r="CV207" i="1"/>
  <c r="CV179" i="1"/>
  <c r="K9" i="10"/>
  <c r="K26" i="10" s="1"/>
  <c r="K27" i="10"/>
  <c r="M6" i="10"/>
  <c r="L7" i="10"/>
  <c r="AN4" i="10"/>
  <c r="AM27" i="10"/>
  <c r="AM26" i="10"/>
  <c r="BY30" i="1"/>
  <c r="Q336" i="2"/>
  <c r="Q337" i="2" s="1"/>
  <c r="Q342" i="2"/>
  <c r="CQ193" i="1"/>
  <c r="CW62" i="7" s="1"/>
  <c r="CU60" i="7"/>
  <c r="CU56" i="7"/>
  <c r="CI223" i="1"/>
  <c r="L84" i="2"/>
  <c r="L41" i="2"/>
  <c r="N176" i="2"/>
  <c r="M7" i="2"/>
  <c r="M10" i="2" s="1"/>
  <c r="M20" i="2" s="1"/>
  <c r="M40" i="2" s="1"/>
  <c r="W191" i="2"/>
  <c r="X191" i="2" s="1"/>
  <c r="AD249" i="3"/>
  <c r="CQ123" i="1"/>
  <c r="CW39" i="7" s="1"/>
  <c r="N10" i="4"/>
  <c r="O3" i="4"/>
  <c r="M61" i="4"/>
  <c r="BT304" i="1"/>
  <c r="BT305" i="1" s="1"/>
  <c r="BY306" i="1"/>
  <c r="O6" i="4"/>
  <c r="P6" i="4" s="1"/>
  <c r="BY516" i="1"/>
  <c r="AZ381" i="1"/>
  <c r="AZ318" i="1"/>
  <c r="AZ165" i="1"/>
  <c r="AZ114" i="1"/>
  <c r="AZ95" i="1"/>
  <c r="AZ68" i="1"/>
  <c r="AZ61" i="1"/>
  <c r="BE2" i="1"/>
  <c r="BE529" i="1" s="1"/>
  <c r="BT225" i="1"/>
  <c r="CR55" i="7" s="1"/>
  <c r="CR58" i="7"/>
  <c r="BE309" i="1"/>
  <c r="BE315" i="1"/>
  <c r="BE316" i="1" s="1"/>
  <c r="BF312" i="1"/>
  <c r="BF313" i="1" s="1"/>
  <c r="BJ308" i="1"/>
  <c r="BO310" i="1"/>
  <c r="BT526" i="1"/>
  <c r="BY525" i="1"/>
  <c r="CN177" i="1" l="1"/>
  <c r="AA18" i="19"/>
  <c r="AA21" i="19" s="1"/>
  <c r="AB7" i="19"/>
  <c r="AB9" i="19" s="1"/>
  <c r="V288" i="3"/>
  <c r="T132" i="3"/>
  <c r="T136" i="3" s="1"/>
  <c r="M54" i="2"/>
  <c r="Y166" i="2"/>
  <c r="M50" i="2"/>
  <c r="BY350" i="1"/>
  <c r="BY358" i="1"/>
  <c r="BY337" i="1"/>
  <c r="P255" i="3"/>
  <c r="P268" i="3"/>
  <c r="Z215" i="2"/>
  <c r="R59" i="4"/>
  <c r="R61" i="4" s="1"/>
  <c r="AK4" i="3"/>
  <c r="Q2" i="3"/>
  <c r="P239" i="3"/>
  <c r="Q6" i="4"/>
  <c r="O10" i="4"/>
  <c r="P3" i="4"/>
  <c r="BY354" i="1"/>
  <c r="BY371" i="1"/>
  <c r="BY346" i="1"/>
  <c r="BY341" i="1"/>
  <c r="BY367" i="1"/>
  <c r="CD367" i="1" s="1"/>
  <c r="CI367" i="1" s="1"/>
  <c r="CN367" i="1" s="1"/>
  <c r="CN366" i="1" s="1"/>
  <c r="AA214" i="2"/>
  <c r="Y191" i="2"/>
  <c r="AA153" i="2"/>
  <c r="AA156" i="2"/>
  <c r="AA160" i="2"/>
  <c r="AA182" i="2"/>
  <c r="AA185" i="2"/>
  <c r="Z23" i="2"/>
  <c r="Y319" i="2"/>
  <c r="CV200" i="1"/>
  <c r="CV191" i="1" s="1"/>
  <c r="CU210" i="1"/>
  <c r="CW391" i="1"/>
  <c r="CV403" i="1"/>
  <c r="CV404" i="1" s="1"/>
  <c r="CW207" i="1"/>
  <c r="CW179" i="1"/>
  <c r="CU191" i="1"/>
  <c r="AO4" i="10"/>
  <c r="AN27" i="10"/>
  <c r="AN26" i="10"/>
  <c r="L9" i="10"/>
  <c r="L26" i="10" s="1"/>
  <c r="L27" i="10"/>
  <c r="N6" i="10"/>
  <c r="N7" i="10" s="1"/>
  <c r="M7" i="10"/>
  <c r="CV56" i="7"/>
  <c r="CR193" i="1"/>
  <c r="CX62" i="7" s="1"/>
  <c r="CQ222" i="1"/>
  <c r="CW56" i="7" s="1"/>
  <c r="CQ129" i="1"/>
  <c r="CV60" i="7"/>
  <c r="CS58" i="7"/>
  <c r="M84" i="2"/>
  <c r="M41" i="2"/>
  <c r="O176" i="2"/>
  <c r="N7" i="2"/>
  <c r="N10" i="2" s="1"/>
  <c r="N20" i="2" s="1"/>
  <c r="N40" i="2" s="1"/>
  <c r="BE381" i="1"/>
  <c r="BE114" i="1"/>
  <c r="BE318" i="1"/>
  <c r="BE165" i="1"/>
  <c r="BE61" i="1"/>
  <c r="BE95" i="1"/>
  <c r="BJ2" i="1"/>
  <c r="BJ529" i="1" s="1"/>
  <c r="BE68" i="1"/>
  <c r="AA18" i="3"/>
  <c r="AA245" i="3" s="1"/>
  <c r="CD306" i="1"/>
  <c r="BY304" i="1"/>
  <c r="BY305" i="1" s="1"/>
  <c r="CD525" i="1"/>
  <c r="AE249" i="3"/>
  <c r="CR123" i="1"/>
  <c r="CX39" i="7" s="1"/>
  <c r="N61" i="4"/>
  <c r="O61" i="4"/>
  <c r="BO308" i="1"/>
  <c r="BT310" i="1"/>
  <c r="BJ309" i="1"/>
  <c r="BJ315" i="1"/>
  <c r="BJ316" i="1" s="1"/>
  <c r="BK312" i="1"/>
  <c r="BK313" i="1" s="1"/>
  <c r="CN180" i="1" l="1"/>
  <c r="AB18" i="19"/>
  <c r="AB21" i="19" s="1"/>
  <c r="W288" i="3"/>
  <c r="W290" i="3" s="1"/>
  <c r="N54" i="2"/>
  <c r="Z166" i="2"/>
  <c r="N50" i="2"/>
  <c r="Q255" i="3"/>
  <c r="Q268" i="3"/>
  <c r="AK3" i="3"/>
  <c r="R2" i="3"/>
  <c r="Q239" i="3"/>
  <c r="AA215" i="2"/>
  <c r="S59" i="4"/>
  <c r="S61" i="4" s="1"/>
  <c r="R6" i="4"/>
  <c r="P10" i="4"/>
  <c r="Q3" i="4"/>
  <c r="Z319" i="2"/>
  <c r="AA23" i="2"/>
  <c r="Z191" i="2"/>
  <c r="CW403" i="1"/>
  <c r="CW404" i="1" s="1"/>
  <c r="CW200" i="1"/>
  <c r="CW210" i="1" s="1"/>
  <c r="CV210" i="1"/>
  <c r="CU192" i="1"/>
  <c r="CV192" i="1"/>
  <c r="M27" i="10"/>
  <c r="M9" i="10"/>
  <c r="M26" i="10" s="1"/>
  <c r="N27" i="10"/>
  <c r="N9" i="10"/>
  <c r="N26" i="10" s="1"/>
  <c r="AP4" i="10"/>
  <c r="AO27" i="10"/>
  <c r="AO26" i="10"/>
  <c r="CR222" i="1"/>
  <c r="CR223" i="1" s="1"/>
  <c r="CS193" i="1"/>
  <c r="CQ223" i="1"/>
  <c r="CR129" i="1"/>
  <c r="CW60" i="7"/>
  <c r="AA130" i="3"/>
  <c r="I14" i="4"/>
  <c r="N84" i="2"/>
  <c r="N41" i="2"/>
  <c r="P176" i="2"/>
  <c r="Q176" i="2" s="1"/>
  <c r="Q7" i="2" s="1"/>
  <c r="O7" i="2"/>
  <c r="O10" i="2" s="1"/>
  <c r="O20" i="2" s="1"/>
  <c r="O40" i="2" s="1"/>
  <c r="BY310" i="1"/>
  <c r="BT308" i="1"/>
  <c r="CI525" i="1"/>
  <c r="CN525" i="1" s="1"/>
  <c r="BO315" i="1"/>
  <c r="BO316" i="1" s="1"/>
  <c r="BO309" i="1"/>
  <c r="BJ381" i="1"/>
  <c r="BJ318" i="1"/>
  <c r="BJ165" i="1"/>
  <c r="BJ114" i="1"/>
  <c r="BJ95" i="1"/>
  <c r="BJ68" i="1"/>
  <c r="BJ61" i="1"/>
  <c r="BO2" i="1"/>
  <c r="BO529" i="1" s="1"/>
  <c r="AF249" i="3"/>
  <c r="CS123" i="1"/>
  <c r="CD304" i="1"/>
  <c r="CD305" i="1" s="1"/>
  <c r="CI306" i="1"/>
  <c r="CN306" i="1" s="1"/>
  <c r="CN304" i="1" s="1"/>
  <c r="CQ367" i="1" l="1"/>
  <c r="X288" i="3"/>
  <c r="X290" i="3" s="1"/>
  <c r="O54" i="2"/>
  <c r="AA166" i="2"/>
  <c r="O50" i="2"/>
  <c r="R255" i="3"/>
  <c r="R268" i="3"/>
  <c r="S2" i="3"/>
  <c r="R239" i="3"/>
  <c r="R3" i="4"/>
  <c r="Q10" i="4"/>
  <c r="S6" i="4"/>
  <c r="AA191" i="2"/>
  <c r="AA319" i="2"/>
  <c r="CW191" i="1"/>
  <c r="CY39" i="7"/>
  <c r="CT123" i="1"/>
  <c r="AH249" i="3" s="1"/>
  <c r="CS222" i="1"/>
  <c r="CY56" i="7" s="1"/>
  <c r="CT193" i="1"/>
  <c r="AQ4" i="10"/>
  <c r="AR4" i="10" s="1"/>
  <c r="AP27" i="10"/>
  <c r="AP26" i="10"/>
  <c r="CX56" i="7"/>
  <c r="Q9" i="2"/>
  <c r="CY62" i="7"/>
  <c r="CS129" i="1"/>
  <c r="CX60" i="7"/>
  <c r="O84" i="2"/>
  <c r="O41" i="2"/>
  <c r="P7" i="2"/>
  <c r="P10" i="2" s="1"/>
  <c r="P20" i="2" s="1"/>
  <c r="P40" i="2" s="1"/>
  <c r="BT315" i="1"/>
  <c r="BT316" i="1" s="1"/>
  <c r="BT309" i="1"/>
  <c r="AA22" i="3"/>
  <c r="AA282" i="3" s="1"/>
  <c r="BY509" i="1"/>
  <c r="CS11" i="7"/>
  <c r="I13" i="4"/>
  <c r="BO381" i="1"/>
  <c r="BO318" i="1"/>
  <c r="BO114" i="1"/>
  <c r="BO165" i="1"/>
  <c r="BO95" i="1"/>
  <c r="BT2" i="1"/>
  <c r="BT529" i="1" s="1"/>
  <c r="BO68" i="1"/>
  <c r="BO61" i="1"/>
  <c r="CD310" i="1"/>
  <c r="BY308" i="1"/>
  <c r="CI304" i="1"/>
  <c r="CI305" i="1" s="1"/>
  <c r="AG249" i="3"/>
  <c r="CN305" i="1" l="1"/>
  <c r="CR367" i="1"/>
  <c r="Y288" i="3"/>
  <c r="P54" i="2"/>
  <c r="P50" i="2"/>
  <c r="S255" i="3"/>
  <c r="S268" i="3"/>
  <c r="T2" i="3"/>
  <c r="S239" i="3"/>
  <c r="R10" i="4"/>
  <c r="S3" i="4"/>
  <c r="S10" i="4" s="1"/>
  <c r="CS223" i="1"/>
  <c r="CY60" i="7"/>
  <c r="CT129" i="1"/>
  <c r="CU129" i="1" s="1"/>
  <c r="CV129" i="1" s="1"/>
  <c r="CW129" i="1" s="1"/>
  <c r="CU193" i="1"/>
  <c r="CT222" i="1"/>
  <c r="CU123" i="1"/>
  <c r="AI249" i="3" s="1"/>
  <c r="CW192" i="1"/>
  <c r="AR27" i="10"/>
  <c r="AR26" i="10"/>
  <c r="AQ27" i="10"/>
  <c r="AQ26" i="10"/>
  <c r="Q10" i="2"/>
  <c r="Q20" i="2" s="1"/>
  <c r="AA283" i="3"/>
  <c r="P84" i="2"/>
  <c r="P41" i="2"/>
  <c r="R176" i="2"/>
  <c r="H8" i="5"/>
  <c r="CQ525" i="1"/>
  <c r="CQ306" i="1"/>
  <c r="BY315" i="1"/>
  <c r="BY316" i="1" s="1"/>
  <c r="BY309" i="1"/>
  <c r="BT381" i="1"/>
  <c r="BT318" i="1"/>
  <c r="BT165" i="1"/>
  <c r="BT114" i="1"/>
  <c r="BT68" i="1"/>
  <c r="BT61" i="1"/>
  <c r="BT95" i="1"/>
  <c r="BY2" i="1"/>
  <c r="BY529" i="1" s="1"/>
  <c r="CI310" i="1"/>
  <c r="CN310" i="1" s="1"/>
  <c r="CN308" i="1" s="1"/>
  <c r="CD308" i="1"/>
  <c r="CS367" i="1" l="1"/>
  <c r="Z288" i="3"/>
  <c r="Q54" i="2"/>
  <c r="Q275" i="2"/>
  <c r="Q50" i="2"/>
  <c r="Q52" i="2" s="1"/>
  <c r="R47" i="19" s="1"/>
  <c r="T255" i="3"/>
  <c r="T268" i="3"/>
  <c r="U2" i="3"/>
  <c r="T239" i="3"/>
  <c r="CV193" i="1"/>
  <c r="CU222" i="1"/>
  <c r="CT223" i="1"/>
  <c r="CV123" i="1"/>
  <c r="AJ249" i="3" s="1"/>
  <c r="Q84" i="2"/>
  <c r="BY165" i="1"/>
  <c r="BY68" i="1"/>
  <c r="BY114" i="1"/>
  <c r="BY61" i="1"/>
  <c r="BY95" i="1"/>
  <c r="S176" i="2"/>
  <c r="T176" i="2" s="1"/>
  <c r="R7" i="2"/>
  <c r="BY381" i="1"/>
  <c r="BY318" i="1"/>
  <c r="CD2" i="1"/>
  <c r="CI2" i="1" s="1"/>
  <c r="CN2" i="1" s="1"/>
  <c r="CR306" i="1"/>
  <c r="CQ304" i="1"/>
  <c r="CQ305" i="1" s="1"/>
  <c r="CR525" i="1"/>
  <c r="CD315" i="1"/>
  <c r="CD316" i="1" s="1"/>
  <c r="CD309" i="1"/>
  <c r="CI308" i="1"/>
  <c r="CN309" i="1" s="1"/>
  <c r="CN315" i="1" l="1"/>
  <c r="CN68" i="1"/>
  <c r="CN381" i="1"/>
  <c r="CN114" i="1"/>
  <c r="CN529" i="1"/>
  <c r="CN165" i="1"/>
  <c r="CN95" i="1"/>
  <c r="CN61" i="1"/>
  <c r="CN318" i="1"/>
  <c r="CI114" i="1"/>
  <c r="CT367" i="1"/>
  <c r="R54" i="2"/>
  <c r="CD529" i="1"/>
  <c r="CD114" i="1"/>
  <c r="U255" i="3"/>
  <c r="U268" i="3"/>
  <c r="V2" i="3"/>
  <c r="U239" i="3"/>
  <c r="CW123" i="1"/>
  <c r="AK249" i="3" s="1"/>
  <c r="CU223" i="1"/>
  <c r="CW193" i="1"/>
  <c r="CW222" i="1" s="1"/>
  <c r="CV222" i="1"/>
  <c r="CI315" i="1"/>
  <c r="CI316" i="1" s="1"/>
  <c r="CI309" i="1"/>
  <c r="CS525" i="1"/>
  <c r="CT525" i="1" s="1"/>
  <c r="CD381" i="1"/>
  <c r="CD318" i="1"/>
  <c r="CD165" i="1"/>
  <c r="CD95" i="1"/>
  <c r="CD68" i="1"/>
  <c r="CD61" i="1"/>
  <c r="CQ310" i="1"/>
  <c r="CS306" i="1"/>
  <c r="CR304" i="1"/>
  <c r="CR305" i="1" s="1"/>
  <c r="CD33" i="1" a="1"/>
  <c r="CN33" i="1" a="1"/>
  <c r="CI529" i="1"/>
  <c r="U176" i="2"/>
  <c r="CI381" i="1"/>
  <c r="CI165" i="1"/>
  <c r="CI318" i="1"/>
  <c r="CI95" i="1"/>
  <c r="CI68" i="1"/>
  <c r="CI61" i="1"/>
  <c r="CI33" i="1" a="1"/>
  <c r="CR310" i="1" l="1"/>
  <c r="CQ308" i="1"/>
  <c r="CN316" i="1"/>
  <c r="CU367" i="1"/>
  <c r="CV367" i="1" s="1"/>
  <c r="S54" i="2"/>
  <c r="T54" i="2" s="1"/>
  <c r="U54" i="2" s="1"/>
  <c r="V54" i="2" s="1"/>
  <c r="W54" i="2" s="1"/>
  <c r="X54" i="2" s="1"/>
  <c r="Y54" i="2" s="1"/>
  <c r="Z54" i="2" s="1"/>
  <c r="AA54" i="2" s="1"/>
  <c r="CV223" i="1"/>
  <c r="CU525" i="1"/>
  <c r="V255" i="3"/>
  <c r="V268" i="3"/>
  <c r="W2" i="3"/>
  <c r="V239" i="3"/>
  <c r="CW223" i="1"/>
  <c r="CS304" i="1"/>
  <c r="CS305" i="1" s="1"/>
  <c r="CT306" i="1"/>
  <c r="CN34" i="1"/>
  <c r="CN44" i="1"/>
  <c r="V176" i="2"/>
  <c r="CQ2" i="1"/>
  <c r="BS31" i="18"/>
  <c r="BS49" i="18"/>
  <c r="BS51" i="18" l="1"/>
  <c r="CU306" i="1"/>
  <c r="CV525" i="1"/>
  <c r="CT304" i="1"/>
  <c r="CT305" i="1" s="1"/>
  <c r="CQ315" i="1"/>
  <c r="CQ316" i="1" s="1"/>
  <c r="CQ309" i="1"/>
  <c r="CR308" i="1"/>
  <c r="CS310" i="1"/>
  <c r="BS50" i="18"/>
  <c r="BS32" i="18"/>
  <c r="W255" i="3"/>
  <c r="W268" i="3"/>
  <c r="X2" i="3"/>
  <c r="W239" i="3"/>
  <c r="CQ17" i="1" a="1"/>
  <c r="CQ529" i="1"/>
  <c r="CW367" i="1"/>
  <c r="W176" i="2"/>
  <c r="X176" i="2" s="1"/>
  <c r="Y176" i="2" s="1"/>
  <c r="Z176" i="2" s="1"/>
  <c r="AA176" i="2" s="1"/>
  <c r="CQ381" i="1"/>
  <c r="CQ318" i="1"/>
  <c r="CQ165" i="1"/>
  <c r="CQ68" i="1"/>
  <c r="CQ61" i="1"/>
  <c r="CR2" i="1"/>
  <c r="CQ114" i="1"/>
  <c r="CQ95" i="1"/>
  <c r="CQ42" i="1" a="1"/>
  <c r="CQ489" i="1" a="1"/>
  <c r="CQ33" i="1" a="1"/>
  <c r="CQ54" i="1" a="1"/>
  <c r="BT73" i="18" s="1"/>
  <c r="BS332" i="1"/>
  <c r="BX334" i="1" s="1"/>
  <c r="BS330" i="1"/>
  <c r="CW525" i="1" l="1"/>
  <c r="CV306" i="1"/>
  <c r="CW306" i="1" s="1"/>
  <c r="CW304" i="1" s="1"/>
  <c r="CU304" i="1"/>
  <c r="CR309" i="1"/>
  <c r="CR315" i="1"/>
  <c r="CR316" i="1" s="1"/>
  <c r="CT310" i="1"/>
  <c r="CS308" i="1"/>
  <c r="X255" i="3"/>
  <c r="X268" i="3"/>
  <c r="Y2" i="3"/>
  <c r="Y268" i="3" s="1"/>
  <c r="X239" i="3"/>
  <c r="CQ436" i="1"/>
  <c r="BT22" i="18"/>
  <c r="CR17" i="1" a="1"/>
  <c r="CR436" i="1" s="1"/>
  <c r="CR42" i="1" a="1"/>
  <c r="CR61" i="1"/>
  <c r="CR114" i="1"/>
  <c r="CR381" i="1"/>
  <c r="CR529" i="1"/>
  <c r="CR489" i="1" a="1"/>
  <c r="CR95" i="1"/>
  <c r="CR165" i="1"/>
  <c r="CR318" i="1"/>
  <c r="CR33" i="1" a="1"/>
  <c r="BU22" i="18" s="1"/>
  <c r="CR54" i="1" a="1"/>
  <c r="CS2" i="1"/>
  <c r="CR68" i="1"/>
  <c r="CQ44" i="1"/>
  <c r="CQ459" i="1"/>
  <c r="CQ460" i="1" s="1"/>
  <c r="CQ43" i="1"/>
  <c r="BT49" i="18"/>
  <c r="BT31" i="18"/>
  <c r="BT32" i="18" s="1"/>
  <c r="BS333" i="1"/>
  <c r="CV304" i="1" l="1"/>
  <c r="CU310" i="1"/>
  <c r="CV310" i="1" s="1"/>
  <c r="CW310" i="1" s="1"/>
  <c r="Z2" i="3"/>
  <c r="Y255" i="3"/>
  <c r="Y239" i="3"/>
  <c r="CU305" i="1"/>
  <c r="CT308" i="1"/>
  <c r="CS309" i="1"/>
  <c r="CS315" i="1"/>
  <c r="CR43" i="1"/>
  <c r="CR459" i="1"/>
  <c r="CR460" i="1" s="1"/>
  <c r="BU49" i="18"/>
  <c r="CR44" i="1"/>
  <c r="CR490" i="1"/>
  <c r="BU73" i="18"/>
  <c r="BU23" i="18"/>
  <c r="BU31" i="18"/>
  <c r="BU32" i="18" s="1"/>
  <c r="CS54" i="1" a="1"/>
  <c r="CS42" i="1" a="1"/>
  <c r="CS95" i="1"/>
  <c r="CS318" i="1"/>
  <c r="CS114" i="1"/>
  <c r="CT2" i="1"/>
  <c r="CS33" i="1" a="1"/>
  <c r="CS68" i="1"/>
  <c r="CS165" i="1"/>
  <c r="CS381" i="1"/>
  <c r="CS529" i="1"/>
  <c r="CS17" i="1" a="1"/>
  <c r="CS61" i="1"/>
  <c r="CS489" i="1" a="1"/>
  <c r="BV73" i="18" s="1"/>
  <c r="BT50" i="18"/>
  <c r="BT51" i="18"/>
  <c r="BT75" i="18"/>
  <c r="BW331" i="1"/>
  <c r="BR332" i="1"/>
  <c r="BR330" i="1"/>
  <c r="CV305" i="1" l="1"/>
  <c r="CW305" i="1"/>
  <c r="Z239" i="3"/>
  <c r="AA2" i="3"/>
  <c r="CU308" i="1"/>
  <c r="CU315" i="1" s="1"/>
  <c r="CS316" i="1"/>
  <c r="Z268" i="3"/>
  <c r="CV308" i="1"/>
  <c r="Z255" i="3"/>
  <c r="CW308" i="1"/>
  <c r="CT309" i="1"/>
  <c r="CT315" i="1"/>
  <c r="CT316" i="1" s="1"/>
  <c r="BU51" i="18"/>
  <c r="BU50" i="18"/>
  <c r="BU75" i="18"/>
  <c r="BU74" i="18"/>
  <c r="CS459" i="1"/>
  <c r="CS460" i="1" s="1"/>
  <c r="BV49" i="18"/>
  <c r="CS44" i="1"/>
  <c r="CS43" i="1"/>
  <c r="CT489" i="1" a="1"/>
  <c r="CT42" i="1" a="1"/>
  <c r="CT17" i="1" a="1"/>
  <c r="CT33" i="1" a="1"/>
  <c r="BW31" i="18" s="1"/>
  <c r="CT54" i="1" a="1"/>
  <c r="CU2" i="1"/>
  <c r="CT114" i="1"/>
  <c r="CT165" i="1"/>
  <c r="CT95" i="1"/>
  <c r="CT61" i="1"/>
  <c r="CT318" i="1"/>
  <c r="CT381" i="1"/>
  <c r="CT68" i="1"/>
  <c r="CT529" i="1"/>
  <c r="CS436" i="1"/>
  <c r="BV22" i="18"/>
  <c r="BV23" i="18" s="1"/>
  <c r="BV74" i="18"/>
  <c r="BW334" i="1"/>
  <c r="BR333" i="1"/>
  <c r="CU316" i="1" l="1"/>
  <c r="AA239" i="3"/>
  <c r="AB2" i="3"/>
  <c r="AA268" i="3"/>
  <c r="AA255" i="3"/>
  <c r="CV315" i="1"/>
  <c r="CV309" i="1"/>
  <c r="CW315" i="1"/>
  <c r="CW309" i="1"/>
  <c r="CU309" i="1"/>
  <c r="BV50" i="18"/>
  <c r="BW73" i="18"/>
  <c r="CT490" i="1"/>
  <c r="BV31" i="18"/>
  <c r="BW49" i="18"/>
  <c r="CT44" i="1"/>
  <c r="CT459" i="1"/>
  <c r="CT460" i="1" s="1"/>
  <c r="CT43" i="1"/>
  <c r="CT436" i="1"/>
  <c r="BW22" i="18"/>
  <c r="BW23" i="18" s="1"/>
  <c r="CU17" i="1" a="1"/>
  <c r="CU165" i="1"/>
  <c r="CU61" i="1"/>
  <c r="CU54" i="1" a="1"/>
  <c r="CV2" i="1"/>
  <c r="CU114" i="1"/>
  <c r="CU95" i="1"/>
  <c r="CU529" i="1"/>
  <c r="CU42" i="1" a="1"/>
  <c r="CU318" i="1"/>
  <c r="CU381" i="1"/>
  <c r="CU33" i="1" a="1"/>
  <c r="BX31" i="18" s="1"/>
  <c r="BX32" i="18" s="1"/>
  <c r="CU68" i="1"/>
  <c r="CU489" i="1" a="1"/>
  <c r="AE429" i="1"/>
  <c r="AD429" i="1"/>
  <c r="AC429" i="1"/>
  <c r="AB255" i="3" l="1"/>
  <c r="AB239" i="3"/>
  <c r="AB268" i="3"/>
  <c r="AC2" i="3"/>
  <c r="CV316" i="1"/>
  <c r="CW316" i="1"/>
  <c r="BW75" i="18"/>
  <c r="BW74" i="18"/>
  <c r="BW32" i="18"/>
  <c r="BV75" i="18"/>
  <c r="BV32" i="18"/>
  <c r="CS490" i="1"/>
  <c r="BW51" i="18"/>
  <c r="BW50" i="18"/>
  <c r="BX22" i="18"/>
  <c r="BX23" i="18" s="1"/>
  <c r="CU436" i="1"/>
  <c r="CV42" i="1" a="1"/>
  <c r="CW2" i="1"/>
  <c r="CV489" i="1" a="1"/>
  <c r="CV114" i="1"/>
  <c r="CV318" i="1"/>
  <c r="CV54" i="1" a="1"/>
  <c r="CV459" i="1" s="1"/>
  <c r="CV381" i="1"/>
  <c r="CV33" i="1" a="1"/>
  <c r="CV68" i="1"/>
  <c r="CV529" i="1"/>
  <c r="CV95" i="1"/>
  <c r="CV17" i="1" a="1"/>
  <c r="CV165" i="1"/>
  <c r="CV61" i="1"/>
  <c r="BX49" i="18"/>
  <c r="CU44" i="1"/>
  <c r="CU459" i="1"/>
  <c r="CU460" i="1" s="1"/>
  <c r="CU43" i="1"/>
  <c r="CU490" i="1"/>
  <c r="BX73" i="18"/>
  <c r="BV51" i="18"/>
  <c r="AC13" i="1"/>
  <c r="AD13" i="1"/>
  <c r="AE13" i="1"/>
  <c r="BM9" i="7"/>
  <c r="BM22" i="7" s="1"/>
  <c r="BW472" i="1"/>
  <c r="BW452" i="1"/>
  <c r="BW455" i="1"/>
  <c r="BD7" i="7"/>
  <c r="BQ433" i="1"/>
  <c r="BL515" i="1"/>
  <c r="BL30" i="1" s="1"/>
  <c r="BL371" i="1" s="1"/>
  <c r="BL509" i="1"/>
  <c r="BM509" i="1"/>
  <c r="BR433" i="1"/>
  <c r="BE7" i="7"/>
  <c r="BM433" i="1"/>
  <c r="BM515" i="1"/>
  <c r="BM30" i="1" s="1"/>
  <c r="BM371" i="1" s="1"/>
  <c r="BP433" i="1"/>
  <c r="BC7" i="7"/>
  <c r="BK509" i="1"/>
  <c r="BK433" i="1"/>
  <c r="BO432" i="1"/>
  <c r="BK515" i="1"/>
  <c r="BK30" i="1" s="1"/>
  <c r="BK371" i="1" s="1"/>
  <c r="BS433" i="1"/>
  <c r="BF7" i="7"/>
  <c r="BN515" i="1"/>
  <c r="BN30" i="1" s="1"/>
  <c r="BN371" i="1" s="1"/>
  <c r="BN509" i="1"/>
  <c r="BN433" i="1"/>
  <c r="AC268" i="3" l="1"/>
  <c r="AC255" i="3"/>
  <c r="AC239" i="3"/>
  <c r="AD2" i="3"/>
  <c r="AE2" i="3"/>
  <c r="AD268" i="3"/>
  <c r="AD255" i="3"/>
  <c r="AD239" i="3"/>
  <c r="CW54" i="1" a="1"/>
  <c r="CW95" i="1"/>
  <c r="CW17" i="1" a="1"/>
  <c r="CW436" i="1" s="1"/>
  <c r="CW114" i="1"/>
  <c r="CW489" i="1" a="1"/>
  <c r="CW381" i="1"/>
  <c r="CW42" i="1" a="1"/>
  <c r="CW459" i="1" s="1"/>
  <c r="CW460" i="1" s="1"/>
  <c r="CW490" i="1" s="1"/>
  <c r="CW318" i="1"/>
  <c r="CW165" i="1"/>
  <c r="CW33" i="1" a="1"/>
  <c r="CW68" i="1"/>
  <c r="CW61" i="1"/>
  <c r="CW529" i="1"/>
  <c r="CV460" i="1"/>
  <c r="CV436" i="1"/>
  <c r="CV490" i="1" s="1"/>
  <c r="BX51" i="18"/>
  <c r="BX50" i="18"/>
  <c r="BX75" i="18"/>
  <c r="BX74" i="18"/>
  <c r="O166" i="2"/>
  <c r="P24" i="19"/>
  <c r="BM35" i="7"/>
  <c r="BT542" i="1"/>
  <c r="BN367" i="1"/>
  <c r="BN341" i="1"/>
  <c r="BN354" i="1"/>
  <c r="BN346" i="1"/>
  <c r="BL367" i="1"/>
  <c r="BL354" i="1"/>
  <c r="BL346" i="1"/>
  <c r="BL341" i="1"/>
  <c r="BM346" i="1"/>
  <c r="BM341" i="1"/>
  <c r="BM354" i="1"/>
  <c r="BM367" i="1"/>
  <c r="BB509" i="1"/>
  <c r="BB515" i="1"/>
  <c r="AV7" i="7"/>
  <c r="AW7" i="7"/>
  <c r="BC515" i="1"/>
  <c r="BC509" i="1"/>
  <c r="BK31" i="1"/>
  <c r="BP516" i="1"/>
  <c r="BR516" i="1"/>
  <c r="BM31" i="1"/>
  <c r="BL9" i="7"/>
  <c r="BL22" i="7" s="1"/>
  <c r="BV455" i="1"/>
  <c r="BV452" i="1"/>
  <c r="BV472" i="1"/>
  <c r="BO31" i="1"/>
  <c r="BO509" i="1"/>
  <c r="BT433" i="1"/>
  <c r="O153" i="2"/>
  <c r="O136" i="2"/>
  <c r="O156" i="2"/>
  <c r="O163" i="2"/>
  <c r="O173" i="2"/>
  <c r="CQ7" i="7"/>
  <c r="F3" i="5"/>
  <c r="O74" i="2"/>
  <c r="O100" i="2"/>
  <c r="BO515" i="1"/>
  <c r="O160" i="2"/>
  <c r="O192" i="2"/>
  <c r="O76" i="2"/>
  <c r="AZ7" i="7"/>
  <c r="BG433" i="1"/>
  <c r="BG509" i="1"/>
  <c r="BG515" i="1"/>
  <c r="BL516" i="1" s="1"/>
  <c r="BN31" i="1"/>
  <c r="BS516" i="1"/>
  <c r="BL433" i="1"/>
  <c r="BH509" i="1"/>
  <c r="BA7" i="7"/>
  <c r="BH515" i="1"/>
  <c r="BM516" i="1" s="1"/>
  <c r="BH433" i="1"/>
  <c r="BD515" i="1"/>
  <c r="BD509" i="1"/>
  <c r="AX7" i="7"/>
  <c r="BQ516" i="1"/>
  <c r="BL31" i="1"/>
  <c r="AY7" i="7"/>
  <c r="BF509" i="1"/>
  <c r="BF515" i="1"/>
  <c r="BK516" i="1" s="1"/>
  <c r="BJ432" i="1"/>
  <c r="N76" i="2"/>
  <c r="BI509" i="1"/>
  <c r="BI433" i="1"/>
  <c r="BB7" i="7"/>
  <c r="BI515" i="1"/>
  <c r="BN516" i="1" s="1"/>
  <c r="AF2" i="3" l="1"/>
  <c r="AE255" i="3"/>
  <c r="AE239" i="3"/>
  <c r="AE268" i="3"/>
  <c r="N166" i="2"/>
  <c r="O24" i="19"/>
  <c r="BL35" i="7"/>
  <c r="BO542" i="1"/>
  <c r="BO433" i="1"/>
  <c r="BQ32" i="1"/>
  <c r="BL40" i="1"/>
  <c r="BL51" i="1"/>
  <c r="BD30" i="1"/>
  <c r="BD371" i="1" s="1"/>
  <c r="BD31" i="1"/>
  <c r="BS32" i="1"/>
  <c r="BN40" i="1"/>
  <c r="BN51" i="1"/>
  <c r="BT516" i="1"/>
  <c r="BO30" i="1"/>
  <c r="BO371" i="1" s="1"/>
  <c r="O342" i="2"/>
  <c r="BI516" i="1"/>
  <c r="BI31" i="1"/>
  <c r="BI30" i="1"/>
  <c r="BI371" i="1" s="1"/>
  <c r="BG30" i="1"/>
  <c r="BG371" i="1" s="1"/>
  <c r="BG516" i="1"/>
  <c r="BG31" i="1"/>
  <c r="BK333" i="1"/>
  <c r="BK330" i="1"/>
  <c r="BK341" i="1"/>
  <c r="BK354" i="1"/>
  <c r="BK346" i="1"/>
  <c r="BK367" i="1"/>
  <c r="BF30" i="1"/>
  <c r="BF371" i="1" s="1"/>
  <c r="BF31" i="1"/>
  <c r="BK32" i="1" s="1"/>
  <c r="BP32" i="1"/>
  <c r="BK51" i="1"/>
  <c r="BK40" i="1"/>
  <c r="BB31" i="1"/>
  <c r="BB30" i="1"/>
  <c r="BB371" i="1" s="1"/>
  <c r="BH516" i="1"/>
  <c r="BH30" i="1"/>
  <c r="BH371" i="1" s="1"/>
  <c r="BH31" i="1"/>
  <c r="BM32" i="1" s="1"/>
  <c r="CP7" i="7"/>
  <c r="N173" i="2"/>
  <c r="N192" i="2"/>
  <c r="N163" i="2"/>
  <c r="N160" i="2"/>
  <c r="N156" i="2"/>
  <c r="N153" i="2"/>
  <c r="N136" i="2"/>
  <c r="BJ515" i="1"/>
  <c r="BO516" i="1" s="1"/>
  <c r="BJ509" i="1"/>
  <c r="E3" i="5"/>
  <c r="BJ31" i="1"/>
  <c r="N74" i="2"/>
  <c r="N100" i="2"/>
  <c r="BV473" i="1"/>
  <c r="BC31" i="1"/>
  <c r="BC30" i="1"/>
  <c r="BC371" i="1" s="1"/>
  <c r="BT32" i="1"/>
  <c r="BO51" i="1"/>
  <c r="BO40" i="1"/>
  <c r="BR32" i="1"/>
  <c r="BM40" i="1"/>
  <c r="BM51" i="1"/>
  <c r="AF239" i="3" l="1"/>
  <c r="AG2" i="3"/>
  <c r="AF268" i="3"/>
  <c r="AF255" i="3"/>
  <c r="BH346" i="1"/>
  <c r="BH341" i="1"/>
  <c r="BH367" i="1"/>
  <c r="BH354" i="1"/>
  <c r="BH330" i="1"/>
  <c r="BH333" i="1"/>
  <c r="BB333" i="1"/>
  <c r="BB330" i="1"/>
  <c r="BB346" i="1"/>
  <c r="BB341" i="1"/>
  <c r="BB354" i="1"/>
  <c r="BB367" i="1"/>
  <c r="BI32" i="1"/>
  <c r="BI40" i="1"/>
  <c r="BI51" i="1"/>
  <c r="BN32" i="1"/>
  <c r="BD40" i="1"/>
  <c r="BD51" i="1"/>
  <c r="BJ51" i="1"/>
  <c r="BJ40" i="1"/>
  <c r="BD354" i="1"/>
  <c r="BD367" i="1"/>
  <c r="BD330" i="1"/>
  <c r="BD333" i="1"/>
  <c r="BD346" i="1"/>
  <c r="BD341" i="1"/>
  <c r="BB51" i="1"/>
  <c r="BB40" i="1"/>
  <c r="BG32" i="1"/>
  <c r="BG51" i="1"/>
  <c r="BG40" i="1"/>
  <c r="BC51" i="1"/>
  <c r="BC40" i="1"/>
  <c r="BJ30" i="1"/>
  <c r="BJ371" i="1" s="1"/>
  <c r="N342" i="2"/>
  <c r="BF40" i="1"/>
  <c r="BF51" i="1"/>
  <c r="BL32" i="1"/>
  <c r="BO32" i="1"/>
  <c r="BF333" i="1"/>
  <c r="BF346" i="1"/>
  <c r="BF367" i="1"/>
  <c r="BF341" i="1"/>
  <c r="BF330" i="1"/>
  <c r="BF354" i="1"/>
  <c r="BG333" i="1"/>
  <c r="BG330" i="1"/>
  <c r="BG341" i="1"/>
  <c r="BG354" i="1"/>
  <c r="BG346" i="1"/>
  <c r="BG367" i="1"/>
  <c r="BO354" i="1"/>
  <c r="BO346" i="1"/>
  <c r="BO341" i="1"/>
  <c r="BO367" i="1"/>
  <c r="Y18" i="3"/>
  <c r="Y245" i="3" s="1"/>
  <c r="BC333" i="1"/>
  <c r="BC341" i="1"/>
  <c r="BC354" i="1"/>
  <c r="BC346" i="1"/>
  <c r="BC367" i="1"/>
  <c r="BC330" i="1"/>
  <c r="BH32" i="1"/>
  <c r="BH51" i="1"/>
  <c r="BH40" i="1"/>
  <c r="BI333" i="1"/>
  <c r="BI346" i="1"/>
  <c r="BI330" i="1"/>
  <c r="BI341" i="1"/>
  <c r="BI367" i="1"/>
  <c r="BI354" i="1"/>
  <c r="AH2" i="3" l="1"/>
  <c r="AG239" i="3"/>
  <c r="AG268" i="3"/>
  <c r="AG255" i="3"/>
  <c r="X18" i="3"/>
  <c r="X245" i="3" s="1"/>
  <c r="BJ333" i="1"/>
  <c r="BJ346" i="1"/>
  <c r="BJ367" i="1"/>
  <c r="BJ354" i="1"/>
  <c r="BJ330" i="1"/>
  <c r="BJ341" i="1"/>
  <c r="AI2" i="3" l="1"/>
  <c r="AH239" i="3"/>
  <c r="AH268" i="3"/>
  <c r="AH255" i="3"/>
  <c r="BU455" i="1"/>
  <c r="BK9" i="7"/>
  <c r="BK22" i="7" s="1"/>
  <c r="BW450" i="1"/>
  <c r="BU452" i="1"/>
  <c r="BU472" i="1"/>
  <c r="AI239" i="3" l="1"/>
  <c r="AI255" i="3"/>
  <c r="AI268" i="3"/>
  <c r="AJ2" i="3"/>
  <c r="BK35" i="7"/>
  <c r="BU473" i="1"/>
  <c r="BS452" i="1"/>
  <c r="BJ9" i="7"/>
  <c r="BJ22" i="7" s="1"/>
  <c r="BS456" i="1"/>
  <c r="BS519" i="1" s="1"/>
  <c r="BS455" i="1"/>
  <c r="AJ255" i="3" l="1"/>
  <c r="AJ239" i="3"/>
  <c r="AK2" i="3"/>
  <c r="AJ268" i="3"/>
  <c r="BJ35" i="7"/>
  <c r="BT464" i="1"/>
  <c r="AL2" i="3" l="1"/>
  <c r="AK239" i="3"/>
  <c r="AK268" i="3"/>
  <c r="AK255" i="3"/>
  <c r="P278" i="2"/>
  <c r="P346" i="2"/>
  <c r="P105" i="2" s="1"/>
  <c r="BH9" i="7"/>
  <c r="BH22" i="7" s="1"/>
  <c r="BQ452" i="1"/>
  <c r="BQ455" i="1"/>
  <c r="BQ456" i="1"/>
  <c r="BQ519" i="1" s="1"/>
  <c r="BV454" i="1"/>
  <c r="BR452" i="1"/>
  <c r="BR455" i="1"/>
  <c r="BI9" i="7"/>
  <c r="BI22" i="7" s="1"/>
  <c r="BR456" i="1"/>
  <c r="BR519" i="1" s="1"/>
  <c r="BW454" i="1"/>
  <c r="AL239" i="3" l="1"/>
  <c r="AM2" i="3"/>
  <c r="AL268" i="3"/>
  <c r="AL255" i="3"/>
  <c r="BI35" i="7"/>
  <c r="BH35" i="7"/>
  <c r="Z21" i="3"/>
  <c r="P106" i="2"/>
  <c r="P110" i="2" s="1"/>
  <c r="P109" i="2"/>
  <c r="AM239" i="3" l="1"/>
  <c r="AN2" i="3"/>
  <c r="AM255" i="3"/>
  <c r="AM268" i="3"/>
  <c r="BT453" i="1"/>
  <c r="BG9" i="7"/>
  <c r="BG22" i="7" s="1"/>
  <c r="BP452" i="1"/>
  <c r="BR450" i="1"/>
  <c r="BP455" i="1"/>
  <c r="BP456" i="1"/>
  <c r="BP519" i="1" s="1"/>
  <c r="BU454" i="1"/>
  <c r="BJ464" i="1"/>
  <c r="AN255" i="3" l="1"/>
  <c r="AN239" i="3"/>
  <c r="AN268" i="3"/>
  <c r="BY454" i="1"/>
  <c r="Q25" i="19"/>
  <c r="BG35" i="7"/>
  <c r="BO464" i="1"/>
  <c r="BF9" i="7"/>
  <c r="BF22" i="7" s="1"/>
  <c r="BN452" i="1"/>
  <c r="BN455" i="1"/>
  <c r="BN456" i="1"/>
  <c r="BN519" i="1" s="1"/>
  <c r="BS454" i="1"/>
  <c r="AA21" i="3"/>
  <c r="N278" i="2"/>
  <c r="BT511" i="1"/>
  <c r="Q28" i="19" s="1"/>
  <c r="Q29" i="19" s="1"/>
  <c r="BT456" i="1"/>
  <c r="BT455" i="1"/>
  <c r="CR9" i="7"/>
  <c r="BT452" i="1"/>
  <c r="G4" i="5"/>
  <c r="H11" i="4"/>
  <c r="P332" i="2"/>
  <c r="P265" i="2"/>
  <c r="P252" i="2"/>
  <c r="BF35" i="7" l="1"/>
  <c r="BF19" i="7"/>
  <c r="Q334" i="2"/>
  <c r="P291" i="2"/>
  <c r="O278" i="2"/>
  <c r="O346" i="2"/>
  <c r="O105" i="2" s="1"/>
  <c r="Y21" i="3" s="1"/>
  <c r="Y277" i="3" s="1"/>
  <c r="Y278" i="3" s="1"/>
  <c r="Y279" i="3" s="1"/>
  <c r="Y280" i="3" s="1"/>
  <c r="P55" i="2"/>
  <c r="P333" i="2"/>
  <c r="BT519" i="1"/>
  <c r="P336" i="2"/>
  <c r="P337" i="2" s="1"/>
  <c r="Q338" i="2" s="1"/>
  <c r="Z72" i="3" l="1"/>
  <c r="CS12" i="7"/>
  <c r="Y285" i="3"/>
  <c r="Y290" i="3"/>
  <c r="BE9" i="7" l="1"/>
  <c r="BE22" i="7" s="1"/>
  <c r="BM456" i="1"/>
  <c r="BM519" i="1" s="1"/>
  <c r="BM452" i="1"/>
  <c r="BM455" i="1"/>
  <c r="BR454" i="1"/>
  <c r="AB21" i="3"/>
  <c r="R278" i="2"/>
  <c r="BE35" i="7" l="1"/>
  <c r="S104" i="2"/>
  <c r="R14" i="2"/>
  <c r="H4" i="5"/>
  <c r="BY511" i="1"/>
  <c r="I11" i="4"/>
  <c r="BY512" i="1" l="1"/>
  <c r="R28" i="19"/>
  <c r="R29" i="19" s="1"/>
  <c r="BD9" i="7"/>
  <c r="BD22" i="7" s="1"/>
  <c r="BL456" i="1"/>
  <c r="BL519" i="1" s="1"/>
  <c r="BL452" i="1"/>
  <c r="BL455" i="1"/>
  <c r="BQ454" i="1"/>
  <c r="AA19" i="3"/>
  <c r="BD35" i="7" l="1"/>
  <c r="BC9" i="7"/>
  <c r="BC22" i="7" s="1"/>
  <c r="BK452" i="1"/>
  <c r="BO453" i="1"/>
  <c r="P25" i="19" s="1"/>
  <c r="BK455" i="1"/>
  <c r="BK456" i="1"/>
  <c r="BK519" i="1" s="1"/>
  <c r="BP454" i="1"/>
  <c r="H5" i="5"/>
  <c r="I5" i="4"/>
  <c r="I7" i="4" s="1"/>
  <c r="I12" i="4" s="1"/>
  <c r="S278" i="2"/>
  <c r="AA276" i="3"/>
  <c r="AA23" i="3"/>
  <c r="AA246" i="3"/>
  <c r="BC35" i="7" l="1"/>
  <c r="I15" i="4"/>
  <c r="I20" i="4" s="1"/>
  <c r="AA247" i="3"/>
  <c r="AA127" i="3"/>
  <c r="AA24" i="3"/>
  <c r="AA248" i="3" s="1"/>
  <c r="G11" i="4"/>
  <c r="BO511" i="1"/>
  <c r="P28" i="19" s="1"/>
  <c r="P29" i="19" s="1"/>
  <c r="BO452" i="1"/>
  <c r="O332" i="2"/>
  <c r="O291" i="2" s="1"/>
  <c r="Y72" i="3" s="1"/>
  <c r="F4" i="5"/>
  <c r="CQ9" i="7"/>
  <c r="BO455" i="1"/>
  <c r="O265" i="2"/>
  <c r="O252" i="2"/>
  <c r="BO456" i="1"/>
  <c r="BT454" i="1"/>
  <c r="BT512" i="1" l="1"/>
  <c r="O336" i="2"/>
  <c r="O337" i="2" s="1"/>
  <c r="P334" i="2"/>
  <c r="O55" i="2"/>
  <c r="O333" i="2"/>
  <c r="BO519" i="1"/>
  <c r="P338" i="2" l="1"/>
  <c r="BB9" i="7"/>
  <c r="BB22" i="7" s="1"/>
  <c r="BI452" i="1"/>
  <c r="BI455" i="1"/>
  <c r="BI456" i="1"/>
  <c r="BN454" i="1"/>
  <c r="BB35" i="7" l="1"/>
  <c r="BA9" i="7"/>
  <c r="BA22" i="7" s="1"/>
  <c r="BH452" i="1"/>
  <c r="BH455" i="1"/>
  <c r="BH471" i="1"/>
  <c r="BH472" i="1" s="1"/>
  <c r="BH456" i="1"/>
  <c r="BM454" i="1"/>
  <c r="BA35" i="7" l="1"/>
  <c r="BG455" i="1"/>
  <c r="BG471" i="1"/>
  <c r="BG472" i="1" s="1"/>
  <c r="AZ9" i="7"/>
  <c r="AZ22" i="7" s="1"/>
  <c r="BG456" i="1"/>
  <c r="BG519" i="1" s="1"/>
  <c r="BG452" i="1"/>
  <c r="BL454" i="1"/>
  <c r="AZ35" i="7" l="1"/>
  <c r="AY9" i="7"/>
  <c r="AY22" i="7" s="1"/>
  <c r="BF452" i="1"/>
  <c r="BF455" i="1"/>
  <c r="BF454" i="1"/>
  <c r="BF471" i="1"/>
  <c r="BF472" i="1" s="1"/>
  <c r="BJ453" i="1"/>
  <c r="O25" i="19" s="1"/>
  <c r="BF456" i="1"/>
  <c r="BF519" i="1" s="1"/>
  <c r="BK454" i="1"/>
  <c r="AY35" i="7" l="1"/>
  <c r="BJ452" i="1"/>
  <c r="F11" i="4"/>
  <c r="CP9" i="7"/>
  <c r="E4" i="5"/>
  <c r="N332" i="2"/>
  <c r="N291" i="2" s="1"/>
  <c r="N265" i="2"/>
  <c r="BJ511" i="1"/>
  <c r="BJ455" i="1"/>
  <c r="N252" i="2"/>
  <c r="BJ456" i="1"/>
  <c r="BO454" i="1"/>
  <c r="BO512" i="1" l="1"/>
  <c r="O28" i="19"/>
  <c r="O29" i="19" s="1"/>
  <c r="X72" i="3"/>
  <c r="N336" i="2"/>
  <c r="N337" i="2" s="1"/>
  <c r="O334" i="2"/>
  <c r="N333" i="2"/>
  <c r="BJ519" i="1"/>
  <c r="N55" i="2"/>
  <c r="O338" i="2" l="1"/>
  <c r="BC452" i="1" l="1"/>
  <c r="BC471" i="1"/>
  <c r="BC455" i="1"/>
  <c r="AW9" i="7"/>
  <c r="AW22" i="7" s="1"/>
  <c r="BC456" i="1"/>
  <c r="BC519" i="1" s="1"/>
  <c r="BH454" i="1"/>
  <c r="AW35" i="7" l="1"/>
  <c r="AW19" i="7"/>
  <c r="BC472" i="1"/>
  <c r="AV9" i="7"/>
  <c r="AV22" i="7" s="1"/>
  <c r="BB471" i="1"/>
  <c r="BB455" i="1"/>
  <c r="BB452" i="1"/>
  <c r="BB456" i="1"/>
  <c r="BB519" i="1" s="1"/>
  <c r="BG454" i="1"/>
  <c r="AV35" i="7" l="1"/>
  <c r="AV19" i="7"/>
  <c r="BB472" i="1"/>
  <c r="AY452" i="1"/>
  <c r="AT9" i="7"/>
  <c r="AT22" i="7" s="1"/>
  <c r="AY471" i="1"/>
  <c r="AY456" i="1"/>
  <c r="AT35" i="7" l="1"/>
  <c r="AX456" i="1"/>
  <c r="AS9" i="7"/>
  <c r="AS22" i="7" s="1"/>
  <c r="AX452" i="1"/>
  <c r="BC454" i="1"/>
  <c r="AZ464" i="1"/>
  <c r="AS35" i="7" l="1"/>
  <c r="L346" i="2"/>
  <c r="L278" i="2"/>
  <c r="L105" i="2" l="1"/>
  <c r="V21" i="3" s="1"/>
  <c r="AR9" i="7" l="1"/>
  <c r="AR22" i="7" s="1"/>
  <c r="AW471" i="1"/>
  <c r="AW456" i="1"/>
  <c r="AW452" i="1"/>
  <c r="BB454" i="1"/>
  <c r="AQ9" i="7"/>
  <c r="AQ22" i="7" s="1"/>
  <c r="AQ28" i="7" s="1"/>
  <c r="AV452" i="1"/>
  <c r="Y72" i="6"/>
  <c r="Y73" i="6" s="1"/>
  <c r="AV456" i="1"/>
  <c r="Y63" i="6" s="1"/>
  <c r="AV471" i="1"/>
  <c r="BA454" i="1"/>
  <c r="AZ453" i="1"/>
  <c r="M25" i="19" s="1"/>
  <c r="AQ35" i="7" l="1"/>
  <c r="AR35" i="7"/>
  <c r="AZ452" i="1"/>
  <c r="L332" i="2"/>
  <c r="L291" i="2" s="1"/>
  <c r="L265" i="2"/>
  <c r="AZ511" i="1"/>
  <c r="M28" i="19" s="1"/>
  <c r="M29" i="19" s="1"/>
  <c r="D11" i="4"/>
  <c r="CN9" i="7"/>
  <c r="C4" i="5"/>
  <c r="L252" i="2"/>
  <c r="AZ456" i="1"/>
  <c r="V72" i="3" l="1"/>
  <c r="AZ519" i="1"/>
  <c r="L333" i="2"/>
  <c r="L55" i="2"/>
  <c r="L269" i="2" l="1"/>
  <c r="L79" i="2"/>
  <c r="L196" i="2" s="1"/>
  <c r="AA20" i="3" l="1"/>
  <c r="AA277" i="3" l="1"/>
  <c r="AA278" i="3" s="1"/>
  <c r="AA279" i="3" s="1"/>
  <c r="AA280" i="3" s="1"/>
  <c r="AA285" i="3" s="1"/>
  <c r="AA33" i="3"/>
  <c r="AA288" i="3" l="1"/>
  <c r="AA290" i="3" s="1"/>
  <c r="R277" i="2" l="1"/>
  <c r="R266" i="2"/>
  <c r="R126" i="2" l="1"/>
  <c r="R56" i="2" s="1"/>
  <c r="R299" i="2" s="1"/>
  <c r="AB80" i="3" s="1"/>
  <c r="H14" i="5" l="1"/>
  <c r="R253" i="2"/>
  <c r="AB28" i="3"/>
  <c r="AB128" i="3" s="1"/>
  <c r="Q36" i="2" l="1"/>
  <c r="Q37" i="2" s="1"/>
  <c r="Q39" i="2" l="1"/>
  <c r="AA27" i="3"/>
  <c r="Q40" i="2" l="1"/>
  <c r="Q41" i="2" s="1"/>
  <c r="CS53" i="7"/>
  <c r="AA11" i="3" l="1"/>
  <c r="BJ501" i="1" l="1"/>
  <c r="O33" i="19" s="1"/>
  <c r="O44" i="19" l="1"/>
  <c r="O43" i="19"/>
  <c r="X13" i="3"/>
  <c r="N306" i="2"/>
  <c r="X86" i="3" l="1"/>
  <c r="N309" i="2"/>
  <c r="N311" i="2" s="1"/>
  <c r="N223" i="2"/>
  <c r="Q228" i="6"/>
  <c r="X134" i="3" l="1"/>
  <c r="BE501" i="1" l="1"/>
  <c r="N33" i="19" s="1"/>
  <c r="N43" i="19" l="1"/>
  <c r="Q213" i="6"/>
  <c r="M306" i="2"/>
  <c r="W13" i="3"/>
  <c r="AY502" i="1"/>
  <c r="W86" i="3" l="1"/>
  <c r="M309" i="2"/>
  <c r="M311" i="2" s="1"/>
  <c r="M223" i="2"/>
  <c r="M221" i="2" s="1"/>
  <c r="P228" i="6"/>
  <c r="W134" i="3" l="1"/>
  <c r="AX448" i="1" l="1"/>
  <c r="AZ448" i="1" l="1"/>
  <c r="AX375" i="1"/>
  <c r="AZ375" i="1" l="1"/>
  <c r="D9" i="19" l="1"/>
  <c r="D18" i="19" s="1"/>
  <c r="D21" i="19" s="1"/>
  <c r="D16" i="19"/>
  <c r="BO282" i="1"/>
  <c r="BO285" i="1" s="1"/>
  <c r="BT282" i="1" l="1"/>
  <c r="BT285" i="1" s="1"/>
  <c r="CD283" i="1" l="1"/>
  <c r="CI283" i="1" l="1"/>
  <c r="CQ283" i="1" l="1"/>
  <c r="CR283" i="1" l="1"/>
  <c r="CT283" i="1"/>
  <c r="CS283" i="1" l="1"/>
  <c r="AB11" i="3" l="1"/>
  <c r="CA331" i="1" l="1"/>
  <c r="BV332" i="1" l="1"/>
  <c r="CA334" i="1" s="1"/>
  <c r="BY329" i="1"/>
  <c r="BV330" i="1"/>
  <c r="CD331" i="1" l="1"/>
  <c r="AQ36" i="18"/>
  <c r="BY330" i="1"/>
  <c r="BY332" i="1"/>
  <c r="CD334" i="1" s="1"/>
  <c r="BV333" i="1"/>
  <c r="BY333" i="1" l="1"/>
  <c r="BQ332" i="1" l="1"/>
  <c r="BQ330" i="1"/>
  <c r="BV331" i="1"/>
  <c r="BP330" i="1"/>
  <c r="BP332" i="1"/>
  <c r="BP331" i="1"/>
  <c r="BU331" i="1"/>
  <c r="BT329" i="1"/>
  <c r="AP36" i="18" s="1"/>
  <c r="CB292" i="1"/>
  <c r="AZ44" i="16"/>
  <c r="AZ65" i="16"/>
  <c r="BA26" i="16"/>
  <c r="AY26" i="16"/>
  <c r="AY27" i="16" s="1"/>
  <c r="BA65" i="16"/>
  <c r="AY44" i="16"/>
  <c r="BA44" i="16"/>
  <c r="AZ26" i="16"/>
  <c r="AY65" i="16"/>
  <c r="AZ27" i="16" l="1"/>
  <c r="AY67" i="16"/>
  <c r="AZ45" i="16"/>
  <c r="AZ46" i="16"/>
  <c r="AZ66" i="16"/>
  <c r="AZ67" i="16"/>
  <c r="BA66" i="16"/>
  <c r="BA67" i="16"/>
  <c r="AY45" i="16"/>
  <c r="AY46" i="16"/>
  <c r="BA46" i="16"/>
  <c r="BA45" i="16"/>
  <c r="BA27" i="16"/>
  <c r="BU334" i="1"/>
  <c r="BP333" i="1"/>
  <c r="BP334" i="1"/>
  <c r="BQ333" i="1"/>
  <c r="BV334" i="1"/>
  <c r="BW384" i="1"/>
  <c r="CB385" i="1" s="1"/>
  <c r="BW292" i="1"/>
  <c r="BT332" i="1"/>
  <c r="BT330" i="1"/>
  <c r="BY331" i="1"/>
  <c r="BW473" i="1" l="1"/>
  <c r="BW385" i="1"/>
  <c r="BT333" i="1"/>
  <c r="BY334" i="1"/>
  <c r="BX362" i="1"/>
  <c r="BX518" i="1" l="1"/>
  <c r="BX448" i="1"/>
  <c r="BW362" i="1" l="1"/>
  <c r="BV362" i="1" l="1"/>
  <c r="BW518" i="1"/>
  <c r="BW448" i="1"/>
  <c r="BV518" i="1" l="1"/>
  <c r="BV448" i="1"/>
  <c r="BY361" i="1" l="1"/>
  <c r="AQ43" i="18" s="1"/>
  <c r="BU362" i="1"/>
  <c r="BY362" i="1" l="1"/>
  <c r="BU448" i="1"/>
  <c r="BU518" i="1"/>
  <c r="BS374" i="1" l="1"/>
  <c r="BS362" i="1"/>
  <c r="BX363" i="1"/>
  <c r="BY518" i="1"/>
  <c r="BY521" i="1" s="1"/>
  <c r="BY448" i="1"/>
  <c r="BS448" i="1" l="1"/>
  <c r="BX375" i="1"/>
  <c r="BR374" i="1"/>
  <c r="BR362" i="1"/>
  <c r="BW363" i="1"/>
  <c r="BQ362" i="1"/>
  <c r="BQ374" i="1"/>
  <c r="BV363" i="1"/>
  <c r="I9" i="19" l="1"/>
  <c r="I16" i="19"/>
  <c r="I36" i="19" s="1"/>
  <c r="I42" i="19"/>
  <c r="BQ518" i="1"/>
  <c r="BQ448" i="1"/>
  <c r="BV375" i="1"/>
  <c r="BR448" i="1"/>
  <c r="BW375" i="1"/>
  <c r="I18" i="19" l="1"/>
  <c r="I21" i="19" s="1"/>
  <c r="I40" i="19"/>
  <c r="I41" i="19"/>
  <c r="I37" i="19"/>
  <c r="I39" i="19"/>
  <c r="I38" i="19"/>
  <c r="BN332" i="1"/>
  <c r="BS331" i="1"/>
  <c r="BN331" i="1"/>
  <c r="BN330" i="1"/>
  <c r="BT361" i="1"/>
  <c r="AP43" i="18" s="1"/>
  <c r="BP362" i="1"/>
  <c r="BP374" i="1"/>
  <c r="BU363" i="1"/>
  <c r="BN334" i="1" l="1"/>
  <c r="BS334" i="1"/>
  <c r="BN333" i="1"/>
  <c r="BP448" i="1"/>
  <c r="BP518" i="1"/>
  <c r="BU375" i="1"/>
  <c r="BT362" i="1"/>
  <c r="BT374" i="1"/>
  <c r="BY363" i="1"/>
  <c r="AP44" i="18" l="1"/>
  <c r="BN362" i="1"/>
  <c r="BS363" i="1"/>
  <c r="BN374" i="1"/>
  <c r="BT448" i="1"/>
  <c r="BY375" i="1"/>
  <c r="BN448" i="1" l="1"/>
  <c r="BS375" i="1"/>
  <c r="BR331" i="1"/>
  <c r="BM331" i="1"/>
  <c r="BM330" i="1"/>
  <c r="BM332" i="1"/>
  <c r="N80" i="2"/>
  <c r="N57" i="2"/>
  <c r="N293" i="2" s="1"/>
  <c r="O80" i="2"/>
  <c r="O57" i="2"/>
  <c r="O293" i="2" s="1"/>
  <c r="H16" i="19" l="1"/>
  <c r="H36" i="19" s="1"/>
  <c r="H9" i="19"/>
  <c r="H42" i="19"/>
  <c r="X74" i="3"/>
  <c r="N298" i="2"/>
  <c r="O298" i="2"/>
  <c r="Y74" i="3"/>
  <c r="N64" i="2"/>
  <c r="BM362" i="1"/>
  <c r="BR363" i="1"/>
  <c r="N194" i="2"/>
  <c r="N254" i="2"/>
  <c r="BM333" i="1"/>
  <c r="BM334" i="1"/>
  <c r="BR334" i="1"/>
  <c r="BM374" i="1"/>
  <c r="O194" i="2"/>
  <c r="O254" i="2"/>
  <c r="H18" i="19" l="1"/>
  <c r="H21" i="19" s="1"/>
  <c r="H40" i="19"/>
  <c r="H41" i="19"/>
  <c r="H39" i="19"/>
  <c r="H37" i="19"/>
  <c r="H38" i="19"/>
  <c r="N301" i="2"/>
  <c r="X79" i="3"/>
  <c r="O301" i="2"/>
  <c r="Y79" i="3"/>
  <c r="N255" i="2"/>
  <c r="N259" i="2" s="1"/>
  <c r="N65" i="2"/>
  <c r="BL331" i="1"/>
  <c r="BL332" i="1"/>
  <c r="BO329" i="1"/>
  <c r="BL330" i="1"/>
  <c r="BQ331" i="1"/>
  <c r="O198" i="2"/>
  <c r="Y129" i="3"/>
  <c r="N198" i="2"/>
  <c r="X129" i="3"/>
  <c r="Q227" i="6"/>
  <c r="Q229" i="6" s="1"/>
  <c r="BM448" i="1"/>
  <c r="BR375" i="1"/>
  <c r="BL374" i="1"/>
  <c r="O303" i="2" l="1"/>
  <c r="P30" i="19" s="1"/>
  <c r="P32" i="19" s="1"/>
  <c r="Y82" i="3"/>
  <c r="N303" i="2"/>
  <c r="O30" i="19" s="1"/>
  <c r="O32" i="19" s="1"/>
  <c r="X82" i="3"/>
  <c r="BL448" i="1"/>
  <c r="BQ375" i="1"/>
  <c r="BO331" i="1"/>
  <c r="BO332" i="1"/>
  <c r="BO330" i="1"/>
  <c r="BT331" i="1"/>
  <c r="BL334" i="1"/>
  <c r="BL333" i="1"/>
  <c r="BQ334" i="1"/>
  <c r="BL362" i="1"/>
  <c r="BQ363" i="1"/>
  <c r="X84" i="3" l="1"/>
  <c r="N304" i="2"/>
  <c r="X31" i="3"/>
  <c r="Y84" i="3"/>
  <c r="O304" i="2"/>
  <c r="Y31" i="3"/>
  <c r="BO334" i="1"/>
  <c r="BO333" i="1"/>
  <c r="BT334" i="1"/>
  <c r="BO361" i="1" l="1"/>
  <c r="BK362" i="1"/>
  <c r="BK374" i="1"/>
  <c r="BP363" i="1"/>
  <c r="BO362" i="1" l="1"/>
  <c r="BT363" i="1"/>
  <c r="BO374" i="1"/>
  <c r="BK448" i="1"/>
  <c r="BP375" i="1"/>
  <c r="BO448" i="1" l="1"/>
  <c r="BT375" i="1"/>
  <c r="BI374" i="1" l="1"/>
  <c r="BI362" i="1"/>
  <c r="BN363" i="1"/>
  <c r="G9" i="19" l="1"/>
  <c r="G16" i="19"/>
  <c r="G36" i="19" s="1"/>
  <c r="G42" i="19"/>
  <c r="BI448" i="1"/>
  <c r="BN375" i="1"/>
  <c r="G18" i="19" l="1"/>
  <c r="G21" i="19" s="1"/>
  <c r="G41" i="19"/>
  <c r="G40" i="19"/>
  <c r="G38" i="19"/>
  <c r="G39" i="19"/>
  <c r="G37" i="19"/>
  <c r="BH374" i="1"/>
  <c r="BH362" i="1"/>
  <c r="BM363" i="1"/>
  <c r="BH448" i="1" l="1"/>
  <c r="BM375" i="1"/>
  <c r="BG374" i="1" l="1"/>
  <c r="BG362" i="1"/>
  <c r="BL363" i="1"/>
  <c r="BF374" i="1" l="1"/>
  <c r="BF362" i="1"/>
  <c r="BF363" i="1"/>
  <c r="BJ361" i="1"/>
  <c r="BK363" i="1"/>
  <c r="BG448" i="1"/>
  <c r="BG518" i="1"/>
  <c r="BL375" i="1"/>
  <c r="BJ374" i="1" l="1"/>
  <c r="BJ362" i="1"/>
  <c r="BO363" i="1"/>
  <c r="BF448" i="1"/>
  <c r="BF518" i="1"/>
  <c r="BF375" i="1"/>
  <c r="BK375" i="1"/>
  <c r="BJ448" i="1" l="1"/>
  <c r="BO375" i="1"/>
  <c r="BD374" i="1"/>
  <c r="BD363" i="1"/>
  <c r="BD362" i="1"/>
  <c r="BI363" i="1"/>
  <c r="BD448" i="1" l="1"/>
  <c r="BD375" i="1"/>
  <c r="BD518" i="1"/>
  <c r="BI375" i="1"/>
  <c r="F16" i="19" l="1"/>
  <c r="F36" i="19" s="1"/>
  <c r="F9" i="19"/>
  <c r="F42" i="19"/>
  <c r="BC374" i="1"/>
  <c r="BC363" i="1"/>
  <c r="BC362" i="1"/>
  <c r="BH363" i="1"/>
  <c r="F18" i="19" l="1"/>
  <c r="F21" i="19" s="1"/>
  <c r="F41" i="19"/>
  <c r="F40" i="19"/>
  <c r="F38" i="19"/>
  <c r="F37" i="19"/>
  <c r="F39" i="19"/>
  <c r="BC448" i="1"/>
  <c r="BC518" i="1"/>
  <c r="BC375" i="1"/>
  <c r="BH375" i="1"/>
  <c r="BB363" i="1"/>
  <c r="BE361" i="1"/>
  <c r="BB362" i="1"/>
  <c r="BB374" i="1"/>
  <c r="BG363" i="1"/>
  <c r="BB448" i="1" l="1"/>
  <c r="BB375" i="1"/>
  <c r="BB518" i="1"/>
  <c r="BG375" i="1"/>
  <c r="BE374" i="1"/>
  <c r="BE363" i="1"/>
  <c r="BJ363" i="1"/>
  <c r="BE375" i="1" l="1"/>
  <c r="BE448" i="1"/>
  <c r="BJ375" i="1"/>
  <c r="AG453" i="1" l="1"/>
  <c r="AH453" i="1"/>
  <c r="AI453" i="1"/>
  <c r="AJ453" i="1"/>
  <c r="AL453" i="1"/>
  <c r="AM453" i="1"/>
  <c r="AN453" i="1"/>
  <c r="AO453" i="1"/>
  <c r="E9" i="19" l="1"/>
  <c r="E16" i="19"/>
  <c r="E36" i="19" s="1"/>
  <c r="E42" i="19"/>
  <c r="AE9" i="7"/>
  <c r="AG452" i="1"/>
  <c r="AG471" i="1"/>
  <c r="AG455" i="1"/>
  <c r="M62" i="6" s="1"/>
  <c r="AG520" i="1"/>
  <c r="AG456" i="1"/>
  <c r="M63" i="6" s="1"/>
  <c r="M72" i="6"/>
  <c r="M73" i="6" s="1"/>
  <c r="AH456" i="1"/>
  <c r="N63" i="6" s="1"/>
  <c r="AH471" i="1"/>
  <c r="AH520" i="1"/>
  <c r="N72" i="6"/>
  <c r="N73" i="6" s="1"/>
  <c r="AH452" i="1"/>
  <c r="AF9" i="7"/>
  <c r="AH455" i="1"/>
  <c r="N62" i="6" s="1"/>
  <c r="AN452" i="1"/>
  <c r="AK9" i="7"/>
  <c r="AK22" i="7" s="1"/>
  <c r="AK28" i="7" s="1"/>
  <c r="AN456" i="1"/>
  <c r="S63" i="6" s="1"/>
  <c r="AN520" i="1"/>
  <c r="S72" i="6"/>
  <c r="S73" i="6" s="1"/>
  <c r="AN455" i="1"/>
  <c r="S62" i="6" s="1"/>
  <c r="AN471" i="1"/>
  <c r="AM471" i="1"/>
  <c r="AM455" i="1"/>
  <c r="R62" i="6" s="1"/>
  <c r="AJ9" i="7"/>
  <c r="AJ22" i="7" s="1"/>
  <c r="AJ28" i="7" s="1"/>
  <c r="R72" i="6"/>
  <c r="R73" i="6" s="1"/>
  <c r="AM520" i="1"/>
  <c r="AM452" i="1"/>
  <c r="AM456" i="1"/>
  <c r="R63" i="6" s="1"/>
  <c r="AO452" i="1"/>
  <c r="AO471" i="1"/>
  <c r="AO456" i="1"/>
  <c r="T63" i="6" s="1"/>
  <c r="AO520" i="1"/>
  <c r="T72" i="6"/>
  <c r="T73" i="6" s="1"/>
  <c r="AO455" i="1"/>
  <c r="T62" i="6" s="1"/>
  <c r="AL9" i="7"/>
  <c r="AL22" i="7" s="1"/>
  <c r="AL28" i="7" s="1"/>
  <c r="AL452" i="1"/>
  <c r="AL471" i="1"/>
  <c r="AL520" i="1"/>
  <c r="Q72" i="6"/>
  <c r="Q73" i="6" s="1"/>
  <c r="AL455" i="1"/>
  <c r="Q62" i="6" s="1"/>
  <c r="AL456" i="1"/>
  <c r="Q63" i="6" s="1"/>
  <c r="AI9" i="7"/>
  <c r="AI22" i="7" s="1"/>
  <c r="AI28" i="7" s="1"/>
  <c r="AJ456" i="1"/>
  <c r="P63" i="6" s="1"/>
  <c r="AH9" i="7"/>
  <c r="AJ455" i="1"/>
  <c r="P62" i="6" s="1"/>
  <c r="AJ520" i="1"/>
  <c r="AJ452" i="1"/>
  <c r="P72" i="6"/>
  <c r="P73" i="6" s="1"/>
  <c r="AJ471" i="1"/>
  <c r="AI455" i="1"/>
  <c r="O62" i="6" s="1"/>
  <c r="AI452" i="1"/>
  <c r="AG9" i="7"/>
  <c r="AI471" i="1"/>
  <c r="AI520" i="1"/>
  <c r="AI456" i="1"/>
  <c r="O63" i="6" s="1"/>
  <c r="O72" i="6"/>
  <c r="O73" i="6" s="1"/>
  <c r="E18" i="19" l="1"/>
  <c r="E21" i="19" s="1"/>
  <c r="E41" i="19"/>
  <c r="E40" i="19"/>
  <c r="E37" i="19"/>
  <c r="E39" i="19"/>
  <c r="E38" i="19"/>
  <c r="AF35" i="7"/>
  <c r="AF22" i="7"/>
  <c r="AF28" i="7" s="1"/>
  <c r="AG35" i="7"/>
  <c r="AG22" i="7"/>
  <c r="AG28" i="7" s="1"/>
  <c r="AH35" i="7"/>
  <c r="AH22" i="7"/>
  <c r="AH28" i="7" s="1"/>
  <c r="AE35" i="7"/>
  <c r="AE22" i="7"/>
  <c r="AE28" i="7" s="1"/>
  <c r="AJ35" i="7"/>
  <c r="AI35" i="7"/>
  <c r="AL35" i="7"/>
  <c r="AK35" i="7"/>
  <c r="AJ472" i="1"/>
  <c r="AJ473" i="1"/>
  <c r="AJ479" i="1"/>
  <c r="AG472" i="1"/>
  <c r="AG473" i="1"/>
  <c r="AG479" i="1"/>
  <c r="AO472" i="1"/>
  <c r="AO473" i="1"/>
  <c r="AO479" i="1"/>
  <c r="AM472" i="1"/>
  <c r="AM479" i="1"/>
  <c r="AM473" i="1"/>
  <c r="AI472" i="1"/>
  <c r="AI479" i="1"/>
  <c r="AI473" i="1"/>
  <c r="AL472" i="1"/>
  <c r="AL473" i="1"/>
  <c r="AL479" i="1"/>
  <c r="AN472" i="1"/>
  <c r="AN473" i="1"/>
  <c r="AN479" i="1"/>
  <c r="AH472" i="1"/>
  <c r="AH479" i="1"/>
  <c r="AH473" i="1"/>
  <c r="AL482" i="1" l="1"/>
  <c r="AL484" i="1"/>
  <c r="AL486" i="1" s="1"/>
  <c r="AO482" i="1"/>
  <c r="AO484" i="1"/>
  <c r="AO486" i="1" s="1"/>
  <c r="AJ482" i="1"/>
  <c r="AJ484" i="1"/>
  <c r="AJ486" i="1" s="1"/>
  <c r="AM484" i="1"/>
  <c r="AM486" i="1" s="1"/>
  <c r="AM482" i="1"/>
  <c r="AI482" i="1"/>
  <c r="AI484" i="1"/>
  <c r="AI486" i="1" s="1"/>
  <c r="AG484" i="1"/>
  <c r="AG486" i="1" s="1"/>
  <c r="AG482" i="1"/>
  <c r="AH484" i="1"/>
  <c r="AH486" i="1" s="1"/>
  <c r="AH482" i="1"/>
  <c r="AN482" i="1"/>
  <c r="AN484" i="1"/>
  <c r="AN486" i="1" s="1"/>
  <c r="AN498" i="1" l="1"/>
  <c r="AK10" i="7"/>
  <c r="AK36" i="7" s="1"/>
  <c r="AJ498" i="1"/>
  <c r="AH10" i="7"/>
  <c r="AH36" i="7" s="1"/>
  <c r="AG498" i="1"/>
  <c r="AE10" i="7"/>
  <c r="AE36" i="7" s="1"/>
  <c r="AL10" i="7"/>
  <c r="AL36" i="7" s="1"/>
  <c r="AO498" i="1"/>
  <c r="AM498" i="1"/>
  <c r="AJ10" i="7"/>
  <c r="AJ36" i="7" s="1"/>
  <c r="AG10" i="7"/>
  <c r="AG36" i="7" s="1"/>
  <c r="AI498" i="1"/>
  <c r="AI10" i="7"/>
  <c r="AI36" i="7" s="1"/>
  <c r="AL498" i="1"/>
  <c r="AF10" i="7"/>
  <c r="AF36" i="7" s="1"/>
  <c r="AH498" i="1"/>
  <c r="AG502" i="1" l="1"/>
  <c r="AG500" i="1"/>
  <c r="AI500" i="1"/>
  <c r="AI502" i="1"/>
  <c r="AJ500" i="1"/>
  <c r="AJ502" i="1"/>
  <c r="AO502" i="1"/>
  <c r="AO500" i="1"/>
  <c r="AT500" i="1"/>
  <c r="AM500" i="1"/>
  <c r="AR500" i="1"/>
  <c r="AM502" i="1"/>
  <c r="AS500" i="1"/>
  <c r="AN502" i="1"/>
  <c r="AN500" i="1"/>
  <c r="AH502" i="1"/>
  <c r="AH500" i="1"/>
  <c r="AL502" i="1"/>
  <c r="AL500" i="1"/>
  <c r="AQ500" i="1"/>
  <c r="BT69" i="1" l="1"/>
  <c r="Z55" i="3" l="1"/>
  <c r="Z241" i="3" s="1"/>
  <c r="P321" i="2"/>
  <c r="BY69" i="1"/>
  <c r="Q321" i="2" l="1"/>
  <c r="AA55" i="3"/>
  <c r="AA241" i="3" s="1"/>
  <c r="P318" i="2"/>
  <c r="P322" i="2"/>
  <c r="Q318" i="2" l="1"/>
  <c r="Q322" i="2"/>
  <c r="CD136" i="1" l="1"/>
  <c r="CD137" i="1" s="1"/>
  <c r="CT46" i="7"/>
  <c r="CD211" i="1"/>
  <c r="AB51" i="3"/>
  <c r="AB242" i="3" s="1"/>
  <c r="CI135" i="1"/>
  <c r="R315" i="2"/>
  <c r="R324" i="2" s="1"/>
  <c r="CT51" i="7" l="1"/>
  <c r="CH212" i="1"/>
  <c r="CT48" i="7"/>
  <c r="CT47" i="7"/>
  <c r="CD125" i="1"/>
  <c r="CD178" i="1"/>
  <c r="CD224" i="1"/>
  <c r="CD120" i="1"/>
  <c r="CT59" i="7" l="1"/>
  <c r="CD186" i="1"/>
  <c r="CD220" i="1"/>
  <c r="CT44" i="7"/>
  <c r="CD532" i="1" l="1"/>
  <c r="CT32" i="7"/>
  <c r="CT31" i="7"/>
  <c r="CD533" i="1"/>
  <c r="CD177" i="1"/>
  <c r="CD221" i="1"/>
  <c r="CT54" i="7"/>
  <c r="CT57" i="7" l="1"/>
  <c r="CD185" i="1"/>
  <c r="CD126" i="1"/>
  <c r="CD127" i="1" s="1"/>
  <c r="CD180" i="1"/>
  <c r="AB250" i="3"/>
  <c r="CT40" i="7"/>
  <c r="CD230" i="1"/>
  <c r="CT33" i="7"/>
  <c r="CT53" i="7" s="1"/>
  <c r="CT58" i="7" l="1"/>
  <c r="R294" i="2" l="1"/>
  <c r="AB75" i="3" s="1"/>
  <c r="R173" i="2"/>
  <c r="I3" i="5"/>
  <c r="CD393" i="1"/>
  <c r="CT7" i="7"/>
  <c r="R192" i="2"/>
  <c r="CD515" i="1"/>
  <c r="CD542" i="1"/>
  <c r="CD31" i="1"/>
  <c r="R92" i="2" l="1"/>
  <c r="R94" i="2" s="1"/>
  <c r="R99" i="2"/>
  <c r="CD32" i="1"/>
  <c r="CD34" i="1"/>
  <c r="CD366" i="1"/>
  <c r="CD368" i="1" s="1"/>
  <c r="CD30" i="1"/>
  <c r="CD358" i="1" s="1"/>
  <c r="CD516" i="1"/>
  <c r="R22" i="2"/>
  <c r="R27" i="2" s="1"/>
  <c r="R5" i="2"/>
  <c r="R6" i="2"/>
  <c r="R75" i="2"/>
  <c r="R100" i="2"/>
  <c r="R4" i="2"/>
  <c r="R9" i="2" l="1"/>
  <c r="R134" i="2"/>
  <c r="CD341" i="1"/>
  <c r="CD354" i="1"/>
  <c r="CD330" i="1"/>
  <c r="CD337" i="1"/>
  <c r="CD350" i="1"/>
  <c r="CD346" i="1"/>
  <c r="CD333" i="1"/>
  <c r="R169" i="2"/>
  <c r="R12" i="2"/>
  <c r="AB33" i="3"/>
  <c r="S91" i="2"/>
  <c r="R96" i="2"/>
  <c r="R340" i="2"/>
  <c r="R279" i="2"/>
  <c r="R76" i="2"/>
  <c r="AB18" i="3"/>
  <c r="AB245" i="3" s="1"/>
  <c r="CD370" i="1"/>
  <c r="CD372" i="1" s="1"/>
  <c r="R10" i="2" l="1"/>
  <c r="J14" i="4"/>
  <c r="R58" i="2"/>
  <c r="R292" i="2" s="1"/>
  <c r="AB73" i="3" s="1"/>
  <c r="R136" i="2"/>
  <c r="R179" i="2"/>
  <c r="R258" i="2"/>
  <c r="AB130" i="3"/>
  <c r="R342" i="2"/>
  <c r="R343" i="2"/>
  <c r="R341" i="2"/>
  <c r="R16" i="2" l="1"/>
  <c r="R18" i="2" s="1"/>
  <c r="R20" i="2" s="1"/>
  <c r="CD52" i="1"/>
  <c r="CT12" i="7" s="1"/>
  <c r="CD49" i="1"/>
  <c r="J13" i="4"/>
  <c r="AB22" i="3"/>
  <c r="AB282" i="3" s="1"/>
  <c r="R84" i="2" l="1"/>
  <c r="R50" i="2"/>
  <c r="AB283" i="3"/>
  <c r="CT11" i="7"/>
  <c r="CD50" i="1"/>
  <c r="I8" i="5"/>
  <c r="CD51" i="1"/>
  <c r="CT9" i="7"/>
  <c r="R265" i="2"/>
  <c r="R275" i="2" s="1"/>
  <c r="CD511" i="1"/>
  <c r="S28" i="19" s="1"/>
  <c r="S29" i="19" s="1"/>
  <c r="J11" i="4"/>
  <c r="I4" i="5"/>
  <c r="R252" i="2"/>
  <c r="R55" i="2" s="1"/>
  <c r="R332" i="2"/>
  <c r="R291" i="2" s="1"/>
  <c r="CD455" i="1"/>
  <c r="CD512" i="1" l="1"/>
  <c r="CI512" i="1"/>
  <c r="AB72" i="3"/>
  <c r="AB288" i="3"/>
  <c r="R52" i="2"/>
  <c r="S47" i="19" s="1"/>
  <c r="R334" i="2"/>
  <c r="R336" i="2"/>
  <c r="R337" i="2" s="1"/>
  <c r="R338" i="2" s="1"/>
  <c r="CD37" i="1"/>
  <c r="AB19" i="3" s="1"/>
  <c r="CD38" i="1"/>
  <c r="CD42" i="1" s="1"/>
  <c r="CD44" i="1" l="1"/>
  <c r="CD45" i="1"/>
  <c r="CD40" i="1"/>
  <c r="CD39" i="1"/>
  <c r="J5" i="4"/>
  <c r="J7" i="4" s="1"/>
  <c r="J12" i="4" s="1"/>
  <c r="CD472" i="1"/>
  <c r="I5" i="5"/>
  <c r="AB246" i="3"/>
  <c r="AB276" i="3"/>
  <c r="AB23" i="3"/>
  <c r="J15" i="4" l="1"/>
  <c r="J20" i="4" s="1"/>
  <c r="AB24" i="3"/>
  <c r="AB248" i="3" s="1"/>
  <c r="AB247" i="3"/>
  <c r="AB127" i="3"/>
  <c r="J16" i="4" l="1"/>
  <c r="AB13" i="3"/>
  <c r="R306" i="2"/>
  <c r="R309" i="2" l="1"/>
  <c r="R311" i="2" s="1"/>
  <c r="AB86" i="3"/>
  <c r="R223" i="2"/>
  <c r="R36" i="2" l="1"/>
  <c r="R37" i="2" s="1"/>
  <c r="AB27" i="3" s="1"/>
  <c r="AB134" i="3"/>
  <c r="AC11" i="3" l="1"/>
  <c r="U123" i="2" l="1"/>
  <c r="V123" i="2" s="1"/>
  <c r="W123" i="2" s="1"/>
  <c r="X123" i="2" s="1"/>
  <c r="Y123" i="2" s="1"/>
  <c r="Z123" i="2" s="1"/>
  <c r="AA123" i="2" s="1"/>
  <c r="R29" i="2"/>
  <c r="R30" i="2" s="1"/>
  <c r="U30" i="2" s="1"/>
  <c r="V30" i="2" s="1"/>
  <c r="W30" i="2" s="1"/>
  <c r="X30" i="2" s="1"/>
  <c r="Y30" i="2" s="1"/>
  <c r="Z30" i="2" s="1"/>
  <c r="AA30" i="2" s="1"/>
  <c r="R43" i="2" l="1"/>
  <c r="R32" i="2"/>
  <c r="R39" i="2" s="1"/>
  <c r="R40" i="2" l="1"/>
  <c r="R41" i="2" s="1"/>
  <c r="S115" i="2"/>
  <c r="S126" i="2"/>
  <c r="I14" i="5"/>
  <c r="R44" i="2"/>
  <c r="S113" i="2" l="1"/>
  <c r="T116" i="2"/>
  <c r="S56" i="2"/>
  <c r="S299" i="2" s="1"/>
  <c r="AC80" i="3" s="1"/>
  <c r="S116" i="2"/>
  <c r="AC28" i="3"/>
  <c r="AC128" i="3" s="1"/>
  <c r="S253" i="2"/>
  <c r="BZ361" i="1"/>
  <c r="CA361" i="1"/>
  <c r="CB361" i="1"/>
  <c r="CC361" i="1"/>
  <c r="BZ375" i="1"/>
  <c r="CA375" i="1"/>
  <c r="CB375" i="1"/>
  <c r="CC375" i="1"/>
  <c r="BZ448" i="1"/>
  <c r="CA448" i="1"/>
  <c r="CB448" i="1"/>
  <c r="CC448" i="1"/>
  <c r="BZ518" i="1"/>
  <c r="CA518" i="1"/>
  <c r="CB518" i="1"/>
  <c r="CC518" i="1"/>
  <c r="Q43" i="18" l="1"/>
  <c r="Q44" i="18" s="1"/>
  <c r="Q38" i="16"/>
  <c r="Q39" i="16" s="1"/>
  <c r="CF363" i="1"/>
  <c r="P38" i="16"/>
  <c r="P39" i="16" s="1"/>
  <c r="P43" i="18"/>
  <c r="P44" i="18" s="1"/>
  <c r="R38" i="16"/>
  <c r="R39" i="16" s="1"/>
  <c r="R43" i="18"/>
  <c r="R44" i="18" s="1"/>
  <c r="CE363" i="1"/>
  <c r="O43" i="18"/>
  <c r="O44" i="18" s="1"/>
  <c r="O38" i="16"/>
  <c r="O39" i="16" s="1"/>
  <c r="CC362" i="1"/>
  <c r="CH363" i="1"/>
  <c r="CB362" i="1"/>
  <c r="CG363" i="1"/>
  <c r="CB363" i="1"/>
  <c r="CC363" i="1"/>
  <c r="CD361" i="1"/>
  <c r="AR43" i="18" s="1"/>
  <c r="BZ363" i="1"/>
  <c r="BZ362" i="1"/>
  <c r="CA363" i="1"/>
  <c r="CA362" i="1"/>
  <c r="R41" i="16" l="1"/>
  <c r="R40" i="16"/>
  <c r="V40" i="16"/>
  <c r="R45" i="18"/>
  <c r="R46" i="18"/>
  <c r="V45" i="18"/>
  <c r="O41" i="16"/>
  <c r="O40" i="16"/>
  <c r="S40" i="16"/>
  <c r="Q41" i="16"/>
  <c r="Q40" i="16"/>
  <c r="U40" i="16"/>
  <c r="O46" i="18"/>
  <c r="O45" i="18"/>
  <c r="S45" i="18"/>
  <c r="P46" i="18"/>
  <c r="P45" i="18"/>
  <c r="T45" i="18"/>
  <c r="P41" i="16"/>
  <c r="P40" i="16"/>
  <c r="T40" i="16"/>
  <c r="Q45" i="18"/>
  <c r="Q46" i="18"/>
  <c r="U45" i="18"/>
  <c r="CD362" i="1"/>
  <c r="CI363" i="1"/>
  <c r="CD363" i="1"/>
  <c r="CD518" i="1"/>
  <c r="CD521" i="1" s="1"/>
  <c r="CD448" i="1"/>
  <c r="CD375" i="1"/>
  <c r="AC260" i="3" l="1"/>
  <c r="CU80" i="7"/>
  <c r="J16" i="19" l="1"/>
  <c r="J36" i="19" s="1"/>
  <c r="J9" i="19"/>
  <c r="J42" i="19"/>
  <c r="AD260" i="3"/>
  <c r="CV80" i="7"/>
  <c r="CQ264" i="1"/>
  <c r="J18" i="19" l="1"/>
  <c r="J21" i="19" s="1"/>
  <c r="J40" i="19"/>
  <c r="J41" i="19"/>
  <c r="J38" i="19"/>
  <c r="J39" i="19"/>
  <c r="J37" i="19"/>
  <c r="AZ17" i="19"/>
  <c r="AC261" i="3"/>
  <c r="CU73" i="7"/>
  <c r="AE260" i="3"/>
  <c r="CW80" i="7"/>
  <c r="CR264" i="1"/>
  <c r="CQ266" i="1"/>
  <c r="CQ273" i="1"/>
  <c r="BA17" i="19" l="1"/>
  <c r="BA20" i="19" s="1"/>
  <c r="BA22" i="19" s="1"/>
  <c r="AZ20" i="19"/>
  <c r="AZ22" i="19" s="1"/>
  <c r="CQ276" i="1"/>
  <c r="CQ277" i="1" s="1"/>
  <c r="CQ274" i="1"/>
  <c r="AF260" i="3"/>
  <c r="CX80" i="7"/>
  <c r="CS264" i="1"/>
  <c r="CR266" i="1"/>
  <c r="CR273" i="1"/>
  <c r="CQ278" i="1" l="1"/>
  <c r="CR274" i="1"/>
  <c r="AE261" i="3"/>
  <c r="CQ412" i="1"/>
  <c r="CR276" i="1"/>
  <c r="AG260" i="3"/>
  <c r="CY80" i="7"/>
  <c r="CT264" i="1"/>
  <c r="CS266" i="1"/>
  <c r="CS273" i="1"/>
  <c r="AD261" i="3"/>
  <c r="CQ420" i="1" l="1"/>
  <c r="CS276" i="1"/>
  <c r="CS277" i="1" s="1"/>
  <c r="CW73" i="7"/>
  <c r="AH260" i="3"/>
  <c r="CT273" i="1"/>
  <c r="CU264" i="1"/>
  <c r="CT266" i="1"/>
  <c r="CV73" i="7"/>
  <c r="CS274" i="1"/>
  <c r="CR277" i="1"/>
  <c r="CR278" i="1" s="1"/>
  <c r="CT276" i="1" l="1"/>
  <c r="CT277" i="1" s="1"/>
  <c r="CT278" i="1" s="1"/>
  <c r="CS278" i="1"/>
  <c r="AF261" i="3"/>
  <c r="CR412" i="1"/>
  <c r="AI260" i="3"/>
  <c r="CV264" i="1"/>
  <c r="CU266" i="1"/>
  <c r="CU273" i="1"/>
  <c r="AG261" i="3"/>
  <c r="CS412" i="1"/>
  <c r="CT274" i="1"/>
  <c r="CR420" i="1" l="1"/>
  <c r="CS420" i="1"/>
  <c r="CU274" i="1"/>
  <c r="AJ260" i="3"/>
  <c r="CW264" i="1"/>
  <c r="CV266" i="1"/>
  <c r="CV273" i="1"/>
  <c r="AH261" i="3"/>
  <c r="CT412" i="1"/>
  <c r="CU276" i="1"/>
  <c r="CU277" i="1" s="1"/>
  <c r="CU278" i="1" s="1"/>
  <c r="CX73" i="7"/>
  <c r="CY73" i="7"/>
  <c r="CT420" i="1" l="1"/>
  <c r="AK260" i="3"/>
  <c r="CW266" i="1"/>
  <c r="CW273" i="1"/>
  <c r="AI261" i="3"/>
  <c r="CU412" i="1"/>
  <c r="CV274" i="1"/>
  <c r="CV276" i="1"/>
  <c r="CU420" i="1" l="1"/>
  <c r="CW274" i="1"/>
  <c r="CW276" i="1"/>
  <c r="CW277" i="1" s="1"/>
  <c r="CV277" i="1"/>
  <c r="CV278" i="1" s="1"/>
  <c r="CW278" i="1" l="1"/>
  <c r="AK261" i="3"/>
  <c r="CW412" i="1"/>
  <c r="AJ261" i="3"/>
  <c r="CV412" i="1"/>
  <c r="CV420" i="1" l="1"/>
  <c r="CW420" i="1"/>
  <c r="AB20" i="3" l="1"/>
  <c r="AB277" i="3" s="1"/>
  <c r="AB278" i="3" s="1"/>
  <c r="R97" i="2"/>
  <c r="AB279" i="3" l="1"/>
  <c r="AB280" i="3" s="1"/>
  <c r="AB285" i="3" l="1"/>
  <c r="AB290" i="3"/>
  <c r="S277" i="2" l="1"/>
  <c r="S266" i="2"/>
  <c r="S14" i="2" l="1"/>
  <c r="CD74" i="1" l="1"/>
  <c r="CD75" i="1"/>
  <c r="CD73" i="1"/>
  <c r="CD82" i="1" l="1"/>
  <c r="CD89" i="1" s="1"/>
  <c r="CD83" i="1"/>
  <c r="CD90" i="1" s="1"/>
  <c r="R317" i="2" s="1"/>
  <c r="AU73" i="1" l="1"/>
  <c r="BY73" i="1"/>
  <c r="BT75" i="1"/>
  <c r="BT74" i="1"/>
  <c r="BT73" i="1"/>
  <c r="BO75" i="1"/>
  <c r="BO74" i="1"/>
  <c r="BO73" i="1"/>
  <c r="BJ73" i="1"/>
  <c r="BJ74" i="1"/>
  <c r="BE75" i="1"/>
  <c r="BE73" i="1"/>
  <c r="BE74" i="1"/>
  <c r="AZ75" i="1"/>
  <c r="AZ74" i="1"/>
  <c r="AZ73" i="1"/>
  <c r="AU77" i="1"/>
  <c r="AU74" i="1"/>
  <c r="BJ75" i="1"/>
  <c r="BJ82" i="1" l="1"/>
  <c r="BJ89" i="1" s="1"/>
  <c r="BJ81" i="1"/>
  <c r="BJ88" i="1" s="1"/>
  <c r="BO81" i="1"/>
  <c r="BO88" i="1" s="1"/>
  <c r="BO82" i="1"/>
  <c r="BO89" i="1" s="1"/>
  <c r="BT81" i="1"/>
  <c r="BT88" i="1" s="1"/>
  <c r="AU62" i="1"/>
  <c r="AU81" i="1"/>
  <c r="AU88" i="1" s="1"/>
  <c r="AZ81" i="1"/>
  <c r="AZ88" i="1" s="1"/>
  <c r="BO83" i="1"/>
  <c r="BO90" i="1" s="1"/>
  <c r="O317" i="2" s="1"/>
  <c r="BT82" i="1"/>
  <c r="BT89" i="1" s="1"/>
  <c r="BY82" i="1"/>
  <c r="BY89" i="1" s="1"/>
  <c r="BY81" i="1"/>
  <c r="BY88" i="1" s="1"/>
  <c r="CD81" i="1"/>
  <c r="CD88" i="1" s="1"/>
  <c r="BJ83" i="1"/>
  <c r="BJ90" i="1" s="1"/>
  <c r="N317" i="2" s="1"/>
  <c r="AU63" i="1"/>
  <c r="AU82" i="1"/>
  <c r="AU89" i="1" s="1"/>
  <c r="AZ82" i="1"/>
  <c r="AZ89" i="1" s="1"/>
  <c r="BE82" i="1"/>
  <c r="BE89" i="1" s="1"/>
  <c r="BY83" i="1"/>
  <c r="BY90" i="1" s="1"/>
  <c r="Q317" i="2" s="1"/>
  <c r="BT83" i="1"/>
  <c r="BT90" i="1" s="1"/>
  <c r="P317" i="2" s="1"/>
  <c r="AU85" i="1"/>
  <c r="AU92" i="1" s="1"/>
  <c r="AU78" i="1"/>
  <c r="AU64" i="1"/>
  <c r="K316" i="2" s="1"/>
  <c r="AU76" i="1"/>
  <c r="AZ83" i="1"/>
  <c r="AZ90" i="1" s="1"/>
  <c r="L317" i="2" s="1"/>
  <c r="BE81" i="1"/>
  <c r="BE88" i="1" s="1"/>
  <c r="BE83" i="1"/>
  <c r="BE90" i="1" s="1"/>
  <c r="M317" i="2" s="1"/>
  <c r="AZ77" i="1"/>
  <c r="AZ63" i="1" l="1"/>
  <c r="AZ78" i="1"/>
  <c r="AZ76" i="1"/>
  <c r="AZ85" i="1"/>
  <c r="AZ92" i="1" s="1"/>
  <c r="AZ64" i="1"/>
  <c r="L316" i="2" s="1"/>
  <c r="AZ62" i="1"/>
  <c r="AU65" i="1"/>
  <c r="AU66" i="1" s="1"/>
  <c r="AU84" i="1"/>
  <c r="AU91" i="1" s="1"/>
  <c r="AZ84" i="1" l="1"/>
  <c r="AZ91" i="1" s="1"/>
  <c r="AZ65" i="1"/>
  <c r="AZ66" i="1" s="1"/>
  <c r="BJ77" i="1" l="1"/>
  <c r="BJ76" i="1" l="1"/>
  <c r="BJ63" i="1"/>
  <c r="BJ62" i="1"/>
  <c r="BJ64" i="1"/>
  <c r="N316" i="2" s="1"/>
  <c r="BE77" i="1"/>
  <c r="BJ85" i="1" s="1"/>
  <c r="BJ92" i="1" s="1"/>
  <c r="BJ66" i="1" l="1"/>
  <c r="BJ78" i="1"/>
  <c r="BE76" i="1"/>
  <c r="BJ84" i="1" s="1"/>
  <c r="BJ91" i="1" s="1"/>
  <c r="BE85" i="1"/>
  <c r="BE92" i="1" s="1"/>
  <c r="BE78" i="1"/>
  <c r="BE64" i="1"/>
  <c r="M316" i="2" s="1"/>
  <c r="BE63" i="1"/>
  <c r="BE62" i="1"/>
  <c r="BE65" i="1" l="1"/>
  <c r="BE66" i="1" s="1"/>
  <c r="BE84" i="1"/>
  <c r="BE91" i="1" s="1"/>
  <c r="BO77" i="1" l="1"/>
  <c r="BO76" i="1" l="1"/>
  <c r="BO84" i="1" s="1"/>
  <c r="BO91" i="1" s="1"/>
  <c r="BO78" i="1"/>
  <c r="BO85" i="1"/>
  <c r="BO92" i="1" s="1"/>
  <c r="BO62" i="1"/>
  <c r="BO63" i="1"/>
  <c r="BO64" i="1"/>
  <c r="O316" i="2" s="1"/>
  <c r="BO66" i="1" l="1"/>
  <c r="BT77" i="1" l="1"/>
  <c r="BT85" i="1" l="1"/>
  <c r="BT92" i="1" s="1"/>
  <c r="BT76" i="1"/>
  <c r="BT84" i="1" s="1"/>
  <c r="BT91" i="1" s="1"/>
  <c r="BT78" i="1"/>
  <c r="BT62" i="1"/>
  <c r="BT63" i="1"/>
  <c r="BT64" i="1"/>
  <c r="P316" i="2" s="1"/>
  <c r="BT66" i="1" l="1"/>
  <c r="BT71" i="1"/>
  <c r="BY77" i="1" l="1"/>
  <c r="BY76" i="1" l="1"/>
  <c r="BY84" i="1" s="1"/>
  <c r="BY91" i="1" s="1"/>
  <c r="BY63" i="1"/>
  <c r="BY64" i="1"/>
  <c r="Q316" i="2" s="1"/>
  <c r="BY78" i="1"/>
  <c r="BY85" i="1"/>
  <c r="BY92" i="1" s="1"/>
  <c r="BY62" i="1"/>
  <c r="BY71" i="1"/>
  <c r="BY66" i="1" l="1"/>
  <c r="CD71" i="1"/>
  <c r="CD77" i="1" l="1"/>
  <c r="CD78" i="1" l="1"/>
  <c r="CD85" i="1"/>
  <c r="CD92" i="1" s="1"/>
  <c r="CD76" i="1"/>
  <c r="CD84" i="1" s="1"/>
  <c r="CD91" i="1" s="1"/>
  <c r="CD62" i="1"/>
  <c r="CD63" i="1"/>
  <c r="CD64" i="1"/>
  <c r="R316" i="2" s="1"/>
  <c r="CD66" i="1" l="1"/>
  <c r="CD69" i="1" l="1"/>
  <c r="AB55" i="3" l="1"/>
  <c r="AB241" i="3" s="1"/>
  <c r="R321" i="2"/>
  <c r="R318" i="2" l="1"/>
  <c r="R322" i="2"/>
  <c r="S315" i="2"/>
  <c r="T324" i="2" s="1"/>
  <c r="T337" i="2" s="1"/>
  <c r="AC51" i="3"/>
  <c r="AC242" i="3" s="1"/>
  <c r="CI211" i="1"/>
  <c r="CU46" i="7"/>
  <c r="CI136" i="1"/>
  <c r="CI137" i="1" s="1"/>
  <c r="CI289" i="1" s="1"/>
  <c r="CN290" i="1" l="1"/>
  <c r="CU51" i="7"/>
  <c r="CM212" i="1"/>
  <c r="CI178" i="1"/>
  <c r="CN186" i="1" s="1"/>
  <c r="CI125" i="1"/>
  <c r="CI224" i="1"/>
  <c r="CU47" i="7"/>
  <c r="CU48" i="7"/>
  <c r="S324" i="2"/>
  <c r="CI220" i="1" l="1"/>
  <c r="CN221" i="1" s="1"/>
  <c r="CU44" i="7"/>
  <c r="CU59" i="7"/>
  <c r="CI186" i="1"/>
  <c r="CI221" i="1" l="1"/>
  <c r="CI177" i="1"/>
  <c r="CN185" i="1" s="1"/>
  <c r="CU54" i="7"/>
  <c r="CI185" i="1" l="1"/>
  <c r="CU57" i="7"/>
  <c r="AC250" i="3" l="1"/>
  <c r="CU40" i="7"/>
  <c r="CI126" i="1"/>
  <c r="CI180" i="1"/>
  <c r="CI230" i="1"/>
  <c r="CI127" i="1" l="1"/>
  <c r="CN127" i="1"/>
  <c r="CU33" i="7"/>
  <c r="CU53" i="7" s="1"/>
  <c r="CU58" i="7"/>
  <c r="CI8" i="1" l="1"/>
  <c r="CI533" i="1"/>
  <c r="CU31" i="7"/>
  <c r="CI7" i="1"/>
  <c r="CN23" i="1" s="1"/>
  <c r="CI532" i="1"/>
  <c r="CU32" i="7"/>
  <c r="CI24" i="1" l="1"/>
  <c r="CN24" i="1"/>
  <c r="CI23" i="1"/>
  <c r="CI384" i="1" l="1"/>
  <c r="CN385" i="1" s="1"/>
  <c r="CI473" i="1" l="1"/>
  <c r="Q306" i="2"/>
  <c r="Q309" i="2" l="1"/>
  <c r="Q311" i="2" s="1"/>
  <c r="AA86" i="3"/>
  <c r="CI393" i="1"/>
  <c r="CI31" i="1"/>
  <c r="CN32" i="1" s="1"/>
  <c r="J3" i="5"/>
  <c r="S294" i="2"/>
  <c r="AC75" i="3" s="1"/>
  <c r="CU7" i="7"/>
  <c r="S192" i="2"/>
  <c r="CI542" i="1"/>
  <c r="CI515" i="1"/>
  <c r="CN516" i="1" s="1"/>
  <c r="S173" i="2"/>
  <c r="Q223" i="2"/>
  <c r="S6" i="2" l="1"/>
  <c r="S26" i="2"/>
  <c r="S22" i="2"/>
  <c r="CI34" i="1"/>
  <c r="CI32" i="1"/>
  <c r="AA134" i="3"/>
  <c r="S24" i="2"/>
  <c r="CI30" i="1"/>
  <c r="CI516" i="1"/>
  <c r="S75" i="2"/>
  <c r="S100" i="2"/>
  <c r="S92" i="2"/>
  <c r="S94" i="2" s="1"/>
  <c r="S4" i="2"/>
  <c r="S5" i="2"/>
  <c r="S9" i="2" l="1"/>
  <c r="V9" i="2" s="1"/>
  <c r="W9" i="2" s="1"/>
  <c r="X9" i="2" s="1"/>
  <c r="Y9" i="2" s="1"/>
  <c r="Z9" i="2" s="1"/>
  <c r="AA9" i="2" s="1"/>
  <c r="S134" i="2"/>
  <c r="S136" i="2" s="1"/>
  <c r="CI341" i="1"/>
  <c r="CR341" i="1" s="1"/>
  <c r="CS341" i="1" s="1"/>
  <c r="CT341" i="1" s="1"/>
  <c r="CU341" i="1" s="1"/>
  <c r="CV341" i="1" s="1"/>
  <c r="CW341" i="1" s="1"/>
  <c r="CI350" i="1"/>
  <c r="CR350" i="1" s="1"/>
  <c r="CS350" i="1" s="1"/>
  <c r="CT350" i="1" s="1"/>
  <c r="CU350" i="1" s="1"/>
  <c r="CV350" i="1" s="1"/>
  <c r="CW350" i="1" s="1"/>
  <c r="CI354" i="1"/>
  <c r="CQ354" i="1" s="1"/>
  <c r="CR354" i="1" s="1"/>
  <c r="CS354" i="1" s="1"/>
  <c r="CT354" i="1" s="1"/>
  <c r="CU354" i="1" s="1"/>
  <c r="CV354" i="1" s="1"/>
  <c r="CW354" i="1" s="1"/>
  <c r="CI346" i="1"/>
  <c r="CQ346" i="1" s="1"/>
  <c r="CR346" i="1" s="1"/>
  <c r="CS346" i="1" s="1"/>
  <c r="CT346" i="1" s="1"/>
  <c r="CU346" i="1" s="1"/>
  <c r="CV346" i="1" s="1"/>
  <c r="CW346" i="1" s="1"/>
  <c r="CI358" i="1"/>
  <c r="CR358" i="1" s="1"/>
  <c r="CS358" i="1" s="1"/>
  <c r="CT358" i="1" s="1"/>
  <c r="CU358" i="1" s="1"/>
  <c r="CV358" i="1" s="1"/>
  <c r="CW358" i="1" s="1"/>
  <c r="CI337" i="1"/>
  <c r="CR337" i="1" s="1"/>
  <c r="CS337" i="1" s="1"/>
  <c r="CT337" i="1" s="1"/>
  <c r="CU337" i="1" s="1"/>
  <c r="CV337" i="1" s="1"/>
  <c r="CW337" i="1" s="1"/>
  <c r="CI333" i="1"/>
  <c r="CI330" i="1"/>
  <c r="CI362" i="1"/>
  <c r="CQ362" i="1" s="1"/>
  <c r="CR362" i="1" s="1"/>
  <c r="CS362" i="1" s="1"/>
  <c r="CT362" i="1" s="1"/>
  <c r="CU362" i="1" s="1"/>
  <c r="CV362" i="1" s="1"/>
  <c r="CW362" i="1" s="1"/>
  <c r="S27" i="2"/>
  <c r="AC18" i="3"/>
  <c r="AC245" i="3" s="1"/>
  <c r="CI370" i="1"/>
  <c r="CI366" i="1"/>
  <c r="S12" i="2"/>
  <c r="AC33" i="3"/>
  <c r="S169" i="2"/>
  <c r="S58" i="2" s="1"/>
  <c r="S340" i="2"/>
  <c r="T341" i="2" s="1"/>
  <c r="S76" i="2"/>
  <c r="S279" i="2"/>
  <c r="CI372" i="1" l="1"/>
  <c r="CN372" i="1"/>
  <c r="CI368" i="1"/>
  <c r="CN368" i="1"/>
  <c r="S10" i="2"/>
  <c r="U136" i="2"/>
  <c r="V136" i="2" s="1"/>
  <c r="W136" i="2" s="1"/>
  <c r="X136" i="2" s="1"/>
  <c r="Y136" i="2" s="1"/>
  <c r="Z136" i="2" s="1"/>
  <c r="AA136" i="2" s="1"/>
  <c r="CQ330" i="1"/>
  <c r="CR330" i="1" s="1"/>
  <c r="CS330" i="1" s="1"/>
  <c r="CT330" i="1" s="1"/>
  <c r="CU330" i="1" s="1"/>
  <c r="CV330" i="1" s="1"/>
  <c r="CW330" i="1" s="1"/>
  <c r="S179" i="2"/>
  <c r="S292" i="2"/>
  <c r="AC73" i="3" s="1"/>
  <c r="S258" i="2"/>
  <c r="AC130" i="3"/>
  <c r="K14" i="4"/>
  <c r="S343" i="2"/>
  <c r="S341" i="2"/>
  <c r="S342" i="2"/>
  <c r="S16" i="2" l="1"/>
  <c r="S18" i="2" s="1"/>
  <c r="S20" i="2" s="1"/>
  <c r="O306" i="2"/>
  <c r="CI52" i="1"/>
  <c r="CU12" i="7" s="1"/>
  <c r="CI49" i="1"/>
  <c r="CN50" i="1" s="1"/>
  <c r="K13" i="4"/>
  <c r="AC22" i="3"/>
  <c r="AC282" i="3" s="1"/>
  <c r="P306" i="2"/>
  <c r="U179" i="2" l="1"/>
  <c r="S50" i="2"/>
  <c r="AC288" i="3" s="1"/>
  <c r="S84" i="2"/>
  <c r="O309" i="2"/>
  <c r="O311" i="2" s="1"/>
  <c r="Y86" i="3"/>
  <c r="P309" i="2"/>
  <c r="P311" i="2" s="1"/>
  <c r="Z86" i="3"/>
  <c r="AC283" i="3"/>
  <c r="Z134" i="3"/>
  <c r="P223" i="2"/>
  <c r="O223" i="2"/>
  <c r="CI51" i="1"/>
  <c r="J8" i="5"/>
  <c r="CU11" i="7"/>
  <c r="CI50" i="1"/>
  <c r="U16" i="2" l="1"/>
  <c r="V179" i="2"/>
  <c r="O64" i="2"/>
  <c r="O255" i="2" s="1"/>
  <c r="O259" i="2" s="1"/>
  <c r="Y134" i="3"/>
  <c r="V16" i="2" l="1"/>
  <c r="W179" i="2"/>
  <c r="O65" i="2"/>
  <c r="W16" i="2" l="1"/>
  <c r="X179" i="2"/>
  <c r="CI448" i="1"/>
  <c r="X16" i="2" l="1"/>
  <c r="Y179" i="2"/>
  <c r="CI375" i="1"/>
  <c r="CI518" i="1"/>
  <c r="CI521" i="1" s="1"/>
  <c r="K9" i="19" l="1"/>
  <c r="K16" i="19"/>
  <c r="K36" i="19" s="1"/>
  <c r="K42" i="19"/>
  <c r="Y16" i="2"/>
  <c r="Z179" i="2"/>
  <c r="S265" i="2"/>
  <c r="S275" i="2" s="1"/>
  <c r="S332" i="2"/>
  <c r="J4" i="5"/>
  <c r="K11" i="4"/>
  <c r="S252" i="2"/>
  <c r="S55" i="2" s="1"/>
  <c r="CU9" i="7"/>
  <c r="S291" i="2" l="1"/>
  <c r="AC72" i="3" s="1"/>
  <c r="T334" i="2"/>
  <c r="K18" i="19"/>
  <c r="K21" i="19" s="1"/>
  <c r="K40" i="19"/>
  <c r="K41" i="19"/>
  <c r="K39" i="19"/>
  <c r="K38" i="19"/>
  <c r="K37" i="19"/>
  <c r="Z16" i="2"/>
  <c r="AA179" i="2"/>
  <c r="AA16" i="2" s="1"/>
  <c r="S334" i="2"/>
  <c r="S336" i="2"/>
  <c r="S337" i="2" s="1"/>
  <c r="CI38" i="1"/>
  <c r="CI37" i="1"/>
  <c r="AC19" i="3" s="1"/>
  <c r="CI42" i="1" l="1"/>
  <c r="CN43" i="1" s="1"/>
  <c r="CN39" i="1"/>
  <c r="S338" i="2"/>
  <c r="T338" i="2"/>
  <c r="CI40" i="1"/>
  <c r="CI39" i="1"/>
  <c r="K5" i="4"/>
  <c r="K7" i="4" s="1"/>
  <c r="K12" i="4" s="1"/>
  <c r="K15" i="4" s="1"/>
  <c r="CI522" i="1"/>
  <c r="S46" i="2"/>
  <c r="S47" i="2" s="1"/>
  <c r="S48" i="2" s="1"/>
  <c r="S52" i="2" s="1"/>
  <c r="T47" i="19" s="1"/>
  <c r="J5" i="5"/>
  <c r="AC246" i="3"/>
  <c r="AC276" i="3"/>
  <c r="AC23" i="3"/>
  <c r="CI45" i="1" l="1"/>
  <c r="CI43" i="1"/>
  <c r="CI44" i="1"/>
  <c r="CI459" i="1"/>
  <c r="AC127" i="3"/>
  <c r="AC247" i="3"/>
  <c r="AC24" i="3"/>
  <c r="AC248" i="3" s="1"/>
  <c r="K20" i="4"/>
  <c r="K16" i="4"/>
  <c r="AC13" i="3" l="1"/>
  <c r="S306" i="2"/>
  <c r="AC86" i="3" l="1"/>
  <c r="S309" i="2"/>
  <c r="S311" i="2" s="1"/>
  <c r="S36" i="2"/>
  <c r="S37" i="2" s="1"/>
  <c r="AC27" i="3" s="1"/>
  <c r="S223" i="2"/>
  <c r="AC134" i="3" l="1"/>
  <c r="S43" i="2" l="1"/>
  <c r="T44" i="2" s="1"/>
  <c r="S32" i="2"/>
  <c r="S39" i="2" s="1"/>
  <c r="S40" i="2" s="1"/>
  <c r="T41" i="2" s="1"/>
  <c r="S3" i="2" l="1"/>
  <c r="S41" i="2"/>
  <c r="AD28" i="3"/>
  <c r="AD128" i="3" s="1"/>
  <c r="J14" i="5"/>
  <c r="S44" i="2"/>
  <c r="AD80" i="3" l="1"/>
  <c r="H6" i="5"/>
  <c r="I6" i="5"/>
  <c r="J6" i="5"/>
  <c r="S105" i="2"/>
  <c r="S109" i="2" s="1"/>
  <c r="S106" i="2" l="1"/>
  <c r="AC21" i="3"/>
  <c r="S110" i="2" l="1"/>
  <c r="AD21" i="3"/>
  <c r="U110" i="2" l="1"/>
  <c r="V110" i="2" l="1"/>
  <c r="U104" i="2" l="1"/>
  <c r="W110" i="2"/>
  <c r="X110" i="2" l="1"/>
  <c r="U105" i="2"/>
  <c r="U106" i="2"/>
  <c r="AE21" i="3" l="1"/>
  <c r="U346" i="2"/>
  <c r="CQ464" i="1"/>
  <c r="U278" i="2" s="1"/>
  <c r="U107" i="2"/>
  <c r="Y110" i="2"/>
  <c r="U14" i="2" l="1"/>
  <c r="V104" i="2"/>
  <c r="Z110" i="2"/>
  <c r="AA110" i="2" l="1"/>
  <c r="V105" i="2"/>
  <c r="V106" i="2"/>
  <c r="V64" i="2" l="1"/>
  <c r="V255" i="2" s="1"/>
  <c r="AF21" i="3"/>
  <c r="V346" i="2"/>
  <c r="CR464" i="1"/>
  <c r="V278" i="2" s="1"/>
  <c r="V107" i="2"/>
  <c r="V14" i="2" l="1"/>
  <c r="W104" i="2"/>
  <c r="W105" i="2" l="1"/>
  <c r="W106" i="2"/>
  <c r="W64" i="2" l="1"/>
  <c r="W255" i="2" s="1"/>
  <c r="AG21" i="3"/>
  <c r="W346" i="2"/>
  <c r="CS464" i="1"/>
  <c r="W278" i="2" s="1"/>
  <c r="W107" i="2"/>
  <c r="W14" i="2" l="1"/>
  <c r="X104" i="2"/>
  <c r="X105" i="2" l="1"/>
  <c r="X106" i="2"/>
  <c r="X64" i="2" l="1"/>
  <c r="X255" i="2" s="1"/>
  <c r="AH21" i="3"/>
  <c r="X346" i="2"/>
  <c r="CT464" i="1"/>
  <c r="X278" i="2" s="1"/>
  <c r="X107" i="2"/>
  <c r="X14" i="2" l="1"/>
  <c r="Y104" i="2"/>
  <c r="Y105" i="2" l="1"/>
  <c r="Y106" i="2"/>
  <c r="Y64" i="2" l="1"/>
  <c r="Y255" i="2" s="1"/>
  <c r="AI21" i="3"/>
  <c r="Y346" i="2"/>
  <c r="CU464" i="1"/>
  <c r="Y278" i="2" s="1"/>
  <c r="Y107" i="2"/>
  <c r="Y14" i="2" l="1"/>
  <c r="Z104" i="2"/>
  <c r="Z105" i="2" l="1"/>
  <c r="Z106" i="2"/>
  <c r="Z64" i="2" s="1"/>
  <c r="Z255" i="2" s="1"/>
  <c r="AJ21" i="3" l="1"/>
  <c r="Z346" i="2"/>
  <c r="CV464" i="1"/>
  <c r="Z278" i="2" s="1"/>
  <c r="Z107" i="2"/>
  <c r="Z14" i="2" l="1"/>
  <c r="AA104" i="2"/>
  <c r="AA105" i="2" l="1"/>
  <c r="AA106" i="2"/>
  <c r="AA64" i="2" s="1"/>
  <c r="AA255" i="2" s="1"/>
  <c r="AK21" i="3" l="1"/>
  <c r="AA346" i="2"/>
  <c r="CW464" i="1"/>
  <c r="AA278" i="2" s="1"/>
  <c r="AA107" i="2"/>
  <c r="AA14" i="2" s="1"/>
  <c r="CI75" i="1" l="1"/>
  <c r="CN83" i="1" s="1"/>
  <c r="CN90" i="1" s="1"/>
  <c r="CI83" i="1" l="1"/>
  <c r="CI90" i="1" s="1"/>
  <c r="S317" i="2" s="1"/>
  <c r="CI74" i="1" l="1"/>
  <c r="CN82" i="1" s="1"/>
  <c r="CN89" i="1" s="1"/>
  <c r="CI73" i="1"/>
  <c r="CN79" i="1" l="1"/>
  <c r="CN81" i="1"/>
  <c r="CN88" i="1" s="1"/>
  <c r="CI82" i="1"/>
  <c r="CI89" i="1" s="1"/>
  <c r="CI81" i="1"/>
  <c r="CI88" i="1" s="1"/>
  <c r="CI79" i="1"/>
  <c r="AD55" i="3" l="1"/>
  <c r="AD241" i="3" s="1"/>
  <c r="CI69" i="1"/>
  <c r="CI71" i="1"/>
  <c r="CQ69" i="1"/>
  <c r="AC55" i="3" l="1"/>
  <c r="AC241" i="3" s="1"/>
  <c r="S321" i="2"/>
  <c r="T322" i="2" s="1"/>
  <c r="AE55" i="3"/>
  <c r="AE241" i="3" s="1"/>
  <c r="U321" i="2"/>
  <c r="CR69" i="1"/>
  <c r="U322" i="2" l="1"/>
  <c r="U318" i="2"/>
  <c r="S322" i="2"/>
  <c r="S318" i="2"/>
  <c r="AF55" i="3"/>
  <c r="AF241" i="3" s="1"/>
  <c r="V321" i="2"/>
  <c r="CS69" i="1"/>
  <c r="V318" i="2" l="1"/>
  <c r="V322" i="2"/>
  <c r="AG55" i="3"/>
  <c r="AG241" i="3" s="1"/>
  <c r="W321" i="2"/>
  <c r="CQ71" i="1"/>
  <c r="CI77" i="1"/>
  <c r="CT69" i="1"/>
  <c r="CN85" i="1" l="1"/>
  <c r="CN92" i="1" s="1"/>
  <c r="CN78" i="1"/>
  <c r="W318" i="2"/>
  <c r="W322" i="2"/>
  <c r="AH55" i="3"/>
  <c r="AH241" i="3" s="1"/>
  <c r="X321" i="2"/>
  <c r="CI78" i="1"/>
  <c r="CI76" i="1"/>
  <c r="CI85" i="1"/>
  <c r="CI92" i="1" s="1"/>
  <c r="CI64" i="1"/>
  <c r="S316" i="2" s="1"/>
  <c r="CI63" i="1"/>
  <c r="CI62" i="1"/>
  <c r="CR71" i="1"/>
  <c r="CU69" i="1"/>
  <c r="CI84" i="1" l="1"/>
  <c r="CI91" i="1" s="1"/>
  <c r="CN84" i="1"/>
  <c r="CN91" i="1" s="1"/>
  <c r="AI55" i="3"/>
  <c r="AI241" i="3" s="1"/>
  <c r="Y321" i="2"/>
  <c r="X322" i="2"/>
  <c r="X318" i="2"/>
  <c r="CI66" i="1"/>
  <c r="CQ74" i="1"/>
  <c r="CQ75" i="1"/>
  <c r="CV69" i="1"/>
  <c r="CS71" i="1"/>
  <c r="CQ77" i="1"/>
  <c r="CQ97" i="1" l="1"/>
  <c r="CQ96" i="1"/>
  <c r="CQ117" i="1"/>
  <c r="CQ118" i="1" s="1"/>
  <c r="CQ62" i="1"/>
  <c r="CQ79" i="1"/>
  <c r="CQ81" i="1"/>
  <c r="CQ88" i="1" s="1"/>
  <c r="CQ82" i="1"/>
  <c r="CQ89" i="1" s="1"/>
  <c r="CQ63" i="1"/>
  <c r="CQ108" i="1"/>
  <c r="CQ102" i="1"/>
  <c r="CQ83" i="1"/>
  <c r="CQ90" i="1" s="1"/>
  <c r="U317" i="2" s="1"/>
  <c r="CQ64" i="1"/>
  <c r="U316" i="2" s="1"/>
  <c r="CQ76" i="1"/>
  <c r="CQ84" i="1" s="1"/>
  <c r="CQ91" i="1" s="1"/>
  <c r="CQ78" i="1"/>
  <c r="CQ85" i="1"/>
  <c r="CQ92" i="1" s="1"/>
  <c r="CQ115" i="1"/>
  <c r="CQ135" i="1" s="1"/>
  <c r="CV51" i="7"/>
  <c r="AD51" i="3"/>
  <c r="AD242" i="3" s="1"/>
  <c r="CV46" i="7"/>
  <c r="AJ55" i="3"/>
  <c r="AJ241" i="3" s="1"/>
  <c r="Z321" i="2"/>
  <c r="Y322" i="2"/>
  <c r="Y318" i="2"/>
  <c r="CR74" i="1"/>
  <c r="CR75" i="1"/>
  <c r="CT71" i="1"/>
  <c r="CR77" i="1"/>
  <c r="CW69" i="1"/>
  <c r="CQ178" i="1" l="1"/>
  <c r="CQ224" i="1"/>
  <c r="CQ120" i="1"/>
  <c r="CQ125" i="1"/>
  <c r="CR78" i="1"/>
  <c r="CR76" i="1"/>
  <c r="CR84" i="1" s="1"/>
  <c r="CR91" i="1" s="1"/>
  <c r="CR85" i="1"/>
  <c r="CR92" i="1" s="1"/>
  <c r="CR64" i="1"/>
  <c r="V316" i="2" s="1"/>
  <c r="CR83" i="1"/>
  <c r="CR90" i="1" s="1"/>
  <c r="V317" i="2" s="1"/>
  <c r="Z318" i="2"/>
  <c r="Z322" i="2"/>
  <c r="CV48" i="7"/>
  <c r="CQ66" i="1"/>
  <c r="CR63" i="1"/>
  <c r="CR82" i="1"/>
  <c r="CR89" i="1" s="1"/>
  <c r="AK55" i="3"/>
  <c r="AK241" i="3" s="1"/>
  <c r="AA321" i="2"/>
  <c r="CR97" i="1"/>
  <c r="CR81" i="1"/>
  <c r="CR88" i="1" s="1"/>
  <c r="CR62" i="1"/>
  <c r="CR117" i="1"/>
  <c r="CR118" i="1" s="1"/>
  <c r="CR96" i="1"/>
  <c r="CR79" i="1"/>
  <c r="AE51" i="3"/>
  <c r="AE242" i="3" s="1"/>
  <c r="CQ211" i="1"/>
  <c r="CW51" i="7" s="1"/>
  <c r="CR115" i="1"/>
  <c r="CR135" i="1" s="1"/>
  <c r="U315" i="2"/>
  <c r="U324" i="2" s="1"/>
  <c r="CQ119" i="1"/>
  <c r="CW46" i="7"/>
  <c r="CQ116" i="1"/>
  <c r="CQ136" i="1" s="1"/>
  <c r="CQ137" i="1" s="1"/>
  <c r="CV47" i="7"/>
  <c r="CQ104" i="1"/>
  <c r="CQ105" i="1" s="1"/>
  <c r="CR102" i="1"/>
  <c r="CQ110" i="1"/>
  <c r="CR108" i="1"/>
  <c r="CS74" i="1"/>
  <c r="CS75" i="1"/>
  <c r="CS77" i="1"/>
  <c r="CU71" i="1"/>
  <c r="CR66" i="1" l="1"/>
  <c r="CS82" i="1"/>
  <c r="CS89" i="1" s="1"/>
  <c r="CS63" i="1"/>
  <c r="CR120" i="1"/>
  <c r="CR125" i="1"/>
  <c r="CR178" i="1"/>
  <c r="CR224" i="1"/>
  <c r="CS117" i="1"/>
  <c r="CS118" i="1" s="1"/>
  <c r="CS97" i="1"/>
  <c r="CS96" i="1"/>
  <c r="CS79" i="1"/>
  <c r="CS81" i="1"/>
  <c r="CS88" i="1" s="1"/>
  <c r="CS62" i="1"/>
  <c r="CS85" i="1"/>
  <c r="CS92" i="1" s="1"/>
  <c r="CS76" i="1"/>
  <c r="CS84" i="1" s="1"/>
  <c r="CS91" i="1" s="1"/>
  <c r="CS78" i="1"/>
  <c r="CR110" i="1"/>
  <c r="CR109" i="1" s="1"/>
  <c r="CS108" i="1"/>
  <c r="CW47" i="7"/>
  <c r="CQ109" i="1"/>
  <c r="CQ111" i="1"/>
  <c r="AA322" i="2"/>
  <c r="AA318" i="2"/>
  <c r="CQ242" i="1"/>
  <c r="CQ243" i="1" s="1"/>
  <c r="CQ251" i="1" s="1"/>
  <c r="CQ106" i="1"/>
  <c r="CQ220" i="1"/>
  <c r="CW44" i="7"/>
  <c r="CV59" i="7"/>
  <c r="CR104" i="1"/>
  <c r="CR105" i="1" s="1"/>
  <c r="CS102" i="1"/>
  <c r="CS64" i="1"/>
  <c r="W316" i="2" s="1"/>
  <c r="CS83" i="1"/>
  <c r="CS90" i="1" s="1"/>
  <c r="W317" i="2" s="1"/>
  <c r="CQ103" i="1"/>
  <c r="CW48" i="7"/>
  <c r="CV44" i="7"/>
  <c r="CX46" i="7"/>
  <c r="AF51" i="3"/>
  <c r="AF242" i="3" s="1"/>
  <c r="CR119" i="1"/>
  <c r="CS115" i="1"/>
  <c r="CS135" i="1" s="1"/>
  <c r="V315" i="2"/>
  <c r="CR211" i="1"/>
  <c r="CX51" i="7" s="1"/>
  <c r="CR116" i="1"/>
  <c r="CR136" i="1" s="1"/>
  <c r="CR137" i="1" s="1"/>
  <c r="CQ186" i="1"/>
  <c r="CW59" i="7"/>
  <c r="CV71" i="1"/>
  <c r="CT77" i="1"/>
  <c r="CT74" i="1"/>
  <c r="CT75" i="1"/>
  <c r="CR111" i="1" l="1"/>
  <c r="CR112" i="1" s="1"/>
  <c r="CS66" i="1"/>
  <c r="CT97" i="1"/>
  <c r="CT117" i="1"/>
  <c r="CT118" i="1" s="1"/>
  <c r="CT62" i="1"/>
  <c r="CT96" i="1"/>
  <c r="CT81" i="1"/>
  <c r="CT88" i="1" s="1"/>
  <c r="CT79" i="1"/>
  <c r="CX44" i="7"/>
  <c r="CR220" i="1"/>
  <c r="CR186" i="1"/>
  <c r="CX59" i="7"/>
  <c r="CS178" i="1"/>
  <c r="CS224" i="1"/>
  <c r="CS120" i="1"/>
  <c r="CS125" i="1"/>
  <c r="CQ237" i="1"/>
  <c r="CQ238" i="1" s="1"/>
  <c r="CQ112" i="1"/>
  <c r="CR242" i="1"/>
  <c r="CR243" i="1" s="1"/>
  <c r="CR106" i="1"/>
  <c r="CT102" i="1"/>
  <c r="CS104" i="1"/>
  <c r="CS105" i="1" s="1"/>
  <c r="CV54" i="7"/>
  <c r="CS110" i="1"/>
  <c r="CS111" i="1" s="1"/>
  <c r="CT108" i="1"/>
  <c r="CQ221" i="1"/>
  <c r="CQ177" i="1"/>
  <c r="CW54" i="7"/>
  <c r="CQ244" i="1"/>
  <c r="AG51" i="3"/>
  <c r="AG242" i="3" s="1"/>
  <c r="W315" i="2"/>
  <c r="CS211" i="1"/>
  <c r="CY51" i="7" s="1"/>
  <c r="CS119" i="1"/>
  <c r="CY46" i="7"/>
  <c r="CT115" i="1"/>
  <c r="CT135" i="1" s="1"/>
  <c r="CS116" i="1"/>
  <c r="CS136" i="1" s="1"/>
  <c r="CS137" i="1" s="1"/>
  <c r="CT63" i="1"/>
  <c r="CT82" i="1"/>
  <c r="CT89" i="1" s="1"/>
  <c r="CT64" i="1"/>
  <c r="X316" i="2" s="1"/>
  <c r="CT83" i="1"/>
  <c r="CT90" i="1" s="1"/>
  <c r="X317" i="2" s="1"/>
  <c r="CT85" i="1"/>
  <c r="CT92" i="1" s="1"/>
  <c r="CT76" i="1"/>
  <c r="CT84" i="1" s="1"/>
  <c r="CT91" i="1" s="1"/>
  <c r="CT78" i="1"/>
  <c r="V324" i="2"/>
  <c r="CR103" i="1"/>
  <c r="CX48" i="7"/>
  <c r="CX47" i="7"/>
  <c r="CU74" i="1"/>
  <c r="CU75" i="1"/>
  <c r="CW71" i="1"/>
  <c r="CU77" i="1"/>
  <c r="CR237" i="1" l="1"/>
  <c r="CR238" i="1" s="1"/>
  <c r="CR239" i="1" s="1"/>
  <c r="CQ185" i="1"/>
  <c r="CW57" i="7"/>
  <c r="CY48" i="7"/>
  <c r="CS103" i="1"/>
  <c r="W324" i="2"/>
  <c r="CS220" i="1"/>
  <c r="CY44" i="7"/>
  <c r="CS237" i="1"/>
  <c r="CS238" i="1" s="1"/>
  <c r="CS112" i="1"/>
  <c r="CY59" i="7"/>
  <c r="CS186" i="1"/>
  <c r="CS242" i="1"/>
  <c r="CS243" i="1" s="1"/>
  <c r="CS106" i="1"/>
  <c r="CU85" i="1"/>
  <c r="CU92" i="1" s="1"/>
  <c r="CU78" i="1"/>
  <c r="CU76" i="1"/>
  <c r="CU84" i="1" s="1"/>
  <c r="CU91" i="1" s="1"/>
  <c r="CU83" i="1"/>
  <c r="CU90" i="1" s="1"/>
  <c r="Y317" i="2" s="1"/>
  <c r="CU64" i="1"/>
  <c r="Y316" i="2" s="1"/>
  <c r="CQ252" i="1"/>
  <c r="CR244" i="1"/>
  <c r="CR251" i="1"/>
  <c r="CU102" i="1"/>
  <c r="CT104" i="1"/>
  <c r="CT103" i="1" s="1"/>
  <c r="CU63" i="1"/>
  <c r="CU82" i="1"/>
  <c r="CU89" i="1" s="1"/>
  <c r="CS109" i="1"/>
  <c r="CY47" i="7"/>
  <c r="CT66" i="1"/>
  <c r="CU81" i="1"/>
  <c r="CU88" i="1" s="1"/>
  <c r="CU96" i="1"/>
  <c r="CU97" i="1"/>
  <c r="CU62" i="1"/>
  <c r="CU79" i="1"/>
  <c r="CU117" i="1"/>
  <c r="CT178" i="1"/>
  <c r="CT186" i="1" s="1"/>
  <c r="CT224" i="1"/>
  <c r="CT120" i="1"/>
  <c r="CT125" i="1"/>
  <c r="CT220" i="1" s="1"/>
  <c r="CQ239" i="1"/>
  <c r="CQ246" i="1"/>
  <c r="CQ256" i="1"/>
  <c r="X315" i="2"/>
  <c r="CT211" i="1"/>
  <c r="CU115" i="1"/>
  <c r="CU135" i="1" s="1"/>
  <c r="AH51" i="3"/>
  <c r="AH242" i="3" s="1"/>
  <c r="CT119" i="1"/>
  <c r="CT116" i="1"/>
  <c r="CT136" i="1" s="1"/>
  <c r="CT137" i="1" s="1"/>
  <c r="CV57" i="7"/>
  <c r="CR221" i="1"/>
  <c r="CX54" i="7"/>
  <c r="CR177" i="1"/>
  <c r="CT110" i="1"/>
  <c r="CT109" i="1" s="1"/>
  <c r="CU108" i="1"/>
  <c r="CV77" i="1"/>
  <c r="CV79" i="1"/>
  <c r="CV74" i="1"/>
  <c r="CV75" i="1"/>
  <c r="CR256" i="1" l="1"/>
  <c r="CR170" i="1" s="1"/>
  <c r="CR246" i="1"/>
  <c r="AD150" i="3"/>
  <c r="CU66" i="1"/>
  <c r="CT105" i="1"/>
  <c r="CT106" i="1" s="1"/>
  <c r="CV81" i="1"/>
  <c r="CV88" i="1" s="1"/>
  <c r="CV97" i="1"/>
  <c r="CV117" i="1"/>
  <c r="CV96" i="1"/>
  <c r="CV62" i="1"/>
  <c r="CY54" i="7"/>
  <c r="CS221" i="1"/>
  <c r="CS177" i="1"/>
  <c r="CU211" i="1"/>
  <c r="CV115" i="1"/>
  <c r="CV135" i="1" s="1"/>
  <c r="CU119" i="1"/>
  <c r="AI51" i="3"/>
  <c r="AI242" i="3" s="1"/>
  <c r="CU116" i="1"/>
  <c r="CU136" i="1" s="1"/>
  <c r="CU137" i="1" s="1"/>
  <c r="Y315" i="2"/>
  <c r="CU118" i="1"/>
  <c r="CV63" i="1"/>
  <c r="CV82" i="1"/>
  <c r="CV89" i="1" s="1"/>
  <c r="CQ170" i="1"/>
  <c r="U325" i="2" s="1"/>
  <c r="CV76" i="1"/>
  <c r="CV84" i="1" s="1"/>
  <c r="CV91" i="1" s="1"/>
  <c r="CV85" i="1"/>
  <c r="CV92" i="1" s="1"/>
  <c r="CV78" i="1"/>
  <c r="CV40" i="7"/>
  <c r="AD250" i="3"/>
  <c r="CT111" i="1"/>
  <c r="CR252" i="1"/>
  <c r="CQ253" i="1"/>
  <c r="CX57" i="7"/>
  <c r="CR185" i="1"/>
  <c r="CV108" i="1"/>
  <c r="CU110" i="1"/>
  <c r="CU111" i="1" s="1"/>
  <c r="CT177" i="1"/>
  <c r="CT221" i="1"/>
  <c r="CV102" i="1"/>
  <c r="CU104" i="1"/>
  <c r="CU103" i="1" s="1"/>
  <c r="CS244" i="1"/>
  <c r="CS251" i="1"/>
  <c r="CV83" i="1"/>
  <c r="CV90" i="1" s="1"/>
  <c r="Z317" i="2" s="1"/>
  <c r="CV64" i="1"/>
  <c r="Z316" i="2" s="1"/>
  <c r="CQ247" i="1"/>
  <c r="CS239" i="1"/>
  <c r="CS246" i="1"/>
  <c r="CS256" i="1"/>
  <c r="X324" i="2"/>
  <c r="CW74" i="1"/>
  <c r="CW75" i="1"/>
  <c r="CW77" i="1"/>
  <c r="V326" i="2" l="1"/>
  <c r="U326" i="2"/>
  <c r="CV33" i="7"/>
  <c r="CV53" i="7" s="1"/>
  <c r="AT35" i="18"/>
  <c r="AJ35" i="18" s="1"/>
  <c r="AK35" i="18" s="1"/>
  <c r="CR247" i="1"/>
  <c r="CR257" i="1" s="1"/>
  <c r="CR258" i="1" s="1"/>
  <c r="CR173" i="1" s="1"/>
  <c r="CQ257" i="1"/>
  <c r="CQ258" i="1" s="1"/>
  <c r="CQ173" i="1" s="1"/>
  <c r="CQ174" i="1" s="1"/>
  <c r="AT10" i="18"/>
  <c r="AT10" i="16"/>
  <c r="CT242" i="1"/>
  <c r="CT243" i="1" s="1"/>
  <c r="CT244" i="1" s="1"/>
  <c r="CT185" i="1"/>
  <c r="CV66" i="1"/>
  <c r="CU105" i="1"/>
  <c r="CU242" i="1" s="1"/>
  <c r="CU243" i="1" s="1"/>
  <c r="CV58" i="7"/>
  <c r="CU125" i="1"/>
  <c r="CU220" i="1" s="1"/>
  <c r="CU178" i="1"/>
  <c r="CU186" i="1" s="1"/>
  <c r="CU120" i="1"/>
  <c r="CU224" i="1"/>
  <c r="CV104" i="1"/>
  <c r="CV103" i="1" s="1"/>
  <c r="CW102" i="1"/>
  <c r="AJ51" i="3"/>
  <c r="AJ242" i="3" s="1"/>
  <c r="CV211" i="1"/>
  <c r="CW115" i="1"/>
  <c r="CW135" i="1" s="1"/>
  <c r="Z315" i="2"/>
  <c r="CV119" i="1"/>
  <c r="CV116" i="1"/>
  <c r="CV136" i="1" s="1"/>
  <c r="CV137" i="1" s="1"/>
  <c r="CW79" i="1"/>
  <c r="CW81" i="1"/>
  <c r="CW88" i="1" s="1"/>
  <c r="CW97" i="1"/>
  <c r="CW110" i="1" s="1"/>
  <c r="CW117" i="1"/>
  <c r="CW118" i="1" s="1"/>
  <c r="CW96" i="1"/>
  <c r="CW104" i="1" s="1"/>
  <c r="CW62" i="1"/>
  <c r="CW40" i="7"/>
  <c r="AE250" i="3"/>
  <c r="CQ171" i="1"/>
  <c r="CQ180" i="1"/>
  <c r="CQ230" i="1"/>
  <c r="CQ126" i="1"/>
  <c r="CQ127" i="1" s="1"/>
  <c r="CS185" i="1"/>
  <c r="CY57" i="7"/>
  <c r="CW108" i="1"/>
  <c r="CV110" i="1"/>
  <c r="CS170" i="1"/>
  <c r="CV31" i="7"/>
  <c r="CQ254" i="1"/>
  <c r="CQ408" i="1"/>
  <c r="AE149" i="3" s="1"/>
  <c r="CW76" i="1"/>
  <c r="CW84" i="1" s="1"/>
  <c r="CW91" i="1" s="1"/>
  <c r="CW78" i="1"/>
  <c r="CW85" i="1"/>
  <c r="CW92" i="1" s="1"/>
  <c r="CS252" i="1"/>
  <c r="CW64" i="1"/>
  <c r="AA316" i="2" s="1"/>
  <c r="CW83" i="1"/>
  <c r="CW90" i="1" s="1"/>
  <c r="AA317" i="2" s="1"/>
  <c r="AD149" i="3"/>
  <c r="CT237" i="1"/>
  <c r="CT238" i="1" s="1"/>
  <c r="CT112" i="1"/>
  <c r="CU237" i="1"/>
  <c r="CU238" i="1" s="1"/>
  <c r="CU112" i="1"/>
  <c r="AF250" i="3"/>
  <c r="CR126" i="1"/>
  <c r="CR180" i="1"/>
  <c r="CR171" i="1"/>
  <c r="CR230" i="1"/>
  <c r="CX40" i="7"/>
  <c r="CR253" i="1"/>
  <c r="CW82" i="1"/>
  <c r="CW89" i="1" s="1"/>
  <c r="CW63" i="1"/>
  <c r="Y324" i="2"/>
  <c r="CU109" i="1"/>
  <c r="CV118" i="1"/>
  <c r="CQ248" i="1"/>
  <c r="CS247" i="1" l="1"/>
  <c r="CS248" i="1" s="1"/>
  <c r="CS409" i="1" s="1"/>
  <c r="CR174" i="1"/>
  <c r="AG35" i="18"/>
  <c r="AH35" i="18" s="1"/>
  <c r="CR248" i="1"/>
  <c r="CR409" i="1" s="1"/>
  <c r="AF150" i="3" s="1"/>
  <c r="AT8" i="18"/>
  <c r="AT12" i="18" s="1"/>
  <c r="AT8" i="16"/>
  <c r="AT11" i="16"/>
  <c r="AJ10" i="16"/>
  <c r="AG10" i="16" s="1"/>
  <c r="AH10" i="16" s="1"/>
  <c r="AU8" i="16"/>
  <c r="AU8" i="18"/>
  <c r="BK10" i="18"/>
  <c r="AT11" i="18"/>
  <c r="AJ10" i="18"/>
  <c r="AG10" i="18" s="1"/>
  <c r="AH10" i="18" s="1"/>
  <c r="CT251" i="1"/>
  <c r="CT252" i="1" s="1"/>
  <c r="CT253" i="1" s="1"/>
  <c r="CW103" i="1"/>
  <c r="CU106" i="1"/>
  <c r="CW109" i="1"/>
  <c r="CW66" i="1"/>
  <c r="CW111" i="1"/>
  <c r="CW237" i="1" s="1"/>
  <c r="CW238" i="1" s="1"/>
  <c r="CW224" i="1"/>
  <c r="CW125" i="1"/>
  <c r="CW220" i="1" s="1"/>
  <c r="CW178" i="1"/>
  <c r="CW120" i="1"/>
  <c r="CR127" i="1"/>
  <c r="CU221" i="1"/>
  <c r="CU177" i="1"/>
  <c r="CU185" i="1" s="1"/>
  <c r="CV120" i="1"/>
  <c r="CV178" i="1"/>
  <c r="CV186" i="1" s="1"/>
  <c r="CV224" i="1"/>
  <c r="CV125" i="1"/>
  <c r="CV220" i="1" s="1"/>
  <c r="CR408" i="1"/>
  <c r="AF149" i="3" s="1"/>
  <c r="CR254" i="1"/>
  <c r="CQ7" i="1"/>
  <c r="CW32" i="7"/>
  <c r="CQ532" i="1"/>
  <c r="CQ417" i="1"/>
  <c r="CS180" i="1"/>
  <c r="CS230" i="1"/>
  <c r="CS126" i="1"/>
  <c r="CS127" i="1" s="1"/>
  <c r="CY40" i="7"/>
  <c r="AG250" i="3"/>
  <c r="CS171" i="1"/>
  <c r="CW211" i="1"/>
  <c r="AK51" i="3"/>
  <c r="AK242" i="3" s="1"/>
  <c r="AA315" i="2"/>
  <c r="AA324" i="2" s="1"/>
  <c r="CW119" i="1"/>
  <c r="CW116" i="1"/>
  <c r="CW136" i="1" s="1"/>
  <c r="CW137" i="1" s="1"/>
  <c r="CX33" i="7"/>
  <c r="CX53" i="7" s="1"/>
  <c r="CR259" i="1"/>
  <c r="CU246" i="1"/>
  <c r="CU256" i="1"/>
  <c r="CU239" i="1"/>
  <c r="CX58" i="7"/>
  <c r="CQ249" i="1"/>
  <c r="CQ409" i="1"/>
  <c r="AE150" i="3" s="1"/>
  <c r="CW58" i="7"/>
  <c r="Z324" i="2"/>
  <c r="CV109" i="1"/>
  <c r="CT239" i="1"/>
  <c r="CT246" i="1"/>
  <c r="CT256" i="1"/>
  <c r="CS253" i="1"/>
  <c r="CU244" i="1"/>
  <c r="CU251" i="1"/>
  <c r="CW33" i="7"/>
  <c r="CW53" i="7" s="1"/>
  <c r="CQ259" i="1"/>
  <c r="CV105" i="1"/>
  <c r="CV111" i="1"/>
  <c r="CV32" i="7"/>
  <c r="CW105" i="1"/>
  <c r="CS257" i="1" l="1"/>
  <c r="CS258" i="1" s="1"/>
  <c r="CS173" i="1" s="1"/>
  <c r="CS174" i="1" s="1"/>
  <c r="AW10" i="18"/>
  <c r="BN10" i="18" s="1"/>
  <c r="AG150" i="3"/>
  <c r="BK12" i="18"/>
  <c r="AT13" i="18"/>
  <c r="CR249" i="1"/>
  <c r="CS249" i="1"/>
  <c r="AV10" i="18"/>
  <c r="AV10" i="16"/>
  <c r="BL8" i="18"/>
  <c r="AU9" i="18"/>
  <c r="AU9" i="16"/>
  <c r="AV8" i="18"/>
  <c r="AV8" i="16"/>
  <c r="AV9" i="16" s="1"/>
  <c r="AU10" i="18"/>
  <c r="AU12" i="18" s="1"/>
  <c r="AU10" i="16"/>
  <c r="AU11" i="16" s="1"/>
  <c r="AT9" i="16"/>
  <c r="AJ8" i="16"/>
  <c r="AG8" i="16" s="1"/>
  <c r="AH8" i="16" s="1"/>
  <c r="BK8" i="18"/>
  <c r="AT9" i="18"/>
  <c r="AJ8" i="18"/>
  <c r="AG8" i="18" s="1"/>
  <c r="AH8" i="18" s="1"/>
  <c r="CW186" i="1"/>
  <c r="CU252" i="1"/>
  <c r="CU253" i="1" s="1"/>
  <c r="CW242" i="1"/>
  <c r="CW243" i="1" s="1"/>
  <c r="CW251" i="1" s="1"/>
  <c r="CW106" i="1"/>
  <c r="CS254" i="1"/>
  <c r="CS408" i="1"/>
  <c r="CQ23" i="1"/>
  <c r="CS533" i="1"/>
  <c r="CS418" i="1"/>
  <c r="CS8" i="1"/>
  <c r="CY31" i="7"/>
  <c r="CT170" i="1"/>
  <c r="CR8" i="1"/>
  <c r="CR418" i="1"/>
  <c r="CX31" i="7"/>
  <c r="CR533" i="1"/>
  <c r="CY58" i="7"/>
  <c r="CV237" i="1"/>
  <c r="CV238" i="1" s="1"/>
  <c r="CW239" i="1" s="1"/>
  <c r="CV112" i="1"/>
  <c r="CT247" i="1"/>
  <c r="CW112" i="1"/>
  <c r="CV242" i="1"/>
  <c r="CV243" i="1" s="1"/>
  <c r="CV106" i="1"/>
  <c r="CW246" i="1"/>
  <c r="CR7" i="1"/>
  <c r="CR417" i="1"/>
  <c r="CR532" i="1"/>
  <c r="CX32" i="7"/>
  <c r="CT254" i="1"/>
  <c r="CT408" i="1"/>
  <c r="CV177" i="1"/>
  <c r="CV185" i="1" s="1"/>
  <c r="CV221" i="1"/>
  <c r="CW31" i="7"/>
  <c r="CQ8" i="1"/>
  <c r="CQ24" i="1" s="1"/>
  <c r="CQ533" i="1"/>
  <c r="CQ418" i="1"/>
  <c r="CU170" i="1"/>
  <c r="CW221" i="1"/>
  <c r="CW177" i="1"/>
  <c r="CS259" i="1" l="1"/>
  <c r="CY33" i="7"/>
  <c r="CY53" i="7" s="1"/>
  <c r="AX8" i="18"/>
  <c r="BO8" i="18" s="1"/>
  <c r="AH149" i="3"/>
  <c r="AW8" i="18"/>
  <c r="AG149" i="3"/>
  <c r="AW11" i="18"/>
  <c r="BA10" i="18"/>
  <c r="AV12" i="18"/>
  <c r="BA12" i="18" s="1"/>
  <c r="BA8" i="18"/>
  <c r="BL12" i="18"/>
  <c r="AU13" i="18"/>
  <c r="CU247" i="1"/>
  <c r="CU257" i="1" s="1"/>
  <c r="CU258" i="1" s="1"/>
  <c r="CU173" i="1" s="1"/>
  <c r="CT257" i="1"/>
  <c r="CT258" i="1" s="1"/>
  <c r="CT173" i="1" s="1"/>
  <c r="CT174" i="1" s="1"/>
  <c r="BL10" i="18"/>
  <c r="AU11" i="18"/>
  <c r="BM8" i="18"/>
  <c r="AV9" i="18"/>
  <c r="AV11" i="16"/>
  <c r="BM10" i="18"/>
  <c r="AV11" i="18"/>
  <c r="CS24" i="1"/>
  <c r="CW256" i="1"/>
  <c r="CW170" i="1" s="1"/>
  <c r="CW126" i="1" s="1"/>
  <c r="CU254" i="1"/>
  <c r="CU408" i="1"/>
  <c r="AI250" i="3"/>
  <c r="CU180" i="1"/>
  <c r="CU171" i="1"/>
  <c r="CU230" i="1"/>
  <c r="CU126" i="1"/>
  <c r="CS7" i="1"/>
  <c r="CY32" i="7"/>
  <c r="CS417" i="1"/>
  <c r="CS532" i="1"/>
  <c r="CT171" i="1"/>
  <c r="CT180" i="1"/>
  <c r="CT230" i="1"/>
  <c r="CT126" i="1"/>
  <c r="CT127" i="1" s="1"/>
  <c r="AH250" i="3"/>
  <c r="CT248" i="1"/>
  <c r="CW244" i="1"/>
  <c r="CV244" i="1"/>
  <c r="CV251" i="1"/>
  <c r="CT417" i="1"/>
  <c r="CT532" i="1"/>
  <c r="CT7" i="1"/>
  <c r="CV246" i="1"/>
  <c r="CV256" i="1"/>
  <c r="CV239" i="1"/>
  <c r="CW185" i="1"/>
  <c r="CR23" i="1"/>
  <c r="CR24" i="1"/>
  <c r="AW9" i="18" l="1"/>
  <c r="BN8" i="18"/>
  <c r="AW12" i="18"/>
  <c r="BN12" i="18" s="1"/>
  <c r="BM12" i="18"/>
  <c r="AV13" i="18"/>
  <c r="AY8" i="18"/>
  <c r="BB8" i="18" s="1"/>
  <c r="AI149" i="3"/>
  <c r="CU174" i="1"/>
  <c r="AX9" i="18"/>
  <c r="CU248" i="1"/>
  <c r="CU409" i="1" s="1"/>
  <c r="AI150" i="3" s="1"/>
  <c r="CV247" i="1"/>
  <c r="CW247" i="1" s="1"/>
  <c r="CT259" i="1"/>
  <c r="CW230" i="1"/>
  <c r="CW180" i="1"/>
  <c r="AK250" i="3"/>
  <c r="CU259" i="1"/>
  <c r="CT23" i="1"/>
  <c r="CT409" i="1"/>
  <c r="CT249" i="1"/>
  <c r="CU532" i="1"/>
  <c r="CU7" i="1"/>
  <c r="CU417" i="1"/>
  <c r="CV170" i="1"/>
  <c r="CV252" i="1"/>
  <c r="CW252" i="1" s="1"/>
  <c r="CW253" i="1" s="1"/>
  <c r="CS23" i="1"/>
  <c r="CU127" i="1"/>
  <c r="AW13" i="18" l="1"/>
  <c r="AY9" i="18"/>
  <c r="BP8" i="18"/>
  <c r="CU249" i="1"/>
  <c r="AX10" i="18"/>
  <c r="AX12" i="18" s="1"/>
  <c r="BO12" i="18" s="1"/>
  <c r="AH150" i="3"/>
  <c r="CV248" i="1"/>
  <c r="CV409" i="1" s="1"/>
  <c r="AJ150" i="3" s="1"/>
  <c r="CV257" i="1"/>
  <c r="CV258" i="1" s="1"/>
  <c r="CV173" i="1" s="1"/>
  <c r="CV174" i="1" s="1"/>
  <c r="AY10" i="18"/>
  <c r="BB10" i="18" s="1"/>
  <c r="CW248" i="1"/>
  <c r="CW409" i="1" s="1"/>
  <c r="CW257" i="1"/>
  <c r="CW258" i="1" s="1"/>
  <c r="CW173" i="1" s="1"/>
  <c r="CV230" i="1"/>
  <c r="CV171" i="1"/>
  <c r="CV126" i="1"/>
  <c r="AJ250" i="3"/>
  <c r="CV180" i="1"/>
  <c r="CW171" i="1"/>
  <c r="CW408" i="1"/>
  <c r="AK149" i="3" s="1"/>
  <c r="CV253" i="1"/>
  <c r="CU8" i="1"/>
  <c r="CU418" i="1"/>
  <c r="CU533" i="1"/>
  <c r="CT8" i="1"/>
  <c r="CT533" i="1"/>
  <c r="CT418" i="1"/>
  <c r="CU23" i="1"/>
  <c r="BO10" i="18" l="1"/>
  <c r="AX11" i="18"/>
  <c r="CW174" i="1"/>
  <c r="AX13" i="18"/>
  <c r="CW8" i="1"/>
  <c r="AK150" i="3"/>
  <c r="AY12" i="18"/>
  <c r="BB12" i="18" s="1"/>
  <c r="CV249" i="1"/>
  <c r="CW533" i="1"/>
  <c r="BP10" i="18"/>
  <c r="AY11" i="18"/>
  <c r="CW249" i="1"/>
  <c r="CV259" i="1"/>
  <c r="CW418" i="1"/>
  <c r="CW259" i="1"/>
  <c r="CW7" i="1"/>
  <c r="CT24" i="1"/>
  <c r="CV408" i="1"/>
  <c r="CV254" i="1"/>
  <c r="CV8" i="1"/>
  <c r="CV24" i="1" s="1"/>
  <c r="CV533" i="1"/>
  <c r="CV418" i="1"/>
  <c r="CV127" i="1"/>
  <c r="CW127" i="1"/>
  <c r="CU24" i="1"/>
  <c r="CW254" i="1"/>
  <c r="CW417" i="1" l="1"/>
  <c r="AJ149" i="3"/>
  <c r="AJ12" i="18"/>
  <c r="AG12" i="18" s="1"/>
  <c r="AH12" i="18" s="1"/>
  <c r="AY13" i="18"/>
  <c r="BP12" i="18"/>
  <c r="CW24" i="1"/>
  <c r="CW532" i="1"/>
  <c r="CV532" i="1"/>
  <c r="CV417" i="1"/>
  <c r="CV7" i="1"/>
  <c r="CW23" i="1" s="1"/>
  <c r="CV23" i="1" l="1"/>
  <c r="CR327" i="1" l="1"/>
  <c r="CQ326" i="1"/>
  <c r="AU35" i="18" l="1"/>
  <c r="CS327" i="1"/>
  <c r="CR326" i="1"/>
  <c r="AV35" i="18" s="1"/>
  <c r="CT327" i="1" l="1"/>
  <c r="CS326" i="1"/>
  <c r="AW35" i="18" s="1"/>
  <c r="CU327" i="1" l="1"/>
  <c r="CT326" i="1"/>
  <c r="AX35" i="18" s="1"/>
  <c r="CV327" i="1" l="1"/>
  <c r="CU326" i="1"/>
  <c r="AY35" i="18" s="1"/>
  <c r="CW327" i="1" l="1"/>
  <c r="CW326" i="1" s="1"/>
  <c r="CV326" i="1"/>
  <c r="CQ328" i="1" l="1"/>
  <c r="CR328" i="1" l="1"/>
  <c r="CS328" i="1" l="1"/>
  <c r="CT328" i="1" l="1"/>
  <c r="CU328" i="1" l="1"/>
  <c r="CV328" i="1" l="1"/>
  <c r="CW328" i="1" l="1"/>
  <c r="S99" i="2" l="1"/>
  <c r="AC20" i="3"/>
  <c r="AC277" i="3" s="1"/>
  <c r="AC278" i="3" s="1"/>
  <c r="S97" i="2"/>
  <c r="AC279" i="3" l="1"/>
  <c r="AC280" i="3" s="1"/>
  <c r="AC290" i="3" l="1"/>
  <c r="AC285" i="3"/>
  <c r="AD20" i="3"/>
  <c r="AD277" i="3" s="1"/>
  <c r="U267" i="2" l="1"/>
  <c r="U78" i="2"/>
  <c r="V267" i="2" l="1"/>
  <c r="V78" i="2"/>
  <c r="W267" i="2" l="1"/>
  <c r="W78" i="2"/>
  <c r="X78" i="2" l="1"/>
  <c r="X267" i="2"/>
  <c r="Y267" i="2" l="1"/>
  <c r="Y78" i="2"/>
  <c r="Z267" i="2" l="1"/>
  <c r="Z78" i="2"/>
  <c r="AA267" i="2" l="1"/>
  <c r="AA78" i="2"/>
  <c r="L9" i="19" l="1"/>
  <c r="L18" i="19" l="1"/>
  <c r="L21" i="19" s="1"/>
  <c r="L40" i="19"/>
  <c r="M9" i="19"/>
  <c r="M18" i="19" l="1"/>
  <c r="M21" i="19" s="1"/>
  <c r="N9" i="19"/>
  <c r="N18" i="19" l="1"/>
  <c r="N21" i="19" s="1"/>
  <c r="N40" i="19"/>
  <c r="O9" i="19"/>
  <c r="O42" i="19"/>
  <c r="O18" i="19" l="1"/>
  <c r="O21" i="19" s="1"/>
  <c r="O41" i="19"/>
  <c r="P9" i="19"/>
  <c r="P42" i="19"/>
  <c r="P18" i="19" l="1"/>
  <c r="P21" i="19" s="1"/>
  <c r="P41" i="19"/>
  <c r="Q9" i="19"/>
  <c r="Q18" i="19" l="1"/>
  <c r="Q21" i="19" s="1"/>
  <c r="S9" i="19"/>
  <c r="R9" i="19"/>
  <c r="S18" i="19" l="1"/>
  <c r="S21" i="19" s="1"/>
  <c r="R18" i="19"/>
  <c r="R21" i="19" s="1"/>
  <c r="AD11" i="3" l="1"/>
  <c r="CH498" i="1" l="1"/>
  <c r="BY18" i="7"/>
  <c r="BY19" i="7" s="1"/>
  <c r="CL414" i="1"/>
  <c r="CL294" i="1"/>
  <c r="CL476" i="1"/>
  <c r="CL481" i="1"/>
  <c r="CL498" i="1"/>
  <c r="BX18" i="7"/>
  <c r="BX19" i="7" s="1"/>
  <c r="CK498" i="1"/>
  <c r="CP500" i="1" s="1"/>
  <c r="CK481" i="1"/>
  <c r="CK476" i="1"/>
  <c r="CK294" i="1"/>
  <c r="CP295" i="1" s="1"/>
  <c r="CK414" i="1"/>
  <c r="CP536" i="1" l="1"/>
  <c r="CP422" i="1"/>
  <c r="CM400" i="1"/>
  <c r="CM403" i="1" s="1"/>
  <c r="CM426" i="1"/>
  <c r="BZ93" i="7" s="1"/>
  <c r="BZ102" i="7" s="1"/>
  <c r="CM294" i="1"/>
  <c r="CM152" i="1"/>
  <c r="CM156" i="1" s="1"/>
  <c r="CM387" i="1"/>
  <c r="CM141" i="1"/>
  <c r="CM145" i="1" s="1"/>
  <c r="CM386" i="1"/>
  <c r="CM476" i="1"/>
  <c r="CM481" i="1"/>
  <c r="BZ23" i="7" s="1"/>
  <c r="CM498" i="1"/>
  <c r="CM502" i="1" s="1"/>
  <c r="X14" i="16"/>
  <c r="X16" i="18"/>
  <c r="CH502" i="1"/>
  <c r="CL502" i="1"/>
  <c r="CK477" i="1"/>
  <c r="BX26" i="7"/>
  <c r="X62" i="18"/>
  <c r="X54" i="16"/>
  <c r="CL482" i="1"/>
  <c r="CL484" i="1"/>
  <c r="BY23" i="7"/>
  <c r="CL477" i="1"/>
  <c r="BY26" i="7"/>
  <c r="CL386" i="1"/>
  <c r="CL141" i="1"/>
  <c r="CL387" i="1"/>
  <c r="CL152" i="1"/>
  <c r="BX23" i="7"/>
  <c r="CK482" i="1"/>
  <c r="X57" i="16"/>
  <c r="CK484" i="1"/>
  <c r="CP485" i="1" s="1"/>
  <c r="X65" i="18"/>
  <c r="CK387" i="1"/>
  <c r="CK152" i="1"/>
  <c r="CP153" i="1" s="1"/>
  <c r="CK141" i="1"/>
  <c r="CP142" i="1" s="1"/>
  <c r="CK386" i="1"/>
  <c r="CK502" i="1"/>
  <c r="CK426" i="1"/>
  <c r="CK400" i="1"/>
  <c r="CK403" i="1" s="1"/>
  <c r="CP404" i="1" s="1"/>
  <c r="CL400" i="1"/>
  <c r="CL403" i="1" s="1"/>
  <c r="CL426" i="1"/>
  <c r="CK429" i="1"/>
  <c r="CP556" i="1" s="1"/>
  <c r="CP427" i="1" l="1"/>
  <c r="CP539" i="1"/>
  <c r="CP557" i="1"/>
  <c r="CK547" i="1"/>
  <c r="CP554" i="1"/>
  <c r="CP430" i="1"/>
  <c r="CP540" i="1"/>
  <c r="CP555" i="1"/>
  <c r="CP552" i="1"/>
  <c r="CP553" i="1"/>
  <c r="BZ103" i="7"/>
  <c r="BZ120" i="7" s="1"/>
  <c r="CM477" i="1"/>
  <c r="BZ26" i="7"/>
  <c r="BZ28" i="7" s="1"/>
  <c r="CM382" i="1"/>
  <c r="CM227" i="1"/>
  <c r="CM414" i="1"/>
  <c r="CM280" i="1"/>
  <c r="CM10" i="1"/>
  <c r="CM482" i="1"/>
  <c r="CM484" i="1"/>
  <c r="BZ10" i="7" s="1"/>
  <c r="BZ36" i="7" s="1"/>
  <c r="CM500" i="1"/>
  <c r="BX28" i="7"/>
  <c r="BY28" i="7"/>
  <c r="BY93" i="7"/>
  <c r="BY102" i="7" s="1"/>
  <c r="CL280" i="1"/>
  <c r="CL10" i="1"/>
  <c r="X68" i="18"/>
  <c r="X66" i="18"/>
  <c r="CK486" i="1"/>
  <c r="BX10" i="7"/>
  <c r="BX36" i="7" s="1"/>
  <c r="CK487" i="1"/>
  <c r="CK499" i="1" s="1"/>
  <c r="X73" i="18"/>
  <c r="CK492" i="1"/>
  <c r="X65" i="16"/>
  <c r="X60" i="16"/>
  <c r="X58" i="16"/>
  <c r="BY10" i="7"/>
  <c r="BY36" i="7" s="1"/>
  <c r="CL486" i="1"/>
  <c r="CL492" i="1"/>
  <c r="CL487" i="1"/>
  <c r="CL499" i="1" s="1"/>
  <c r="CK434" i="1"/>
  <c r="CK10" i="1"/>
  <c r="CP26" i="1" s="1"/>
  <c r="BX93" i="7"/>
  <c r="BX102" i="7" s="1"/>
  <c r="CK280" i="1"/>
  <c r="X17" i="16"/>
  <c r="X19" i="18"/>
  <c r="CK548" i="1"/>
  <c r="CK445" i="1"/>
  <c r="CL156" i="1"/>
  <c r="CK382" i="1"/>
  <c r="CP383" i="1" s="1"/>
  <c r="CK227" i="1"/>
  <c r="CP228" i="1" s="1"/>
  <c r="CK145" i="1"/>
  <c r="CL145" i="1"/>
  <c r="CK156" i="1"/>
  <c r="CL382" i="1"/>
  <c r="CL227" i="1"/>
  <c r="CL429" i="1"/>
  <c r="CL434" i="1"/>
  <c r="BX8" i="7"/>
  <c r="BX104" i="7" s="1"/>
  <c r="CK545" i="1"/>
  <c r="CK443" i="1"/>
  <c r="CK546" i="1"/>
  <c r="CK442" i="1"/>
  <c r="X20" i="16"/>
  <c r="CK13" i="1"/>
  <c r="CP14" i="1" s="1"/>
  <c r="CK444" i="1"/>
  <c r="CK441" i="1"/>
  <c r="X22" i="18"/>
  <c r="CB128" i="7" l="1"/>
  <c r="CB112" i="7"/>
  <c r="BZ118" i="7"/>
  <c r="BZ121" i="7"/>
  <c r="BZ119" i="7"/>
  <c r="BZ117" i="7"/>
  <c r="BZ116" i="7"/>
  <c r="CM486" i="1"/>
  <c r="CM492" i="1"/>
  <c r="CM487" i="1"/>
  <c r="CM499" i="1" s="1"/>
  <c r="CM434" i="1"/>
  <c r="CM429" i="1"/>
  <c r="CM456" i="1"/>
  <c r="CM519" i="1" s="1"/>
  <c r="CM388" i="1"/>
  <c r="BZ30" i="7" s="1"/>
  <c r="CM231" i="1"/>
  <c r="CM232" i="1" s="1"/>
  <c r="BX103" i="7"/>
  <c r="X75" i="18"/>
  <c r="CK231" i="1"/>
  <c r="CK232" i="1" s="1"/>
  <c r="CP233" i="1" s="1"/>
  <c r="CK456" i="1"/>
  <c r="CK519" i="1" s="1"/>
  <c r="CK388" i="1"/>
  <c r="CP389" i="1" s="1"/>
  <c r="CL445" i="1"/>
  <c r="CL443" i="1"/>
  <c r="CL442" i="1"/>
  <c r="BY8" i="7"/>
  <c r="BY104" i="7" s="1"/>
  <c r="CL546" i="1"/>
  <c r="CL13" i="1"/>
  <c r="CL545" i="1"/>
  <c r="CL441" i="1"/>
  <c r="CL444" i="1"/>
  <c r="CL547" i="1"/>
  <c r="X70" i="18"/>
  <c r="CL388" i="1"/>
  <c r="CL231" i="1"/>
  <c r="CL232" i="1" s="1"/>
  <c r="CL456" i="1"/>
  <c r="CL519" i="1" s="1"/>
  <c r="X62" i="16"/>
  <c r="CK15" i="1"/>
  <c r="CL548" i="1"/>
  <c r="X67" i="16"/>
  <c r="BY103" i="7"/>
  <c r="CF476" i="1"/>
  <c r="CG476" i="1"/>
  <c r="CH476" i="1"/>
  <c r="CJ476" i="1"/>
  <c r="CN476" i="1" s="1"/>
  <c r="CE476" i="1"/>
  <c r="BX120" i="7" l="1"/>
  <c r="CB113" i="7"/>
  <c r="CN477" i="1"/>
  <c r="AT62" i="18"/>
  <c r="AT54" i="16"/>
  <c r="AJ54" i="16" s="1"/>
  <c r="CN479" i="1"/>
  <c r="CM547" i="1"/>
  <c r="BZ8" i="7"/>
  <c r="BZ104" i="7" s="1"/>
  <c r="BZ105" i="7" s="1"/>
  <c r="CM546" i="1"/>
  <c r="CM444" i="1"/>
  <c r="CM441" i="1"/>
  <c r="CM13" i="1"/>
  <c r="CM15" i="1" s="1"/>
  <c r="CM545" i="1"/>
  <c r="CM443" i="1"/>
  <c r="CM442" i="1"/>
  <c r="CM445" i="1"/>
  <c r="CM548" i="1"/>
  <c r="T267" i="2"/>
  <c r="T78" i="2"/>
  <c r="T54" i="16"/>
  <c r="CF477" i="1"/>
  <c r="BT26" i="7"/>
  <c r="T62" i="18"/>
  <c r="BX30" i="7"/>
  <c r="BU26" i="7"/>
  <c r="U62" i="18"/>
  <c r="U54" i="16"/>
  <c r="CG477" i="1"/>
  <c r="BY120" i="7"/>
  <c r="BY117" i="7"/>
  <c r="BY118" i="7"/>
  <c r="BY119" i="7"/>
  <c r="BY116" i="7"/>
  <c r="BY105" i="7"/>
  <c r="BY121" i="7"/>
  <c r="CL15" i="1"/>
  <c r="BS26" i="7"/>
  <c r="S54" i="16"/>
  <c r="CI476" i="1"/>
  <c r="CE477" i="1"/>
  <c r="S62" i="18"/>
  <c r="BY30" i="7"/>
  <c r="W62" i="18"/>
  <c r="AC62" i="18" s="1"/>
  <c r="BW26" i="7"/>
  <c r="W54" i="16"/>
  <c r="AC54" i="16" s="1"/>
  <c r="CJ477" i="1"/>
  <c r="V62" i="18"/>
  <c r="V54" i="16"/>
  <c r="BV26" i="7"/>
  <c r="CH477" i="1"/>
  <c r="BX116" i="7"/>
  <c r="BX119" i="7"/>
  <c r="BX105" i="7"/>
  <c r="BX117" i="7"/>
  <c r="BX118" i="7"/>
  <c r="BX121" i="7"/>
  <c r="AB62" i="18" l="1"/>
  <c r="AD62" i="18" s="1"/>
  <c r="BK62" i="18"/>
  <c r="AJ62" i="18"/>
  <c r="AG62" i="18" s="1"/>
  <c r="AB54" i="16"/>
  <c r="AD54" i="16" s="1"/>
  <c r="S78" i="2"/>
  <c r="CI477" i="1"/>
  <c r="S267" i="2"/>
  <c r="CI479" i="1"/>
  <c r="AS62" i="18"/>
  <c r="AS54" i="16"/>
  <c r="AI54" i="16" s="1"/>
  <c r="AG54" i="16"/>
  <c r="BW16" i="7"/>
  <c r="CJ411" i="1"/>
  <c r="CJ294" i="1"/>
  <c r="CJ481" i="1"/>
  <c r="CN481" i="1" s="1"/>
  <c r="CJ498" i="1"/>
  <c r="CN411" i="1" l="1"/>
  <c r="CN413" i="1" s="1"/>
  <c r="CO535" i="1"/>
  <c r="CO419" i="1"/>
  <c r="CN294" i="1"/>
  <c r="CO295" i="1"/>
  <c r="CN498" i="1"/>
  <c r="CO500" i="1"/>
  <c r="CN482" i="1"/>
  <c r="T57" i="2"/>
  <c r="CN484" i="1"/>
  <c r="T80" i="2"/>
  <c r="T81" i="2"/>
  <c r="CC386" i="1"/>
  <c r="CC141" i="1"/>
  <c r="BW386" i="1"/>
  <c r="BW141" i="1"/>
  <c r="BX141" i="1"/>
  <c r="BX386" i="1"/>
  <c r="CB386" i="1"/>
  <c r="CB141" i="1"/>
  <c r="BV141" i="1"/>
  <c r="BV386" i="1"/>
  <c r="CA386" i="1"/>
  <c r="CA141" i="1"/>
  <c r="BX152" i="1"/>
  <c r="BX387" i="1"/>
  <c r="CJ484" i="1"/>
  <c r="CO485" i="1" s="1"/>
  <c r="CJ482" i="1"/>
  <c r="W57" i="16"/>
  <c r="W65" i="18"/>
  <c r="BW23" i="7"/>
  <c r="BW28" i="7" s="1"/>
  <c r="CJ152" i="1"/>
  <c r="CO153" i="1" s="1"/>
  <c r="CJ387" i="1"/>
  <c r="BW152" i="1"/>
  <c r="BW387" i="1"/>
  <c r="CH152" i="1"/>
  <c r="CM153" i="1" s="1"/>
  <c r="CH387" i="1"/>
  <c r="BV387" i="1"/>
  <c r="BV152" i="1"/>
  <c r="CG387" i="1"/>
  <c r="CG152" i="1"/>
  <c r="BZ152" i="1"/>
  <c r="BZ387" i="1"/>
  <c r="CE152" i="1"/>
  <c r="CE387" i="1"/>
  <c r="AK54" i="16"/>
  <c r="AF54" i="16"/>
  <c r="AH54" i="16" s="1"/>
  <c r="CF387" i="1"/>
  <c r="CF152" i="1"/>
  <c r="CJ426" i="1"/>
  <c r="CJ400" i="1"/>
  <c r="CJ403" i="1" s="1"/>
  <c r="CO404" i="1" s="1"/>
  <c r="BZ386" i="1"/>
  <c r="BZ141" i="1"/>
  <c r="CC152" i="1"/>
  <c r="CC387" i="1"/>
  <c r="AI62" i="18"/>
  <c r="BB62" i="18"/>
  <c r="BA62" i="18"/>
  <c r="CE386" i="1"/>
  <c r="CE141" i="1"/>
  <c r="CJ141" i="1"/>
  <c r="CO142" i="1" s="1"/>
  <c r="CJ386" i="1"/>
  <c r="CB152" i="1"/>
  <c r="CB387" i="1"/>
  <c r="S269" i="2"/>
  <c r="AS64" i="18"/>
  <c r="AS56" i="16"/>
  <c r="S79" i="2"/>
  <c r="S196" i="2" s="1"/>
  <c r="CJ502" i="1"/>
  <c r="CH386" i="1"/>
  <c r="CH141" i="1"/>
  <c r="CM142" i="1" s="1"/>
  <c r="CA387" i="1"/>
  <c r="CA152" i="1"/>
  <c r="CG386" i="1"/>
  <c r="CG141" i="1"/>
  <c r="BU152" i="1"/>
  <c r="BU387" i="1"/>
  <c r="CJ9" i="1"/>
  <c r="CO25" i="1" s="1"/>
  <c r="BW73" i="7"/>
  <c r="BW100" i="7" s="1"/>
  <c r="W12" i="16"/>
  <c r="W14" i="18"/>
  <c r="CF141" i="1"/>
  <c r="CF386" i="1"/>
  <c r="BU386" i="1"/>
  <c r="BU141" i="1"/>
  <c r="BW18" i="7"/>
  <c r="BW19" i="7" s="1"/>
  <c r="CJ414" i="1"/>
  <c r="CN499" i="1" l="1"/>
  <c r="CN9" i="1"/>
  <c r="CN502" i="1"/>
  <c r="CN421" i="1"/>
  <c r="AD151" i="3"/>
  <c r="AT14" i="18"/>
  <c r="AT12" i="16"/>
  <c r="CN426" i="1"/>
  <c r="CO539" i="1"/>
  <c r="CO427" i="1"/>
  <c r="CA110" i="7"/>
  <c r="CA126" i="7"/>
  <c r="CN414" i="1"/>
  <c r="CO536" i="1"/>
  <c r="CO422" i="1"/>
  <c r="CN487" i="1"/>
  <c r="CN486" i="1"/>
  <c r="CN489" i="1"/>
  <c r="CN492" i="1"/>
  <c r="T227" i="2"/>
  <c r="T229" i="2" s="1"/>
  <c r="T222" i="2"/>
  <c r="T194" i="2"/>
  <c r="T293" i="2"/>
  <c r="T298" i="2" s="1"/>
  <c r="T301" i="2" s="1"/>
  <c r="T303" i="2" s="1"/>
  <c r="T304" i="2" s="1"/>
  <c r="T254" i="2"/>
  <c r="T64" i="2"/>
  <c r="T255" i="2" s="1"/>
  <c r="AI56" i="16"/>
  <c r="AF56" i="16" s="1"/>
  <c r="BZ145" i="1"/>
  <c r="BZ142" i="1"/>
  <c r="BY387" i="1"/>
  <c r="AI64" i="18"/>
  <c r="AF64" i="18" s="1"/>
  <c r="BZ382" i="1"/>
  <c r="BZ227" i="1"/>
  <c r="BV153" i="1"/>
  <c r="BV156" i="1"/>
  <c r="BX153" i="1"/>
  <c r="BX156" i="1"/>
  <c r="BU153" i="1"/>
  <c r="BU156" i="1"/>
  <c r="CA145" i="1"/>
  <c r="CA142" i="1"/>
  <c r="CG142" i="1"/>
  <c r="CG145" i="1"/>
  <c r="CL142" i="1"/>
  <c r="W19" i="18"/>
  <c r="BW93" i="7"/>
  <c r="BW102" i="7" s="1"/>
  <c r="CJ10" i="1"/>
  <c r="CO26" i="1" s="1"/>
  <c r="W17" i="16"/>
  <c r="CJ280" i="1"/>
  <c r="CA382" i="1"/>
  <c r="CA227" i="1"/>
  <c r="BU142" i="1"/>
  <c r="BU145" i="1"/>
  <c r="CG382" i="1"/>
  <c r="CG227" i="1"/>
  <c r="CB156" i="1"/>
  <c r="CB153" i="1"/>
  <c r="CF156" i="1"/>
  <c r="CF153" i="1"/>
  <c r="CK153" i="1"/>
  <c r="CH156" i="1"/>
  <c r="CH153" i="1"/>
  <c r="BV382" i="1"/>
  <c r="BV227" i="1"/>
  <c r="BV228" i="1" s="1"/>
  <c r="BY386" i="1"/>
  <c r="BU227" i="1"/>
  <c r="BU228" i="1" s="1"/>
  <c r="BU382" i="1"/>
  <c r="CA153" i="1"/>
  <c r="CA156" i="1"/>
  <c r="CJ227" i="1"/>
  <c r="CO228" i="1" s="1"/>
  <c r="CJ382" i="1"/>
  <c r="CO383" i="1" s="1"/>
  <c r="BV145" i="1"/>
  <c r="BV142" i="1"/>
  <c r="CJ145" i="1"/>
  <c r="CJ142" i="1"/>
  <c r="BW156" i="1"/>
  <c r="BW153" i="1"/>
  <c r="CB142" i="1"/>
  <c r="CB145" i="1"/>
  <c r="CF382" i="1"/>
  <c r="CF227" i="1"/>
  <c r="CF145" i="1"/>
  <c r="CF142" i="1"/>
  <c r="CK142" i="1"/>
  <c r="CH145" i="1"/>
  <c r="CH142" i="1"/>
  <c r="CE145" i="1"/>
  <c r="CE142" i="1"/>
  <c r="CB227" i="1"/>
  <c r="CB382" i="1"/>
  <c r="CJ6" i="1"/>
  <c r="CO22" i="1" s="1"/>
  <c r="W16" i="18"/>
  <c r="CJ434" i="1"/>
  <c r="W14" i="16"/>
  <c r="CH382" i="1"/>
  <c r="CM383" i="1" s="1"/>
  <c r="CH227" i="1"/>
  <c r="CM228" i="1" s="1"/>
  <c r="CE382" i="1"/>
  <c r="CE227" i="1"/>
  <c r="CJ156" i="1"/>
  <c r="CJ153" i="1"/>
  <c r="BX382" i="1"/>
  <c r="BX227" i="1"/>
  <c r="BX228" i="1" s="1"/>
  <c r="CE156" i="1"/>
  <c r="CE153" i="1"/>
  <c r="BX145" i="1"/>
  <c r="BX142" i="1"/>
  <c r="W66" i="18"/>
  <c r="AC65" i="18"/>
  <c r="W68" i="18"/>
  <c r="BW142" i="1"/>
  <c r="BW145" i="1"/>
  <c r="AF62" i="18"/>
  <c r="AH62" i="18" s="1"/>
  <c r="AK62" i="18"/>
  <c r="BZ156" i="1"/>
  <c r="BZ153" i="1"/>
  <c r="AC57" i="16"/>
  <c r="W58" i="16"/>
  <c r="W60" i="16"/>
  <c r="BW227" i="1"/>
  <c r="BW228" i="1" s="1"/>
  <c r="BW382" i="1"/>
  <c r="AC12" i="16"/>
  <c r="CC142" i="1"/>
  <c r="CC145" i="1"/>
  <c r="AC14" i="18"/>
  <c r="CC156" i="1"/>
  <c r="CC153" i="1"/>
  <c r="CG156" i="1"/>
  <c r="CG153" i="1"/>
  <c r="CL153" i="1"/>
  <c r="CJ487" i="1"/>
  <c r="CJ499" i="1" s="1"/>
  <c r="CJ492" i="1"/>
  <c r="W73" i="18"/>
  <c r="CJ486" i="1"/>
  <c r="W65" i="16"/>
  <c r="BW10" i="7"/>
  <c r="BW36" i="7" s="1"/>
  <c r="CC227" i="1"/>
  <c r="CC382" i="1"/>
  <c r="CJ429" i="1"/>
  <c r="CQ421" i="1" l="1"/>
  <c r="CR413" i="1"/>
  <c r="CQ411" i="1"/>
  <c r="CN280" i="1"/>
  <c r="CN10" i="1"/>
  <c r="BK14" i="18"/>
  <c r="AJ14" i="18"/>
  <c r="CN434" i="1"/>
  <c r="AT14" i="16"/>
  <c r="CN6" i="1"/>
  <c r="AT16" i="18"/>
  <c r="AJ12" i="16"/>
  <c r="CO557" i="1"/>
  <c r="CO556" i="1"/>
  <c r="CA128" i="7"/>
  <c r="CA112" i="7"/>
  <c r="CN429" i="1"/>
  <c r="CO430" i="1"/>
  <c r="CO540" i="1"/>
  <c r="CO554" i="1"/>
  <c r="CO553" i="1"/>
  <c r="CO552" i="1"/>
  <c r="CO555" i="1"/>
  <c r="T259" i="2"/>
  <c r="BS73" i="18"/>
  <c r="CQ490" i="1"/>
  <c r="T65" i="2"/>
  <c r="CJ547" i="1"/>
  <c r="T200" i="2"/>
  <c r="T198" i="2"/>
  <c r="CC228" i="1"/>
  <c r="CJ445" i="1"/>
  <c r="CJ548" i="1"/>
  <c r="CJ228" i="1"/>
  <c r="CH228" i="1"/>
  <c r="W67" i="16"/>
  <c r="AC65" i="16"/>
  <c r="AC17" i="16"/>
  <c r="BW383" i="1"/>
  <c r="BW456" i="1"/>
  <c r="BW519" i="1" s="1"/>
  <c r="BW388" i="1"/>
  <c r="BW231" i="1"/>
  <c r="BW232" i="1" s="1"/>
  <c r="BW233" i="1" s="1"/>
  <c r="BW380" i="1"/>
  <c r="AC66" i="18"/>
  <c r="CG228" i="1"/>
  <c r="CL228" i="1"/>
  <c r="BW103" i="7"/>
  <c r="BZ228" i="1"/>
  <c r="AC73" i="18"/>
  <c r="W75" i="18"/>
  <c r="AC60" i="16"/>
  <c r="W62" i="16"/>
  <c r="CG388" i="1"/>
  <c r="CG231" i="1"/>
  <c r="CG232" i="1" s="1"/>
  <c r="CG383" i="1"/>
  <c r="CG456" i="1"/>
  <c r="CG519" i="1" s="1"/>
  <c r="CL383" i="1"/>
  <c r="AC19" i="18"/>
  <c r="BZ456" i="1"/>
  <c r="BZ519" i="1" s="1"/>
  <c r="BZ231" i="1"/>
  <c r="BZ232" i="1" s="1"/>
  <c r="BZ383" i="1"/>
  <c r="AC14" i="16"/>
  <c r="CF228" i="1"/>
  <c r="CK228" i="1"/>
  <c r="BU456" i="1"/>
  <c r="BU519" i="1" s="1"/>
  <c r="BU388" i="1"/>
  <c r="BY382" i="1"/>
  <c r="BU383" i="1"/>
  <c r="BU231" i="1"/>
  <c r="AC58" i="16"/>
  <c r="CF456" i="1"/>
  <c r="CF519" i="1" s="1"/>
  <c r="CF388" i="1"/>
  <c r="CF383" i="1"/>
  <c r="CF231" i="1"/>
  <c r="CF232" i="1" s="1"/>
  <c r="CK383" i="1"/>
  <c r="CH388" i="1"/>
  <c r="CM389" i="1" s="1"/>
  <c r="CH456" i="1"/>
  <c r="CH519" i="1" s="1"/>
  <c r="CH383" i="1"/>
  <c r="CH231" i="1"/>
  <c r="CH232" i="1" s="1"/>
  <c r="CM233" i="1" s="1"/>
  <c r="BW8" i="7"/>
  <c r="BW104" i="7" s="1"/>
  <c r="CJ546" i="1"/>
  <c r="CJ443" i="1"/>
  <c r="W22" i="18"/>
  <c r="CJ444" i="1"/>
  <c r="CJ545" i="1"/>
  <c r="CJ442" i="1"/>
  <c r="CJ441" i="1"/>
  <c r="W20" i="16"/>
  <c r="CJ13" i="1"/>
  <c r="CO14" i="1" s="1"/>
  <c r="BX456" i="1"/>
  <c r="BX519" i="1" s="1"/>
  <c r="BX383" i="1"/>
  <c r="BX380" i="1"/>
  <c r="BX231" i="1"/>
  <c r="BX232" i="1" s="1"/>
  <c r="BX233" i="1" s="1"/>
  <c r="AC16" i="18"/>
  <c r="CA228" i="1"/>
  <c r="CC456" i="1"/>
  <c r="CC519" i="1" s="1"/>
  <c r="CC231" i="1"/>
  <c r="CC232" i="1" s="1"/>
  <c r="CC388" i="1"/>
  <c r="CC383" i="1"/>
  <c r="CA383" i="1"/>
  <c r="CA456" i="1"/>
  <c r="CA519" i="1" s="1"/>
  <c r="CA231" i="1"/>
  <c r="CA232" i="1" s="1"/>
  <c r="CA388" i="1"/>
  <c r="CJ383" i="1"/>
  <c r="CJ388" i="1"/>
  <c r="CO389" i="1" s="1"/>
  <c r="CJ456" i="1"/>
  <c r="CJ231" i="1"/>
  <c r="CJ232" i="1" s="1"/>
  <c r="CO233" i="1" s="1"/>
  <c r="BV456" i="1"/>
  <c r="BV519" i="1" s="1"/>
  <c r="BV231" i="1"/>
  <c r="BV232" i="1" s="1"/>
  <c r="BV233" i="1" s="1"/>
  <c r="BV383" i="1"/>
  <c r="BV380" i="1"/>
  <c r="BV388" i="1"/>
  <c r="CE228" i="1"/>
  <c r="CB456" i="1"/>
  <c r="CB519" i="1" s="1"/>
  <c r="CB383" i="1"/>
  <c r="CB388" i="1"/>
  <c r="CB231" i="1"/>
  <c r="CB232" i="1" s="1"/>
  <c r="AC68" i="18"/>
  <c r="W70" i="18"/>
  <c r="CE456" i="1"/>
  <c r="CE519" i="1" s="1"/>
  <c r="CE231" i="1"/>
  <c r="CE232" i="1" s="1"/>
  <c r="CE383" i="1"/>
  <c r="CE388" i="1"/>
  <c r="CB228" i="1"/>
  <c r="CR421" i="1" l="1"/>
  <c r="CS413" i="1"/>
  <c r="CR411" i="1"/>
  <c r="AE151" i="3"/>
  <c r="AU12" i="16"/>
  <c r="AU13" i="16" s="1"/>
  <c r="AU14" i="18"/>
  <c r="CQ9" i="1"/>
  <c r="CQ414" i="1"/>
  <c r="CQ419" i="1"/>
  <c r="CQ535" i="1"/>
  <c r="AJ16" i="18"/>
  <c r="CN13" i="1"/>
  <c r="CN545" i="1"/>
  <c r="AG14" i="18"/>
  <c r="AJ14" i="16"/>
  <c r="CN445" i="1"/>
  <c r="T327" i="2"/>
  <c r="AG12" i="16"/>
  <c r="BK16" i="18"/>
  <c r="CN548" i="1"/>
  <c r="CN443" i="1"/>
  <c r="CN442" i="1"/>
  <c r="CN441" i="1"/>
  <c r="CN546" i="1"/>
  <c r="CN444" i="1"/>
  <c r="CN547" i="1"/>
  <c r="BW120" i="7"/>
  <c r="CA113" i="7"/>
  <c r="CE233" i="1"/>
  <c r="BS75" i="18"/>
  <c r="BT74" i="18"/>
  <c r="CJ519" i="1"/>
  <c r="T333" i="2"/>
  <c r="T85" i="2"/>
  <c r="T86" i="2" s="1"/>
  <c r="T273" i="2"/>
  <c r="T274" i="2" s="1"/>
  <c r="CJ233" i="1"/>
  <c r="BR30" i="7"/>
  <c r="CG233" i="1"/>
  <c r="CL233" i="1"/>
  <c r="BS30" i="7"/>
  <c r="CC233" i="1"/>
  <c r="CG389" i="1"/>
  <c r="BU30" i="7"/>
  <c r="CL389" i="1"/>
  <c r="CH389" i="1"/>
  <c r="BV30" i="7"/>
  <c r="AC20" i="16"/>
  <c r="X22" i="16"/>
  <c r="AC62" i="16"/>
  <c r="CF389" i="1"/>
  <c r="BT30" i="7"/>
  <c r="CK389" i="1"/>
  <c r="BW389" i="1"/>
  <c r="BM30" i="7"/>
  <c r="CF233" i="1"/>
  <c r="CK233" i="1"/>
  <c r="AC75" i="18"/>
  <c r="CJ15" i="1"/>
  <c r="AC70" i="18"/>
  <c r="CB233" i="1"/>
  <c r="AC22" i="18"/>
  <c r="X24" i="18"/>
  <c r="CJ389" i="1"/>
  <c r="BW30" i="7"/>
  <c r="CB389" i="1"/>
  <c r="BQ30" i="7"/>
  <c r="BP30" i="7"/>
  <c r="CA389" i="1"/>
  <c r="BW105" i="7"/>
  <c r="CA233" i="1"/>
  <c r="BU232" i="1"/>
  <c r="BU233" i="1" s="1"/>
  <c r="BY231" i="1"/>
  <c r="BY526" i="1"/>
  <c r="BY456" i="1"/>
  <c r="BY379" i="1"/>
  <c r="BY383" i="1"/>
  <c r="AC67" i="16"/>
  <c r="BW118" i="7"/>
  <c r="BW121" i="7"/>
  <c r="BW119" i="7"/>
  <c r="BW116" i="7"/>
  <c r="BW117" i="7"/>
  <c r="BL30" i="7"/>
  <c r="BV389" i="1"/>
  <c r="CH233" i="1"/>
  <c r="BK30" i="7"/>
  <c r="BU389" i="1"/>
  <c r="CH411" i="1"/>
  <c r="CH294" i="1"/>
  <c r="CM295" i="1" s="1"/>
  <c r="CH481" i="1"/>
  <c r="AF151" i="3" l="1"/>
  <c r="CR9" i="1"/>
  <c r="AV14" i="18"/>
  <c r="AV12" i="16"/>
  <c r="CR535" i="1"/>
  <c r="CR419" i="1"/>
  <c r="CR414" i="1"/>
  <c r="CS421" i="1"/>
  <c r="CT413" i="1"/>
  <c r="CS411" i="1"/>
  <c r="CQ6" i="1"/>
  <c r="CQ22" i="1" s="1"/>
  <c r="AU15" i="18"/>
  <c r="CN15" i="1"/>
  <c r="AU16" i="18"/>
  <c r="AU14" i="16"/>
  <c r="AU15" i="16" s="1"/>
  <c r="CQ422" i="1"/>
  <c r="CQ536" i="1"/>
  <c r="CQ25" i="1"/>
  <c r="BL14" i="18"/>
  <c r="AG16" i="18"/>
  <c r="CN17" i="1"/>
  <c r="AG14" i="16"/>
  <c r="T329" i="2"/>
  <c r="T288" i="2"/>
  <c r="CM535" i="1"/>
  <c r="CM419" i="1"/>
  <c r="BZ233" i="1"/>
  <c r="CH426" i="1"/>
  <c r="CH400" i="1"/>
  <c r="CH403" i="1" s="1"/>
  <c r="CM404" i="1" s="1"/>
  <c r="CH9" i="1"/>
  <c r="CM25" i="1" s="1"/>
  <c r="BV73" i="7"/>
  <c r="BV100" i="7" s="1"/>
  <c r="V12" i="16"/>
  <c r="V13" i="16" s="1"/>
  <c r="CH419" i="1"/>
  <c r="V14" i="18"/>
  <c r="V15" i="18" s="1"/>
  <c r="CH535" i="1"/>
  <c r="BY519" i="1"/>
  <c r="Q333" i="2"/>
  <c r="BY225" i="1"/>
  <c r="CS55" i="7" s="1"/>
  <c r="CD231" i="1"/>
  <c r="BY232" i="1"/>
  <c r="BV18" i="7"/>
  <c r="BV19" i="7" s="1"/>
  <c r="CH482" i="1"/>
  <c r="V57" i="16"/>
  <c r="CH484" i="1"/>
  <c r="CM485" i="1" s="1"/>
  <c r="BV23" i="7"/>
  <c r="BV28" i="7" s="1"/>
  <c r="V65" i="18"/>
  <c r="CH414" i="1"/>
  <c r="CN19" i="1" l="1"/>
  <c r="CQ18" i="1"/>
  <c r="AV13" i="16"/>
  <c r="BL16" i="18"/>
  <c r="AU17" i="18"/>
  <c r="BM14" i="18"/>
  <c r="AV15" i="18"/>
  <c r="CR536" i="1"/>
  <c r="AV14" i="16"/>
  <c r="AV15" i="16" s="1"/>
  <c r="AV16" i="18"/>
  <c r="CR422" i="1"/>
  <c r="CR25" i="1"/>
  <c r="CR6" i="1"/>
  <c r="CR22" i="1" s="1"/>
  <c r="CT411" i="1"/>
  <c r="BS22" i="18"/>
  <c r="BT23" i="18" s="1"/>
  <c r="AW14" i="18"/>
  <c r="AG151" i="3"/>
  <c r="CS419" i="1"/>
  <c r="CS535" i="1"/>
  <c r="CS9" i="1"/>
  <c r="CS25" i="1" s="1"/>
  <c r="CS414" i="1"/>
  <c r="CT421" i="1"/>
  <c r="CU413" i="1"/>
  <c r="BZ110" i="7"/>
  <c r="BZ126" i="7"/>
  <c r="CM539" i="1"/>
  <c r="CM427" i="1"/>
  <c r="CM536" i="1"/>
  <c r="CM422" i="1"/>
  <c r="BY227" i="1"/>
  <c r="BY233" i="1"/>
  <c r="BV126" i="7"/>
  <c r="BV110" i="7"/>
  <c r="CH6" i="1"/>
  <c r="CH25" i="1"/>
  <c r="V68" i="18"/>
  <c r="V66" i="18"/>
  <c r="CH280" i="1"/>
  <c r="V19" i="18"/>
  <c r="BV93" i="7"/>
  <c r="BV102" i="7" s="1"/>
  <c r="V17" i="16"/>
  <c r="CH10" i="1"/>
  <c r="CM26" i="1" s="1"/>
  <c r="V14" i="16"/>
  <c r="V16" i="18"/>
  <c r="CH434" i="1"/>
  <c r="CI231" i="1"/>
  <c r="CN231" i="1" s="1"/>
  <c r="CD225" i="1"/>
  <c r="CT55" i="7" s="1"/>
  <c r="CD232" i="1"/>
  <c r="CD382" i="1"/>
  <c r="BV10" i="7"/>
  <c r="BV36" i="7" s="1"/>
  <c r="CH487" i="1"/>
  <c r="CH499" i="1" s="1"/>
  <c r="CH492" i="1"/>
  <c r="CH486" i="1"/>
  <c r="V65" i="16"/>
  <c r="V73" i="18"/>
  <c r="V60" i="16"/>
  <c r="V58" i="16"/>
  <c r="AW16" i="18" l="1"/>
  <c r="CS422" i="1"/>
  <c r="CS536" i="1"/>
  <c r="CV413" i="1"/>
  <c r="CU421" i="1"/>
  <c r="CU411" i="1"/>
  <c r="BM16" i="18"/>
  <c r="AV17" i="18"/>
  <c r="AX14" i="18"/>
  <c r="CT419" i="1"/>
  <c r="CT535" i="1"/>
  <c r="CT414" i="1"/>
  <c r="CT9" i="1"/>
  <c r="AH151" i="3"/>
  <c r="AW15" i="18"/>
  <c r="BN14" i="18"/>
  <c r="CS6" i="1"/>
  <c r="CS22" i="1" s="1"/>
  <c r="CN232" i="1"/>
  <c r="CN382" i="1"/>
  <c r="CN225" i="1"/>
  <c r="BZ128" i="7"/>
  <c r="BZ112" i="7"/>
  <c r="CH22" i="1"/>
  <c r="CM22" i="1"/>
  <c r="V70" i="18"/>
  <c r="CH429" i="1"/>
  <c r="V62" i="16"/>
  <c r="CD227" i="1"/>
  <c r="CD233" i="1"/>
  <c r="CD526" i="1"/>
  <c r="CD456" i="1"/>
  <c r="CD383" i="1"/>
  <c r="V75" i="18"/>
  <c r="V67" i="16"/>
  <c r="CI382" i="1"/>
  <c r="CI232" i="1"/>
  <c r="CI225" i="1"/>
  <c r="CU55" i="7" s="1"/>
  <c r="BV103" i="7"/>
  <c r="BY285" i="1"/>
  <c r="BY228" i="1"/>
  <c r="AA244" i="3"/>
  <c r="AW17" i="18" l="1"/>
  <c r="BN16" i="18"/>
  <c r="CV421" i="1"/>
  <c r="CW413" i="1"/>
  <c r="CV411" i="1"/>
  <c r="AY14" i="18"/>
  <c r="AI151" i="3"/>
  <c r="CU9" i="1"/>
  <c r="CU419" i="1"/>
  <c r="CU535" i="1"/>
  <c r="CU414" i="1"/>
  <c r="BO14" i="18"/>
  <c r="AX15" i="18"/>
  <c r="CT536" i="1"/>
  <c r="CT422" i="1"/>
  <c r="AX16" i="18"/>
  <c r="CT6" i="1"/>
  <c r="CT22" i="1" s="1"/>
  <c r="CT25" i="1"/>
  <c r="CN388" i="1"/>
  <c r="CN383" i="1"/>
  <c r="CN456" i="1"/>
  <c r="CN519" i="1" s="1"/>
  <c r="CN526" i="1"/>
  <c r="CN227" i="1"/>
  <c r="CN233" i="1"/>
  <c r="BV120" i="7"/>
  <c r="BZ113" i="7"/>
  <c r="CM430" i="1"/>
  <c r="CM540" i="1"/>
  <c r="CM554" i="1"/>
  <c r="CM553" i="1"/>
  <c r="CM552" i="1"/>
  <c r="CM555" i="1"/>
  <c r="CM556" i="1"/>
  <c r="CM557" i="1"/>
  <c r="R333" i="2"/>
  <c r="CD519" i="1"/>
  <c r="CI233" i="1"/>
  <c r="CI227" i="1"/>
  <c r="AB244" i="3"/>
  <c r="CD228" i="1"/>
  <c r="CD285" i="1"/>
  <c r="CH548" i="1"/>
  <c r="CH13" i="1"/>
  <c r="CM14" i="1" s="1"/>
  <c r="CH546" i="1"/>
  <c r="CH441" i="1"/>
  <c r="CH444" i="1"/>
  <c r="CH442" i="1"/>
  <c r="CH443" i="1"/>
  <c r="BV8" i="7"/>
  <c r="BV104" i="7" s="1"/>
  <c r="BV105" i="7" s="1"/>
  <c r="V22" i="18"/>
  <c r="CH545" i="1"/>
  <c r="V20" i="16"/>
  <c r="CH547" i="1"/>
  <c r="CH445" i="1"/>
  <c r="CQ231" i="1"/>
  <c r="CV55" i="7"/>
  <c r="CI456" i="1"/>
  <c r="CI388" i="1"/>
  <c r="CI526" i="1"/>
  <c r="CI383" i="1"/>
  <c r="BV116" i="7"/>
  <c r="BV119" i="7"/>
  <c r="BV117" i="7"/>
  <c r="BV121" i="7"/>
  <c r="BV118" i="7"/>
  <c r="BU18" i="7"/>
  <c r="BU19" i="7" s="1"/>
  <c r="CG411" i="1"/>
  <c r="CG294" i="1"/>
  <c r="CG481" i="1"/>
  <c r="CG498" i="1"/>
  <c r="AY16" i="18" l="1"/>
  <c r="CU422" i="1"/>
  <c r="CU536" i="1"/>
  <c r="CW411" i="1"/>
  <c r="CW421" i="1"/>
  <c r="AJ151" i="3"/>
  <c r="CV9" i="1"/>
  <c r="CV419" i="1"/>
  <c r="CV535" i="1"/>
  <c r="CV414" i="1"/>
  <c r="BP14" i="18"/>
  <c r="AY15" i="18"/>
  <c r="CU25" i="1"/>
  <c r="CU6" i="1"/>
  <c r="CU22" i="1" s="1"/>
  <c r="BO16" i="18"/>
  <c r="AX17" i="18"/>
  <c r="CN285" i="1"/>
  <c r="CN228" i="1"/>
  <c r="CN389" i="1"/>
  <c r="CL535" i="1"/>
  <c r="CG419" i="1"/>
  <c r="BU73" i="7"/>
  <c r="BU100" i="7" s="1"/>
  <c r="CL419" i="1"/>
  <c r="U12" i="16"/>
  <c r="U13" i="16" s="1"/>
  <c r="CG535" i="1"/>
  <c r="U14" i="18"/>
  <c r="U15" i="18" s="1"/>
  <c r="CG9" i="1"/>
  <c r="CQ232" i="1"/>
  <c r="CQ382" i="1"/>
  <c r="CR231" i="1"/>
  <c r="CQ225" i="1"/>
  <c r="CW55" i="7" s="1"/>
  <c r="CH15" i="1"/>
  <c r="CG502" i="1"/>
  <c r="CL500" i="1"/>
  <c r="U57" i="16"/>
  <c r="CG484" i="1"/>
  <c r="BU23" i="7"/>
  <c r="BU28" i="7" s="1"/>
  <c r="CG482" i="1"/>
  <c r="U65" i="18"/>
  <c r="W22" i="16"/>
  <c r="AC244" i="3"/>
  <c r="CI228" i="1"/>
  <c r="CI285" i="1"/>
  <c r="S333" i="2"/>
  <c r="CI519" i="1"/>
  <c r="CL295" i="1"/>
  <c r="W24" i="18"/>
  <c r="CG426" i="1"/>
  <c r="CG400" i="1"/>
  <c r="CG403" i="1" s="1"/>
  <c r="CG414" i="1"/>
  <c r="CW9" i="1" l="1"/>
  <c r="CW419" i="1"/>
  <c r="BP16" i="18"/>
  <c r="AY17" i="18"/>
  <c r="AK151" i="3"/>
  <c r="CW535" i="1"/>
  <c r="CW414" i="1"/>
  <c r="CV25" i="1"/>
  <c r="CV6" i="1"/>
  <c r="CV22" i="1" s="1"/>
  <c r="CV536" i="1"/>
  <c r="CV422" i="1"/>
  <c r="CG10" i="1"/>
  <c r="U17" i="16"/>
  <c r="U19" i="18"/>
  <c r="BU93" i="7"/>
  <c r="BU102" i="7" s="1"/>
  <c r="CG280" i="1"/>
  <c r="CL427" i="1"/>
  <c r="CL539" i="1"/>
  <c r="CR232" i="1"/>
  <c r="CR225" i="1"/>
  <c r="CX55" i="7" s="1"/>
  <c r="CR382" i="1"/>
  <c r="CS231" i="1"/>
  <c r="CQ383" i="1"/>
  <c r="CQ526" i="1"/>
  <c r="CQ233" i="1"/>
  <c r="CQ227" i="1"/>
  <c r="U66" i="18"/>
  <c r="U68" i="18"/>
  <c r="CL25" i="1"/>
  <c r="CG6" i="1"/>
  <c r="CG25" i="1"/>
  <c r="CG492" i="1"/>
  <c r="U73" i="18"/>
  <c r="BU10" i="7"/>
  <c r="BU36" i="7" s="1"/>
  <c r="U65" i="16"/>
  <c r="CG487" i="1"/>
  <c r="CG499" i="1" s="1"/>
  <c r="CG486" i="1"/>
  <c r="CL485" i="1"/>
  <c r="U60" i="16"/>
  <c r="U58" i="16"/>
  <c r="CG434" i="1"/>
  <c r="U14" i="16"/>
  <c r="U16" i="18"/>
  <c r="CL422" i="1"/>
  <c r="CL536" i="1"/>
  <c r="AD244" i="3"/>
  <c r="BU110" i="7"/>
  <c r="BY110" i="7"/>
  <c r="BY126" i="7"/>
  <c r="BU126" i="7"/>
  <c r="CL404" i="1"/>
  <c r="CG429" i="1"/>
  <c r="CG547" i="1" s="1"/>
  <c r="CW25" i="1" l="1"/>
  <c r="CW6" i="1"/>
  <c r="CW22" i="1" s="1"/>
  <c r="CW536" i="1"/>
  <c r="CW422" i="1"/>
  <c r="CR227" i="1"/>
  <c r="CR233" i="1"/>
  <c r="CG443" i="1"/>
  <c r="U22" i="18"/>
  <c r="U20" i="16"/>
  <c r="BU8" i="7"/>
  <c r="BU104" i="7" s="1"/>
  <c r="CG545" i="1"/>
  <c r="CG444" i="1"/>
  <c r="CG13" i="1"/>
  <c r="CG442" i="1"/>
  <c r="CG546" i="1"/>
  <c r="CG441" i="1"/>
  <c r="CL540" i="1"/>
  <c r="CL554" i="1"/>
  <c r="CL552" i="1"/>
  <c r="CL553" i="1"/>
  <c r="CL430" i="1"/>
  <c r="CL555" i="1"/>
  <c r="U62" i="16"/>
  <c r="CQ228" i="1"/>
  <c r="AE244" i="3"/>
  <c r="CQ285" i="1"/>
  <c r="CQ294" i="1"/>
  <c r="CG445" i="1"/>
  <c r="CG548" i="1"/>
  <c r="U70" i="18"/>
  <c r="BU103" i="7"/>
  <c r="BU120" i="7" s="1"/>
  <c r="BY112" i="7"/>
  <c r="BY128" i="7"/>
  <c r="CL557" i="1"/>
  <c r="CL22" i="1"/>
  <c r="CG22" i="1"/>
  <c r="K2" i="5"/>
  <c r="CT231" i="1"/>
  <c r="CS382" i="1"/>
  <c r="CS232" i="1"/>
  <c r="CS225" i="1"/>
  <c r="CY55" i="7" s="1"/>
  <c r="CL556" i="1"/>
  <c r="U67" i="16"/>
  <c r="CR526" i="1"/>
  <c r="CR383" i="1"/>
  <c r="U75" i="18"/>
  <c r="CL26" i="1"/>
  <c r="CF411" i="1"/>
  <c r="BT18" i="7"/>
  <c r="BT19" i="7" s="1"/>
  <c r="CF294" i="1"/>
  <c r="CF481" i="1"/>
  <c r="CF498" i="1"/>
  <c r="BK463" i="1"/>
  <c r="BL463" i="1"/>
  <c r="BM463" i="1"/>
  <c r="BN463" i="1"/>
  <c r="BR463" i="1"/>
  <c r="BS463" i="1"/>
  <c r="CE294" i="1"/>
  <c r="CE411" i="1"/>
  <c r="CE481" i="1"/>
  <c r="CE498" i="1"/>
  <c r="BS18" i="7"/>
  <c r="BS19" i="7" s="1"/>
  <c r="CC476" i="1"/>
  <c r="CB476" i="1"/>
  <c r="CA476" i="1"/>
  <c r="BZ476" i="1"/>
  <c r="BX476" i="1"/>
  <c r="BW476" i="1"/>
  <c r="BV476" i="1"/>
  <c r="BU476" i="1"/>
  <c r="BS476" i="1"/>
  <c r="BR476" i="1"/>
  <c r="BQ476" i="1"/>
  <c r="BP476" i="1"/>
  <c r="BN476" i="1"/>
  <c r="BM476" i="1"/>
  <c r="BL476" i="1"/>
  <c r="BK476" i="1"/>
  <c r="BI476" i="1"/>
  <c r="BB26" i="7" s="1"/>
  <c r="BB28" i="7" s="1"/>
  <c r="BH476" i="1"/>
  <c r="BG476" i="1"/>
  <c r="BF476" i="1"/>
  <c r="BS465" i="1" l="1"/>
  <c r="BS52" i="1"/>
  <c r="BJ12" i="7" s="1"/>
  <c r="BS518" i="1"/>
  <c r="CI294" i="1"/>
  <c r="CN295" i="1" s="1"/>
  <c r="CJ295" i="1"/>
  <c r="K54" i="16"/>
  <c r="BK26" i="7"/>
  <c r="K62" i="18"/>
  <c r="BU477" i="1"/>
  <c r="BY476" i="1"/>
  <c r="BV477" i="1"/>
  <c r="L54" i="16"/>
  <c r="BL26" i="7"/>
  <c r="L62" i="18"/>
  <c r="BJ476" i="1"/>
  <c r="AY26" i="7"/>
  <c r="AY28" i="7" s="1"/>
  <c r="BF477" i="1"/>
  <c r="BM26" i="7"/>
  <c r="M54" i="16"/>
  <c r="BW477" i="1"/>
  <c r="M62" i="18"/>
  <c r="CG15" i="1"/>
  <c r="CL14" i="1"/>
  <c r="BX477" i="1"/>
  <c r="N62" i="18"/>
  <c r="N54" i="16"/>
  <c r="BN26" i="7"/>
  <c r="BA26" i="7"/>
  <c r="BA28" i="7" s="1"/>
  <c r="BH477" i="1"/>
  <c r="O62" i="18"/>
  <c r="O54" i="16"/>
  <c r="CD476" i="1"/>
  <c r="BO26" i="7"/>
  <c r="BZ477" i="1"/>
  <c r="BU118" i="7"/>
  <c r="BU119" i="7"/>
  <c r="BU116" i="7"/>
  <c r="BU121" i="7"/>
  <c r="BU117" i="7"/>
  <c r="BY113" i="7"/>
  <c r="BD26" i="7"/>
  <c r="BD28" i="7" s="1"/>
  <c r="D54" i="16"/>
  <c r="D62" i="18"/>
  <c r="AZ26" i="7"/>
  <c r="AZ28" i="7" s="1"/>
  <c r="BG477" i="1"/>
  <c r="P54" i="16"/>
  <c r="CA477" i="1"/>
  <c r="BP26" i="7"/>
  <c r="P62" i="18"/>
  <c r="CF502" i="1"/>
  <c r="CK500" i="1"/>
  <c r="CS227" i="1"/>
  <c r="CS233" i="1"/>
  <c r="J62" i="18"/>
  <c r="J54" i="16"/>
  <c r="BJ26" i="7"/>
  <c r="BO476" i="1"/>
  <c r="C54" i="16"/>
  <c r="BC26" i="7"/>
  <c r="BC28" i="7" s="1"/>
  <c r="C62" i="18"/>
  <c r="BQ26" i="7"/>
  <c r="Q62" i="18"/>
  <c r="Q54" i="16"/>
  <c r="CB477" i="1"/>
  <c r="CI498" i="1"/>
  <c r="CE502" i="1"/>
  <c r="CJ500" i="1"/>
  <c r="T57" i="16"/>
  <c r="T65" i="18"/>
  <c r="CF482" i="1"/>
  <c r="BT23" i="7"/>
  <c r="BT28" i="7" s="1"/>
  <c r="CF484" i="1"/>
  <c r="CS383" i="1"/>
  <c r="CS526" i="1"/>
  <c r="BU105" i="7"/>
  <c r="CC477" i="1"/>
  <c r="R54" i="16"/>
  <c r="BR26" i="7"/>
  <c r="R62" i="18"/>
  <c r="CF535" i="1"/>
  <c r="CF9" i="1"/>
  <c r="BT73" i="7"/>
  <c r="BT100" i="7" s="1"/>
  <c r="CF419" i="1"/>
  <c r="T12" i="16"/>
  <c r="CK419" i="1"/>
  <c r="T14" i="18"/>
  <c r="CK535" i="1"/>
  <c r="CT225" i="1"/>
  <c r="CT382" i="1"/>
  <c r="CU231" i="1"/>
  <c r="CT232" i="1"/>
  <c r="V22" i="16"/>
  <c r="BT463" i="1"/>
  <c r="BR465" i="1"/>
  <c r="BR52" i="1"/>
  <c r="BI12" i="7" s="1"/>
  <c r="BR518" i="1"/>
  <c r="V24" i="18"/>
  <c r="BE26" i="7"/>
  <c r="BE28" i="7" s="1"/>
  <c r="E54" i="16"/>
  <c r="E62" i="18"/>
  <c r="CQ295" i="1"/>
  <c r="L2" i="5"/>
  <c r="F62" i="18"/>
  <c r="BF26" i="7"/>
  <c r="BF28" i="7" s="1"/>
  <c r="F54" i="16"/>
  <c r="BN465" i="1"/>
  <c r="BN471" i="1"/>
  <c r="BN518" i="1"/>
  <c r="BN52" i="1"/>
  <c r="BF12" i="7" s="1"/>
  <c r="H54" i="16"/>
  <c r="H62" i="18"/>
  <c r="BH26" i="7"/>
  <c r="CE426" i="1"/>
  <c r="CE400" i="1"/>
  <c r="CE403" i="1" s="1"/>
  <c r="BL518" i="1"/>
  <c r="BL465" i="1"/>
  <c r="BL52" i="1"/>
  <c r="BD12" i="7" s="1"/>
  <c r="BL471" i="1"/>
  <c r="CF426" i="1"/>
  <c r="CF400" i="1"/>
  <c r="CF403" i="1" s="1"/>
  <c r="S57" i="16"/>
  <c r="CI481" i="1"/>
  <c r="BS23" i="7"/>
  <c r="BS28" i="7" s="1"/>
  <c r="S65" i="18"/>
  <c r="CE482" i="1"/>
  <c r="CE484" i="1"/>
  <c r="BG26" i="7"/>
  <c r="G62" i="18"/>
  <c r="BT476" i="1"/>
  <c r="G54" i="16"/>
  <c r="BM465" i="1"/>
  <c r="BM466" i="1" s="1"/>
  <c r="BM518" i="1"/>
  <c r="BM471" i="1"/>
  <c r="BM52" i="1"/>
  <c r="BE12" i="7" s="1"/>
  <c r="CK295" i="1"/>
  <c r="I54" i="16"/>
  <c r="I62" i="18"/>
  <c r="BI26" i="7"/>
  <c r="CE9" i="1"/>
  <c r="BS73" i="7"/>
  <c r="BS100" i="7" s="1"/>
  <c r="CI411" i="1"/>
  <c r="S12" i="16"/>
  <c r="S14" i="18"/>
  <c r="CE419" i="1"/>
  <c r="CE535" i="1"/>
  <c r="CJ419" i="1"/>
  <c r="CJ535" i="1"/>
  <c r="BK52" i="1"/>
  <c r="BC12" i="7" s="1"/>
  <c r="BK465" i="1"/>
  <c r="BO463" i="1"/>
  <c r="BK471" i="1"/>
  <c r="BK518" i="1"/>
  <c r="CR294" i="1"/>
  <c r="AF244" i="3"/>
  <c r="CR228" i="1"/>
  <c r="CR285" i="1"/>
  <c r="CF414" i="1"/>
  <c r="CE414" i="1"/>
  <c r="CN535" i="1" l="1"/>
  <c r="CN419" i="1"/>
  <c r="CI414" i="1"/>
  <c r="CE434" i="1"/>
  <c r="S16" i="18"/>
  <c r="S14" i="16"/>
  <c r="CJ536" i="1"/>
  <c r="CJ422" i="1"/>
  <c r="CR295" i="1"/>
  <c r="M2" i="5"/>
  <c r="AC151" i="3"/>
  <c r="CI9" i="1"/>
  <c r="CN25" i="1" s="1"/>
  <c r="CI419" i="1"/>
  <c r="AS14" i="18"/>
  <c r="AS12" i="16"/>
  <c r="CI535" i="1"/>
  <c r="CJ404" i="1"/>
  <c r="CU382" i="1"/>
  <c r="CU225" i="1"/>
  <c r="CV231" i="1"/>
  <c r="CU232" i="1"/>
  <c r="CS285" i="1"/>
  <c r="AG244" i="3"/>
  <c r="CS294" i="1"/>
  <c r="CS228" i="1"/>
  <c r="K69" i="4"/>
  <c r="CI499" i="1"/>
  <c r="AC15" i="3"/>
  <c r="S271" i="2" s="1"/>
  <c r="CI502" i="1"/>
  <c r="BK477" i="1"/>
  <c r="BK472" i="1"/>
  <c r="C58" i="18"/>
  <c r="C60" i="18" s="1"/>
  <c r="C50" i="16"/>
  <c r="C52" i="16" s="1"/>
  <c r="CE25" i="1"/>
  <c r="CE6" i="1"/>
  <c r="CJ25" i="1"/>
  <c r="BS10" i="7"/>
  <c r="BS36" i="7" s="1"/>
  <c r="CE492" i="1"/>
  <c r="CE486" i="1"/>
  <c r="S73" i="18"/>
  <c r="S65" i="16"/>
  <c r="CE487" i="1"/>
  <c r="CE499" i="1" s="1"/>
  <c r="CJ485" i="1"/>
  <c r="BS126" i="7"/>
  <c r="BS110" i="7"/>
  <c r="BW126" i="7"/>
  <c r="BW110" i="7"/>
  <c r="CT526" i="1"/>
  <c r="CT383" i="1"/>
  <c r="BO471" i="1"/>
  <c r="BO518" i="1"/>
  <c r="BO521" i="1" s="1"/>
  <c r="O277" i="2"/>
  <c r="O266" i="2"/>
  <c r="O275" i="2" s="1"/>
  <c r="BO52" i="1"/>
  <c r="CQ12" i="7" s="1"/>
  <c r="BO467" i="1"/>
  <c r="F6" i="5" s="1"/>
  <c r="BO465" i="1"/>
  <c r="BY477" i="1"/>
  <c r="Q267" i="2"/>
  <c r="AQ62" i="18"/>
  <c r="Q78" i="2"/>
  <c r="BY479" i="1"/>
  <c r="AQ54" i="16"/>
  <c r="BS93" i="7"/>
  <c r="BS102" i="7" s="1"/>
  <c r="S17" i="16"/>
  <c r="CE280" i="1"/>
  <c r="S19" i="18"/>
  <c r="CI426" i="1"/>
  <c r="CE10" i="1"/>
  <c r="CJ427" i="1"/>
  <c r="CJ539" i="1"/>
  <c r="BK466" i="1"/>
  <c r="BP466" i="1"/>
  <c r="S66" i="18"/>
  <c r="S68" i="18"/>
  <c r="AB65" i="18"/>
  <c r="S57" i="2"/>
  <c r="CI482" i="1"/>
  <c r="S80" i="2"/>
  <c r="AS65" i="18"/>
  <c r="AS57" i="16"/>
  <c r="CI484" i="1"/>
  <c r="CN485" i="1" s="1"/>
  <c r="S81" i="2"/>
  <c r="X15" i="18"/>
  <c r="T15" i="18"/>
  <c r="CF486" i="1"/>
  <c r="CF492" i="1"/>
  <c r="T73" i="18"/>
  <c r="BT10" i="7"/>
  <c r="BT36" i="7" s="1"/>
  <c r="CF487" i="1"/>
  <c r="CF499" i="1" s="1"/>
  <c r="T65" i="16"/>
  <c r="CK485" i="1"/>
  <c r="S58" i="16"/>
  <c r="AB57" i="16"/>
  <c r="S60" i="16"/>
  <c r="F58" i="18"/>
  <c r="F60" i="18" s="1"/>
  <c r="F50" i="16"/>
  <c r="F52" i="16" s="1"/>
  <c r="BN472" i="1"/>
  <c r="BN477" i="1"/>
  <c r="T14" i="16"/>
  <c r="T16" i="18"/>
  <c r="CF434" i="1"/>
  <c r="CK536" i="1"/>
  <c r="CK422" i="1"/>
  <c r="CK404" i="1"/>
  <c r="BR466" i="1"/>
  <c r="BW466" i="1"/>
  <c r="T13" i="16"/>
  <c r="X13" i="16"/>
  <c r="R267" i="2"/>
  <c r="CD477" i="1"/>
  <c r="AR62" i="18"/>
  <c r="AR54" i="16"/>
  <c r="CD479" i="1"/>
  <c r="R78" i="2"/>
  <c r="T19" i="18"/>
  <c r="CF10" i="1"/>
  <c r="T17" i="16"/>
  <c r="CF280" i="1"/>
  <c r="BT93" i="7"/>
  <c r="BT102" i="7" s="1"/>
  <c r="CK427" i="1"/>
  <c r="CK539" i="1"/>
  <c r="BT52" i="1"/>
  <c r="CR12" i="7" s="1"/>
  <c r="P345" i="2"/>
  <c r="P93" i="2" s="1"/>
  <c r="BT467" i="1"/>
  <c r="G6" i="5" s="1"/>
  <c r="P277" i="2"/>
  <c r="P266" i="2"/>
  <c r="P275" i="2" s="1"/>
  <c r="BT518" i="1"/>
  <c r="BT521" i="1" s="1"/>
  <c r="BT465" i="1"/>
  <c r="BO477" i="1"/>
  <c r="O78" i="2"/>
  <c r="O267" i="2"/>
  <c r="BL472" i="1"/>
  <c r="D50" i="16"/>
  <c r="D52" i="16" s="1"/>
  <c r="D58" i="18"/>
  <c r="D60" i="18" s="1"/>
  <c r="BL477" i="1"/>
  <c r="BT110" i="7"/>
  <c r="BX126" i="7"/>
  <c r="BX110" i="7"/>
  <c r="BT126" i="7"/>
  <c r="T68" i="18"/>
  <c r="T66" i="18"/>
  <c r="J2" i="5"/>
  <c r="BM477" i="1"/>
  <c r="E50" i="16"/>
  <c r="E52" i="16" s="1"/>
  <c r="BM472" i="1"/>
  <c r="E58" i="18"/>
  <c r="E60" i="18" s="1"/>
  <c r="CK25" i="1"/>
  <c r="CF25" i="1"/>
  <c r="CF6" i="1"/>
  <c r="T60" i="16"/>
  <c r="T58" i="16"/>
  <c r="S15" i="18"/>
  <c r="AB14" i="18"/>
  <c r="AD14" i="18" s="1"/>
  <c r="W15" i="18"/>
  <c r="N267" i="2"/>
  <c r="N78" i="2"/>
  <c r="BJ477" i="1"/>
  <c r="BL466" i="1"/>
  <c r="BQ466" i="1"/>
  <c r="S13" i="16"/>
  <c r="AB12" i="16"/>
  <c r="AD12" i="16" s="1"/>
  <c r="W13" i="16"/>
  <c r="P267" i="2"/>
  <c r="BT477" i="1"/>
  <c r="P78" i="2"/>
  <c r="AP54" i="16"/>
  <c r="AP62" i="18"/>
  <c r="CT227" i="1"/>
  <c r="CT233" i="1"/>
  <c r="BS466" i="1"/>
  <c r="BX466" i="1"/>
  <c r="CF429" i="1"/>
  <c r="CK557" i="1" s="1"/>
  <c r="CE429" i="1"/>
  <c r="CN539" i="1" l="1"/>
  <c r="CN427" i="1"/>
  <c r="CN536" i="1"/>
  <c r="CN422" i="1"/>
  <c r="CF445" i="1"/>
  <c r="CF548" i="1"/>
  <c r="CF547" i="1"/>
  <c r="CU233" i="1"/>
  <c r="CU227" i="1"/>
  <c r="CI25" i="1"/>
  <c r="CI6" i="1"/>
  <c r="CN22" i="1" s="1"/>
  <c r="CK26" i="1"/>
  <c r="X20" i="18"/>
  <c r="CK556" i="1"/>
  <c r="CV225" i="1"/>
  <c r="CV232" i="1"/>
  <c r="CV382" i="1"/>
  <c r="CW231" i="1"/>
  <c r="P99" i="2"/>
  <c r="Z20" i="3"/>
  <c r="Z277" i="3" s="1"/>
  <c r="Z278" i="3" s="1"/>
  <c r="Z279" i="3" s="1"/>
  <c r="Z280" i="3" s="1"/>
  <c r="P94" i="2"/>
  <c r="P97" i="2"/>
  <c r="S62" i="16"/>
  <c r="AB60" i="16"/>
  <c r="W61" i="16"/>
  <c r="S227" i="2"/>
  <c r="S229" i="2" s="1"/>
  <c r="S222" i="2"/>
  <c r="J12" i="5"/>
  <c r="J16" i="5" s="1"/>
  <c r="CI492" i="1"/>
  <c r="T27" i="19"/>
  <c r="T40" i="19" s="1"/>
  <c r="CI489" i="1"/>
  <c r="CI486" i="1"/>
  <c r="CI487" i="1"/>
  <c r="AC29" i="3"/>
  <c r="CU10" i="7"/>
  <c r="AB58" i="16"/>
  <c r="AD57" i="16"/>
  <c r="CU526" i="1"/>
  <c r="CU383" i="1"/>
  <c r="R269" i="2"/>
  <c r="AR64" i="18"/>
  <c r="R79" i="2"/>
  <c r="R196" i="2" s="1"/>
  <c r="AR56" i="16"/>
  <c r="AI57" i="16"/>
  <c r="AF57" i="16" s="1"/>
  <c r="AF58" i="16" s="1"/>
  <c r="AS58" i="16"/>
  <c r="AS60" i="16"/>
  <c r="AS66" i="18"/>
  <c r="AI65" i="18"/>
  <c r="AF65" i="18" s="1"/>
  <c r="AF66" i="18" s="1"/>
  <c r="AS68" i="18"/>
  <c r="CE548" i="1"/>
  <c r="S22" i="18"/>
  <c r="CE442" i="1"/>
  <c r="S20" i="16"/>
  <c r="CE444" i="1"/>
  <c r="CE545" i="1"/>
  <c r="BS8" i="7"/>
  <c r="BS104" i="7" s="1"/>
  <c r="CE441" i="1"/>
  <c r="CE13" i="1"/>
  <c r="CE443" i="1"/>
  <c r="CE546" i="1"/>
  <c r="CJ540" i="1"/>
  <c r="CJ430" i="1"/>
  <c r="CJ554" i="1"/>
  <c r="CJ552" i="1"/>
  <c r="CJ553" i="1"/>
  <c r="CJ555" i="1"/>
  <c r="CE445" i="1"/>
  <c r="CI429" i="1"/>
  <c r="CF13" i="1"/>
  <c r="CF442" i="1"/>
  <c r="CF444" i="1"/>
  <c r="CF441" i="1"/>
  <c r="T22" i="18"/>
  <c r="CF546" i="1"/>
  <c r="T20" i="16"/>
  <c r="BT8" i="7"/>
  <c r="BT104" i="7" s="1"/>
  <c r="CF443" i="1"/>
  <c r="CF545" i="1"/>
  <c r="CK552" i="1"/>
  <c r="CK553" i="1"/>
  <c r="CK554" i="1"/>
  <c r="CK430" i="1"/>
  <c r="CK540" i="1"/>
  <c r="CK555" i="1"/>
  <c r="CJ26" i="1"/>
  <c r="CJ556" i="1"/>
  <c r="T67" i="16"/>
  <c r="X66" i="16"/>
  <c r="S64" i="2"/>
  <c r="S255" i="2" s="1"/>
  <c r="S194" i="2"/>
  <c r="S293" i="2"/>
  <c r="S254" i="2"/>
  <c r="CU93" i="7"/>
  <c r="AC152" i="3"/>
  <c r="CI280" i="1"/>
  <c r="CN281" i="1" s="1"/>
  <c r="AS17" i="16"/>
  <c r="CI10" i="1"/>
  <c r="CN26" i="1" s="1"/>
  <c r="AS19" i="18"/>
  <c r="AB65" i="16"/>
  <c r="S67" i="16"/>
  <c r="W66" i="16"/>
  <c r="S276" i="2"/>
  <c r="S281" i="2" s="1"/>
  <c r="S282" i="2" s="1"/>
  <c r="S270" i="2"/>
  <c r="AC30" i="3"/>
  <c r="AB66" i="18"/>
  <c r="AD65" i="18"/>
  <c r="AB19" i="18"/>
  <c r="AD19" i="18" s="1"/>
  <c r="W20" i="18"/>
  <c r="S75" i="18"/>
  <c r="AB73" i="18"/>
  <c r="W74" i="18"/>
  <c r="AC14" i="3"/>
  <c r="T31" i="19"/>
  <c r="X17" i="18"/>
  <c r="S70" i="18"/>
  <c r="AB68" i="18"/>
  <c r="W69" i="18"/>
  <c r="CE547" i="1"/>
  <c r="AH244" i="3"/>
  <c r="CT285" i="1"/>
  <c r="CT228" i="1"/>
  <c r="CT294" i="1"/>
  <c r="CT295" i="1" s="1"/>
  <c r="BT466" i="1"/>
  <c r="BY466" i="1"/>
  <c r="X15" i="16"/>
  <c r="T75" i="18"/>
  <c r="X74" i="18"/>
  <c r="AB17" i="16"/>
  <c r="AD17" i="16" s="1"/>
  <c r="W18" i="16"/>
  <c r="F5" i="5"/>
  <c r="G5" i="4"/>
  <c r="G7" i="4" s="1"/>
  <c r="G12" i="4" s="1"/>
  <c r="G15" i="4" s="1"/>
  <c r="BO479" i="1"/>
  <c r="BO472" i="1"/>
  <c r="O46" i="2"/>
  <c r="O47" i="2" s="1"/>
  <c r="O48" i="2" s="1"/>
  <c r="O52" i="2" s="1"/>
  <c r="P47" i="19" s="1"/>
  <c r="P26" i="19"/>
  <c r="AI12" i="16"/>
  <c r="AT13" i="16"/>
  <c r="AS13" i="16"/>
  <c r="AB14" i="16"/>
  <c r="AD14" i="16" s="1"/>
  <c r="W15" i="16"/>
  <c r="T70" i="18"/>
  <c r="X69" i="18"/>
  <c r="BS103" i="7"/>
  <c r="BS120" i="7" s="1"/>
  <c r="BW128" i="7"/>
  <c r="BW112" i="7"/>
  <c r="N2" i="5"/>
  <c r="CS295" i="1"/>
  <c r="AB16" i="18"/>
  <c r="AD16" i="18" s="1"/>
  <c r="W17" i="18"/>
  <c r="BT103" i="7"/>
  <c r="BT120" i="7" s="1"/>
  <c r="BX112" i="7"/>
  <c r="BX128" i="7"/>
  <c r="T62" i="16"/>
  <c r="X61" i="16"/>
  <c r="AS15" i="18"/>
  <c r="AI14" i="18"/>
  <c r="AT15" i="18"/>
  <c r="CF22" i="1"/>
  <c r="CK22" i="1"/>
  <c r="X18" i="16"/>
  <c r="CJ557" i="1"/>
  <c r="Q79" i="2"/>
  <c r="Q196" i="2" s="1"/>
  <c r="AQ64" i="18"/>
  <c r="Q269" i="2"/>
  <c r="AQ56" i="16"/>
  <c r="CE22" i="1"/>
  <c r="CJ22" i="1"/>
  <c r="AS14" i="16"/>
  <c r="AS16" i="18"/>
  <c r="CI434" i="1"/>
  <c r="CI445" i="1" l="1"/>
  <c r="CN540" i="1"/>
  <c r="CN553" i="1"/>
  <c r="CN552" i="1"/>
  <c r="CN430" i="1"/>
  <c r="CN554" i="1"/>
  <c r="CN555" i="1"/>
  <c r="CN556" i="1"/>
  <c r="CN557" i="1"/>
  <c r="S65" i="2"/>
  <c r="AC271" i="3"/>
  <c r="BT105" i="7"/>
  <c r="CW232" i="1"/>
  <c r="CW382" i="1"/>
  <c r="CW225" i="1"/>
  <c r="AK12" i="16"/>
  <c r="AF12" i="16"/>
  <c r="AH12" i="16" s="1"/>
  <c r="AB20" i="16"/>
  <c r="AD20" i="16" s="1"/>
  <c r="T22" i="16"/>
  <c r="X21" i="16"/>
  <c r="U22" i="16"/>
  <c r="W21" i="16"/>
  <c r="CV383" i="1"/>
  <c r="CV526" i="1"/>
  <c r="CV227" i="1"/>
  <c r="CV233" i="1"/>
  <c r="AB22" i="18"/>
  <c r="AD22" i="18" s="1"/>
  <c r="W23" i="18"/>
  <c r="T50" i="19"/>
  <c r="T44" i="19"/>
  <c r="T24" i="18"/>
  <c r="X23" i="18"/>
  <c r="U24" i="18"/>
  <c r="S259" i="2"/>
  <c r="AB67" i="16"/>
  <c r="AD65" i="16"/>
  <c r="AC74" i="3"/>
  <c r="S298" i="2"/>
  <c r="BS118" i="7"/>
  <c r="BS117" i="7"/>
  <c r="BS119" i="7"/>
  <c r="BS121" i="7"/>
  <c r="BS116" i="7"/>
  <c r="BW113" i="7"/>
  <c r="O81" i="2"/>
  <c r="BO484" i="1"/>
  <c r="O269" i="2"/>
  <c r="O79" i="2"/>
  <c r="O196" i="2" s="1"/>
  <c r="O200" i="2" s="1"/>
  <c r="BO482" i="1"/>
  <c r="AB75" i="18"/>
  <c r="AD73" i="18"/>
  <c r="S200" i="2"/>
  <c r="AC129" i="3"/>
  <c r="S198" i="2"/>
  <c r="AI68" i="18"/>
  <c r="AF68" i="18" s="1"/>
  <c r="AF70" i="18" s="1"/>
  <c r="AS70" i="18"/>
  <c r="CI547" i="1"/>
  <c r="G20" i="4"/>
  <c r="CF15" i="1"/>
  <c r="CK14" i="1"/>
  <c r="AB62" i="16"/>
  <c r="AD60" i="16"/>
  <c r="BT118" i="7"/>
  <c r="BT119" i="7"/>
  <c r="BT121" i="7"/>
  <c r="BT117" i="7"/>
  <c r="BT116" i="7"/>
  <c r="BX113" i="7"/>
  <c r="AI60" i="16"/>
  <c r="AF60" i="16" s="1"/>
  <c r="AF62" i="16" s="1"/>
  <c r="AS62" i="16"/>
  <c r="CI22" i="1"/>
  <c r="AC154" i="3"/>
  <c r="AS20" i="16"/>
  <c r="CI443" i="1"/>
  <c r="CI442" i="1"/>
  <c r="CI545" i="1"/>
  <c r="S327" i="2"/>
  <c r="CI444" i="1"/>
  <c r="CI441" i="1"/>
  <c r="AS22" i="18"/>
  <c r="CU8" i="7"/>
  <c r="CI546" i="1"/>
  <c r="CI13" i="1"/>
  <c r="CN14" i="1" s="1"/>
  <c r="CI548" i="1"/>
  <c r="CE15" i="1"/>
  <c r="CJ14" i="1"/>
  <c r="BA16" i="18"/>
  <c r="BB16" i="18"/>
  <c r="AI16" i="18"/>
  <c r="AT17" i="18"/>
  <c r="AT15" i="16"/>
  <c r="AI14" i="16"/>
  <c r="AI19" i="18"/>
  <c r="AF19" i="18" s="1"/>
  <c r="AB70" i="18"/>
  <c r="AD68" i="18"/>
  <c r="BS105" i="7"/>
  <c r="AS65" i="16"/>
  <c r="AS73" i="18"/>
  <c r="Z285" i="3"/>
  <c r="Z290" i="3"/>
  <c r="CU294" i="1"/>
  <c r="CU295" i="1" s="1"/>
  <c r="CU285" i="1"/>
  <c r="AI244" i="3"/>
  <c r="CU228" i="1"/>
  <c r="AF14" i="18"/>
  <c r="AH14" i="18" s="1"/>
  <c r="AK14" i="18"/>
  <c r="AI17" i="16"/>
  <c r="AF17" i="16" s="1"/>
  <c r="AC79" i="3" l="1"/>
  <c r="S301" i="2"/>
  <c r="AK14" i="16"/>
  <c r="AF14" i="16"/>
  <c r="AH14" i="16" s="1"/>
  <c r="CI15" i="1"/>
  <c r="CI17" i="1"/>
  <c r="CN18" i="1" s="1"/>
  <c r="O273" i="2"/>
  <c r="O274" i="2" s="1"/>
  <c r="O85" i="2"/>
  <c r="O86" i="2" s="1"/>
  <c r="AK16" i="18"/>
  <c r="AF16" i="18"/>
  <c r="AH16" i="18" s="1"/>
  <c r="CV294" i="1"/>
  <c r="CV295" i="1" s="1"/>
  <c r="CV285" i="1"/>
  <c r="AJ244" i="3"/>
  <c r="CV228" i="1"/>
  <c r="AC153" i="3"/>
  <c r="AC155" i="3"/>
  <c r="AI73" i="18"/>
  <c r="AF73" i="18" s="1"/>
  <c r="AF75" i="18" s="1"/>
  <c r="AS75" i="18"/>
  <c r="BR73" i="18"/>
  <c r="BS74" i="18" s="1"/>
  <c r="CQ10" i="7"/>
  <c r="Y29" i="3"/>
  <c r="BO486" i="1"/>
  <c r="F12" i="5"/>
  <c r="F16" i="5" s="1"/>
  <c r="O222" i="2"/>
  <c r="P27" i="19"/>
  <c r="P40" i="19" s="1"/>
  <c r="AI65" i="16"/>
  <c r="AF65" i="16" s="1"/>
  <c r="AF67" i="16" s="1"/>
  <c r="AS67" i="16"/>
  <c r="AX65" i="16"/>
  <c r="AY66" i="16" s="1"/>
  <c r="AI22" i="18"/>
  <c r="AF22" i="18" s="1"/>
  <c r="BR22" i="18"/>
  <c r="BS23" i="18" s="1"/>
  <c r="CW383" i="1"/>
  <c r="CW526" i="1"/>
  <c r="CW227" i="1"/>
  <c r="CW233" i="1"/>
  <c r="S288" i="2"/>
  <c r="U288" i="2" s="1"/>
  <c r="V288" i="2" s="1"/>
  <c r="W288" i="2" s="1"/>
  <c r="X288" i="2" s="1"/>
  <c r="Y288" i="2" s="1"/>
  <c r="Z288" i="2" s="1"/>
  <c r="AA288" i="2" s="1"/>
  <c r="S329" i="2"/>
  <c r="AI20" i="16"/>
  <c r="AF20" i="16" s="1"/>
  <c r="S85" i="2"/>
  <c r="S86" i="2" s="1"/>
  <c r="S273" i="2"/>
  <c r="S274" i="2" s="1"/>
  <c r="CQ280" i="1"/>
  <c r="AD271" i="3"/>
  <c r="CI19" i="1" l="1"/>
  <c r="AT19" i="18"/>
  <c r="AD152" i="3"/>
  <c r="CV93" i="7"/>
  <c r="AT17" i="16"/>
  <c r="CQ426" i="1"/>
  <c r="CQ429" i="1" s="1"/>
  <c r="CR280" i="1"/>
  <c r="AE271" i="3"/>
  <c r="S303" i="2"/>
  <c r="AC82" i="3"/>
  <c r="AK244" i="3"/>
  <c r="CW294" i="1"/>
  <c r="CW295" i="1" s="1"/>
  <c r="CW228" i="1"/>
  <c r="CW285" i="1"/>
  <c r="BR18" i="7"/>
  <c r="BR19" i="7" s="1"/>
  <c r="CC414" i="1"/>
  <c r="CC294" i="1"/>
  <c r="CC481" i="1"/>
  <c r="CC498" i="1"/>
  <c r="BQ18" i="7"/>
  <c r="BQ19" i="7" s="1"/>
  <c r="CB498" i="1"/>
  <c r="CB481" i="1"/>
  <c r="CB294" i="1"/>
  <c r="CB414" i="1"/>
  <c r="CH295" i="1" l="1"/>
  <c r="AF271" i="3"/>
  <c r="CS280" i="1"/>
  <c r="CR426" i="1"/>
  <c r="CC426" i="1"/>
  <c r="CC434" i="1" s="1"/>
  <c r="CC400" i="1"/>
  <c r="CC403" i="1" s="1"/>
  <c r="AE152" i="3"/>
  <c r="AU17" i="16"/>
  <c r="AU18" i="16" s="1"/>
  <c r="CQ539" i="1"/>
  <c r="AU19" i="18"/>
  <c r="CQ10" i="1"/>
  <c r="CQ26" i="1" s="1"/>
  <c r="CW93" i="7"/>
  <c r="CQ427" i="1"/>
  <c r="R16" i="18"/>
  <c r="V17" i="18" s="1"/>
  <c r="R14" i="16"/>
  <c r="V15" i="16" s="1"/>
  <c r="CH422" i="1"/>
  <c r="CH536" i="1"/>
  <c r="CB400" i="1"/>
  <c r="CB403" i="1" s="1"/>
  <c r="CB426" i="1"/>
  <c r="AT18" i="16"/>
  <c r="AJ17" i="16"/>
  <c r="AT22" i="18"/>
  <c r="AD81" i="3"/>
  <c r="AD154" i="3"/>
  <c r="AD153" i="3" s="1"/>
  <c r="CV8" i="7"/>
  <c r="AT20" i="16"/>
  <c r="Q14" i="16"/>
  <c r="Q16" i="18"/>
  <c r="CG536" i="1"/>
  <c r="CG422" i="1"/>
  <c r="CC502" i="1"/>
  <c r="CH500" i="1"/>
  <c r="Q65" i="18"/>
  <c r="Q57" i="16"/>
  <c r="BQ23" i="7"/>
  <c r="BQ28" i="7" s="1"/>
  <c r="CB482" i="1"/>
  <c r="CB484" i="1"/>
  <c r="BR23" i="7"/>
  <c r="BR28" i="7" s="1"/>
  <c r="CC484" i="1"/>
  <c r="CC482" i="1"/>
  <c r="R57" i="16"/>
  <c r="R65" i="18"/>
  <c r="CB502" i="1"/>
  <c r="CG500" i="1"/>
  <c r="CG295" i="1"/>
  <c r="AC84" i="3"/>
  <c r="AC31" i="3"/>
  <c r="S304" i="2"/>
  <c r="T30" i="19"/>
  <c r="BK19" i="18"/>
  <c r="AT20" i="18"/>
  <c r="AJ19" i="18"/>
  <c r="CC429" i="1"/>
  <c r="CH556" i="1" s="1"/>
  <c r="CB429" i="1"/>
  <c r="T32" i="19" l="1"/>
  <c r="T42" i="19" s="1"/>
  <c r="T41" i="19"/>
  <c r="CB492" i="1"/>
  <c r="Q65" i="16"/>
  <c r="CB487" i="1"/>
  <c r="CB499" i="1" s="1"/>
  <c r="Q73" i="18"/>
  <c r="CB486" i="1"/>
  <c r="BQ10" i="7"/>
  <c r="BQ36" i="7" s="1"/>
  <c r="CG485" i="1"/>
  <c r="U17" i="18"/>
  <c r="CB434" i="1"/>
  <c r="CB280" i="1"/>
  <c r="Q17" i="16"/>
  <c r="U18" i="16" s="1"/>
  <c r="BQ93" i="7"/>
  <c r="BQ102" i="7" s="1"/>
  <c r="CB445" i="1"/>
  <c r="CB548" i="1"/>
  <c r="Q19" i="18"/>
  <c r="U20" i="18" s="1"/>
  <c r="CB10" i="1"/>
  <c r="CG427" i="1"/>
  <c r="CG539" i="1"/>
  <c r="CG557" i="1"/>
  <c r="CQ557" i="1"/>
  <c r="AE154" i="3"/>
  <c r="AE153" i="3" s="1"/>
  <c r="CQ545" i="1"/>
  <c r="AU22" i="18"/>
  <c r="CQ430" i="1"/>
  <c r="CQ540" i="1"/>
  <c r="CQ556" i="1"/>
  <c r="CQ554" i="1"/>
  <c r="CQ441" i="1"/>
  <c r="CQ13" i="1"/>
  <c r="CW8" i="7"/>
  <c r="U327" i="2"/>
  <c r="U300" i="2" s="1"/>
  <c r="AE81" i="3" s="1"/>
  <c r="CQ546" i="1"/>
  <c r="CQ442" i="1"/>
  <c r="CQ438" i="1"/>
  <c r="CQ555" i="1"/>
  <c r="AU20" i="16"/>
  <c r="AU21" i="16" s="1"/>
  <c r="CQ444" i="1"/>
  <c r="CQ552" i="1"/>
  <c r="CQ553" i="1"/>
  <c r="CQ547" i="1"/>
  <c r="CQ443" i="1"/>
  <c r="U15" i="16"/>
  <c r="CB404" i="1"/>
  <c r="CG404" i="1"/>
  <c r="CG556" i="1"/>
  <c r="CB546" i="1"/>
  <c r="BQ8" i="7"/>
  <c r="BQ104" i="7" s="1"/>
  <c r="CB442" i="1"/>
  <c r="CB441" i="1"/>
  <c r="CB545" i="1"/>
  <c r="Q20" i="16"/>
  <c r="Q22" i="18"/>
  <c r="CB444" i="1"/>
  <c r="CB13" i="1"/>
  <c r="CB443" i="1"/>
  <c r="CG430" i="1"/>
  <c r="CG552" i="1"/>
  <c r="CG554" i="1"/>
  <c r="CG553" i="1"/>
  <c r="CG555" i="1"/>
  <c r="CG540" i="1"/>
  <c r="Q58" i="16"/>
  <c r="Q60" i="16"/>
  <c r="AU20" i="18"/>
  <c r="BL19" i="18"/>
  <c r="Q66" i="18"/>
  <c r="Q68" i="18"/>
  <c r="CC547" i="1"/>
  <c r="CC546" i="1"/>
  <c r="CC545" i="1"/>
  <c r="CC441" i="1"/>
  <c r="CC444" i="1"/>
  <c r="CC443" i="1"/>
  <c r="CC442" i="1"/>
  <c r="CC13" i="1"/>
  <c r="R20" i="16"/>
  <c r="BR8" i="7"/>
  <c r="BR104" i="7" s="1"/>
  <c r="R22" i="18"/>
  <c r="CH430" i="1"/>
  <c r="CH552" i="1"/>
  <c r="CH553" i="1"/>
  <c r="CH554" i="1"/>
  <c r="CH540" i="1"/>
  <c r="CH555" i="1"/>
  <c r="CC404" i="1"/>
  <c r="CH404" i="1"/>
  <c r="R17" i="16"/>
  <c r="V18" i="16" s="1"/>
  <c r="CC280" i="1"/>
  <c r="CC445" i="1"/>
  <c r="BR93" i="7"/>
  <c r="BR102" i="7" s="1"/>
  <c r="CC10" i="1"/>
  <c r="CC548" i="1"/>
  <c r="R19" i="18"/>
  <c r="V20" i="18" s="1"/>
  <c r="CH539" i="1"/>
  <c r="CH427" i="1"/>
  <c r="CH557" i="1"/>
  <c r="R66" i="18"/>
  <c r="R68" i="18"/>
  <c r="BZ22" i="18"/>
  <c r="AJ22" i="18"/>
  <c r="BK22" i="18"/>
  <c r="AT23" i="18"/>
  <c r="CR427" i="1"/>
  <c r="CR429" i="1"/>
  <c r="CR445" i="1" s="1"/>
  <c r="AF152" i="3"/>
  <c r="CR10" i="1"/>
  <c r="CR26" i="1" s="1"/>
  <c r="CR539" i="1"/>
  <c r="AV19" i="18"/>
  <c r="AV17" i="16"/>
  <c r="AV18" i="16" s="1"/>
  <c r="CX93" i="7"/>
  <c r="R58" i="16"/>
  <c r="R60" i="16"/>
  <c r="CS426" i="1"/>
  <c r="AG271" i="3"/>
  <c r="CT280" i="1"/>
  <c r="AK19" i="18"/>
  <c r="AG19" i="18"/>
  <c r="AH19" i="18" s="1"/>
  <c r="CQ548" i="1"/>
  <c r="CC492" i="1"/>
  <c r="CC486" i="1"/>
  <c r="BR10" i="7"/>
  <c r="BR36" i="7" s="1"/>
  <c r="R65" i="16"/>
  <c r="CC487" i="1"/>
  <c r="CC499" i="1" s="1"/>
  <c r="R73" i="18"/>
  <c r="CH485" i="1"/>
  <c r="AT21" i="16"/>
  <c r="AJ20" i="16"/>
  <c r="AK17" i="16"/>
  <c r="AG17" i="16"/>
  <c r="AH17" i="16" s="1"/>
  <c r="CQ445" i="1"/>
  <c r="CB547" i="1"/>
  <c r="CR557" i="1" l="1"/>
  <c r="AK22" i="18"/>
  <c r="AG22" i="18"/>
  <c r="AH22" i="18" s="1"/>
  <c r="R62" i="16"/>
  <c r="V61" i="16"/>
  <c r="R75" i="18"/>
  <c r="V74" i="18"/>
  <c r="R70" i="18"/>
  <c r="V69" i="18"/>
  <c r="Q70" i="18"/>
  <c r="U69" i="18"/>
  <c r="R67" i="16"/>
  <c r="V66" i="16"/>
  <c r="BA19" i="18"/>
  <c r="BM19" i="18"/>
  <c r="AV20" i="18"/>
  <c r="R24" i="18"/>
  <c r="V23" i="18"/>
  <c r="S24" i="18"/>
  <c r="CQ15" i="1"/>
  <c r="CQ19" i="1"/>
  <c r="CQ14" i="1"/>
  <c r="Q62" i="16"/>
  <c r="U61" i="16"/>
  <c r="CB15" i="1"/>
  <c r="CG14" i="1"/>
  <c r="R22" i="16"/>
  <c r="V21" i="16"/>
  <c r="S22" i="16"/>
  <c r="CG26" i="1"/>
  <c r="Q75" i="18"/>
  <c r="U74" i="18"/>
  <c r="CC15" i="1"/>
  <c r="CH14" i="1"/>
  <c r="U23" i="18"/>
  <c r="CR548" i="1"/>
  <c r="CR547" i="1"/>
  <c r="CR545" i="1"/>
  <c r="CR553" i="1"/>
  <c r="CR442" i="1"/>
  <c r="CR443" i="1"/>
  <c r="CR444" i="1"/>
  <c r="CR540" i="1"/>
  <c r="CR552" i="1"/>
  <c r="CR441" i="1"/>
  <c r="CR555" i="1"/>
  <c r="CR554" i="1"/>
  <c r="CR546" i="1"/>
  <c r="CR556" i="1"/>
  <c r="AF154" i="3"/>
  <c r="AF153" i="3" s="1"/>
  <c r="AV22" i="18"/>
  <c r="CR13" i="1"/>
  <c r="AV20" i="16"/>
  <c r="AV21" i="16" s="1"/>
  <c r="V327" i="2"/>
  <c r="V300" i="2" s="1"/>
  <c r="AF81" i="3" s="1"/>
  <c r="CX8" i="7"/>
  <c r="CR430" i="1"/>
  <c r="CR438" i="1"/>
  <c r="U21" i="16"/>
  <c r="Q67" i="16"/>
  <c r="U66" i="16"/>
  <c r="CT426" i="1"/>
  <c r="CU280" i="1"/>
  <c r="AH271" i="3"/>
  <c r="CH26" i="1"/>
  <c r="CA22" i="18"/>
  <c r="BL22" i="18"/>
  <c r="AU23" i="18"/>
  <c r="BQ103" i="7"/>
  <c r="BU128" i="7"/>
  <c r="BU112" i="7"/>
  <c r="AG20" i="16"/>
  <c r="AH20" i="16" s="1"/>
  <c r="AK20" i="16"/>
  <c r="CS539" i="1"/>
  <c r="CS429" i="1"/>
  <c r="CS548" i="1" s="1"/>
  <c r="CS10" i="1"/>
  <c r="CS26" i="1" s="1"/>
  <c r="AW19" i="18"/>
  <c r="AG152" i="3"/>
  <c r="CS427" i="1"/>
  <c r="CY93" i="7"/>
  <c r="BR103" i="7"/>
  <c r="BV128" i="7"/>
  <c r="BV112" i="7"/>
  <c r="AW20" i="18" l="1"/>
  <c r="BN19" i="18"/>
  <c r="AI271" i="3"/>
  <c r="CU426" i="1"/>
  <c r="CV280" i="1"/>
  <c r="CR15" i="1"/>
  <c r="CR19" i="1"/>
  <c r="CR14" i="1"/>
  <c r="CS557" i="1"/>
  <c r="CS556" i="1"/>
  <c r="CS554" i="1"/>
  <c r="CS438" i="1"/>
  <c r="AG154" i="3"/>
  <c r="AG153" i="3" s="1"/>
  <c r="CY8" i="7"/>
  <c r="CS444" i="1"/>
  <c r="CS552" i="1"/>
  <c r="CS546" i="1"/>
  <c r="CS553" i="1"/>
  <c r="CS540" i="1"/>
  <c r="W327" i="2"/>
  <c r="W300" i="2" s="1"/>
  <c r="AG81" i="3" s="1"/>
  <c r="CS545" i="1"/>
  <c r="CS441" i="1"/>
  <c r="CS13" i="1"/>
  <c r="AW22" i="18"/>
  <c r="CS555" i="1"/>
  <c r="CS443" i="1"/>
  <c r="CS547" i="1"/>
  <c r="CS442" i="1"/>
  <c r="CS430" i="1"/>
  <c r="CT427" i="1"/>
  <c r="AX19" i="18"/>
  <c r="AH152" i="3"/>
  <c r="CT539" i="1"/>
  <c r="CT10" i="1"/>
  <c r="CT26" i="1" s="1"/>
  <c r="CT429" i="1"/>
  <c r="CT557" i="1" s="1"/>
  <c r="BM22" i="18"/>
  <c r="AV23" i="18"/>
  <c r="BA22" i="18"/>
  <c r="CB22" i="18"/>
  <c r="BQ105" i="7"/>
  <c r="BU113" i="7"/>
  <c r="BR105" i="7"/>
  <c r="BV113" i="7"/>
  <c r="CS445" i="1"/>
  <c r="BP18" i="7"/>
  <c r="BP19" i="7" s="1"/>
  <c r="CA498" i="1"/>
  <c r="CA481" i="1"/>
  <c r="CA414" i="1"/>
  <c r="CT548" i="1" l="1"/>
  <c r="CT445" i="1"/>
  <c r="CC22" i="18"/>
  <c r="AW23" i="18"/>
  <c r="BN22" i="18"/>
  <c r="CS19" i="1"/>
  <c r="CS14" i="1"/>
  <c r="CS15" i="1"/>
  <c r="CA482" i="1"/>
  <c r="CA484" i="1"/>
  <c r="P65" i="18"/>
  <c r="P57" i="16"/>
  <c r="BP23" i="7"/>
  <c r="BP28" i="7" s="1"/>
  <c r="CA502" i="1"/>
  <c r="CF500" i="1"/>
  <c r="CT552" i="1"/>
  <c r="AH154" i="3"/>
  <c r="AH153" i="3" s="1"/>
  <c r="CT553" i="1"/>
  <c r="CT547" i="1"/>
  <c r="CT555" i="1"/>
  <c r="CT441" i="1"/>
  <c r="CT430" i="1"/>
  <c r="AX22" i="18"/>
  <c r="CT556" i="1"/>
  <c r="X327" i="2"/>
  <c r="X300" i="2" s="1"/>
  <c r="AH81" i="3" s="1"/>
  <c r="CT546" i="1"/>
  <c r="CT443" i="1"/>
  <c r="CT13" i="1"/>
  <c r="CT540" i="1"/>
  <c r="CT442" i="1"/>
  <c r="CT438" i="1"/>
  <c r="CT554" i="1"/>
  <c r="CT444" i="1"/>
  <c r="CT545" i="1"/>
  <c r="AX20" i="18"/>
  <c r="BO19" i="18"/>
  <c r="AJ271" i="3"/>
  <c r="CW280" i="1"/>
  <c r="CV426" i="1"/>
  <c r="CU10" i="1"/>
  <c r="CU26" i="1" s="1"/>
  <c r="AI152" i="3"/>
  <c r="CU539" i="1"/>
  <c r="CU427" i="1"/>
  <c r="AY19" i="18"/>
  <c r="CU429" i="1"/>
  <c r="CU548" i="1" s="1"/>
  <c r="P14" i="16"/>
  <c r="P16" i="18"/>
  <c r="CF422" i="1"/>
  <c r="CF536" i="1"/>
  <c r="CA426" i="1"/>
  <c r="CA434" i="1" s="1"/>
  <c r="CA400" i="1"/>
  <c r="CA403" i="1" s="1"/>
  <c r="CA294" i="1"/>
  <c r="CA429" i="1"/>
  <c r="CF556" i="1" s="1"/>
  <c r="CU445" i="1" l="1"/>
  <c r="CF295" i="1"/>
  <c r="AK271" i="3"/>
  <c r="CW426" i="1"/>
  <c r="P60" i="16"/>
  <c r="P58" i="16"/>
  <c r="P66" i="18"/>
  <c r="P68" i="18"/>
  <c r="CD22" i="18"/>
  <c r="BO22" i="18"/>
  <c r="AX23" i="18"/>
  <c r="P65" i="16"/>
  <c r="CA486" i="1"/>
  <c r="CA492" i="1"/>
  <c r="CA487" i="1"/>
  <c r="CA499" i="1" s="1"/>
  <c r="BP10" i="7"/>
  <c r="BP36" i="7" s="1"/>
  <c r="P73" i="18"/>
  <c r="CF485" i="1"/>
  <c r="T17" i="18"/>
  <c r="T15" i="16"/>
  <c r="AJ152" i="3"/>
  <c r="CV10" i="1"/>
  <c r="CV26" i="1" s="1"/>
  <c r="CV427" i="1"/>
  <c r="CV539" i="1"/>
  <c r="CV429" i="1"/>
  <c r="CT15" i="1"/>
  <c r="CT19" i="1"/>
  <c r="CT14" i="1"/>
  <c r="CU557" i="1"/>
  <c r="CU443" i="1"/>
  <c r="CU442" i="1"/>
  <c r="CU554" i="1"/>
  <c r="CU556" i="1"/>
  <c r="CU555" i="1"/>
  <c r="CU547" i="1"/>
  <c r="CU552" i="1"/>
  <c r="CU430" i="1"/>
  <c r="CU441" i="1"/>
  <c r="CU545" i="1"/>
  <c r="AI154" i="3"/>
  <c r="AI153" i="3" s="1"/>
  <c r="CU13" i="1"/>
  <c r="CU438" i="1"/>
  <c r="CU540" i="1"/>
  <c r="Y327" i="2"/>
  <c r="Y300" i="2" s="1"/>
  <c r="AI81" i="3" s="1"/>
  <c r="CU546" i="1"/>
  <c r="CU553" i="1"/>
  <c r="AY22" i="18"/>
  <c r="CU444" i="1"/>
  <c r="CA404" i="1"/>
  <c r="CF404" i="1"/>
  <c r="BB19" i="18"/>
  <c r="BP19" i="18"/>
  <c r="AY20" i="18"/>
  <c r="CA547" i="1"/>
  <c r="P20" i="16"/>
  <c r="CA441" i="1"/>
  <c r="CA13" i="1"/>
  <c r="CA444" i="1"/>
  <c r="CA546" i="1"/>
  <c r="CA443" i="1"/>
  <c r="BP8" i="7"/>
  <c r="BP104" i="7" s="1"/>
  <c r="P22" i="18"/>
  <c r="CA442" i="1"/>
  <c r="CA545" i="1"/>
  <c r="CF554" i="1"/>
  <c r="CF552" i="1"/>
  <c r="CF430" i="1"/>
  <c r="CF540" i="1"/>
  <c r="CF553" i="1"/>
  <c r="CF555" i="1"/>
  <c r="BP93" i="7"/>
  <c r="BP102" i="7" s="1"/>
  <c r="P19" i="18"/>
  <c r="T20" i="18" s="1"/>
  <c r="CA10" i="1"/>
  <c r="CA445" i="1"/>
  <c r="CA548" i="1"/>
  <c r="P17" i="16"/>
  <c r="T18" i="16" s="1"/>
  <c r="CA280" i="1"/>
  <c r="CF427" i="1"/>
  <c r="CF539" i="1"/>
  <c r="CF557" i="1"/>
  <c r="CF26" i="1" l="1"/>
  <c r="CV557" i="1"/>
  <c r="CV540" i="1"/>
  <c r="CV430" i="1"/>
  <c r="CV13" i="1"/>
  <c r="CV441" i="1"/>
  <c r="AJ154" i="3"/>
  <c r="AJ153" i="3" s="1"/>
  <c r="CV444" i="1"/>
  <c r="CV554" i="1"/>
  <c r="CV547" i="1"/>
  <c r="CV545" i="1"/>
  <c r="CV553" i="1"/>
  <c r="CV556" i="1"/>
  <c r="CV442" i="1"/>
  <c r="CV546" i="1"/>
  <c r="Z327" i="2"/>
  <c r="Z300" i="2" s="1"/>
  <c r="AJ81" i="3" s="1"/>
  <c r="CV555" i="1"/>
  <c r="CV443" i="1"/>
  <c r="CV438" i="1"/>
  <c r="CV552" i="1"/>
  <c r="T23" i="18"/>
  <c r="Q24" i="18"/>
  <c r="P67" i="16"/>
  <c r="T66" i="16"/>
  <c r="BB22" i="18"/>
  <c r="BP22" i="18"/>
  <c r="CE22" i="18"/>
  <c r="AY23" i="18"/>
  <c r="BP103" i="7"/>
  <c r="BT128" i="7"/>
  <c r="BT112" i="7"/>
  <c r="P70" i="18"/>
  <c r="T69" i="18"/>
  <c r="CA15" i="1"/>
  <c r="CF14" i="1"/>
  <c r="P62" i="16"/>
  <c r="T61" i="16"/>
  <c r="T21" i="16"/>
  <c r="Q22" i="16"/>
  <c r="CU14" i="1"/>
  <c r="CU15" i="1"/>
  <c r="CU19" i="1"/>
  <c r="CW427" i="1"/>
  <c r="AK152" i="3"/>
  <c r="CW10" i="1"/>
  <c r="CW26" i="1" s="1"/>
  <c r="CW539" i="1"/>
  <c r="CW429" i="1"/>
  <c r="CW548" i="1" s="1"/>
  <c r="P75" i="18"/>
  <c r="T74" i="18"/>
  <c r="CV445" i="1"/>
  <c r="CV548" i="1"/>
  <c r="BZ414" i="1"/>
  <c r="BO18" i="7"/>
  <c r="BO19" i="7" s="1"/>
  <c r="BZ481" i="1"/>
  <c r="BZ498" i="1"/>
  <c r="BU481" i="1"/>
  <c r="CW445" i="1" l="1"/>
  <c r="CD414" i="1"/>
  <c r="O16" i="18"/>
  <c r="O14" i="16"/>
  <c r="CE422" i="1"/>
  <c r="CE536" i="1"/>
  <c r="BZ502" i="1"/>
  <c r="CD498" i="1"/>
  <c r="CE500" i="1"/>
  <c r="BZ482" i="1"/>
  <c r="O65" i="18"/>
  <c r="BO23" i="7"/>
  <c r="BO28" i="7" s="1"/>
  <c r="CD481" i="1"/>
  <c r="BZ484" i="1"/>
  <c r="O57" i="16"/>
  <c r="BP105" i="7"/>
  <c r="BT113" i="7"/>
  <c r="CV19" i="1"/>
  <c r="CV14" i="1"/>
  <c r="CV15" i="1"/>
  <c r="K57" i="16"/>
  <c r="BK23" i="7"/>
  <c r="BK28" i="7" s="1"/>
  <c r="BU482" i="1"/>
  <c r="BU484" i="1"/>
  <c r="K65" i="18"/>
  <c r="BZ400" i="1"/>
  <c r="BZ403" i="1" s="1"/>
  <c r="BZ426" i="1"/>
  <c r="CW557" i="1"/>
  <c r="CW546" i="1"/>
  <c r="CW430" i="1"/>
  <c r="CW442" i="1"/>
  <c r="CW552" i="1"/>
  <c r="CW540" i="1"/>
  <c r="CW553" i="1"/>
  <c r="CW443" i="1"/>
  <c r="AK154" i="3"/>
  <c r="AK153" i="3" s="1"/>
  <c r="CW444" i="1"/>
  <c r="CW554" i="1"/>
  <c r="CW555" i="1"/>
  <c r="CW13" i="1"/>
  <c r="CW441" i="1"/>
  <c r="CW438" i="1"/>
  <c r="AA327" i="2"/>
  <c r="AA300" i="2" s="1"/>
  <c r="AK81" i="3" s="1"/>
  <c r="CW545" i="1"/>
  <c r="CW556" i="1"/>
  <c r="CW547" i="1"/>
  <c r="BZ294" i="1"/>
  <c r="BU294" i="1"/>
  <c r="BZ429" i="1"/>
  <c r="K58" i="16" l="1"/>
  <c r="K60" i="16"/>
  <c r="J69" i="4"/>
  <c r="CD499" i="1"/>
  <c r="AB15" i="3"/>
  <c r="R271" i="2" s="1"/>
  <c r="CD502" i="1"/>
  <c r="BZ295" i="1"/>
  <c r="CD294" i="1"/>
  <c r="CE295" i="1"/>
  <c r="O60" i="16"/>
  <c r="O58" i="16"/>
  <c r="BO93" i="7"/>
  <c r="BO102" i="7" s="1"/>
  <c r="O19" i="18"/>
  <c r="CD426" i="1"/>
  <c r="O17" i="16"/>
  <c r="BZ548" i="1"/>
  <c r="BZ280" i="1"/>
  <c r="BZ445" i="1"/>
  <c r="BZ10" i="1"/>
  <c r="CE557" i="1"/>
  <c r="CE427" i="1"/>
  <c r="CE539" i="1"/>
  <c r="BO10" i="7"/>
  <c r="BO36" i="7" s="1"/>
  <c r="O73" i="18"/>
  <c r="BZ487" i="1"/>
  <c r="BZ499" i="1" s="1"/>
  <c r="BZ486" i="1"/>
  <c r="BZ485" i="1"/>
  <c r="O65" i="16"/>
  <c r="BZ492" i="1"/>
  <c r="CE485" i="1"/>
  <c r="BU295" i="1"/>
  <c r="CE556" i="1"/>
  <c r="BZ441" i="1"/>
  <c r="BZ442" i="1"/>
  <c r="BZ546" i="1"/>
  <c r="O22" i="18"/>
  <c r="O20" i="16"/>
  <c r="BZ443" i="1"/>
  <c r="BZ444" i="1"/>
  <c r="BO8" i="7"/>
  <c r="BO104" i="7" s="1"/>
  <c r="CD429" i="1"/>
  <c r="CI556" i="1" s="1"/>
  <c r="BZ13" i="1"/>
  <c r="BZ545" i="1"/>
  <c r="CE555" i="1"/>
  <c r="CE430" i="1"/>
  <c r="CE553" i="1"/>
  <c r="CE540" i="1"/>
  <c r="CE552" i="1"/>
  <c r="CE554" i="1"/>
  <c r="BZ547" i="1"/>
  <c r="S15" i="16"/>
  <c r="CD482" i="1"/>
  <c r="R57" i="2"/>
  <c r="AR65" i="18"/>
  <c r="R80" i="2"/>
  <c r="AR57" i="16"/>
  <c r="R81" i="2"/>
  <c r="CD484" i="1"/>
  <c r="K68" i="18"/>
  <c r="K66" i="18"/>
  <c r="O66" i="18"/>
  <c r="O68" i="18"/>
  <c r="S17" i="18"/>
  <c r="CW19" i="1"/>
  <c r="CW14" i="1"/>
  <c r="CW15" i="1"/>
  <c r="BZ404" i="1"/>
  <c r="CE404" i="1"/>
  <c r="BU486" i="1"/>
  <c r="BU487" i="1"/>
  <c r="BU499" i="1" s="1"/>
  <c r="K73" i="18"/>
  <c r="K65" i="16"/>
  <c r="BK10" i="7"/>
  <c r="BK36" i="7" s="1"/>
  <c r="AR14" i="16"/>
  <c r="AR16" i="18"/>
  <c r="CI536" i="1"/>
  <c r="CI422" i="1"/>
  <c r="BX498" i="1"/>
  <c r="BX414" i="1"/>
  <c r="BW411" i="1"/>
  <c r="BV411" i="1"/>
  <c r="BU411" i="1"/>
  <c r="BS411" i="1"/>
  <c r="BR411" i="1"/>
  <c r="BQ411" i="1"/>
  <c r="BP411" i="1"/>
  <c r="BN18" i="7"/>
  <c r="BN19" i="7" s="1"/>
  <c r="BX481" i="1"/>
  <c r="BX426" i="1" l="1"/>
  <c r="BX400" i="1"/>
  <c r="BW9" i="1"/>
  <c r="BW419" i="1"/>
  <c r="M12" i="16"/>
  <c r="BW535" i="1"/>
  <c r="M14" i="18"/>
  <c r="CB419" i="1"/>
  <c r="CB535" i="1"/>
  <c r="K67" i="16"/>
  <c r="K70" i="18"/>
  <c r="S21" i="16"/>
  <c r="P22" i="16"/>
  <c r="AR17" i="16"/>
  <c r="CT93" i="7"/>
  <c r="CD10" i="1"/>
  <c r="CD548" i="1"/>
  <c r="CD280" i="1"/>
  <c r="CD445" i="1"/>
  <c r="AR19" i="18"/>
  <c r="AB152" i="3"/>
  <c r="CI539" i="1"/>
  <c r="CI557" i="1"/>
  <c r="CI427" i="1"/>
  <c r="N14" i="16"/>
  <c r="R15" i="16" s="1"/>
  <c r="N16" i="18"/>
  <c r="R17" i="18" s="1"/>
  <c r="CC536" i="1"/>
  <c r="CC422" i="1"/>
  <c r="K75" i="18"/>
  <c r="S27" i="19"/>
  <c r="S40" i="19" s="1"/>
  <c r="R222" i="2"/>
  <c r="CT10" i="7"/>
  <c r="I12" i="5"/>
  <c r="I16" i="5" s="1"/>
  <c r="CD492" i="1"/>
  <c r="R227" i="2"/>
  <c r="R229" i="2" s="1"/>
  <c r="AB29" i="3"/>
  <c r="CD486" i="1"/>
  <c r="CD487" i="1"/>
  <c r="CI485" i="1"/>
  <c r="S23" i="18"/>
  <c r="P24" i="18"/>
  <c r="O74" i="18"/>
  <c r="O75" i="18"/>
  <c r="S74" i="18"/>
  <c r="S20" i="18"/>
  <c r="BO103" i="7"/>
  <c r="BS128" i="7"/>
  <c r="BS112" i="7"/>
  <c r="AR58" i="16"/>
  <c r="AR60" i="16"/>
  <c r="BX502" i="1"/>
  <c r="CC500" i="1"/>
  <c r="O62" i="16"/>
  <c r="O61" i="16"/>
  <c r="S61" i="16"/>
  <c r="AR66" i="18"/>
  <c r="AR68" i="18"/>
  <c r="R293" i="2"/>
  <c r="R194" i="2"/>
  <c r="R64" i="2"/>
  <c r="R255" i="2" s="1"/>
  <c r="R254" i="2"/>
  <c r="I2" i="5"/>
  <c r="CI295" i="1"/>
  <c r="G12" i="16"/>
  <c r="BP535" i="1"/>
  <c r="BK73" i="7"/>
  <c r="BK100" i="7" s="1"/>
  <c r="BP9" i="1"/>
  <c r="BT411" i="1"/>
  <c r="G14" i="18"/>
  <c r="H12" i="16"/>
  <c r="BQ535" i="1"/>
  <c r="BQ9" i="1"/>
  <c r="H14" i="18"/>
  <c r="BL73" i="7"/>
  <c r="BL100" i="7" s="1"/>
  <c r="BZ291" i="1"/>
  <c r="BZ431" i="1"/>
  <c r="BZ15" i="1"/>
  <c r="CE14" i="1"/>
  <c r="CE26" i="1"/>
  <c r="R276" i="2"/>
  <c r="R281" i="2" s="1"/>
  <c r="R282" i="2" s="1"/>
  <c r="R270" i="2"/>
  <c r="AB30" i="3"/>
  <c r="AS17" i="18"/>
  <c r="CD547" i="1"/>
  <c r="AB154" i="3"/>
  <c r="CD444" i="1"/>
  <c r="CD442" i="1"/>
  <c r="AR20" i="16"/>
  <c r="CD443" i="1"/>
  <c r="CT8" i="7"/>
  <c r="AR22" i="18"/>
  <c r="CD441" i="1"/>
  <c r="CD545" i="1"/>
  <c r="CD546" i="1"/>
  <c r="CD13" i="1"/>
  <c r="R327" i="2"/>
  <c r="CI553" i="1"/>
  <c r="CI552" i="1"/>
  <c r="CI555" i="1"/>
  <c r="CI554" i="1"/>
  <c r="CI430" i="1"/>
  <c r="CI540" i="1"/>
  <c r="S31" i="19"/>
  <c r="AB14" i="3"/>
  <c r="BN23" i="7"/>
  <c r="BN28" i="7" s="1"/>
  <c r="BX484" i="1"/>
  <c r="N65" i="18"/>
  <c r="BX482" i="1"/>
  <c r="N57" i="16"/>
  <c r="I12" i="16"/>
  <c r="BM73" i="7"/>
  <c r="BM100" i="7" s="1"/>
  <c r="I14" i="18"/>
  <c r="BR9" i="1"/>
  <c r="BR535" i="1"/>
  <c r="AS15" i="16"/>
  <c r="O69" i="18"/>
  <c r="O70" i="18"/>
  <c r="S69" i="18"/>
  <c r="O67" i="16"/>
  <c r="O66" i="16"/>
  <c r="S66" i="16"/>
  <c r="BS535" i="1"/>
  <c r="BX535" i="1"/>
  <c r="BS9" i="1"/>
  <c r="J12" i="16"/>
  <c r="N13" i="16" s="1"/>
  <c r="J14" i="18"/>
  <c r="N15" i="18" s="1"/>
  <c r="BN73" i="7"/>
  <c r="BN100" i="7" s="1"/>
  <c r="BX419" i="1"/>
  <c r="BZ535" i="1"/>
  <c r="BU535" i="1"/>
  <c r="BZ419" i="1"/>
  <c r="BU9" i="1"/>
  <c r="K12" i="16"/>
  <c r="BU419" i="1"/>
  <c r="K14" i="18"/>
  <c r="BY411" i="1"/>
  <c r="K62" i="16"/>
  <c r="CA535" i="1"/>
  <c r="L12" i="16"/>
  <c r="L14" i="18"/>
  <c r="BV535" i="1"/>
  <c r="BV9" i="1"/>
  <c r="BV419" i="1"/>
  <c r="CA419" i="1"/>
  <c r="S18" i="16"/>
  <c r="BX294" i="1"/>
  <c r="BP414" i="1"/>
  <c r="BQ414" i="1"/>
  <c r="BR414" i="1"/>
  <c r="BU414" i="1"/>
  <c r="BS414" i="1"/>
  <c r="BX422" i="1" s="1"/>
  <c r="BV414" i="1"/>
  <c r="BW414" i="1"/>
  <c r="BX429" i="1"/>
  <c r="CC556" i="1" s="1"/>
  <c r="BV422" i="1" l="1"/>
  <c r="BV536" i="1"/>
  <c r="L14" i="16"/>
  <c r="L16" i="18"/>
  <c r="CA536" i="1"/>
  <c r="CA422" i="1"/>
  <c r="BX295" i="1"/>
  <c r="CC295" i="1"/>
  <c r="O15" i="18"/>
  <c r="K15" i="18"/>
  <c r="N58" i="16"/>
  <c r="N60" i="16"/>
  <c r="CE292" i="1"/>
  <c r="BZ384" i="1"/>
  <c r="CD291" i="1"/>
  <c r="CD289" i="1" s="1"/>
  <c r="BZ292" i="1"/>
  <c r="AB153" i="3"/>
  <c r="AB155" i="3"/>
  <c r="AR62" i="16"/>
  <c r="AS61" i="16"/>
  <c r="BX442" i="1"/>
  <c r="BX545" i="1"/>
  <c r="BX444" i="1"/>
  <c r="BX443" i="1"/>
  <c r="BN8" i="7"/>
  <c r="BN104" i="7" s="1"/>
  <c r="N20" i="16"/>
  <c r="N22" i="18"/>
  <c r="BX546" i="1"/>
  <c r="BX441" i="1"/>
  <c r="BX13" i="1"/>
  <c r="CC552" i="1"/>
  <c r="CC540" i="1"/>
  <c r="CC430" i="1"/>
  <c r="CC553" i="1"/>
  <c r="CC554" i="1"/>
  <c r="CC555" i="1"/>
  <c r="BV25" i="1"/>
  <c r="BV6" i="1"/>
  <c r="CA25" i="1"/>
  <c r="O13" i="16"/>
  <c r="K13" i="16"/>
  <c r="N68" i="18"/>
  <c r="N66" i="18"/>
  <c r="R65" i="2"/>
  <c r="AS20" i="18"/>
  <c r="BZ25" i="1"/>
  <c r="BU6" i="1"/>
  <c r="BU25" i="1"/>
  <c r="BX486" i="1"/>
  <c r="BN10" i="7"/>
  <c r="BN36" i="7" s="1"/>
  <c r="BX487" i="1"/>
  <c r="BX499" i="1" s="1"/>
  <c r="N65" i="16"/>
  <c r="N73" i="18"/>
  <c r="CC485" i="1"/>
  <c r="BQ25" i="1"/>
  <c r="BQ6" i="1"/>
  <c r="BQ22" i="1" s="1"/>
  <c r="R259" i="2"/>
  <c r="AR65" i="16"/>
  <c r="AR73" i="18"/>
  <c r="AB271" i="3"/>
  <c r="CI281" i="1"/>
  <c r="CD17" i="1"/>
  <c r="CI18" i="1" s="1"/>
  <c r="CD15" i="1"/>
  <c r="CI14" i="1"/>
  <c r="R198" i="2"/>
  <c r="AB129" i="3"/>
  <c r="R200" i="2"/>
  <c r="BO105" i="7"/>
  <c r="BS113" i="7"/>
  <c r="BX547" i="1"/>
  <c r="R329" i="2"/>
  <c r="R288" i="2"/>
  <c r="BQ536" i="1"/>
  <c r="H14" i="16"/>
  <c r="H16" i="18"/>
  <c r="P15" i="18"/>
  <c r="L15" i="18"/>
  <c r="S50" i="19"/>
  <c r="S44" i="19"/>
  <c r="AB74" i="3"/>
  <c r="R298" i="2"/>
  <c r="CI26" i="1"/>
  <c r="BT414" i="1"/>
  <c r="BP536" i="1"/>
  <c r="G16" i="18"/>
  <c r="G14" i="16"/>
  <c r="S283" i="2"/>
  <c r="BT9" i="1"/>
  <c r="AP12" i="16"/>
  <c r="AP14" i="18"/>
  <c r="BT535" i="1"/>
  <c r="AR70" i="18"/>
  <c r="AS69" i="18"/>
  <c r="M15" i="18"/>
  <c r="Q15" i="18"/>
  <c r="BP25" i="1"/>
  <c r="BP6" i="1"/>
  <c r="BP22" i="1" s="1"/>
  <c r="AS18" i="16"/>
  <c r="I16" i="18"/>
  <c r="I14" i="16"/>
  <c r="BR536" i="1"/>
  <c r="AS23" i="18"/>
  <c r="M13" i="16"/>
  <c r="Q13" i="16"/>
  <c r="BR25" i="1"/>
  <c r="BR6" i="1"/>
  <c r="BR22" i="1" s="1"/>
  <c r="L13" i="16"/>
  <c r="P13" i="16"/>
  <c r="BX536" i="1"/>
  <c r="BS536" i="1"/>
  <c r="J16" i="18"/>
  <c r="N17" i="18" s="1"/>
  <c r="J14" i="16"/>
  <c r="N15" i="16" s="1"/>
  <c r="BW6" i="1"/>
  <c r="BW25" i="1"/>
  <c r="CB25" i="1"/>
  <c r="BU422" i="1"/>
  <c r="BU536" i="1"/>
  <c r="K16" i="18"/>
  <c r="BY414" i="1"/>
  <c r="K14" i="16"/>
  <c r="BZ536" i="1"/>
  <c r="BZ422" i="1"/>
  <c r="BS25" i="1"/>
  <c r="BS6" i="1"/>
  <c r="BX25" i="1"/>
  <c r="AS21" i="16"/>
  <c r="BW422" i="1"/>
  <c r="BW536" i="1"/>
  <c r="M16" i="18"/>
  <c r="M14" i="16"/>
  <c r="CB422" i="1"/>
  <c r="CB536" i="1"/>
  <c r="CD535" i="1"/>
  <c r="BY9" i="1"/>
  <c r="BY419" i="1"/>
  <c r="CD419" i="1"/>
  <c r="AA151" i="3"/>
  <c r="BY535" i="1"/>
  <c r="AQ12" i="16"/>
  <c r="AQ14" i="18"/>
  <c r="BZ541" i="1"/>
  <c r="CE541" i="1"/>
  <c r="CD431" i="1"/>
  <c r="BZ434" i="1"/>
  <c r="BN93" i="7"/>
  <c r="BN102" i="7" s="1"/>
  <c r="BN103" i="7" s="1"/>
  <c r="N17" i="16"/>
  <c r="R18" i="16" s="1"/>
  <c r="BX445" i="1"/>
  <c r="BX10" i="1"/>
  <c r="N19" i="18"/>
  <c r="R20" i="18" s="1"/>
  <c r="BX548" i="1"/>
  <c r="CC539" i="1"/>
  <c r="CC557" i="1"/>
  <c r="CC427" i="1"/>
  <c r="BM18" i="7"/>
  <c r="BM19" i="7" s="1"/>
  <c r="BW498" i="1"/>
  <c r="BW481" i="1"/>
  <c r="AV291" i="1"/>
  <c r="AW291" i="1"/>
  <c r="AW384" i="1" s="1"/>
  <c r="AX291" i="1"/>
  <c r="AX384" i="1" s="1"/>
  <c r="AY291" i="1"/>
  <c r="AY384" i="1" s="1"/>
  <c r="BA291" i="1"/>
  <c r="BB291" i="1"/>
  <c r="BC291" i="1"/>
  <c r="BD291" i="1"/>
  <c r="BF291" i="1"/>
  <c r="BG291" i="1"/>
  <c r="BH291" i="1"/>
  <c r="BI291" i="1"/>
  <c r="BK291" i="1"/>
  <c r="BL291" i="1"/>
  <c r="BM291" i="1"/>
  <c r="BN291" i="1"/>
  <c r="CI290" i="1" l="1"/>
  <c r="BN105" i="7"/>
  <c r="CD19" i="1"/>
  <c r="AQ13" i="16"/>
  <c r="AR13" i="16"/>
  <c r="M17" i="18"/>
  <c r="Q17" i="18"/>
  <c r="K15" i="16"/>
  <c r="O15" i="16"/>
  <c r="AR67" i="16"/>
  <c r="AS66" i="16"/>
  <c r="AQ14" i="16"/>
  <c r="BY422" i="1"/>
  <c r="AQ16" i="18"/>
  <c r="BY536" i="1"/>
  <c r="CD422" i="1"/>
  <c r="CD536" i="1"/>
  <c r="BT25" i="1"/>
  <c r="BT6" i="1"/>
  <c r="BT22" i="1" s="1"/>
  <c r="R273" i="2"/>
  <c r="R274" i="2" s="1"/>
  <c r="R85" i="2"/>
  <c r="R86" i="2" s="1"/>
  <c r="K17" i="18"/>
  <c r="O17" i="18"/>
  <c r="BP292" i="1"/>
  <c r="BK384" i="1"/>
  <c r="BK292" i="1"/>
  <c r="BO291" i="1"/>
  <c r="BG384" i="1"/>
  <c r="BG292" i="1"/>
  <c r="CC26" i="1"/>
  <c r="BI384" i="1"/>
  <c r="BI292" i="1"/>
  <c r="N70" i="18"/>
  <c r="R69" i="18"/>
  <c r="BF384" i="1"/>
  <c r="BF292" i="1"/>
  <c r="BJ291" i="1"/>
  <c r="BD292" i="1"/>
  <c r="BD384" i="1"/>
  <c r="BY25" i="1"/>
  <c r="CD25" i="1"/>
  <c r="BY6" i="1"/>
  <c r="BX22" i="1"/>
  <c r="BS22" i="1"/>
  <c r="N75" i="18"/>
  <c r="R74" i="18"/>
  <c r="BW502" i="1"/>
  <c r="CB500" i="1"/>
  <c r="BC384" i="1"/>
  <c r="BC292" i="1"/>
  <c r="BB384" i="1"/>
  <c r="BB292" i="1"/>
  <c r="BW22" i="1"/>
  <c r="CB22" i="1"/>
  <c r="N67" i="16"/>
  <c r="R66" i="16"/>
  <c r="BX15" i="1"/>
  <c r="CC14" i="1"/>
  <c r="AR25" i="16"/>
  <c r="CI541" i="1"/>
  <c r="AR30" i="18"/>
  <c r="CD434" i="1"/>
  <c r="BV22" i="1"/>
  <c r="CA22" i="1"/>
  <c r="CI292" i="1"/>
  <c r="CD384" i="1"/>
  <c r="BA292" i="1"/>
  <c r="BA384" i="1"/>
  <c r="BE291" i="1"/>
  <c r="AY385" i="1"/>
  <c r="AY388" i="1"/>
  <c r="BW400" i="1"/>
  <c r="BW426" i="1"/>
  <c r="AX385" i="1"/>
  <c r="AX388" i="1"/>
  <c r="BT536" i="1"/>
  <c r="AP14" i="16"/>
  <c r="AP16" i="18"/>
  <c r="R23" i="18"/>
  <c r="O24" i="18"/>
  <c r="BZ473" i="1"/>
  <c r="CE385" i="1"/>
  <c r="BZ385" i="1"/>
  <c r="BZ388" i="1"/>
  <c r="L17" i="18"/>
  <c r="P17" i="18"/>
  <c r="AW388" i="1"/>
  <c r="AW385" i="1"/>
  <c r="BX431" i="1"/>
  <c r="BX291" i="1"/>
  <c r="R21" i="16"/>
  <c r="O22" i="16"/>
  <c r="L15" i="16"/>
  <c r="P15" i="16"/>
  <c r="AV384" i="1"/>
  <c r="AZ291" i="1"/>
  <c r="BU22" i="1"/>
  <c r="BZ22" i="1"/>
  <c r="N62" i="16"/>
  <c r="R61" i="16"/>
  <c r="BH384" i="1"/>
  <c r="BH292" i="1"/>
  <c r="BN384" i="1"/>
  <c r="BS292" i="1"/>
  <c r="BN292" i="1"/>
  <c r="BR292" i="1"/>
  <c r="BM384" i="1"/>
  <c r="BM292" i="1"/>
  <c r="BL384" i="1"/>
  <c r="BQ292" i="1"/>
  <c r="BL292" i="1"/>
  <c r="BM23" i="7"/>
  <c r="BM28" i="7" s="1"/>
  <c r="BW482" i="1"/>
  <c r="BW484" i="1"/>
  <c r="M65" i="18"/>
  <c r="M57" i="16"/>
  <c r="AR15" i="18"/>
  <c r="AQ15" i="18"/>
  <c r="M15" i="16"/>
  <c r="Q15" i="16"/>
  <c r="AB79" i="3"/>
  <c r="R301" i="2"/>
  <c r="AR75" i="18"/>
  <c r="AS74" i="18"/>
  <c r="BW294" i="1"/>
  <c r="BV294" i="1"/>
  <c r="BF429" i="1"/>
  <c r="BC429" i="1"/>
  <c r="BB429" i="1"/>
  <c r="BD429" i="1"/>
  <c r="BH429" i="1"/>
  <c r="BI429" i="1"/>
  <c r="BG429" i="1"/>
  <c r="BM429" i="1"/>
  <c r="BL429" i="1"/>
  <c r="BK429" i="1"/>
  <c r="BN429" i="1"/>
  <c r="BW429" i="1"/>
  <c r="BL18" i="7"/>
  <c r="BL19" i="7" s="1"/>
  <c r="BV498" i="1"/>
  <c r="BV481" i="1"/>
  <c r="M60" i="16" l="1"/>
  <c r="M58" i="16"/>
  <c r="BV502" i="1"/>
  <c r="CA500" i="1"/>
  <c r="BN430" i="1"/>
  <c r="F22" i="18"/>
  <c r="BF8" i="7"/>
  <c r="F20" i="16"/>
  <c r="BN13" i="1"/>
  <c r="BN540" i="1"/>
  <c r="C20" i="16"/>
  <c r="BK13" i="1"/>
  <c r="BC8" i="7"/>
  <c r="BK540" i="1"/>
  <c r="BK430" i="1"/>
  <c r="C22" i="18"/>
  <c r="BO429" i="1"/>
  <c r="BL385" i="1"/>
  <c r="BQ385" i="1"/>
  <c r="BL388" i="1"/>
  <c r="BL473" i="1"/>
  <c r="AZ384" i="1"/>
  <c r="AZ289" i="1"/>
  <c r="AZ290" i="1" s="1"/>
  <c r="AZ292" i="1"/>
  <c r="BO30" i="7"/>
  <c r="BZ389" i="1"/>
  <c r="CE389" i="1"/>
  <c r="R303" i="2"/>
  <c r="AB82" i="3"/>
  <c r="AV388" i="1"/>
  <c r="AV385" i="1"/>
  <c r="BW10" i="1"/>
  <c r="BW445" i="1"/>
  <c r="BW548" i="1"/>
  <c r="BM93" i="7"/>
  <c r="BM102" i="7" s="1"/>
  <c r="BM103" i="7" s="1"/>
  <c r="M19" i="18"/>
  <c r="Q20" i="18" s="1"/>
  <c r="M17" i="16"/>
  <c r="Q18" i="16" s="1"/>
  <c r="CB557" i="1"/>
  <c r="CB427" i="1"/>
  <c r="CB539" i="1"/>
  <c r="BW434" i="1"/>
  <c r="BC388" i="1"/>
  <c r="BC385" i="1"/>
  <c r="BC473" i="1"/>
  <c r="BJ289" i="1"/>
  <c r="BJ384" i="1"/>
  <c r="BJ292" i="1"/>
  <c r="BK385" i="1"/>
  <c r="BK388" i="1"/>
  <c r="BP385" i="1"/>
  <c r="BK473" i="1"/>
  <c r="BM385" i="1"/>
  <c r="BR385" i="1"/>
  <c r="BM388" i="1"/>
  <c r="BM473" i="1"/>
  <c r="AQ17" i="18"/>
  <c r="AR17" i="18"/>
  <c r="AT30" i="7"/>
  <c r="AY389" i="1"/>
  <c r="BF385" i="1"/>
  <c r="BF388" i="1"/>
  <c r="BF473" i="1"/>
  <c r="M22" i="18"/>
  <c r="BW441" i="1"/>
  <c r="M20" i="16"/>
  <c r="BW444" i="1"/>
  <c r="BW13" i="1"/>
  <c r="BM8" i="7"/>
  <c r="BM104" i="7" s="1"/>
  <c r="BW545" i="1"/>
  <c r="BW443" i="1"/>
  <c r="BW546" i="1"/>
  <c r="BW442" i="1"/>
  <c r="CB554" i="1"/>
  <c r="CB552" i="1"/>
  <c r="CB430" i="1"/>
  <c r="CB553" i="1"/>
  <c r="CB540" i="1"/>
  <c r="CB555" i="1"/>
  <c r="BW547" i="1"/>
  <c r="CB556" i="1"/>
  <c r="AQ15" i="16"/>
  <c r="AR15" i="16"/>
  <c r="BE292" i="1"/>
  <c r="BE289" i="1"/>
  <c r="BE384" i="1"/>
  <c r="BG13" i="1"/>
  <c r="BG430" i="1"/>
  <c r="AZ8" i="7"/>
  <c r="BG540" i="1"/>
  <c r="BI430" i="1"/>
  <c r="BI13" i="1"/>
  <c r="BI540" i="1"/>
  <c r="BB8" i="7"/>
  <c r="BN388" i="1"/>
  <c r="BS385" i="1"/>
  <c r="BN385" i="1"/>
  <c r="BN473" i="1"/>
  <c r="BA385" i="1"/>
  <c r="BA388" i="1"/>
  <c r="BW295" i="1"/>
  <c r="CB295" i="1"/>
  <c r="BD13" i="1"/>
  <c r="AX8" i="7"/>
  <c r="M66" i="18"/>
  <c r="M68" i="18"/>
  <c r="BH385" i="1"/>
  <c r="BH388" i="1"/>
  <c r="BH473" i="1"/>
  <c r="BY291" i="1"/>
  <c r="BX384" i="1"/>
  <c r="BX292" i="1"/>
  <c r="CC292" i="1"/>
  <c r="BI388" i="1"/>
  <c r="BI385" i="1"/>
  <c r="BL540" i="1"/>
  <c r="D22" i="18"/>
  <c r="D20" i="16"/>
  <c r="BD8" i="7"/>
  <c r="BL430" i="1"/>
  <c r="BL13" i="1"/>
  <c r="BV426" i="1"/>
  <c r="BV400" i="1"/>
  <c r="BA8" i="7"/>
  <c r="BH430" i="1"/>
  <c r="BH13" i="1"/>
  <c r="BH540" i="1"/>
  <c r="BW486" i="1"/>
  <c r="BM10" i="7"/>
  <c r="BM36" i="7" s="1"/>
  <c r="M73" i="18"/>
  <c r="BW487" i="1"/>
  <c r="BW499" i="1" s="1"/>
  <c r="M65" i="16"/>
  <c r="CB485" i="1"/>
  <c r="BX541" i="1"/>
  <c r="CC541" i="1"/>
  <c r="BY431" i="1"/>
  <c r="BX434" i="1"/>
  <c r="CD473" i="1"/>
  <c r="CD522" i="1" s="1"/>
  <c r="CI385" i="1"/>
  <c r="CD388" i="1"/>
  <c r="E22" i="18"/>
  <c r="BM540" i="1"/>
  <c r="BM13" i="1"/>
  <c r="BM430" i="1"/>
  <c r="E20" i="16"/>
  <c r="BE8" i="7"/>
  <c r="AV8" i="7"/>
  <c r="BB13" i="1"/>
  <c r="BC13" i="1"/>
  <c r="AW8" i="7"/>
  <c r="CD22" i="1"/>
  <c r="BY22" i="1"/>
  <c r="L65" i="18"/>
  <c r="L57" i="16"/>
  <c r="BL23" i="7"/>
  <c r="BL28" i="7" s="1"/>
  <c r="BV484" i="1"/>
  <c r="BV482" i="1"/>
  <c r="BY481" i="1"/>
  <c r="BJ429" i="1"/>
  <c r="AY8" i="7"/>
  <c r="BF13" i="1"/>
  <c r="AW389" i="1"/>
  <c r="AR30" i="7"/>
  <c r="BV295" i="1"/>
  <c r="CA295" i="1"/>
  <c r="BY294" i="1"/>
  <c r="BG473" i="1"/>
  <c r="BG388" i="1"/>
  <c r="BG385" i="1"/>
  <c r="AX389" i="1"/>
  <c r="AS30" i="7"/>
  <c r="BB473" i="1"/>
  <c r="BB385" i="1"/>
  <c r="BB388" i="1"/>
  <c r="BD385" i="1"/>
  <c r="BD388" i="1"/>
  <c r="BT292" i="1"/>
  <c r="BO292" i="1"/>
  <c r="BO289" i="1"/>
  <c r="BO384" i="1"/>
  <c r="BV429" i="1"/>
  <c r="BL14" i="1" l="1"/>
  <c r="D24" i="18"/>
  <c r="BE290" i="1"/>
  <c r="D22" i="16"/>
  <c r="BH14" i="1"/>
  <c r="BM105" i="7"/>
  <c r="BO388" i="1"/>
  <c r="BT385" i="1"/>
  <c r="BO385" i="1"/>
  <c r="BO473" i="1"/>
  <c r="BO522" i="1" s="1"/>
  <c r="L65" i="16"/>
  <c r="BL10" i="7"/>
  <c r="BL36" i="7" s="1"/>
  <c r="L73" i="18"/>
  <c r="BV486" i="1"/>
  <c r="BV487" i="1"/>
  <c r="BV499" i="1" s="1"/>
  <c r="CA485" i="1"/>
  <c r="AQ30" i="18"/>
  <c r="BY541" i="1"/>
  <c r="AQ25" i="16"/>
  <c r="CD541" i="1"/>
  <c r="M67" i="16"/>
  <c r="Q66" i="16"/>
  <c r="BL93" i="7"/>
  <c r="BL102" i="7" s="1"/>
  <c r="BL103" i="7" s="1"/>
  <c r="L19" i="18"/>
  <c r="P20" i="18" s="1"/>
  <c r="BV445" i="1"/>
  <c r="BV10" i="1"/>
  <c r="L17" i="16"/>
  <c r="P18" i="16" s="1"/>
  <c r="BV548" i="1"/>
  <c r="CA539" i="1"/>
  <c r="CA557" i="1"/>
  <c r="CA427" i="1"/>
  <c r="BV434" i="1"/>
  <c r="BA30" i="7"/>
  <c r="BH389" i="1"/>
  <c r="BH434" i="1"/>
  <c r="BN389" i="1"/>
  <c r="BN434" i="1"/>
  <c r="BS389" i="1"/>
  <c r="BF30" i="7"/>
  <c r="Q23" i="18"/>
  <c r="N24" i="18"/>
  <c r="BK14" i="1"/>
  <c r="BJ388" i="1"/>
  <c r="BJ385" i="1"/>
  <c r="BK434" i="1"/>
  <c r="BP389" i="1"/>
  <c r="BK389" i="1"/>
  <c r="BC30" i="7"/>
  <c r="BL8" i="7"/>
  <c r="BL104" i="7" s="1"/>
  <c r="BV441" i="1"/>
  <c r="BV13" i="1"/>
  <c r="L22" i="18"/>
  <c r="M24" i="18" s="1"/>
  <c r="BV444" i="1"/>
  <c r="BV442" i="1"/>
  <c r="BV443" i="1"/>
  <c r="L20" i="16"/>
  <c r="M22" i="16" s="1"/>
  <c r="BV546" i="1"/>
  <c r="BV545" i="1"/>
  <c r="CA553" i="1"/>
  <c r="CA554" i="1"/>
  <c r="CA552" i="1"/>
  <c r="CA540" i="1"/>
  <c r="CA430" i="1"/>
  <c r="CA555" i="1"/>
  <c r="BV547" i="1"/>
  <c r="CA556" i="1"/>
  <c r="BJ13" i="1"/>
  <c r="CP8" i="7"/>
  <c r="N327" i="2"/>
  <c r="N329" i="2" s="1"/>
  <c r="AQ65" i="18"/>
  <c r="AQ57" i="16"/>
  <c r="BY482" i="1"/>
  <c r="Q80" i="2"/>
  <c r="Q57" i="2"/>
  <c r="BY484" i="1"/>
  <c r="Q81" i="2"/>
  <c r="M70" i="18"/>
  <c r="Q69" i="18"/>
  <c r="BF389" i="1"/>
  <c r="AY30" i="7"/>
  <c r="BF434" i="1"/>
  <c r="BG389" i="1"/>
  <c r="AZ30" i="7"/>
  <c r="BG434" i="1"/>
  <c r="E22" i="16"/>
  <c r="BI14" i="1"/>
  <c r="BN14" i="1"/>
  <c r="AZ388" i="1"/>
  <c r="AZ320" i="1"/>
  <c r="AZ385" i="1"/>
  <c r="F22" i="16"/>
  <c r="BM14" i="1"/>
  <c r="BJ290" i="1"/>
  <c r="BT290" i="1"/>
  <c r="BO290" i="1"/>
  <c r="BY295" i="1"/>
  <c r="H2" i="5"/>
  <c r="CD295" i="1"/>
  <c r="L58" i="16"/>
  <c r="L60" i="16"/>
  <c r="M75" i="18"/>
  <c r="Q74" i="18"/>
  <c r="BD30" i="7"/>
  <c r="BL434" i="1"/>
  <c r="BQ389" i="1"/>
  <c r="BL389" i="1"/>
  <c r="F24" i="18"/>
  <c r="L66" i="18"/>
  <c r="L68" i="18"/>
  <c r="E24" i="18"/>
  <c r="CB26" i="1"/>
  <c r="AX30" i="7"/>
  <c r="BD434" i="1"/>
  <c r="BD389" i="1"/>
  <c r="CI389" i="1"/>
  <c r="BI389" i="1"/>
  <c r="BB30" i="7"/>
  <c r="BI434" i="1"/>
  <c r="BG14" i="1"/>
  <c r="BC389" i="1"/>
  <c r="AW30" i="7"/>
  <c r="BC434" i="1"/>
  <c r="BA389" i="1"/>
  <c r="AU30" i="7"/>
  <c r="BE385" i="1"/>
  <c r="BE388" i="1"/>
  <c r="AV389" i="1"/>
  <c r="AQ30" i="7"/>
  <c r="O327" i="2"/>
  <c r="O329" i="2" s="1"/>
  <c r="CQ8" i="7"/>
  <c r="BO430" i="1"/>
  <c r="BO540" i="1"/>
  <c r="BO13" i="1"/>
  <c r="BB389" i="1"/>
  <c r="BB434" i="1"/>
  <c r="AV30" i="7"/>
  <c r="BW15" i="1"/>
  <c r="CB14" i="1"/>
  <c r="BX385" i="1"/>
  <c r="BX473" i="1"/>
  <c r="CC385" i="1"/>
  <c r="BX388" i="1"/>
  <c r="AB31" i="3"/>
  <c r="R304" i="2"/>
  <c r="S30" i="19"/>
  <c r="AB84" i="3"/>
  <c r="BM434" i="1"/>
  <c r="BR389" i="1"/>
  <c r="BM389" i="1"/>
  <c r="BE30" i="7"/>
  <c r="BY292" i="1"/>
  <c r="BY384" i="1"/>
  <c r="BY289" i="1"/>
  <c r="CD290" i="1" s="1"/>
  <c r="CD292" i="1"/>
  <c r="Q21" i="16"/>
  <c r="N22" i="16"/>
  <c r="M62" i="16"/>
  <c r="Q61" i="16"/>
  <c r="BL105" i="7" l="1"/>
  <c r="P23" i="18"/>
  <c r="BO14" i="1"/>
  <c r="L70" i="18"/>
  <c r="P69" i="18"/>
  <c r="AQ66" i="18"/>
  <c r="AQ68" i="18"/>
  <c r="BV15" i="1"/>
  <c r="CA14" i="1"/>
  <c r="BY290" i="1"/>
  <c r="CT290" i="1" s="1"/>
  <c r="CU290" i="1" s="1"/>
  <c r="CV290" i="1" s="1"/>
  <c r="CW290" i="1" s="1"/>
  <c r="S32" i="19"/>
  <c r="S42" i="19" s="1"/>
  <c r="S41" i="19"/>
  <c r="AQ58" i="16"/>
  <c r="AQ60" i="16"/>
  <c r="CA26" i="1"/>
  <c r="BX389" i="1"/>
  <c r="BN30" i="7"/>
  <c r="CC389" i="1"/>
  <c r="L75" i="18"/>
  <c r="P74" i="18"/>
  <c r="BY385" i="1"/>
  <c r="BY473" i="1"/>
  <c r="BY522" i="1" s="1"/>
  <c r="BY388" i="1"/>
  <c r="CD385" i="1"/>
  <c r="L67" i="16"/>
  <c r="P66" i="16"/>
  <c r="AZ322" i="1"/>
  <c r="AZ321" i="1"/>
  <c r="AZ324" i="1"/>
  <c r="BJ389" i="1"/>
  <c r="BJ434" i="1"/>
  <c r="AZ389" i="1"/>
  <c r="BY487" i="1"/>
  <c r="Q222" i="2"/>
  <c r="Q227" i="2"/>
  <c r="Q229" i="2" s="1"/>
  <c r="AA29" i="3"/>
  <c r="BY486" i="1"/>
  <c r="CS10" i="7"/>
  <c r="R27" i="19"/>
  <c r="R40" i="19" s="1"/>
  <c r="H12" i="5"/>
  <c r="H16" i="5" s="1"/>
  <c r="CD485" i="1"/>
  <c r="P21" i="16"/>
  <c r="Q254" i="2"/>
  <c r="Q194" i="2"/>
  <c r="Q293" i="2"/>
  <c r="Q64" i="2"/>
  <c r="Q255" i="2" s="1"/>
  <c r="BE389" i="1"/>
  <c r="L62" i="16"/>
  <c r="P61" i="16"/>
  <c r="BO389" i="1"/>
  <c r="BO434" i="1"/>
  <c r="BT389" i="1"/>
  <c r="BC476" i="1"/>
  <c r="AW26" i="7" s="1"/>
  <c r="AW28" i="7" s="1"/>
  <c r="BS469" i="1"/>
  <c r="BS471" i="1" s="1"/>
  <c r="BN469" i="1"/>
  <c r="Q259" i="2" l="1"/>
  <c r="AQ65" i="16"/>
  <c r="AQ73" i="18"/>
  <c r="Q200" i="2"/>
  <c r="AA129" i="3"/>
  <c r="Q198" i="2"/>
  <c r="BS473" i="1"/>
  <c r="BS477" i="1"/>
  <c r="J50" i="16"/>
  <c r="J58" i="18"/>
  <c r="BS472" i="1"/>
  <c r="AQ70" i="18"/>
  <c r="AR69" i="18"/>
  <c r="AQ62" i="16"/>
  <c r="AR61" i="16"/>
  <c r="BY389" i="1"/>
  <c r="CD389" i="1"/>
  <c r="Q65" i="2"/>
  <c r="Q298" i="2"/>
  <c r="AA74" i="3"/>
  <c r="Q301" i="2" l="1"/>
  <c r="AA79" i="3"/>
  <c r="J52" i="16"/>
  <c r="N51" i="16"/>
  <c r="J51" i="16"/>
  <c r="J59" i="18"/>
  <c r="N59" i="18"/>
  <c r="J60" i="18"/>
  <c r="Q85" i="2"/>
  <c r="Q86" i="2" s="1"/>
  <c r="Q273" i="2"/>
  <c r="Q274" i="2" s="1"/>
  <c r="CQ289" i="1"/>
  <c r="CQ291" i="1" s="1"/>
  <c r="AQ75" i="18"/>
  <c r="AR74" i="18"/>
  <c r="AQ67" i="16"/>
  <c r="AR66" i="16"/>
  <c r="BK18" i="7"/>
  <c r="BK19" i="7" s="1"/>
  <c r="BU501" i="1"/>
  <c r="BU498" i="1"/>
  <c r="CR289" i="1" l="1"/>
  <c r="BU502" i="1"/>
  <c r="BY501" i="1"/>
  <c r="BU400" i="1"/>
  <c r="BU426" i="1"/>
  <c r="BP426" i="1"/>
  <c r="BP400" i="1"/>
  <c r="BS400" i="1"/>
  <c r="BS426" i="1"/>
  <c r="BR426" i="1"/>
  <c r="BR400" i="1"/>
  <c r="BQ400" i="1"/>
  <c r="BQ426" i="1"/>
  <c r="BY498" i="1"/>
  <c r="BZ500" i="1"/>
  <c r="Q303" i="2"/>
  <c r="AA82" i="3"/>
  <c r="BR429" i="1"/>
  <c r="BP429" i="1"/>
  <c r="BS429" i="1"/>
  <c r="BQ429" i="1"/>
  <c r="BU429" i="1"/>
  <c r="BR445" i="1" l="1"/>
  <c r="BR10" i="1"/>
  <c r="I19" i="18"/>
  <c r="M20" i="18" s="1"/>
  <c r="I17" i="16"/>
  <c r="M18" i="16" s="1"/>
  <c r="BR539" i="1"/>
  <c r="BI93" i="7"/>
  <c r="BI102" i="7" s="1"/>
  <c r="BI103" i="7" s="1"/>
  <c r="BR548" i="1"/>
  <c r="BR434" i="1"/>
  <c r="BW539" i="1"/>
  <c r="BW427" i="1"/>
  <c r="BW557" i="1"/>
  <c r="BJ93" i="7"/>
  <c r="BJ102" i="7" s="1"/>
  <c r="BJ103" i="7" s="1"/>
  <c r="BS10" i="1"/>
  <c r="BS548" i="1"/>
  <c r="J19" i="18"/>
  <c r="N20" i="18" s="1"/>
  <c r="BS539" i="1"/>
  <c r="J17" i="16"/>
  <c r="N18" i="16" s="1"/>
  <c r="BS445" i="1"/>
  <c r="BX427" i="1"/>
  <c r="BX539" i="1"/>
  <c r="BS434" i="1"/>
  <c r="BX557" i="1"/>
  <c r="BP445" i="1"/>
  <c r="G19" i="18"/>
  <c r="BP10" i="1"/>
  <c r="BP26" i="1" s="1"/>
  <c r="BP548" i="1"/>
  <c r="BT426" i="1"/>
  <c r="G17" i="16"/>
  <c r="BG93" i="7"/>
  <c r="BG102" i="7" s="1"/>
  <c r="BG103" i="7" s="1"/>
  <c r="BP539" i="1"/>
  <c r="BP434" i="1"/>
  <c r="BS443" i="1"/>
  <c r="BS540" i="1"/>
  <c r="BS441" i="1"/>
  <c r="BS546" i="1"/>
  <c r="BS13" i="1"/>
  <c r="BS442" i="1"/>
  <c r="J22" i="18"/>
  <c r="BS444" i="1"/>
  <c r="BJ8" i="7"/>
  <c r="BJ104" i="7" s="1"/>
  <c r="J20" i="16"/>
  <c r="BS545" i="1"/>
  <c r="BS430" i="1"/>
  <c r="BX556" i="1"/>
  <c r="BS547" i="1"/>
  <c r="BX553" i="1"/>
  <c r="BX430" i="1"/>
  <c r="BX554" i="1"/>
  <c r="BX555" i="1"/>
  <c r="BX540" i="1"/>
  <c r="BX552" i="1"/>
  <c r="BU445" i="1"/>
  <c r="BK93" i="7"/>
  <c r="BK102" i="7" s="1"/>
  <c r="BK103" i="7" s="1"/>
  <c r="K19" i="18"/>
  <c r="BU427" i="1"/>
  <c r="BU10" i="1"/>
  <c r="K17" i="16"/>
  <c r="BU548" i="1"/>
  <c r="BU539" i="1"/>
  <c r="BY426" i="1"/>
  <c r="BU557" i="1"/>
  <c r="BZ557" i="1"/>
  <c r="BZ539" i="1"/>
  <c r="BZ427" i="1"/>
  <c r="BU434" i="1"/>
  <c r="AA84" i="3"/>
  <c r="R30" i="19"/>
  <c r="Q304" i="2"/>
  <c r="AA31" i="3"/>
  <c r="AA13" i="3"/>
  <c r="BY502" i="1"/>
  <c r="BY505" i="1"/>
  <c r="R33" i="19"/>
  <c r="BR430" i="1"/>
  <c r="BR442" i="1"/>
  <c r="BI8" i="7"/>
  <c r="BI104" i="7" s="1"/>
  <c r="I22" i="18"/>
  <c r="BR441" i="1"/>
  <c r="BR444" i="1"/>
  <c r="I20" i="16"/>
  <c r="BR443" i="1"/>
  <c r="BR546" i="1"/>
  <c r="BR540" i="1"/>
  <c r="BR13" i="1"/>
  <c r="BR545" i="1"/>
  <c r="BR547" i="1"/>
  <c r="BW555" i="1"/>
  <c r="BW556" i="1"/>
  <c r="BW552" i="1"/>
  <c r="BW553" i="1"/>
  <c r="BW430" i="1"/>
  <c r="BW540" i="1"/>
  <c r="BW554" i="1"/>
  <c r="I69" i="4"/>
  <c r="AA15" i="3"/>
  <c r="Q271" i="2" s="1"/>
  <c r="BY499" i="1"/>
  <c r="BH93" i="7"/>
  <c r="BH102" i="7" s="1"/>
  <c r="BH103" i="7" s="1"/>
  <c r="BQ548" i="1"/>
  <c r="H19" i="18"/>
  <c r="L20" i="18" s="1"/>
  <c r="H17" i="16"/>
  <c r="L18" i="16" s="1"/>
  <c r="BQ10" i="1"/>
  <c r="BQ445" i="1"/>
  <c r="BQ539" i="1"/>
  <c r="BQ434" i="1"/>
  <c r="BV539" i="1"/>
  <c r="BV557" i="1"/>
  <c r="BV427" i="1"/>
  <c r="AT25" i="16"/>
  <c r="AT30" i="18"/>
  <c r="BU554" i="1"/>
  <c r="BU444" i="1"/>
  <c r="BU443" i="1"/>
  <c r="K20" i="16"/>
  <c r="BY429" i="1"/>
  <c r="BU552" i="1"/>
  <c r="K22" i="18"/>
  <c r="BU546" i="1"/>
  <c r="BU442" i="1"/>
  <c r="BU430" i="1"/>
  <c r="BU545" i="1"/>
  <c r="BU13" i="1"/>
  <c r="BK8" i="7"/>
  <c r="BK104" i="7" s="1"/>
  <c r="BU441" i="1"/>
  <c r="BU540" i="1"/>
  <c r="BU553" i="1"/>
  <c r="BZ540" i="1"/>
  <c r="BZ552" i="1"/>
  <c r="BZ553" i="1"/>
  <c r="BZ430" i="1"/>
  <c r="BZ554" i="1"/>
  <c r="BU555" i="1"/>
  <c r="BZ555" i="1"/>
  <c r="BU556" i="1"/>
  <c r="BU547" i="1"/>
  <c r="BZ556" i="1"/>
  <c r="CQ292" i="1"/>
  <c r="CQ431" i="1"/>
  <c r="CQ384" i="1"/>
  <c r="BP444" i="1"/>
  <c r="G20" i="16"/>
  <c r="G22" i="16" s="1"/>
  <c r="BG8" i="7"/>
  <c r="BG104" i="7" s="1"/>
  <c r="BP540" i="1"/>
  <c r="BP546" i="1"/>
  <c r="BP443" i="1"/>
  <c r="BP430" i="1"/>
  <c r="BP442" i="1"/>
  <c r="BP441" i="1"/>
  <c r="BP13" i="1"/>
  <c r="BP545" i="1"/>
  <c r="G22" i="18"/>
  <c r="G24" i="18" s="1"/>
  <c r="BT429" i="1"/>
  <c r="BP547" i="1"/>
  <c r="BQ441" i="1"/>
  <c r="H20" i="16"/>
  <c r="BQ13" i="1"/>
  <c r="H22" i="18"/>
  <c r="BQ443" i="1"/>
  <c r="BQ546" i="1"/>
  <c r="BQ545" i="1"/>
  <c r="BQ444" i="1"/>
  <c r="BQ430" i="1"/>
  <c r="BQ540" i="1"/>
  <c r="BH8" i="7"/>
  <c r="BH104" i="7" s="1"/>
  <c r="BQ442" i="1"/>
  <c r="BQ547" i="1"/>
  <c r="BV555" i="1"/>
  <c r="BV556" i="1"/>
  <c r="BV554" i="1"/>
  <c r="BV553" i="1"/>
  <c r="BV540" i="1"/>
  <c r="BV430" i="1"/>
  <c r="BV552" i="1"/>
  <c r="CS289" i="1"/>
  <c r="CR291" i="1"/>
  <c r="BS481" i="1"/>
  <c r="BJ18" i="7"/>
  <c r="BJ19" i="7" s="1"/>
  <c r="BS498" i="1"/>
  <c r="BK105" i="7" l="1"/>
  <c r="AA14" i="3"/>
  <c r="R31" i="19"/>
  <c r="R50" i="19" s="1"/>
  <c r="BU26" i="1"/>
  <c r="BZ26" i="1"/>
  <c r="J22" i="16"/>
  <c r="V23" i="16" s="1"/>
  <c r="N21" i="16"/>
  <c r="AP17" i="16"/>
  <c r="BT10" i="1"/>
  <c r="BT26" i="1" s="1"/>
  <c r="BT539" i="1"/>
  <c r="AP19" i="18"/>
  <c r="CR93" i="7"/>
  <c r="BT548" i="1"/>
  <c r="BT445" i="1"/>
  <c r="BT434" i="1"/>
  <c r="BS26" i="1"/>
  <c r="BX26" i="1"/>
  <c r="BP15" i="1"/>
  <c r="BP14" i="1"/>
  <c r="I22" i="16"/>
  <c r="U23" i="16" s="1"/>
  <c r="M21" i="16"/>
  <c r="K20" i="18"/>
  <c r="O20" i="18"/>
  <c r="BJ105" i="7"/>
  <c r="R32" i="19"/>
  <c r="R42" i="19" s="1"/>
  <c r="R41" i="19"/>
  <c r="CR292" i="1"/>
  <c r="CR384" i="1"/>
  <c r="CR431" i="1"/>
  <c r="J24" i="18"/>
  <c r="V25" i="18" s="1"/>
  <c r="N23" i="18"/>
  <c r="I24" i="18"/>
  <c r="U25" i="18" s="1"/>
  <c r="M23" i="18"/>
  <c r="BU15" i="1"/>
  <c r="BU14" i="1"/>
  <c r="BZ14" i="1"/>
  <c r="BJ23" i="7"/>
  <c r="BJ28" i="7" s="1"/>
  <c r="J65" i="18"/>
  <c r="BS482" i="1"/>
  <c r="J57" i="16"/>
  <c r="BS484" i="1"/>
  <c r="CS291" i="1"/>
  <c r="CT289" i="1"/>
  <c r="K23" i="18"/>
  <c r="K24" i="18"/>
  <c r="O23" i="18"/>
  <c r="L24" i="18"/>
  <c r="BS14" i="1"/>
  <c r="BS15" i="1"/>
  <c r="BX14" i="1"/>
  <c r="BS502" i="1"/>
  <c r="BX500" i="1"/>
  <c r="H24" i="18"/>
  <c r="L23" i="18"/>
  <c r="BY442" i="1"/>
  <c r="BY430" i="1"/>
  <c r="AQ22" i="18"/>
  <c r="BY554" i="1"/>
  <c r="AA154" i="3"/>
  <c r="AQ20" i="16"/>
  <c r="BY443" i="1"/>
  <c r="BY444" i="1"/>
  <c r="BY552" i="1"/>
  <c r="BY13" i="1"/>
  <c r="BY545" i="1"/>
  <c r="CS8" i="7"/>
  <c r="BY540" i="1"/>
  <c r="BY441" i="1"/>
  <c r="BY546" i="1"/>
  <c r="Q327" i="2"/>
  <c r="Q329" i="2" s="1"/>
  <c r="BY553" i="1"/>
  <c r="CD430" i="1"/>
  <c r="CD540" i="1"/>
  <c r="CD552" i="1"/>
  <c r="CD553" i="1"/>
  <c r="CD554" i="1"/>
  <c r="BY555" i="1"/>
  <c r="CD555" i="1"/>
  <c r="BY547" i="1"/>
  <c r="CD556" i="1"/>
  <c r="BY556" i="1"/>
  <c r="BI105" i="7"/>
  <c r="BQ15" i="1"/>
  <c r="BQ14" i="1"/>
  <c r="BV14" i="1"/>
  <c r="K21" i="16"/>
  <c r="K22" i="16"/>
  <c r="O21" i="16"/>
  <c r="L22" i="16"/>
  <c r="BQ26" i="1"/>
  <c r="BV26" i="1"/>
  <c r="Q276" i="2"/>
  <c r="Q281" i="2" s="1"/>
  <c r="Q282" i="2" s="1"/>
  <c r="Q270" i="2"/>
  <c r="AA30" i="3"/>
  <c r="H22" i="16"/>
  <c r="L21" i="16"/>
  <c r="BY427" i="1"/>
  <c r="AQ19" i="18"/>
  <c r="AQ17" i="16"/>
  <c r="BY10" i="1"/>
  <c r="BY557" i="1"/>
  <c r="CS93" i="7"/>
  <c r="BY548" i="1"/>
  <c r="BY539" i="1"/>
  <c r="BY445" i="1"/>
  <c r="BY280" i="1"/>
  <c r="AA152" i="3"/>
  <c r="CD557" i="1"/>
  <c r="CD539" i="1"/>
  <c r="CD427" i="1"/>
  <c r="BY434" i="1"/>
  <c r="R43" i="19"/>
  <c r="CQ385" i="1"/>
  <c r="CQ388" i="1"/>
  <c r="CQ389" i="1" s="1"/>
  <c r="BR15" i="1"/>
  <c r="BR14" i="1"/>
  <c r="BW14" i="1"/>
  <c r="BR26" i="1"/>
  <c r="BW26" i="1"/>
  <c r="BT444" i="1"/>
  <c r="CR8" i="7"/>
  <c r="BT430" i="1"/>
  <c r="BT13" i="1"/>
  <c r="BT443" i="1"/>
  <c r="BT441" i="1"/>
  <c r="BT546" i="1"/>
  <c r="P327" i="2"/>
  <c r="P329" i="2" s="1"/>
  <c r="BT545" i="1"/>
  <c r="AP20" i="16"/>
  <c r="BT540" i="1"/>
  <c r="BT442" i="1"/>
  <c r="AP22" i="18"/>
  <c r="BT547" i="1"/>
  <c r="AU25" i="16"/>
  <c r="AU30" i="18"/>
  <c r="CQ541" i="1"/>
  <c r="CQ432" i="1"/>
  <c r="CV7" i="7"/>
  <c r="U24" i="19"/>
  <c r="AT31" i="18"/>
  <c r="K3" i="5"/>
  <c r="AT26" i="16"/>
  <c r="AD156" i="3"/>
  <c r="AD155" i="3" s="1"/>
  <c r="BH105" i="7"/>
  <c r="K18" i="16"/>
  <c r="O18" i="16"/>
  <c r="BG105" i="7"/>
  <c r="BI18" i="7"/>
  <c r="BI19" i="7" s="1"/>
  <c r="BH18" i="7"/>
  <c r="BH19" i="7" s="1"/>
  <c r="BG18" i="7"/>
  <c r="BG19" i="7" s="1"/>
  <c r="BE18" i="7"/>
  <c r="BE19" i="7" s="1"/>
  <c r="BR501" i="1"/>
  <c r="BR498" i="1"/>
  <c r="BR481" i="1"/>
  <c r="BR469" i="1"/>
  <c r="BR471" i="1" s="1"/>
  <c r="BQ469" i="1"/>
  <c r="BQ471" i="1" s="1"/>
  <c r="BP469" i="1"/>
  <c r="BQ498" i="1"/>
  <c r="BQ501" i="1"/>
  <c r="BQ481" i="1"/>
  <c r="R44" i="19" l="1"/>
  <c r="I57" i="16"/>
  <c r="BR484" i="1"/>
  <c r="I65" i="18"/>
  <c r="BR482" i="1"/>
  <c r="BI23" i="7"/>
  <c r="BI28" i="7" s="1"/>
  <c r="AQ20" i="18"/>
  <c r="AR20" i="18"/>
  <c r="CT291" i="1"/>
  <c r="CU289" i="1"/>
  <c r="AV25" i="16"/>
  <c r="AV30" i="18"/>
  <c r="BA30" i="18" s="1"/>
  <c r="CR541" i="1"/>
  <c r="CR432" i="1"/>
  <c r="BW500" i="1"/>
  <c r="CS292" i="1"/>
  <c r="CS384" i="1"/>
  <c r="CS431" i="1"/>
  <c r="CR385" i="1"/>
  <c r="CR388" i="1"/>
  <c r="CR389" i="1" s="1"/>
  <c r="CQ434" i="1"/>
  <c r="CQ515" i="1"/>
  <c r="U162" i="2"/>
  <c r="AE156" i="3"/>
  <c r="AE155" i="3" s="1"/>
  <c r="U159" i="2"/>
  <c r="U134" i="2"/>
  <c r="CQ433" i="1"/>
  <c r="U173" i="2"/>
  <c r="U192" i="2"/>
  <c r="CQ31" i="1"/>
  <c r="L3" i="5"/>
  <c r="CQ542" i="1"/>
  <c r="U155" i="2"/>
  <c r="AU31" i="18"/>
  <c r="CW7" i="7"/>
  <c r="U73" i="2"/>
  <c r="CQ393" i="1"/>
  <c r="U152" i="2"/>
  <c r="U165" i="2"/>
  <c r="V24" i="19"/>
  <c r="AU26" i="16"/>
  <c r="AU27" i="16" s="1"/>
  <c r="BT15" i="1"/>
  <c r="BT14" i="1"/>
  <c r="BS486" i="1"/>
  <c r="BS487" i="1"/>
  <c r="BS499" i="1" s="1"/>
  <c r="BJ10" i="7"/>
  <c r="BJ36" i="7" s="1"/>
  <c r="BS485" i="1"/>
  <c r="J65" i="16"/>
  <c r="J73" i="18"/>
  <c r="BX485" i="1"/>
  <c r="U118" i="2"/>
  <c r="J58" i="16"/>
  <c r="J60" i="16"/>
  <c r="AJ26" i="16"/>
  <c r="AT27" i="16"/>
  <c r="J68" i="18"/>
  <c r="J66" i="18"/>
  <c r="AA271" i="3"/>
  <c r="CD281" i="1"/>
  <c r="R283" i="2"/>
  <c r="BY14" i="1"/>
  <c r="BY15" i="1"/>
  <c r="CD14" i="1"/>
  <c r="AD75" i="3"/>
  <c r="BQ502" i="1"/>
  <c r="BV500" i="1"/>
  <c r="T23" i="16"/>
  <c r="X23" i="16"/>
  <c r="AQ21" i="16"/>
  <c r="AR21" i="16"/>
  <c r="T25" i="18"/>
  <c r="X25" i="18"/>
  <c r="BP471" i="1"/>
  <c r="BT469" i="1"/>
  <c r="BT471" i="1" s="1"/>
  <c r="H50" i="16"/>
  <c r="H58" i="18"/>
  <c r="BQ472" i="1"/>
  <c r="BQ473" i="1"/>
  <c r="BQ477" i="1"/>
  <c r="S23" i="16"/>
  <c r="W23" i="16"/>
  <c r="AA153" i="3"/>
  <c r="AA155" i="3"/>
  <c r="BZ31" i="18"/>
  <c r="BK31" i="18"/>
  <c r="AJ31" i="18"/>
  <c r="AT32" i="18"/>
  <c r="BY26" i="1"/>
  <c r="CD26" i="1"/>
  <c r="S25" i="18"/>
  <c r="W25" i="18"/>
  <c r="BH23" i="7"/>
  <c r="BH28" i="7" s="1"/>
  <c r="H57" i="16"/>
  <c r="BQ482" i="1"/>
  <c r="H65" i="18"/>
  <c r="BQ484" i="1"/>
  <c r="BR502" i="1"/>
  <c r="BR472" i="1"/>
  <c r="I50" i="16"/>
  <c r="I58" i="18"/>
  <c r="BR473" i="1"/>
  <c r="BR477" i="1"/>
  <c r="AQ18" i="16"/>
  <c r="AR18" i="16"/>
  <c r="AQ23" i="18"/>
  <c r="AR23" i="18"/>
  <c r="H60" i="18" l="1"/>
  <c r="H59" i="18"/>
  <c r="L59" i="18"/>
  <c r="V118" i="2"/>
  <c r="U141" i="2"/>
  <c r="U4" i="2" s="1"/>
  <c r="U91" i="2"/>
  <c r="AD33" i="3"/>
  <c r="H52" i="16"/>
  <c r="L51" i="16"/>
  <c r="H51" i="16"/>
  <c r="U167" i="2"/>
  <c r="U24" i="2"/>
  <c r="U161" i="2"/>
  <c r="U22" i="2"/>
  <c r="I59" i="18"/>
  <c r="M59" i="18"/>
  <c r="I60" i="18"/>
  <c r="AK31" i="18"/>
  <c r="AG31" i="18"/>
  <c r="AH31" i="18" s="1"/>
  <c r="U5" i="2"/>
  <c r="U154" i="2"/>
  <c r="I51" i="16"/>
  <c r="M51" i="16"/>
  <c r="I52" i="16"/>
  <c r="U26" i="2"/>
  <c r="U164" i="2"/>
  <c r="CU291" i="1"/>
  <c r="CV289" i="1"/>
  <c r="H5" i="4"/>
  <c r="H7" i="4" s="1"/>
  <c r="H12" i="4" s="1"/>
  <c r="H15" i="4" s="1"/>
  <c r="G5" i="5"/>
  <c r="AP58" i="18"/>
  <c r="BT473" i="1"/>
  <c r="BT522" i="1" s="1"/>
  <c r="BT479" i="1"/>
  <c r="AP50" i="16"/>
  <c r="BT472" i="1"/>
  <c r="Q26" i="19"/>
  <c r="P46" i="2"/>
  <c r="P47" i="2" s="1"/>
  <c r="P48" i="2" s="1"/>
  <c r="P52" i="2" s="1"/>
  <c r="Q47" i="19" s="1"/>
  <c r="J75" i="18"/>
  <c r="J74" i="18"/>
  <c r="N74" i="18"/>
  <c r="U294" i="2"/>
  <c r="AE75" i="3" s="1"/>
  <c r="U75" i="2"/>
  <c r="U92" i="2"/>
  <c r="U100" i="2"/>
  <c r="U329" i="2"/>
  <c r="CQ516" i="1"/>
  <c r="CQ30" i="1"/>
  <c r="CT431" i="1"/>
  <c r="CT384" i="1"/>
  <c r="CT292" i="1"/>
  <c r="G50" i="16"/>
  <c r="BP473" i="1"/>
  <c r="G58" i="18"/>
  <c r="BP472" i="1"/>
  <c r="BP477" i="1"/>
  <c r="AT37" i="18"/>
  <c r="AJ37" i="18" s="1"/>
  <c r="AT40" i="18"/>
  <c r="AJ40" i="18" s="1"/>
  <c r="AT42" i="18"/>
  <c r="AJ42" i="18" s="1"/>
  <c r="AD18" i="3"/>
  <c r="AD245" i="3" s="1"/>
  <c r="J67" i="16"/>
  <c r="J66" i="16"/>
  <c r="N66" i="16"/>
  <c r="BH10" i="7"/>
  <c r="BH36" i="7" s="1"/>
  <c r="BQ485" i="1"/>
  <c r="H73" i="18"/>
  <c r="H65" i="16"/>
  <c r="BQ486" i="1"/>
  <c r="BQ487" i="1"/>
  <c r="BQ499" i="1" s="1"/>
  <c r="BV485" i="1"/>
  <c r="CA31" i="18"/>
  <c r="BL31" i="18"/>
  <c r="AU32" i="18"/>
  <c r="H66" i="18"/>
  <c r="H68" i="18"/>
  <c r="U157" i="2"/>
  <c r="U6" i="2"/>
  <c r="AW30" i="18"/>
  <c r="CS541" i="1"/>
  <c r="CS432" i="1"/>
  <c r="J69" i="18"/>
  <c r="J70" i="18"/>
  <c r="N69" i="18"/>
  <c r="CS385" i="1"/>
  <c r="CS388" i="1"/>
  <c r="CS389" i="1" s="1"/>
  <c r="CQ34" i="1"/>
  <c r="CQ32" i="1"/>
  <c r="H58" i="16"/>
  <c r="H60" i="16"/>
  <c r="AG26" i="16"/>
  <c r="AH26" i="16" s="1"/>
  <c r="AK26" i="16"/>
  <c r="I66" i="18"/>
  <c r="I68" i="18"/>
  <c r="J62" i="16"/>
  <c r="J61" i="16"/>
  <c r="N61" i="16"/>
  <c r="I65" i="16"/>
  <c r="BI10" i="7"/>
  <c r="BI36" i="7" s="1"/>
  <c r="BR486" i="1"/>
  <c r="BR487" i="1"/>
  <c r="BR499" i="1" s="1"/>
  <c r="I73" i="18"/>
  <c r="BR485" i="1"/>
  <c r="BW485" i="1"/>
  <c r="CR434" i="1"/>
  <c r="V192" i="2"/>
  <c r="V162" i="2"/>
  <c r="AV31" i="18"/>
  <c r="AV26" i="16"/>
  <c r="AV27" i="16" s="1"/>
  <c r="CR515" i="1"/>
  <c r="V73" i="2"/>
  <c r="CR31" i="1"/>
  <c r="CR542" i="1"/>
  <c r="CR393" i="1"/>
  <c r="V165" i="2"/>
  <c r="V173" i="2"/>
  <c r="V134" i="2"/>
  <c r="AF156" i="3"/>
  <c r="AF155" i="3" s="1"/>
  <c r="CX7" i="7"/>
  <c r="M3" i="5"/>
  <c r="CR433" i="1"/>
  <c r="V152" i="2"/>
  <c r="V159" i="2"/>
  <c r="W24" i="19"/>
  <c r="V155" i="2"/>
  <c r="I58" i="16"/>
  <c r="I60" i="16"/>
  <c r="BP501" i="1"/>
  <c r="BP481" i="1"/>
  <c r="BP498" i="1"/>
  <c r="BN501" i="1"/>
  <c r="U27" i="2" l="1"/>
  <c r="AK42" i="18"/>
  <c r="AG42" i="18"/>
  <c r="AH42" i="18" s="1"/>
  <c r="G51" i="16"/>
  <c r="K51" i="16"/>
  <c r="G52" i="16"/>
  <c r="V22" i="2"/>
  <c r="V161" i="2"/>
  <c r="V5" i="2"/>
  <c r="V154" i="2"/>
  <c r="CB31" i="18"/>
  <c r="BA31" i="18"/>
  <c r="BM31" i="18"/>
  <c r="AV32" i="18"/>
  <c r="I67" i="16"/>
  <c r="I66" i="16"/>
  <c r="M66" i="16"/>
  <c r="AT43" i="18"/>
  <c r="CT385" i="1"/>
  <c r="CT388" i="1"/>
  <c r="CT389" i="1" s="1"/>
  <c r="V164" i="2"/>
  <c r="V26" i="2"/>
  <c r="AT39" i="18"/>
  <c r="AJ39" i="18" s="1"/>
  <c r="AX30" i="18"/>
  <c r="CT541" i="1"/>
  <c r="CT432" i="1"/>
  <c r="CT434" i="1" s="1"/>
  <c r="U169" i="2"/>
  <c r="U58" i="2" s="1"/>
  <c r="AT41" i="18"/>
  <c r="AJ41" i="18" s="1"/>
  <c r="AQ51" i="16"/>
  <c r="AP51" i="16"/>
  <c r="AP52" i="16"/>
  <c r="CQ340" i="1"/>
  <c r="CQ353" i="1"/>
  <c r="CQ361" i="1"/>
  <c r="AE18" i="3"/>
  <c r="AE245" i="3" s="1"/>
  <c r="CQ329" i="1"/>
  <c r="CQ345" i="1"/>
  <c r="CQ366" i="1"/>
  <c r="CQ368" i="1" s="1"/>
  <c r="CQ349" i="1"/>
  <c r="AU40" i="18" s="1"/>
  <c r="CQ336" i="1"/>
  <c r="AU37" i="18" s="1"/>
  <c r="CQ370" i="1"/>
  <c r="CQ372" i="1" s="1"/>
  <c r="CQ357" i="1"/>
  <c r="AU42" i="18" s="1"/>
  <c r="P269" i="2"/>
  <c r="P79" i="2"/>
  <c r="P196" i="2" s="1"/>
  <c r="AP64" i="18"/>
  <c r="AP56" i="16"/>
  <c r="I69" i="18"/>
  <c r="I70" i="18"/>
  <c r="M69" i="18"/>
  <c r="AG156" i="3"/>
  <c r="AG155" i="3" s="1"/>
  <c r="CS542" i="1"/>
  <c r="AW31" i="18"/>
  <c r="CS393" i="1"/>
  <c r="CS433" i="1"/>
  <c r="W162" i="2"/>
  <c r="W159" i="2"/>
  <c r="W155" i="2"/>
  <c r="X24" i="19"/>
  <c r="W152" i="2"/>
  <c r="CS515" i="1"/>
  <c r="W192" i="2"/>
  <c r="CS31" i="1"/>
  <c r="W73" i="2"/>
  <c r="N3" i="5"/>
  <c r="W165" i="2"/>
  <c r="W134" i="2"/>
  <c r="W173" i="2"/>
  <c r="CY7" i="7"/>
  <c r="DB7" i="7" s="1"/>
  <c r="H66" i="16"/>
  <c r="H67" i="16"/>
  <c r="L66" i="16"/>
  <c r="AK40" i="18"/>
  <c r="AG40" i="18"/>
  <c r="AH40" i="18" s="1"/>
  <c r="U93" i="2"/>
  <c r="U95" i="2" s="1"/>
  <c r="BP502" i="1"/>
  <c r="BT501" i="1"/>
  <c r="V141" i="2"/>
  <c r="V4" i="2" s="1"/>
  <c r="W118" i="2"/>
  <c r="CS434" i="1"/>
  <c r="H74" i="18"/>
  <c r="H75" i="18"/>
  <c r="L74" i="18"/>
  <c r="AT36" i="18"/>
  <c r="AJ36" i="18" s="1"/>
  <c r="AP60" i="18"/>
  <c r="AQ59" i="18"/>
  <c r="AP59" i="18"/>
  <c r="G57" i="16"/>
  <c r="BP484" i="1"/>
  <c r="BG23" i="7"/>
  <c r="BG28" i="7" s="1"/>
  <c r="BP482" i="1"/>
  <c r="G65" i="18"/>
  <c r="BT481" i="1"/>
  <c r="BT498" i="1"/>
  <c r="BU500" i="1"/>
  <c r="BO501" i="1"/>
  <c r="AG37" i="18"/>
  <c r="AH37" i="18" s="1"/>
  <c r="AK37" i="18"/>
  <c r="I16" i="4"/>
  <c r="H20" i="4"/>
  <c r="H16" i="4"/>
  <c r="U10" i="2"/>
  <c r="L14" i="4"/>
  <c r="AD130" i="3"/>
  <c r="AD73" i="3"/>
  <c r="H62" i="16"/>
  <c r="H61" i="16"/>
  <c r="L61" i="16"/>
  <c r="U76" i="2"/>
  <c r="U340" i="2"/>
  <c r="U279" i="2"/>
  <c r="CV291" i="1"/>
  <c r="CW289" i="1"/>
  <c r="CW291" i="1" s="1"/>
  <c r="V24" i="2"/>
  <c r="V167" i="2"/>
  <c r="I61" i="16"/>
  <c r="I62" i="16"/>
  <c r="M61" i="16"/>
  <c r="CU292" i="1"/>
  <c r="CU431" i="1"/>
  <c r="CU384" i="1"/>
  <c r="CR32" i="1"/>
  <c r="CR34" i="1"/>
  <c r="H69" i="18"/>
  <c r="H70" i="18"/>
  <c r="L69" i="18"/>
  <c r="G60" i="18"/>
  <c r="G59" i="18"/>
  <c r="K59" i="18"/>
  <c r="CR516" i="1"/>
  <c r="V329" i="2"/>
  <c r="CR30" i="1"/>
  <c r="AT38" i="18"/>
  <c r="AJ38" i="18" s="1"/>
  <c r="I74" i="18"/>
  <c r="I75" i="18"/>
  <c r="M74" i="18"/>
  <c r="V6" i="2"/>
  <c r="V157" i="2"/>
  <c r="V100" i="2"/>
  <c r="V92" i="2"/>
  <c r="V294" i="2"/>
  <c r="AF75" i="3" s="1"/>
  <c r="V75" i="2"/>
  <c r="BG469" i="1"/>
  <c r="BH469" i="1"/>
  <c r="BI469" i="1"/>
  <c r="BK469" i="1"/>
  <c r="BL469" i="1"/>
  <c r="BM469" i="1"/>
  <c r="BI463" i="1"/>
  <c r="BF16" i="7"/>
  <c r="CQ374" i="1" l="1"/>
  <c r="V10" i="2"/>
  <c r="AE33" i="3"/>
  <c r="U12" i="2"/>
  <c r="U18" i="2" s="1"/>
  <c r="U20" i="2" s="1"/>
  <c r="U96" i="2"/>
  <c r="V91" i="2"/>
  <c r="W141" i="2"/>
  <c r="W4" i="2" s="1"/>
  <c r="X118" i="2"/>
  <c r="BN31" i="18"/>
  <c r="AW32" i="18"/>
  <c r="CC31" i="18"/>
  <c r="CT433" i="1"/>
  <c r="X73" i="2"/>
  <c r="CN467" i="1" s="1"/>
  <c r="K6" i="5" s="1"/>
  <c r="AX31" i="18"/>
  <c r="X173" i="2"/>
  <c r="X165" i="2"/>
  <c r="X162" i="2"/>
  <c r="X152" i="2"/>
  <c r="CT515" i="1"/>
  <c r="CT393" i="1"/>
  <c r="CT31" i="1"/>
  <c r="AH156" i="3"/>
  <c r="AH155" i="3" s="1"/>
  <c r="X134" i="2"/>
  <c r="Y24" i="19"/>
  <c r="X192" i="2"/>
  <c r="X159" i="2"/>
  <c r="CT542" i="1"/>
  <c r="X155" i="2"/>
  <c r="W24" i="2"/>
  <c r="W167" i="2"/>
  <c r="CQ347" i="1"/>
  <c r="AU39" i="18"/>
  <c r="AG36" i="18"/>
  <c r="AH36" i="18" s="1"/>
  <c r="AK36" i="18"/>
  <c r="W75" i="2"/>
  <c r="W100" i="2"/>
  <c r="W92" i="2"/>
  <c r="W294" i="2"/>
  <c r="AG75" i="3" s="1"/>
  <c r="AU36" i="18"/>
  <c r="CQ332" i="1"/>
  <c r="CQ331" i="1"/>
  <c r="H69" i="4"/>
  <c r="Z15" i="3"/>
  <c r="P271" i="2" s="1"/>
  <c r="CS32" i="1"/>
  <c r="CS34" i="1"/>
  <c r="AG39" i="18"/>
  <c r="AH39" i="18" s="1"/>
  <c r="AK39" i="18"/>
  <c r="AY30" i="18"/>
  <c r="BB30" i="18" s="1"/>
  <c r="CU541" i="1"/>
  <c r="CU432" i="1"/>
  <c r="BI52" i="1"/>
  <c r="BB12" i="7" s="1"/>
  <c r="BJ463" i="1"/>
  <c r="BI471" i="1"/>
  <c r="BI465" i="1"/>
  <c r="CR357" i="1"/>
  <c r="AV42" i="18" s="1"/>
  <c r="CR345" i="1"/>
  <c r="AF18" i="3"/>
  <c r="AF245" i="3" s="1"/>
  <c r="CR370" i="1"/>
  <c r="CR372" i="1" s="1"/>
  <c r="CR340" i="1"/>
  <c r="CR329" i="1"/>
  <c r="CR353" i="1"/>
  <c r="CR366" i="1"/>
  <c r="CR368" i="1" s="1"/>
  <c r="CR349" i="1"/>
  <c r="AV40" i="18" s="1"/>
  <c r="CR336" i="1"/>
  <c r="AV37" i="18" s="1"/>
  <c r="CR361" i="1"/>
  <c r="AU43" i="18"/>
  <c r="CQ363" i="1"/>
  <c r="V169" i="2"/>
  <c r="CU385" i="1"/>
  <c r="CU388" i="1"/>
  <c r="CU389" i="1" s="1"/>
  <c r="P81" i="2"/>
  <c r="AP57" i="16"/>
  <c r="AP58" i="16" s="1"/>
  <c r="BT482" i="1"/>
  <c r="AP65" i="18"/>
  <c r="AP66" i="18" s="1"/>
  <c r="P57" i="2"/>
  <c r="P80" i="2"/>
  <c r="U99" i="2"/>
  <c r="AE20" i="3"/>
  <c r="AE277" i="3" s="1"/>
  <c r="CQ463" i="1"/>
  <c r="U345" i="2"/>
  <c r="G66" i="18"/>
  <c r="G68" i="18"/>
  <c r="CS30" i="1"/>
  <c r="W329" i="2"/>
  <c r="CS516" i="1"/>
  <c r="BT484" i="1"/>
  <c r="AU41" i="18"/>
  <c r="CQ355" i="1"/>
  <c r="W154" i="2"/>
  <c r="W5" i="2"/>
  <c r="CQ342" i="1"/>
  <c r="AU38" i="18"/>
  <c r="P33" i="19"/>
  <c r="Y13" i="3"/>
  <c r="V27" i="2"/>
  <c r="Q33" i="19"/>
  <c r="Z13" i="3"/>
  <c r="BT502" i="1"/>
  <c r="V279" i="2"/>
  <c r="V340" i="2"/>
  <c r="V76" i="2"/>
  <c r="BP486" i="1"/>
  <c r="BG10" i="7"/>
  <c r="BG36" i="7" s="1"/>
  <c r="BP485" i="1"/>
  <c r="BP487" i="1"/>
  <c r="BP499" i="1" s="1"/>
  <c r="G73" i="18"/>
  <c r="G65" i="16"/>
  <c r="BU485" i="1"/>
  <c r="W157" i="2"/>
  <c r="W6" i="2"/>
  <c r="G60" i="16"/>
  <c r="G58" i="16"/>
  <c r="W22" i="2"/>
  <c r="W161" i="2"/>
  <c r="AG38" i="18"/>
  <c r="AH38" i="18" s="1"/>
  <c r="AK38" i="18"/>
  <c r="AT44" i="18"/>
  <c r="CW431" i="1"/>
  <c r="CW292" i="1"/>
  <c r="CW384" i="1"/>
  <c r="AG41" i="18"/>
  <c r="AH41" i="18" s="1"/>
  <c r="AK41" i="18"/>
  <c r="CV292" i="1"/>
  <c r="CV431" i="1"/>
  <c r="CV384" i="1"/>
  <c r="BO469" i="1"/>
  <c r="AD288" i="3"/>
  <c r="W26" i="2"/>
  <c r="W164" i="2"/>
  <c r="U342" i="2"/>
  <c r="U343" i="2"/>
  <c r="U341" i="2"/>
  <c r="CQ508" i="1"/>
  <c r="L13" i="4"/>
  <c r="AD22" i="3"/>
  <c r="AD282" i="3" s="1"/>
  <c r="AT77" i="18"/>
  <c r="CV12" i="7"/>
  <c r="AE130" i="3"/>
  <c r="U292" i="2"/>
  <c r="AE73" i="3" s="1"/>
  <c r="U258" i="2"/>
  <c r="M14" i="4"/>
  <c r="BN498" i="1"/>
  <c r="AP68" i="18" l="1"/>
  <c r="W27" i="2"/>
  <c r="AT46" i="18"/>
  <c r="AT45" i="18"/>
  <c r="AJ44" i="18"/>
  <c r="U277" i="2"/>
  <c r="CQ465" i="1"/>
  <c r="CQ466" i="1" s="1"/>
  <c r="CQ467" i="1"/>
  <c r="L6" i="5" s="1"/>
  <c r="U266" i="2"/>
  <c r="CR363" i="1"/>
  <c r="AV43" i="18"/>
  <c r="CQ375" i="1"/>
  <c r="AU44" i="18"/>
  <c r="CQ448" i="1"/>
  <c r="CQ453" i="1" s="1"/>
  <c r="CQ518" i="1"/>
  <c r="CQ521" i="1" s="1"/>
  <c r="U85" i="2" s="1"/>
  <c r="AP60" i="16"/>
  <c r="CU434" i="1"/>
  <c r="Z24" i="19"/>
  <c r="Y162" i="2"/>
  <c r="CU393" i="1"/>
  <c r="AI156" i="3"/>
  <c r="AI155" i="3" s="1"/>
  <c r="CU542" i="1"/>
  <c r="Y173" i="2"/>
  <c r="Y152" i="2"/>
  <c r="CU31" i="1"/>
  <c r="Y159" i="2"/>
  <c r="Y134" i="2"/>
  <c r="Y155" i="2"/>
  <c r="CU433" i="1"/>
  <c r="CU515" i="1"/>
  <c r="Y165" i="2"/>
  <c r="Y192" i="2"/>
  <c r="Y73" i="2"/>
  <c r="AY31" i="18"/>
  <c r="CQ333" i="1"/>
  <c r="CQ334" i="1"/>
  <c r="X6" i="2"/>
  <c r="X157" i="2"/>
  <c r="BO31" i="18"/>
  <c r="CD31" i="18"/>
  <c r="AX32" i="18"/>
  <c r="X75" i="2"/>
  <c r="X92" i="2"/>
  <c r="X100" i="2"/>
  <c r="X294" i="2"/>
  <c r="AH75" i="3" s="1"/>
  <c r="CV385" i="1"/>
  <c r="CV388" i="1"/>
  <c r="CV389" i="1" s="1"/>
  <c r="CR508" i="1"/>
  <c r="V342" i="2"/>
  <c r="V343" i="2"/>
  <c r="V341" i="2"/>
  <c r="W169" i="2"/>
  <c r="X22" i="2"/>
  <c r="X161" i="2"/>
  <c r="P293" i="2"/>
  <c r="P194" i="2"/>
  <c r="P254" i="2"/>
  <c r="P64" i="2"/>
  <c r="P255" i="2" s="1"/>
  <c r="CR355" i="1"/>
  <c r="AV41" i="18"/>
  <c r="AT78" i="18"/>
  <c r="AT79" i="18"/>
  <c r="BK77" i="18"/>
  <c r="AJ77" i="18"/>
  <c r="AV36" i="18"/>
  <c r="CR332" i="1"/>
  <c r="CR331" i="1"/>
  <c r="CR374" i="1"/>
  <c r="K8" i="5"/>
  <c r="CV11" i="7"/>
  <c r="CV541" i="1"/>
  <c r="CV432" i="1"/>
  <c r="BS500" i="1"/>
  <c r="BN502" i="1"/>
  <c r="AD283" i="3"/>
  <c r="G62" i="16"/>
  <c r="G61" i="16"/>
  <c r="K61" i="16"/>
  <c r="P222" i="2"/>
  <c r="CR10" i="7"/>
  <c r="G12" i="5"/>
  <c r="G16" i="5" s="1"/>
  <c r="BT487" i="1"/>
  <c r="BT485" i="1"/>
  <c r="BT486" i="1"/>
  <c r="Z29" i="3"/>
  <c r="Q27" i="19"/>
  <c r="Q40" i="19" s="1"/>
  <c r="BY485" i="1"/>
  <c r="CR342" i="1"/>
  <c r="AV38" i="18"/>
  <c r="Y118" i="2"/>
  <c r="X141" i="2"/>
  <c r="X4" i="2" s="1"/>
  <c r="Q43" i="19"/>
  <c r="W279" i="2"/>
  <c r="W76" i="2"/>
  <c r="W340" i="2"/>
  <c r="CW385" i="1"/>
  <c r="CW388" i="1"/>
  <c r="CT32" i="1"/>
  <c r="CT34" i="1"/>
  <c r="CR347" i="1"/>
  <c r="AV39" i="18"/>
  <c r="W10" i="2"/>
  <c r="CW541" i="1"/>
  <c r="CW432" i="1"/>
  <c r="G67" i="16"/>
  <c r="G66" i="16"/>
  <c r="K66" i="16"/>
  <c r="CS361" i="1"/>
  <c r="CS349" i="1"/>
  <c r="AW40" i="18" s="1"/>
  <c r="CS345" i="1"/>
  <c r="CS340" i="1"/>
  <c r="AG18" i="3"/>
  <c r="AG245" i="3" s="1"/>
  <c r="CS357" i="1"/>
  <c r="AW42" i="18" s="1"/>
  <c r="CS370" i="1"/>
  <c r="CS372" i="1" s="1"/>
  <c r="CS329" i="1"/>
  <c r="CS336" i="1"/>
  <c r="AW37" i="18" s="1"/>
  <c r="CS353" i="1"/>
  <c r="CS366" i="1"/>
  <c r="CS368" i="1" s="1"/>
  <c r="CT516" i="1"/>
  <c r="CT30" i="1"/>
  <c r="X329" i="2"/>
  <c r="V93" i="2"/>
  <c r="V95" i="2" s="1"/>
  <c r="CQ49" i="1"/>
  <c r="M13" i="4"/>
  <c r="AU77" i="18"/>
  <c r="CQ52" i="1"/>
  <c r="CW12" i="7" s="1"/>
  <c r="AE22" i="3"/>
  <c r="AE282" i="3" s="1"/>
  <c r="AE283" i="3" s="1"/>
  <c r="CQ509" i="1"/>
  <c r="G75" i="18"/>
  <c r="G74" i="18"/>
  <c r="K74" i="18"/>
  <c r="G69" i="18"/>
  <c r="G70" i="18"/>
  <c r="K69" i="18"/>
  <c r="V258" i="2"/>
  <c r="N14" i="4"/>
  <c r="AF130" i="3"/>
  <c r="V58" i="2"/>
  <c r="V292" i="2" s="1"/>
  <c r="AF73" i="3" s="1"/>
  <c r="BI466" i="1"/>
  <c r="BN466" i="1"/>
  <c r="P270" i="2"/>
  <c r="Z30" i="3"/>
  <c r="P276" i="2"/>
  <c r="P281" i="2" s="1"/>
  <c r="P282" i="2" s="1"/>
  <c r="X154" i="2"/>
  <c r="X5" i="2"/>
  <c r="P44" i="19"/>
  <c r="P43" i="19"/>
  <c r="BI473" i="1"/>
  <c r="BI477" i="1"/>
  <c r="BI472" i="1"/>
  <c r="X164" i="2"/>
  <c r="X26" i="2"/>
  <c r="U50" i="2"/>
  <c r="AE288" i="3" s="1"/>
  <c r="U84" i="2"/>
  <c r="U25" i="19"/>
  <c r="C14" i="11"/>
  <c r="K4" i="5"/>
  <c r="L11" i="4"/>
  <c r="CV9" i="7"/>
  <c r="N277" i="2"/>
  <c r="BJ467" i="1"/>
  <c r="E6" i="5" s="1"/>
  <c r="BJ465" i="1"/>
  <c r="N266" i="2"/>
  <c r="N275" i="2" s="1"/>
  <c r="BJ52" i="1"/>
  <c r="CP12" i="7" s="1"/>
  <c r="BJ518" i="1"/>
  <c r="BJ521" i="1" s="1"/>
  <c r="BJ471" i="1"/>
  <c r="X24" i="2"/>
  <c r="X167" i="2"/>
  <c r="AQ69" i="18" l="1"/>
  <c r="AP69" i="18"/>
  <c r="AP70" i="18"/>
  <c r="P65" i="2"/>
  <c r="X27" i="2"/>
  <c r="X169" i="2"/>
  <c r="P14" i="4" s="1"/>
  <c r="W91" i="2"/>
  <c r="AF33" i="3"/>
  <c r="V12" i="2"/>
  <c r="V18" i="2" s="1"/>
  <c r="V20" i="2" s="1"/>
  <c r="V96" i="2"/>
  <c r="CR375" i="1"/>
  <c r="AV44" i="18"/>
  <c r="CR448" i="1"/>
  <c r="CR453" i="1" s="1"/>
  <c r="P298" i="2"/>
  <c r="Z74" i="3"/>
  <c r="Y329" i="2"/>
  <c r="CU516" i="1"/>
  <c r="CU30" i="1"/>
  <c r="AP61" i="16"/>
  <c r="AP62" i="16"/>
  <c r="AQ61" i="16"/>
  <c r="CQ55" i="1"/>
  <c r="CQ51" i="1"/>
  <c r="CQ50" i="1"/>
  <c r="CW11" i="7"/>
  <c r="L8" i="5"/>
  <c r="AW38" i="18"/>
  <c r="CS342" i="1"/>
  <c r="X340" i="2"/>
  <c r="X76" i="2"/>
  <c r="X279" i="2"/>
  <c r="U86" i="2"/>
  <c r="CS347" i="1"/>
  <c r="AW39" i="18"/>
  <c r="CR333" i="1"/>
  <c r="CR334" i="1"/>
  <c r="Y6" i="2"/>
  <c r="Y157" i="2"/>
  <c r="M11" i="4"/>
  <c r="V25" i="19"/>
  <c r="U252" i="2"/>
  <c r="CQ454" i="1"/>
  <c r="U332" i="2"/>
  <c r="U265" i="2"/>
  <c r="U275" i="2" s="1"/>
  <c r="CQ461" i="1"/>
  <c r="CW9" i="7"/>
  <c r="CQ455" i="1"/>
  <c r="CQ456" i="1"/>
  <c r="CQ511" i="1"/>
  <c r="CQ451" i="1"/>
  <c r="L4" i="5"/>
  <c r="AU45" i="18"/>
  <c r="AU46" i="18"/>
  <c r="CS363" i="1"/>
  <c r="AW43" i="18"/>
  <c r="AK77" i="18"/>
  <c r="AG77" i="18"/>
  <c r="W258" i="2"/>
  <c r="AG130" i="3"/>
  <c r="O14" i="4"/>
  <c r="W58" i="2"/>
  <c r="W292" i="2" s="1"/>
  <c r="AG73" i="3" s="1"/>
  <c r="Y22" i="2"/>
  <c r="Y161" i="2"/>
  <c r="AF20" i="3"/>
  <c r="AF277" i="3" s="1"/>
  <c r="CR463" i="1"/>
  <c r="CR52" i="1" s="1"/>
  <c r="CX12" i="7" s="1"/>
  <c r="V345" i="2"/>
  <c r="V99" i="2"/>
  <c r="Z118" i="2"/>
  <c r="Y141" i="2"/>
  <c r="Y4" i="2" s="1"/>
  <c r="U28" i="19"/>
  <c r="U29" i="19" s="1"/>
  <c r="CW389" i="1"/>
  <c r="CU32" i="1"/>
  <c r="CU34" i="1"/>
  <c r="Y154" i="2"/>
  <c r="Y5" i="2"/>
  <c r="O26" i="19"/>
  <c r="BJ473" i="1"/>
  <c r="BJ522" i="1" s="1"/>
  <c r="F5" i="4"/>
  <c r="F7" i="4" s="1"/>
  <c r="F12" i="4" s="1"/>
  <c r="F15" i="4" s="1"/>
  <c r="BJ472" i="1"/>
  <c r="E5" i="5"/>
  <c r="BJ478" i="1"/>
  <c r="BJ479" i="1" s="1"/>
  <c r="N46" i="2"/>
  <c r="N47" i="2" s="1"/>
  <c r="N48" i="2" s="1"/>
  <c r="N52" i="2" s="1"/>
  <c r="O47" i="19" s="1"/>
  <c r="W341" i="2"/>
  <c r="CS508" i="1"/>
  <c r="W342" i="2"/>
  <c r="W343" i="2"/>
  <c r="CV434" i="1"/>
  <c r="CV393" i="1"/>
  <c r="Z155" i="2"/>
  <c r="Z162" i="2"/>
  <c r="CV542" i="1"/>
  <c r="CV433" i="1"/>
  <c r="Z159" i="2"/>
  <c r="Z165" i="2"/>
  <c r="Z173" i="2"/>
  <c r="Z134" i="2"/>
  <c r="AA24" i="19"/>
  <c r="CV515" i="1"/>
  <c r="AJ156" i="3"/>
  <c r="AJ155" i="3" s="1"/>
  <c r="CV31" i="1"/>
  <c r="Z152" i="2"/>
  <c r="Z192" i="2"/>
  <c r="Z73" i="2"/>
  <c r="CW434" i="1"/>
  <c r="AA73" i="2"/>
  <c r="AA152" i="2"/>
  <c r="AB24" i="19"/>
  <c r="AA192" i="2"/>
  <c r="AA173" i="2"/>
  <c r="AA155" i="2"/>
  <c r="CW542" i="1"/>
  <c r="AA159" i="2"/>
  <c r="AA165" i="2"/>
  <c r="AK156" i="3"/>
  <c r="AK155" i="3" s="1"/>
  <c r="AA134" i="2"/>
  <c r="CW393" i="1"/>
  <c r="CW433" i="1"/>
  <c r="CW31" i="1"/>
  <c r="AA162" i="2"/>
  <c r="CW515" i="1"/>
  <c r="AP73" i="18"/>
  <c r="AP65" i="16"/>
  <c r="BT499" i="1"/>
  <c r="AF22" i="3"/>
  <c r="AF282" i="3" s="1"/>
  <c r="AF283" i="3" s="1"/>
  <c r="AV77" i="18"/>
  <c r="CR509" i="1"/>
  <c r="CR49" i="1"/>
  <c r="N13" i="4"/>
  <c r="CT329" i="1"/>
  <c r="CT361" i="1"/>
  <c r="CT336" i="1"/>
  <c r="AX37" i="18" s="1"/>
  <c r="CT345" i="1"/>
  <c r="CT353" i="1"/>
  <c r="CT357" i="1"/>
  <c r="AX42" i="18" s="1"/>
  <c r="CT349" i="1"/>
  <c r="AX40" i="18" s="1"/>
  <c r="AH18" i="3"/>
  <c r="AH245" i="3" s="1"/>
  <c r="CT340" i="1"/>
  <c r="CT370" i="1"/>
  <c r="CT372" i="1" s="1"/>
  <c r="CT366" i="1"/>
  <c r="CT368" i="1" s="1"/>
  <c r="Q283" i="2"/>
  <c r="CS355" i="1"/>
  <c r="AW41" i="18"/>
  <c r="CE31" i="18"/>
  <c r="BP31" i="18"/>
  <c r="AY32" i="18"/>
  <c r="BB31" i="18"/>
  <c r="Y100" i="2"/>
  <c r="Y294" i="2"/>
  <c r="AI75" i="3" s="1"/>
  <c r="Y92" i="2"/>
  <c r="Y75" i="2"/>
  <c r="Y26" i="2"/>
  <c r="Y164" i="2"/>
  <c r="AK44" i="18"/>
  <c r="AG44" i="18"/>
  <c r="AH44" i="18" s="1"/>
  <c r="P259" i="2"/>
  <c r="BJ466" i="1"/>
  <c r="BO466" i="1"/>
  <c r="CS332" i="1"/>
  <c r="CS331" i="1"/>
  <c r="AW36" i="18"/>
  <c r="CS374" i="1"/>
  <c r="AT49" i="18"/>
  <c r="AD19" i="3"/>
  <c r="AT44" i="16"/>
  <c r="BL77" i="18"/>
  <c r="AU79" i="18"/>
  <c r="AU78" i="18"/>
  <c r="X10" i="2"/>
  <c r="P198" i="2"/>
  <c r="Z129" i="3"/>
  <c r="P200" i="2"/>
  <c r="Y24" i="2"/>
  <c r="Y167" i="2"/>
  <c r="BM498" i="1"/>
  <c r="X258" i="2" l="1"/>
  <c r="X58" i="2"/>
  <c r="X292" i="2" s="1"/>
  <c r="AH73" i="3" s="1"/>
  <c r="AH130" i="3"/>
  <c r="Y10" i="2"/>
  <c r="BM502" i="1"/>
  <c r="BR500" i="1"/>
  <c r="CS375" i="1"/>
  <c r="CS448" i="1"/>
  <c r="CS453" i="1" s="1"/>
  <c r="AW44" i="18"/>
  <c r="AX36" i="18"/>
  <c r="CT374" i="1"/>
  <c r="CT332" i="1"/>
  <c r="CT331" i="1"/>
  <c r="Z26" i="2"/>
  <c r="Z164" i="2"/>
  <c r="V266" i="2"/>
  <c r="CR467" i="1"/>
  <c r="M6" i="5" s="1"/>
  <c r="V277" i="2"/>
  <c r="CR465" i="1"/>
  <c r="CR466" i="1" s="1"/>
  <c r="Z92" i="2"/>
  <c r="Z294" i="2"/>
  <c r="AJ75" i="3" s="1"/>
  <c r="Z100" i="2"/>
  <c r="Z75" i="2"/>
  <c r="Z6" i="2"/>
  <c r="Z157" i="2"/>
  <c r="CQ38" i="1"/>
  <c r="CQ471" i="1"/>
  <c r="CQ37" i="1"/>
  <c r="AE19" i="3" s="1"/>
  <c r="AU44" i="16"/>
  <c r="AU49" i="18"/>
  <c r="P273" i="2"/>
  <c r="P274" i="2" s="1"/>
  <c r="P85" i="2"/>
  <c r="P86" i="2" s="1"/>
  <c r="AA141" i="2"/>
  <c r="AA4" i="2" s="1"/>
  <c r="Y169" i="2"/>
  <c r="CQ512" i="1"/>
  <c r="V28" i="19"/>
  <c r="V29" i="19" s="1"/>
  <c r="P301" i="2"/>
  <c r="Z79" i="3"/>
  <c r="CX11" i="7"/>
  <c r="CR55" i="1"/>
  <c r="CR51" i="1"/>
  <c r="M8" i="5"/>
  <c r="CR50" i="1"/>
  <c r="Z5" i="2"/>
  <c r="Z154" i="2"/>
  <c r="Y27" i="2"/>
  <c r="CQ519" i="1"/>
  <c r="U333" i="2"/>
  <c r="CR518" i="1"/>
  <c r="CR521" i="1" s="1"/>
  <c r="V85" i="2" s="1"/>
  <c r="CS334" i="1"/>
  <c r="CS333" i="1"/>
  <c r="AA167" i="2"/>
  <c r="AA24" i="2"/>
  <c r="CV34" i="1"/>
  <c r="CV32" i="1"/>
  <c r="W25" i="19"/>
  <c r="CR511" i="1"/>
  <c r="V252" i="2"/>
  <c r="V265" i="2"/>
  <c r="CR451" i="1"/>
  <c r="CR455" i="1"/>
  <c r="CR454" i="1"/>
  <c r="CR456" i="1"/>
  <c r="CX9" i="7"/>
  <c r="N11" i="4"/>
  <c r="CR461" i="1"/>
  <c r="V332" i="2"/>
  <c r="M4" i="5"/>
  <c r="BM77" i="18"/>
  <c r="AV79" i="18"/>
  <c r="AV78" i="18"/>
  <c r="AA161" i="2"/>
  <c r="AA22" i="2"/>
  <c r="AV45" i="18"/>
  <c r="BA44" i="18"/>
  <c r="AV46" i="18"/>
  <c r="Y76" i="2"/>
  <c r="Y279" i="2"/>
  <c r="Y340" i="2"/>
  <c r="CT342" i="1"/>
  <c r="AX38" i="18"/>
  <c r="CV516" i="1"/>
  <c r="Z329" i="2"/>
  <c r="CV30" i="1"/>
  <c r="AW77" i="18"/>
  <c r="CS509" i="1"/>
  <c r="O13" i="4"/>
  <c r="AG22" i="3"/>
  <c r="AG282" i="3" s="1"/>
  <c r="CS49" i="1"/>
  <c r="AA118" i="2"/>
  <c r="Z141" i="2"/>
  <c r="Z4" i="2" s="1"/>
  <c r="N269" i="2"/>
  <c r="BJ482" i="1"/>
  <c r="BJ484" i="1"/>
  <c r="N79" i="2"/>
  <c r="N196" i="2" s="1"/>
  <c r="N200" i="2" s="1"/>
  <c r="N81" i="2"/>
  <c r="Z14" i="3"/>
  <c r="Q31" i="19"/>
  <c r="AA157" i="2"/>
  <c r="AA6" i="2"/>
  <c r="AD72" i="3"/>
  <c r="AG79" i="18"/>
  <c r="AH77" i="18"/>
  <c r="U291" i="2"/>
  <c r="U334" i="2"/>
  <c r="U336" i="2"/>
  <c r="U337" i="2" s="1"/>
  <c r="U338" i="2" s="1"/>
  <c r="X342" i="2"/>
  <c r="X341" i="2"/>
  <c r="X343" i="2"/>
  <c r="CT508" i="1"/>
  <c r="Z24" i="2"/>
  <c r="Z167" i="2"/>
  <c r="U273" i="2"/>
  <c r="U274" i="2" s="1"/>
  <c r="U55" i="2"/>
  <c r="AD246" i="3"/>
  <c r="AD23" i="3"/>
  <c r="AD276" i="3"/>
  <c r="AD278" i="3" s="1"/>
  <c r="AD279" i="3" s="1"/>
  <c r="AD280" i="3" s="1"/>
  <c r="AX39" i="18"/>
  <c r="CT347" i="1"/>
  <c r="CW30" i="1"/>
  <c r="AA329" i="2"/>
  <c r="CW516" i="1"/>
  <c r="AA154" i="2"/>
  <c r="AA5" i="2"/>
  <c r="Z161" i="2"/>
  <c r="Z22" i="2"/>
  <c r="V84" i="2"/>
  <c r="V50" i="2"/>
  <c r="AF288" i="3" s="1"/>
  <c r="CT355" i="1"/>
  <c r="AX41" i="18"/>
  <c r="BZ49" i="18"/>
  <c r="BK49" i="18"/>
  <c r="AJ49" i="18"/>
  <c r="AT51" i="18"/>
  <c r="AT50" i="18"/>
  <c r="AA164" i="2"/>
  <c r="AA26" i="2"/>
  <c r="AA100" i="2"/>
  <c r="AA92" i="2"/>
  <c r="AA294" i="2"/>
  <c r="AK75" i="3" s="1"/>
  <c r="AA75" i="2"/>
  <c r="F20" i="4"/>
  <c r="G16" i="4"/>
  <c r="CU329" i="1"/>
  <c r="AI18" i="3"/>
  <c r="AI245" i="3" s="1"/>
  <c r="CU361" i="1"/>
  <c r="CU353" i="1"/>
  <c r="CU336" i="1"/>
  <c r="AY37" i="18" s="1"/>
  <c r="CU340" i="1"/>
  <c r="CU366" i="1"/>
  <c r="CU368" i="1" s="1"/>
  <c r="CU349" i="1"/>
  <c r="AY40" i="18" s="1"/>
  <c r="CU370" i="1"/>
  <c r="CU372" i="1" s="1"/>
  <c r="CU357" i="1"/>
  <c r="AY42" i="18" s="1"/>
  <c r="CU345" i="1"/>
  <c r="AP67" i="16"/>
  <c r="AP66" i="16"/>
  <c r="AQ66" i="16"/>
  <c r="AP74" i="18"/>
  <c r="AP75" i="18"/>
  <c r="AQ74" i="18"/>
  <c r="AT46" i="16"/>
  <c r="AT45" i="16"/>
  <c r="AJ44" i="16"/>
  <c r="L5" i="4"/>
  <c r="L7" i="4" s="1"/>
  <c r="L12" i="4" s="1"/>
  <c r="L15" i="4" s="1"/>
  <c r="U26" i="19"/>
  <c r="U47" i="19"/>
  <c r="AT50" i="16"/>
  <c r="K5" i="5"/>
  <c r="AT58" i="18"/>
  <c r="CT363" i="1"/>
  <c r="AX43" i="18"/>
  <c r="CW32" i="1"/>
  <c r="CW34" i="1"/>
  <c r="W93" i="2"/>
  <c r="W95" i="2" s="1"/>
  <c r="Z10" i="2" l="1"/>
  <c r="AA169" i="2"/>
  <c r="Z27" i="2"/>
  <c r="V86" i="2"/>
  <c r="AT56" i="16"/>
  <c r="AT64" i="18"/>
  <c r="AU45" i="16"/>
  <c r="AU46" i="16"/>
  <c r="AE276" i="3"/>
  <c r="AE278" i="3" s="1"/>
  <c r="AE279" i="3" s="1"/>
  <c r="AE280" i="3" s="1"/>
  <c r="AE23" i="3"/>
  <c r="AE246" i="3"/>
  <c r="BK58" i="18"/>
  <c r="AJ58" i="18"/>
  <c r="AT60" i="18"/>
  <c r="AT59" i="18"/>
  <c r="AT51" i="16"/>
  <c r="AT52" i="16"/>
  <c r="AJ50" i="16"/>
  <c r="AD285" i="3"/>
  <c r="AD290" i="3"/>
  <c r="AE72" i="3"/>
  <c r="CU508" i="1"/>
  <c r="Y343" i="2"/>
  <c r="Y341" i="2"/>
  <c r="Y342" i="2"/>
  <c r="AU50" i="16"/>
  <c r="U46" i="2"/>
  <c r="U47" i="2" s="1"/>
  <c r="U48" i="2" s="1"/>
  <c r="U52" i="2" s="1"/>
  <c r="V47" i="19" s="1"/>
  <c r="CQ472" i="1"/>
  <c r="CQ479" i="1"/>
  <c r="M5" i="4"/>
  <c r="M7" i="4" s="1"/>
  <c r="M12" i="4" s="1"/>
  <c r="M15" i="4" s="1"/>
  <c r="M20" i="4" s="1"/>
  <c r="AU58" i="18"/>
  <c r="L5" i="5"/>
  <c r="V26" i="19"/>
  <c r="CQ473" i="1"/>
  <c r="CQ522" i="1" s="1"/>
  <c r="AD127" i="3"/>
  <c r="AD247" i="3"/>
  <c r="AD24" i="3"/>
  <c r="AD248" i="3" s="1"/>
  <c r="V334" i="2"/>
  <c r="V291" i="2"/>
  <c r="V336" i="2"/>
  <c r="V337" i="2" s="1"/>
  <c r="V338" i="2" s="1"/>
  <c r="CQ40" i="1"/>
  <c r="CQ39" i="1"/>
  <c r="CQ45" i="1"/>
  <c r="CU347" i="1"/>
  <c r="AY39" i="18"/>
  <c r="CT334" i="1"/>
  <c r="CT333" i="1"/>
  <c r="L20" i="4"/>
  <c r="L16" i="4"/>
  <c r="AA340" i="2"/>
  <c r="AA76" i="2"/>
  <c r="AA279" i="2"/>
  <c r="CS51" i="1"/>
  <c r="CS55" i="1"/>
  <c r="N8" i="5"/>
  <c r="CS50" i="1"/>
  <c r="CY11" i="7"/>
  <c r="P303" i="2"/>
  <c r="Z82" i="3"/>
  <c r="AX44" i="18"/>
  <c r="CT448" i="1"/>
  <c r="CT453" i="1" s="1"/>
  <c r="CT375" i="1"/>
  <c r="AG283" i="3"/>
  <c r="V333" i="2"/>
  <c r="CR519" i="1"/>
  <c r="Z279" i="2"/>
  <c r="Z340" i="2"/>
  <c r="Z76" i="2"/>
  <c r="AG20" i="3"/>
  <c r="AG277" i="3" s="1"/>
  <c r="CS463" i="1"/>
  <c r="W345" i="2"/>
  <c r="W99" i="2"/>
  <c r="AK44" i="16"/>
  <c r="AG44" i="16"/>
  <c r="AY38" i="18"/>
  <c r="CU342" i="1"/>
  <c r="AA27" i="2"/>
  <c r="Y258" i="2"/>
  <c r="Y58" i="2"/>
  <c r="Y292" i="2" s="1"/>
  <c r="AI73" i="3" s="1"/>
  <c r="AI130" i="3"/>
  <c r="Q14" i="4"/>
  <c r="AW45" i="18"/>
  <c r="AW46" i="18"/>
  <c r="AW78" i="18"/>
  <c r="AW79" i="18"/>
  <c r="BN77" i="18"/>
  <c r="O11" i="4"/>
  <c r="W252" i="2"/>
  <c r="CS455" i="1"/>
  <c r="CS454" i="1"/>
  <c r="CS461" i="1"/>
  <c r="N4" i="5"/>
  <c r="CS456" i="1"/>
  <c r="X25" i="19"/>
  <c r="W265" i="2"/>
  <c r="CS451" i="1"/>
  <c r="CS511" i="1"/>
  <c r="CY9" i="7"/>
  <c r="W332" i="2"/>
  <c r="CU355" i="1"/>
  <c r="AY41" i="18"/>
  <c r="CT49" i="1"/>
  <c r="CT509" i="1"/>
  <c r="AX77" i="18"/>
  <c r="AH22" i="3"/>
  <c r="AH282" i="3" s="1"/>
  <c r="AH283" i="3" s="1"/>
  <c r="P13" i="4"/>
  <c r="AV49" i="18"/>
  <c r="CR38" i="1"/>
  <c r="AV44" i="16"/>
  <c r="CR37" i="1"/>
  <c r="AF19" i="3" s="1"/>
  <c r="CR471" i="1"/>
  <c r="AA10" i="2"/>
  <c r="W96" i="2"/>
  <c r="W12" i="2"/>
  <c r="W18" i="2" s="1"/>
  <c r="W20" i="2" s="1"/>
  <c r="X91" i="2"/>
  <c r="X93" i="2" s="1"/>
  <c r="AG33" i="3"/>
  <c r="Q50" i="19"/>
  <c r="Q44" i="19"/>
  <c r="CU363" i="1"/>
  <c r="AY43" i="18"/>
  <c r="CV370" i="1"/>
  <c r="CV372" i="1" s="1"/>
  <c r="CV329" i="1"/>
  <c r="CV340" i="1"/>
  <c r="CV342" i="1" s="1"/>
  <c r="AJ18" i="3"/>
  <c r="AJ245" i="3" s="1"/>
  <c r="CV366" i="1"/>
  <c r="CV368" i="1" s="1"/>
  <c r="CV336" i="1"/>
  <c r="CV353" i="1"/>
  <c r="CV355" i="1" s="1"/>
  <c r="CV349" i="1"/>
  <c r="CV345" i="1"/>
  <c r="CV347" i="1" s="1"/>
  <c r="CV361" i="1"/>
  <c r="CV363" i="1" s="1"/>
  <c r="CV357" i="1"/>
  <c r="V275" i="2"/>
  <c r="Z169" i="2"/>
  <c r="N85" i="2"/>
  <c r="N86" i="2" s="1"/>
  <c r="N273" i="2"/>
  <c r="N274" i="2" s="1"/>
  <c r="V273" i="2"/>
  <c r="V274" i="2" s="1"/>
  <c r="V55" i="2"/>
  <c r="AY36" i="18"/>
  <c r="CU374" i="1"/>
  <c r="CU332" i="1"/>
  <c r="CU331" i="1"/>
  <c r="AK49" i="18"/>
  <c r="AG49" i="18"/>
  <c r="CW349" i="1"/>
  <c r="CW361" i="1"/>
  <c r="CW329" i="1"/>
  <c r="CW336" i="1"/>
  <c r="CW340" i="1"/>
  <c r="CW366" i="1"/>
  <c r="CW357" i="1"/>
  <c r="CW345" i="1"/>
  <c r="CW370" i="1"/>
  <c r="CW353" i="1"/>
  <c r="AK18" i="3"/>
  <c r="AK245" i="3" s="1"/>
  <c r="O27" i="19"/>
  <c r="O40" i="19" s="1"/>
  <c r="CP10" i="7"/>
  <c r="X29" i="3"/>
  <c r="N222" i="2"/>
  <c r="N221" i="2" s="1"/>
  <c r="O221" i="2" s="1"/>
  <c r="P221" i="2" s="1"/>
  <c r="Q221" i="2" s="1"/>
  <c r="R221" i="2" s="1"/>
  <c r="S221" i="2" s="1"/>
  <c r="T221" i="2" s="1"/>
  <c r="E12" i="5"/>
  <c r="E16" i="5" s="1"/>
  <c r="BJ485" i="1"/>
  <c r="BJ486" i="1"/>
  <c r="BO485" i="1"/>
  <c r="W28" i="19"/>
  <c r="W29" i="19" s="1"/>
  <c r="CR512" i="1"/>
  <c r="CA49" i="18"/>
  <c r="AU50" i="18"/>
  <c r="BL49" i="18"/>
  <c r="AU51" i="18"/>
  <c r="BD18" i="7"/>
  <c r="BD19" i="7" s="1"/>
  <c r="BL498" i="1"/>
  <c r="AA58" i="2" l="1"/>
  <c r="AA292" i="2" s="1"/>
  <c r="AK73" i="3" s="1"/>
  <c r="AA258" i="2"/>
  <c r="AK130" i="3"/>
  <c r="S14" i="4"/>
  <c r="CW368" i="1"/>
  <c r="CW363" i="1"/>
  <c r="CW372" i="1"/>
  <c r="CW347" i="1"/>
  <c r="CS519" i="1"/>
  <c r="W333" i="2"/>
  <c r="AU52" i="16"/>
  <c r="AU51" i="16"/>
  <c r="AK58" i="18"/>
  <c r="AG58" i="18"/>
  <c r="CU333" i="1"/>
  <c r="CU334" i="1"/>
  <c r="CW355" i="1"/>
  <c r="AY44" i="18"/>
  <c r="CU375" i="1"/>
  <c r="CU448" i="1"/>
  <c r="CU453" i="1" s="1"/>
  <c r="X95" i="2"/>
  <c r="X345" i="2"/>
  <c r="AH20" i="3"/>
  <c r="AH277" i="3" s="1"/>
  <c r="CT463" i="1"/>
  <c r="X99" i="2"/>
  <c r="AF72" i="3"/>
  <c r="AA342" i="2"/>
  <c r="CW508" i="1"/>
  <c r="AA343" i="2"/>
  <c r="AA341" i="2"/>
  <c r="AE247" i="3"/>
  <c r="AE127" i="3"/>
  <c r="AE24" i="3"/>
  <c r="AE248" i="3" s="1"/>
  <c r="BL502" i="1"/>
  <c r="BQ500" i="1"/>
  <c r="W50" i="2"/>
  <c r="AG288" i="3" s="1"/>
  <c r="W84" i="2"/>
  <c r="BO77" i="18"/>
  <c r="AX79" i="18"/>
  <c r="AX78" i="18"/>
  <c r="CV331" i="1"/>
  <c r="CV374" i="1"/>
  <c r="CV332" i="1"/>
  <c r="CT50" i="1"/>
  <c r="CT51" i="1"/>
  <c r="CT55" i="1"/>
  <c r="W273" i="2"/>
  <c r="W274" i="2" s="1"/>
  <c r="W55" i="2"/>
  <c r="AG46" i="16"/>
  <c r="AH44" i="16"/>
  <c r="CU509" i="1"/>
  <c r="AY77" i="18"/>
  <c r="CU49" i="1"/>
  <c r="Q13" i="4"/>
  <c r="AI22" i="3"/>
  <c r="AI282" i="3" s="1"/>
  <c r="AI283" i="3" s="1"/>
  <c r="AE285" i="3"/>
  <c r="AE290" i="3"/>
  <c r="CW342" i="1"/>
  <c r="X252" i="2"/>
  <c r="CT455" i="1"/>
  <c r="X332" i="2"/>
  <c r="CT461" i="1"/>
  <c r="Y25" i="19"/>
  <c r="CT454" i="1"/>
  <c r="CT511" i="1"/>
  <c r="P11" i="4"/>
  <c r="CT456" i="1"/>
  <c r="X265" i="2"/>
  <c r="CT451" i="1"/>
  <c r="Z258" i="2"/>
  <c r="R14" i="4"/>
  <c r="AJ130" i="3"/>
  <c r="Z58" i="2"/>
  <c r="Z292" i="2" s="1"/>
  <c r="AJ73" i="3" s="1"/>
  <c r="W334" i="2"/>
  <c r="W291" i="2"/>
  <c r="W336" i="2"/>
  <c r="W337" i="2" s="1"/>
  <c r="W338" i="2" s="1"/>
  <c r="AX45" i="18"/>
  <c r="AX46" i="18"/>
  <c r="CW331" i="1"/>
  <c r="CW332" i="1"/>
  <c r="CW374" i="1"/>
  <c r="AV50" i="16"/>
  <c r="M5" i="5"/>
  <c r="AV58" i="18"/>
  <c r="CR479" i="1"/>
  <c r="CR472" i="1"/>
  <c r="V46" i="2"/>
  <c r="V47" i="2" s="1"/>
  <c r="V48" i="2" s="1"/>
  <c r="V52" i="2" s="1"/>
  <c r="W47" i="19" s="1"/>
  <c r="N5" i="4"/>
  <c r="N7" i="4" s="1"/>
  <c r="N12" i="4" s="1"/>
  <c r="N15" i="4" s="1"/>
  <c r="W26" i="19"/>
  <c r="CR473" i="1"/>
  <c r="CR522" i="1" s="1"/>
  <c r="CS52" i="1"/>
  <c r="CY12" i="7" s="1"/>
  <c r="W266" i="2"/>
  <c r="W275" i="2" s="1"/>
  <c r="W277" i="2"/>
  <c r="CS465" i="1"/>
  <c r="CS466" i="1" s="1"/>
  <c r="CS467" i="1"/>
  <c r="N6" i="5" s="1"/>
  <c r="CS518" i="1"/>
  <c r="CS521" i="1" s="1"/>
  <c r="W85" i="2" s="1"/>
  <c r="Z31" i="3"/>
  <c r="P304" i="2"/>
  <c r="Q30" i="19"/>
  <c r="Z84" i="3"/>
  <c r="BL58" i="18"/>
  <c r="AU59" i="18"/>
  <c r="AU60" i="18"/>
  <c r="AK50" i="16"/>
  <c r="AG50" i="16"/>
  <c r="AD129" i="3"/>
  <c r="AV46" i="16"/>
  <c r="AV45" i="16"/>
  <c r="AW49" i="18"/>
  <c r="CS37" i="1"/>
  <c r="AG19" i="3" s="1"/>
  <c r="CS38" i="1"/>
  <c r="CS471" i="1"/>
  <c r="M16" i="4"/>
  <c r="AJ64" i="18"/>
  <c r="BK64" i="18"/>
  <c r="AF276" i="3"/>
  <c r="AF278" i="3" s="1"/>
  <c r="AF279" i="3" s="1"/>
  <c r="AF280" i="3" s="1"/>
  <c r="AF23" i="3"/>
  <c r="AF246" i="3"/>
  <c r="X28" i="19"/>
  <c r="X29" i="19" s="1"/>
  <c r="CS512" i="1"/>
  <c r="AG51" i="18"/>
  <c r="AH49" i="18"/>
  <c r="CR45" i="1"/>
  <c r="CR40" i="1"/>
  <c r="CR39" i="1"/>
  <c r="Z343" i="2"/>
  <c r="Z341" i="2"/>
  <c r="CV508" i="1"/>
  <c r="Z342" i="2"/>
  <c r="AU64" i="18"/>
  <c r="U269" i="2"/>
  <c r="U79" i="2"/>
  <c r="U196" i="2" s="1"/>
  <c r="U194" i="2" s="1"/>
  <c r="AU56" i="16"/>
  <c r="AJ56" i="16"/>
  <c r="BA49" i="18"/>
  <c r="CB49" i="18"/>
  <c r="BM49" i="18"/>
  <c r="AV51" i="18"/>
  <c r="AV50" i="18"/>
  <c r="BM58" i="18" l="1"/>
  <c r="AV59" i="18"/>
  <c r="BA58" i="18"/>
  <c r="AV60" i="18"/>
  <c r="CV334" i="1"/>
  <c r="CV333" i="1"/>
  <c r="X12" i="2"/>
  <c r="X18" i="2" s="1"/>
  <c r="X20" i="2" s="1"/>
  <c r="X96" i="2"/>
  <c r="Y91" i="2"/>
  <c r="Y93" i="2" s="1"/>
  <c r="AH33" i="3"/>
  <c r="AG276" i="3"/>
  <c r="AG278" i="3" s="1"/>
  <c r="AG279" i="3" s="1"/>
  <c r="AG280" i="3" s="1"/>
  <c r="AG246" i="3"/>
  <c r="AG23" i="3"/>
  <c r="CC49" i="18"/>
  <c r="AW51" i="18"/>
  <c r="AW50" i="18"/>
  <c r="BN49" i="18"/>
  <c r="AX49" i="18"/>
  <c r="CT38" i="1"/>
  <c r="CT37" i="1"/>
  <c r="AH19" i="3" s="1"/>
  <c r="CV375" i="1"/>
  <c r="CV448" i="1"/>
  <c r="CV453" i="1" s="1"/>
  <c r="AE129" i="3"/>
  <c r="CQ481" i="1"/>
  <c r="U198" i="2"/>
  <c r="AV52" i="16"/>
  <c r="AV51" i="16"/>
  <c r="CW509" i="1"/>
  <c r="CW49" i="1"/>
  <c r="AK22" i="3"/>
  <c r="AK282" i="3" s="1"/>
  <c r="S13" i="4"/>
  <c r="CU451" i="1"/>
  <c r="Q11" i="4"/>
  <c r="CU511" i="1"/>
  <c r="CU454" i="1"/>
  <c r="CU456" i="1"/>
  <c r="CU455" i="1"/>
  <c r="Y252" i="2"/>
  <c r="Y265" i="2"/>
  <c r="Y332" i="2"/>
  <c r="CU461" i="1"/>
  <c r="Z25" i="19"/>
  <c r="CW448" i="1"/>
  <c r="CW453" i="1" s="1"/>
  <c r="CW375" i="1"/>
  <c r="CT519" i="1"/>
  <c r="X333" i="2"/>
  <c r="AF247" i="3"/>
  <c r="AF127" i="3"/>
  <c r="AF24" i="3"/>
  <c r="AF248" i="3" s="1"/>
  <c r="CW334" i="1"/>
  <c r="CW333" i="1"/>
  <c r="CU55" i="1"/>
  <c r="CU51" i="1"/>
  <c r="CU50" i="1"/>
  <c r="AY46" i="18"/>
  <c r="AY45" i="18"/>
  <c r="BB44" i="18"/>
  <c r="AF290" i="3"/>
  <c r="AF285" i="3"/>
  <c r="CT512" i="1"/>
  <c r="Y28" i="19"/>
  <c r="Y29" i="19" s="1"/>
  <c r="AY78" i="18"/>
  <c r="AY79" i="18"/>
  <c r="BP77" i="18"/>
  <c r="AT57" i="16"/>
  <c r="AT65" i="18"/>
  <c r="W86" i="2"/>
  <c r="BL64" i="18"/>
  <c r="CV509" i="1"/>
  <c r="R13" i="4"/>
  <c r="AJ22" i="3"/>
  <c r="AJ282" i="3" s="1"/>
  <c r="AJ283" i="3" s="1"/>
  <c r="CV49" i="1"/>
  <c r="AH50" i="16"/>
  <c r="AG52" i="16"/>
  <c r="AG64" i="18"/>
  <c r="AH64" i="18" s="1"/>
  <c r="AK64" i="18"/>
  <c r="AG60" i="18"/>
  <c r="AH58" i="18"/>
  <c r="AG72" i="3"/>
  <c r="X334" i="2"/>
  <c r="X291" i="2"/>
  <c r="X336" i="2"/>
  <c r="X337" i="2" s="1"/>
  <c r="X338" i="2" s="1"/>
  <c r="N16" i="4"/>
  <c r="N20" i="4"/>
  <c r="X273" i="2"/>
  <c r="X274" i="2" s="1"/>
  <c r="X55" i="2"/>
  <c r="CT471" i="1"/>
  <c r="X277" i="2"/>
  <c r="CT465" i="1"/>
  <c r="CT466" i="1" s="1"/>
  <c r="X266" i="2"/>
  <c r="CT467" i="1"/>
  <c r="CT518" i="1"/>
  <c r="CT521" i="1" s="1"/>
  <c r="X85" i="2" s="1"/>
  <c r="CT52" i="1"/>
  <c r="AG56" i="16"/>
  <c r="AH56" i="16" s="1"/>
  <c r="AK56" i="16"/>
  <c r="AW58" i="18"/>
  <c r="X26" i="19"/>
  <c r="CS479" i="1"/>
  <c r="N5" i="5"/>
  <c r="O5" i="4"/>
  <c r="O7" i="4" s="1"/>
  <c r="O12" i="4" s="1"/>
  <c r="O15" i="4" s="1"/>
  <c r="CS473" i="1"/>
  <c r="CS522" i="1" s="1"/>
  <c r="W46" i="2"/>
  <c r="W47" i="2" s="1"/>
  <c r="W48" i="2" s="1"/>
  <c r="W52" i="2" s="1"/>
  <c r="X47" i="19" s="1"/>
  <c r="CS472" i="1"/>
  <c r="CS39" i="1"/>
  <c r="CS45" i="1"/>
  <c r="CS40" i="1"/>
  <c r="Q32" i="19"/>
  <c r="Q42" i="19" s="1"/>
  <c r="Q41" i="19"/>
  <c r="V269" i="2"/>
  <c r="AV64" i="18"/>
  <c r="AV56" i="16"/>
  <c r="V79" i="2"/>
  <c r="V196" i="2" s="1"/>
  <c r="V194" i="2" s="1"/>
  <c r="BC18" i="7"/>
  <c r="BC19" i="7" s="1"/>
  <c r="BK498" i="1"/>
  <c r="X275" i="2" l="1"/>
  <c r="AK283" i="3"/>
  <c r="AT58" i="16"/>
  <c r="AJ57" i="16"/>
  <c r="AT60" i="16"/>
  <c r="BM64" i="18"/>
  <c r="BA64" i="18"/>
  <c r="AW59" i="18"/>
  <c r="AW60" i="18"/>
  <c r="BN58" i="18"/>
  <c r="CV55" i="1"/>
  <c r="CV50" i="1"/>
  <c r="CV51" i="1"/>
  <c r="AG247" i="3"/>
  <c r="AG127" i="3"/>
  <c r="AG24" i="3"/>
  <c r="AG248" i="3" s="1"/>
  <c r="Y273" i="2"/>
  <c r="Y274" i="2" s="1"/>
  <c r="Y55" i="2"/>
  <c r="U80" i="2"/>
  <c r="U57" i="2"/>
  <c r="AU65" i="18"/>
  <c r="CQ482" i="1"/>
  <c r="AU57" i="16"/>
  <c r="CQ484" i="1"/>
  <c r="U81" i="2"/>
  <c r="Y333" i="2"/>
  <c r="CU519" i="1"/>
  <c r="AG285" i="3"/>
  <c r="AG290" i="3"/>
  <c r="AH72" i="3"/>
  <c r="Z28" i="19"/>
  <c r="Z29" i="19" s="1"/>
  <c r="CU512" i="1"/>
  <c r="CV456" i="1"/>
  <c r="CV461" i="1"/>
  <c r="AA25" i="19"/>
  <c r="Z252" i="2"/>
  <c r="Z332" i="2"/>
  <c r="CV511" i="1"/>
  <c r="Z265" i="2"/>
  <c r="CV455" i="1"/>
  <c r="CV451" i="1"/>
  <c r="CV454" i="1"/>
  <c r="R11" i="4"/>
  <c r="Y95" i="2"/>
  <c r="AI20" i="3"/>
  <c r="AI277" i="3" s="1"/>
  <c r="CU463" i="1"/>
  <c r="CU471" i="1" s="1"/>
  <c r="Y345" i="2"/>
  <c r="Y99" i="2"/>
  <c r="AY49" i="18"/>
  <c r="CU38" i="1"/>
  <c r="CU37" i="1"/>
  <c r="AI19" i="3" s="1"/>
  <c r="AH23" i="3"/>
  <c r="AH276" i="3"/>
  <c r="AH278" i="3" s="1"/>
  <c r="AH279" i="3" s="1"/>
  <c r="AH280" i="3" s="1"/>
  <c r="AH246" i="3"/>
  <c r="X84" i="2"/>
  <c r="X86" i="2" s="1"/>
  <c r="X50" i="2"/>
  <c r="AH288" i="3" s="1"/>
  <c r="CT40" i="1"/>
  <c r="CT45" i="1"/>
  <c r="CT39" i="1"/>
  <c r="BO498" i="1"/>
  <c r="BK502" i="1"/>
  <c r="BP500" i="1"/>
  <c r="CV10" i="7"/>
  <c r="U27" i="19"/>
  <c r="U40" i="19" s="1"/>
  <c r="AD29" i="3"/>
  <c r="K12" i="5"/>
  <c r="K16" i="5" s="1"/>
  <c r="CD49" i="18"/>
  <c r="AX50" i="18"/>
  <c r="BO49" i="18"/>
  <c r="AX51" i="18"/>
  <c r="P5" i="4"/>
  <c r="P7" i="4" s="1"/>
  <c r="P12" i="4" s="1"/>
  <c r="P15" i="4" s="1"/>
  <c r="CT473" i="1"/>
  <c r="CT522" i="1" s="1"/>
  <c r="CT472" i="1"/>
  <c r="X46" i="2"/>
  <c r="X47" i="2" s="1"/>
  <c r="X48" i="2" s="1"/>
  <c r="Y26" i="19"/>
  <c r="AX58" i="18"/>
  <c r="CT479" i="1"/>
  <c r="S11" i="4"/>
  <c r="AA252" i="2"/>
  <c r="CW455" i="1"/>
  <c r="CW461" i="1"/>
  <c r="CW454" i="1"/>
  <c r="AB25" i="19"/>
  <c r="AA332" i="2"/>
  <c r="CW511" i="1"/>
  <c r="CW456" i="1"/>
  <c r="AA265" i="2"/>
  <c r="CW451" i="1"/>
  <c r="CW50" i="1"/>
  <c r="CW55" i="1"/>
  <c r="CW51" i="1"/>
  <c r="AT66" i="18"/>
  <c r="AJ65" i="18"/>
  <c r="AT68" i="18"/>
  <c r="O16" i="4"/>
  <c r="O20" i="4"/>
  <c r="CR481" i="1"/>
  <c r="AF129" i="3"/>
  <c r="V198" i="2"/>
  <c r="AW64" i="18"/>
  <c r="W79" i="2"/>
  <c r="W196" i="2" s="1"/>
  <c r="W194" i="2" s="1"/>
  <c r="W269" i="2"/>
  <c r="Y291" i="2"/>
  <c r="Y334" i="2"/>
  <c r="Y336" i="2"/>
  <c r="Y337" i="2" s="1"/>
  <c r="Y338" i="2" s="1"/>
  <c r="Z291" i="2" l="1"/>
  <c r="Z334" i="2"/>
  <c r="Z336" i="2"/>
  <c r="Z337" i="2" s="1"/>
  <c r="Z338" i="2" s="1"/>
  <c r="AA291" i="2"/>
  <c r="AA334" i="2"/>
  <c r="AA336" i="2"/>
  <c r="AA337" i="2" s="1"/>
  <c r="AH285" i="3"/>
  <c r="AH290" i="3"/>
  <c r="CV38" i="1"/>
  <c r="CV37" i="1"/>
  <c r="AJ19" i="3" s="1"/>
  <c r="AH24" i="3"/>
  <c r="AH248" i="3" s="1"/>
  <c r="AH247" i="3"/>
  <c r="AH127" i="3"/>
  <c r="P20" i="4"/>
  <c r="P16" i="4"/>
  <c r="L69" i="4"/>
  <c r="AD15" i="3"/>
  <c r="T271" i="2" s="1"/>
  <c r="Y46" i="2"/>
  <c r="Y47" i="2" s="1"/>
  <c r="Y48" i="2" s="1"/>
  <c r="CU472" i="1"/>
  <c r="AY58" i="18"/>
  <c r="CU479" i="1"/>
  <c r="Q5" i="4"/>
  <c r="Q7" i="4" s="1"/>
  <c r="Q12" i="4" s="1"/>
  <c r="Q15" i="4" s="1"/>
  <c r="Z26" i="19"/>
  <c r="CU473" i="1"/>
  <c r="CU522" i="1" s="1"/>
  <c r="AA28" i="19"/>
  <c r="AA29" i="19" s="1"/>
  <c r="CV512" i="1"/>
  <c r="AI276" i="3"/>
  <c r="AI278" i="3" s="1"/>
  <c r="AI279" i="3" s="1"/>
  <c r="AI280" i="3" s="1"/>
  <c r="AI23" i="3"/>
  <c r="AI246" i="3"/>
  <c r="AJ68" i="18"/>
  <c r="BK68" i="18"/>
  <c r="AT70" i="18"/>
  <c r="AT69" i="18"/>
  <c r="AI72" i="3"/>
  <c r="AG65" i="18"/>
  <c r="AK65" i="18"/>
  <c r="AA273" i="2"/>
  <c r="AA274" i="2" s="1"/>
  <c r="AA55" i="2"/>
  <c r="AY51" i="18"/>
  <c r="BB49" i="18"/>
  <c r="BP49" i="18"/>
  <c r="CE49" i="18"/>
  <c r="AY50" i="18"/>
  <c r="Z55" i="2"/>
  <c r="Z273" i="2"/>
  <c r="Z274" i="2" s="1"/>
  <c r="AU58" i="16"/>
  <c r="AU60" i="16"/>
  <c r="CU39" i="1"/>
  <c r="CU45" i="1"/>
  <c r="CU40" i="1"/>
  <c r="AU66" i="18"/>
  <c r="AU68" i="18"/>
  <c r="Z333" i="2"/>
  <c r="CV519" i="1"/>
  <c r="U293" i="2"/>
  <c r="U254" i="2"/>
  <c r="CQ491" i="1"/>
  <c r="CQ487" i="1"/>
  <c r="L12" i="5"/>
  <c r="L16" i="5" s="1"/>
  <c r="CW10" i="7"/>
  <c r="CQ486" i="1"/>
  <c r="U227" i="2"/>
  <c r="U222" i="2"/>
  <c r="AE29" i="3"/>
  <c r="V27" i="19"/>
  <c r="V40" i="19" s="1"/>
  <c r="CQ498" i="1"/>
  <c r="CQ485" i="1"/>
  <c r="CS481" i="1"/>
  <c r="AG129" i="3"/>
  <c r="W198" i="2"/>
  <c r="AD74" i="3"/>
  <c r="CU465" i="1"/>
  <c r="CU466" i="1" s="1"/>
  <c r="CU467" i="1"/>
  <c r="Y266" i="2"/>
  <c r="Y277" i="2"/>
  <c r="CU518" i="1"/>
  <c r="CU521" i="1" s="1"/>
  <c r="Y85" i="2" s="1"/>
  <c r="CU52" i="1"/>
  <c r="G69" i="4"/>
  <c r="Y15" i="3"/>
  <c r="O271" i="2" s="1"/>
  <c r="BT500" i="1"/>
  <c r="BO502" i="1"/>
  <c r="AJ60" i="16"/>
  <c r="AT61" i="16"/>
  <c r="AT62" i="16"/>
  <c r="BN64" i="18"/>
  <c r="CW38" i="1"/>
  <c r="CW37" i="1"/>
  <c r="AK19" i="3" s="1"/>
  <c r="AX64" i="18"/>
  <c r="X269" i="2"/>
  <c r="X79" i="2"/>
  <c r="X196" i="2" s="1"/>
  <c r="X194" i="2" s="1"/>
  <c r="AK57" i="16"/>
  <c r="AG57" i="16"/>
  <c r="Y12" i="2"/>
  <c r="Y18" i="2" s="1"/>
  <c r="Y20" i="2" s="1"/>
  <c r="Y96" i="2"/>
  <c r="AI33" i="3"/>
  <c r="Z91" i="2"/>
  <c r="Z93" i="2" s="1"/>
  <c r="AA333" i="2"/>
  <c r="CW519" i="1"/>
  <c r="AX59" i="18"/>
  <c r="BO58" i="18"/>
  <c r="AX60" i="18"/>
  <c r="AT65" i="16"/>
  <c r="AT73" i="18"/>
  <c r="AV57" i="16"/>
  <c r="AV65" i="18"/>
  <c r="V80" i="2"/>
  <c r="V57" i="2"/>
  <c r="CR482" i="1"/>
  <c r="CR484" i="1"/>
  <c r="V81" i="2"/>
  <c r="CW512" i="1"/>
  <c r="AB28" i="19"/>
  <c r="AB29" i="19" s="1"/>
  <c r="X52" i="2"/>
  <c r="Y47" i="19" s="1"/>
  <c r="BI498" i="1"/>
  <c r="BH498" i="1"/>
  <c r="BG498" i="1"/>
  <c r="BF498" i="1"/>
  <c r="T270" i="2" l="1"/>
  <c r="T276" i="2"/>
  <c r="T281" i="2" s="1"/>
  <c r="T282" i="2" s="1"/>
  <c r="T283" i="2" s="1"/>
  <c r="AA338" i="2"/>
  <c r="AK246" i="3"/>
  <c r="AK276" i="3"/>
  <c r="AK23" i="3"/>
  <c r="Z95" i="2"/>
  <c r="CV463" i="1"/>
  <c r="Z345" i="2"/>
  <c r="AJ20" i="3"/>
  <c r="AJ277" i="3" s="1"/>
  <c r="Z99" i="2"/>
  <c r="CW45" i="1"/>
  <c r="CW40" i="1"/>
  <c r="CW39" i="1"/>
  <c r="AH65" i="18"/>
  <c r="AG66" i="18"/>
  <c r="Q20" i="4"/>
  <c r="Q16" i="4"/>
  <c r="CX10" i="7"/>
  <c r="V227" i="2"/>
  <c r="M12" i="5"/>
  <c r="M16" i="5" s="1"/>
  <c r="V222" i="2"/>
  <c r="CR485" i="1"/>
  <c r="CR491" i="1"/>
  <c r="CR498" i="1"/>
  <c r="AF29" i="3"/>
  <c r="CR486" i="1"/>
  <c r="CR487" i="1"/>
  <c r="W27" i="19"/>
  <c r="W40" i="19" s="1"/>
  <c r="Y79" i="2"/>
  <c r="Y196" i="2" s="1"/>
  <c r="Y194" i="2" s="1"/>
  <c r="Y269" i="2"/>
  <c r="AY64" i="18"/>
  <c r="BJ498" i="1"/>
  <c r="BF502" i="1"/>
  <c r="BK500" i="1"/>
  <c r="Y275" i="2"/>
  <c r="AU61" i="16"/>
  <c r="AU62" i="16"/>
  <c r="BP58" i="18"/>
  <c r="AY59" i="18"/>
  <c r="AY60" i="18"/>
  <c r="BB58" i="18"/>
  <c r="AJ276" i="3"/>
  <c r="AJ23" i="3"/>
  <c r="AJ246" i="3"/>
  <c r="BH502" i="1"/>
  <c r="BM500" i="1"/>
  <c r="CV45" i="1"/>
  <c r="CV39" i="1"/>
  <c r="CV40" i="1"/>
  <c r="BG502" i="1"/>
  <c r="BL500" i="1"/>
  <c r="V254" i="2"/>
  <c r="V293" i="2"/>
  <c r="Y84" i="2"/>
  <c r="Y86" i="2" s="1"/>
  <c r="Y50" i="2"/>
  <c r="AI288" i="3" s="1"/>
  <c r="AI290" i="3" s="1"/>
  <c r="BI502" i="1"/>
  <c r="BN500" i="1"/>
  <c r="AG58" i="16"/>
  <c r="AH57" i="16"/>
  <c r="AD30" i="3"/>
  <c r="AV58" i="16"/>
  <c r="AV60" i="16"/>
  <c r="AK60" i="16"/>
  <c r="AG60" i="16"/>
  <c r="AG68" i="18"/>
  <c r="AK68" i="18"/>
  <c r="AD79" i="3"/>
  <c r="AU65" i="16"/>
  <c r="AU73" i="18"/>
  <c r="BZ73" i="18"/>
  <c r="BK73" i="18"/>
  <c r="AT75" i="18"/>
  <c r="AT74" i="18"/>
  <c r="AJ73" i="18"/>
  <c r="U31" i="19"/>
  <c r="U50" i="19" s="1"/>
  <c r="AD14" i="3"/>
  <c r="AV66" i="18"/>
  <c r="AV68" i="18"/>
  <c r="AJ65" i="16"/>
  <c r="AT67" i="16"/>
  <c r="AT66" i="16"/>
  <c r="AE74" i="3"/>
  <c r="U298" i="2"/>
  <c r="AI247" i="3"/>
  <c r="AI127" i="3"/>
  <c r="AI24" i="3"/>
  <c r="AI248" i="3" s="1"/>
  <c r="U33" i="19"/>
  <c r="C33" i="4"/>
  <c r="D33" i="4" s="1"/>
  <c r="D32" i="4" s="1"/>
  <c r="D30" i="4" s="1"/>
  <c r="AD13" i="3"/>
  <c r="AK72" i="3"/>
  <c r="X198" i="2"/>
  <c r="CT481" i="1"/>
  <c r="AH129" i="3"/>
  <c r="AW65" i="18"/>
  <c r="W57" i="2"/>
  <c r="W80" i="2"/>
  <c r="CS482" i="1"/>
  <c r="CS484" i="1"/>
  <c r="W81" i="2"/>
  <c r="AI285" i="3"/>
  <c r="BO64" i="18"/>
  <c r="Y30" i="3"/>
  <c r="O270" i="2"/>
  <c r="O276" i="2"/>
  <c r="O281" i="2" s="1"/>
  <c r="O282" i="2" s="1"/>
  <c r="CQ499" i="1"/>
  <c r="M69" i="4"/>
  <c r="CQ501" i="1"/>
  <c r="AE15" i="3"/>
  <c r="U271" i="2" s="1"/>
  <c r="AU69" i="18"/>
  <c r="AU70" i="18"/>
  <c r="BL68" i="18"/>
  <c r="AJ72" i="3"/>
  <c r="BB18" i="7"/>
  <c r="BB19" i="7" s="1"/>
  <c r="AJ278" i="3" l="1"/>
  <c r="AJ279" i="3" s="1"/>
  <c r="AJ280" i="3" s="1"/>
  <c r="AJ285" i="3" s="1"/>
  <c r="AV65" i="16"/>
  <c r="AV73" i="18"/>
  <c r="W293" i="2"/>
  <c r="W254" i="2"/>
  <c r="AW66" i="18"/>
  <c r="AW68" i="18"/>
  <c r="AE14" i="3"/>
  <c r="V31" i="19"/>
  <c r="V50" i="19" s="1"/>
  <c r="AE79" i="3"/>
  <c r="CA73" i="18"/>
  <c r="BL73" i="18"/>
  <c r="AU75" i="18"/>
  <c r="AU74" i="18"/>
  <c r="Y52" i="2"/>
  <c r="Z47" i="19" s="1"/>
  <c r="CR501" i="1"/>
  <c r="CR499" i="1"/>
  <c r="AF15" i="3"/>
  <c r="V271" i="2" s="1"/>
  <c r="N69" i="4"/>
  <c r="U276" i="2"/>
  <c r="U281" i="2" s="1"/>
  <c r="U282" i="2" s="1"/>
  <c r="U283" i="2" s="1"/>
  <c r="AE30" i="3"/>
  <c r="U270" i="2"/>
  <c r="U61" i="2"/>
  <c r="V33" i="19"/>
  <c r="U228" i="2"/>
  <c r="U256" i="2"/>
  <c r="AE13" i="3"/>
  <c r="P283" i="2"/>
  <c r="AX65" i="18"/>
  <c r="X80" i="2"/>
  <c r="CT482" i="1"/>
  <c r="X57" i="2"/>
  <c r="CT484" i="1"/>
  <c r="X81" i="2"/>
  <c r="AU66" i="16"/>
  <c r="AU67" i="16"/>
  <c r="U44" i="19"/>
  <c r="U43" i="19"/>
  <c r="AD82" i="3"/>
  <c r="AK65" i="16"/>
  <c r="AG65" i="16"/>
  <c r="BJ502" i="1"/>
  <c r="X15" i="3"/>
  <c r="N271" i="2" s="1"/>
  <c r="F69" i="4"/>
  <c r="BO500" i="1"/>
  <c r="BA68" i="18"/>
  <c r="BM68" i="18"/>
  <c r="AV69" i="18"/>
  <c r="AV70" i="18"/>
  <c r="AG70" i="18"/>
  <c r="AH68" i="18"/>
  <c r="Z266" i="2"/>
  <c r="CV465" i="1"/>
  <c r="CV466" i="1" s="1"/>
  <c r="Z277" i="2"/>
  <c r="CV467" i="1"/>
  <c r="CV518" i="1"/>
  <c r="CV521" i="1" s="1"/>
  <c r="Z85" i="2" s="1"/>
  <c r="CV52" i="1"/>
  <c r="CV471" i="1"/>
  <c r="AJ247" i="3"/>
  <c r="AJ24" i="3"/>
  <c r="AJ248" i="3" s="1"/>
  <c r="AJ127" i="3"/>
  <c r="AA91" i="2"/>
  <c r="Z12" i="2"/>
  <c r="Z18" i="2" s="1"/>
  <c r="Z20" i="2" s="1"/>
  <c r="AJ33" i="3"/>
  <c r="Z96" i="2"/>
  <c r="BB64" i="18"/>
  <c r="BP64" i="18"/>
  <c r="AK127" i="3"/>
  <c r="AK24" i="3"/>
  <c r="AK248" i="3" s="1"/>
  <c r="AK247" i="3"/>
  <c r="AV61" i="16"/>
  <c r="AV62" i="16"/>
  <c r="AF74" i="3"/>
  <c r="V298" i="2"/>
  <c r="AH60" i="16"/>
  <c r="AG62" i="16"/>
  <c r="U226" i="2"/>
  <c r="AD27" i="3"/>
  <c r="CS498" i="1"/>
  <c r="AG29" i="3"/>
  <c r="W222" i="2"/>
  <c r="CS485" i="1"/>
  <c r="CS491" i="1"/>
  <c r="CS486" i="1"/>
  <c r="N12" i="5"/>
  <c r="N16" i="5" s="1"/>
  <c r="CY10" i="7"/>
  <c r="X27" i="19"/>
  <c r="X40" i="19" s="1"/>
  <c r="CS487" i="1"/>
  <c r="AW73" i="18" s="1"/>
  <c r="W227" i="2"/>
  <c r="U15" i="19"/>
  <c r="AD134" i="3"/>
  <c r="AK73" i="18"/>
  <c r="AG73" i="18"/>
  <c r="AI129" i="3"/>
  <c r="CU481" i="1"/>
  <c r="Y198" i="2"/>
  <c r="BH211" i="1"/>
  <c r="Z84" i="2" l="1"/>
  <c r="Z86" i="2" s="1"/>
  <c r="Z50" i="2"/>
  <c r="AJ288" i="3" s="1"/>
  <c r="AJ290" i="3" s="1"/>
  <c r="U30" i="19"/>
  <c r="AD84" i="3"/>
  <c r="AD31" i="3"/>
  <c r="AA93" i="2"/>
  <c r="AA95" i="2" s="1"/>
  <c r="U223" i="2"/>
  <c r="U221" i="2" s="1"/>
  <c r="U306" i="2"/>
  <c r="AW74" i="18"/>
  <c r="CC73" i="18"/>
  <c r="BN73" i="18"/>
  <c r="AW75" i="18"/>
  <c r="AF79" i="3"/>
  <c r="V43" i="19"/>
  <c r="V44" i="19"/>
  <c r="M62" i="4"/>
  <c r="V15" i="19"/>
  <c r="AE134" i="3"/>
  <c r="AA26" i="19"/>
  <c r="CV472" i="1"/>
  <c r="CV473" i="1"/>
  <c r="CV522" i="1" s="1"/>
  <c r="Z46" i="2"/>
  <c r="Z47" i="2" s="1"/>
  <c r="Z48" i="2" s="1"/>
  <c r="R5" i="4"/>
  <c r="R7" i="4" s="1"/>
  <c r="R12" i="4" s="1"/>
  <c r="R15" i="4" s="1"/>
  <c r="CV479" i="1"/>
  <c r="AD86" i="3"/>
  <c r="AW69" i="18"/>
  <c r="AW70" i="18"/>
  <c r="BN68" i="18"/>
  <c r="Y57" i="2"/>
  <c r="Y80" i="2"/>
  <c r="CU482" i="1"/>
  <c r="AY65" i="18"/>
  <c r="CU484" i="1"/>
  <c r="Y81" i="2"/>
  <c r="X293" i="2"/>
  <c r="X254" i="2"/>
  <c r="AF30" i="3"/>
  <c r="V276" i="2"/>
  <c r="V281" i="2" s="1"/>
  <c r="V282" i="2" s="1"/>
  <c r="V283" i="2" s="1"/>
  <c r="V270" i="2"/>
  <c r="X30" i="3"/>
  <c r="N276" i="2"/>
  <c r="N281" i="2" s="1"/>
  <c r="N282" i="2" s="1"/>
  <c r="N270" i="2"/>
  <c r="AF14" i="3"/>
  <c r="W31" i="19"/>
  <c r="W50" i="19" s="1"/>
  <c r="AG74" i="3"/>
  <c r="W298" i="2"/>
  <c r="V256" i="2"/>
  <c r="W33" i="19"/>
  <c r="AF13" i="3"/>
  <c r="V61" i="2"/>
  <c r="V228" i="2"/>
  <c r="BM73" i="18"/>
  <c r="AV75" i="18"/>
  <c r="AV74" i="18"/>
  <c r="CB73" i="18"/>
  <c r="BA73" i="18"/>
  <c r="CT485" i="1"/>
  <c r="CT487" i="1"/>
  <c r="AX73" i="18" s="1"/>
  <c r="CT498" i="1"/>
  <c r="X227" i="2"/>
  <c r="CT491" i="1"/>
  <c r="X222" i="2"/>
  <c r="CT486" i="1"/>
  <c r="Y27" i="19"/>
  <c r="Y40" i="19" s="1"/>
  <c r="AH29" i="3"/>
  <c r="BH210" i="1"/>
  <c r="BA50" i="7" s="1"/>
  <c r="BH212" i="1"/>
  <c r="BA51" i="7"/>
  <c r="AG75" i="18"/>
  <c r="AH73" i="18"/>
  <c r="AG15" i="3"/>
  <c r="W271" i="2" s="1"/>
  <c r="CS501" i="1"/>
  <c r="CS499" i="1"/>
  <c r="O69" i="4"/>
  <c r="Z275" i="2"/>
  <c r="AX66" i="18"/>
  <c r="AX68" i="18"/>
  <c r="AH65" i="16"/>
  <c r="AG67" i="16"/>
  <c r="AV66" i="16"/>
  <c r="AV67" i="16"/>
  <c r="BI211" i="1"/>
  <c r="BA18" i="7"/>
  <c r="BA19" i="7" s="1"/>
  <c r="Z52" i="2" l="1"/>
  <c r="AA47" i="19" s="1"/>
  <c r="AK33" i="3"/>
  <c r="AA96" i="2"/>
  <c r="AA12" i="2"/>
  <c r="AA18" i="2" s="1"/>
  <c r="AA20" i="2" s="1"/>
  <c r="AX69" i="18"/>
  <c r="AX70" i="18"/>
  <c r="BO68" i="18"/>
  <c r="W15" i="19"/>
  <c r="AF134" i="3"/>
  <c r="R16" i="4"/>
  <c r="R20" i="4"/>
  <c r="W43" i="19"/>
  <c r="W44" i="19"/>
  <c r="AE86" i="3"/>
  <c r="U309" i="2"/>
  <c r="U311" i="2" s="1"/>
  <c r="AH74" i="3"/>
  <c r="X298" i="2"/>
  <c r="V306" i="2"/>
  <c r="V223" i="2"/>
  <c r="V221" i="2" s="1"/>
  <c r="CU485" i="1"/>
  <c r="AI29" i="3"/>
  <c r="CU491" i="1"/>
  <c r="CU487" i="1"/>
  <c r="AY73" i="18" s="1"/>
  <c r="CU486" i="1"/>
  <c r="CU498" i="1"/>
  <c r="Z27" i="19"/>
  <c r="Z40" i="19" s="1"/>
  <c r="Y227" i="2"/>
  <c r="Y222" i="2"/>
  <c r="AG14" i="3"/>
  <c r="X31" i="19"/>
  <c r="X50" i="19" s="1"/>
  <c r="CT499" i="1"/>
  <c r="CT501" i="1"/>
  <c r="AH15" i="3"/>
  <c r="X271" i="2" s="1"/>
  <c r="P69" i="4"/>
  <c r="AG79" i="3"/>
  <c r="AY66" i="18"/>
  <c r="AY68" i="18"/>
  <c r="CD73" i="18"/>
  <c r="AX74" i="18"/>
  <c r="BO73" i="18"/>
  <c r="AX75" i="18"/>
  <c r="CW463" i="1"/>
  <c r="CW52" i="1" s="1"/>
  <c r="AK20" i="3"/>
  <c r="AK277" i="3" s="1"/>
  <c r="AK278" i="3" s="1"/>
  <c r="AK279" i="3" s="1"/>
  <c r="AK280" i="3" s="1"/>
  <c r="AK285" i="3" s="1"/>
  <c r="AA345" i="2"/>
  <c r="AA99" i="2"/>
  <c r="W270" i="2"/>
  <c r="W276" i="2"/>
  <c r="W281" i="2" s="1"/>
  <c r="W282" i="2" s="1"/>
  <c r="W283" i="2" s="1"/>
  <c r="AG30" i="3"/>
  <c r="Y293" i="2"/>
  <c r="Y254" i="2"/>
  <c r="N62" i="4"/>
  <c r="AE11" i="3"/>
  <c r="BB51" i="7"/>
  <c r="BI212" i="1"/>
  <c r="BI210" i="1"/>
  <c r="O283" i="2"/>
  <c r="U41" i="19"/>
  <c r="U32" i="19"/>
  <c r="U42" i="19" s="1"/>
  <c r="AG13" i="3"/>
  <c r="X33" i="19"/>
  <c r="W228" i="2"/>
  <c r="W256" i="2"/>
  <c r="W61" i="2"/>
  <c r="Z79" i="2"/>
  <c r="Z196" i="2" s="1"/>
  <c r="Z194" i="2" s="1"/>
  <c r="Z269" i="2"/>
  <c r="BK211" i="1"/>
  <c r="BJ210" i="1" l="1"/>
  <c r="BB50" i="7"/>
  <c r="BC51" i="7"/>
  <c r="BK212" i="1"/>
  <c r="BK210" i="1"/>
  <c r="BC50" i="7" s="1"/>
  <c r="CV481" i="1"/>
  <c r="Z198" i="2"/>
  <c r="AJ129" i="3"/>
  <c r="Q69" i="4"/>
  <c r="CU501" i="1"/>
  <c r="CU499" i="1"/>
  <c r="AI15" i="3"/>
  <c r="Y271" i="2" s="1"/>
  <c r="O62" i="4"/>
  <c r="AF11" i="3"/>
  <c r="BP68" i="18"/>
  <c r="AY70" i="18"/>
  <c r="AY69" i="18"/>
  <c r="BB68" i="18"/>
  <c r="X15" i="19"/>
  <c r="AG134" i="3"/>
  <c r="BB73" i="18"/>
  <c r="AY74" i="18"/>
  <c r="BP73" i="18"/>
  <c r="CE73" i="18"/>
  <c r="AY75" i="18"/>
  <c r="W223" i="2"/>
  <c r="W221" i="2" s="1"/>
  <c r="W306" i="2"/>
  <c r="AI74" i="3"/>
  <c r="Y298" i="2"/>
  <c r="X44" i="19"/>
  <c r="X43" i="19"/>
  <c r="AH30" i="3"/>
  <c r="X276" i="2"/>
  <c r="X281" i="2" s="1"/>
  <c r="X282" i="2" s="1"/>
  <c r="X283" i="2" s="1"/>
  <c r="X270" i="2"/>
  <c r="AH13" i="3"/>
  <c r="X256" i="2"/>
  <c r="Y33" i="19"/>
  <c r="X228" i="2"/>
  <c r="X61" i="2"/>
  <c r="V309" i="2"/>
  <c r="V311" i="2" s="1"/>
  <c r="AF86" i="3"/>
  <c r="AH14" i="3"/>
  <c r="Y31" i="19"/>
  <c r="Y50" i="19" s="1"/>
  <c r="AH79" i="3"/>
  <c r="AA50" i="2"/>
  <c r="AK288" i="3" s="1"/>
  <c r="AK290" i="3" s="1"/>
  <c r="AA84" i="2"/>
  <c r="CW465" i="1"/>
  <c r="CW466" i="1" s="1"/>
  <c r="CW467" i="1"/>
  <c r="AA277" i="2"/>
  <c r="AA266" i="2"/>
  <c r="AA275" i="2" s="1"/>
  <c r="CW518" i="1"/>
  <c r="CW521" i="1" s="1"/>
  <c r="AA85" i="2" s="1"/>
  <c r="CW471" i="1"/>
  <c r="BL211" i="1"/>
  <c r="CW479" i="1" l="1"/>
  <c r="AA46" i="2"/>
  <c r="AA47" i="2" s="1"/>
  <c r="AA48" i="2" s="1"/>
  <c r="AA52" i="2" s="1"/>
  <c r="AB47" i="19" s="1"/>
  <c r="S5" i="4"/>
  <c r="S7" i="4" s="1"/>
  <c r="S12" i="4" s="1"/>
  <c r="S15" i="4" s="1"/>
  <c r="CW473" i="1"/>
  <c r="CW522" i="1" s="1"/>
  <c r="CW472" i="1"/>
  <c r="AB26" i="19"/>
  <c r="AI14" i="3"/>
  <c r="Z31" i="19"/>
  <c r="Z50" i="19" s="1"/>
  <c r="X223" i="2"/>
  <c r="X221" i="2" s="1"/>
  <c r="X306" i="2"/>
  <c r="AI13" i="3"/>
  <c r="Y228" i="2"/>
  <c r="Y61" i="2"/>
  <c r="Z33" i="19"/>
  <c r="Y256" i="2"/>
  <c r="Y15" i="19"/>
  <c r="AH134" i="3"/>
  <c r="AA86" i="2"/>
  <c r="CV482" i="1"/>
  <c r="Z57" i="2"/>
  <c r="Z80" i="2"/>
  <c r="CV484" i="1"/>
  <c r="Z81" i="2"/>
  <c r="AI30" i="3"/>
  <c r="Y270" i="2"/>
  <c r="Y276" i="2"/>
  <c r="Y281" i="2" s="1"/>
  <c r="Y282" i="2" s="1"/>
  <c r="Y283" i="2" s="1"/>
  <c r="BL212" i="1"/>
  <c r="BD51" i="7"/>
  <c r="BL210" i="1"/>
  <c r="BD50" i="7" s="1"/>
  <c r="AI79" i="3"/>
  <c r="Y43" i="19"/>
  <c r="Y44" i="19"/>
  <c r="AG86" i="3"/>
  <c r="W309" i="2"/>
  <c r="W311" i="2" s="1"/>
  <c r="AG11" i="3"/>
  <c r="P62" i="4"/>
  <c r="CP50" i="7"/>
  <c r="BJ211" i="1"/>
  <c r="CP51" i="7" s="1"/>
  <c r="BM211" i="1"/>
  <c r="Z43" i="19" l="1"/>
  <c r="Z44" i="19"/>
  <c r="AH11" i="3"/>
  <c r="Q62" i="4"/>
  <c r="AI11" i="3" s="1"/>
  <c r="AA27" i="19"/>
  <c r="AA40" i="19" s="1"/>
  <c r="CV491" i="1"/>
  <c r="Z222" i="2"/>
  <c r="AJ29" i="3"/>
  <c r="CV487" i="1"/>
  <c r="CV486" i="1"/>
  <c r="CV498" i="1"/>
  <c r="CV485" i="1"/>
  <c r="Z227" i="2"/>
  <c r="X309" i="2"/>
  <c r="X311" i="2" s="1"/>
  <c r="AH86" i="3"/>
  <c r="Z254" i="2"/>
  <c r="Z293" i="2"/>
  <c r="BM210" i="1"/>
  <c r="BE50" i="7" s="1"/>
  <c r="BM212" i="1"/>
  <c r="BE51" i="7"/>
  <c r="Z15" i="19"/>
  <c r="AI134" i="3"/>
  <c r="S20" i="4"/>
  <c r="C24" i="4" s="1"/>
  <c r="C25" i="4"/>
  <c r="S16" i="4"/>
  <c r="Y223" i="2"/>
  <c r="Y221" i="2" s="1"/>
  <c r="Y306" i="2"/>
  <c r="AA79" i="2"/>
  <c r="AA196" i="2" s="1"/>
  <c r="AA194" i="2" s="1"/>
  <c r="AA269" i="2"/>
  <c r="BN211" i="1"/>
  <c r="C27" i="4" l="1"/>
  <c r="C28" i="4" s="1"/>
  <c r="AJ15" i="3"/>
  <c r="Z271" i="2" s="1"/>
  <c r="R69" i="4"/>
  <c r="CV501" i="1"/>
  <c r="CV499" i="1"/>
  <c r="BN212" i="1"/>
  <c r="BN210" i="1"/>
  <c r="BF51" i="7"/>
  <c r="AK129" i="3"/>
  <c r="AA198" i="2"/>
  <c r="CW481" i="1"/>
  <c r="AJ74" i="3"/>
  <c r="Z298" i="2"/>
  <c r="Y309" i="2"/>
  <c r="Y311" i="2" s="1"/>
  <c r="AI86" i="3"/>
  <c r="BP211" i="1"/>
  <c r="BP212" i="1" l="1"/>
  <c r="BG51" i="7"/>
  <c r="BP210" i="1"/>
  <c r="BG50" i="7" s="1"/>
  <c r="BO210" i="1"/>
  <c r="BF50" i="7"/>
  <c r="AJ14" i="3"/>
  <c r="AA31" i="19"/>
  <c r="AA50" i="19" s="1"/>
  <c r="CW482" i="1"/>
  <c r="AA80" i="2"/>
  <c r="AA57" i="2"/>
  <c r="AA81" i="2"/>
  <c r="CW484" i="1"/>
  <c r="Z256" i="2"/>
  <c r="Z228" i="2"/>
  <c r="Z61" i="2"/>
  <c r="AJ13" i="3"/>
  <c r="AA33" i="19"/>
  <c r="AJ79" i="3"/>
  <c r="AJ30" i="3"/>
  <c r="Z270" i="2"/>
  <c r="Z276" i="2"/>
  <c r="Z281" i="2" s="1"/>
  <c r="Z282" i="2" s="1"/>
  <c r="Z283" i="2" s="1"/>
  <c r="BQ211" i="1"/>
  <c r="Z306" i="2" l="1"/>
  <c r="Z223" i="2"/>
  <c r="Z221" i="2" s="1"/>
  <c r="AA254" i="2"/>
  <c r="AA293" i="2"/>
  <c r="CQ50" i="7"/>
  <c r="BO211" i="1"/>
  <c r="CQ51" i="7" s="1"/>
  <c r="AK29" i="3"/>
  <c r="AA227" i="2"/>
  <c r="CW498" i="1"/>
  <c r="AB27" i="19"/>
  <c r="AB40" i="19" s="1"/>
  <c r="AA222" i="2"/>
  <c r="CW487" i="1"/>
  <c r="CW491" i="1"/>
  <c r="CW485" i="1"/>
  <c r="CW486" i="1"/>
  <c r="AA43" i="19"/>
  <c r="AA44" i="19"/>
  <c r="BH51" i="7"/>
  <c r="BQ210" i="1"/>
  <c r="BH50" i="7" s="1"/>
  <c r="BQ212" i="1"/>
  <c r="R62" i="4"/>
  <c r="AA15" i="19"/>
  <c r="AJ134" i="3"/>
  <c r="BR211" i="1"/>
  <c r="AJ11" i="3" l="1"/>
  <c r="AK15" i="3"/>
  <c r="AA271" i="2" s="1"/>
  <c r="CW499" i="1"/>
  <c r="S69" i="4"/>
  <c r="CW501" i="1"/>
  <c r="AK74" i="3"/>
  <c r="AA298" i="2"/>
  <c r="BV212" i="1"/>
  <c r="BR210" i="1"/>
  <c r="BI50" i="7" s="1"/>
  <c r="BR212" i="1"/>
  <c r="BI51" i="7"/>
  <c r="AJ86" i="3"/>
  <c r="Z309" i="2"/>
  <c r="Z311" i="2" s="1"/>
  <c r="BS211" i="1"/>
  <c r="AK79" i="3" l="1"/>
  <c r="BS210" i="1"/>
  <c r="BW212" i="1"/>
  <c r="BJ51" i="7"/>
  <c r="BS212" i="1"/>
  <c r="AA61" i="2"/>
  <c r="AB33" i="19"/>
  <c r="AK13" i="3"/>
  <c r="AA228" i="2"/>
  <c r="AA256" i="2"/>
  <c r="AB31" i="19"/>
  <c r="AB50" i="19" s="1"/>
  <c r="AK14" i="3"/>
  <c r="AK30" i="3"/>
  <c r="AA276" i="2"/>
  <c r="AA281" i="2" s="1"/>
  <c r="AA282" i="2" s="1"/>
  <c r="AA283" i="2" s="1"/>
  <c r="AA270" i="2"/>
  <c r="BU211" i="1"/>
  <c r="BK51" i="7" l="1"/>
  <c r="BU212" i="1"/>
  <c r="BU210" i="1"/>
  <c r="BK50" i="7" s="1"/>
  <c r="AB44" i="19"/>
  <c r="AB43" i="19"/>
  <c r="AB15" i="19"/>
  <c r="AK134" i="3"/>
  <c r="S62" i="4"/>
  <c r="AK11" i="3" s="1"/>
  <c r="AA306" i="2"/>
  <c r="AA223" i="2"/>
  <c r="AA221" i="2" s="1"/>
  <c r="BJ50" i="7"/>
  <c r="BT210" i="1"/>
  <c r="AA309" i="2" l="1"/>
  <c r="AA311" i="2" s="1"/>
  <c r="AK86" i="3"/>
  <c r="BT211" i="1"/>
  <c r="CR50" i="7"/>
  <c r="BX212" i="1" l="1"/>
  <c r="CR51" i="7"/>
  <c r="AZ18" i="7" l="1"/>
  <c r="AZ19" i="7" s="1"/>
  <c r="AY18" i="7" l="1"/>
  <c r="AY19" i="7" s="1"/>
  <c r="BF469" i="1"/>
  <c r="BJ469" i="1" s="1"/>
  <c r="BD453" i="1" l="1"/>
  <c r="BI454" i="1" l="1"/>
  <c r="BD471" i="1"/>
  <c r="BD454" i="1"/>
  <c r="BE453" i="1"/>
  <c r="BD456" i="1"/>
  <c r="BD519" i="1" s="1"/>
  <c r="BD452" i="1"/>
  <c r="BD455" i="1"/>
  <c r="AX9" i="7"/>
  <c r="BD469" i="1"/>
  <c r="BE469" i="1" s="1"/>
  <c r="BE471" i="1" s="1"/>
  <c r="BD498" i="1"/>
  <c r="BD476" i="1"/>
  <c r="AX26" i="7" s="1"/>
  <c r="N26" i="19" l="1"/>
  <c r="E5" i="4"/>
  <c r="E7" i="4" s="1"/>
  <c r="E12" i="4" s="1"/>
  <c r="D5" i="5"/>
  <c r="M46" i="2"/>
  <c r="M47" i="2" s="1"/>
  <c r="M48" i="2" s="1"/>
  <c r="M52" i="2" s="1"/>
  <c r="N47" i="19" s="1"/>
  <c r="AX35" i="7"/>
  <c r="AX19" i="7"/>
  <c r="AX22" i="7"/>
  <c r="AX28" i="7" s="1"/>
  <c r="BD502" i="1"/>
  <c r="BD500" i="1"/>
  <c r="BI500" i="1"/>
  <c r="BJ454" i="1"/>
  <c r="E11" i="4"/>
  <c r="M252" i="2"/>
  <c r="CO9" i="7"/>
  <c r="BE452" i="1"/>
  <c r="N25" i="19"/>
  <c r="BE456" i="1"/>
  <c r="BE454" i="1"/>
  <c r="M265" i="2"/>
  <c r="M275" i="2" s="1"/>
  <c r="BE511" i="1"/>
  <c r="N28" i="19" s="1"/>
  <c r="N29" i="19" s="1"/>
  <c r="M332" i="2"/>
  <c r="D4" i="5"/>
  <c r="BD472" i="1"/>
  <c r="BD473" i="1"/>
  <c r="E15" i="4" l="1"/>
  <c r="E20" i="4" s="1"/>
  <c r="N334" i="2"/>
  <c r="M291" i="2"/>
  <c r="M334" i="2"/>
  <c r="M333" i="2"/>
  <c r="BE519" i="1"/>
  <c r="P227" i="6"/>
  <c r="P229" i="6" s="1"/>
  <c r="M273" i="2"/>
  <c r="M274" i="2" s="1"/>
  <c r="M55" i="2"/>
  <c r="F16" i="4" l="1"/>
  <c r="M64" i="2"/>
  <c r="M255" i="2" s="1"/>
  <c r="M259" i="2" s="1"/>
  <c r="W72" i="3"/>
  <c r="M298" i="2"/>
  <c r="BC498" i="1"/>
  <c r="M65" i="2" l="1"/>
  <c r="BC502" i="1"/>
  <c r="BH500" i="1"/>
  <c r="M301" i="2"/>
  <c r="W79" i="3"/>
  <c r="BB498" i="1"/>
  <c r="BB476" i="1"/>
  <c r="AV26" i="7" s="1"/>
  <c r="AV28" i="7" s="1"/>
  <c r="W82" i="3" l="1"/>
  <c r="M303" i="2"/>
  <c r="BB502" i="1"/>
  <c r="BG500" i="1"/>
  <c r="AX432" i="1"/>
  <c r="AY432" i="1"/>
  <c r="BA432" i="1"/>
  <c r="BA455" i="1" l="1"/>
  <c r="BA473" i="1"/>
  <c r="BA518" i="1"/>
  <c r="BA486" i="1"/>
  <c r="BA472" i="1"/>
  <c r="BA509" i="1"/>
  <c r="BF433" i="1"/>
  <c r="AU7" i="7"/>
  <c r="BE432" i="1"/>
  <c r="BF542" i="1"/>
  <c r="BA515" i="1"/>
  <c r="BA434" i="1"/>
  <c r="AT7" i="7"/>
  <c r="AY515" i="1"/>
  <c r="AY473" i="1"/>
  <c r="BD542" i="1"/>
  <c r="AY472" i="1"/>
  <c r="AY518" i="1"/>
  <c r="AY520" i="1" s="1"/>
  <c r="AY455" i="1"/>
  <c r="BD433" i="1"/>
  <c r="AY542" i="1"/>
  <c r="AY509" i="1"/>
  <c r="AY486" i="1"/>
  <c r="AY433" i="1"/>
  <c r="AY434" i="1"/>
  <c r="AX515" i="1"/>
  <c r="AX509" i="1"/>
  <c r="BC542" i="1"/>
  <c r="BC433" i="1"/>
  <c r="AX433" i="1"/>
  <c r="AX542" i="1"/>
  <c r="AS7" i="7"/>
  <c r="AX455" i="1"/>
  <c r="AX434" i="1"/>
  <c r="N30" i="19"/>
  <c r="M304" i="2"/>
  <c r="W84" i="3"/>
  <c r="W31" i="3"/>
  <c r="BA429" i="1"/>
  <c r="AY429" i="1"/>
  <c r="AX429" i="1"/>
  <c r="BA476" i="1"/>
  <c r="BA498" i="1"/>
  <c r="BC516" i="1" l="1"/>
  <c r="AX31" i="1"/>
  <c r="AX30" i="1"/>
  <c r="AX516" i="1"/>
  <c r="BF516" i="1"/>
  <c r="BA31" i="1"/>
  <c r="BA30" i="1"/>
  <c r="N41" i="19"/>
  <c r="N32" i="19"/>
  <c r="N42" i="19" s="1"/>
  <c r="BA500" i="1"/>
  <c r="BA502" i="1"/>
  <c r="BE498" i="1"/>
  <c r="BF500" i="1"/>
  <c r="BE486" i="1"/>
  <c r="M76" i="2"/>
  <c r="BE518" i="1"/>
  <c r="BE521" i="1" s="1"/>
  <c r="M85" i="2" s="1"/>
  <c r="M86" i="2" s="1"/>
  <c r="M156" i="2"/>
  <c r="BE509" i="1"/>
  <c r="BJ542" i="1"/>
  <c r="BE515" i="1"/>
  <c r="BJ433" i="1"/>
  <c r="M163" i="2"/>
  <c r="M160" i="2"/>
  <c r="CO7" i="7"/>
  <c r="D3" i="5"/>
  <c r="N24" i="19"/>
  <c r="M100" i="2"/>
  <c r="M173" i="2"/>
  <c r="M74" i="2"/>
  <c r="M153" i="2"/>
  <c r="M166" i="2"/>
  <c r="M136" i="2"/>
  <c r="M192" i="2"/>
  <c r="BE434" i="1"/>
  <c r="BE472" i="1"/>
  <c r="BE473" i="1"/>
  <c r="BE522" i="1" s="1"/>
  <c r="BE455" i="1"/>
  <c r="BE476" i="1"/>
  <c r="AU26" i="7"/>
  <c r="AU28" i="7" s="1"/>
  <c r="AX13" i="1"/>
  <c r="AS8" i="7"/>
  <c r="BC540" i="1"/>
  <c r="AT8" i="7"/>
  <c r="AY13" i="1"/>
  <c r="BD540" i="1"/>
  <c r="BE429" i="1"/>
  <c r="BA13" i="1"/>
  <c r="AU8" i="7"/>
  <c r="BF430" i="1"/>
  <c r="BF540" i="1"/>
  <c r="AY516" i="1"/>
  <c r="AY30" i="1"/>
  <c r="AY31" i="1"/>
  <c r="BD516" i="1"/>
  <c r="E69" i="4" l="1"/>
  <c r="BE502" i="1"/>
  <c r="W15" i="3"/>
  <c r="M271" i="2" s="1"/>
  <c r="BE499" i="1"/>
  <c r="BJ500" i="1"/>
  <c r="BF14" i="1"/>
  <c r="M267" i="2"/>
  <c r="BE477" i="1"/>
  <c r="M78" i="2"/>
  <c r="CO8" i="7"/>
  <c r="BE13" i="1"/>
  <c r="M327" i="2"/>
  <c r="M329" i="2" s="1"/>
  <c r="BJ430" i="1"/>
  <c r="BJ540" i="1"/>
  <c r="BE31" i="1"/>
  <c r="M342" i="2"/>
  <c r="BE30" i="1"/>
  <c r="BJ516" i="1"/>
  <c r="M336" i="2"/>
  <c r="M337" i="2" s="1"/>
  <c r="BA341" i="1"/>
  <c r="BA354" i="1"/>
  <c r="BA333" i="1"/>
  <c r="BA362" i="1"/>
  <c r="BA367" i="1"/>
  <c r="BA330" i="1"/>
  <c r="BA346" i="1"/>
  <c r="BA371" i="1"/>
  <c r="BD14" i="1"/>
  <c r="BF32" i="1"/>
  <c r="BA40" i="1"/>
  <c r="BA51" i="1"/>
  <c r="AY40" i="1"/>
  <c r="AY32" i="1"/>
  <c r="BD32" i="1"/>
  <c r="AY51" i="1"/>
  <c r="AX333" i="1"/>
  <c r="AX346" i="1"/>
  <c r="AX362" i="1"/>
  <c r="AX341" i="1"/>
  <c r="AX367" i="1"/>
  <c r="AX330" i="1"/>
  <c r="AX371" i="1"/>
  <c r="AX354" i="1"/>
  <c r="BC32" i="1"/>
  <c r="AX51" i="1"/>
  <c r="AX40" i="1"/>
  <c r="AX32" i="1"/>
  <c r="AY341" i="1"/>
  <c r="AY333" i="1"/>
  <c r="AY330" i="1"/>
  <c r="AY371" i="1"/>
  <c r="AY354" i="1"/>
  <c r="AY346" i="1"/>
  <c r="AY362" i="1"/>
  <c r="AY367" i="1"/>
  <c r="BC14" i="1"/>
  <c r="AY211" i="1"/>
  <c r="AX211" i="1"/>
  <c r="AT18" i="7"/>
  <c r="AT19" i="7" s="1"/>
  <c r="AY476" i="1"/>
  <c r="AT26" i="7" s="1"/>
  <c r="AT28" i="7" s="1"/>
  <c r="AX212" i="1" l="1"/>
  <c r="AS51" i="7"/>
  <c r="AX210" i="1"/>
  <c r="AS50" i="7" s="1"/>
  <c r="BB212" i="1"/>
  <c r="BJ14" i="1"/>
  <c r="N338" i="2"/>
  <c r="BE362" i="1"/>
  <c r="BE354" i="1"/>
  <c r="BE333" i="1"/>
  <c r="BE367" i="1"/>
  <c r="BE371" i="1"/>
  <c r="BE341" i="1"/>
  <c r="BE346" i="1"/>
  <c r="W18" i="3"/>
  <c r="W245" i="3" s="1"/>
  <c r="BE330" i="1"/>
  <c r="W14" i="3"/>
  <c r="N31" i="19"/>
  <c r="BJ32" i="1"/>
  <c r="BE40" i="1"/>
  <c r="BE51" i="1"/>
  <c r="M270" i="2"/>
  <c r="W30" i="3"/>
  <c r="M276" i="2"/>
  <c r="M281" i="2" s="1"/>
  <c r="M282" i="2" s="1"/>
  <c r="AZ211" i="1"/>
  <c r="AY210" i="1"/>
  <c r="AT51" i="7"/>
  <c r="BC212" i="1"/>
  <c r="AY212" i="1"/>
  <c r="AZ210" i="1" l="1"/>
  <c r="CN50" i="7" s="1"/>
  <c r="AT50" i="7"/>
  <c r="AZ212" i="1"/>
  <c r="CN51" i="7"/>
  <c r="BD212" i="1"/>
  <c r="N283" i="2"/>
  <c r="N50" i="19"/>
  <c r="N44" i="19"/>
  <c r="AW211" i="1" l="1"/>
  <c r="AR51" i="7" l="1"/>
  <c r="BA212" i="1"/>
  <c r="AW210" i="1"/>
  <c r="AR50" i="7" s="1"/>
  <c r="AW212" i="1"/>
  <c r="AS18" i="7"/>
  <c r="AS19" i="7" s="1"/>
  <c r="AX476" i="1"/>
  <c r="AS26" i="7" s="1"/>
  <c r="AX463" i="1"/>
  <c r="AX481" i="1"/>
  <c r="AZ463" i="1" l="1"/>
  <c r="AX465" i="1"/>
  <c r="AX52" i="1"/>
  <c r="AS12" i="7" s="1"/>
  <c r="AX471" i="1"/>
  <c r="AX518" i="1"/>
  <c r="AX520" i="1" s="1"/>
  <c r="AS23" i="7"/>
  <c r="AS28" i="7" s="1"/>
  <c r="AX484" i="1"/>
  <c r="AX482" i="1"/>
  <c r="BC485" i="1" l="1"/>
  <c r="AS10" i="7"/>
  <c r="AS36" i="7" s="1"/>
  <c r="AX486" i="1"/>
  <c r="AX485" i="1"/>
  <c r="AX498" i="1"/>
  <c r="AX472" i="1"/>
  <c r="AX473" i="1"/>
  <c r="AX466" i="1"/>
  <c r="BC466" i="1"/>
  <c r="AZ467" i="1"/>
  <c r="C6" i="5" s="1"/>
  <c r="AZ465" i="1"/>
  <c r="L266" i="2"/>
  <c r="L275" i="2" s="1"/>
  <c r="AZ52" i="1"/>
  <c r="CN12" i="7" s="1"/>
  <c r="AZ471" i="1"/>
  <c r="L345" i="2"/>
  <c r="L93" i="2" s="1"/>
  <c r="L277" i="2"/>
  <c r="AR18" i="7"/>
  <c r="AR19" i="7" s="1"/>
  <c r="AQ18" i="7"/>
  <c r="AQ19" i="7" s="1"/>
  <c r="AP18" i="7"/>
  <c r="AO18" i="7"/>
  <c r="AN18" i="7"/>
  <c r="AM18" i="7"/>
  <c r="AL18" i="7"/>
  <c r="AL19" i="7" s="1"/>
  <c r="AK18" i="7"/>
  <c r="AK19" i="7" s="1"/>
  <c r="AJ18" i="7"/>
  <c r="AJ19" i="7" s="1"/>
  <c r="AI18" i="7"/>
  <c r="AI19" i="7" s="1"/>
  <c r="M26" i="19" l="1"/>
  <c r="L46" i="2"/>
  <c r="L47" i="2" s="1"/>
  <c r="L48" i="2" s="1"/>
  <c r="L52" i="2" s="1"/>
  <c r="M47" i="19" s="1"/>
  <c r="C5" i="5"/>
  <c r="D5" i="4"/>
  <c r="D7" i="4" s="1"/>
  <c r="D12" i="4" s="1"/>
  <c r="D15" i="4" s="1"/>
  <c r="BE466" i="1"/>
  <c r="AZ466" i="1"/>
  <c r="AX502" i="1"/>
  <c r="AX500" i="1"/>
  <c r="BC500" i="1"/>
  <c r="L99" i="2"/>
  <c r="V20" i="3"/>
  <c r="V277" i="3" s="1"/>
  <c r="V278" i="3" s="1"/>
  <c r="V279" i="3" s="1"/>
  <c r="V280" i="3" s="1"/>
  <c r="D20" i="4" l="1"/>
  <c r="E16" i="4"/>
  <c r="V290" i="3"/>
  <c r="V285" i="3"/>
  <c r="AW476" i="1"/>
  <c r="AR26" i="7" s="1"/>
  <c r="AW481" i="1" l="1"/>
  <c r="AW432" i="1"/>
  <c r="AW509" i="1" l="1"/>
  <c r="BB542" i="1"/>
  <c r="AW542" i="1"/>
  <c r="AW473" i="1"/>
  <c r="AW433" i="1"/>
  <c r="AW455" i="1"/>
  <c r="AW518" i="1"/>
  <c r="AW520" i="1" s="1"/>
  <c r="BB433" i="1"/>
  <c r="AW472" i="1"/>
  <c r="AW515" i="1"/>
  <c r="AR7" i="7"/>
  <c r="AW434" i="1"/>
  <c r="AW482" i="1"/>
  <c r="AR23" i="7"/>
  <c r="AR28" i="7" s="1"/>
  <c r="AZ481" i="1"/>
  <c r="AW484" i="1"/>
  <c r="AW429" i="1"/>
  <c r="AW31" i="1" l="1"/>
  <c r="BB516" i="1"/>
  <c r="AW30" i="1"/>
  <c r="AW516" i="1"/>
  <c r="AW13" i="1"/>
  <c r="BB14" i="1" s="1"/>
  <c r="AR8" i="7"/>
  <c r="BB540" i="1"/>
  <c r="AZ484" i="1"/>
  <c r="AW485" i="1"/>
  <c r="AR10" i="7"/>
  <c r="AR36" i="7" s="1"/>
  <c r="AW498" i="1"/>
  <c r="BB485" i="1"/>
  <c r="AW486" i="1"/>
  <c r="AZ482" i="1"/>
  <c r="L57" i="2"/>
  <c r="L81" i="2"/>
  <c r="L80" i="2"/>
  <c r="AL429" i="1"/>
  <c r="AM429" i="1"/>
  <c r="AN429" i="1"/>
  <c r="AO429" i="1"/>
  <c r="AQ429" i="1"/>
  <c r="AR429" i="1"/>
  <c r="AW540" i="1" s="1"/>
  <c r="AS429" i="1"/>
  <c r="AT429" i="1"/>
  <c r="AV432" i="1"/>
  <c r="W429" i="1"/>
  <c r="AZ485" i="1" l="1"/>
  <c r="L222" i="2"/>
  <c r="C12" i="5"/>
  <c r="C16" i="5" s="1"/>
  <c r="CN10" i="7"/>
  <c r="V29" i="3"/>
  <c r="BE485" i="1"/>
  <c r="AZ498" i="1"/>
  <c r="M27" i="19"/>
  <c r="M40" i="19" s="1"/>
  <c r="AZ432" i="1"/>
  <c r="AQ7" i="7"/>
  <c r="AV509" i="1"/>
  <c r="AV472" i="1"/>
  <c r="AV473" i="1"/>
  <c r="AV542" i="1"/>
  <c r="AV515" i="1"/>
  <c r="AV518" i="1"/>
  <c r="AV520" i="1" s="1"/>
  <c r="AV486" i="1"/>
  <c r="AV433" i="1"/>
  <c r="AV455" i="1"/>
  <c r="Y62" i="6" s="1"/>
  <c r="AV434" i="1"/>
  <c r="BA542" i="1"/>
  <c r="BA433" i="1"/>
  <c r="AQ13" i="1"/>
  <c r="AU429" i="1"/>
  <c r="AQ540" i="1"/>
  <c r="AT540" i="1"/>
  <c r="AT13" i="1"/>
  <c r="AY540" i="1"/>
  <c r="AW502" i="1"/>
  <c r="AW500" i="1"/>
  <c r="BB500" i="1"/>
  <c r="AO13" i="1"/>
  <c r="AM13" i="1"/>
  <c r="W13" i="1"/>
  <c r="W14" i="1" s="1"/>
  <c r="AN13" i="1"/>
  <c r="AP429" i="1"/>
  <c r="AL13" i="1"/>
  <c r="AW367" i="1"/>
  <c r="AW346" i="1"/>
  <c r="AW341" i="1"/>
  <c r="AW333" i="1"/>
  <c r="AW330" i="1"/>
  <c r="AW371" i="1"/>
  <c r="AW362" i="1"/>
  <c r="AW354" i="1"/>
  <c r="L194" i="2"/>
  <c r="L64" i="2"/>
  <c r="L255" i="2" s="1"/>
  <c r="L293" i="2"/>
  <c r="L254" i="2"/>
  <c r="AS13" i="1"/>
  <c r="AS540" i="1"/>
  <c r="AX540" i="1"/>
  <c r="AR13" i="1"/>
  <c r="AR540" i="1"/>
  <c r="AW32" i="1"/>
  <c r="AW51" i="1"/>
  <c r="AW40" i="1"/>
  <c r="BB32" i="1"/>
  <c r="AV429" i="1"/>
  <c r="AR453" i="1"/>
  <c r="AT453" i="1"/>
  <c r="AS453" i="1"/>
  <c r="AQ453" i="1"/>
  <c r="L65" i="2" l="1"/>
  <c r="AS14" i="1"/>
  <c r="AX14" i="1"/>
  <c r="AP13" i="1"/>
  <c r="J327" i="2"/>
  <c r="J329" i="2" s="1"/>
  <c r="CL8" i="7"/>
  <c r="K327" i="2"/>
  <c r="K329" i="2" s="1"/>
  <c r="AU13" i="1"/>
  <c r="AU540" i="1"/>
  <c r="CM8" i="7"/>
  <c r="L198" i="2"/>
  <c r="V129" i="3"/>
  <c r="L200" i="2"/>
  <c r="L273" i="2" s="1"/>
  <c r="L274" i="2" s="1"/>
  <c r="AQ14" i="1"/>
  <c r="AZ486" i="1"/>
  <c r="L74" i="2"/>
  <c r="L100" i="2"/>
  <c r="AZ509" i="1"/>
  <c r="AZ433" i="1"/>
  <c r="L166" i="2"/>
  <c r="AZ455" i="1"/>
  <c r="AZ542" i="1"/>
  <c r="AZ518" i="1"/>
  <c r="L76" i="2"/>
  <c r="L160" i="2"/>
  <c r="C3" i="5"/>
  <c r="L153" i="2"/>
  <c r="L192" i="2"/>
  <c r="CN7" i="7"/>
  <c r="DA7" i="7" s="1"/>
  <c r="L136" i="2"/>
  <c r="L173" i="2"/>
  <c r="M24" i="19"/>
  <c r="L163" i="2"/>
  <c r="L156" i="2"/>
  <c r="AZ515" i="1"/>
  <c r="AZ434" i="1"/>
  <c r="BE433" i="1"/>
  <c r="BE542" i="1"/>
  <c r="AZ472" i="1"/>
  <c r="AZ473" i="1"/>
  <c r="AZ522" i="1" s="1"/>
  <c r="AN9" i="7"/>
  <c r="AR456" i="1"/>
  <c r="V63" i="6" s="1"/>
  <c r="V72" i="6"/>
  <c r="V73" i="6" s="1"/>
  <c r="AR520" i="1"/>
  <c r="AR455" i="1"/>
  <c r="V62" i="6" s="1"/>
  <c r="AR454" i="1"/>
  <c r="AW454" i="1"/>
  <c r="AR471" i="1"/>
  <c r="AR452" i="1"/>
  <c r="AQ8" i="7"/>
  <c r="AV540" i="1"/>
  <c r="AZ429" i="1"/>
  <c r="AV13" i="1"/>
  <c r="BA540" i="1"/>
  <c r="AQ455" i="1"/>
  <c r="U62" i="6" s="1"/>
  <c r="AQ452" i="1"/>
  <c r="AQ471" i="1"/>
  <c r="U72" i="6"/>
  <c r="U73" i="6" s="1"/>
  <c r="AQ456" i="1"/>
  <c r="U63" i="6" s="1"/>
  <c r="AQ520" i="1"/>
  <c r="AM9" i="7"/>
  <c r="AQ454" i="1"/>
  <c r="AU453" i="1"/>
  <c r="AV454" i="1"/>
  <c r="V15" i="3"/>
  <c r="L271" i="2" s="1"/>
  <c r="AZ500" i="1"/>
  <c r="AZ502" i="1"/>
  <c r="D69" i="4"/>
  <c r="AS456" i="1"/>
  <c r="W63" i="6" s="1"/>
  <c r="AS455" i="1"/>
  <c r="W62" i="6" s="1"/>
  <c r="AS520" i="1"/>
  <c r="W72" i="6"/>
  <c r="W73" i="6" s="1"/>
  <c r="AS452" i="1"/>
  <c r="AS471" i="1"/>
  <c r="AS454" i="1"/>
  <c r="AO9" i="7"/>
  <c r="AX454" i="1"/>
  <c r="AT14" i="1"/>
  <c r="AY14" i="1"/>
  <c r="V74" i="3"/>
  <c r="L298" i="2"/>
  <c r="AT455" i="1"/>
  <c r="X62" i="6" s="1"/>
  <c r="AY454" i="1"/>
  <c r="AT471" i="1"/>
  <c r="AT520" i="1"/>
  <c r="AT452" i="1"/>
  <c r="X72" i="6"/>
  <c r="X73" i="6" s="1"/>
  <c r="AT456" i="1"/>
  <c r="X63" i="6" s="1"/>
  <c r="AT454" i="1"/>
  <c r="AP9" i="7"/>
  <c r="AW14" i="1"/>
  <c r="AR14" i="1"/>
  <c r="L259" i="2"/>
  <c r="O227" i="6"/>
  <c r="O229" i="6" s="1"/>
  <c r="AV31" i="1"/>
  <c r="AV516" i="1"/>
  <c r="AV30" i="1"/>
  <c r="BA516" i="1"/>
  <c r="AG429" i="1"/>
  <c r="AI429" i="1"/>
  <c r="Z429" i="1"/>
  <c r="X429" i="1"/>
  <c r="AH429" i="1"/>
  <c r="AJ429" i="1"/>
  <c r="Y429" i="1"/>
  <c r="AB429" i="1"/>
  <c r="AW469" i="1"/>
  <c r="AZ469" i="1" s="1"/>
  <c r="AU14" i="1" l="1"/>
  <c r="AH13" i="1"/>
  <c r="AH540" i="1"/>
  <c r="AM540" i="1"/>
  <c r="V79" i="3"/>
  <c r="L301" i="2"/>
  <c r="AN22" i="7"/>
  <c r="AN28" i="7" s="1"/>
  <c r="AN35" i="7"/>
  <c r="AN19" i="7"/>
  <c r="AV14" i="1"/>
  <c r="BA14" i="1"/>
  <c r="L327" i="2"/>
  <c r="L329" i="2" s="1"/>
  <c r="AZ13" i="1"/>
  <c r="AZ540" i="1"/>
  <c r="BE540" i="1"/>
  <c r="L276" i="2"/>
  <c r="L281" i="2" s="1"/>
  <c r="L282" i="2" s="1"/>
  <c r="V30" i="3"/>
  <c r="L270" i="2"/>
  <c r="AC540" i="1"/>
  <c r="X13" i="1"/>
  <c r="AA429" i="1"/>
  <c r="AZ520" i="1"/>
  <c r="AZ521" i="1"/>
  <c r="L85" i="2" s="1"/>
  <c r="L86" i="2" s="1"/>
  <c r="AP22" i="7"/>
  <c r="AP28" i="7" s="1"/>
  <c r="AP35" i="7"/>
  <c r="AP19" i="7"/>
  <c r="AU456" i="1"/>
  <c r="K252" i="2"/>
  <c r="AU520" i="1"/>
  <c r="AZ454" i="1"/>
  <c r="C11" i="4"/>
  <c r="AU471" i="1"/>
  <c r="AU454" i="1"/>
  <c r="B4" i="5"/>
  <c r="AU455" i="1"/>
  <c r="K265" i="2"/>
  <c r="K275" i="2" s="1"/>
  <c r="K332" i="2"/>
  <c r="L25" i="19"/>
  <c r="AU511" i="1"/>
  <c r="L28" i="19" s="1"/>
  <c r="L29" i="19" s="1"/>
  <c r="CM9" i="7"/>
  <c r="AE540" i="1"/>
  <c r="Z13" i="1"/>
  <c r="AO35" i="7"/>
  <c r="AO22" i="7"/>
  <c r="AO28" i="7" s="1"/>
  <c r="AO19" i="7"/>
  <c r="AZ31" i="1"/>
  <c r="AZ30" i="1"/>
  <c r="L342" i="2"/>
  <c r="AZ516" i="1"/>
  <c r="L336" i="2"/>
  <c r="L337" i="2" s="1"/>
  <c r="BE516" i="1"/>
  <c r="AM22" i="7"/>
  <c r="AM28" i="7" s="1"/>
  <c r="AM35" i="7"/>
  <c r="AM19" i="7"/>
  <c r="AR473" i="1"/>
  <c r="AR472" i="1"/>
  <c r="AB13" i="1"/>
  <c r="AB14" i="1" s="1"/>
  <c r="AB540" i="1"/>
  <c r="AF429" i="1"/>
  <c r="AS473" i="1"/>
  <c r="AS472" i="1"/>
  <c r="AD540" i="1"/>
  <c r="Y13" i="1"/>
  <c r="AI540" i="1"/>
  <c r="AI13" i="1"/>
  <c r="AN540" i="1"/>
  <c r="AV371" i="1"/>
  <c r="AV346" i="1"/>
  <c r="AV362" i="1"/>
  <c r="AV341" i="1"/>
  <c r="AV330" i="1"/>
  <c r="AV354" i="1"/>
  <c r="AV367" i="1"/>
  <c r="AV333" i="1"/>
  <c r="AT473" i="1"/>
  <c r="AT472" i="1"/>
  <c r="AQ472" i="1"/>
  <c r="AQ473" i="1"/>
  <c r="AG540" i="1"/>
  <c r="AG13" i="1"/>
  <c r="AK429" i="1"/>
  <c r="AL540" i="1"/>
  <c r="AU452" i="1"/>
  <c r="AJ540" i="1"/>
  <c r="AJ13" i="1"/>
  <c r="AO540" i="1"/>
  <c r="U177" i="6"/>
  <c r="AV51" i="1"/>
  <c r="AV40" i="1"/>
  <c r="AV32" i="1"/>
  <c r="BA32" i="1"/>
  <c r="N227" i="6" l="1"/>
  <c r="N229" i="6" s="1"/>
  <c r="K55" i="2"/>
  <c r="K65" i="2" s="1"/>
  <c r="K66" i="2" s="1"/>
  <c r="K259" i="2"/>
  <c r="K261" i="2" s="1"/>
  <c r="AZ14" i="1"/>
  <c r="BE14" i="1"/>
  <c r="AG14" i="1"/>
  <c r="AL14" i="1"/>
  <c r="Z14" i="1"/>
  <c r="AE14" i="1"/>
  <c r="AI14" i="1"/>
  <c r="AN14" i="1"/>
  <c r="K334" i="2"/>
  <c r="K336" i="2"/>
  <c r="K337" i="2" s="1"/>
  <c r="K338" i="2" s="1"/>
  <c r="K291" i="2"/>
  <c r="L334" i="2"/>
  <c r="M338" i="2"/>
  <c r="CI8" i="7"/>
  <c r="AA13" i="1"/>
  <c r="AA14" i="1" s="1"/>
  <c r="G327" i="2"/>
  <c r="G329" i="2" s="1"/>
  <c r="AA540" i="1"/>
  <c r="Y14" i="1"/>
  <c r="AD14" i="1"/>
  <c r="X14" i="1"/>
  <c r="AC14" i="1"/>
  <c r="L303" i="2"/>
  <c r="V82" i="3"/>
  <c r="I327" i="2"/>
  <c r="I329" i="2" s="1"/>
  <c r="AK540" i="1"/>
  <c r="CK8" i="7"/>
  <c r="AK13" i="1"/>
  <c r="AP540" i="1"/>
  <c r="AZ362" i="1"/>
  <c r="AZ346" i="1"/>
  <c r="V18" i="3"/>
  <c r="V245" i="3" s="1"/>
  <c r="AZ341" i="1"/>
  <c r="AZ333" i="1"/>
  <c r="AZ371" i="1"/>
  <c r="AZ354" i="1"/>
  <c r="AZ367" i="1"/>
  <c r="AZ330" i="1"/>
  <c r="U193" i="6"/>
  <c r="U189" i="6"/>
  <c r="U190" i="6"/>
  <c r="U191" i="6"/>
  <c r="U192" i="6"/>
  <c r="AZ51" i="1"/>
  <c r="AZ32" i="1"/>
  <c r="AZ40" i="1"/>
  <c r="BE32" i="1"/>
  <c r="L26" i="19"/>
  <c r="K46" i="2"/>
  <c r="K47" i="2" s="1"/>
  <c r="K48" i="2" s="1"/>
  <c r="K52" i="2" s="1"/>
  <c r="L47" i="19" s="1"/>
  <c r="AU473" i="1"/>
  <c r="AU522" i="1" s="1"/>
  <c r="AU472" i="1"/>
  <c r="AU479" i="1"/>
  <c r="B5" i="5"/>
  <c r="C5" i="4"/>
  <c r="C7" i="4" s="1"/>
  <c r="C12" i="4" s="1"/>
  <c r="C15" i="4" s="1"/>
  <c r="K333" i="2"/>
  <c r="AU519" i="1"/>
  <c r="CJ8" i="7"/>
  <c r="AF13" i="1"/>
  <c r="H327" i="2"/>
  <c r="H329" i="2" s="1"/>
  <c r="AF540" i="1"/>
  <c r="AJ14" i="1"/>
  <c r="AO14" i="1"/>
  <c r="L283" i="2"/>
  <c r="M283" i="2"/>
  <c r="AH14" i="1"/>
  <c r="AM14" i="1"/>
  <c r="AF14" i="1" l="1"/>
  <c r="K269" i="2"/>
  <c r="K270" i="2" s="1"/>
  <c r="AU482" i="1"/>
  <c r="K79" i="2"/>
  <c r="K196" i="2" s="1"/>
  <c r="K200" i="2" s="1"/>
  <c r="K81" i="2"/>
  <c r="M30" i="19"/>
  <c r="V84" i="3"/>
  <c r="L304" i="2"/>
  <c r="V31" i="3"/>
  <c r="AK14" i="1"/>
  <c r="AP14" i="1"/>
  <c r="L338" i="2"/>
  <c r="K262" i="2"/>
  <c r="L261" i="2"/>
  <c r="L10" i="19"/>
  <c r="C63" i="4"/>
  <c r="C64" i="4" s="1"/>
  <c r="C67" i="4" s="1"/>
  <c r="L66" i="2"/>
  <c r="U137" i="3"/>
  <c r="K67" i="2"/>
  <c r="K135" i="2"/>
  <c r="K69" i="2"/>
  <c r="O214" i="6" s="1"/>
  <c r="C20" i="4"/>
  <c r="D16" i="4"/>
  <c r="K298" i="2"/>
  <c r="U72" i="3"/>
  <c r="C68" i="4" l="1"/>
  <c r="L16" i="19"/>
  <c r="L45" i="19"/>
  <c r="M41" i="19"/>
  <c r="M32" i="19"/>
  <c r="M42" i="19" s="1"/>
  <c r="L262" i="2"/>
  <c r="M261" i="2"/>
  <c r="K301" i="2"/>
  <c r="U79" i="3"/>
  <c r="K85" i="2"/>
  <c r="K86" i="2" s="1"/>
  <c r="K273" i="2"/>
  <c r="K274" i="2" s="1"/>
  <c r="M66" i="2"/>
  <c r="V137" i="3"/>
  <c r="L69" i="2"/>
  <c r="P214" i="6" s="1"/>
  <c r="L135" i="2"/>
  <c r="L67" i="2"/>
  <c r="D63" i="4"/>
  <c r="D64" i="4" s="1"/>
  <c r="M10" i="19"/>
  <c r="K131" i="2"/>
  <c r="K129" i="2" s="1"/>
  <c r="K130" i="2" s="1"/>
  <c r="U7" i="3"/>
  <c r="U25" i="3" s="1"/>
  <c r="U138" i="3"/>
  <c r="U132" i="3"/>
  <c r="U136" i="3" s="1"/>
  <c r="M131" i="2" l="1"/>
  <c r="M129" i="2" s="1"/>
  <c r="V7" i="3"/>
  <c r="V25" i="3" s="1"/>
  <c r="K303" i="2"/>
  <c r="U82" i="3"/>
  <c r="N10" i="19"/>
  <c r="W137" i="3"/>
  <c r="E63" i="4"/>
  <c r="E64" i="4" s="1"/>
  <c r="M135" i="2"/>
  <c r="M69" i="2"/>
  <c r="Q214" i="6" s="1"/>
  <c r="N66" i="2"/>
  <c r="M67" i="2"/>
  <c r="N261" i="2"/>
  <c r="M262" i="2"/>
  <c r="V132" i="3"/>
  <c r="V136" i="3" s="1"/>
  <c r="V138" i="3"/>
  <c r="M45" i="19"/>
  <c r="M16" i="19"/>
  <c r="D67" i="4"/>
  <c r="D68" i="4"/>
  <c r="L131" i="2"/>
  <c r="L129" i="2" s="1"/>
  <c r="L130" i="2" s="1"/>
  <c r="L38" i="19"/>
  <c r="L36" i="19"/>
  <c r="L37" i="19"/>
  <c r="L39" i="19"/>
  <c r="M130" i="2" l="1"/>
  <c r="O261" i="2"/>
  <c r="N262" i="2"/>
  <c r="X137" i="3"/>
  <c r="X138" i="3" s="1"/>
  <c r="N135" i="2"/>
  <c r="N67" i="2"/>
  <c r="O66" i="2"/>
  <c r="O10" i="19"/>
  <c r="F63" i="4"/>
  <c r="F64" i="4" s="1"/>
  <c r="N69" i="2"/>
  <c r="N131" i="2"/>
  <c r="N129" i="2" s="1"/>
  <c r="N130" i="2" s="1"/>
  <c r="W7" i="3"/>
  <c r="W25" i="3" s="1"/>
  <c r="E67" i="4"/>
  <c r="E68" i="4"/>
  <c r="W132" i="3"/>
  <c r="W136" i="3" s="1"/>
  <c r="W138" i="3"/>
  <c r="N45" i="19"/>
  <c r="N16" i="19"/>
  <c r="M38" i="19"/>
  <c r="M36" i="19"/>
  <c r="M39" i="19"/>
  <c r="M37" i="19"/>
  <c r="K304" i="2"/>
  <c r="U31" i="3"/>
  <c r="U84" i="3"/>
  <c r="L30" i="19"/>
  <c r="L32" i="19" l="1"/>
  <c r="L42" i="19" s="1"/>
  <c r="L41" i="19"/>
  <c r="F67" i="4"/>
  <c r="F68" i="4"/>
  <c r="O16" i="19"/>
  <c r="O45" i="19"/>
  <c r="P66" i="2"/>
  <c r="G63" i="4"/>
  <c r="G64" i="4" s="1"/>
  <c r="O69" i="2"/>
  <c r="P10" i="19"/>
  <c r="O67" i="2"/>
  <c r="O135" i="2"/>
  <c r="Y137" i="3"/>
  <c r="N37" i="19"/>
  <c r="N39" i="19"/>
  <c r="N38" i="19"/>
  <c r="N36" i="19"/>
  <c r="O131" i="2"/>
  <c r="O129" i="2" s="1"/>
  <c r="O130" i="2" s="1"/>
  <c r="X7" i="3"/>
  <c r="X25" i="3" s="1"/>
  <c r="X132" i="3"/>
  <c r="X136" i="3" s="1"/>
  <c r="P261" i="2"/>
  <c r="O262" i="2"/>
  <c r="Y132" i="3" l="1"/>
  <c r="Y136" i="3" s="1"/>
  <c r="Y138" i="3"/>
  <c r="P131" i="2"/>
  <c r="P129" i="2" s="1"/>
  <c r="P130" i="2" s="1"/>
  <c r="Y7" i="3"/>
  <c r="Y25" i="3" s="1"/>
  <c r="P16" i="19"/>
  <c r="P45" i="19"/>
  <c r="Q261" i="2"/>
  <c r="P262" i="2"/>
  <c r="G67" i="4"/>
  <c r="G68" i="4"/>
  <c r="P135" i="2"/>
  <c r="H63" i="4"/>
  <c r="H64" i="4" s="1"/>
  <c r="P67" i="2"/>
  <c r="Z137" i="3"/>
  <c r="Z138" i="3" s="1"/>
  <c r="Q66" i="2"/>
  <c r="Q10" i="19"/>
  <c r="P69" i="2"/>
  <c r="O38" i="19"/>
  <c r="O39" i="19"/>
  <c r="O36" i="19"/>
  <c r="O37" i="19"/>
  <c r="H67" i="4" l="1"/>
  <c r="H68" i="4"/>
  <c r="Z7" i="3"/>
  <c r="Z25" i="3" s="1"/>
  <c r="Q131" i="2"/>
  <c r="Q129" i="2" s="1"/>
  <c r="Q130" i="2" s="1"/>
  <c r="P39" i="19"/>
  <c r="P37" i="19"/>
  <c r="P36" i="19"/>
  <c r="P38" i="19"/>
  <c r="Q16" i="19"/>
  <c r="Q45" i="19"/>
  <c r="Z132" i="3"/>
  <c r="Z136" i="3" s="1"/>
  <c r="Q67" i="2"/>
  <c r="AA137" i="3"/>
  <c r="R66" i="2"/>
  <c r="Q135" i="2"/>
  <c r="Q69" i="2"/>
  <c r="I63" i="4"/>
  <c r="I64" i="4" s="1"/>
  <c r="R10" i="19"/>
  <c r="R261" i="2"/>
  <c r="Q262" i="2"/>
  <c r="R67" i="2" l="1"/>
  <c r="S10" i="19"/>
  <c r="J63" i="4"/>
  <c r="J64" i="4" s="1"/>
  <c r="S66" i="2"/>
  <c r="T66" i="2" s="1"/>
  <c r="AB137" i="3"/>
  <c r="R135" i="2"/>
  <c r="R69" i="2"/>
  <c r="AA132" i="3"/>
  <c r="AA136" i="3" s="1"/>
  <c r="AA138" i="3"/>
  <c r="Q36" i="19"/>
  <c r="Q37" i="19"/>
  <c r="Q38" i="19"/>
  <c r="Q39" i="19"/>
  <c r="S261" i="2"/>
  <c r="T261" i="2" s="1"/>
  <c r="T262" i="2" s="1"/>
  <c r="R262" i="2"/>
  <c r="R45" i="19"/>
  <c r="R16" i="19"/>
  <c r="I67" i="4"/>
  <c r="I68" i="4"/>
  <c r="AA7" i="3"/>
  <c r="AA25" i="3" s="1"/>
  <c r="R131" i="2"/>
  <c r="R129" i="2" s="1"/>
  <c r="S129" i="2" l="1"/>
  <c r="S130" i="2" s="1"/>
  <c r="R130" i="2"/>
  <c r="T69" i="2"/>
  <c r="T135" i="2"/>
  <c r="T67" i="2"/>
  <c r="AB132" i="3"/>
  <c r="AB136" i="3" s="1"/>
  <c r="AB138" i="3"/>
  <c r="C10" i="11"/>
  <c r="C11" i="11" s="1"/>
  <c r="S131" i="2"/>
  <c r="AB7" i="3"/>
  <c r="AB25" i="3" s="1"/>
  <c r="K63" i="4"/>
  <c r="K64" i="4" s="1"/>
  <c r="T10" i="19"/>
  <c r="S67" i="2"/>
  <c r="AC137" i="3"/>
  <c r="S69" i="2"/>
  <c r="S135" i="2"/>
  <c r="T131" i="2" s="1"/>
  <c r="S262" i="2"/>
  <c r="R37" i="19"/>
  <c r="R39" i="19"/>
  <c r="R38" i="19"/>
  <c r="R36" i="19"/>
  <c r="J67" i="4"/>
  <c r="J68" i="4"/>
  <c r="S45" i="19"/>
  <c r="S16" i="19"/>
  <c r="T129" i="2" l="1"/>
  <c r="U129" i="2" s="1"/>
  <c r="V129" i="2" s="1"/>
  <c r="W129" i="2" s="1"/>
  <c r="X129" i="2" s="1"/>
  <c r="Y129" i="2" s="1"/>
  <c r="Z129" i="2" s="1"/>
  <c r="AA129" i="2" s="1"/>
  <c r="AC7" i="3"/>
  <c r="AC25" i="3" s="1"/>
  <c r="AC132" i="3"/>
  <c r="AC136" i="3" s="1"/>
  <c r="AC138" i="3"/>
  <c r="T45" i="19"/>
  <c r="T16" i="19"/>
  <c r="K68" i="4"/>
  <c r="K67" i="4"/>
  <c r="E11" i="11"/>
  <c r="C18" i="11"/>
  <c r="C17" i="11"/>
  <c r="U10" i="19"/>
  <c r="AD137" i="3"/>
  <c r="L63" i="4"/>
  <c r="L64" i="4" s="1"/>
  <c r="S36" i="19"/>
  <c r="S39" i="19"/>
  <c r="S38" i="19"/>
  <c r="S37" i="19"/>
  <c r="T130" i="2" l="1"/>
  <c r="U45" i="19"/>
  <c r="U16" i="19"/>
  <c r="AD138" i="3"/>
  <c r="T36" i="19"/>
  <c r="T39" i="19"/>
  <c r="T38" i="19"/>
  <c r="T37" i="19"/>
  <c r="AD132" i="3"/>
  <c r="AD136" i="3" s="1"/>
  <c r="AD7" i="3"/>
  <c r="AD25" i="3" s="1"/>
  <c r="U131" i="2"/>
  <c r="L67" i="4"/>
  <c r="L68" i="4"/>
  <c r="U122" i="2" l="1"/>
  <c r="U36" i="19"/>
  <c r="U39" i="19"/>
  <c r="U37" i="19"/>
  <c r="U38" i="19"/>
  <c r="U126" i="2" l="1"/>
  <c r="U115" i="2"/>
  <c r="K14" i="5" l="1"/>
  <c r="CQ477" i="1"/>
  <c r="U253" i="2"/>
  <c r="AE28" i="3"/>
  <c r="AE128" i="3" s="1"/>
  <c r="U56" i="2"/>
  <c r="U116" i="2"/>
  <c r="U113" i="2"/>
  <c r="U299" i="2" l="1"/>
  <c r="AE80" i="3" l="1"/>
  <c r="U301" i="2"/>
  <c r="U303" i="2" l="1"/>
  <c r="AE82" i="3"/>
  <c r="V30" i="19" l="1"/>
  <c r="AE31" i="3"/>
  <c r="U304" i="2"/>
  <c r="AE84" i="3"/>
  <c r="V32" i="19" l="1"/>
  <c r="V42" i="19" s="1"/>
  <c r="V41" i="19"/>
  <c r="U64" i="2"/>
  <c r="U65" i="2" s="1"/>
  <c r="U66" i="2" s="1"/>
  <c r="U135" i="2" s="1"/>
  <c r="U230" i="2"/>
  <c r="U255" i="2" l="1"/>
  <c r="U259" i="2" s="1"/>
  <c r="U261" i="2" s="1"/>
  <c r="U262" i="2" s="1"/>
  <c r="C29" i="4"/>
  <c r="V131" i="2"/>
  <c r="U133" i="2"/>
  <c r="AE7" i="3"/>
  <c r="AE25" i="3" s="1"/>
  <c r="M63" i="4"/>
  <c r="M64" i="4" s="1"/>
  <c r="V10" i="19"/>
  <c r="U69" i="2"/>
  <c r="AE137" i="3"/>
  <c r="U36" i="2"/>
  <c r="U37" i="2" s="1"/>
  <c r="V226" i="2"/>
  <c r="V230" i="2" s="1"/>
  <c r="W226" i="2" l="1"/>
  <c r="W230" i="2" s="1"/>
  <c r="V36" i="2"/>
  <c r="V37" i="2" s="1"/>
  <c r="AE138" i="3"/>
  <c r="AE132" i="3"/>
  <c r="AE136" i="3" s="1"/>
  <c r="M68" i="4"/>
  <c r="M67" i="4"/>
  <c r="U139" i="2"/>
  <c r="U29" i="2" s="1"/>
  <c r="V122" i="2"/>
  <c r="AE27" i="3"/>
  <c r="V45" i="19"/>
  <c r="V16" i="19"/>
  <c r="D29" i="4"/>
  <c r="D27" i="4" s="1"/>
  <c r="C30" i="4"/>
  <c r="C32" i="4" s="1"/>
  <c r="C34" i="4" s="1"/>
  <c r="V36" i="19" l="1"/>
  <c r="V37" i="19"/>
  <c r="V38" i="19"/>
  <c r="V39" i="19"/>
  <c r="V115" i="2"/>
  <c r="V126" i="2"/>
  <c r="U32" i="2"/>
  <c r="U39" i="2" s="1"/>
  <c r="U40" i="2" s="1"/>
  <c r="U43" i="2"/>
  <c r="AF27" i="3"/>
  <c r="A1" i="1"/>
  <c r="A1" i="2"/>
  <c r="B4" i="18"/>
  <c r="X226" i="2"/>
  <c r="X230" i="2" s="1"/>
  <c r="W36" i="2"/>
  <c r="W37" i="2" s="1"/>
  <c r="AF28" i="3" l="1"/>
  <c r="AF128" i="3" s="1"/>
  <c r="V253" i="2"/>
  <c r="V259" i="2" s="1"/>
  <c r="V261" i="2" s="1"/>
  <c r="V56" i="2"/>
  <c r="CR477" i="1"/>
  <c r="L14" i="5"/>
  <c r="U67" i="2"/>
  <c r="U44" i="2"/>
  <c r="U41" i="2"/>
  <c r="U3" i="2"/>
  <c r="CQ1" i="1" s="1"/>
  <c r="V113" i="2"/>
  <c r="V116" i="2"/>
  <c r="Y226" i="2"/>
  <c r="Y230" i="2" s="1"/>
  <c r="X36" i="2"/>
  <c r="X37" i="2" s="1"/>
  <c r="AG27" i="3"/>
  <c r="Z226" i="2" l="1"/>
  <c r="Z230" i="2" s="1"/>
  <c r="Y36" i="2"/>
  <c r="Y37" i="2" s="1"/>
  <c r="V299" i="2"/>
  <c r="V65" i="2"/>
  <c r="V66" i="2" s="1"/>
  <c r="AH27" i="3"/>
  <c r="V262" i="2"/>
  <c r="W10" i="19" l="1"/>
  <c r="V69" i="2"/>
  <c r="V135" i="2"/>
  <c r="N63" i="4"/>
  <c r="N64" i="4" s="1"/>
  <c r="AF137" i="3"/>
  <c r="AF80" i="3"/>
  <c r="V301" i="2"/>
  <c r="AI27" i="3"/>
  <c r="Z36" i="2"/>
  <c r="Z37" i="2" s="1"/>
  <c r="AA226" i="2"/>
  <c r="AA230" i="2" s="1"/>
  <c r="AA36" i="2" s="1"/>
  <c r="AA37" i="2" s="1"/>
  <c r="V303" i="2" l="1"/>
  <c r="AF82" i="3"/>
  <c r="W131" i="2"/>
  <c r="AF7" i="3"/>
  <c r="AF25" i="3" s="1"/>
  <c r="V133" i="2"/>
  <c r="AK27" i="3"/>
  <c r="AJ27" i="3"/>
  <c r="AF138" i="3"/>
  <c r="AF132" i="3"/>
  <c r="AF136" i="3" s="1"/>
  <c r="N68" i="4"/>
  <c r="N67" i="4"/>
  <c r="W45" i="19"/>
  <c r="W16" i="19"/>
  <c r="V139" i="2" l="1"/>
  <c r="V29" i="2" s="1"/>
  <c r="W122" i="2"/>
  <c r="W39" i="19"/>
  <c r="W38" i="19"/>
  <c r="W36" i="19"/>
  <c r="W37" i="19"/>
  <c r="AF84" i="3"/>
  <c r="AF31" i="3"/>
  <c r="W30" i="19"/>
  <c r="V304" i="2"/>
  <c r="W32" i="19" l="1"/>
  <c r="W42" i="19" s="1"/>
  <c r="W41" i="19"/>
  <c r="W126" i="2"/>
  <c r="W115" i="2"/>
  <c r="V32" i="2"/>
  <c r="V39" i="2" s="1"/>
  <c r="V40" i="2" s="1"/>
  <c r="V43" i="2"/>
  <c r="V44" i="2" l="1"/>
  <c r="M14" i="5"/>
  <c r="V67" i="2"/>
  <c r="W56" i="2"/>
  <c r="AG28" i="3"/>
  <c r="AG128" i="3" s="1"/>
  <c r="W253" i="2"/>
  <c r="W259" i="2" s="1"/>
  <c r="W261" i="2" s="1"/>
  <c r="CS477" i="1"/>
  <c r="V41" i="2"/>
  <c r="V3" i="2"/>
  <c r="CR1" i="1" s="1"/>
  <c r="W116" i="2"/>
  <c r="W113" i="2"/>
  <c r="W262" i="2" l="1"/>
  <c r="W65" i="2"/>
  <c r="W66" i="2" s="1"/>
  <c r="W299" i="2"/>
  <c r="AG80" i="3" l="1"/>
  <c r="W301" i="2"/>
  <c r="W69" i="2"/>
  <c r="X10" i="19"/>
  <c r="O63" i="4"/>
  <c r="O64" i="4" s="1"/>
  <c r="AG137" i="3"/>
  <c r="W135" i="2"/>
  <c r="O68" i="4" l="1"/>
  <c r="O67" i="4"/>
  <c r="W133" i="2"/>
  <c r="AG7" i="3"/>
  <c r="AG25" i="3" s="1"/>
  <c r="X131" i="2"/>
  <c r="AG138" i="3"/>
  <c r="AG132" i="3"/>
  <c r="AG136" i="3" s="1"/>
  <c r="X16" i="19"/>
  <c r="X45" i="19"/>
  <c r="AG82" i="3"/>
  <c r="W303" i="2"/>
  <c r="X39" i="19" l="1"/>
  <c r="X38" i="19"/>
  <c r="X36" i="19"/>
  <c r="X37" i="19"/>
  <c r="X30" i="19"/>
  <c r="W304" i="2"/>
  <c r="AG84" i="3"/>
  <c r="AG31" i="3"/>
  <c r="W139" i="2"/>
  <c r="W29" i="2" s="1"/>
  <c r="X122" i="2"/>
  <c r="W32" i="2" l="1"/>
  <c r="W39" i="2" s="1"/>
  <c r="W40" i="2" s="1"/>
  <c r="W43" i="2"/>
  <c r="X41" i="19"/>
  <c r="X32" i="19"/>
  <c r="X42" i="19" s="1"/>
  <c r="X126" i="2"/>
  <c r="X115" i="2"/>
  <c r="W44" i="2" l="1"/>
  <c r="W67" i="2"/>
  <c r="N14" i="5"/>
  <c r="X116" i="2"/>
  <c r="X113" i="2"/>
  <c r="AH28" i="3"/>
  <c r="AH128" i="3" s="1"/>
  <c r="X56" i="2"/>
  <c r="CT477" i="1"/>
  <c r="X253" i="2"/>
  <c r="X259" i="2" s="1"/>
  <c r="X261" i="2" s="1"/>
  <c r="W3" i="2"/>
  <c r="CS1" i="1" s="1"/>
  <c r="W41" i="2"/>
  <c r="X299" i="2" l="1"/>
  <c r="X65" i="2"/>
  <c r="X66" i="2" s="1"/>
  <c r="X262" i="2"/>
  <c r="Y10" i="19" l="1"/>
  <c r="X135" i="2"/>
  <c r="P63" i="4"/>
  <c r="P64" i="4" s="1"/>
  <c r="AH137" i="3"/>
  <c r="X69" i="2"/>
  <c r="AH80" i="3"/>
  <c r="X301" i="2"/>
  <c r="AH82" i="3" l="1"/>
  <c r="X303" i="2"/>
  <c r="AH138" i="3"/>
  <c r="AH132" i="3"/>
  <c r="AH136" i="3" s="1"/>
  <c r="P68" i="4"/>
  <c r="P67" i="4"/>
  <c r="Y131" i="2"/>
  <c r="AH7" i="3"/>
  <c r="AH25" i="3" s="1"/>
  <c r="X133" i="2"/>
  <c r="Y45" i="19"/>
  <c r="Y16" i="19"/>
  <c r="Y39" i="19" l="1"/>
  <c r="Y37" i="19"/>
  <c r="Y38" i="19"/>
  <c r="Y36" i="19"/>
  <c r="X139" i="2"/>
  <c r="X29" i="2" s="1"/>
  <c r="Y122" i="2"/>
  <c r="AH84" i="3"/>
  <c r="Y30" i="19"/>
  <c r="X304" i="2"/>
  <c r="AH31" i="3"/>
  <c r="Y126" i="2" l="1"/>
  <c r="Y115" i="2"/>
  <c r="X32" i="2"/>
  <c r="X39" i="2" s="1"/>
  <c r="X40" i="2" s="1"/>
  <c r="X43" i="2"/>
  <c r="Y32" i="19"/>
  <c r="Y42" i="19" s="1"/>
  <c r="Y41" i="19"/>
  <c r="X67" i="2" l="1"/>
  <c r="X44" i="2"/>
  <c r="X41" i="2"/>
  <c r="X3" i="2"/>
  <c r="CT1" i="1" s="1"/>
  <c r="Y116" i="2"/>
  <c r="Y113" i="2"/>
  <c r="Y253" i="2"/>
  <c r="Y259" i="2" s="1"/>
  <c r="Y261" i="2" s="1"/>
  <c r="Y56" i="2"/>
  <c r="AI28" i="3"/>
  <c r="AI128" i="3" s="1"/>
  <c r="CU477" i="1"/>
  <c r="Y299" i="2" l="1"/>
  <c r="Y65" i="2"/>
  <c r="Y66" i="2" s="1"/>
  <c r="Y262" i="2"/>
  <c r="Q63" i="4" l="1"/>
  <c r="Q64" i="4" s="1"/>
  <c r="AI137" i="3"/>
  <c r="Y69" i="2"/>
  <c r="Y135" i="2"/>
  <c r="Z10" i="19"/>
  <c r="AI80" i="3"/>
  <c r="Y301" i="2"/>
  <c r="Y303" i="2" l="1"/>
  <c r="AI82" i="3"/>
  <c r="Z45" i="19"/>
  <c r="Z16" i="19"/>
  <c r="Y133" i="2"/>
  <c r="AI7" i="3"/>
  <c r="AI25" i="3" s="1"/>
  <c r="Z131" i="2"/>
  <c r="AI138" i="3"/>
  <c r="AI132" i="3"/>
  <c r="AI136" i="3" s="1"/>
  <c r="Q68" i="4"/>
  <c r="Q67" i="4"/>
  <c r="Z122" i="2" l="1"/>
  <c r="Y139" i="2"/>
  <c r="Y29" i="2" s="1"/>
  <c r="Z39" i="19"/>
  <c r="Z37" i="19"/>
  <c r="Z38" i="19"/>
  <c r="Z36" i="19"/>
  <c r="AI84" i="3"/>
  <c r="Y304" i="2"/>
  <c r="AI31" i="3"/>
  <c r="Z30" i="19"/>
  <c r="Z41" i="19" l="1"/>
  <c r="Z32" i="19"/>
  <c r="Z42" i="19" s="1"/>
  <c r="Y32" i="2"/>
  <c r="Y39" i="2" s="1"/>
  <c r="Y40" i="2" s="1"/>
  <c r="Y43" i="2"/>
  <c r="Z126" i="2"/>
  <c r="Z115" i="2"/>
  <c r="Z116" i="2" l="1"/>
  <c r="Z113" i="2"/>
  <c r="Y44" i="2"/>
  <c r="Y67" i="2"/>
  <c r="Y41" i="2"/>
  <c r="Y3" i="2"/>
  <c r="CU1" i="1" s="1"/>
  <c r="AJ28" i="3"/>
  <c r="AJ128" i="3" s="1"/>
  <c r="Z56" i="2"/>
  <c r="Z253" i="2"/>
  <c r="Z259" i="2" s="1"/>
  <c r="Z261" i="2" s="1"/>
  <c r="CV477" i="1"/>
  <c r="Z262" i="2" l="1"/>
  <c r="Z299" i="2"/>
  <c r="Z65" i="2"/>
  <c r="Z66" i="2" s="1"/>
  <c r="AJ137" i="3" l="1"/>
  <c r="R63" i="4"/>
  <c r="R64" i="4" s="1"/>
  <c r="Z69" i="2"/>
  <c r="Z135" i="2"/>
  <c r="AA10" i="19"/>
  <c r="AJ80" i="3"/>
  <c r="Z301" i="2"/>
  <c r="AA16" i="19" l="1"/>
  <c r="AA45" i="19"/>
  <c r="AJ82" i="3"/>
  <c r="Z303" i="2"/>
  <c r="AJ7" i="3"/>
  <c r="AJ25" i="3" s="1"/>
  <c r="Z133" i="2"/>
  <c r="AA131" i="2"/>
  <c r="R67" i="4"/>
  <c r="R68" i="4"/>
  <c r="AJ138" i="3"/>
  <c r="AJ132" i="3"/>
  <c r="AJ136" i="3" s="1"/>
  <c r="AA122" i="2" l="1"/>
  <c r="Z139" i="2"/>
  <c r="Z29" i="2" s="1"/>
  <c r="AJ31" i="3"/>
  <c r="AJ84" i="3"/>
  <c r="Z304" i="2"/>
  <c r="AA30" i="19"/>
  <c r="AA39" i="19"/>
  <c r="AA37" i="19"/>
  <c r="AA36" i="19"/>
  <c r="AA38" i="19"/>
  <c r="AA41" i="19" l="1"/>
  <c r="AA32" i="19"/>
  <c r="AA42" i="19" s="1"/>
  <c r="Z43" i="2"/>
  <c r="Z32" i="2"/>
  <c r="Z39" i="2" s="1"/>
  <c r="Z40" i="2" s="1"/>
  <c r="AA115" i="2"/>
  <c r="AA126" i="2"/>
  <c r="AA116" i="2" l="1"/>
  <c r="AA113" i="2"/>
  <c r="AA253" i="2"/>
  <c r="AA259" i="2" s="1"/>
  <c r="AA261" i="2" s="1"/>
  <c r="AA262" i="2" s="1"/>
  <c r="AA56" i="2"/>
  <c r="AK28" i="3"/>
  <c r="AK128" i="3" s="1"/>
  <c r="CW477" i="1"/>
  <c r="Z3" i="2"/>
  <c r="CV1" i="1" s="1"/>
  <c r="Z41" i="2"/>
  <c r="Z67" i="2"/>
  <c r="Z44" i="2"/>
  <c r="AA65" i="2" l="1"/>
  <c r="AA66" i="2" s="1"/>
  <c r="AA299" i="2"/>
  <c r="AA301" i="2" l="1"/>
  <c r="AK80" i="3"/>
  <c r="AA135" i="2"/>
  <c r="AA69" i="2"/>
  <c r="S63" i="4"/>
  <c r="S64" i="4" s="1"/>
  <c r="AB10" i="19"/>
  <c r="AK137" i="3"/>
  <c r="S68" i="4" l="1"/>
  <c r="S67" i="4"/>
  <c r="AK138" i="3"/>
  <c r="AK132" i="3"/>
  <c r="AK136" i="3" s="1"/>
  <c r="AB16" i="19"/>
  <c r="AB45" i="19"/>
  <c r="AA133" i="2"/>
  <c r="AA139" i="2" s="1"/>
  <c r="AA29" i="2" s="1"/>
  <c r="AK7" i="3"/>
  <c r="AK25" i="3" s="1"/>
  <c r="AK82" i="3"/>
  <c r="AA303" i="2"/>
  <c r="AA304" i="2" l="1"/>
  <c r="AB30" i="19"/>
  <c r="AK84" i="3"/>
  <c r="AK31" i="3"/>
  <c r="AA43" i="2"/>
  <c r="AA32" i="2"/>
  <c r="AA39" i="2" s="1"/>
  <c r="AA40" i="2" s="1"/>
  <c r="AB39" i="19"/>
  <c r="AB38" i="19"/>
  <c r="AB37" i="19"/>
  <c r="AB36" i="19"/>
  <c r="AA41" i="2" l="1"/>
  <c r="AA3" i="2"/>
  <c r="CW1" i="1" s="1"/>
  <c r="AA44" i="2"/>
  <c r="AA67" i="2"/>
  <c r="AB41" i="19"/>
  <c r="AB32" i="19"/>
  <c r="AB42" i="1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Casper Erskine</author>
    <author>Jake Ng</author>
    <author>ijohnston</author>
    <author>New Street Research LLP</author>
    <author>Kelvin</author>
  </authors>
  <commentList>
    <comment ref="AZ37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Casper Erskine:</t>
        </r>
        <r>
          <rPr>
            <sz val="9"/>
            <color indexed="81"/>
            <rFont val="Tahoma"/>
            <family val="2"/>
          </rPr>
          <t xml:space="preserve">
Guidance for similar levels to 2016</t>
        </r>
      </text>
    </comment>
    <comment ref="CR51" authorId="1" shapeId="0" xr:uid="{CF2089ED-B848-41F7-A36A-43E76F81A6E1}">
      <text>
        <r>
          <rPr>
            <b/>
            <sz val="9"/>
            <color indexed="81"/>
            <rFont val="Tahoma"/>
            <family val="2"/>
          </rPr>
          <t>Jake Ng:</t>
        </r>
        <r>
          <rPr>
            <sz val="9"/>
            <color indexed="81"/>
            <rFont val="Tahoma"/>
            <family val="2"/>
          </rPr>
          <t xml:space="preserve">
Malaysia’s 5G being built out by the government-owned entity (DNB) and U Mobile, we expect capex intensity to head lower</t>
        </r>
      </text>
    </comment>
    <comment ref="L62" authorId="2" shapeId="0" xr:uid="{00000000-0006-0000-0300-000002000000}">
      <text>
        <r>
          <rPr>
            <b/>
            <sz val="8"/>
            <color indexed="81"/>
            <rFont val="Tahoma"/>
            <family val="2"/>
          </rPr>
          <t>ijohnston:</t>
        </r>
        <r>
          <rPr>
            <sz val="8"/>
            <color indexed="81"/>
            <rFont val="Tahoma"/>
            <family val="2"/>
          </rPr>
          <t xml:space="preserve">
25.6 Q3</t>
        </r>
      </text>
    </comment>
    <comment ref="DG89" authorId="3" shapeId="0" xr:uid="{00000000-0006-0000-0300-000003000000}">
      <text>
        <r>
          <rPr>
            <b/>
            <sz val="8"/>
            <color indexed="81"/>
            <rFont val="Tahoma"/>
            <family val="2"/>
          </rPr>
          <t>New Street Research LLP:</t>
        </r>
        <r>
          <rPr>
            <sz val="8"/>
            <color indexed="81"/>
            <rFont val="Tahoma"/>
            <family val="2"/>
          </rPr>
          <t xml:space="preserve">
-11000 Q1</t>
        </r>
      </text>
    </comment>
    <comment ref="DG92" authorId="3" shapeId="0" xr:uid="{00000000-0006-0000-0300-000004000000}">
      <text>
        <r>
          <rPr>
            <b/>
            <sz val="8"/>
            <color indexed="81"/>
            <rFont val="Tahoma"/>
            <family val="2"/>
          </rPr>
          <t>New Street Research LLP:</t>
        </r>
        <r>
          <rPr>
            <sz val="8"/>
            <color indexed="81"/>
            <rFont val="Tahoma"/>
            <family val="2"/>
          </rPr>
          <t xml:space="preserve">
+16000 q1</t>
        </r>
      </text>
    </comment>
    <comment ref="DG95" authorId="3" shapeId="0" xr:uid="{00000000-0006-0000-0300-000005000000}">
      <text>
        <r>
          <rPr>
            <b/>
            <sz val="8"/>
            <color indexed="81"/>
            <rFont val="Tahoma"/>
            <family val="2"/>
          </rPr>
          <t>New Street Research LLP:</t>
        </r>
        <r>
          <rPr>
            <sz val="8"/>
            <color indexed="81"/>
            <rFont val="Tahoma"/>
            <family val="2"/>
          </rPr>
          <t xml:space="preserve">
1815 q1</t>
        </r>
      </text>
    </comment>
    <comment ref="Q104" authorId="2" shapeId="0" xr:uid="{00000000-0006-0000-0300-000006000000}">
      <text>
        <r>
          <rPr>
            <b/>
            <sz val="8"/>
            <color indexed="81"/>
            <rFont val="Tahoma"/>
            <family val="2"/>
          </rPr>
          <t>ijohnston:q1 966</t>
        </r>
      </text>
    </comment>
    <comment ref="Q110" authorId="2" shapeId="0" xr:uid="{00000000-0006-0000-0300-000007000000}">
      <text>
        <r>
          <rPr>
            <b/>
            <sz val="8"/>
            <color indexed="81"/>
            <rFont val="Tahoma"/>
            <family val="2"/>
          </rPr>
          <t>ijohnston:</t>
        </r>
        <r>
          <rPr>
            <sz val="8"/>
            <color indexed="81"/>
            <rFont val="Tahoma"/>
            <family val="2"/>
          </rPr>
          <t xml:space="preserve">
q1 1009</t>
        </r>
      </text>
    </comment>
    <comment ref="Q117" authorId="2" shapeId="0" xr:uid="{00000000-0006-0000-0300-000008000000}">
      <text>
        <r>
          <rPr>
            <b/>
            <sz val="8"/>
            <color indexed="81"/>
            <rFont val="Tahoma"/>
            <family val="2"/>
          </rPr>
          <t>ijohnston:</t>
        </r>
        <r>
          <rPr>
            <sz val="8"/>
            <color indexed="81"/>
            <rFont val="Tahoma"/>
            <family val="2"/>
          </rPr>
          <t xml:space="preserve">
q1 1009</t>
        </r>
      </text>
    </comment>
    <comment ref="AP177" authorId="0" shapeId="0" xr:uid="{00000000-0006-0000-0300-000009000000}">
      <text>
        <r>
          <rPr>
            <b/>
            <sz val="9"/>
            <color indexed="81"/>
            <rFont val="Tahoma"/>
            <family val="2"/>
          </rPr>
          <t>Casper Erskine:</t>
        </r>
        <r>
          <rPr>
            <sz val="9"/>
            <color indexed="81"/>
            <rFont val="Tahoma"/>
            <family val="2"/>
          </rPr>
          <t xml:space="preserve">
Estimates only</t>
        </r>
      </text>
    </comment>
    <comment ref="AU193" authorId="0" shapeId="0" xr:uid="{00000000-0006-0000-0300-00000A000000}">
      <text>
        <r>
          <rPr>
            <b/>
            <sz val="9"/>
            <color indexed="81"/>
            <rFont val="Tahoma"/>
            <family val="2"/>
          </rPr>
          <t>Casper Erskine:</t>
        </r>
        <r>
          <rPr>
            <sz val="9"/>
            <color indexed="81"/>
            <rFont val="Tahoma"/>
            <family val="2"/>
          </rPr>
          <t xml:space="preserve">
Estimate cost/GB, based on Digi -15% due to offers</t>
        </r>
      </text>
    </comment>
    <comment ref="AZ194" authorId="0" shapeId="0" xr:uid="{00000000-0006-0000-0300-00000B000000}">
      <text>
        <r>
          <rPr>
            <b/>
            <sz val="9"/>
            <color indexed="81"/>
            <rFont val="Tahoma"/>
            <family val="2"/>
          </rPr>
          <t>Casper Erskine:</t>
        </r>
        <r>
          <rPr>
            <sz val="9"/>
            <color indexed="81"/>
            <rFont val="Tahoma"/>
            <family val="2"/>
          </rPr>
          <t xml:space="preserve">
Drops same as Digi, slightly lower in first year as discount to Digi drops out</t>
        </r>
      </text>
    </comment>
    <comment ref="CD281" authorId="4" shapeId="0" xr:uid="{DF1F071E-E187-4A5C-B1AE-D81F9B9C3C80}">
      <text>
        <r>
          <rPr>
            <b/>
            <sz val="9"/>
            <color indexed="81"/>
            <rFont val="Tahoma"/>
            <family val="2"/>
          </rPr>
          <t>Kelvin:</t>
        </r>
        <r>
          <rPr>
            <sz val="9"/>
            <color indexed="81"/>
            <rFont val="Tahoma"/>
            <family val="2"/>
          </rPr>
          <t xml:space="preserve">
lower growth rate due to absence of wholesale voice</t>
        </r>
      </text>
    </comment>
    <comment ref="DH292" authorId="2" shapeId="0" xr:uid="{00000000-0006-0000-0300-00000C000000}">
      <text>
        <r>
          <rPr>
            <b/>
            <sz val="8"/>
            <color indexed="81"/>
            <rFont val="Tahoma"/>
            <family val="2"/>
          </rPr>
          <t>ijohnston:</t>
        </r>
        <r>
          <rPr>
            <sz val="8"/>
            <color indexed="81"/>
            <rFont val="Tahoma"/>
            <family val="2"/>
          </rPr>
          <t xml:space="preserve">
q1 527</t>
        </r>
      </text>
    </comment>
    <comment ref="DG298" authorId="2" shapeId="0" xr:uid="{00000000-0006-0000-0300-00000D000000}">
      <text>
        <r>
          <rPr>
            <b/>
            <sz val="8"/>
            <color indexed="81"/>
            <rFont val="Tahoma"/>
            <family val="2"/>
          </rPr>
          <t>ijohnston:</t>
        </r>
        <r>
          <rPr>
            <sz val="8"/>
            <color indexed="81"/>
            <rFont val="Tahoma"/>
            <family val="2"/>
          </rPr>
          <t xml:space="preserve">
+5% q1</t>
        </r>
      </text>
    </comment>
    <comment ref="DG303" authorId="2" shapeId="0" xr:uid="{00000000-0006-0000-0300-00000E000000}">
      <text>
        <r>
          <rPr>
            <b/>
            <sz val="8"/>
            <color indexed="81"/>
            <rFont val="Tahoma"/>
            <family val="2"/>
          </rPr>
          <t>ijohnston:</t>
        </r>
        <r>
          <rPr>
            <sz val="8"/>
            <color indexed="81"/>
            <rFont val="Tahoma"/>
            <family val="2"/>
          </rPr>
          <t xml:space="preserve">
55 Q1
51 q2
50 q3</t>
        </r>
      </text>
    </comment>
    <comment ref="AZ388" authorId="0" shapeId="0" xr:uid="{00000000-0006-0000-0300-00000F000000}">
      <text>
        <r>
          <rPr>
            <b/>
            <sz val="9"/>
            <color indexed="81"/>
            <rFont val="Tahoma"/>
            <family val="2"/>
          </rPr>
          <t xml:space="preserve">Casper Erskine: </t>
        </r>
        <r>
          <rPr>
            <sz val="9"/>
            <color indexed="81"/>
            <rFont val="Tahoma"/>
            <family val="2"/>
          </rPr>
          <t>Guidance: Similar levels to 2016</t>
        </r>
      </text>
    </comment>
    <comment ref="CQ482" authorId="1" shapeId="0" xr:uid="{92984BF0-7A33-4C9D-A710-B6DAF65DBF04}">
      <text>
        <r>
          <rPr>
            <b/>
            <sz val="9"/>
            <color indexed="81"/>
            <rFont val="Tahoma"/>
            <family val="2"/>
          </rPr>
          <t>Jake Ng:</t>
        </r>
        <r>
          <rPr>
            <sz val="9"/>
            <color indexed="81"/>
            <rFont val="Tahoma"/>
            <family val="2"/>
          </rPr>
          <t xml:space="preserve">
Malaysia corporate tax rate 24%</t>
        </r>
      </text>
    </comment>
    <comment ref="CB492" authorId="4" shapeId="0" xr:uid="{F2489D6F-2675-46E5-B39E-6E5146971AE7}">
      <text>
        <r>
          <rPr>
            <b/>
            <sz val="9"/>
            <color indexed="81"/>
            <rFont val="Tahoma"/>
            <family val="2"/>
          </rPr>
          <t>Kelvin:</t>
        </r>
        <r>
          <rPr>
            <sz val="9"/>
            <color indexed="81"/>
            <rFont val="Tahoma"/>
            <family val="2"/>
          </rPr>
          <t xml:space="preserve">
Cost optimisation initiative</t>
        </r>
      </text>
    </comment>
    <comment ref="CC492" authorId="4" shapeId="0" xr:uid="{78CB2CB3-8876-4B68-A22E-B7E52DE44024}">
      <text>
        <r>
          <rPr>
            <b/>
            <sz val="9"/>
            <color indexed="81"/>
            <rFont val="Tahoma"/>
            <family val="2"/>
          </rPr>
          <t>Kelvin:</t>
        </r>
        <r>
          <rPr>
            <sz val="9"/>
            <color indexed="81"/>
            <rFont val="Tahoma"/>
            <family val="2"/>
          </rPr>
          <t xml:space="preserve">
230M NON-CASH ACCEELRATED DEPRECIATION AND IMPAIRMENT AND 73M TAX SETTLEMENT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ijohnston</author>
    <author>Casper Erskine</author>
    <author>Kelvin</author>
    <author>New Street Research LLP</author>
  </authors>
  <commentList>
    <comment ref="D74" authorId="0" shapeId="0" xr:uid="{00000000-0006-0000-0400-000002000000}">
      <text>
        <r>
          <rPr>
            <b/>
            <sz val="8"/>
            <color indexed="81"/>
            <rFont val="Tahoma"/>
            <family val="2"/>
          </rPr>
          <t>ijohnston:</t>
        </r>
        <r>
          <rPr>
            <sz val="8"/>
            <color indexed="81"/>
            <rFont val="Tahoma"/>
            <family val="2"/>
          </rPr>
          <t xml:space="preserve">
estimate
</t>
        </r>
      </text>
    </comment>
    <comment ref="A118" authorId="1" shapeId="0" xr:uid="{00000000-0006-0000-0400-000003000000}">
      <text>
        <r>
          <rPr>
            <b/>
            <sz val="9"/>
            <color indexed="81"/>
            <rFont val="Tahoma"/>
            <family val="2"/>
          </rPr>
          <t>Casper Erskine:</t>
        </r>
        <r>
          <rPr>
            <sz val="9"/>
            <color indexed="81"/>
            <rFont val="Tahoma"/>
            <family val="2"/>
          </rPr>
          <t xml:space="preserve">
Normalised from presentation
</t>
        </r>
      </text>
    </comment>
    <comment ref="L124" authorId="1" shapeId="0" xr:uid="{00000000-0006-0000-0400-000004000000}">
      <text>
        <r>
          <rPr>
            <b/>
            <sz val="9"/>
            <color indexed="81"/>
            <rFont val="Tahoma"/>
            <family val="2"/>
          </rPr>
          <t>Casper Erskine:</t>
        </r>
        <r>
          <rPr>
            <sz val="9"/>
            <color indexed="81"/>
            <rFont val="Tahoma"/>
            <family val="2"/>
          </rPr>
          <t xml:space="preserve">
Rate hike in-line with FED expectations</t>
        </r>
      </text>
    </comment>
    <comment ref="K136" authorId="1" shapeId="0" xr:uid="{00000000-0006-0000-0400-000005000000}">
      <text>
        <r>
          <rPr>
            <b/>
            <sz val="9"/>
            <color indexed="81"/>
            <rFont val="Tahoma"/>
            <family val="2"/>
          </rPr>
          <t>Casper Erskine:</t>
        </r>
        <r>
          <rPr>
            <sz val="9"/>
            <color indexed="81"/>
            <rFont val="Tahoma"/>
            <family val="2"/>
          </rPr>
          <t xml:space="preserve">
When rolling forward, re-link to income statement as its quarterly!!!!</t>
        </r>
      </text>
    </comment>
    <comment ref="R159" authorId="2" shapeId="0" xr:uid="{91AB5CE2-35A9-414F-B294-66AFB6B101F8}">
      <text>
        <r>
          <rPr>
            <b/>
            <sz val="9"/>
            <color indexed="81"/>
            <rFont val="Tahoma"/>
            <family val="2"/>
          </rPr>
          <t>Kelvin:</t>
        </r>
        <r>
          <rPr>
            <sz val="9"/>
            <color indexed="81"/>
            <rFont val="Tahoma"/>
            <family val="2"/>
          </rPr>
          <t xml:space="preserve">
restated</t>
        </r>
      </text>
    </comment>
    <comment ref="M212" authorId="2" shapeId="0" xr:uid="{61AFA2E2-99B3-4473-86C0-26E2ED5B34F3}">
      <text>
        <r>
          <rPr>
            <b/>
            <sz val="9"/>
            <color indexed="81"/>
            <rFont val="Tahoma"/>
            <family val="2"/>
          </rPr>
          <t>Kelvin:</t>
        </r>
        <r>
          <rPr>
            <sz val="9"/>
            <color indexed="81"/>
            <rFont val="Tahoma"/>
            <family val="2"/>
          </rPr>
          <t xml:space="preserve">
share capital prior to here seems to be mistaken for shares outstanding</t>
        </r>
      </text>
    </comment>
    <comment ref="Q230" authorId="2" shapeId="0" xr:uid="{CF194617-0093-4EC6-B4E4-0A571E226969}">
      <text>
        <r>
          <rPr>
            <b/>
            <sz val="9"/>
            <color indexed="81"/>
            <rFont val="Tahoma"/>
            <family val="2"/>
          </rPr>
          <t>Kelvin:</t>
        </r>
        <r>
          <rPr>
            <sz val="9"/>
            <color indexed="81"/>
            <rFont val="Tahoma"/>
            <family val="2"/>
          </rPr>
          <t xml:space="preserve">
Reserves and NCI</t>
        </r>
      </text>
    </comment>
    <comment ref="B255" authorId="3" shapeId="0" xr:uid="{00000000-0006-0000-0400-000006000000}">
      <text>
        <r>
          <rPr>
            <b/>
            <sz val="8"/>
            <color indexed="81"/>
            <rFont val="Tahoma"/>
            <family val="2"/>
          </rPr>
          <t>New Street Research LLP:</t>
        </r>
        <r>
          <rPr>
            <sz val="8"/>
            <color indexed="81"/>
            <rFont val="Tahoma"/>
            <family val="2"/>
          </rPr>
          <t xml:space="preserve">
capital distribution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Kelvin</author>
  </authors>
  <commentList>
    <comment ref="BG31" authorId="0" shapeId="0" xr:uid="{5645E8FA-49EF-46C7-B3DA-5A93650863C0}">
      <text>
        <r>
          <rPr>
            <b/>
            <sz val="9"/>
            <color indexed="81"/>
            <rFont val="Tahoma"/>
            <family val="2"/>
          </rPr>
          <t>Kelvin:</t>
        </r>
        <r>
          <rPr>
            <sz val="9"/>
            <color indexed="81"/>
            <rFont val="Tahoma"/>
            <family val="2"/>
          </rPr>
          <t xml:space="preserve">
restated</t>
        </r>
      </text>
    </comment>
    <comment ref="BG32" authorId="0" shapeId="0" xr:uid="{33C1F1D1-F8B8-4806-87C1-7504948D370F}">
      <text>
        <r>
          <rPr>
            <b/>
            <sz val="9"/>
            <color indexed="81"/>
            <rFont val="Tahoma"/>
            <family val="2"/>
          </rPr>
          <t>Kelvin:</t>
        </r>
        <r>
          <rPr>
            <sz val="9"/>
            <color indexed="81"/>
            <rFont val="Tahoma"/>
            <family val="2"/>
          </rPr>
          <t xml:space="preserve">
restated</t>
        </r>
      </text>
    </comment>
    <comment ref="BG33" authorId="0" shapeId="0" xr:uid="{74581A52-9449-4541-9FDC-9B93B74A4CDC}">
      <text>
        <r>
          <rPr>
            <b/>
            <sz val="9"/>
            <color indexed="81"/>
            <rFont val="Tahoma"/>
            <family val="2"/>
          </rPr>
          <t>Kelvin:</t>
        </r>
        <r>
          <rPr>
            <sz val="9"/>
            <color indexed="81"/>
            <rFont val="Tahoma"/>
            <family val="2"/>
          </rPr>
          <t xml:space="preserve">
restated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<sst xmlns="http://schemas.openxmlformats.org/spreadsheetml/2006/main" count="1617" uniqueCount="922">
  <si>
    <t>% change</t>
  </si>
  <si>
    <t>Consensus</t>
  </si>
  <si>
    <t>EBITDA</t>
  </si>
  <si>
    <t>EBITDA margin</t>
  </si>
  <si>
    <t>Revenues</t>
  </si>
  <si>
    <t>Total</t>
  </si>
  <si>
    <t>Mobile Market share</t>
  </si>
  <si>
    <t>Mobile Subscribers, 000s</t>
  </si>
  <si>
    <t>% growth</t>
  </si>
  <si>
    <t>Share of Net additions</t>
  </si>
  <si>
    <t>Penetration</t>
  </si>
  <si>
    <t>Mobile net additions, 000s</t>
  </si>
  <si>
    <t>Split pre-pay/post-pay</t>
  </si>
  <si>
    <t>Postpay</t>
  </si>
  <si>
    <t xml:space="preserve">Prepay </t>
  </si>
  <si>
    <t>Postpay %</t>
  </si>
  <si>
    <t>Prepay %</t>
  </si>
  <si>
    <t>Postpay Subscribers, 000s</t>
  </si>
  <si>
    <t>Subscribers - Jan 1st</t>
  </si>
  <si>
    <t>Net adds</t>
  </si>
  <si>
    <t>Subscribers - Dec 31st</t>
  </si>
  <si>
    <t>Average subscribers</t>
  </si>
  <si>
    <t>2010E</t>
  </si>
  <si>
    <t>2011E</t>
  </si>
  <si>
    <t>2012E</t>
  </si>
  <si>
    <t>2013E</t>
  </si>
  <si>
    <t>2014E</t>
  </si>
  <si>
    <t>2015E</t>
  </si>
  <si>
    <t>Prepay Subscribers, mn</t>
  </si>
  <si>
    <t>MOU</t>
  </si>
  <si>
    <t>YOY Change</t>
  </si>
  <si>
    <t>Total Minutes (million, estimate)</t>
  </si>
  <si>
    <t>Mobile Churn</t>
  </si>
  <si>
    <t>Churn</t>
  </si>
  <si>
    <t>Disconnections (000s)</t>
  </si>
  <si>
    <t>Net Additions</t>
  </si>
  <si>
    <t>Gross Additions (000s)</t>
  </si>
  <si>
    <t>Prepay Revenues</t>
  </si>
  <si>
    <t>Total Revenues</t>
  </si>
  <si>
    <t>Change</t>
  </si>
  <si>
    <t>ARPU per sub/month/S$</t>
  </si>
  <si>
    <t>Postpay Revenues</t>
  </si>
  <si>
    <t>2006A</t>
  </si>
  <si>
    <t>2007A</t>
  </si>
  <si>
    <t>2008A</t>
  </si>
  <si>
    <t>Prepay as % of service revs</t>
  </si>
  <si>
    <t>Postpay as % of service revs</t>
  </si>
  <si>
    <t>ARPU</t>
  </si>
  <si>
    <t>Service Revenues</t>
  </si>
  <si>
    <t>Equipment revenues/costs</t>
  </si>
  <si>
    <t>Equipment revenues</t>
  </si>
  <si>
    <t>StarHub Pay TV subs</t>
  </si>
  <si>
    <t>Population</t>
  </si>
  <si>
    <t>No of lines (000s)</t>
  </si>
  <si>
    <t>Market share</t>
  </si>
  <si>
    <t>ARPU/sub/month</t>
  </si>
  <si>
    <t>Total Pay-TV Revs</t>
  </si>
  <si>
    <t>Broadband Revenues</t>
  </si>
  <si>
    <t>As % of BB lines</t>
  </si>
  <si>
    <t>pp change</t>
  </si>
  <si>
    <t>Growth</t>
  </si>
  <si>
    <t>Cost breakdown</t>
  </si>
  <si>
    <t>Cost of services</t>
  </si>
  <si>
    <t>As % of sales</t>
  </si>
  <si>
    <t>Growth %</t>
  </si>
  <si>
    <t>Labour Cost</t>
  </si>
  <si>
    <t>Marketing and promotion</t>
  </si>
  <si>
    <t>Traffic Expenses</t>
  </si>
  <si>
    <t>Equipment Costs</t>
  </si>
  <si>
    <t>per gross add</t>
  </si>
  <si>
    <t>% of equipment sales</t>
  </si>
  <si>
    <t>Bad Debt</t>
  </si>
  <si>
    <t>Other Costs</t>
  </si>
  <si>
    <t xml:space="preserve">Total Operating costs </t>
  </si>
  <si>
    <t>EBITDA margin % on serv revs</t>
  </si>
  <si>
    <t>EBIT</t>
  </si>
  <si>
    <t>EBIT margin %</t>
  </si>
  <si>
    <t>Data as % of serv revs</t>
  </si>
  <si>
    <t>Data</t>
  </si>
  <si>
    <t>Prepay service revenues</t>
  </si>
  <si>
    <t>Postpay service revenues</t>
  </si>
  <si>
    <t>Operating Revenues</t>
  </si>
  <si>
    <t>EBITDA Growth</t>
  </si>
  <si>
    <t>EBITDA margin % on service revs</t>
  </si>
  <si>
    <t>Depreciation</t>
  </si>
  <si>
    <t>Amortisation</t>
  </si>
  <si>
    <t>EBIT margin % on service revs</t>
  </si>
  <si>
    <t>Depreciation/Capex</t>
  </si>
  <si>
    <t>Interest expense (income)/other</t>
  </si>
  <si>
    <t>Tax</t>
  </si>
  <si>
    <t>Tax Rate</t>
  </si>
  <si>
    <t>Net Income</t>
  </si>
  <si>
    <t>Reported EPS</t>
  </si>
  <si>
    <t>Reported DPS</t>
  </si>
  <si>
    <t>OpCo Capex</t>
  </si>
  <si>
    <t>Est UnderlyingCapex</t>
  </si>
  <si>
    <t>Total Capex</t>
  </si>
  <si>
    <t>Capex as a % of sales</t>
  </si>
  <si>
    <t>Finance expenses</t>
  </si>
  <si>
    <t>Pretax</t>
  </si>
  <si>
    <t>Taxation</t>
  </si>
  <si>
    <t>Net income</t>
  </si>
  <si>
    <t>Cash and cash equivalents</t>
  </si>
  <si>
    <t>Inventory</t>
  </si>
  <si>
    <t xml:space="preserve">Receivables </t>
  </si>
  <si>
    <t>Short term investments</t>
  </si>
  <si>
    <t>Pre-payments and other receivables</t>
  </si>
  <si>
    <t>Other current assets</t>
  </si>
  <si>
    <t>Current assets</t>
  </si>
  <si>
    <t>Net PP&amp;E</t>
  </si>
  <si>
    <t>Goodwill</t>
  </si>
  <si>
    <t>Intangibles</t>
  </si>
  <si>
    <t>Non-current assets</t>
  </si>
  <si>
    <t>Total assets</t>
  </si>
  <si>
    <t>Trade payables</t>
  </si>
  <si>
    <t>Other payables</t>
  </si>
  <si>
    <t>Related Party balances</t>
  </si>
  <si>
    <t>Short-term bank loans</t>
  </si>
  <si>
    <t>Provisions</t>
  </si>
  <si>
    <t>Current liabilites</t>
  </si>
  <si>
    <t>Long-term debt</t>
  </si>
  <si>
    <t>Deferred income</t>
  </si>
  <si>
    <t>Total Liabilities</t>
  </si>
  <si>
    <t>Minority Interests</t>
  </si>
  <si>
    <t>Share capital and premium</t>
  </si>
  <si>
    <t>Other Reserves</t>
  </si>
  <si>
    <t>Retained Earnings</t>
  </si>
  <si>
    <t>Total Equity</t>
  </si>
  <si>
    <t>Total liabilities and book equity</t>
  </si>
  <si>
    <t>Check</t>
  </si>
  <si>
    <t>Net debt/(cash)</t>
  </si>
  <si>
    <t>Change in net debt</t>
  </si>
  <si>
    <t>Cash flow statement</t>
  </si>
  <si>
    <t>OpFCF</t>
  </si>
  <si>
    <t>Less: Interest payments</t>
  </si>
  <si>
    <t>Less: Tax</t>
  </si>
  <si>
    <t>Less: Working capital movements</t>
  </si>
  <si>
    <t>Less: Restructuring payments</t>
  </si>
  <si>
    <t>Less: Minority dividends paid</t>
  </si>
  <si>
    <t>Less: Dividends paid</t>
  </si>
  <si>
    <t>Less: Share buyback/ special dividend</t>
  </si>
  <si>
    <t>Plus: M&amp;A/ other</t>
  </si>
  <si>
    <t>Net debt</t>
  </si>
  <si>
    <t>Difference</t>
  </si>
  <si>
    <t>Net Debt/EBITDA</t>
  </si>
  <si>
    <t>ROCE</t>
  </si>
  <si>
    <t>Capital Employed</t>
  </si>
  <si>
    <t>EBIAT</t>
  </si>
  <si>
    <t>Acquisitions</t>
  </si>
  <si>
    <t>Capex/ depreciation</t>
  </si>
  <si>
    <t>Capex/sales</t>
  </si>
  <si>
    <t>Interest/ debt</t>
  </si>
  <si>
    <t>Interest payments</t>
  </si>
  <si>
    <t>Exceptional interest charges</t>
  </si>
  <si>
    <t>Clean interest payments</t>
  </si>
  <si>
    <t>Investment Income</t>
  </si>
  <si>
    <t>Average interest rate on cash</t>
  </si>
  <si>
    <t>Interest expense</t>
  </si>
  <si>
    <t>Average interest rate on debt</t>
  </si>
  <si>
    <t>Currency/Exchange Losses</t>
  </si>
  <si>
    <t>Average interest rate</t>
  </si>
  <si>
    <t>Average debt/ (cash)</t>
  </si>
  <si>
    <t>Gross debt</t>
  </si>
  <si>
    <t>Net cash (incl. derivatives)</t>
  </si>
  <si>
    <t>Net debt (cash)</t>
  </si>
  <si>
    <t>Cash as % of sales</t>
  </si>
  <si>
    <t xml:space="preserve"> - of which short-term debt</t>
  </si>
  <si>
    <t xml:space="preserve"> - of which long-term debt</t>
  </si>
  <si>
    <t>Share of Results of associates</t>
  </si>
  <si>
    <t>Associate (Income Statement)</t>
  </si>
  <si>
    <t>Investment in Associates (Balance Sheet)</t>
  </si>
  <si>
    <t>Working capital analysis</t>
  </si>
  <si>
    <t>% of sales</t>
  </si>
  <si>
    <t>Change in inventory</t>
  </si>
  <si>
    <t>Receivables</t>
  </si>
  <si>
    <t>Change in receivables</t>
  </si>
  <si>
    <t>Trade and other payables</t>
  </si>
  <si>
    <t>Change in payables</t>
  </si>
  <si>
    <t>Change in Provisions</t>
  </si>
  <si>
    <t>Related party balances</t>
  </si>
  <si>
    <t>Change in current tax liabilities</t>
  </si>
  <si>
    <t>Change in working capital</t>
  </si>
  <si>
    <t>Prepayments</t>
  </si>
  <si>
    <t>Short term Investments</t>
  </si>
  <si>
    <t xml:space="preserve">Deferred Tax Liabilities </t>
  </si>
  <si>
    <t>Provision</t>
  </si>
  <si>
    <t>Other Long-term liabilities</t>
  </si>
  <si>
    <t>% sales</t>
  </si>
  <si>
    <t>Group Profit Before Tax</t>
  </si>
  <si>
    <t>Group Taxation Charge</t>
  </si>
  <si>
    <t>Effective Tax rate</t>
  </si>
  <si>
    <t>Minority interests</t>
  </si>
  <si>
    <t>Ordinary shares and share premium</t>
  </si>
  <si>
    <t>Share capital</t>
  </si>
  <si>
    <t>Average shares</t>
  </si>
  <si>
    <t>Hedging Reserves</t>
  </si>
  <si>
    <t>Other reserves</t>
  </si>
  <si>
    <t>Dividends</t>
  </si>
  <si>
    <t>Other</t>
  </si>
  <si>
    <t>Exceptional cash-flow items</t>
  </si>
  <si>
    <t>Other financial assets</t>
  </si>
  <si>
    <t>Other: Disposals of assets etc..</t>
  </si>
  <si>
    <t>Issue of shares</t>
  </si>
  <si>
    <t>Exceptional cash flow items</t>
  </si>
  <si>
    <t>Cash Flow</t>
  </si>
  <si>
    <t>Less: interest</t>
  </si>
  <si>
    <t>Less: tax</t>
  </si>
  <si>
    <t>Less: Other</t>
  </si>
  <si>
    <t>Less dividend</t>
  </si>
  <si>
    <t>Capital increase</t>
  </si>
  <si>
    <t>Less: change in WC</t>
  </si>
  <si>
    <t>(Net debt)/Cash</t>
  </si>
  <si>
    <t xml:space="preserve">Clean Earnings </t>
  </si>
  <si>
    <t>less Depreciation</t>
  </si>
  <si>
    <t>less interest</t>
  </si>
  <si>
    <t>Add associates</t>
  </si>
  <si>
    <t>less clean tax</t>
  </si>
  <si>
    <t>Clean net income estimate</t>
  </si>
  <si>
    <t>Op FCF</t>
  </si>
  <si>
    <t>ROIC</t>
  </si>
  <si>
    <t>Clean earnings</t>
  </si>
  <si>
    <t>Add: depreciation</t>
  </si>
  <si>
    <t>Add: amortisation</t>
  </si>
  <si>
    <t>Less: capex</t>
  </si>
  <si>
    <t>Add: P&amp;L minority interest</t>
  </si>
  <si>
    <t>Clean EFCF</t>
  </si>
  <si>
    <t>Clean EFCF/ share</t>
  </si>
  <si>
    <t>Subscribers (000s)</t>
  </si>
  <si>
    <t>Share of net adds</t>
  </si>
  <si>
    <t>Market subscribers</t>
  </si>
  <si>
    <t>Penetration added</t>
  </si>
  <si>
    <t>Population (000s)</t>
  </si>
  <si>
    <t>Average subs</t>
  </si>
  <si>
    <t>ARPU (S$)</t>
  </si>
  <si>
    <t>Other revenues / Adjustments</t>
  </si>
  <si>
    <t>% Change</t>
  </si>
  <si>
    <t>EBITDA margin on service revs</t>
  </si>
  <si>
    <t>Reported EBITDA growth</t>
  </si>
  <si>
    <t>Opex</t>
  </si>
  <si>
    <t>Opex/sub</t>
  </si>
  <si>
    <t>Capex</t>
  </si>
  <si>
    <t>Capex/sub</t>
  </si>
  <si>
    <t>FCF</t>
  </si>
  <si>
    <t>WACC</t>
  </si>
  <si>
    <t>EV</t>
  </si>
  <si>
    <t>Maxis</t>
  </si>
  <si>
    <t>Celcom</t>
  </si>
  <si>
    <t>Digi</t>
  </si>
  <si>
    <t xml:space="preserve">Average MoU </t>
  </si>
  <si>
    <t>Revenue Breakdown</t>
  </si>
  <si>
    <t>Voice revenues</t>
  </si>
  <si>
    <t>Messaging</t>
  </si>
  <si>
    <t>VAS</t>
  </si>
  <si>
    <t>Operating and Maintenance</t>
  </si>
  <si>
    <t>USP &amp; Licence</t>
  </si>
  <si>
    <t>Service revenue</t>
  </si>
  <si>
    <t>Malaysia Revenues</t>
  </si>
  <si>
    <t>Malaysia</t>
  </si>
  <si>
    <t>Margin</t>
  </si>
  <si>
    <t>Total ARPU/min (MYR)</t>
  </si>
  <si>
    <t>Voice ARPU/min (MYR)</t>
  </si>
  <si>
    <t>ARPU by stream</t>
  </si>
  <si>
    <t xml:space="preserve">Voice </t>
  </si>
  <si>
    <t>Internet</t>
  </si>
  <si>
    <t>Months</t>
  </si>
  <si>
    <t>Equipment Revenues per gross add (MYR)</t>
  </si>
  <si>
    <t xml:space="preserve">ARPU growth </t>
  </si>
  <si>
    <t>Mobile Internet</t>
  </si>
  <si>
    <t>Data Traffic (TB)</t>
  </si>
  <si>
    <t>Price/GB</t>
  </si>
  <si>
    <t xml:space="preserve">YoY </t>
  </si>
  <si>
    <t>QoQ</t>
  </si>
  <si>
    <t>Mobile Internet Subscribers</t>
  </si>
  <si>
    <t>Smartphones</t>
  </si>
  <si>
    <t>% of base</t>
  </si>
  <si>
    <t>EBITDA margins</t>
  </si>
  <si>
    <t>Pay-out ratio</t>
  </si>
  <si>
    <t>Capex (MYR, mn)</t>
  </si>
  <si>
    <t>Less: SPECTRUM</t>
  </si>
  <si>
    <t>Valuation</t>
  </si>
  <si>
    <t>Number of shares, ords</t>
  </si>
  <si>
    <t>Average number of shares, ords</t>
  </si>
  <si>
    <t>Number of shares, Savs</t>
  </si>
  <si>
    <t>Average number of shares, Savs</t>
  </si>
  <si>
    <t>Consolidated Net debt</t>
  </si>
  <si>
    <t>Other financial liabilities</t>
  </si>
  <si>
    <t>Associates (for EV calc)</t>
  </si>
  <si>
    <t>Minorities (for EV calc)</t>
  </si>
  <si>
    <t>Cumulative dividends</t>
  </si>
  <si>
    <t>Tax credit</t>
  </si>
  <si>
    <t>DPS</t>
  </si>
  <si>
    <t>Clean EPS</t>
  </si>
  <si>
    <t>Group forecasts</t>
  </si>
  <si>
    <t>Consolidated Revenues</t>
  </si>
  <si>
    <t>Consolidated EBITDA</t>
  </si>
  <si>
    <t>Consolidated Depreciation</t>
  </si>
  <si>
    <t>Consolidated Amortisation</t>
  </si>
  <si>
    <t>Consolidated Capex</t>
  </si>
  <si>
    <t>Consolidated OpFCF</t>
  </si>
  <si>
    <t>Consolidated FCF (OpFCF * (1-tax rate))</t>
  </si>
  <si>
    <t>Minority interests (b/s)</t>
  </si>
  <si>
    <t>Book equity</t>
  </si>
  <si>
    <t>Net interest</t>
  </si>
  <si>
    <t>Reported earnings</t>
  </si>
  <si>
    <t>Equity free cash flow</t>
  </si>
  <si>
    <t>Employees</t>
  </si>
  <si>
    <t>Net fixed assets</t>
  </si>
  <si>
    <t>Group Consolidated SACs</t>
  </si>
  <si>
    <t>Group consolidated SRCs</t>
  </si>
  <si>
    <t>Group Prop. SACs</t>
  </si>
  <si>
    <t>Group Prop. SRCs</t>
  </si>
  <si>
    <t>Prop. Revenues</t>
  </si>
  <si>
    <t>Prop. EBITDA</t>
  </si>
  <si>
    <t>Prop. Depreciation</t>
  </si>
  <si>
    <t>Prop. Amortisation</t>
  </si>
  <si>
    <t>Prop. Capex</t>
  </si>
  <si>
    <t>Prop. OpFCF</t>
  </si>
  <si>
    <t>Prop. FCF (OpFCF * (1-tax rate))</t>
  </si>
  <si>
    <t>Prop. Net debt</t>
  </si>
  <si>
    <t>Consolidated service revenue</t>
  </si>
  <si>
    <t>Prop. Service revenue</t>
  </si>
  <si>
    <t>Prop. Subscribers</t>
  </si>
  <si>
    <t>Prop. Pre-pay subs</t>
  </si>
  <si>
    <t>Prop. Contract subs</t>
  </si>
  <si>
    <t>Consolidated subscribers</t>
  </si>
  <si>
    <t>Consolidated Contract subs</t>
  </si>
  <si>
    <t>Consolidated pre-pay subs</t>
  </si>
  <si>
    <t>Prop. Pops</t>
  </si>
  <si>
    <t>Consolidated Pops</t>
  </si>
  <si>
    <t>Domestic Pops</t>
  </si>
  <si>
    <t>Domestic prepay subs</t>
  </si>
  <si>
    <t>Domestic contract subs</t>
  </si>
  <si>
    <t>Domestic mkt share</t>
  </si>
  <si>
    <t>Domestic voice ARPU</t>
  </si>
  <si>
    <t>Domestic data ARPU</t>
  </si>
  <si>
    <t>Domestic MOU</t>
  </si>
  <si>
    <t>Domestic revenue</t>
  </si>
  <si>
    <t>Domestic service revenue</t>
  </si>
  <si>
    <t>Domestic EBITDA</t>
  </si>
  <si>
    <t>Domestic capex</t>
  </si>
  <si>
    <t>Domestic FCF</t>
  </si>
  <si>
    <t>Cumulative Gp consolidated capex</t>
  </si>
  <si>
    <t>Cumulative Gp prop. capex</t>
  </si>
  <si>
    <t>Debt analysis</t>
  </si>
  <si>
    <t>Public debt EOY balance</t>
  </si>
  <si>
    <t>Public debt repayment</t>
  </si>
  <si>
    <t>Interest on public debt</t>
  </si>
  <si>
    <t>Average interest rate on public debt</t>
  </si>
  <si>
    <t>Maturing non-public debt EOY balance</t>
  </si>
  <si>
    <t>Maturing non-public debt repayment</t>
  </si>
  <si>
    <t>Interest rate on maturing non-public debt</t>
  </si>
  <si>
    <t>Bank interest on maturing non-public debt</t>
  </si>
  <si>
    <t>Other debt EOY balance</t>
  </si>
  <si>
    <t>Interest rate on other debt</t>
  </si>
  <si>
    <t>Interest on other debt</t>
  </si>
  <si>
    <t>Gross cash &amp; STI</t>
  </si>
  <si>
    <t>Interest rate on cash</t>
  </si>
  <si>
    <t>Interest income</t>
  </si>
  <si>
    <t>FFO (see note)</t>
  </si>
  <si>
    <t>Cap ex</t>
  </si>
  <si>
    <t>Debt amortisation</t>
  </si>
  <si>
    <t>Gross interest expense</t>
  </si>
  <si>
    <t>Net interest expense</t>
  </si>
  <si>
    <t>Operating leases</t>
  </si>
  <si>
    <t>Ongoing interest on pension deficit</t>
  </si>
  <si>
    <t>Additional pension contributions to civil servants</t>
  </si>
  <si>
    <t>Adjusted EBITDA</t>
  </si>
  <si>
    <t>Operating leases x 7</t>
  </si>
  <si>
    <t>Unfunded pension liabilities to civil servants</t>
  </si>
  <si>
    <t>Unfunded pension liabilities</t>
  </si>
  <si>
    <t>Debt in joint ventures</t>
  </si>
  <si>
    <t>Guarantees</t>
  </si>
  <si>
    <t>Adjusted gross debt</t>
  </si>
  <si>
    <t>Adjusted Net debt</t>
  </si>
  <si>
    <t>Maturing debt</t>
  </si>
  <si>
    <t>Cash flow</t>
  </si>
  <si>
    <t>Less: Tax paid</t>
  </si>
  <si>
    <t>Less: Change in WC</t>
  </si>
  <si>
    <t>Less: Disposals/acquis.</t>
  </si>
  <si>
    <t>EFCF adjustments</t>
  </si>
  <si>
    <t>Adj 1</t>
  </si>
  <si>
    <t>Adj 2</t>
  </si>
  <si>
    <t>Adj 3</t>
  </si>
  <si>
    <t>Adj 4</t>
  </si>
  <si>
    <t>Adj 5</t>
  </si>
  <si>
    <t>Adj 6</t>
  </si>
  <si>
    <t>Divisional</t>
  </si>
  <si>
    <t>Sum of the parts</t>
  </si>
  <si>
    <t>Mobile businesses</t>
  </si>
  <si>
    <t>Operator subs</t>
  </si>
  <si>
    <t>Mkt Share</t>
  </si>
  <si>
    <t>Total revenue</t>
  </si>
  <si>
    <t>MOU (incoming and outgoing)</t>
  </si>
  <si>
    <t>Outgoing MOU</t>
  </si>
  <si>
    <t>Outgoing ARPU</t>
  </si>
  <si>
    <t>Data ARPU</t>
  </si>
  <si>
    <t>Share Capital</t>
  </si>
  <si>
    <t>Share Price</t>
  </si>
  <si>
    <t>DCF</t>
  </si>
  <si>
    <t>Adjusted tax</t>
  </si>
  <si>
    <t>Free cash flow</t>
  </si>
  <si>
    <t>Year</t>
  </si>
  <si>
    <t>Discount factor</t>
  </si>
  <si>
    <t>Terminal value</t>
  </si>
  <si>
    <t>Future licence payments</t>
  </si>
  <si>
    <t>EV (MYR m)</t>
  </si>
  <si>
    <t>EV (US$ m)</t>
  </si>
  <si>
    <t>Market cap (MYR m)</t>
  </si>
  <si>
    <t>Current price</t>
  </si>
  <si>
    <t>Upside/downside</t>
  </si>
  <si>
    <t>Implied EV/EBITDA</t>
  </si>
  <si>
    <t>Implied FCF Yield</t>
  </si>
  <si>
    <t>Rf</t>
  </si>
  <si>
    <t>Tax rate</t>
  </si>
  <si>
    <t>Equity premium</t>
  </si>
  <si>
    <t>Debt Premium</t>
  </si>
  <si>
    <t>Cost of Equity</t>
  </si>
  <si>
    <t>Cost of Debt</t>
  </si>
  <si>
    <t>Terminal growth</t>
  </si>
  <si>
    <t>Cumulative Divs</t>
  </si>
  <si>
    <t>MYR m</t>
  </si>
  <si>
    <t>Serv revs</t>
  </si>
  <si>
    <t>Reported EBITDA</t>
  </si>
  <si>
    <t>Licence fees</t>
  </si>
  <si>
    <t>Net profit</t>
  </si>
  <si>
    <t>Earnings</t>
  </si>
  <si>
    <t>Forecasts</t>
  </si>
  <si>
    <t>Actual</t>
  </si>
  <si>
    <t>VOICE</t>
  </si>
  <si>
    <t>Q1 13</t>
  </si>
  <si>
    <t>Q2 13</t>
  </si>
  <si>
    <t>Q3 13</t>
  </si>
  <si>
    <t>Q4 13</t>
  </si>
  <si>
    <t>Q1 14</t>
  </si>
  <si>
    <t>Q2 14</t>
  </si>
  <si>
    <t>Q3 14</t>
  </si>
  <si>
    <t>Q4 14</t>
  </si>
  <si>
    <t>Q1 15</t>
  </si>
  <si>
    <t>Q2 15</t>
  </si>
  <si>
    <t>Q3 15</t>
  </si>
  <si>
    <t>Q4 15</t>
  </si>
  <si>
    <t>Q1 16</t>
  </si>
  <si>
    <t>Q2 16</t>
  </si>
  <si>
    <t>Pricing</t>
  </si>
  <si>
    <t>MoU</t>
  </si>
  <si>
    <t>Subscribers</t>
  </si>
  <si>
    <t>Dividend</t>
  </si>
  <si>
    <t>Voice</t>
  </si>
  <si>
    <t>Service revenues</t>
  </si>
  <si>
    <t>DATA</t>
  </si>
  <si>
    <t>Q3 16</t>
  </si>
  <si>
    <t>Est. Traffic</t>
  </si>
  <si>
    <t>Est. Pricing</t>
  </si>
  <si>
    <t xml:space="preserve">Traffic </t>
  </si>
  <si>
    <t xml:space="preserve">Pricing </t>
  </si>
  <si>
    <t>Internet subs</t>
  </si>
  <si>
    <t>Q4 16</t>
  </si>
  <si>
    <t xml:space="preserve">Data </t>
  </si>
  <si>
    <t>SMS</t>
  </si>
  <si>
    <t>Equipment</t>
  </si>
  <si>
    <t>Margins</t>
  </si>
  <si>
    <t>Service rev margins</t>
  </si>
  <si>
    <t>Handset margins</t>
  </si>
  <si>
    <t>Handest revenues</t>
  </si>
  <si>
    <t>Handset EBITDA</t>
  </si>
  <si>
    <t>Service revs</t>
  </si>
  <si>
    <t xml:space="preserve">Mobile internet growth </t>
  </si>
  <si>
    <t>revenue</t>
  </si>
  <si>
    <t>Population (millions)</t>
  </si>
  <si>
    <t>General</t>
  </si>
  <si>
    <t>Total Revenue</t>
  </si>
  <si>
    <t>Service Revenue</t>
  </si>
  <si>
    <t>Capex/Depreciation</t>
  </si>
  <si>
    <t>Cellular</t>
  </si>
  <si>
    <t>Service Revenue ex-IC</t>
  </si>
  <si>
    <t>MoU (Outgoing)</t>
  </si>
  <si>
    <t>Total minutes</t>
  </si>
  <si>
    <t xml:space="preserve">Data subscribers </t>
  </si>
  <si>
    <t>Smartphone penetration</t>
  </si>
  <si>
    <t>Data as % of Sales</t>
  </si>
  <si>
    <t>Mobile internet as % of sales</t>
  </si>
  <si>
    <t>Implied voice revs</t>
  </si>
  <si>
    <t>Implied data revs</t>
  </si>
  <si>
    <t>Implied MI revs</t>
  </si>
  <si>
    <t>Voice ARPU</t>
  </si>
  <si>
    <t>Mobile internet ARPU</t>
  </si>
  <si>
    <t>Voice yield</t>
  </si>
  <si>
    <t xml:space="preserve">Data yield </t>
  </si>
  <si>
    <t>Mobile internet yield</t>
  </si>
  <si>
    <t>2G BTS</t>
  </si>
  <si>
    <t>3G BTS</t>
  </si>
  <si>
    <t>4G BTS</t>
  </si>
  <si>
    <t>BTS</t>
  </si>
  <si>
    <t>Towers owned</t>
  </si>
  <si>
    <t>Broadband and Cable</t>
  </si>
  <si>
    <t>Homes Passed</t>
  </si>
  <si>
    <t>Broadband Subscribers</t>
  </si>
  <si>
    <t>Broadband ARPU</t>
  </si>
  <si>
    <t>Fibre Subscribers</t>
  </si>
  <si>
    <t>Voice subs</t>
  </si>
  <si>
    <t>IPTV subs</t>
  </si>
  <si>
    <t>VoIP Subs</t>
  </si>
  <si>
    <t>Cable Subs</t>
  </si>
  <si>
    <t>Data revenues</t>
  </si>
  <si>
    <t>IPTV Revs</t>
  </si>
  <si>
    <t>Capex/depn</t>
  </si>
  <si>
    <t>MYR/USD</t>
  </si>
  <si>
    <t>Equipment revenues (Est)</t>
  </si>
  <si>
    <t>Fixed line Revenues</t>
  </si>
  <si>
    <t>TM subs</t>
  </si>
  <si>
    <t>TM market share</t>
  </si>
  <si>
    <t>Estimated market subs</t>
  </si>
  <si>
    <t>Maxis All Broadband subs</t>
  </si>
  <si>
    <t>Mobile Service revenues</t>
  </si>
  <si>
    <t>Total Mobile Revenues</t>
  </si>
  <si>
    <t>Integrated Revenues</t>
  </si>
  <si>
    <t>Exceptionals</t>
  </si>
  <si>
    <t>Adjustments</t>
  </si>
  <si>
    <t>Deferred Expenses</t>
  </si>
  <si>
    <t>Deferred expenses</t>
  </si>
  <si>
    <t>Minority interests (BS)</t>
  </si>
  <si>
    <t>Minority Interest (IS)</t>
  </si>
  <si>
    <t>Other Long-term creditors</t>
  </si>
  <si>
    <t>Other Long term creditors</t>
  </si>
  <si>
    <t>Underlying EPS</t>
  </si>
  <si>
    <t>Underlying Capex as a % of sales</t>
  </si>
  <si>
    <t>NOTE! When rolling forward working capital, update formulas to link up correctly with quarterly income statement</t>
  </si>
  <si>
    <t>2G</t>
  </si>
  <si>
    <t>3G</t>
  </si>
  <si>
    <t>4G</t>
  </si>
  <si>
    <t>Usage/ MI Subscriber (Prepaid) (GB)</t>
  </si>
  <si>
    <t>Usage/ MI Subscriber (Postpaid) (GB)</t>
  </si>
  <si>
    <t>Weight (pre/postpaid)</t>
  </si>
  <si>
    <t xml:space="preserve">Data usage </t>
  </si>
  <si>
    <t>Prepaid</t>
  </si>
  <si>
    <t>Direct costs</t>
  </si>
  <si>
    <t>Marketing</t>
  </si>
  <si>
    <t>Staff costs</t>
  </si>
  <si>
    <t>General and admin</t>
  </si>
  <si>
    <t>Bad debt</t>
  </si>
  <si>
    <t>Q3 17</t>
  </si>
  <si>
    <t>Clean tax</t>
  </si>
  <si>
    <t>less minority interests/other</t>
  </si>
  <si>
    <t>Data traffic</t>
  </si>
  <si>
    <t>ARPUs</t>
  </si>
  <si>
    <t>Q1 17</t>
  </si>
  <si>
    <t>Blended</t>
  </si>
  <si>
    <t>Network costs</t>
  </si>
  <si>
    <t>Income Statement (MYR, mn)</t>
  </si>
  <si>
    <t>DPS (LHS)</t>
  </si>
  <si>
    <t>Net debt/EBITDA (RHS)</t>
  </si>
  <si>
    <t>OpFCF - interest - tax</t>
  </si>
  <si>
    <t>Non-mobile revenues</t>
  </si>
  <si>
    <t>Enterprise fixed</t>
  </si>
  <si>
    <t>Diff.</t>
  </si>
  <si>
    <t>Total MSR</t>
  </si>
  <si>
    <t xml:space="preserve"> </t>
  </si>
  <si>
    <t>Q1</t>
  </si>
  <si>
    <t>Q2</t>
  </si>
  <si>
    <t>Q3</t>
  </si>
  <si>
    <t>Q4</t>
  </si>
  <si>
    <t>YoY</t>
  </si>
  <si>
    <t>MI &amp; VAS</t>
  </si>
  <si>
    <t>Multiples</t>
  </si>
  <si>
    <t>ARPUxSubs</t>
  </si>
  <si>
    <t>MSR not in ARPU</t>
  </si>
  <si>
    <t>MSR</t>
  </si>
  <si>
    <t>SHOUT</t>
  </si>
  <si>
    <t>Flat to low single digit increase</t>
  </si>
  <si>
    <t>Reported Net income</t>
  </si>
  <si>
    <t>Ticker (BBG):</t>
  </si>
  <si>
    <t>Rating</t>
  </si>
  <si>
    <t>Target price</t>
  </si>
  <si>
    <t>Analyst</t>
  </si>
  <si>
    <t>Chris Hoare</t>
  </si>
  <si>
    <t>email</t>
  </si>
  <si>
    <t>chris@newstreetresearch.com</t>
  </si>
  <si>
    <t>Phone</t>
  </si>
  <si>
    <t>+44 207375 9130</t>
  </si>
  <si>
    <t>Lead analyst</t>
  </si>
  <si>
    <t>David Lopes</t>
  </si>
  <si>
    <t>david@newstreetresearch.com</t>
  </si>
  <si>
    <t>+44 207375 9147</t>
  </si>
  <si>
    <t>RoU assets</t>
  </si>
  <si>
    <t>Enterprise</t>
  </si>
  <si>
    <t>Implied consumer</t>
  </si>
  <si>
    <t xml:space="preserve">BOP </t>
  </si>
  <si>
    <t>EOP</t>
  </si>
  <si>
    <t>Cash</t>
  </si>
  <si>
    <t>Net PPE</t>
  </si>
  <si>
    <t>BOP</t>
  </si>
  <si>
    <t>(+) Capex</t>
  </si>
  <si>
    <t>(-) Depreciation</t>
  </si>
  <si>
    <t>Plug</t>
  </si>
  <si>
    <t>Dep as % of BOP PPE</t>
  </si>
  <si>
    <t>Intangible assets</t>
  </si>
  <si>
    <t>(+) Acquisitions</t>
  </si>
  <si>
    <t>(-) Amortisation</t>
  </si>
  <si>
    <t>Amortisation as % of BOP Intangible assets</t>
  </si>
  <si>
    <t>Acquisitions/(impairment) as % of BOP intangible assets</t>
  </si>
  <si>
    <t>RM m</t>
  </si>
  <si>
    <t>Total Subscribers ('000)</t>
  </si>
  <si>
    <t>Blended average data per subscriber</t>
  </si>
  <si>
    <t>Data Traffic (based on total subs)</t>
  </si>
  <si>
    <t>Source</t>
  </si>
  <si>
    <t>Income Statement</t>
  </si>
  <si>
    <t>Prepaid ARPU</t>
  </si>
  <si>
    <t>Postpaid ARPU</t>
  </si>
  <si>
    <t xml:space="preserve">Data traffic </t>
  </si>
  <si>
    <t>Prepaid subscribers</t>
  </si>
  <si>
    <t>Postpaid subscribers</t>
  </si>
  <si>
    <t>Prepaid ARPU per sub/month (MYR)</t>
  </si>
  <si>
    <t>Postpaid ARPU per sub/month (MYR)</t>
  </si>
  <si>
    <t>Comments</t>
  </si>
  <si>
    <t>Prepaid + Postpaid + WBB</t>
  </si>
  <si>
    <t>Exclude WBB from Q1 17 onwards</t>
  </si>
  <si>
    <t>Excludes WBB subs from Q1 17 onwards</t>
  </si>
  <si>
    <t xml:space="preserve">Mobile + Fibre + Enterprise </t>
  </si>
  <si>
    <t>Service revenue change &gt;</t>
  </si>
  <si>
    <t>Fibre</t>
  </si>
  <si>
    <t>Mobile = Prepaid + postpaid</t>
  </si>
  <si>
    <t>Linked to Malaysian Enterprise model</t>
  </si>
  <si>
    <t>Low to MSD</t>
  </si>
  <si>
    <t>ROIC workings</t>
  </si>
  <si>
    <t>Group</t>
  </si>
  <si>
    <t>Less: D&amp;A</t>
  </si>
  <si>
    <t>Less: Taxes</t>
  </si>
  <si>
    <t>=EBIT(1-T)</t>
  </si>
  <si>
    <t>5Y rolling average capex * 5</t>
  </si>
  <si>
    <t>ROIC1</t>
  </si>
  <si>
    <t>ROIC2</t>
  </si>
  <si>
    <t>Invested Capital</t>
  </si>
  <si>
    <t>ROIC = EBIT(1-T)/5Y rolling capex</t>
  </si>
  <si>
    <t>ROIC = EBIT(1-T)/Invested capital</t>
  </si>
  <si>
    <t>Mobile Enterprise</t>
  </si>
  <si>
    <t>Fixed &amp; Solutions</t>
  </si>
  <si>
    <t>Home connections</t>
  </si>
  <si>
    <t>Fibre ARPU</t>
  </si>
  <si>
    <t>Restated &gt;</t>
  </si>
  <si>
    <t>Others</t>
  </si>
  <si>
    <t>Non-service revenue</t>
  </si>
  <si>
    <t xml:space="preserve">New reporting </t>
  </si>
  <si>
    <t>Postpaid</t>
  </si>
  <si>
    <t>Home Connectivity</t>
  </si>
  <si>
    <t>WBB - Wireless broadband</t>
  </si>
  <si>
    <t>Consumer Revenue</t>
  </si>
  <si>
    <t>Mobile</t>
  </si>
  <si>
    <t>Enterprise Revenue</t>
  </si>
  <si>
    <t>Profit before tax</t>
  </si>
  <si>
    <t>Share price</t>
  </si>
  <si>
    <t>(x) shares</t>
  </si>
  <si>
    <t>Market cap</t>
  </si>
  <si>
    <t>Enterprise Value</t>
  </si>
  <si>
    <t>(+) Net debt</t>
  </si>
  <si>
    <t>Rolling EV/EBITDA</t>
  </si>
  <si>
    <t>1Y forward valuation</t>
  </si>
  <si>
    <t>Rolling P/E</t>
  </si>
  <si>
    <t>Financials - NSRe</t>
  </si>
  <si>
    <t>Outstanding shares</t>
  </si>
  <si>
    <t>+ new shares issued</t>
  </si>
  <si>
    <t>- shares repurchased</t>
  </si>
  <si>
    <t>Date</t>
  </si>
  <si>
    <t>Last Price</t>
  </si>
  <si>
    <t>Volume</t>
  </si>
  <si>
    <t>SMAVG (15)</t>
  </si>
  <si>
    <t>Revised dates to account for weekends</t>
  </si>
  <si>
    <t>NSRe net debt; FY22 would use FY23E figure</t>
  </si>
  <si>
    <t>NPV</t>
  </si>
  <si>
    <t>Prepaid mobile revenue</t>
  </si>
  <si>
    <t>x Average subscribers</t>
  </si>
  <si>
    <t>Postpaid mobile revenue</t>
  </si>
  <si>
    <t>Total mobile service revenue</t>
  </si>
  <si>
    <t>Reported mobile service revenue</t>
  </si>
  <si>
    <t>Mobile service revenue</t>
  </si>
  <si>
    <t>KPIs</t>
  </si>
  <si>
    <t>Fibre home subscribers</t>
  </si>
  <si>
    <t>Average fibre home subs</t>
  </si>
  <si>
    <t>Fibre revenue</t>
  </si>
  <si>
    <t>Fibre net adds</t>
  </si>
  <si>
    <t>Reported fibre revenue</t>
  </si>
  <si>
    <t>Linked to Enterprise growth in our industry model</t>
  </si>
  <si>
    <t>Elimination</t>
  </si>
  <si>
    <t>Guidance</t>
  </si>
  <si>
    <t>Flat to LSD increase</t>
  </si>
  <si>
    <t>RM3.9bn</t>
  </si>
  <si>
    <t>RM1.1bn</t>
  </si>
  <si>
    <t xml:space="preserve">Revenue analysis </t>
  </si>
  <si>
    <t xml:space="preserve">Per share items </t>
  </si>
  <si>
    <t>% contribution to incremental service revenue growth</t>
  </si>
  <si>
    <t>% of service revenue</t>
  </si>
  <si>
    <t>Consumer revenue</t>
  </si>
  <si>
    <t>Enterprise revenue</t>
  </si>
  <si>
    <t>Fibre ARPU/Postpaid ARPU</t>
  </si>
  <si>
    <t>Summary</t>
  </si>
  <si>
    <t>Figures in MYR m, except subscribers in '000</t>
  </si>
  <si>
    <t>Prepaid service revenue</t>
  </si>
  <si>
    <t>Postpaid service revenue</t>
  </si>
  <si>
    <t>Enterprise service revenue</t>
  </si>
  <si>
    <t xml:space="preserve">Mobile Service Revenue </t>
  </si>
  <si>
    <t>Maxis revenue in enterprise model</t>
  </si>
  <si>
    <t xml:space="preserve">% change </t>
  </si>
  <si>
    <t>Calculated prepaid mobile revenue</t>
  </si>
  <si>
    <t>Reported prepaid mobile revenue</t>
  </si>
  <si>
    <t>Calculated postpaid mobile revenue</t>
  </si>
  <si>
    <t>Reported postpaid mobile revenue</t>
  </si>
  <si>
    <t>Operating costs</t>
  </si>
  <si>
    <t>Cost of devices</t>
  </si>
  <si>
    <t>Forecast</t>
  </si>
  <si>
    <t>/ Shares outstanding</t>
  </si>
  <si>
    <t>NSR target</t>
  </si>
  <si>
    <t>Implied P/E</t>
  </si>
  <si>
    <t>Implied based on current price</t>
  </si>
  <si>
    <t>EBIT margin</t>
  </si>
  <si>
    <t>Add dividend</t>
  </si>
  <si>
    <t>Fixed broadband</t>
  </si>
  <si>
    <t>Operator subs ('000)</t>
  </si>
  <si>
    <t>FBB capex</t>
  </si>
  <si>
    <t>Corporate customers</t>
  </si>
  <si>
    <t>Guidance - service revenue</t>
  </si>
  <si>
    <t xml:space="preserve">LSD </t>
  </si>
  <si>
    <t>&lt;RM 1bn</t>
  </si>
  <si>
    <t>Government grants and other income, net</t>
  </si>
  <si>
    <t>Spectrum licence fees</t>
  </si>
  <si>
    <t>Consumer</t>
  </si>
  <si>
    <t xml:space="preserve">Enterprise </t>
  </si>
  <si>
    <t>Implied % change</t>
  </si>
  <si>
    <t>Implied margin</t>
  </si>
  <si>
    <t>Derivative financial instruments + Taxation</t>
  </si>
  <si>
    <t>x</t>
  </si>
  <si>
    <t>WC</t>
  </si>
  <si>
    <t>SL</t>
  </si>
  <si>
    <t>Net Financial Charges</t>
  </si>
  <si>
    <t>(-) Adjusted tax</t>
  </si>
  <si>
    <t>(-) Capex</t>
  </si>
  <si>
    <t>(-) Changes in Working capital</t>
  </si>
  <si>
    <t>Balance sheet, RM m</t>
  </si>
  <si>
    <t>(-) Adjusted taxes</t>
  </si>
  <si>
    <t>NOPAT</t>
  </si>
  <si>
    <t>Current market cap</t>
  </si>
  <si>
    <t>Price</t>
  </si>
  <si>
    <t>Shares, m</t>
  </si>
  <si>
    <t>USD m</t>
  </si>
  <si>
    <t>FY+1 EBITDA</t>
  </si>
  <si>
    <t>Umobile</t>
  </si>
  <si>
    <t>Revenue, 2022</t>
  </si>
  <si>
    <t>LTM EBITDA</t>
  </si>
  <si>
    <t>EV/EBITDA</t>
  </si>
  <si>
    <t>Last known EV/EBITDA floated</t>
  </si>
  <si>
    <t>Adjusted net income</t>
  </si>
  <si>
    <t>One-offs</t>
  </si>
  <si>
    <t>Old costs</t>
  </si>
  <si>
    <t>Old items</t>
  </si>
  <si>
    <t xml:space="preserve">Upgraded to LSD from "marginal to LSD" </t>
  </si>
  <si>
    <t>Implied % YoY</t>
  </si>
  <si>
    <t>PV cash flows</t>
  </si>
  <si>
    <t>Market capitalisation</t>
  </si>
  <si>
    <t>Ticker</t>
  </si>
  <si>
    <t>Shares outstanding, m</t>
  </si>
  <si>
    <t>6012-MY</t>
  </si>
  <si>
    <t>FCFE - NSR definition</t>
  </si>
  <si>
    <t>(-) Changes in WC</t>
  </si>
  <si>
    <t>(-) Tax paid</t>
  </si>
  <si>
    <t>+ Dividends from associates</t>
  </si>
  <si>
    <t>(-) NCI</t>
  </si>
  <si>
    <t>Unlevered Free Cash Flow</t>
  </si>
  <si>
    <t>(-) Net interest costs</t>
  </si>
  <si>
    <t>(-) Lease payments on principal</t>
  </si>
  <si>
    <t>Equity Free Cash Flow before license payment</t>
  </si>
  <si>
    <t>(-) License payments</t>
  </si>
  <si>
    <t>Equity Free Cash Flow</t>
  </si>
  <si>
    <t>FCFE yield</t>
  </si>
  <si>
    <t xml:space="preserve">Dividends </t>
  </si>
  <si>
    <t>Share buyback</t>
  </si>
  <si>
    <t>Dividend yield</t>
  </si>
  <si>
    <t>Share buyback yield</t>
  </si>
  <si>
    <t>Shareholder remuneration yield</t>
  </si>
  <si>
    <t>FCFE</t>
  </si>
  <si>
    <t>Market Cap, MYR bn</t>
  </si>
  <si>
    <t>Other non-current assets</t>
  </si>
  <si>
    <t>Capex to Opex model due to 5G access charges</t>
  </si>
  <si>
    <t>Assumptions</t>
  </si>
  <si>
    <t>Lease payment as % of sales</t>
  </si>
  <si>
    <t>Checks</t>
  </si>
  <si>
    <t>Calculated Service revenue</t>
  </si>
  <si>
    <t>Reported Service revenue</t>
  </si>
  <si>
    <t>Diff</t>
  </si>
  <si>
    <t>WBB</t>
  </si>
  <si>
    <t>Customer mobile</t>
  </si>
  <si>
    <t>Customer home</t>
  </si>
  <si>
    <t>Comprised of Fixed &amp; Solutions and Mobile</t>
  </si>
  <si>
    <t>Blended Data usage (GB/month)</t>
  </si>
  <si>
    <t>Prepaid Data usage (GB/month)</t>
  </si>
  <si>
    <t>Postpaid Data usage (GB/month)</t>
  </si>
  <si>
    <t>% YoY</t>
  </si>
  <si>
    <t>Contribution</t>
  </si>
  <si>
    <t>LSD</t>
  </si>
  <si>
    <t>Flat to LSD</t>
  </si>
  <si>
    <t>Company:</t>
  </si>
  <si>
    <t>ISAT</t>
  </si>
  <si>
    <t>Buy</t>
  </si>
  <si>
    <t>Associate</t>
  </si>
  <si>
    <t>Font colour code</t>
  </si>
  <si>
    <t>Blue font</t>
  </si>
  <si>
    <t>Company reported/Hardcoded</t>
  </si>
  <si>
    <t>Assumption</t>
  </si>
  <si>
    <t>Black</t>
  </si>
  <si>
    <t>Formula</t>
  </si>
  <si>
    <t>Green</t>
  </si>
  <si>
    <t>Link from another tab</t>
  </si>
  <si>
    <t>Dark Red</t>
  </si>
  <si>
    <t>Data providers</t>
  </si>
  <si>
    <t>Red</t>
  </si>
  <si>
    <t>Numbers no longer reported/restated</t>
  </si>
  <si>
    <t>Tabs colour code</t>
  </si>
  <si>
    <t>Summary tabs</t>
  </si>
  <si>
    <t>Tabs linked to other spreadsheets</t>
  </si>
  <si>
    <t>Input tabs</t>
  </si>
  <si>
    <t>Divisional tabs</t>
  </si>
  <si>
    <t>Working tabs</t>
  </si>
  <si>
    <t>TBC</t>
  </si>
  <si>
    <t>MYR 5.1</t>
  </si>
  <si>
    <t>IPTV ARPU</t>
  </si>
  <si>
    <t>VoIP Revs</t>
  </si>
  <si>
    <t>Net debt/EBITDA</t>
  </si>
  <si>
    <t>EFCF</t>
  </si>
  <si>
    <t>EFCF before dividends from assocaites, lease and license payment</t>
  </si>
  <si>
    <t>RM 1bn</t>
  </si>
  <si>
    <t>Inputs</t>
  </si>
  <si>
    <t>Recent quarter month end</t>
  </si>
  <si>
    <t>Do not delete</t>
  </si>
  <si>
    <t>YTD analysis</t>
  </si>
  <si>
    <t>NSR</t>
  </si>
  <si>
    <t>YTD-1</t>
  </si>
  <si>
    <t>YTD</t>
  </si>
  <si>
    <t>Remainder-1</t>
  </si>
  <si>
    <t>Remainder</t>
  </si>
  <si>
    <t>NSR Forcast</t>
  </si>
  <si>
    <t>Opex:</t>
  </si>
  <si>
    <t>Opex ex. D&amp;A</t>
  </si>
  <si>
    <t>Opex as % of sales</t>
  </si>
  <si>
    <t>Total consolidated EBITDA</t>
  </si>
  <si>
    <t>Earnings before tax</t>
  </si>
  <si>
    <t>Tax rate (%)</t>
  </si>
  <si>
    <t>Group earnings</t>
  </si>
  <si>
    <t>Profit margin</t>
  </si>
  <si>
    <t>NCI</t>
  </si>
  <si>
    <t>Earnings attributable to shareholders</t>
  </si>
  <si>
    <t>Incremental EBITDA margin</t>
  </si>
  <si>
    <t>Seasonality</t>
  </si>
  <si>
    <t>Current</t>
  </si>
  <si>
    <t>Prior</t>
  </si>
  <si>
    <t>% Variance</t>
  </si>
  <si>
    <t>Vs Consensus</t>
  </si>
  <si>
    <t>Implied</t>
  </si>
  <si>
    <t>Implied YoY</t>
  </si>
  <si>
    <t>Net Income to equityholders</t>
  </si>
  <si>
    <t>Net income margin</t>
  </si>
  <si>
    <t>Consensus - service revenue</t>
  </si>
  <si>
    <t>% implied</t>
  </si>
  <si>
    <t>D&amp;A</t>
  </si>
  <si>
    <t>New Opco 2014 EV/EBITDA</t>
  </si>
  <si>
    <t>Premium/(discount) to MTS</t>
  </si>
  <si>
    <t>Number of shares</t>
  </si>
  <si>
    <t>Sale of just fixed asset</t>
  </si>
  <si>
    <t>Less: treasury shares</t>
  </si>
  <si>
    <t>Wind Multiple</t>
  </si>
  <si>
    <t>5x</t>
  </si>
  <si>
    <t>5.5x</t>
  </si>
  <si>
    <t>6x</t>
  </si>
  <si>
    <t>6.5x</t>
  </si>
  <si>
    <t>7x</t>
  </si>
  <si>
    <t>7.5x</t>
  </si>
  <si>
    <t>8x</t>
  </si>
  <si>
    <t>Equity value</t>
  </si>
  <si>
    <t>New Opco EV/EBITDA</t>
  </si>
  <si>
    <t>+ Net debt</t>
  </si>
  <si>
    <t>(-) Other financial liabilities</t>
  </si>
  <si>
    <t>(-) Associates</t>
  </si>
  <si>
    <t>Wind</t>
  </si>
  <si>
    <t>+ Minorities</t>
  </si>
  <si>
    <t xml:space="preserve">NCI </t>
  </si>
  <si>
    <t>(-) Tax credit</t>
  </si>
  <si>
    <t>Multiple</t>
  </si>
  <si>
    <t>(-) Cumulative dividend payments</t>
  </si>
  <si>
    <t>EV of transaction</t>
  </si>
  <si>
    <t>Current market EV</t>
  </si>
  <si>
    <t>Less: tax credit NPV</t>
  </si>
  <si>
    <t>Add: restructuring NPV</t>
  </si>
  <si>
    <t>New Opco EV</t>
  </si>
  <si>
    <t>EFCF market cap.</t>
  </si>
  <si>
    <t>New Opco EBITDA</t>
  </si>
  <si>
    <t>Opco EV/EBITDA</t>
  </si>
  <si>
    <t>Financials</t>
  </si>
  <si>
    <t>Revenue</t>
  </si>
  <si>
    <t>OpFCF(1-tax)</t>
  </si>
  <si>
    <t>EPS</t>
  </si>
  <si>
    <t>EFCFPS</t>
  </si>
  <si>
    <t>After licenses and lease payments</t>
  </si>
  <si>
    <t>EV/ Revenue</t>
  </si>
  <si>
    <t>EV/ EBITDA</t>
  </si>
  <si>
    <t>EV/ OpFCF</t>
  </si>
  <si>
    <t>EV/ FCF</t>
  </si>
  <si>
    <t>P/E</t>
  </si>
  <si>
    <t>P/ EFCF</t>
  </si>
  <si>
    <t>EFCF yield</t>
  </si>
  <si>
    <t>Div yield</t>
  </si>
  <si>
    <t>Interest coverage ratio</t>
  </si>
  <si>
    <t>Debt/Capital</t>
  </si>
  <si>
    <t>Payout ratio</t>
  </si>
  <si>
    <t>Net income to equityholders</t>
  </si>
  <si>
    <t>(-) Net debt</t>
  </si>
  <si>
    <t>Target multiple</t>
  </si>
  <si>
    <t>CAGR</t>
  </si>
  <si>
    <t>24-27</t>
  </si>
  <si>
    <t>24-30</t>
  </si>
  <si>
    <t>Reported Blended Mobile ARPU</t>
  </si>
  <si>
    <t>Calculated blended mobile ARPU</t>
  </si>
  <si>
    <t>Calculated Mobile ARPU</t>
  </si>
  <si>
    <t>Capex intensity between 10% - 12%</t>
  </si>
  <si>
    <t>Jake Ng</t>
  </si>
  <si>
    <t>jake@newstreetresearch.com</t>
  </si>
  <si>
    <t>+65 6016 5451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</si>
</sst>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2">
    <numFmt numFmtId="6" formatCode="&quot;$&quot;#,##0;[Red]\-&quot;$&quot;#,##0"/>
    <numFmt numFmtId="8" formatCode="&quot;$&quot;#,##0.00;[Red]\-&quot;$&quot;#,##0.00"/>
    <numFmt numFmtId="42" formatCode="_-&quot;$&quot;* #,##0_-;\-&quot;$&quot;* #,##0_-;_-&quot;$&quot;* &quot;-&quot;_-;_-@_-"/>
    <numFmt numFmtId="41" formatCode="_-* #,##0_-;\-* #,##0_-;_-* &quot;-&quot;_-;_-@_-"/>
    <numFmt numFmtId="43" formatCode="_-* #,##0.00_-;\-* #,##0.00_-;_-* &quot;-&quot;??_-;_-@_-"/>
    <numFmt numFmtId="164" formatCode="0_ ;\-0\ "/>
    <numFmt numFmtId="165" formatCode="_-* #,##0.0_-;\-* #,##0.0_-;_-* &quot;-&quot;??_-;_-@_-"/>
    <numFmt numFmtId="166" formatCode="_-* #,##0_-;\-* #,##0_-;_-* &quot;-&quot;??_-;_-@_-"/>
    <numFmt numFmtId="167" formatCode="0.0%"/>
    <numFmt numFmtId="168" formatCode="0.0"/>
    <numFmt numFmtId="169" formatCode="#,##0.0"/>
    <numFmt numFmtId="170" formatCode="#,##0.0%;[Red]\-#,##0.0%;0.0%;@_)"/>
    <numFmt numFmtId="171" formatCode="#,##0.00_);[Red]\-#,##0.00_);0.00_);@_)"/>
    <numFmt numFmtId="172" formatCode="0.0000"/>
    <numFmt numFmtId="173" formatCode="#,##0.0_ ;[Red]\-#,##0.0\ "/>
    <numFmt numFmtId="174" formatCode="_(* #,##0.0_);_(* \(#,##0.0\);_(* &quot;-&quot;_);_(@_)"/>
    <numFmt numFmtId="175" formatCode="_(* #,##0_);_(* \(#,##0\);_(* &quot;-&quot;_);_(@_)"/>
    <numFmt numFmtId="176" formatCode="_-* #,##0.0_-;\-* #,##0.0_-;_-* &quot;-&quot;?_-;_-@_-"/>
    <numFmt numFmtId="177" formatCode="_-* #,##0.000_-;\-* #,##0.000_-;_-* &quot;-&quot;??_-;_-@_-"/>
    <numFmt numFmtId="178" formatCode="#,##0_);[Red]\-#,##0_);0_);@_)"/>
    <numFmt numFmtId="179" formatCode="#,##0.0_);[Red]\-#,##0.0_);0.0_);@_)"/>
    <numFmt numFmtId="180" formatCode="0.000"/>
    <numFmt numFmtId="181" formatCode="0.0\x"/>
    <numFmt numFmtId="182" formatCode="#,##0.000"/>
    <numFmt numFmtId="183" formatCode="#,##0;\(#,##0\)"/>
    <numFmt numFmtId="184" formatCode="_([$€-2]* #,##0.00_);_([$€-2]* \(#,##0.00\);_([$€-2]* &quot;-&quot;??_)"/>
    <numFmt numFmtId="185" formatCode="####&quot;E&quot;"/>
    <numFmt numFmtId="186" formatCode="0.00_);\(0.00\);0.00"/>
    <numFmt numFmtId="187" formatCode="0.00_);\(0.00\);0.00_)"/>
    <numFmt numFmtId="188" formatCode="0.00\%;\-0.00\%;0.00\%"/>
    <numFmt numFmtId="189" formatCode="0.00\x;\-0.00\x;0.00\x"/>
    <numFmt numFmtId="190" formatCode="#,##0%;[Red]\-#,##0%;0%;@_)"/>
    <numFmt numFmtId="191" formatCode="#,##0.00%;[Red]\-#,##0.00%;0.00%;@_)"/>
    <numFmt numFmtId="192" formatCode="* _(#,##0.00_);[Red]* \(#,##0.00\);* _(&quot;-&quot;?_);@_)"/>
    <numFmt numFmtId="193" formatCode="\€\ * _(#,##0_);[Red]\€\ * \(#,##0\);\€\ * _(&quot;-&quot;?_);@_)"/>
    <numFmt numFmtId="194" formatCode="\€\ * _(#,##0.00_);[Red]\€\ * \(#,##0.00\);\€\ * _(&quot;-&quot;?_);@_)"/>
    <numFmt numFmtId="195" formatCode="[$EUR]\ * _(#,##0_);[Red][$EUR]\ * \(#,##0\);[$EUR]\ * _(&quot;-&quot;?_);@_)"/>
    <numFmt numFmtId="196" formatCode="[$EUR]\ * _(#,##0.00_);[Red][$EUR]\ * \(#,##0.00\);[$EUR]\ * _(&quot;-&quot;?_);@_)"/>
    <numFmt numFmtId="197" formatCode="\$\ * _(#,##0_);[Red]\$\ * \(#,##0\);\$\ * _(&quot;-&quot;?_);@_)"/>
    <numFmt numFmtId="198" formatCode="\$\ * _(#,##0.00_);[Red]\$\ * \(#,##0.00\);\$\ * _(&quot;-&quot;?_);@_)"/>
    <numFmt numFmtId="199" formatCode="[$USD]\ * _(#,##0_);[Red][$USD]\ * \(#,##0\);[$USD]\ * _(&quot;-&quot;?_);@_)"/>
    <numFmt numFmtId="200" formatCode="[$USD]\ * _(#,##0.00_);[Red][$USD]\ * \(#,##0.00\);[$USD]\ * _(&quot;-&quot;?_);@_)"/>
    <numFmt numFmtId="201" formatCode="\£\ * _(#,##0_);[Red]\£\ * \(#,##0\);\£\ * _(&quot;-&quot;?_);@_)"/>
    <numFmt numFmtId="202" formatCode="\£\ * _(#,##0.00_);[Red]\£\ * \(#,##0.00\);\£\ * _(&quot;-&quot;?_);@_)"/>
    <numFmt numFmtId="203" formatCode="[$GBP]\ * _(#,##0_);[Red][$GBP]\ * \(#,##0\);[$GBP]\ * _(&quot;-&quot;?_);@_)"/>
    <numFmt numFmtId="204" formatCode="[$GBP]\ * _(#,##0.00_);[Red][$GBP]\ * \(#,##0.00\);[$GBP]\ * _(&quot;-&quot;?_);@_)"/>
    <numFmt numFmtId="205" formatCode="mmm\ yy_)"/>
    <numFmt numFmtId="206" formatCode="yyyy_)"/>
    <numFmt numFmtId="207" formatCode="0.0000%"/>
    <numFmt numFmtId="208" formatCode="0.0000000"/>
    <numFmt numFmtId="209" formatCode="#,##0.0\ ;\(#,##0.0\)"/>
    <numFmt numFmtId="210" formatCode="dd\-mm\-yy"/>
    <numFmt numFmtId="211" formatCode="&quot;*&quot;0&quot;#&quot;"/>
    <numFmt numFmtId="212" formatCode="#,##0.0_);\(#,##0.0\)"/>
    <numFmt numFmtId="213" formatCode="0;\(#\)"/>
    <numFmt numFmtId="214" formatCode="dd\ mmm\ yy_)"/>
    <numFmt numFmtId="215" formatCode="##0.00000"/>
    <numFmt numFmtId="216" formatCode="_-\€* #,##0_-;\-\€* #,##0_-;_-\€* &quot;-&quot;_-;_-@_-"/>
    <numFmt numFmtId="217" formatCode="_-\€* #,##0.00_-;\-\€* #,##0.00_-;_-\€* &quot;-&quot;??_-;_-@_-"/>
    <numFmt numFmtId="218" formatCode="0.0_ ;[Red]\-0.0\ "/>
    <numFmt numFmtId="219" formatCode="_-* #,##0&quot; F&quot;_-;\-* #,##0&quot; F&quot;_-;_-* &quot;-&quot;&quot; F&quot;_-;_-@_-"/>
    <numFmt numFmtId="220" formatCode="_-* #,##0_ _F_-;\-* #,##0_ _F_-;_-* &quot;-&quot;_ _F_-;_-@_-"/>
    <numFmt numFmtId="221" formatCode="_-* #,##0.00&quot; F&quot;_-;\-* #,##0.00&quot; F&quot;_-;_-* &quot;-&quot;??&quot; F&quot;_-;_-@_-"/>
    <numFmt numFmtId="222" formatCode="_-* #,##0.00_ _F_-;\-* #,##0.00_ _F_-;_-* &quot;-&quot;??_ _F_-;_-@_-"/>
    <numFmt numFmtId="223" formatCode="#,##0.0;\(#,##0.0\)"/>
    <numFmt numFmtId="224" formatCode="00000"/>
    <numFmt numFmtId="225" formatCode="0.00%_);\(0.00%\)"/>
    <numFmt numFmtId="226" formatCode="0.0%_);\(0.0%\)"/>
    <numFmt numFmtId="227" formatCode="0_);\(0\)"/>
    <numFmt numFmtId="228" formatCode="#,##0_);\(#,##0\);0_)"/>
    <numFmt numFmtId="229" formatCode="#,##0.0000_);[Red]\(#,##0.0000\);0.0000_)"/>
    <numFmt numFmtId="230" formatCode="#,##0.00_);[Red]\(#,##0.00\);0.00_)"/>
    <numFmt numFmtId="231" formatCode="#,##0.00_)&quot; F&quot;;[Red]\(#,##0.00\)&quot; F&quot;;0.00_)&quot; F&quot;"/>
    <numFmt numFmtId="232" formatCode="0&quot;E&quot;;\(0\)&quot;E&quot;"/>
    <numFmt numFmtId="233" formatCode="#,##0_);\(#,##0\);;"/>
    <numFmt numFmtId="234" formatCode="0%;[Red]\-0%"/>
    <numFmt numFmtId="235" formatCode="0\.00%;[Red]\-0\.00%"/>
    <numFmt numFmtId="236" formatCode="#,##0,;\-#,##0,"/>
    <numFmt numFmtId="237" formatCode="_ * #,##0_ ;_ * &quot;₩&quot;&quot;₩&quot;&quot;₩&quot;&quot;₩&quot;&quot;₩&quot;&quot;₩&quot;\-#,##0_ ;_ * &quot;-&quot;_ ;_ @_ "/>
    <numFmt numFmtId="238" formatCode="#,##0;[Red]&quot;₩&quot;&quot;₩&quot;&quot;₩&quot;&quot;₩&quot;&quot;₩&quot;&quot;₩&quot;\(#,##0&quot;₩&quot;&quot;₩&quot;&quot;₩&quot;&quot;₩&quot;&quot;₩&quot;&quot;₩&quot;\)"/>
    <numFmt numFmtId="239" formatCode="#,##0.0;[Red]&quot;₩&quot;&quot;₩&quot;&quot;₩&quot;&quot;₩&quot;&quot;₩&quot;&quot;₩&quot;\(#,##0.0&quot;₩&quot;&quot;₩&quot;&quot;₩&quot;&quot;₩&quot;&quot;₩&quot;&quot;₩&quot;\)"/>
    <numFmt numFmtId="240" formatCode="#,##0.00%;[Red]&quot;₩&quot;&quot;₩&quot;&quot;₩&quot;&quot;₩&quot;&quot;₩&quot;&quot;₩&quot;\(#,##0.00%&quot;₩&quot;&quot;₩&quot;&quot;₩&quot;&quot;₩&quot;&quot;₩&quot;&quot;₩&quot;\)"/>
    <numFmt numFmtId="241" formatCode="&quot;$&quot;#.##0_);&quot;₩&quot;&quot;₩&quot;&quot;₩&quot;&quot;₩&quot;&quot;₩&quot;&quot;₩&quot;\(&quot;$&quot;#.##0&quot;₩&quot;&quot;₩&quot;&quot;₩&quot;&quot;₩&quot;&quot;₩&quot;&quot;₩&quot;\)"/>
    <numFmt numFmtId="242" formatCode="_-[$€-2]* #,##0.00_-;\-[$€-2]* #,##0.00_-;_-[$€-2]* &quot;-&quot;??_-"/>
    <numFmt numFmtId="243" formatCode="_ * #,##0_ ;_ * \-#,##0_ ;_ * &quot;-&quot;_ ;_ @_ "/>
    <numFmt numFmtId="244" formatCode="_ * #,##0.00_ ;_ * \-#,##0.00_ ;_ * &quot;-&quot;??_ ;_ @_ "/>
    <numFmt numFmtId="245" formatCode="&quot;₩&quot;#,##0;&quot;₩&quot;\-#,##0"/>
    <numFmt numFmtId="246" formatCode="&quot;$&quot;_(#,##0.00_);&quot;$&quot;\(#,##0.00\)"/>
    <numFmt numFmtId="247" formatCode="#,##0.0_)\x;\(#,##0.0\)\x"/>
    <numFmt numFmtId="248" formatCode="#,##0.0_)_x;\(#,##0.0\)_x"/>
    <numFmt numFmtId="249" formatCode="0.0_)\%;\(0.0\)\%"/>
    <numFmt numFmtId="250" formatCode="#,##0.0_)_%;\(#,##0.0\)_%"/>
    <numFmt numFmtId="251" formatCode="0.000%"/>
    <numFmt numFmtId="252" formatCode="#,##0.00\ &quot;Kč&quot;;[Red]\-#,##0.00\ &quot;Kč&quot;"/>
    <numFmt numFmtId="253" formatCode="#,##0.000_);[Red]\(#,##0.000\)"/>
    <numFmt numFmtId="254" formatCode="0.0%_);\(0.0%\)_)"/>
    <numFmt numFmtId="255" formatCode="&quot;$&quot;#,##0.00000000000000000000000000_);[Red]\(&quot;$&quot;#,##0.00000000000000000000000000\)"/>
    <numFmt numFmtId="256" formatCode="#,##0.000;\(#,##0.000\)"/>
    <numFmt numFmtId="257" formatCode="#,##0.00;\(#,##0.00\)"/>
    <numFmt numFmtId="258" formatCode="yyyy"/>
    <numFmt numFmtId="259" formatCode="&quot;$&quot;#,##0.00&quot;A&quot;;[Red]\(&quot;$&quot;#,##0.00\)&quot;A&quot;"/>
    <numFmt numFmtId="260" formatCode="&quot;$&quot;#,##0.00&quot;E&quot;;[Red]\(&quot;$&quot;#,##0.00\)&quot;E&quot;"/>
    <numFmt numFmtId="261" formatCode="#\ ##0.0"/>
    <numFmt numFmtId="262" formatCode="#,##0.0_);[Red]\(#,##0.0\)"/>
    <numFmt numFmtId="263" formatCode="0.0%_);[Red]\(0.0%\)"/>
    <numFmt numFmtId="264" formatCode="0.00%;\(0.00%\)"/>
    <numFmt numFmtId="265" formatCode="###0"/>
    <numFmt numFmtId="266" formatCode="General_)"/>
    <numFmt numFmtId="267" formatCode="_-* #,##0.00\ _K_č_-;\-* #,##0.00\ _K_č_-;_-* &quot;-&quot;??\ _K_č_-;_-@_-"/>
    <numFmt numFmtId="268" formatCode="#.0"/>
    <numFmt numFmtId="269" formatCode="&quot;kr&quot;\ #,##0_);[Red]\(&quot;kr&quot;\ #,##0\)"/>
    <numFmt numFmtId="270" formatCode="#,##0.00_)\ \x;\(#,##0.00\)\ \x"/>
    <numFmt numFmtId="271" formatCode="&quot;kr&quot;\ #,##0.00_);[Red]\(&quot;kr&quot;\ #,##0.00\)"/>
    <numFmt numFmtId="272" formatCode="#,##0.00\ ;\(#,##0.00\)"/>
    <numFmt numFmtId="273" formatCode="#,##0;\(#,##0\);&quot;--&quot;_)"/>
    <numFmt numFmtId="274" formatCode="#,##0_);\(#,##0\)_);&quot;-&quot;_)"/>
    <numFmt numFmtId="275" formatCode="#,##0.0_);\(#,##0.0\)_);&quot;-&quot;_)"/>
    <numFmt numFmtId="276" formatCode="#,##0.00_);\(#,##0.00\)_);&quot;-&quot;_)"/>
    <numFmt numFmtId="277" formatCode="#,##0;\(#,##0\);&quot;-&quot;"/>
    <numFmt numFmtId="278" formatCode="#,##0;\(#,##0\);&quot;--&quot;"/>
    <numFmt numFmtId="279" formatCode="#,##0.00;\(#,##0.00\);&quot;--&quot;"/>
    <numFmt numFmtId="280" formatCode="0.0\x_);\(0.0\x\);0.0\x_);@_)"/>
  </numFmts>
  <fonts count="17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0"/>
      <name val="Roboto"/>
    </font>
    <font>
      <b/>
      <sz val="10"/>
      <name val="Roboto"/>
    </font>
    <font>
      <sz val="10"/>
      <color rgb="FF0000FF"/>
      <name val="Arial"/>
      <family val="2"/>
    </font>
    <font>
      <sz val="10"/>
      <name val="Roboto"/>
    </font>
    <font>
      <sz val="10"/>
      <color theme="1"/>
      <name val="Roboto"/>
    </font>
    <font>
      <b/>
      <sz val="11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Roboto"/>
    </font>
    <font>
      <sz val="10"/>
      <color rgb="FF0000FF"/>
      <name val="Roboto"/>
    </font>
    <font>
      <b/>
      <sz val="10"/>
      <color rgb="FF0000FF"/>
      <name val="Roboto"/>
    </font>
    <font>
      <b/>
      <sz val="10"/>
      <color rgb="FF00B0F0"/>
      <name val="Roboto"/>
    </font>
    <font>
      <sz val="10"/>
      <color rgb="FFFF0000"/>
      <name val="Roboto"/>
    </font>
    <font>
      <b/>
      <sz val="10"/>
      <color rgb="FFFF0000"/>
      <name val="Roboto"/>
    </font>
    <font>
      <b/>
      <sz val="10"/>
      <color rgb="FF00B050"/>
      <name val="Roboto"/>
    </font>
    <font>
      <sz val="10"/>
      <color rgb="FFC00000"/>
      <name val="Roboto"/>
    </font>
    <font>
      <b/>
      <sz val="10"/>
      <color theme="1"/>
      <name val="Roboto"/>
    </font>
    <font>
      <sz val="10"/>
      <name val="Arial Narrow"/>
      <family val="2"/>
    </font>
    <font>
      <b/>
      <sz val="22"/>
      <name val="Arial"/>
      <family val="2"/>
    </font>
    <font>
      <sz val="9"/>
      <name val="Arial"/>
      <family val="2"/>
    </font>
    <font>
      <i/>
      <sz val="9"/>
      <color indexed="16"/>
      <name val="Arial"/>
      <family val="2"/>
    </font>
    <font>
      <sz val="8"/>
      <name val="Helvetica"/>
      <family val="2"/>
    </font>
    <font>
      <sz val="10"/>
      <name val="Frutiger 45 Light"/>
      <family val="2"/>
    </font>
    <font>
      <sz val="24"/>
      <name val="MS Sans Serif"/>
      <family val="2"/>
    </font>
    <font>
      <sz val="9"/>
      <color indexed="18"/>
      <name val="Arial"/>
      <family val="2"/>
    </font>
    <font>
      <sz val="10"/>
      <name val="Times New Roman"/>
      <family val="1"/>
    </font>
    <font>
      <sz val="10"/>
      <color indexed="12"/>
      <name val="Times New Roman"/>
      <family val="1"/>
    </font>
    <font>
      <sz val="10"/>
      <color indexed="12"/>
      <name val="Arial"/>
      <family val="2"/>
    </font>
    <font>
      <b/>
      <sz val="10"/>
      <name val="MS Sans Serif"/>
      <family val="2"/>
    </font>
    <font>
      <sz val="10"/>
      <name val="Geneva"/>
    </font>
    <font>
      <sz val="10"/>
      <color indexed="23"/>
      <name val="MS Sans Serif"/>
      <family val="2"/>
    </font>
    <font>
      <b/>
      <sz val="12"/>
      <name val="MS Sans Serif"/>
      <family val="2"/>
    </font>
    <font>
      <b/>
      <sz val="10"/>
      <name val="Times New Roman"/>
      <family val="1"/>
    </font>
    <font>
      <b/>
      <sz val="12"/>
      <name val="Arial"/>
      <family val="2"/>
    </font>
    <font>
      <i/>
      <sz val="9"/>
      <color indexed="55"/>
      <name val="Arial"/>
      <family val="2"/>
    </font>
    <font>
      <b/>
      <sz val="9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sz val="11"/>
      <name val="ＭＳ Ｐゴシック"/>
      <family val="2"/>
      <charset val="128"/>
    </font>
    <font>
      <sz val="8"/>
      <color indexed="12"/>
      <name val="Arial"/>
      <family val="2"/>
    </font>
    <font>
      <b/>
      <sz val="8"/>
      <color indexed="10"/>
      <name val="Tms Rmn"/>
      <family val="1"/>
    </font>
    <font>
      <sz val="9"/>
      <color indexed="12"/>
      <name val="Times New Roman"/>
      <family val="1"/>
    </font>
    <font>
      <sz val="8"/>
      <name val="Times New Roman"/>
      <family val="1"/>
    </font>
    <font>
      <b/>
      <sz val="12"/>
      <color indexed="10"/>
      <name val="FrankfurtGothic"/>
      <family val="2"/>
    </font>
    <font>
      <sz val="10"/>
      <name val="Palatino"/>
      <family val="1"/>
    </font>
    <font>
      <sz val="8"/>
      <color indexed="12"/>
      <name val="Helv"/>
      <family val="2"/>
    </font>
    <font>
      <i/>
      <sz val="10"/>
      <name val="Times New Roman"/>
      <family val="1"/>
    </font>
    <font>
      <sz val="8"/>
      <color indexed="16"/>
      <name val="Helv"/>
      <family val="2"/>
    </font>
    <font>
      <b/>
      <sz val="8"/>
      <color indexed="10"/>
      <name val="FrankfurtGothic"/>
      <family val="2"/>
    </font>
    <font>
      <sz val="12"/>
      <name val="Times New Roman"/>
      <family val="1"/>
    </font>
    <font>
      <sz val="12"/>
      <name val="Arial"/>
      <family val="2"/>
    </font>
    <font>
      <b/>
      <sz val="12"/>
      <name val="Helv"/>
    </font>
    <font>
      <sz val="10"/>
      <color indexed="10"/>
      <name val="Times New Roman"/>
      <family val="1"/>
    </font>
    <font>
      <sz val="12"/>
      <color indexed="10"/>
      <name val="Times New Roman"/>
      <family val="1"/>
    </font>
    <font>
      <sz val="12"/>
      <color indexed="14"/>
      <name val="Times New Roman"/>
      <family val="1"/>
    </font>
    <font>
      <b/>
      <sz val="10"/>
      <name val="Helv"/>
    </font>
    <font>
      <b/>
      <sz val="18"/>
      <name val="Times New Roman"/>
      <family val="1"/>
    </font>
    <font>
      <i/>
      <sz val="12"/>
      <color indexed="10"/>
      <name val="Times New Roman"/>
      <family val="1"/>
    </font>
    <font>
      <i/>
      <sz val="10"/>
      <name val="Helv"/>
    </font>
    <font>
      <sz val="12"/>
      <color indexed="12"/>
      <name val="Times New Roman"/>
      <family val="1"/>
    </font>
    <font>
      <b/>
      <sz val="14"/>
      <name val="Times New Roman"/>
      <family val="1"/>
    </font>
    <font>
      <b/>
      <sz val="8"/>
      <name val="Arial"/>
      <family val="2"/>
    </font>
    <font>
      <sz val="8"/>
      <color indexed="12"/>
      <name val="Tms Rmn"/>
      <family val="1"/>
    </font>
    <font>
      <sz val="10"/>
      <color indexed="18"/>
      <name val="Times New Roman"/>
      <family val="1"/>
    </font>
    <font>
      <sz val="10"/>
      <name val="Helv"/>
    </font>
    <font>
      <sz val="12"/>
      <name val="Helv"/>
    </font>
    <font>
      <sz val="10"/>
      <color indexed="2"/>
      <name val="Tahoma"/>
      <family val="2"/>
    </font>
    <font>
      <b/>
      <sz val="10"/>
      <color indexed="0"/>
      <name val="Tahoma"/>
      <family val="2"/>
    </font>
    <font>
      <sz val="10"/>
      <name val="Tahoma"/>
      <family val="2"/>
    </font>
    <font>
      <b/>
      <i/>
      <sz val="10"/>
      <color indexed="4"/>
      <name val="Tahoma"/>
      <family val="2"/>
    </font>
    <font>
      <sz val="10"/>
      <color indexed="4"/>
      <name val="Tahoma"/>
      <family val="2"/>
    </font>
    <font>
      <u val="singleAccounting"/>
      <sz val="10"/>
      <name val="Arial"/>
      <family val="2"/>
    </font>
    <font>
      <u val="doubleAccounting"/>
      <sz val="10"/>
      <name val="Arial"/>
      <family val="2"/>
    </font>
    <font>
      <b/>
      <sz val="7"/>
      <color indexed="12"/>
      <name val="Arial"/>
      <family val="2"/>
    </font>
    <font>
      <sz val="8"/>
      <color indexed="10"/>
      <name val="Helv"/>
    </font>
    <font>
      <sz val="10"/>
      <color indexed="16"/>
      <name val="MS Sans Serif"/>
      <family val="2"/>
    </font>
    <font>
      <sz val="7"/>
      <color indexed="12"/>
      <name val="Arial"/>
      <family val="2"/>
    </font>
    <font>
      <sz val="8"/>
      <name val="COUR"/>
    </font>
    <font>
      <b/>
      <sz val="10"/>
      <name val="Helv"/>
      <family val="2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b/>
      <sz val="12"/>
      <name val="Helv"/>
      <family val="2"/>
    </font>
    <font>
      <b/>
      <sz val="11"/>
      <name val="Helv"/>
      <family val="2"/>
    </font>
    <font>
      <sz val="9"/>
      <name val="굴림"/>
      <family val="3"/>
      <charset val="129"/>
    </font>
    <font>
      <sz val="10"/>
      <color theme="1"/>
      <name val="Calibri"/>
      <family val="3"/>
      <charset val="129"/>
      <scheme val="minor"/>
    </font>
    <font>
      <sz val="10"/>
      <name val="Helv"/>
      <family val="2"/>
    </font>
    <font>
      <sz val="10"/>
      <name val="돋움"/>
      <family val="3"/>
      <charset val="129"/>
    </font>
    <font>
      <sz val="11"/>
      <color theme="1"/>
      <name val="Calibri"/>
      <family val="3"/>
      <charset val="129"/>
      <scheme val="minor"/>
    </font>
    <font>
      <sz val="12"/>
      <name val="¹UAAA¼"/>
      <family val="3"/>
      <charset val="129"/>
    </font>
    <font>
      <sz val="12"/>
      <color indexed="24"/>
      <name val="바탕체"/>
      <family val="1"/>
      <charset val="129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sz val="14"/>
      <name val="뼻뮝"/>
      <family val="3"/>
      <charset val="129"/>
    </font>
    <font>
      <sz val="11"/>
      <name val="가는각진제목체"/>
      <family val="1"/>
      <charset val="129"/>
    </font>
    <font>
      <sz val="12"/>
      <name val="뼻뮝"/>
      <family val="3"/>
      <charset val="129"/>
    </font>
    <font>
      <sz val="11"/>
      <color indexed="8"/>
      <name val="맑은 고딕"/>
      <family val="3"/>
      <charset val="129"/>
    </font>
    <font>
      <sz val="11"/>
      <name val="굴림"/>
      <family val="3"/>
      <charset val="129"/>
    </font>
    <font>
      <b/>
      <sz val="11"/>
      <color theme="1"/>
      <name val="Calibri"/>
      <family val="3"/>
      <charset val="129"/>
      <scheme val="minor"/>
    </font>
    <font>
      <sz val="10"/>
      <color theme="1"/>
      <name val="Trebuchet MS"/>
      <family val="2"/>
    </font>
    <font>
      <u/>
      <sz val="10"/>
      <color theme="10"/>
      <name val="Trebuchet MS"/>
      <family val="2"/>
    </font>
    <font>
      <sz val="10"/>
      <color indexed="8"/>
      <name val="MS Sans Serif"/>
      <family val="2"/>
    </font>
    <font>
      <sz val="12"/>
      <name val="·s²Ó©úÅé"/>
      <charset val="136"/>
    </font>
    <font>
      <sz val="8"/>
      <color indexed="8"/>
      <name val="MS Sans Serif"/>
      <family val="2"/>
    </font>
    <font>
      <b/>
      <sz val="11"/>
      <color indexed="10"/>
      <name val="Times New Roman"/>
      <family val="1"/>
    </font>
    <font>
      <b/>
      <i/>
      <sz val="11"/>
      <color indexed="9"/>
      <name val="Times New Roman"/>
      <family val="1"/>
    </font>
    <font>
      <b/>
      <sz val="9"/>
      <color indexed="9"/>
      <name val="Arial"/>
      <family val="2"/>
    </font>
    <font>
      <sz val="10"/>
      <color indexed="22"/>
      <name val="Arial"/>
      <family val="2"/>
    </font>
    <font>
      <b/>
      <sz val="8"/>
      <name val="Times New Roman"/>
      <family val="1"/>
    </font>
    <font>
      <b/>
      <i/>
      <sz val="8"/>
      <color indexed="12"/>
      <name val="HelveticaNeue Condensed"/>
    </font>
    <font>
      <u/>
      <sz val="10"/>
      <color indexed="36"/>
      <name val="Arial"/>
      <family val="2"/>
    </font>
    <font>
      <i/>
      <sz val="8"/>
      <color indexed="17"/>
      <name val="Times New Roman"/>
      <family val="1"/>
    </font>
    <font>
      <sz val="8"/>
      <color indexed="21"/>
      <name val="Arial"/>
      <family val="2"/>
    </font>
    <font>
      <sz val="8"/>
      <color indexed="12"/>
      <name val="Times New Roman"/>
      <family val="1"/>
    </font>
    <font>
      <b/>
      <sz val="12"/>
      <color indexed="10"/>
      <name val="Arial"/>
      <family val="2"/>
    </font>
    <font>
      <b/>
      <sz val="10"/>
      <color indexed="16"/>
      <name val="Times New Roman"/>
      <family val="1"/>
    </font>
    <font>
      <b/>
      <sz val="10"/>
      <color indexed="18"/>
      <name val="Times New Roman"/>
      <family val="1"/>
    </font>
    <font>
      <sz val="8"/>
      <color indexed="8"/>
      <name val="Helvetica"/>
      <family val="2"/>
    </font>
    <font>
      <u/>
      <sz val="6"/>
      <color indexed="12"/>
      <name val="Arial"/>
      <family val="2"/>
    </font>
    <font>
      <sz val="8"/>
      <color indexed="39"/>
      <name val="Arial"/>
      <family val="2"/>
    </font>
    <font>
      <b/>
      <sz val="12"/>
      <color indexed="17"/>
      <name val="Wingdings"/>
      <charset val="2"/>
    </font>
    <font>
      <b/>
      <sz val="8"/>
      <color indexed="14"/>
      <name val="MS Sans Serif"/>
      <family val="2"/>
    </font>
    <font>
      <sz val="8"/>
      <color indexed="18"/>
      <name val="Times New Roman"/>
      <family val="1"/>
    </font>
    <font>
      <sz val="7"/>
      <name val="Small Fonts"/>
      <family val="2"/>
    </font>
    <font>
      <b/>
      <u/>
      <sz val="12"/>
      <name val="L Serifa Light"/>
    </font>
    <font>
      <i/>
      <sz val="10"/>
      <name val="Helvetica"/>
      <family val="2"/>
    </font>
    <font>
      <b/>
      <sz val="8"/>
      <color indexed="18"/>
      <name val="Times New Roman"/>
      <family val="1"/>
    </font>
    <font>
      <sz val="8"/>
      <name val="Univers"/>
      <family val="2"/>
    </font>
    <font>
      <sz val="8"/>
      <color indexed="10"/>
      <name val="Arial"/>
      <family val="2"/>
    </font>
    <font>
      <sz val="10"/>
      <name val="GillSans Light"/>
    </font>
    <font>
      <b/>
      <sz val="10"/>
      <name val="GillSans"/>
    </font>
    <font>
      <b/>
      <sz val="16"/>
      <name val="Times New Roman"/>
      <family val="1"/>
    </font>
    <font>
      <sz val="8"/>
      <name val="MS Sans Serif"/>
      <family val="2"/>
    </font>
    <font>
      <i/>
      <sz val="9"/>
      <name val="Times New Roman"/>
      <family val="1"/>
    </font>
    <font>
      <b/>
      <i/>
      <sz val="10"/>
      <name val="Arial"/>
      <family val="2"/>
    </font>
    <font>
      <sz val="8"/>
      <color indexed="9"/>
      <name val="Arial"/>
      <family val="2"/>
    </font>
    <font>
      <u/>
      <sz val="8"/>
      <color indexed="12"/>
      <name val="Trebuchet MS"/>
      <family val="2"/>
    </font>
    <font>
      <sz val="10"/>
      <color theme="0"/>
      <name val="Roboto"/>
    </font>
    <font>
      <sz val="11"/>
      <color theme="1"/>
      <name val="Roboto"/>
    </font>
    <font>
      <b/>
      <sz val="10"/>
      <color rgb="FFC00000"/>
      <name val="Roboto"/>
    </font>
    <font>
      <b/>
      <u val="singleAccounting"/>
      <sz val="10"/>
      <name val="Roboto"/>
    </font>
    <font>
      <b/>
      <u val="singleAccounting"/>
      <sz val="10"/>
      <color theme="0"/>
      <name val="Roboto"/>
    </font>
    <font>
      <sz val="10"/>
      <name val="Calibri"/>
      <family val="2"/>
      <scheme val="minor"/>
    </font>
    <font>
      <sz val="10"/>
      <color rgb="FF00B050"/>
      <name val="Roboto"/>
    </font>
    <font>
      <sz val="10"/>
      <color rgb="FFFF0000"/>
      <name val="Arial"/>
      <family val="2"/>
    </font>
    <font>
      <sz val="11"/>
      <color rgb="FF00B050"/>
      <name val="Calibri"/>
      <family val="2"/>
      <scheme val="minor"/>
    </font>
    <font>
      <b/>
      <i/>
      <sz val="10"/>
      <name val="Roboto"/>
    </font>
    <font>
      <b/>
      <sz val="11"/>
      <color theme="0"/>
      <name val="Trebuchet MS"/>
      <family val="2"/>
    </font>
    <font>
      <sz val="10"/>
      <color theme="0"/>
      <name val="Trebuchet MS"/>
      <family val="2"/>
    </font>
    <font>
      <u/>
      <sz val="10"/>
      <color indexed="12"/>
      <name val="Arial"/>
      <family val="2"/>
    </font>
    <font>
      <u/>
      <sz val="10"/>
      <color indexed="12"/>
      <name val="Roboto"/>
    </font>
    <font>
      <sz val="10"/>
      <color theme="0"/>
      <name val="Arial"/>
      <family val="2"/>
    </font>
    <font>
      <sz val="10"/>
      <color rgb="FF00B050"/>
      <name val="Arial"/>
      <family val="2"/>
    </font>
    <font>
      <sz val="10"/>
      <color rgb="FFC00000"/>
      <name val="Arial"/>
      <family val="2"/>
    </font>
    <font>
      <b/>
      <sz val="10"/>
      <color indexed="9"/>
      <name val="Roboto"/>
    </font>
  </fonts>
  <fills count="6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7E7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</patternFill>
    </fill>
    <fill>
      <patternFill patternType="lightGray">
        <fgColor indexed="12"/>
      </patternFill>
    </fill>
    <fill>
      <patternFill patternType="solid">
        <fgColor indexed="42"/>
        <bgColor indexed="64"/>
      </patternFill>
    </fill>
    <fill>
      <patternFill patternType="gray0625"/>
    </fill>
    <fill>
      <patternFill patternType="solid">
        <fgColor indexed="13"/>
        <bgColor indexed="15"/>
      </patternFill>
    </fill>
    <fill>
      <patternFill patternType="solid">
        <fgColor indexed="11"/>
        <bgColor indexed="64"/>
      </patternFill>
    </fill>
    <fill>
      <patternFill patternType="gray0625">
        <fgColor indexed="22"/>
      </patternFill>
    </fill>
    <fill>
      <patternFill patternType="solid">
        <fgColor indexed="13"/>
      </patternFill>
    </fill>
    <fill>
      <patternFill patternType="solid">
        <fgColor indexed="51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  <fill>
      <patternFill patternType="gray0625">
        <fgColor indexed="13"/>
        <bgColor indexed="9"/>
      </patternFill>
    </fill>
    <fill>
      <patternFill patternType="solid">
        <fgColor indexed="15"/>
        <bgColor indexed="64"/>
      </patternFill>
    </fill>
    <fill>
      <patternFill patternType="solid">
        <fgColor indexed="27"/>
        <bgColor indexed="64"/>
      </patternFill>
    </fill>
    <fill>
      <patternFill patternType="gray0625">
        <fgColor indexed="15"/>
      </patternFill>
    </fill>
    <fill>
      <patternFill patternType="solid">
        <fgColor indexed="48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9"/>
        <bgColor indexed="64"/>
      </patternFill>
    </fill>
    <fill>
      <patternFill patternType="lightGray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19"/>
      </patternFill>
    </fill>
    <fill>
      <patternFill patternType="solid">
        <fgColor rgb="FFF9663E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263238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0080"/>
        <bgColor indexed="64"/>
      </patternFill>
    </fill>
  </fills>
  <borders count="4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57"/>
      </left>
      <right style="dotted">
        <color indexed="57"/>
      </right>
      <top style="dotted">
        <color indexed="57"/>
      </top>
      <bottom style="dotted">
        <color indexed="57"/>
      </bottom>
      <diagonal/>
    </border>
    <border>
      <left style="thin">
        <color indexed="57"/>
      </left>
      <right style="thin">
        <color indexed="57"/>
      </right>
      <top style="thin">
        <color indexed="57"/>
      </top>
      <bottom style="thin">
        <color indexed="57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64"/>
      </right>
      <top/>
      <bottom/>
      <diagonal/>
    </border>
    <border>
      <left/>
      <right/>
      <top style="medium">
        <color indexed="41"/>
      </top>
      <bottom style="medium">
        <color indexed="41"/>
      </bottom>
      <diagonal/>
    </border>
    <border>
      <left/>
      <right/>
      <top style="medium">
        <color indexed="41"/>
      </top>
      <bottom/>
      <diagonal/>
    </border>
    <border>
      <left/>
      <right/>
      <top/>
      <bottom style="thin">
        <color indexed="2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9"/>
      </left>
      <right style="medium">
        <color indexed="49"/>
      </right>
      <top/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/>
      <top/>
      <bottom style="medium">
        <color indexed="45"/>
      </bottom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18"/>
      </bottom>
      <diagonal/>
    </border>
    <border>
      <left/>
      <right/>
      <top style="dotted">
        <color theme="1" tint="0.499984740745262"/>
      </top>
      <bottom style="dotted">
        <color theme="1" tint="0.49998474074526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3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5" fillId="0" borderId="0" applyFont="0" applyFill="0" applyBorder="0" applyAlignment="0" applyProtection="0"/>
    <xf numFmtId="0" fontId="5" fillId="0" borderId="0"/>
    <xf numFmtId="0" fontId="2" fillId="0" borderId="0"/>
    <xf numFmtId="0" fontId="2" fillId="0" borderId="0" applyFont="0" applyFill="0" applyBorder="0" applyAlignment="0" applyProtection="0"/>
    <xf numFmtId="0" fontId="6" fillId="0" borderId="0"/>
    <xf numFmtId="43" fontId="2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4" fillId="0" borderId="0"/>
    <xf numFmtId="0" fontId="2" fillId="0" borderId="0"/>
    <xf numFmtId="184" fontId="1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7" fillId="0" borderId="0" applyNumberFormat="0" applyAlignment="0">
      <alignment vertical="center"/>
    </xf>
    <xf numFmtId="171" fontId="52" fillId="0" borderId="0" applyNumberFormat="0" applyAlignment="0">
      <alignment vertical="center"/>
    </xf>
    <xf numFmtId="0" fontId="5" fillId="0" borderId="0">
      <alignment horizontal="center" wrapText="1"/>
      <protection hidden="1"/>
    </xf>
    <xf numFmtId="0" fontId="53" fillId="4" borderId="0" applyNumberFormat="0">
      <alignment horizontal="center" vertical="top" wrapText="1"/>
    </xf>
    <xf numFmtId="0" fontId="53" fillId="4" borderId="0" applyNumberFormat="0">
      <alignment horizontal="left" vertical="top" wrapText="1"/>
    </xf>
    <xf numFmtId="0" fontId="53" fillId="4" borderId="0" applyNumberFormat="0">
      <alignment horizontal="centerContinuous" vertical="top"/>
    </xf>
    <xf numFmtId="0" fontId="37" fillId="4" borderId="0" applyNumberFormat="0">
      <alignment horizontal="center" vertical="top" wrapText="1"/>
    </xf>
    <xf numFmtId="43" fontId="3" fillId="0" borderId="0" applyFont="0" applyFill="0" applyBorder="0" applyAlignment="0" applyProtection="0"/>
    <xf numFmtId="169" fontId="39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>
      <alignment horizontal="right"/>
    </xf>
    <xf numFmtId="0" fontId="40" fillId="0" borderId="0" applyFont="0" applyFill="0" applyBorder="0" applyAlignment="0" applyProtection="0">
      <alignment horizontal="right"/>
    </xf>
    <xf numFmtId="43" fontId="3" fillId="0" borderId="0" applyFont="0" applyFill="0" applyBorder="0" applyAlignment="0" applyProtection="0"/>
    <xf numFmtId="0" fontId="41" fillId="22" borderId="0">
      <alignment horizontal="center" vertical="center" wrapText="1"/>
    </xf>
    <xf numFmtId="186" fontId="5" fillId="0" borderId="0" applyFill="0" applyBorder="0">
      <alignment horizontal="right"/>
      <protection locked="0"/>
    </xf>
    <xf numFmtId="192" fontId="37" fillId="0" borderId="0" applyFont="0" applyFill="0" applyBorder="0" applyAlignment="0" applyProtection="0">
      <alignment vertical="center"/>
    </xf>
    <xf numFmtId="0" fontId="40" fillId="0" borderId="0" applyFont="0" applyFill="0" applyBorder="0" applyAlignment="0" applyProtection="0">
      <alignment horizontal="right"/>
    </xf>
    <xf numFmtId="0" fontId="40" fillId="0" borderId="0" applyFont="0" applyFill="0" applyBorder="0" applyAlignment="0" applyProtection="0">
      <alignment horizontal="right"/>
    </xf>
    <xf numFmtId="197" fontId="37" fillId="0" borderId="0" applyFont="0" applyFill="0" applyBorder="0" applyAlignment="0" applyProtection="0">
      <alignment vertical="center"/>
    </xf>
    <xf numFmtId="198" fontId="37" fillId="0" borderId="0" applyFont="0" applyFill="0" applyBorder="0" applyAlignment="0" applyProtection="0">
      <alignment vertical="center"/>
    </xf>
    <xf numFmtId="195" fontId="37" fillId="0" borderId="0" applyFont="0" applyFill="0" applyBorder="0" applyAlignment="0" applyProtection="0">
      <alignment vertical="center"/>
    </xf>
    <xf numFmtId="196" fontId="37" fillId="0" borderId="0" applyFont="0" applyFill="0" applyBorder="0" applyAlignment="0" applyProtection="0">
      <alignment vertical="center"/>
    </xf>
    <xf numFmtId="193" fontId="37" fillId="0" borderId="0" applyFont="0" applyFill="0" applyBorder="0" applyAlignment="0" applyProtection="0">
      <alignment vertical="center"/>
    </xf>
    <xf numFmtId="194" fontId="37" fillId="0" borderId="0" applyFont="0" applyFill="0" applyBorder="0" applyAlignment="0" applyProtection="0">
      <alignment vertical="center"/>
    </xf>
    <xf numFmtId="203" fontId="37" fillId="0" borderId="0" applyFont="0" applyFill="0" applyBorder="0" applyAlignment="0" applyProtection="0">
      <alignment vertical="center"/>
    </xf>
    <xf numFmtId="204" fontId="37" fillId="0" borderId="0" applyFont="0" applyFill="0" applyBorder="0" applyAlignment="0" applyProtection="0">
      <alignment vertical="center"/>
    </xf>
    <xf numFmtId="201" fontId="37" fillId="0" borderId="0" applyFont="0" applyFill="0" applyBorder="0" applyAlignment="0" applyProtection="0">
      <alignment vertical="center"/>
    </xf>
    <xf numFmtId="202" fontId="37" fillId="0" borderId="0" applyFont="0" applyFill="0" applyBorder="0" applyAlignment="0" applyProtection="0">
      <alignment vertical="center"/>
    </xf>
    <xf numFmtId="199" fontId="37" fillId="0" borderId="0" applyFont="0" applyFill="0" applyBorder="0" applyAlignment="0" applyProtection="0">
      <alignment vertical="center"/>
    </xf>
    <xf numFmtId="200" fontId="37" fillId="0" borderId="0" applyFont="0" applyFill="0" applyBorder="0" applyAlignment="0" applyProtection="0">
      <alignment vertical="center"/>
    </xf>
    <xf numFmtId="0" fontId="2" fillId="0" borderId="0">
      <alignment horizontal="right"/>
      <protection locked="0"/>
    </xf>
    <xf numFmtId="205" fontId="37" fillId="0" borderId="0" applyFont="0" applyFill="0" applyBorder="0" applyAlignment="0" applyProtection="0">
      <alignment vertical="center"/>
    </xf>
    <xf numFmtId="206" fontId="37" fillId="0" borderId="0" applyFont="0" applyFill="0" applyBorder="0" applyAlignment="0" applyProtection="0">
      <alignment vertical="center"/>
    </xf>
    <xf numFmtId="0" fontId="40" fillId="0" borderId="0" applyFont="0" applyFill="0" applyBorder="0" applyAlignment="0" applyProtection="0"/>
    <xf numFmtId="0" fontId="42" fillId="0" borderId="0">
      <protection locked="0"/>
    </xf>
    <xf numFmtId="0" fontId="40" fillId="0" borderId="14" applyNumberFormat="0" applyFont="0" applyFill="0" applyAlignment="0" applyProtection="0"/>
    <xf numFmtId="0" fontId="2" fillId="0" borderId="0" applyFill="0" applyBorder="0" applyProtection="0">
      <alignment horizontal="left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6" fillId="23" borderId="0" applyNumberFormat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horizontal="left" vertical="center"/>
    </xf>
    <xf numFmtId="0" fontId="53" fillId="0" borderId="0" applyNumberFormat="0" applyFill="0" applyBorder="0" applyAlignment="0" applyProtection="0">
      <alignment vertical="center"/>
    </xf>
    <xf numFmtId="2" fontId="44" fillId="24" borderId="0"/>
    <xf numFmtId="0" fontId="40" fillId="0" borderId="0" applyFont="0" applyFill="0" applyBorder="0" applyAlignment="0" applyProtection="0">
      <alignment horizontal="right"/>
    </xf>
    <xf numFmtId="0" fontId="2" fillId="0" borderId="0" applyProtection="0">
      <alignment horizontal="right"/>
    </xf>
    <xf numFmtId="0" fontId="2" fillId="0" borderId="0" applyProtection="0">
      <alignment horizontal="left"/>
    </xf>
    <xf numFmtId="0" fontId="2" fillId="0" borderId="0" applyProtection="0">
      <alignment horizontal="left"/>
    </xf>
    <xf numFmtId="0" fontId="37" fillId="2" borderId="0" applyNumberFormat="0" applyFont="0" applyBorder="0" applyAlignment="0" applyProtection="0">
      <alignment vertical="center"/>
    </xf>
    <xf numFmtId="0" fontId="40" fillId="0" borderId="0" applyNumberFormat="0" applyFill="0" applyBorder="0" applyAlignment="0" applyProtection="0"/>
    <xf numFmtId="16" fontId="2" fillId="0" borderId="0" applyNumberFormat="0" applyFill="0" applyBorder="0" applyAlignment="0" applyProtection="0">
      <alignment horizontal="right"/>
    </xf>
    <xf numFmtId="0" fontId="37" fillId="0" borderId="15" applyNumberFormat="0" applyAlignment="0">
      <alignment vertical="center"/>
    </xf>
    <xf numFmtId="0" fontId="37" fillId="0" borderId="16" applyNumberFormat="0" applyAlignment="0">
      <alignment vertical="center"/>
      <protection locked="0"/>
    </xf>
    <xf numFmtId="178" fontId="37" fillId="25" borderId="16" applyNumberFormat="0" applyAlignment="0">
      <alignment vertical="center"/>
      <protection locked="0"/>
    </xf>
    <xf numFmtId="0" fontId="37" fillId="23" borderId="0" applyNumberFormat="0" applyAlignment="0">
      <alignment vertical="center"/>
    </xf>
    <xf numFmtId="0" fontId="37" fillId="26" borderId="0" applyNumberFormat="0" applyAlignment="0">
      <alignment vertical="center"/>
    </xf>
    <xf numFmtId="0" fontId="37" fillId="0" borderId="17" applyNumberFormat="0" applyAlignment="0">
      <alignment vertical="center"/>
      <protection locked="0"/>
    </xf>
    <xf numFmtId="10" fontId="2" fillId="0" borderId="0">
      <protection locked="0"/>
    </xf>
    <xf numFmtId="0" fontId="45" fillId="0" borderId="0" applyNumberFormat="0" applyFill="0" applyBorder="0" applyAlignment="0">
      <protection locked="0"/>
    </xf>
    <xf numFmtId="15" fontId="2" fillId="0" borderId="0">
      <protection locked="0"/>
    </xf>
    <xf numFmtId="2" fontId="2" fillId="0" borderId="18">
      <protection locked="0"/>
    </xf>
    <xf numFmtId="0" fontId="2" fillId="0" borderId="0">
      <protection locked="0"/>
    </xf>
    <xf numFmtId="0" fontId="5" fillId="0" borderId="0" applyFill="0" applyBorder="0">
      <alignment horizontal="right"/>
      <protection locked="0"/>
    </xf>
    <xf numFmtId="187" fontId="5" fillId="0" borderId="0" applyFill="0" applyBorder="0">
      <alignment horizontal="right"/>
      <protection locked="0"/>
    </xf>
    <xf numFmtId="0" fontId="40" fillId="27" borderId="0" applyBorder="0"/>
    <xf numFmtId="0" fontId="46" fillId="28" borderId="19">
      <alignment horizontal="left" vertical="center" wrapText="1"/>
    </xf>
    <xf numFmtId="4" fontId="44" fillId="24" borderId="0"/>
    <xf numFmtId="0" fontId="40" fillId="27" borderId="0" applyBorder="0" applyAlignment="0">
      <alignment horizontal="right"/>
    </xf>
    <xf numFmtId="40" fontId="5" fillId="0" borderId="0" applyFont="0" applyFill="0" applyBorder="0" applyAlignment="0" applyProtection="0"/>
    <xf numFmtId="167" fontId="2" fillId="0" borderId="0"/>
    <xf numFmtId="0" fontId="40" fillId="0" borderId="0" applyFont="0" applyFill="0" applyBorder="0" applyAlignment="0" applyProtection="0">
      <alignment horizontal="right"/>
    </xf>
    <xf numFmtId="0" fontId="38" fillId="0" borderId="0" applyNumberFormat="0" applyAlignment="0">
      <alignment vertical="center"/>
    </xf>
    <xf numFmtId="0" fontId="2" fillId="0" borderId="20" applyBorder="0" applyAlignment="0" applyProtection="0">
      <alignment horizontal="center"/>
    </xf>
    <xf numFmtId="0" fontId="2" fillId="0" borderId="0"/>
    <xf numFmtId="0" fontId="3" fillId="0" borderId="0"/>
    <xf numFmtId="0" fontId="6" fillId="0" borderId="0" applyNumberFormat="0" applyFill="0" applyBorder="0" applyAlignment="0" applyProtection="0">
      <alignment vertical="center"/>
    </xf>
    <xf numFmtId="178" fontId="37" fillId="0" borderId="0" applyFont="0" applyFill="0" applyBorder="0" applyAlignment="0" applyProtection="0">
      <alignment vertical="center"/>
    </xf>
    <xf numFmtId="171" fontId="37" fillId="0" borderId="0" applyFont="0" applyFill="0" applyBorder="0" applyAlignment="0" applyProtection="0">
      <alignment vertical="center"/>
    </xf>
    <xf numFmtId="0" fontId="37" fillId="29" borderId="0" applyNumberFormat="0" applyFont="0" applyBorder="0" applyAlignment="0" applyProtection="0">
      <alignment vertical="center"/>
    </xf>
    <xf numFmtId="1" fontId="2" fillId="0" borderId="0" applyProtection="0">
      <alignment horizontal="right" vertical="center"/>
    </xf>
    <xf numFmtId="0" fontId="2" fillId="0" borderId="2">
      <alignment vertical="center"/>
    </xf>
    <xf numFmtId="9" fontId="3" fillId="0" borderId="0" applyFont="0" applyFill="0" applyBorder="0" applyAlignment="0" applyProtection="0"/>
    <xf numFmtId="0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190" fontId="37" fillId="0" borderId="0" applyFont="0" applyFill="0" applyBorder="0" applyAlignment="0" applyProtection="0">
      <alignment horizontal="right" vertical="center"/>
    </xf>
    <xf numFmtId="191" fontId="37" fillId="0" borderId="0" applyFont="0" applyFill="0" applyBorder="0" applyAlignment="0" applyProtection="0">
      <alignment vertical="center"/>
    </xf>
    <xf numFmtId="188" fontId="5" fillId="0" borderId="0" applyFill="0" applyBorder="0">
      <alignment horizontal="right"/>
      <protection locked="0"/>
    </xf>
    <xf numFmtId="0" fontId="2" fillId="0" borderId="0">
      <alignment horizontal="right"/>
    </xf>
    <xf numFmtId="189" fontId="5" fillId="0" borderId="0">
      <alignment horizontal="right"/>
      <protection locked="0"/>
    </xf>
    <xf numFmtId="0" fontId="2" fillId="0" borderId="0">
      <alignment horizontal="right"/>
    </xf>
    <xf numFmtId="0" fontId="2" fillId="0" borderId="0">
      <alignment horizontal="right"/>
    </xf>
    <xf numFmtId="0" fontId="2" fillId="0" borderId="0" applyFill="0" applyBorder="0" applyProtection="0">
      <alignment horizontal="right"/>
    </xf>
    <xf numFmtId="0" fontId="2" fillId="0" borderId="0">
      <alignment horizontal="right"/>
    </xf>
    <xf numFmtId="0" fontId="53" fillId="0" borderId="0" applyNumberFormat="0" applyFill="0" applyBorder="0">
      <alignment horizontal="left" vertical="center" wrapText="1"/>
    </xf>
    <xf numFmtId="0" fontId="37" fillId="0" borderId="0" applyNumberFormat="0" applyFill="0" applyBorder="0">
      <alignment horizontal="left" vertical="center" wrapText="1" indent="1"/>
    </xf>
    <xf numFmtId="0" fontId="48" fillId="0" borderId="0" applyFill="0" applyBorder="0">
      <alignment horizontal="right"/>
      <protection hidden="1"/>
    </xf>
    <xf numFmtId="0" fontId="49" fillId="22" borderId="5">
      <alignment horizontal="center" vertical="center" wrapText="1"/>
      <protection hidden="1"/>
    </xf>
    <xf numFmtId="178" fontId="53" fillId="0" borderId="21" applyNumberFormat="0" applyFill="0" applyAlignment="0" applyProtection="0">
      <alignment vertical="center"/>
    </xf>
    <xf numFmtId="178" fontId="37" fillId="0" borderId="22" applyNumberFormat="0" applyFont="0" applyFill="0" applyAlignment="0" applyProtection="0">
      <alignment vertical="center"/>
    </xf>
    <xf numFmtId="0" fontId="2" fillId="0" borderId="0" applyBorder="0" applyProtection="0">
      <alignment vertical="center"/>
    </xf>
    <xf numFmtId="0" fontId="40" fillId="0" borderId="2" applyBorder="0" applyProtection="0">
      <alignment horizontal="right" vertical="center"/>
    </xf>
    <xf numFmtId="0" fontId="2" fillId="30" borderId="0" applyBorder="0" applyProtection="0">
      <alignment horizontal="centerContinuous" vertical="center"/>
    </xf>
    <xf numFmtId="0" fontId="2" fillId="31" borderId="2" applyBorder="0" applyProtection="0">
      <alignment horizontal="centerContinuous" vertical="center"/>
    </xf>
    <xf numFmtId="0" fontId="37" fillId="32" borderId="0" applyNumberFormat="0" applyFont="0" applyBorder="0" applyAlignment="0" applyProtection="0">
      <alignment vertical="center"/>
    </xf>
    <xf numFmtId="0" fontId="2" fillId="0" borderId="0" applyFill="0" applyBorder="0" applyProtection="0">
      <alignment horizontal="left"/>
    </xf>
    <xf numFmtId="0" fontId="37" fillId="0" borderId="0" applyNumberFormat="0" applyFont="0" applyFill="0" applyAlignment="0" applyProtection="0">
      <alignment vertical="center"/>
    </xf>
    <xf numFmtId="0" fontId="2" fillId="0" borderId="8" applyFill="0" applyBorder="0" applyProtection="0">
      <alignment horizontal="left" vertical="top"/>
    </xf>
    <xf numFmtId="178" fontId="37" fillId="0" borderId="0" applyNumberFormat="0" applyFont="0" applyBorder="0" applyAlignment="0" applyProtection="0">
      <alignment vertical="center"/>
    </xf>
    <xf numFmtId="0" fontId="2" fillId="21" borderId="23" applyNumberFormat="0" applyAlignment="0" applyProtection="0">
      <alignment vertical="center"/>
    </xf>
    <xf numFmtId="49" fontId="40" fillId="0" borderId="2">
      <alignment vertical="center"/>
    </xf>
    <xf numFmtId="49" fontId="37" fillId="0" borderId="0" applyFont="0" applyFill="0" applyBorder="0" applyAlignment="0" applyProtection="0">
      <alignment horizontal="center" vertical="center"/>
    </xf>
    <xf numFmtId="42" fontId="40" fillId="0" borderId="2" applyFill="0" applyAlignment="0" applyProtection="0"/>
    <xf numFmtId="0" fontId="5" fillId="0" borderId="0" applyBorder="0"/>
    <xf numFmtId="178" fontId="53" fillId="0" borderId="0" applyNumberFormat="0" applyFill="0" applyBorder="0" applyAlignment="0" applyProtection="0">
      <alignment vertical="center"/>
    </xf>
    <xf numFmtId="178" fontId="53" fillId="4" borderId="0" applyNumberFormat="0" applyAlignment="0" applyProtection="0">
      <alignment vertical="center"/>
    </xf>
    <xf numFmtId="0" fontId="37" fillId="0" borderId="0" applyNumberFormat="0" applyFont="0" applyBorder="0" applyAlignment="0" applyProtection="0">
      <alignment vertical="center"/>
    </xf>
    <xf numFmtId="0" fontId="37" fillId="0" borderId="0" applyNumberFormat="0" applyFont="0" applyAlignment="0" applyProtection="0">
      <alignment vertical="center"/>
    </xf>
    <xf numFmtId="0" fontId="50" fillId="0" borderId="2">
      <alignment horizontal="right"/>
    </xf>
    <xf numFmtId="0" fontId="56" fillId="0" borderId="0"/>
    <xf numFmtId="0" fontId="3" fillId="0" borderId="0"/>
    <xf numFmtId="0" fontId="2" fillId="0" borderId="29" applyNumberFormat="0">
      <alignment vertical="center"/>
      <protection locked="0"/>
    </xf>
    <xf numFmtId="0" fontId="2" fillId="33" borderId="29" applyNumberFormat="0">
      <alignment horizontal="centerContinuous" vertical="center" wrapText="1"/>
    </xf>
    <xf numFmtId="0" fontId="2" fillId="34" borderId="29" applyNumberFormat="0">
      <alignment horizontal="left" vertical="center"/>
    </xf>
    <xf numFmtId="10" fontId="57" fillId="4" borderId="0" applyBorder="0"/>
    <xf numFmtId="40" fontId="56" fillId="0" borderId="0" applyFont="0" applyFill="0" applyBorder="0" applyAlignment="0" applyProtection="0"/>
    <xf numFmtId="38" fontId="56" fillId="0" borderId="0" applyFont="0" applyFill="0" applyBorder="0" applyAlignment="0" applyProtection="0"/>
    <xf numFmtId="169" fontId="43" fillId="0" borderId="0" applyFont="0" applyFill="0" applyBorder="0" applyAlignment="0" applyProtection="0"/>
    <xf numFmtId="211" fontId="43" fillId="0" borderId="0" applyFont="0" applyFill="0" applyBorder="0" applyAlignment="0" applyProtection="0"/>
    <xf numFmtId="15" fontId="58" fillId="0" borderId="0">
      <alignment horizontal="right"/>
    </xf>
    <xf numFmtId="1" fontId="43" fillId="0" borderId="0" applyFont="0" applyFill="0" applyBorder="0" applyAlignment="0" applyProtection="0">
      <alignment horizontal="right"/>
    </xf>
    <xf numFmtId="209" fontId="59" fillId="0" borderId="4" applyNumberFormat="0" applyBorder="0"/>
    <xf numFmtId="0" fontId="60" fillId="35" borderId="30" applyNumberFormat="0" applyFont="0" applyAlignment="0">
      <protection locked="0"/>
    </xf>
    <xf numFmtId="180" fontId="43" fillId="0" borderId="0" applyFont="0" applyFill="0" applyBorder="0" applyAlignment="0" applyProtection="0"/>
    <xf numFmtId="212" fontId="43" fillId="0" borderId="0" applyFont="0" applyFill="0" applyBorder="0" applyAlignment="0" applyProtection="0">
      <alignment horizontal="right"/>
    </xf>
    <xf numFmtId="210" fontId="43" fillId="0" borderId="0" applyProtection="0"/>
    <xf numFmtId="0" fontId="61" fillId="36" borderId="0"/>
    <xf numFmtId="213" fontId="2" fillId="0" borderId="0"/>
    <xf numFmtId="213" fontId="2" fillId="0" borderId="0"/>
    <xf numFmtId="0" fontId="62" fillId="0" borderId="0"/>
    <xf numFmtId="208" fontId="2" fillId="0" borderId="0">
      <alignment horizontal="right"/>
    </xf>
    <xf numFmtId="0" fontId="63" fillId="0" borderId="0"/>
    <xf numFmtId="9" fontId="56" fillId="0" borderId="0" applyFont="0" applyFill="0" applyBorder="0" applyAlignment="0" applyProtection="0"/>
    <xf numFmtId="169" fontId="43" fillId="0" borderId="2" applyFont="0" applyFill="0" applyBorder="0" applyAlignment="0" applyProtection="0">
      <alignment horizontal="right"/>
    </xf>
    <xf numFmtId="0" fontId="64" fillId="0" borderId="0" applyNumberFormat="0" applyFill="0" applyBorder="0" applyAlignment="0" applyProtection="0"/>
    <xf numFmtId="209" fontId="65" fillId="0" borderId="0" applyNumberFormat="0"/>
    <xf numFmtId="0" fontId="13" fillId="37" borderId="31">
      <alignment horizontal="left"/>
    </xf>
    <xf numFmtId="1" fontId="66" fillId="0" borderId="0">
      <alignment horizontal="right"/>
    </xf>
    <xf numFmtId="0" fontId="56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82" fillId="0" borderId="0">
      <protection locked="0"/>
    </xf>
    <xf numFmtId="227" fontId="43" fillId="0" borderId="0" applyFont="0" applyFill="0" applyBorder="0" applyAlignment="0" applyProtection="0"/>
    <xf numFmtId="232" fontId="69" fillId="0" borderId="0" applyFont="0" applyFill="0" applyBorder="0" applyAlignment="0" applyProtection="0"/>
    <xf numFmtId="0" fontId="60" fillId="0" borderId="0">
      <alignment horizontal="center" wrapText="1"/>
      <protection locked="0"/>
    </xf>
    <xf numFmtId="0" fontId="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70" fillId="0" borderId="32" applyNumberFormat="0" applyFill="0" applyAlignment="0" applyProtection="0"/>
    <xf numFmtId="236" fontId="2" fillId="0" borderId="0" applyFont="0" applyFill="0" applyBorder="0" applyAlignment="0" applyProtection="0"/>
    <xf numFmtId="0" fontId="80" fillId="0" borderId="0" applyNumberFormat="0" applyFill="0" applyBorder="0" applyAlignment="0" applyProtection="0"/>
    <xf numFmtId="0" fontId="89" fillId="0" borderId="0" applyFont="0" applyFill="0" applyBorder="0" applyAlignment="0" applyProtection="0"/>
    <xf numFmtId="39" fontId="71" fillId="0" borderId="8" applyNumberFormat="0" applyFill="0" applyBorder="0"/>
    <xf numFmtId="0" fontId="73" fillId="0" borderId="0"/>
    <xf numFmtId="1" fontId="81" fillId="0" borderId="0"/>
    <xf numFmtId="0" fontId="50" fillId="38" borderId="27" applyNumberFormat="0" applyProtection="0">
      <alignment horizontal="center" vertical="center" wrapText="1"/>
    </xf>
    <xf numFmtId="0" fontId="50" fillId="38" borderId="0" applyNumberFormat="0" applyBorder="0" applyProtection="0">
      <alignment horizontal="centerContinuous" vertical="center"/>
    </xf>
    <xf numFmtId="0" fontId="50" fillId="38" borderId="5" applyNumberFormat="0" applyBorder="0" applyProtection="0">
      <alignment horizontal="center" vertical="center" wrapText="1"/>
    </xf>
    <xf numFmtId="0" fontId="53" fillId="23" borderId="0" applyNumberFormat="0">
      <alignment horizontal="center" vertical="top" wrapText="1"/>
    </xf>
    <xf numFmtId="0" fontId="53" fillId="23" borderId="0" applyNumberFormat="0">
      <alignment horizontal="left" vertical="top" wrapText="1"/>
    </xf>
    <xf numFmtId="0" fontId="53" fillId="23" borderId="0" applyNumberFormat="0">
      <alignment horizontal="centerContinuous" vertical="top"/>
    </xf>
    <xf numFmtId="0" fontId="37" fillId="23" borderId="0" applyNumberFormat="0">
      <alignment horizontal="center" vertical="top" wrapText="1"/>
    </xf>
    <xf numFmtId="0" fontId="43" fillId="0" borderId="33" applyNumberFormat="0" applyFont="0" applyFill="0" applyAlignment="0" applyProtection="0">
      <alignment horizontal="left"/>
    </xf>
    <xf numFmtId="217" fontId="67" fillId="0" borderId="0" applyFont="0"/>
    <xf numFmtId="216" fontId="67" fillId="0" borderId="0" applyFont="0"/>
    <xf numFmtId="214" fontId="37" fillId="0" borderId="0" applyFont="0" applyFill="0" applyBorder="0" applyAlignment="0" applyProtection="0">
      <alignment vertical="center"/>
    </xf>
    <xf numFmtId="228" fontId="72" fillId="0" borderId="8" applyNumberFormat="0" applyFill="0" applyBorder="0" applyAlignment="0">
      <alignment horizontal="left"/>
      <protection locked="0"/>
    </xf>
    <xf numFmtId="229" fontId="43" fillId="0" borderId="0" applyFont="0" applyFill="0" applyBorder="0" applyAlignment="0" applyProtection="0"/>
    <xf numFmtId="0" fontId="35" fillId="0" borderId="0">
      <protection locked="0"/>
    </xf>
    <xf numFmtId="0" fontId="90" fillId="0" borderId="0" applyFill="0" applyBorder="0" applyAlignment="0" applyProtection="0"/>
    <xf numFmtId="224" fontId="43" fillId="0" borderId="0" applyFont="0" applyFill="0" applyBorder="0" applyAlignment="0"/>
    <xf numFmtId="8" fontId="2" fillId="0" borderId="0"/>
    <xf numFmtId="167" fontId="2" fillId="0" borderId="0"/>
    <xf numFmtId="212" fontId="2" fillId="0" borderId="0"/>
    <xf numFmtId="0" fontId="84" fillId="0" borderId="0"/>
    <xf numFmtId="3" fontId="91" fillId="0" borderId="0" applyNumberFormat="0" applyFont="0" applyFill="0" applyBorder="0" applyAlignment="0" applyProtection="0">
      <alignment horizontal="left"/>
    </xf>
    <xf numFmtId="0" fontId="85" fillId="39" borderId="0"/>
    <xf numFmtId="0" fontId="6" fillId="0" borderId="0"/>
    <xf numFmtId="38" fontId="6" fillId="32" borderId="0" applyNumberFormat="0" applyBorder="0" applyAlignment="0" applyProtection="0"/>
    <xf numFmtId="0" fontId="86" fillId="0" borderId="0">
      <alignment wrapText="1"/>
    </xf>
    <xf numFmtId="0" fontId="40" fillId="0" borderId="0" applyNumberFormat="0" applyFill="0" applyBorder="0" applyAlignment="0" applyProtection="0"/>
    <xf numFmtId="10" fontId="6" fillId="40" borderId="5" applyNumberFormat="0" applyBorder="0" applyAlignment="0" applyProtection="0"/>
    <xf numFmtId="212" fontId="83" fillId="41" borderId="0"/>
    <xf numFmtId="0" fontId="44" fillId="0" borderId="0" applyNumberFormat="0" applyFill="0" applyBorder="0" applyAlignment="0" applyProtection="0"/>
    <xf numFmtId="0" fontId="35" fillId="0" borderId="0" applyNumberFormat="0" applyFill="0" applyBorder="0" applyAlignment="0">
      <protection locked="0"/>
    </xf>
    <xf numFmtId="1" fontId="92" fillId="1" borderId="24">
      <protection locked="0"/>
    </xf>
    <xf numFmtId="183" fontId="73" fillId="0" borderId="2" applyNumberFormat="0" applyFill="0">
      <alignment vertical="center"/>
    </xf>
    <xf numFmtId="37" fontId="93" fillId="0" borderId="0" applyNumberFormat="0" applyFill="0" applyBorder="0" applyAlignment="0" applyProtection="0">
      <alignment horizontal="right"/>
    </xf>
    <xf numFmtId="212" fontId="2" fillId="42" borderId="0"/>
    <xf numFmtId="0" fontId="74" fillId="0" borderId="0" applyNumberFormat="0" applyFill="0" applyBorder="0" applyProtection="0">
      <alignment horizontal="left" vertical="center"/>
    </xf>
    <xf numFmtId="218" fontId="68" fillId="27" borderId="0" applyBorder="0" applyAlignment="0">
      <alignment horizontal="right"/>
    </xf>
    <xf numFmtId="0" fontId="85" fillId="0" borderId="0"/>
    <xf numFmtId="0" fontId="87" fillId="0" borderId="0"/>
    <xf numFmtId="0" fontId="88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220" fontId="47" fillId="0" borderId="0" applyFont="0" applyFill="0" applyBorder="0" applyAlignment="0" applyProtection="0"/>
    <xf numFmtId="230" fontId="43" fillId="0" borderId="0" applyFont="0" applyFill="0" applyBorder="0" applyAlignment="0" applyProtection="0"/>
    <xf numFmtId="222" fontId="47" fillId="0" borderId="0" applyFont="0" applyFill="0" applyBorder="0" applyAlignment="0" applyProtection="0"/>
    <xf numFmtId="0" fontId="2" fillId="0" borderId="27"/>
    <xf numFmtId="0" fontId="5" fillId="0" borderId="0" applyFont="0" applyFill="0" applyBorder="0" applyAlignment="0" applyProtection="0"/>
    <xf numFmtId="8" fontId="5" fillId="0" borderId="0" applyFont="0" applyFill="0" applyBorder="0" applyAlignment="0" applyProtection="0"/>
    <xf numFmtId="219" fontId="47" fillId="0" borderId="0" applyFont="0" applyFill="0" applyBorder="0" applyAlignment="0" applyProtection="0"/>
    <xf numFmtId="231" fontId="2" fillId="0" borderId="0" applyFont="0" applyFill="0" applyBorder="0" applyAlignment="0"/>
    <xf numFmtId="221" fontId="47" fillId="0" borderId="0" applyFont="0" applyFill="0" applyBorder="0" applyAlignment="0" applyProtection="0"/>
    <xf numFmtId="0" fontId="35" fillId="0" borderId="20" applyBorder="0" applyAlignment="0" applyProtection="0">
      <alignment horizontal="center"/>
    </xf>
    <xf numFmtId="37" fontId="94" fillId="0" borderId="0" applyNumberFormat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38" fontId="43" fillId="0" borderId="9" applyFont="0" applyFill="0" applyBorder="0" applyAlignment="0" applyProtection="0"/>
    <xf numFmtId="43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233" fontId="75" fillId="44" borderId="8" applyFont="0" applyBorder="0"/>
    <xf numFmtId="0" fontId="88" fillId="0" borderId="0"/>
    <xf numFmtId="14" fontId="60" fillId="0" borderId="0">
      <alignment horizontal="center" wrapText="1"/>
      <protection locked="0"/>
    </xf>
    <xf numFmtId="10" fontId="2" fillId="0" borderId="0" applyFont="0" applyFill="0" applyBorder="0" applyAlignment="0" applyProtection="0"/>
    <xf numFmtId="234" fontId="43" fillId="0" borderId="0" applyFont="0" applyFill="0" applyBorder="0" applyAlignment="0" applyProtection="0"/>
    <xf numFmtId="226" fontId="76" fillId="0" borderId="0" applyFill="0" applyBorder="0" applyAlignment="0" applyProtection="0"/>
    <xf numFmtId="225" fontId="2" fillId="0" borderId="0" applyFont="0" applyFill="0" applyBorder="0" applyAlignment="0"/>
    <xf numFmtId="9" fontId="47" fillId="0" borderId="0" applyFont="0" applyFill="0" applyBorder="0" applyAlignment="0" applyProtection="0"/>
    <xf numFmtId="0" fontId="43" fillId="0" borderId="34" applyNumberFormat="0" applyFont="0" applyFill="0" applyAlignment="0" applyProtection="0"/>
    <xf numFmtId="0" fontId="50" fillId="38" borderId="26" applyNumberFormat="0" applyBorder="0" applyProtection="0">
      <alignment horizontal="left" wrapText="1"/>
    </xf>
    <xf numFmtId="0" fontId="50" fillId="38" borderId="0" applyNumberFormat="0" applyBorder="0" applyProtection="0">
      <alignment horizontal="left"/>
    </xf>
    <xf numFmtId="0" fontId="95" fillId="21" borderId="0" applyFont="0" applyFill="0" applyAlignment="0"/>
    <xf numFmtId="0" fontId="6" fillId="0" borderId="0" applyNumberFormat="0" applyFont="0" applyFill="0" applyBorder="0" applyAlignment="0" applyProtection="0"/>
    <xf numFmtId="0" fontId="43" fillId="0" borderId="0" applyNumberFormat="0" applyFont="0" applyFill="0" applyBorder="0" applyAlignment="0" applyProtection="0"/>
    <xf numFmtId="0" fontId="43" fillId="0" borderId="0" applyNumberFormat="0" applyFont="0" applyFill="0" applyBorder="0" applyAlignment="0" applyProtection="0"/>
    <xf numFmtId="0" fontId="43" fillId="0" borderId="0" applyNumberFormat="0" applyFont="0" applyFill="0" applyBorder="0" applyAlignment="0" applyProtection="0"/>
    <xf numFmtId="0" fontId="43" fillId="0" borderId="35" applyNumberFormat="0" applyFont="0" applyFill="0" applyAlignment="0" applyProtection="0"/>
    <xf numFmtId="228" fontId="77" fillId="0" borderId="8" applyNumberFormat="0" applyFill="0" applyBorder="0">
      <protection locked="0"/>
    </xf>
    <xf numFmtId="215" fontId="48" fillId="0" borderId="0" applyFill="0" applyBorder="0">
      <alignment horizontal="right"/>
      <protection hidden="1"/>
    </xf>
    <xf numFmtId="0" fontId="78" fillId="0" borderId="0" applyNumberFormat="0" applyFill="0" applyBorder="0" applyProtection="0">
      <alignment horizontal="left" vertical="center"/>
    </xf>
    <xf numFmtId="40" fontId="5" fillId="0" borderId="0" applyFont="0" applyFill="0" applyBorder="0" applyAlignment="0" applyProtection="0"/>
    <xf numFmtId="0" fontId="89" fillId="0" borderId="0" applyFill="0" applyBorder="0" applyAlignment="0" applyProtection="0"/>
    <xf numFmtId="40" fontId="43" fillId="0" borderId="0" applyFont="0" applyFill="0" applyBorder="0" applyAlignment="0" applyProtection="0"/>
    <xf numFmtId="235" fontId="43" fillId="0" borderId="0" applyFont="0" applyFill="0" applyBorder="0" applyAlignment="0" applyProtection="0"/>
    <xf numFmtId="183" fontId="73" fillId="0" borderId="0" applyNumberFormat="0" applyFill="0" applyBorder="0" applyAlignment="0"/>
    <xf numFmtId="0" fontId="43" fillId="0" borderId="0" applyFont="0" applyFill="0" applyBorder="0" applyAlignment="0" applyProtection="0"/>
    <xf numFmtId="0" fontId="2" fillId="0" borderId="0"/>
    <xf numFmtId="223" fontId="6" fillId="0" borderId="0">
      <alignment horizontal="right"/>
    </xf>
    <xf numFmtId="3" fontId="6" fillId="0" borderId="0">
      <alignment horizontal="right"/>
    </xf>
    <xf numFmtId="0" fontId="43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2" fillId="0" borderId="2" applyFill="0" applyAlignment="0" applyProtection="0"/>
    <xf numFmtId="0" fontId="50" fillId="38" borderId="27" applyNumberFormat="0" applyProtection="0">
      <alignment horizontal="left" vertical="center"/>
    </xf>
    <xf numFmtId="228" fontId="69" fillId="0" borderId="0" applyNumberFormat="0" applyFill="0" applyBorder="0" applyAlignment="0"/>
    <xf numFmtId="0" fontId="53" fillId="23" borderId="0" applyNumberFormat="0" applyAlignment="0" applyProtection="0">
      <alignment horizontal="left" vertical="center" wrapText="1"/>
    </xf>
    <xf numFmtId="209" fontId="2" fillId="0" borderId="0" applyNumberFormat="0"/>
    <xf numFmtId="0" fontId="43" fillId="38" borderId="0" applyNumberFormat="0" applyBorder="0" applyProtection="0">
      <alignment horizontal="left"/>
    </xf>
    <xf numFmtId="0" fontId="89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96" fillId="0" borderId="0"/>
    <xf numFmtId="237" fontId="98" fillId="0" borderId="0"/>
    <xf numFmtId="238" fontId="98" fillId="0" borderId="0"/>
    <xf numFmtId="239" fontId="98" fillId="0" borderId="0"/>
    <xf numFmtId="0" fontId="51" fillId="0" borderId="36" applyNumberFormat="0" applyAlignment="0" applyProtection="0">
      <alignment horizontal="left" vertical="center"/>
    </xf>
    <xf numFmtId="0" fontId="51" fillId="0" borderId="1">
      <alignment horizontal="left" vertical="center"/>
    </xf>
    <xf numFmtId="10" fontId="6" fillId="43" borderId="5" applyNumberFormat="0" applyBorder="0" applyAlignment="0" applyProtection="0"/>
    <xf numFmtId="0" fontId="100" fillId="0" borderId="27"/>
    <xf numFmtId="240" fontId="97" fillId="0" borderId="0"/>
    <xf numFmtId="9" fontId="97" fillId="0" borderId="0" applyFont="0" applyFill="0" applyBorder="0" applyAlignment="0" applyProtection="0">
      <alignment vertical="center"/>
    </xf>
    <xf numFmtId="9" fontId="97" fillId="0" borderId="0" applyFont="0" applyFill="0" applyBorder="0" applyAlignment="0" applyProtection="0">
      <alignment vertical="center"/>
    </xf>
    <xf numFmtId="41" fontId="97" fillId="0" borderId="0" applyFont="0" applyFill="0" applyBorder="0" applyAlignment="0" applyProtection="0">
      <alignment vertical="center"/>
    </xf>
    <xf numFmtId="241" fontId="98" fillId="0" borderId="0" applyFont="0" applyFill="0" applyBorder="0" applyAlignment="0" applyProtection="0"/>
    <xf numFmtId="0" fontId="101" fillId="0" borderId="0">
      <alignment vertical="top"/>
    </xf>
    <xf numFmtId="0" fontId="102" fillId="0" borderId="0">
      <alignment vertical="center"/>
    </xf>
    <xf numFmtId="0" fontId="97" fillId="0" borderId="0">
      <alignment vertical="top"/>
    </xf>
    <xf numFmtId="9" fontId="97" fillId="0" borderId="0" applyFont="0" applyFill="0" applyBorder="0" applyAlignment="0" applyProtection="0">
      <alignment vertical="center"/>
    </xf>
    <xf numFmtId="41" fontId="97" fillId="0" borderId="0" applyFont="0" applyFill="0" applyBorder="0" applyAlignment="0" applyProtection="0">
      <alignment vertical="center"/>
    </xf>
    <xf numFmtId="0" fontId="97" fillId="0" borderId="0"/>
    <xf numFmtId="0" fontId="96" fillId="0" borderId="0"/>
    <xf numFmtId="38" fontId="6" fillId="43" borderId="0" applyNumberFormat="0" applyBorder="0" applyAlignment="0" applyProtection="0"/>
    <xf numFmtId="0" fontId="99" fillId="0" borderId="0">
      <alignment horizontal="left"/>
    </xf>
    <xf numFmtId="10" fontId="6" fillId="43" borderId="5" applyNumberFormat="0" applyBorder="0" applyAlignment="0" applyProtection="0"/>
    <xf numFmtId="0" fontId="100" fillId="0" borderId="27"/>
    <xf numFmtId="240" fontId="97" fillId="0" borderId="0"/>
    <xf numFmtId="0" fontId="100" fillId="0" borderId="0"/>
    <xf numFmtId="0" fontId="97" fillId="0" borderId="0">
      <alignment vertical="top"/>
    </xf>
    <xf numFmtId="9" fontId="97" fillId="0" borderId="0" applyFont="0" applyFill="0" applyBorder="0" applyAlignment="0" applyProtection="0">
      <alignment vertical="center"/>
    </xf>
    <xf numFmtId="0" fontId="98" fillId="0" borderId="0"/>
    <xf numFmtId="0" fontId="103" fillId="0" borderId="0"/>
    <xf numFmtId="0" fontId="2" fillId="0" borderId="0"/>
    <xf numFmtId="0" fontId="98" fillId="0" borderId="0"/>
    <xf numFmtId="0" fontId="67" fillId="0" borderId="0"/>
    <xf numFmtId="38" fontId="104" fillId="0" borderId="30">
      <alignment horizontal="right" vertical="center"/>
      <protection locked="0"/>
    </xf>
    <xf numFmtId="0" fontId="97" fillId="0" borderId="0"/>
    <xf numFmtId="0" fontId="97" fillId="0" borderId="0"/>
    <xf numFmtId="0" fontId="106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6" fillId="0" borderId="0"/>
    <xf numFmtId="242" fontId="97" fillId="0" borderId="0" applyFont="0" applyFill="0" applyBorder="0" applyAlignment="0" applyProtection="0"/>
    <xf numFmtId="2" fontId="68" fillId="0" borderId="0" applyFill="0" applyBorder="0" applyAlignment="0" applyProtection="0"/>
    <xf numFmtId="0" fontId="5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2" fontId="107" fillId="0" borderId="0" applyFont="0" applyFill="0" applyBorder="0" applyAlignment="0" applyProtection="0"/>
    <xf numFmtId="0" fontId="108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7" fillId="0" borderId="0" applyFont="0" applyFill="0" applyBorder="0" applyAlignment="0" applyProtection="0"/>
    <xf numFmtId="0" fontId="107" fillId="0" borderId="0" applyFont="0" applyFill="0" applyBorder="0" applyAlignment="0" applyProtection="0"/>
    <xf numFmtId="38" fontId="110" fillId="0" borderId="0" applyFont="0" applyFill="0" applyBorder="0" applyAlignment="0" applyProtection="0"/>
    <xf numFmtId="0" fontId="110" fillId="0" borderId="0" applyFont="0" applyFill="0" applyBorder="0" applyAlignment="0" applyProtection="0"/>
    <xf numFmtId="0" fontId="110" fillId="0" borderId="0" applyFont="0" applyFill="0" applyBorder="0" applyAlignment="0" applyProtection="0"/>
    <xf numFmtId="0" fontId="112" fillId="0" borderId="0"/>
    <xf numFmtId="41" fontId="97" fillId="0" borderId="0" applyFont="0" applyFill="0" applyBorder="0" applyAlignment="0" applyProtection="0">
      <alignment vertical="center"/>
    </xf>
    <xf numFmtId="41" fontId="113" fillId="0" borderId="0" applyFont="0" applyFill="0" applyBorder="0" applyAlignment="0" applyProtection="0">
      <alignment vertical="center"/>
    </xf>
    <xf numFmtId="41" fontId="113" fillId="0" borderId="0" applyFont="0" applyFill="0" applyBorder="0" applyAlignment="0" applyProtection="0">
      <alignment vertical="center"/>
    </xf>
    <xf numFmtId="41" fontId="113" fillId="0" borderId="0" applyFont="0" applyFill="0" applyBorder="0" applyAlignment="0" applyProtection="0">
      <alignment vertical="center"/>
    </xf>
    <xf numFmtId="41" fontId="113" fillId="0" borderId="0" applyFont="0" applyFill="0" applyBorder="0" applyAlignment="0" applyProtection="0">
      <alignment vertical="center"/>
    </xf>
    <xf numFmtId="41" fontId="113" fillId="0" borderId="0" applyFont="0" applyFill="0" applyBorder="0" applyAlignment="0" applyProtection="0">
      <alignment vertical="center"/>
    </xf>
    <xf numFmtId="41" fontId="113" fillId="0" borderId="0" applyFont="0" applyFill="0" applyBorder="0" applyAlignment="0" applyProtection="0">
      <alignment vertical="center"/>
    </xf>
    <xf numFmtId="41" fontId="113" fillId="0" borderId="0" applyFont="0" applyFill="0" applyBorder="0" applyAlignment="0" applyProtection="0">
      <alignment vertical="center"/>
    </xf>
    <xf numFmtId="41" fontId="97" fillId="0" borderId="0" applyFont="0" applyFill="0" applyBorder="0" applyAlignment="0" applyProtection="0">
      <alignment vertical="center"/>
    </xf>
    <xf numFmtId="41" fontId="97" fillId="0" borderId="0" applyFont="0" applyFill="0" applyBorder="0" applyAlignment="0" applyProtection="0"/>
    <xf numFmtId="41" fontId="114" fillId="0" borderId="0" applyFont="0" applyFill="0" applyBorder="0" applyAlignment="0" applyProtection="0">
      <alignment vertical="center"/>
    </xf>
    <xf numFmtId="41" fontId="111" fillId="0" borderId="0" applyFont="0" applyFill="0" applyBorder="0" applyAlignment="0" applyProtection="0">
      <alignment vertical="center"/>
    </xf>
    <xf numFmtId="41" fontId="97" fillId="0" borderId="0" applyFont="0" applyFill="0" applyBorder="0" applyAlignment="0" applyProtection="0">
      <alignment vertical="center"/>
    </xf>
    <xf numFmtId="0" fontId="115" fillId="0" borderId="13" applyNumberFormat="0" applyFill="0" applyAlignment="0" applyProtection="0">
      <alignment vertical="center"/>
    </xf>
    <xf numFmtId="4" fontId="107" fillId="0" borderId="0" applyFont="0" applyFill="0" applyBorder="0" applyAlignment="0" applyProtection="0"/>
    <xf numFmtId="3" fontId="107" fillId="0" borderId="0" applyFont="0" applyFill="0" applyBorder="0" applyAlignment="0" applyProtection="0"/>
    <xf numFmtId="243" fontId="98" fillId="0" borderId="0" applyFont="0" applyFill="0" applyBorder="0" applyAlignment="0" applyProtection="0"/>
    <xf numFmtId="244" fontId="98" fillId="0" borderId="0" applyFont="0" applyFill="0" applyBorder="0" applyAlignment="0" applyProtection="0"/>
    <xf numFmtId="10" fontId="107" fillId="0" borderId="0" applyFont="0" applyFill="0" applyBorder="0" applyAlignment="0" applyProtection="0"/>
    <xf numFmtId="0" fontId="105" fillId="0" borderId="0">
      <alignment vertical="center"/>
    </xf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111" fillId="0" borderId="0"/>
    <xf numFmtId="0" fontId="97" fillId="0" borderId="0">
      <alignment vertical="center"/>
    </xf>
    <xf numFmtId="0" fontId="9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7" fillId="0" borderId="35" applyNumberFormat="0" applyFont="0" applyFill="0" applyAlignment="0" applyProtection="0"/>
    <xf numFmtId="0" fontId="97" fillId="0" borderId="0" applyFont="0" applyFill="0" applyBorder="0" applyAlignment="0" applyProtection="0"/>
    <xf numFmtId="245" fontId="107" fillId="0" borderId="0" applyFont="0" applyFill="0" applyBorder="0" applyAlignment="0" applyProtection="0"/>
    <xf numFmtId="0" fontId="3" fillId="0" borderId="0"/>
    <xf numFmtId="0" fontId="11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" fillId="0" borderId="0"/>
    <xf numFmtId="0" fontId="118" fillId="0" borderId="0" applyNumberFormat="0" applyFont="0" applyFill="0" applyBorder="0" applyAlignment="0" applyProtection="0"/>
    <xf numFmtId="0" fontId="2" fillId="0" borderId="0"/>
    <xf numFmtId="0" fontId="2" fillId="0" borderId="0"/>
    <xf numFmtId="212" fontId="2" fillId="0" borderId="0" applyFont="0" applyFill="0" applyBorder="0" applyAlignment="0" applyProtection="0"/>
    <xf numFmtId="246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18" fillId="0" borderId="0" applyNumberFormat="0" applyFill="0" applyBorder="0" applyAlignment="0" applyProtection="0"/>
    <xf numFmtId="0" fontId="2" fillId="0" borderId="0" applyFont="0" applyFill="0" applyBorder="0" applyAlignment="0" applyProtection="0"/>
    <xf numFmtId="0" fontId="2" fillId="0" borderId="0"/>
    <xf numFmtId="247" fontId="2" fillId="0" borderId="0" applyFont="0" applyFill="0" applyBorder="0" applyAlignment="0" applyProtection="0"/>
    <xf numFmtId="248" fontId="2" fillId="0" borderId="0" applyFont="0" applyFill="0" applyBorder="0" applyAlignment="0" applyProtection="0"/>
    <xf numFmtId="249" fontId="2" fillId="0" borderId="0" applyFont="0" applyFill="0" applyBorder="0" applyAlignment="0" applyProtection="0"/>
    <xf numFmtId="250" fontId="2" fillId="0" borderId="0" applyFont="0" applyFill="0" applyBorder="0" applyAlignment="0" applyProtection="0"/>
    <xf numFmtId="0" fontId="119" fillId="0" borderId="0"/>
    <xf numFmtId="0" fontId="2" fillId="0" borderId="0"/>
    <xf numFmtId="0" fontId="2" fillId="0" borderId="0"/>
    <xf numFmtId="0" fontId="2" fillId="0" borderId="0" applyFont="0" applyFill="0" applyBorder="0" applyAlignment="0" applyProtection="0"/>
    <xf numFmtId="251" fontId="2" fillId="0" borderId="0" applyFont="0" applyFill="0" applyBorder="0" applyAlignment="0" applyProtection="0"/>
    <xf numFmtId="168" fontId="2" fillId="0" borderId="0" applyNumberFormat="0" applyFill="0" applyBorder="0" applyAlignment="0"/>
    <xf numFmtId="252" fontId="2" fillId="0" borderId="0" applyFill="0" applyBorder="0" applyProtection="0">
      <alignment horizontal="right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120" fillId="40" borderId="0">
      <alignment horizontal="left"/>
    </xf>
    <xf numFmtId="183" fontId="121" fillId="43" borderId="0" applyNumberFormat="0" applyFill="0" applyBorder="0" applyAlignment="0" applyProtection="0">
      <alignment horizontal="right"/>
    </xf>
    <xf numFmtId="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53" fontId="60" fillId="0" borderId="0" applyFill="0" applyBorder="0" applyAlignment="0" applyProtection="0">
      <protection locked="0"/>
    </xf>
    <xf numFmtId="0" fontId="122" fillId="31" borderId="0"/>
    <xf numFmtId="212" fontId="43" fillId="0" borderId="0" applyNumberFormat="0" applyFont="0" applyAlignment="0" applyProtection="0"/>
    <xf numFmtId="0" fontId="123" fillId="7" borderId="0" applyNumberFormat="0" applyBorder="0">
      <alignment horizontal="center" vertical="center"/>
    </xf>
    <xf numFmtId="0" fontId="2" fillId="0" borderId="0"/>
    <xf numFmtId="253" fontId="60" fillId="0" borderId="0" applyFont="0" applyFill="0" applyBorder="0" applyAlignment="0" applyProtection="0">
      <protection locked="0"/>
    </xf>
    <xf numFmtId="0" fontId="53" fillId="23" borderId="0" applyNumberFormat="0">
      <alignment horizontal="left" vertical="top" wrapText="1"/>
    </xf>
    <xf numFmtId="0" fontId="53" fillId="23" borderId="0" applyNumberFormat="0">
      <alignment horizontal="centerContinuous" vertical="top"/>
    </xf>
    <xf numFmtId="0" fontId="37" fillId="23" borderId="0" applyNumberFormat="0">
      <alignment horizontal="center" vertical="top" wrapText="1"/>
    </xf>
    <xf numFmtId="0" fontId="53" fillId="4" borderId="0" applyNumberFormat="0">
      <alignment horizontal="center" vertical="top" wrapText="1"/>
    </xf>
    <xf numFmtId="43" fontId="2" fillId="0" borderId="0" applyFont="0" applyFill="0" applyBorder="0" applyAlignment="0" applyProtection="0"/>
    <xf numFmtId="178" fontId="37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/>
    <xf numFmtId="0" fontId="47" fillId="0" borderId="0" applyFont="0" applyFill="0" applyBorder="0" applyAlignment="0" applyProtection="0"/>
    <xf numFmtId="212" fontId="6" fillId="0" borderId="0"/>
    <xf numFmtId="3" fontId="124" fillId="0" borderId="0" applyFont="0" applyFill="0" applyBorder="0" applyAlignment="0" applyProtection="0"/>
    <xf numFmtId="0" fontId="2" fillId="0" borderId="0">
      <alignment horizontal="left"/>
    </xf>
    <xf numFmtId="0" fontId="2" fillId="0" borderId="0"/>
    <xf numFmtId="0" fontId="2" fillId="0" borderId="0">
      <alignment horizontal="left"/>
    </xf>
    <xf numFmtId="254" fontId="2" fillId="0" borderId="0"/>
    <xf numFmtId="8" fontId="2" fillId="0" borderId="0" applyFont="0" applyFill="0" applyBorder="0" applyAlignment="0"/>
    <xf numFmtId="255" fontId="2" fillId="0" borderId="0" applyFont="0" applyFill="0" applyBorder="0" applyAlignment="0" applyProtection="0"/>
    <xf numFmtId="15" fontId="79" fillId="0" borderId="0" applyFill="0" applyBorder="0" applyAlignment="0"/>
    <xf numFmtId="0" fontId="79" fillId="40" borderId="0" applyFont="0" applyFill="0" applyBorder="0" applyAlignment="0" applyProtection="0"/>
    <xf numFmtId="256" fontId="2" fillId="40" borderId="28" applyFont="0" applyFill="0" applyBorder="0" applyAlignment="0" applyProtection="0"/>
    <xf numFmtId="257" fontId="2" fillId="40" borderId="0" applyFont="0" applyFill="0" applyBorder="0" applyAlignment="0" applyProtection="0"/>
    <xf numFmtId="17" fontId="79" fillId="0" borderId="0" applyFill="0" applyBorder="0">
      <alignment horizontal="right"/>
    </xf>
    <xf numFmtId="166" fontId="2" fillId="0" borderId="2" applyFont="0" applyFill="0" applyBorder="0" applyAlignment="0" applyProtection="0"/>
    <xf numFmtId="0" fontId="2" fillId="0" borderId="0">
      <alignment horizontal="right"/>
      <protection locked="0"/>
    </xf>
    <xf numFmtId="257" fontId="2" fillId="0" borderId="0" applyFill="0" applyBorder="0">
      <alignment horizontal="right"/>
    </xf>
    <xf numFmtId="14" fontId="125" fillId="0" borderId="0" applyFont="0" applyFill="0" applyBorder="0" applyAlignment="0" applyProtection="0">
      <alignment horizontal="center"/>
    </xf>
    <xf numFmtId="258" fontId="125" fillId="0" borderId="0" applyFont="0" applyFill="0" applyBorder="0" applyAlignment="0" applyProtection="0">
      <alignment horizontal="center"/>
    </xf>
    <xf numFmtId="0" fontId="35" fillId="0" borderId="0">
      <protection locked="0"/>
    </xf>
    <xf numFmtId="8" fontId="60" fillId="0" borderId="0" applyFont="0" applyFill="0" applyBorder="0" applyAlignment="0" applyProtection="0"/>
    <xf numFmtId="0" fontId="6" fillId="0" borderId="0"/>
    <xf numFmtId="6" fontId="60" fillId="0" borderId="0" applyFont="0" applyFill="0" applyBorder="0" applyAlignment="0" applyProtection="0"/>
    <xf numFmtId="167" fontId="126" fillId="0" borderId="37" applyNumberFormat="0" applyAlignment="0" applyProtection="0">
      <alignment vertical="top"/>
    </xf>
    <xf numFmtId="0" fontId="6" fillId="45" borderId="0" applyNumberFormat="0" applyFont="0" applyBorder="0" applyAlignment="0" applyProtection="0"/>
    <xf numFmtId="167" fontId="45" fillId="0" borderId="0" applyNumberFormat="0"/>
    <xf numFmtId="8" fontId="60" fillId="0" borderId="0" applyFont="0" applyFill="0" applyBorder="0" applyAlignment="0" applyProtection="0">
      <alignment horizontal="right"/>
    </xf>
    <xf numFmtId="259" fontId="43" fillId="0" borderId="0" applyFont="0" applyFill="0" applyBorder="0" applyProtection="0">
      <alignment horizontal="left"/>
      <protection locked="0"/>
    </xf>
    <xf numFmtId="260" fontId="43" fillId="0" borderId="0" applyFont="0" applyFill="0" applyBorder="0" applyProtection="0">
      <alignment horizontal="left"/>
      <protection locked="0"/>
    </xf>
    <xf numFmtId="261" fontId="43" fillId="43" borderId="0">
      <alignment horizontal="right"/>
    </xf>
    <xf numFmtId="2" fontId="124" fillId="0" borderId="0" applyFont="0" applyFill="0" applyBorder="0" applyAlignment="0" applyProtection="0"/>
    <xf numFmtId="0" fontId="2" fillId="40" borderId="0" applyFont="0" applyFill="0" applyBorder="0" applyAlignment="0"/>
    <xf numFmtId="0" fontId="6" fillId="0" borderId="0"/>
    <xf numFmtId="0" fontId="127" fillId="0" borderId="0" applyNumberFormat="0" applyFill="0" applyBorder="0" applyAlignment="0" applyProtection="0">
      <alignment vertical="top"/>
      <protection locked="0"/>
    </xf>
    <xf numFmtId="0" fontId="2" fillId="0" borderId="0">
      <alignment horizontal="left"/>
    </xf>
    <xf numFmtId="0" fontId="2" fillId="0" borderId="0">
      <alignment horizontal="left"/>
    </xf>
    <xf numFmtId="0" fontId="2" fillId="0" borderId="0">
      <alignment horizontal="left"/>
    </xf>
    <xf numFmtId="0" fontId="2" fillId="0" borderId="0">
      <alignment horizontal="left"/>
    </xf>
    <xf numFmtId="262" fontId="60" fillId="0" borderId="0" applyFill="0" applyBorder="0" applyAlignment="0" applyProtection="0">
      <protection locked="0"/>
    </xf>
    <xf numFmtId="38" fontId="6" fillId="32" borderId="0" applyNumberFormat="0" applyFont="0" applyBorder="0" applyAlignment="0">
      <protection hidden="1"/>
    </xf>
    <xf numFmtId="263" fontId="128" fillId="0" borderId="0" applyFill="0" applyBorder="0" applyAlignment="0" applyProtection="0"/>
    <xf numFmtId="263" fontId="129" fillId="0" borderId="0" applyAlignment="0">
      <alignment horizontal="left"/>
      <protection locked="0"/>
    </xf>
    <xf numFmtId="0" fontId="43" fillId="0" borderId="0"/>
    <xf numFmtId="223" fontId="130" fillId="0" borderId="0" applyNumberFormat="0" applyFill="0" applyBorder="0" applyAlignment="0" applyProtection="0"/>
    <xf numFmtId="264" fontId="79" fillId="40" borderId="5" applyNumberFormat="0" applyFont="0" applyAlignment="0"/>
    <xf numFmtId="0" fontId="2" fillId="1" borderId="0" applyNumberFormat="0" applyBorder="0" applyProtection="0">
      <alignment horizontal="left" vertical="center"/>
    </xf>
    <xf numFmtId="0" fontId="2" fillId="0" borderId="0">
      <alignment horizontal="left"/>
    </xf>
    <xf numFmtId="0" fontId="131" fillId="36" borderId="0">
      <alignment horizontal="left"/>
    </xf>
    <xf numFmtId="0" fontId="2" fillId="46" borderId="0"/>
    <xf numFmtId="0" fontId="2" fillId="0" borderId="0">
      <alignment horizontal="left"/>
    </xf>
    <xf numFmtId="0" fontId="2" fillId="0" borderId="8">
      <alignment horizontal="left" vertical="top"/>
    </xf>
    <xf numFmtId="0" fontId="2" fillId="0" borderId="0">
      <alignment horizontal="left"/>
    </xf>
    <xf numFmtId="0" fontId="2" fillId="0" borderId="8">
      <alignment horizontal="left" vertical="top"/>
    </xf>
    <xf numFmtId="0" fontId="2" fillId="0" borderId="0">
      <alignment horizontal="left"/>
    </xf>
    <xf numFmtId="0" fontId="133" fillId="0" borderId="0"/>
    <xf numFmtId="265" fontId="134" fillId="0" borderId="0" applyNumberFormat="0" applyFill="0" applyBorder="0" applyAlignment="0"/>
    <xf numFmtId="0" fontId="135" fillId="0" borderId="0" applyNumberFormat="0" applyFill="0" applyBorder="0" applyAlignment="0" applyProtection="0">
      <alignment vertical="top"/>
      <protection locked="0"/>
    </xf>
    <xf numFmtId="262" fontId="60" fillId="0" borderId="0" applyFill="0" applyBorder="0" applyAlignment="0" applyProtection="0">
      <alignment horizontal="right"/>
      <protection locked="0"/>
    </xf>
    <xf numFmtId="8" fontId="6" fillId="0" borderId="0"/>
    <xf numFmtId="257" fontId="2" fillId="40" borderId="0" applyFont="0" applyBorder="0" applyAlignment="0" applyProtection="0">
      <protection locked="0"/>
    </xf>
    <xf numFmtId="0" fontId="6" fillId="40" borderId="0" applyFont="0" applyBorder="0" applyAlignment="0">
      <protection locked="0"/>
    </xf>
    <xf numFmtId="262" fontId="6" fillId="40" borderId="0">
      <protection locked="0"/>
    </xf>
    <xf numFmtId="266" fontId="2" fillId="40" borderId="0" applyFont="0" applyBorder="0" applyAlignment="0">
      <protection locked="0"/>
    </xf>
    <xf numFmtId="10" fontId="6" fillId="40" borderId="0">
      <protection locked="0"/>
    </xf>
    <xf numFmtId="0" fontId="6" fillId="40" borderId="0" applyFont="0" applyBorder="0" applyAlignment="0">
      <protection locked="0"/>
    </xf>
    <xf numFmtId="262" fontId="136" fillId="40" borderId="0" applyNumberFormat="0" applyBorder="0" applyAlignment="0">
      <protection locked="0"/>
    </xf>
    <xf numFmtId="0" fontId="2" fillId="40" borderId="5"/>
    <xf numFmtId="0" fontId="2" fillId="40" borderId="5"/>
    <xf numFmtId="0" fontId="35" fillId="0" borderId="0" applyNumberFormat="0" applyFill="0" applyBorder="0" applyAlignment="0">
      <protection locked="0"/>
    </xf>
    <xf numFmtId="212" fontId="137" fillId="0" borderId="0" applyNumberFormat="0" applyFont="0" applyFill="0" applyBorder="0" applyAlignment="0">
      <protection hidden="1"/>
    </xf>
    <xf numFmtId="0" fontId="138" fillId="0" borderId="0"/>
    <xf numFmtId="218" fontId="68" fillId="27" borderId="0" applyBorder="0" applyAlignment="0">
      <alignment horizontal="right"/>
    </xf>
    <xf numFmtId="226" fontId="139" fillId="0" borderId="0" applyFill="0" applyBorder="0" applyAlignment="0" applyProtection="0"/>
    <xf numFmtId="168" fontId="2" fillId="32" borderId="0" applyFont="0" applyBorder="0" applyAlignment="0" applyProtection="0">
      <alignment horizontal="right"/>
      <protection hidden="1"/>
    </xf>
    <xf numFmtId="0" fontId="35" fillId="0" borderId="20" applyBorder="0" applyAlignment="0" applyProtection="0">
      <alignment horizontal="center"/>
    </xf>
    <xf numFmtId="37" fontId="140" fillId="0" borderId="0"/>
    <xf numFmtId="1" fontId="141" fillId="0" borderId="0" applyFill="0" applyBorder="0"/>
    <xf numFmtId="38" fontId="6" fillId="0" borderId="0" applyFont="0" applyFill="0" applyBorder="0" applyAlignment="0"/>
    <xf numFmtId="262" fontId="2" fillId="0" borderId="0" applyFont="0" applyFill="0" applyBorder="0" applyAlignment="0"/>
    <xf numFmtId="40" fontId="6" fillId="0" borderId="0" applyFont="0" applyFill="0" applyBorder="0" applyAlignment="0"/>
    <xf numFmtId="244" fontId="2" fillId="0" borderId="0" applyFont="0" applyFill="0" applyBorder="0" applyAlignment="0"/>
    <xf numFmtId="0" fontId="116" fillId="0" borderId="0"/>
    <xf numFmtId="0" fontId="37" fillId="0" borderId="0"/>
    <xf numFmtId="0" fontId="116" fillId="0" borderId="0"/>
    <xf numFmtId="0" fontId="116" fillId="0" borderId="0"/>
    <xf numFmtId="262" fontId="79" fillId="0" borderId="0" applyNumberFormat="0" applyFill="0" applyBorder="0" applyAlignment="0" applyProtection="0"/>
    <xf numFmtId="0" fontId="6" fillId="0" borderId="0" applyFont="0" applyFill="0" applyBorder="0" applyAlignment="0" applyProtection="0"/>
    <xf numFmtId="223" fontId="43" fillId="0" borderId="0" applyFill="0" applyBorder="0" applyAlignment="0" applyProtection="0"/>
    <xf numFmtId="0" fontId="2" fillId="0" borderId="0"/>
    <xf numFmtId="165" fontId="2" fillId="0" borderId="0"/>
    <xf numFmtId="0" fontId="76" fillId="0" borderId="18"/>
    <xf numFmtId="26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2" fillId="0" borderId="5">
      <alignment vertical="center" wrapText="1"/>
    </xf>
    <xf numFmtId="0" fontId="50" fillId="0" borderId="38" applyNumberFormat="0" applyAlignment="0" applyProtection="0"/>
    <xf numFmtId="0" fontId="43" fillId="23" borderId="0" applyNumberFormat="0" applyFont="0" applyBorder="0" applyAlignment="0" applyProtection="0"/>
    <xf numFmtId="0" fontId="6" fillId="4" borderId="18" applyNumberFormat="0" applyFont="0" applyBorder="0" applyAlignment="0" applyProtection="0">
      <alignment horizontal="center"/>
    </xf>
    <xf numFmtId="0" fontId="6" fillId="6" borderId="18" applyNumberFormat="0" applyFont="0" applyBorder="0" applyAlignment="0" applyProtection="0">
      <alignment horizontal="center"/>
    </xf>
    <xf numFmtId="0" fontId="43" fillId="0" borderId="39" applyNumberFormat="0" applyAlignment="0" applyProtection="0"/>
    <xf numFmtId="0" fontId="43" fillId="0" borderId="40" applyNumberFormat="0" applyAlignment="0" applyProtection="0"/>
    <xf numFmtId="0" fontId="50" fillId="0" borderId="41" applyNumberFormat="0" applyAlignment="0" applyProtection="0"/>
    <xf numFmtId="0" fontId="6" fillId="0" borderId="0"/>
    <xf numFmtId="167" fontId="142" fillId="0" borderId="0" applyFill="0" applyBorder="0" applyProtection="0">
      <alignment vertical="top"/>
    </xf>
    <xf numFmtId="167" fontId="82" fillId="0" borderId="0" applyFont="0" applyFill="0" applyBorder="0" applyAlignment="0" applyProtection="0"/>
    <xf numFmtId="10" fontId="82" fillId="0" borderId="0" applyFont="0" applyFill="0" applyBorder="0" applyAlignment="0" applyProtection="0"/>
    <xf numFmtId="0" fontId="2" fillId="0" borderId="0" applyFont="0" applyFill="0" applyBorder="0" applyAlignment="0"/>
    <xf numFmtId="266" fontId="2" fillId="0" borderId="0" applyFont="0" applyFill="0" applyBorder="0" applyAlignment="0"/>
    <xf numFmtId="9" fontId="43" fillId="0" borderId="0"/>
    <xf numFmtId="10" fontId="43" fillId="0" borderId="0"/>
    <xf numFmtId="9" fontId="43" fillId="0" borderId="0"/>
    <xf numFmtId="190" fontId="37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263" fontId="60" fillId="0" borderId="0" applyFont="0" applyFill="0" applyBorder="0" applyAlignment="0" applyProtection="0"/>
    <xf numFmtId="251" fontId="2" fillId="0" borderId="0" applyFont="0" applyFill="0" applyBorder="0" applyAlignment="0" applyProtection="0"/>
    <xf numFmtId="8" fontId="60" fillId="0" borderId="0" applyFont="0" applyFill="0" applyBorder="0" applyAlignment="0" applyProtection="0"/>
    <xf numFmtId="262" fontId="60" fillId="0" borderId="0" applyFont="0" applyFill="0" applyBorder="0" applyAlignment="0" applyProtection="0">
      <protection locked="0"/>
    </xf>
    <xf numFmtId="262" fontId="60" fillId="0" borderId="0" applyFill="0" applyBorder="0" applyAlignment="0" applyProtection="0"/>
    <xf numFmtId="38" fontId="60" fillId="0" borderId="0" applyFont="0" applyFill="0" applyBorder="0" applyAlignment="0" applyProtection="0"/>
    <xf numFmtId="8" fontId="143" fillId="0" borderId="25">
      <alignment horizontal="right"/>
    </xf>
    <xf numFmtId="0" fontId="2" fillId="0" borderId="0"/>
    <xf numFmtId="268" fontId="2" fillId="0" borderId="0"/>
    <xf numFmtId="269" fontId="144" fillId="0" borderId="0"/>
    <xf numFmtId="268" fontId="2" fillId="0" borderId="0"/>
    <xf numFmtId="269" fontId="144" fillId="0" borderId="0"/>
    <xf numFmtId="269" fontId="144" fillId="0" borderId="0"/>
    <xf numFmtId="268" fontId="2" fillId="0" borderId="0"/>
    <xf numFmtId="269" fontId="144" fillId="0" borderId="0"/>
    <xf numFmtId="269" fontId="144" fillId="0" borderId="0"/>
    <xf numFmtId="269" fontId="144" fillId="0" borderId="0"/>
    <xf numFmtId="268" fontId="2" fillId="0" borderId="0"/>
    <xf numFmtId="269" fontId="144" fillId="0" borderId="0"/>
    <xf numFmtId="269" fontId="144" fillId="0" borderId="0"/>
    <xf numFmtId="268" fontId="2" fillId="0" borderId="0"/>
    <xf numFmtId="269" fontId="144" fillId="0" borderId="0"/>
    <xf numFmtId="269" fontId="144" fillId="0" borderId="0"/>
    <xf numFmtId="0" fontId="2" fillId="0" borderId="0"/>
    <xf numFmtId="0" fontId="2" fillId="0" borderId="0"/>
    <xf numFmtId="0" fontId="2" fillId="0" borderId="0"/>
    <xf numFmtId="262" fontId="145" fillId="0" borderId="0" applyNumberFormat="0" applyFill="0" applyBorder="0" applyAlignment="0" applyProtection="0">
      <alignment horizontal="left"/>
    </xf>
    <xf numFmtId="262" fontId="125" fillId="0" borderId="0" applyFont="0" applyFill="0" applyBorder="0" applyAlignment="0" applyProtection="0"/>
    <xf numFmtId="0" fontId="146" fillId="0" borderId="0" applyNumberFormat="0" applyFill="0" applyBorder="0" applyProtection="0">
      <alignment horizontal="right" vertical="center"/>
    </xf>
    <xf numFmtId="0" fontId="2" fillId="0" borderId="42">
      <alignment vertical="center"/>
    </xf>
    <xf numFmtId="215" fontId="48" fillId="0" borderId="0" applyFill="0" applyBorder="0">
      <alignment horizontal="right"/>
      <protection hidden="1"/>
    </xf>
    <xf numFmtId="253" fontId="60" fillId="0" borderId="0" applyFill="0" applyBorder="0" applyAlignment="0" applyProtection="0">
      <protection locked="0"/>
    </xf>
    <xf numFmtId="0" fontId="5" fillId="0" borderId="0"/>
    <xf numFmtId="0" fontId="6" fillId="23" borderId="0" applyNumberFormat="0" applyFont="0" applyBorder="0" applyAlignment="0">
      <protection hidden="1"/>
    </xf>
    <xf numFmtId="0" fontId="82" fillId="0" borderId="0"/>
    <xf numFmtId="0" fontId="147" fillId="0" borderId="0" applyNumberFormat="0" applyFill="0" applyBorder="0" applyProtection="0">
      <alignment horizontal="left" vertical="center"/>
    </xf>
    <xf numFmtId="0" fontId="60" fillId="0" borderId="0"/>
    <xf numFmtId="0" fontId="2" fillId="0" borderId="0" applyBorder="0" applyProtection="0">
      <alignment vertical="center"/>
    </xf>
    <xf numFmtId="0" fontId="2" fillId="0" borderId="0">
      <alignment horizontal="left"/>
    </xf>
    <xf numFmtId="0" fontId="2" fillId="0" borderId="0"/>
    <xf numFmtId="0" fontId="60" fillId="0" borderId="0"/>
    <xf numFmtId="0" fontId="148" fillId="0" borderId="0">
      <alignment horizontal="centerContinuous"/>
    </xf>
    <xf numFmtId="0" fontId="2" fillId="26" borderId="0" applyNumberFormat="0" applyFon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2" fillId="0" borderId="0" applyFill="0" applyBorder="0" applyAlignment="0" applyProtection="0">
      <alignment horizontal="right"/>
    </xf>
    <xf numFmtId="1" fontId="125" fillId="0" borderId="1" applyFill="0" applyBorder="0" applyProtection="0">
      <alignment horizontal="right"/>
    </xf>
    <xf numFmtId="270" fontId="2" fillId="0" borderId="0"/>
    <xf numFmtId="271" fontId="144" fillId="0" borderId="0"/>
    <xf numFmtId="0" fontId="125" fillId="0" borderId="0" applyFill="0" applyBorder="0" applyProtection="0"/>
    <xf numFmtId="0" fontId="2" fillId="0" borderId="43"/>
    <xf numFmtId="262" fontId="132" fillId="0" borderId="44"/>
    <xf numFmtId="262" fontId="14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 applyNumberFormat="0" applyFont="0" applyFill="0" applyBorder="0" applyAlignment="0">
      <alignment horizontal="left" vertical="center"/>
    </xf>
    <xf numFmtId="212" fontId="2" fillId="0" borderId="4" applyNumberFormat="0" applyFont="0" applyFill="0" applyAlignment="0"/>
    <xf numFmtId="0" fontId="53" fillId="23" borderId="0" applyNumberFormat="0" applyAlignment="0" applyProtection="0">
      <alignment horizontal="left" vertical="center" wrapText="1"/>
    </xf>
    <xf numFmtId="24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149" fillId="0" borderId="2" applyAlignment="0">
      <alignment horizontal="left"/>
      <protection locked="0"/>
    </xf>
    <xf numFmtId="0" fontId="2" fillId="0" borderId="0"/>
    <xf numFmtId="0" fontId="150" fillId="0" borderId="0"/>
    <xf numFmtId="42" fontId="2" fillId="0" borderId="0" applyFont="0" applyFill="0" applyBorder="0" applyAlignment="0" applyProtection="0"/>
    <xf numFmtId="0" fontId="151" fillId="0" borderId="0" applyNumberFormat="0" applyFont="0" applyFill="0" applyBorder="0" applyAlignment="0" applyProtection="0">
      <alignment horizontal="left"/>
    </xf>
    <xf numFmtId="0" fontId="152" fillId="0" borderId="0" applyNumberFormat="0" applyFill="0" applyBorder="0" applyAlignment="0" applyProtection="0"/>
    <xf numFmtId="1" fontId="60" fillId="0" borderId="0" applyFont="0" applyFill="0" applyBorder="0" applyAlignment="0" applyProtection="0"/>
    <xf numFmtId="1" fontId="2" fillId="47" borderId="0"/>
    <xf numFmtId="40" fontId="110" fillId="0" borderId="0" applyFont="0" applyFill="0" applyBorder="0" applyAlignment="0" applyProtection="0"/>
    <xf numFmtId="272" fontId="2" fillId="0" borderId="0" applyFont="0" applyFill="0" applyBorder="0" applyAlignment="0" applyProtection="0"/>
    <xf numFmtId="0" fontId="97" fillId="0" borderId="0" applyFont="0" applyFill="0" applyBorder="0" applyAlignment="0" applyProtection="0"/>
    <xf numFmtId="0" fontId="37" fillId="0" borderId="0"/>
    <xf numFmtId="0" fontId="2" fillId="0" borderId="0" applyFont="0" applyFill="0" applyBorder="0" applyAlignment="0" applyProtection="0"/>
    <xf numFmtId="0" fontId="116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53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0" fontId="2" fillId="0" borderId="0"/>
    <xf numFmtId="0" fontId="3" fillId="0" borderId="0"/>
    <xf numFmtId="0" fontId="16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9" fontId="3" fillId="0" borderId="0" applyFont="0" applyFill="0" applyBorder="0" applyAlignment="0" applyProtection="0"/>
  </cellStyleXfs>
  <cellXfs count="1016">
    <xf numFmtId="0" fontId="0" fillId="0" borderId="0" xfId="0"/>
    <xf numFmtId="0" fontId="3" fillId="0" borderId="0" xfId="3" applyFont="1"/>
    <xf numFmtId="167" fontId="3" fillId="0" borderId="0" xfId="2" applyNumberFormat="1" applyFont="1"/>
    <xf numFmtId="0" fontId="4" fillId="0" borderId="0" xfId="3" applyFont="1"/>
    <xf numFmtId="166" fontId="3" fillId="0" borderId="0" xfId="1" applyNumberFormat="1" applyFont="1" applyFill="1"/>
    <xf numFmtId="0" fontId="4" fillId="0" borderId="1" xfId="9" applyFont="1" applyBorder="1"/>
    <xf numFmtId="0" fontId="4" fillId="0" borderId="1" xfId="9" applyFont="1" applyBorder="1" applyAlignment="1">
      <alignment horizontal="right"/>
    </xf>
    <xf numFmtId="0" fontId="3" fillId="0" borderId="0" xfId="9" applyFont="1"/>
    <xf numFmtId="0" fontId="3" fillId="2" borderId="0" xfId="9" applyFont="1" applyFill="1"/>
    <xf numFmtId="0" fontId="3" fillId="6" borderId="0" xfId="9" applyFont="1" applyFill="1" applyAlignment="1">
      <alignment horizontal="right"/>
    </xf>
    <xf numFmtId="1" fontId="3" fillId="6" borderId="0" xfId="9" applyNumberFormat="1" applyFont="1" applyFill="1" applyAlignment="1">
      <alignment horizontal="right"/>
    </xf>
    <xf numFmtId="0" fontId="3" fillId="6" borderId="0" xfId="9" applyFont="1" applyFill="1"/>
    <xf numFmtId="1" fontId="3" fillId="6" borderId="0" xfId="10" applyNumberFormat="1" applyFont="1" applyFill="1" applyAlignment="1">
      <alignment horizontal="right"/>
    </xf>
    <xf numFmtId="2" fontId="3" fillId="6" borderId="0" xfId="9" applyNumberFormat="1" applyFont="1" applyFill="1" applyAlignment="1">
      <alignment horizontal="right"/>
    </xf>
    <xf numFmtId="0" fontId="3" fillId="0" borderId="0" xfId="9" applyFont="1" applyAlignment="1">
      <alignment horizontal="right"/>
    </xf>
    <xf numFmtId="1" fontId="3" fillId="0" borderId="0" xfId="9" applyNumberFormat="1" applyFont="1" applyAlignment="1">
      <alignment horizontal="right"/>
    </xf>
    <xf numFmtId="1" fontId="4" fillId="0" borderId="1" xfId="9" applyNumberFormat="1" applyFont="1" applyBorder="1" applyAlignment="1">
      <alignment horizontal="right"/>
    </xf>
    <xf numFmtId="166" fontId="3" fillId="6" borderId="0" xfId="10" applyNumberFormat="1" applyFont="1" applyFill="1" applyAlignment="1">
      <alignment horizontal="right"/>
    </xf>
    <xf numFmtId="0" fontId="3" fillId="0" borderId="0" xfId="11" applyFont="1"/>
    <xf numFmtId="0" fontId="3" fillId="6" borderId="0" xfId="11" applyFont="1" applyFill="1" applyAlignment="1">
      <alignment horizontal="right"/>
    </xf>
    <xf numFmtId="0" fontId="4" fillId="0" borderId="0" xfId="11" applyFont="1" applyAlignment="1">
      <alignment horizontal="left"/>
    </xf>
    <xf numFmtId="0" fontId="4" fillId="0" borderId="0" xfId="11" applyFont="1" applyAlignment="1">
      <alignment horizontal="right"/>
    </xf>
    <xf numFmtId="0" fontId="4" fillId="2" borderId="0" xfId="9" applyFont="1" applyFill="1"/>
    <xf numFmtId="0" fontId="4" fillId="6" borderId="0" xfId="9" applyFont="1" applyFill="1" applyAlignment="1">
      <alignment horizontal="right"/>
    </xf>
    <xf numFmtId="0" fontId="3" fillId="2" borderId="0" xfId="3" applyFont="1" applyFill="1" applyAlignment="1">
      <alignment vertical="center"/>
    </xf>
    <xf numFmtId="0" fontId="0" fillId="2" borderId="0" xfId="3" applyFont="1" applyFill="1" applyAlignment="1">
      <alignment vertical="center"/>
    </xf>
    <xf numFmtId="1" fontId="4" fillId="6" borderId="0" xfId="9" applyNumberFormat="1" applyFont="1" applyFill="1" applyAlignment="1">
      <alignment horizontal="right"/>
    </xf>
    <xf numFmtId="0" fontId="4" fillId="0" borderId="0" xfId="9" applyFont="1"/>
    <xf numFmtId="9" fontId="5" fillId="6" borderId="0" xfId="2" applyFont="1" applyFill="1" applyAlignment="1">
      <alignment horizontal="right"/>
    </xf>
    <xf numFmtId="0" fontId="5" fillId="6" borderId="0" xfId="12" applyFill="1" applyAlignment="1">
      <alignment horizontal="right"/>
    </xf>
    <xf numFmtId="166" fontId="3" fillId="6" borderId="0" xfId="10" applyNumberFormat="1" applyFont="1" applyFill="1" applyBorder="1" applyAlignment="1">
      <alignment horizontal="right"/>
    </xf>
    <xf numFmtId="166" fontId="3" fillId="6" borderId="0" xfId="9" applyNumberFormat="1" applyFont="1" applyFill="1" applyAlignment="1">
      <alignment horizontal="right"/>
    </xf>
    <xf numFmtId="166" fontId="3" fillId="0" borderId="0" xfId="10" applyNumberFormat="1" applyFont="1" applyFill="1"/>
    <xf numFmtId="0" fontId="4" fillId="0" borderId="1" xfId="13" applyFont="1" applyBorder="1"/>
    <xf numFmtId="0" fontId="4" fillId="0" borderId="1" xfId="13" applyFont="1" applyBorder="1" applyAlignment="1">
      <alignment horizontal="right"/>
    </xf>
    <xf numFmtId="0" fontId="2" fillId="6" borderId="0" xfId="3" applyFill="1" applyAlignment="1">
      <alignment horizontal="right"/>
    </xf>
    <xf numFmtId="0" fontId="3" fillId="6" borderId="0" xfId="3" applyFont="1" applyFill="1" applyAlignment="1">
      <alignment horizontal="right"/>
    </xf>
    <xf numFmtId="0" fontId="2" fillId="6" borderId="0" xfId="13" applyFill="1" applyAlignment="1">
      <alignment horizontal="right"/>
    </xf>
    <xf numFmtId="0" fontId="2" fillId="6" borderId="0" xfId="13" applyFill="1"/>
    <xf numFmtId="0" fontId="2" fillId="0" borderId="0" xfId="3"/>
    <xf numFmtId="166" fontId="0" fillId="6" borderId="0" xfId="1" applyNumberFormat="1" applyFont="1" applyFill="1" applyAlignment="1">
      <alignment horizontal="right"/>
    </xf>
    <xf numFmtId="166" fontId="0" fillId="4" borderId="0" xfId="1" applyNumberFormat="1" applyFont="1" applyFill="1" applyAlignment="1">
      <alignment horizontal="right"/>
    </xf>
    <xf numFmtId="9" fontId="0" fillId="6" borderId="0" xfId="2" applyFont="1" applyFill="1" applyAlignment="1">
      <alignment horizontal="right"/>
    </xf>
    <xf numFmtId="9" fontId="0" fillId="4" borderId="0" xfId="2" applyFont="1" applyFill="1" applyAlignment="1">
      <alignment horizontal="right"/>
    </xf>
    <xf numFmtId="0" fontId="0" fillId="6" borderId="0" xfId="3" applyFont="1" applyFill="1" applyAlignment="1">
      <alignment horizontal="right"/>
    </xf>
    <xf numFmtId="0" fontId="0" fillId="6" borderId="0" xfId="3" applyFont="1" applyFill="1"/>
    <xf numFmtId="178" fontId="0" fillId="6" borderId="0" xfId="1" applyNumberFormat="1" applyFont="1" applyFill="1" applyAlignment="1">
      <alignment horizontal="right"/>
    </xf>
    <xf numFmtId="179" fontId="0" fillId="6" borderId="0" xfId="1" applyNumberFormat="1" applyFont="1" applyFill="1" applyAlignment="1">
      <alignment horizontal="right"/>
    </xf>
    <xf numFmtId="166" fontId="3" fillId="6" borderId="0" xfId="1" applyNumberFormat="1" applyFont="1" applyFill="1" applyAlignment="1">
      <alignment horizontal="right"/>
    </xf>
    <xf numFmtId="0" fontId="0" fillId="0" borderId="0" xfId="0" applyAlignment="1">
      <alignment vertical="center"/>
    </xf>
    <xf numFmtId="0" fontId="12" fillId="7" borderId="0" xfId="6" applyFont="1" applyFill="1"/>
    <xf numFmtId="43" fontId="11" fillId="6" borderId="0" xfId="1" applyFont="1" applyFill="1" applyAlignment="1"/>
    <xf numFmtId="43" fontId="11" fillId="6" borderId="0" xfId="1" applyFont="1" applyFill="1" applyBorder="1" applyAlignment="1">
      <alignment horizontal="left"/>
    </xf>
    <xf numFmtId="0" fontId="13" fillId="6" borderId="0" xfId="6" applyFont="1" applyFill="1" applyAlignment="1">
      <alignment horizontal="left"/>
    </xf>
    <xf numFmtId="0" fontId="2" fillId="6" borderId="3" xfId="15" applyFill="1" applyBorder="1"/>
    <xf numFmtId="17" fontId="12" fillId="7" borderId="0" xfId="6" applyNumberFormat="1" applyFont="1" applyFill="1" applyAlignment="1">
      <alignment horizontal="center"/>
    </xf>
    <xf numFmtId="167" fontId="2" fillId="6" borderId="0" xfId="5" applyNumberFormat="1" applyFont="1" applyFill="1" applyAlignment="1">
      <alignment horizontal="center"/>
    </xf>
    <xf numFmtId="167" fontId="2" fillId="6" borderId="0" xfId="16" applyNumberFormat="1" applyFont="1" applyFill="1" applyBorder="1" applyAlignment="1">
      <alignment horizontal="center"/>
    </xf>
    <xf numFmtId="166" fontId="11" fillId="6" borderId="0" xfId="1" applyNumberFormat="1" applyFont="1" applyFill="1" applyAlignment="1">
      <alignment horizontal="center"/>
    </xf>
    <xf numFmtId="9" fontId="0" fillId="0" borderId="0" xfId="2" applyFont="1" applyAlignment="1">
      <alignment vertical="center"/>
    </xf>
    <xf numFmtId="179" fontId="0" fillId="0" borderId="0" xfId="1" applyNumberFormat="1" applyFont="1" applyAlignment="1">
      <alignment vertical="center"/>
    </xf>
    <xf numFmtId="170" fontId="0" fillId="0" borderId="0" xfId="2" applyNumberFormat="1" applyFont="1" applyAlignment="1">
      <alignment vertical="center"/>
    </xf>
    <xf numFmtId="1" fontId="0" fillId="0" borderId="0" xfId="0" applyNumberFormat="1" applyAlignment="1">
      <alignment vertical="center"/>
    </xf>
    <xf numFmtId="178" fontId="0" fillId="0" borderId="0" xfId="0" applyNumberFormat="1" applyAlignment="1">
      <alignment vertical="center"/>
    </xf>
    <xf numFmtId="167" fontId="0" fillId="0" borderId="0" xfId="2" applyNumberFormat="1" applyFont="1" applyAlignment="1">
      <alignment vertical="center"/>
    </xf>
    <xf numFmtId="166" fontId="0" fillId="0" borderId="0" xfId="1" applyNumberFormat="1" applyFont="1" applyAlignment="1">
      <alignment vertical="center"/>
    </xf>
    <xf numFmtId="178" fontId="0" fillId="0" borderId="0" xfId="1" applyNumberFormat="1" applyFont="1" applyAlignment="1">
      <alignment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9" borderId="0" xfId="0" applyFont="1" applyFill="1"/>
    <xf numFmtId="3" fontId="11" fillId="9" borderId="0" xfId="0" applyNumberFormat="1" applyFont="1" applyFill="1" applyAlignment="1">
      <alignment horizontal="center"/>
    </xf>
    <xf numFmtId="3" fontId="11" fillId="10" borderId="0" xfId="0" applyNumberFormat="1" applyFont="1" applyFill="1" applyAlignment="1">
      <alignment horizontal="left"/>
    </xf>
    <xf numFmtId="167" fontId="11" fillId="0" borderId="0" xfId="17" applyNumberFormat="1" applyFont="1" applyFill="1" applyAlignment="1">
      <alignment horizontal="center"/>
    </xf>
    <xf numFmtId="3" fontId="2" fillId="10" borderId="0" xfId="0" applyNumberFormat="1" applyFont="1" applyFill="1" applyAlignment="1">
      <alignment horizontal="center"/>
    </xf>
    <xf numFmtId="182" fontId="2" fillId="10" borderId="0" xfId="0" applyNumberFormat="1" applyFont="1" applyFill="1" applyAlignment="1">
      <alignment horizontal="center"/>
    </xf>
    <xf numFmtId="3" fontId="11" fillId="11" borderId="0" xfId="0" applyNumberFormat="1" applyFont="1" applyFill="1" applyAlignment="1">
      <alignment horizontal="left"/>
    </xf>
    <xf numFmtId="3" fontId="11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11" fillId="11" borderId="0" xfId="0" applyNumberFormat="1" applyFont="1" applyFill="1" applyAlignment="1">
      <alignment horizontal="center"/>
    </xf>
    <xf numFmtId="0" fontId="2" fillId="11" borderId="0" xfId="0" applyFont="1" applyFill="1" applyAlignment="1">
      <alignment horizontal="left"/>
    </xf>
    <xf numFmtId="0" fontId="11" fillId="11" borderId="0" xfId="0" applyFont="1" applyFill="1" applyAlignment="1">
      <alignment horizontal="center"/>
    </xf>
    <xf numFmtId="0" fontId="2" fillId="11" borderId="0" xfId="18" applyFill="1"/>
    <xf numFmtId="167" fontId="11" fillId="11" borderId="0" xfId="17" applyNumberFormat="1" applyFont="1" applyFill="1" applyAlignment="1">
      <alignment horizontal="center"/>
    </xf>
    <xf numFmtId="167" fontId="0" fillId="0" borderId="0" xfId="2" applyNumberFormat="1" applyFont="1"/>
    <xf numFmtId="169" fontId="2" fillId="10" borderId="0" xfId="0" applyNumberFormat="1" applyFont="1" applyFill="1" applyAlignment="1">
      <alignment horizontal="center"/>
    </xf>
    <xf numFmtId="165" fontId="0" fillId="0" borderId="0" xfId="1" applyNumberFormat="1" applyFont="1" applyAlignment="1">
      <alignment vertical="center"/>
    </xf>
    <xf numFmtId="0" fontId="0" fillId="3" borderId="0" xfId="0" applyFill="1" applyAlignment="1">
      <alignment vertical="center"/>
    </xf>
    <xf numFmtId="43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0" fontId="14" fillId="0" borderId="0" xfId="0" applyFont="1"/>
    <xf numFmtId="3" fontId="2" fillId="10" borderId="0" xfId="0" applyNumberFormat="1" applyFont="1" applyFill="1" applyAlignment="1">
      <alignment horizontal="left"/>
    </xf>
    <xf numFmtId="166" fontId="2" fillId="8" borderId="0" xfId="1" applyNumberFormat="1" applyFont="1" applyFill="1" applyAlignment="1"/>
    <xf numFmtId="166" fontId="2" fillId="8" borderId="0" xfId="1" applyNumberFormat="1" applyFont="1" applyFill="1" applyAlignment="1">
      <alignment horizontal="center"/>
    </xf>
    <xf numFmtId="0" fontId="14" fillId="8" borderId="0" xfId="0" applyFont="1" applyFill="1"/>
    <xf numFmtId="0" fontId="14" fillId="8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14" fillId="9" borderId="0" xfId="0" applyFont="1" applyFill="1"/>
    <xf numFmtId="3" fontId="14" fillId="9" borderId="0" xfId="0" applyNumberFormat="1" applyFont="1" applyFill="1" applyAlignment="1">
      <alignment horizontal="center"/>
    </xf>
    <xf numFmtId="9" fontId="2" fillId="9" borderId="0" xfId="17" applyFont="1" applyFill="1" applyAlignment="1">
      <alignment horizontal="center"/>
    </xf>
    <xf numFmtId="167" fontId="14" fillId="0" borderId="0" xfId="17" applyNumberFormat="1" applyFont="1" applyFill="1" applyAlignment="1">
      <alignment horizontal="center"/>
    </xf>
    <xf numFmtId="3" fontId="14" fillId="10" borderId="0" xfId="0" applyNumberFormat="1" applyFont="1" applyFill="1" applyAlignment="1">
      <alignment horizontal="left"/>
    </xf>
    <xf numFmtId="3" fontId="14" fillId="10" borderId="0" xfId="0" applyNumberFormat="1" applyFont="1" applyFill="1" applyAlignment="1">
      <alignment horizontal="center"/>
    </xf>
    <xf numFmtId="167" fontId="14" fillId="10" borderId="0" xfId="2" applyNumberFormat="1" applyFont="1" applyFill="1" applyAlignment="1">
      <alignment horizontal="left"/>
    </xf>
    <xf numFmtId="167" fontId="14" fillId="10" borderId="0" xfId="2" applyNumberFormat="1" applyFont="1" applyFill="1" applyAlignment="1">
      <alignment horizontal="center"/>
    </xf>
    <xf numFmtId="9" fontId="2" fillId="10" borderId="0" xfId="17" applyFont="1" applyFill="1" applyAlignment="1">
      <alignment horizontal="center"/>
    </xf>
    <xf numFmtId="169" fontId="14" fillId="10" borderId="0" xfId="0" applyNumberFormat="1" applyFont="1" applyFill="1" applyAlignment="1">
      <alignment horizontal="center"/>
    </xf>
    <xf numFmtId="182" fontId="14" fillId="10" borderId="0" xfId="0" applyNumberFormat="1" applyFont="1" applyFill="1" applyAlignment="1">
      <alignment horizontal="center"/>
    </xf>
    <xf numFmtId="182" fontId="14" fillId="10" borderId="0" xfId="0" applyNumberFormat="1" applyFont="1" applyFill="1" applyAlignment="1">
      <alignment horizontal="left"/>
    </xf>
    <xf numFmtId="3" fontId="14" fillId="0" borderId="0" xfId="0" applyNumberFormat="1" applyFont="1" applyAlignment="1">
      <alignment horizontal="center"/>
    </xf>
    <xf numFmtId="3" fontId="14" fillId="11" borderId="0" xfId="0" applyNumberFormat="1" applyFont="1" applyFill="1" applyAlignment="1">
      <alignment horizontal="left"/>
    </xf>
    <xf numFmtId="3" fontId="14" fillId="11" borderId="0" xfId="0" applyNumberFormat="1" applyFont="1" applyFill="1" applyAlignment="1">
      <alignment horizontal="center"/>
    </xf>
    <xf numFmtId="0" fontId="14" fillId="11" borderId="0" xfId="0" applyFont="1" applyFill="1" applyAlignment="1">
      <alignment horizontal="center"/>
    </xf>
    <xf numFmtId="167" fontId="2" fillId="11" borderId="0" xfId="17" applyNumberFormat="1" applyFont="1" applyFill="1" applyBorder="1"/>
    <xf numFmtId="0" fontId="14" fillId="11" borderId="0" xfId="0" applyFont="1" applyFill="1"/>
    <xf numFmtId="167" fontId="2" fillId="11" borderId="0" xfId="17" applyNumberFormat="1" applyFont="1" applyFill="1" applyAlignment="1">
      <alignment horizontal="center"/>
    </xf>
    <xf numFmtId="166" fontId="2" fillId="11" borderId="0" xfId="1" applyNumberFormat="1" applyFont="1" applyFill="1" applyAlignment="1">
      <alignment horizontal="center"/>
    </xf>
    <xf numFmtId="166" fontId="2" fillId="6" borderId="0" xfId="1" applyNumberFormat="1" applyFont="1" applyFill="1" applyBorder="1" applyAlignment="1">
      <alignment horizontal="center"/>
    </xf>
    <xf numFmtId="0" fontId="2" fillId="8" borderId="0" xfId="0" applyFont="1" applyFill="1"/>
    <xf numFmtId="2" fontId="2" fillId="8" borderId="0" xfId="0" applyNumberFormat="1" applyFont="1" applyFill="1" applyAlignment="1">
      <alignment horizontal="center"/>
    </xf>
    <xf numFmtId="3" fontId="2" fillId="10" borderId="0" xfId="0" quotePrefix="1" applyNumberFormat="1" applyFont="1" applyFill="1" applyAlignment="1">
      <alignment horizontal="center"/>
    </xf>
    <xf numFmtId="167" fontId="2" fillId="10" borderId="0" xfId="2" quotePrefix="1" applyNumberFormat="1" applyFont="1" applyFill="1" applyAlignment="1">
      <alignment horizontal="center"/>
    </xf>
    <xf numFmtId="167" fontId="1" fillId="0" borderId="0" xfId="2" applyNumberFormat="1" applyFont="1"/>
    <xf numFmtId="3" fontId="2" fillId="9" borderId="0" xfId="0" applyNumberFormat="1" applyFont="1" applyFill="1" applyAlignment="1">
      <alignment horizontal="center"/>
    </xf>
    <xf numFmtId="0" fontId="0" fillId="14" borderId="0" xfId="0" applyFill="1"/>
    <xf numFmtId="0" fontId="15" fillId="0" borderId="0" xfId="0" applyFont="1"/>
    <xf numFmtId="3" fontId="2" fillId="10" borderId="0" xfId="21" applyNumberFormat="1" applyFill="1" applyAlignment="1">
      <alignment horizontal="left"/>
    </xf>
    <xf numFmtId="3" fontId="0" fillId="10" borderId="0" xfId="0" applyNumberFormat="1" applyFill="1" applyAlignment="1">
      <alignment horizontal="left"/>
    </xf>
    <xf numFmtId="0" fontId="2" fillId="0" borderId="0" xfId="21"/>
    <xf numFmtId="0" fontId="3" fillId="0" borderId="0" xfId="3" quotePrefix="1" applyFont="1"/>
    <xf numFmtId="0" fontId="16" fillId="18" borderId="0" xfId="0" applyFont="1" applyFill="1"/>
    <xf numFmtId="0" fontId="16" fillId="18" borderId="0" xfId="0" applyFont="1" applyFill="1" applyAlignment="1">
      <alignment horizontal="center"/>
    </xf>
    <xf numFmtId="0" fontId="17" fillId="18" borderId="0" xfId="0" applyFont="1" applyFill="1" applyAlignment="1">
      <alignment horizontal="center"/>
    </xf>
    <xf numFmtId="17" fontId="17" fillId="18" borderId="0" xfId="0" applyNumberFormat="1" applyFont="1" applyFill="1" applyAlignment="1">
      <alignment horizontal="center"/>
    </xf>
    <xf numFmtId="3" fontId="2" fillId="11" borderId="0" xfId="1" applyNumberFormat="1" applyFont="1" applyFill="1" applyAlignment="1">
      <alignment horizontal="center"/>
    </xf>
    <xf numFmtId="3" fontId="2" fillId="11" borderId="0" xfId="17" applyNumberFormat="1" applyFont="1" applyFill="1" applyAlignment="1">
      <alignment horizontal="center"/>
    </xf>
    <xf numFmtId="3" fontId="14" fillId="5" borderId="0" xfId="0" applyNumberFormat="1" applyFont="1" applyFill="1" applyAlignment="1">
      <alignment horizontal="center"/>
    </xf>
    <xf numFmtId="3" fontId="2" fillId="5" borderId="0" xfId="0" applyNumberFormat="1" applyFont="1" applyFill="1" applyAlignment="1">
      <alignment horizontal="center"/>
    </xf>
    <xf numFmtId="0" fontId="20" fillId="0" borderId="0" xfId="22" applyNumberFormat="1" applyFont="1" applyAlignment="1">
      <alignment horizontal="left" indent="1"/>
    </xf>
    <xf numFmtId="0" fontId="20" fillId="0" borderId="0" xfId="22" applyNumberFormat="1" applyFont="1" applyAlignment="1">
      <alignment horizontal="left" indent="2"/>
    </xf>
    <xf numFmtId="0" fontId="18" fillId="0" borderId="4" xfId="22" applyNumberFormat="1" applyFont="1" applyBorder="1" applyAlignment="1">
      <alignment horizontal="left"/>
    </xf>
    <xf numFmtId="17" fontId="0" fillId="0" borderId="1" xfId="0" applyNumberFormat="1" applyBorder="1"/>
    <xf numFmtId="17" fontId="15" fillId="0" borderId="1" xfId="0" applyNumberFormat="1" applyFont="1" applyBorder="1"/>
    <xf numFmtId="185" fontId="15" fillId="0" borderId="0" xfId="0" applyNumberFormat="1" applyFont="1"/>
    <xf numFmtId="0" fontId="0" fillId="0" borderId="1" xfId="0" applyBorder="1"/>
    <xf numFmtId="0" fontId="15" fillId="16" borderId="0" xfId="0" applyFont="1" applyFill="1"/>
    <xf numFmtId="0" fontId="0" fillId="16" borderId="0" xfId="0" applyFill="1"/>
    <xf numFmtId="3" fontId="0" fillId="0" borderId="0" xfId="0" applyNumberFormat="1"/>
    <xf numFmtId="14" fontId="0" fillId="0" borderId="0" xfId="0" applyNumberFormat="1"/>
    <xf numFmtId="17" fontId="22" fillId="0" borderId="1" xfId="0" applyNumberFormat="1" applyFont="1" applyBorder="1"/>
    <xf numFmtId="14" fontId="23" fillId="0" borderId="0" xfId="0" applyNumberFormat="1" applyFont="1"/>
    <xf numFmtId="0" fontId="23" fillId="0" borderId="0" xfId="0" applyFont="1"/>
    <xf numFmtId="185" fontId="23" fillId="0" borderId="0" xfId="0" applyNumberFormat="1" applyFont="1"/>
    <xf numFmtId="17" fontId="24" fillId="0" borderId="1" xfId="0" applyNumberFormat="1" applyFont="1" applyBorder="1"/>
    <xf numFmtId="0" fontId="25" fillId="0" borderId="0" xfId="0" applyFont="1"/>
    <xf numFmtId="3" fontId="25" fillId="0" borderId="0" xfId="0" applyNumberFormat="1" applyFont="1"/>
    <xf numFmtId="185" fontId="25" fillId="0" borderId="0" xfId="0" applyNumberFormat="1" applyFont="1"/>
    <xf numFmtId="168" fontId="25" fillId="0" borderId="0" xfId="0" applyNumberFormat="1" applyFont="1"/>
    <xf numFmtId="0" fontId="25" fillId="3" borderId="0" xfId="0" applyFont="1" applyFill="1"/>
    <xf numFmtId="4" fontId="20" fillId="0" borderId="0" xfId="3" applyNumberFormat="1" applyFont="1"/>
    <xf numFmtId="3" fontId="20" fillId="0" borderId="0" xfId="3" applyNumberFormat="1" applyFont="1"/>
    <xf numFmtId="167" fontId="20" fillId="0" borderId="0" xfId="2" applyNumberFormat="1" applyFont="1"/>
    <xf numFmtId="167" fontId="20" fillId="0" borderId="0" xfId="2" applyNumberFormat="1" applyFont="1" applyBorder="1"/>
    <xf numFmtId="1" fontId="20" fillId="0" borderId="0" xfId="3" applyNumberFormat="1" applyFont="1"/>
    <xf numFmtId="0" fontId="20" fillId="0" borderId="0" xfId="3" applyFont="1"/>
    <xf numFmtId="0" fontId="18" fillId="16" borderId="1" xfId="4" applyFont="1" applyFill="1" applyBorder="1"/>
    <xf numFmtId="3" fontId="18" fillId="0" borderId="0" xfId="3" applyNumberFormat="1" applyFont="1"/>
    <xf numFmtId="166" fontId="20" fillId="0" borderId="0" xfId="1" applyNumberFormat="1" applyFont="1"/>
    <xf numFmtId="166" fontId="20" fillId="0" borderId="0" xfId="1" applyNumberFormat="1" applyFont="1" applyFill="1"/>
    <xf numFmtId="166" fontId="20" fillId="0" borderId="0" xfId="1" applyNumberFormat="1" applyFont="1" applyBorder="1"/>
    <xf numFmtId="166" fontId="20" fillId="0" borderId="0" xfId="3" applyNumberFormat="1" applyFont="1"/>
    <xf numFmtId="167" fontId="20" fillId="0" borderId="0" xfId="3" applyNumberFormat="1" applyFont="1"/>
    <xf numFmtId="3" fontId="20" fillId="13" borderId="0" xfId="3" applyNumberFormat="1" applyFont="1" applyFill="1"/>
    <xf numFmtId="166" fontId="18" fillId="13" borderId="0" xfId="1" applyNumberFormat="1" applyFont="1" applyFill="1" applyAlignment="1"/>
    <xf numFmtId="166" fontId="20" fillId="13" borderId="0" xfId="1" applyNumberFormat="1" applyFont="1" applyFill="1" applyAlignment="1"/>
    <xf numFmtId="166" fontId="20" fillId="13" borderId="0" xfId="1" applyNumberFormat="1" applyFont="1" applyFill="1" applyBorder="1" applyAlignment="1"/>
    <xf numFmtId="167" fontId="20" fillId="13" borderId="0" xfId="2" applyNumberFormat="1" applyFont="1" applyFill="1" applyAlignment="1"/>
    <xf numFmtId="167" fontId="20" fillId="13" borderId="0" xfId="2" applyNumberFormat="1" applyFont="1" applyFill="1" applyBorder="1" applyAlignment="1"/>
    <xf numFmtId="166" fontId="18" fillId="0" borderId="0" xfId="1" applyNumberFormat="1" applyFont="1" applyFill="1" applyAlignment="1"/>
    <xf numFmtId="166" fontId="18" fillId="0" borderId="0" xfId="1" applyNumberFormat="1" applyFont="1" applyFill="1" applyBorder="1" applyAlignment="1"/>
    <xf numFmtId="167" fontId="20" fillId="0" borderId="0" xfId="3" applyNumberFormat="1" applyFont="1" applyAlignment="1">
      <alignment horizontal="right"/>
    </xf>
    <xf numFmtId="167" fontId="18" fillId="13" borderId="0" xfId="5" applyNumberFormat="1" applyFont="1" applyFill="1" applyAlignment="1">
      <alignment horizontal="center"/>
    </xf>
    <xf numFmtId="167" fontId="18" fillId="13" borderId="0" xfId="5" applyNumberFormat="1" applyFont="1" applyFill="1" applyBorder="1" applyAlignment="1">
      <alignment horizontal="center"/>
    </xf>
    <xf numFmtId="167" fontId="18" fillId="0" borderId="0" xfId="5" applyNumberFormat="1" applyFont="1" applyFill="1" applyAlignment="1">
      <alignment horizontal="center"/>
    </xf>
    <xf numFmtId="167" fontId="26" fillId="0" borderId="0" xfId="2" applyNumberFormat="1" applyFont="1" applyFill="1" applyAlignment="1"/>
    <xf numFmtId="167" fontId="26" fillId="0" borderId="0" xfId="2" applyNumberFormat="1" applyFont="1" applyFill="1" applyBorder="1" applyAlignment="1"/>
    <xf numFmtId="167" fontId="20" fillId="0" borderId="0" xfId="2" applyNumberFormat="1" applyFont="1" applyFill="1" applyBorder="1"/>
    <xf numFmtId="167" fontId="20" fillId="13" borderId="0" xfId="3" applyNumberFormat="1" applyFont="1" applyFill="1"/>
    <xf numFmtId="166" fontId="20" fillId="13" borderId="0" xfId="1" applyNumberFormat="1" applyFont="1" applyFill="1"/>
    <xf numFmtId="0" fontId="20" fillId="13" borderId="0" xfId="3" applyFont="1" applyFill="1"/>
    <xf numFmtId="166" fontId="20" fillId="0" borderId="0" xfId="1" applyNumberFormat="1" applyFont="1" applyFill="1" applyAlignment="1">
      <alignment horizontal="center"/>
    </xf>
    <xf numFmtId="37" fontId="20" fillId="0" borderId="0" xfId="6" applyNumberFormat="1" applyFont="1" applyAlignment="1">
      <alignment horizontal="center"/>
    </xf>
    <xf numFmtId="9" fontId="20" fillId="0" borderId="0" xfId="3" applyNumberFormat="1" applyFont="1"/>
    <xf numFmtId="3" fontId="18" fillId="16" borderId="1" xfId="3" applyNumberFormat="1" applyFont="1" applyFill="1" applyBorder="1"/>
    <xf numFmtId="9" fontId="18" fillId="16" borderId="1" xfId="3" applyNumberFormat="1" applyFont="1" applyFill="1" applyBorder="1"/>
    <xf numFmtId="166" fontId="18" fillId="16" borderId="1" xfId="1" applyNumberFormat="1" applyFont="1" applyFill="1" applyBorder="1" applyAlignment="1">
      <alignment horizontal="center"/>
    </xf>
    <xf numFmtId="37" fontId="18" fillId="16" borderId="1" xfId="6" applyNumberFormat="1" applyFont="1" applyFill="1" applyBorder="1" applyAlignment="1">
      <alignment horizontal="center"/>
    </xf>
    <xf numFmtId="166" fontId="18" fillId="0" borderId="0" xfId="1" applyNumberFormat="1" applyFont="1" applyFill="1" applyAlignment="1">
      <alignment horizontal="center"/>
    </xf>
    <xf numFmtId="43" fontId="18" fillId="0" borderId="0" xfId="1" applyFont="1" applyFill="1" applyBorder="1" applyAlignment="1"/>
    <xf numFmtId="167" fontId="18" fillId="0" borderId="0" xfId="6" applyNumberFormat="1" applyFont="1" applyAlignment="1">
      <alignment horizontal="right"/>
    </xf>
    <xf numFmtId="0" fontId="18" fillId="0" borderId="1" xfId="4" applyFont="1" applyBorder="1"/>
    <xf numFmtId="167" fontId="27" fillId="0" borderId="0" xfId="2" applyNumberFormat="1" applyFont="1" applyFill="1"/>
    <xf numFmtId="167" fontId="20" fillId="0" borderId="0" xfId="2" applyNumberFormat="1" applyFont="1" applyFill="1" applyAlignment="1">
      <alignment horizontal="right"/>
    </xf>
    <xf numFmtId="167" fontId="20" fillId="0" borderId="0" xfId="2" applyNumberFormat="1" applyFont="1" applyFill="1" applyBorder="1" applyAlignment="1">
      <alignment horizontal="right"/>
    </xf>
    <xf numFmtId="0" fontId="18" fillId="0" borderId="0" xfId="4" applyFont="1"/>
    <xf numFmtId="167" fontId="20" fillId="0" borderId="0" xfId="2" applyNumberFormat="1" applyFont="1" applyFill="1"/>
    <xf numFmtId="167" fontId="18" fillId="0" borderId="0" xfId="3" applyNumberFormat="1" applyFont="1"/>
    <xf numFmtId="167" fontId="20" fillId="0" borderId="0" xfId="6" applyNumberFormat="1" applyFont="1" applyAlignment="1">
      <alignment horizontal="center"/>
    </xf>
    <xf numFmtId="167" fontId="18" fillId="0" borderId="0" xfId="6" applyNumberFormat="1" applyFont="1" applyAlignment="1">
      <alignment horizontal="center"/>
    </xf>
    <xf numFmtId="166" fontId="18" fillId="0" borderId="0" xfId="1" applyNumberFormat="1" applyFont="1" applyBorder="1"/>
    <xf numFmtId="166" fontId="18" fillId="0" borderId="0" xfId="1" applyNumberFormat="1" applyFont="1" applyFill="1" applyBorder="1"/>
    <xf numFmtId="167" fontId="18" fillId="0" borderId="0" xfId="2" applyNumberFormat="1" applyFont="1" applyBorder="1"/>
    <xf numFmtId="9" fontId="29" fillId="0" borderId="0" xfId="2" applyFont="1" applyBorder="1"/>
    <xf numFmtId="167" fontId="18" fillId="0" borderId="0" xfId="2" applyNumberFormat="1" applyFont="1" applyFill="1" applyBorder="1"/>
    <xf numFmtId="166" fontId="20" fillId="0" borderId="0" xfId="1" applyNumberFormat="1" applyFont="1" applyFill="1" applyBorder="1"/>
    <xf numFmtId="3" fontId="18" fillId="0" borderId="4" xfId="3" applyNumberFormat="1" applyFont="1" applyBorder="1"/>
    <xf numFmtId="9" fontId="18" fillId="0" borderId="0" xfId="2" applyFont="1" applyAlignment="1"/>
    <xf numFmtId="167" fontId="18" fillId="0" borderId="0" xfId="2" applyNumberFormat="1" applyFont="1"/>
    <xf numFmtId="167" fontId="18" fillId="0" borderId="0" xfId="2" applyNumberFormat="1" applyFont="1" applyFill="1"/>
    <xf numFmtId="9" fontId="20" fillId="0" borderId="0" xfId="2" applyFont="1"/>
    <xf numFmtId="168" fontId="18" fillId="0" borderId="0" xfId="3" applyNumberFormat="1" applyFont="1"/>
    <xf numFmtId="43" fontId="20" fillId="0" borderId="0" xfId="3" applyNumberFormat="1" applyFont="1"/>
    <xf numFmtId="0" fontId="18" fillId="0" borderId="0" xfId="3" applyFont="1"/>
    <xf numFmtId="9" fontId="18" fillId="0" borderId="0" xfId="6" applyNumberFormat="1" applyFont="1" applyAlignment="1">
      <alignment horizontal="center"/>
    </xf>
    <xf numFmtId="167" fontId="18" fillId="0" borderId="4" xfId="3" applyNumberFormat="1" applyFont="1" applyBorder="1"/>
    <xf numFmtId="0" fontId="20" fillId="0" borderId="0" xfId="7" applyFont="1"/>
    <xf numFmtId="43" fontId="20" fillId="0" borderId="0" xfId="1" applyFont="1" applyFill="1" applyAlignment="1"/>
    <xf numFmtId="0" fontId="20" fillId="0" borderId="0" xfId="6" applyFont="1"/>
    <xf numFmtId="9" fontId="20" fillId="0" borderId="0" xfId="2" applyFont="1" applyFill="1"/>
    <xf numFmtId="9" fontId="20" fillId="2" borderId="0" xfId="2" applyFont="1" applyFill="1"/>
    <xf numFmtId="9" fontId="20" fillId="0" borderId="0" xfId="2" applyFont="1" applyFill="1" applyBorder="1"/>
    <xf numFmtId="166" fontId="18" fillId="3" borderId="0" xfId="1" applyNumberFormat="1" applyFont="1" applyFill="1"/>
    <xf numFmtId="166" fontId="18" fillId="0" borderId="0" xfId="1" applyNumberFormat="1" applyFont="1" applyFill="1"/>
    <xf numFmtId="2" fontId="20" fillId="0" borderId="0" xfId="3" applyNumberFormat="1" applyFont="1"/>
    <xf numFmtId="166" fontId="18" fillId="0" borderId="0" xfId="1" applyNumberFormat="1" applyFont="1"/>
    <xf numFmtId="37" fontId="20" fillId="0" borderId="0" xfId="7" applyNumberFormat="1" applyFont="1"/>
    <xf numFmtId="0" fontId="18" fillId="0" borderId="0" xfId="6" applyFont="1"/>
    <xf numFmtId="170" fontId="20" fillId="0" borderId="0" xfId="2" applyNumberFormat="1" applyFont="1" applyFill="1" applyAlignment="1">
      <alignment horizontal="right"/>
    </xf>
    <xf numFmtId="170" fontId="20" fillId="0" borderId="0" xfId="2" applyNumberFormat="1" applyFont="1" applyFill="1" applyBorder="1" applyAlignment="1">
      <alignment horizontal="right"/>
    </xf>
    <xf numFmtId="177" fontId="20" fillId="0" borderId="0" xfId="1" applyNumberFormat="1" applyFont="1" applyFill="1" applyAlignment="1">
      <alignment horizontal="right"/>
    </xf>
    <xf numFmtId="177" fontId="20" fillId="0" borderId="0" xfId="1" applyNumberFormat="1" applyFont="1" applyFill="1" applyAlignment="1">
      <alignment horizontal="center"/>
    </xf>
    <xf numFmtId="177" fontId="20" fillId="0" borderId="0" xfId="1" applyNumberFormat="1" applyFont="1" applyFill="1" applyBorder="1" applyAlignment="1">
      <alignment horizontal="center"/>
    </xf>
    <xf numFmtId="170" fontId="20" fillId="3" borderId="0" xfId="2" applyNumberFormat="1" applyFont="1" applyFill="1" applyAlignment="1">
      <alignment horizontal="right"/>
    </xf>
    <xf numFmtId="9" fontId="20" fillId="2" borderId="0" xfId="3" applyNumberFormat="1" applyFont="1" applyFill="1"/>
    <xf numFmtId="165" fontId="20" fillId="0" borderId="0" xfId="1" applyNumberFormat="1" applyFont="1" applyFill="1" applyAlignment="1"/>
    <xf numFmtId="165" fontId="20" fillId="2" borderId="0" xfId="3" applyNumberFormat="1" applyFont="1" applyFill="1"/>
    <xf numFmtId="165" fontId="20" fillId="3" borderId="0" xfId="3" applyNumberFormat="1" applyFont="1" applyFill="1"/>
    <xf numFmtId="165" fontId="20" fillId="0" borderId="0" xfId="3" applyNumberFormat="1" applyFont="1"/>
    <xf numFmtId="2" fontId="20" fillId="3" borderId="0" xfId="3" applyNumberFormat="1" applyFont="1" applyFill="1"/>
    <xf numFmtId="43" fontId="20" fillId="3" borderId="0" xfId="3" applyNumberFormat="1" applyFont="1" applyFill="1"/>
    <xf numFmtId="165" fontId="20" fillId="0" borderId="0" xfId="1" applyNumberFormat="1" applyFont="1" applyFill="1"/>
    <xf numFmtId="165" fontId="20" fillId="0" borderId="0" xfId="1" applyNumberFormat="1" applyFont="1" applyFill="1" applyBorder="1"/>
    <xf numFmtId="166" fontId="20" fillId="3" borderId="0" xfId="1" applyNumberFormat="1" applyFont="1" applyFill="1"/>
    <xf numFmtId="166" fontId="20" fillId="0" borderId="0" xfId="2" applyNumberFormat="1" applyFont="1" applyFill="1"/>
    <xf numFmtId="166" fontId="20" fillId="3" borderId="0" xfId="1" applyNumberFormat="1" applyFont="1" applyFill="1" applyBorder="1"/>
    <xf numFmtId="167" fontId="20" fillId="2" borderId="0" xfId="2" applyNumberFormat="1" applyFont="1" applyFill="1"/>
    <xf numFmtId="167" fontId="20" fillId="0" borderId="2" xfId="2" applyNumberFormat="1" applyFont="1" applyFill="1" applyBorder="1"/>
    <xf numFmtId="43" fontId="18" fillId="0" borderId="0" xfId="1" applyFont="1" applyFill="1" applyAlignment="1"/>
    <xf numFmtId="169" fontId="18" fillId="3" borderId="0" xfId="3" applyNumberFormat="1" applyFont="1" applyFill="1"/>
    <xf numFmtId="169" fontId="18" fillId="0" borderId="0" xfId="3" applyNumberFormat="1" applyFont="1"/>
    <xf numFmtId="168" fontId="18" fillId="0" borderId="0" xfId="4" applyNumberFormat="1" applyFont="1"/>
    <xf numFmtId="170" fontId="18" fillId="0" borderId="0" xfId="2" applyNumberFormat="1" applyFont="1" applyFill="1" applyAlignment="1">
      <alignment horizontal="right"/>
    </xf>
    <xf numFmtId="170" fontId="18" fillId="0" borderId="0" xfId="2" applyNumberFormat="1" applyFont="1" applyFill="1" applyBorder="1" applyAlignment="1">
      <alignment horizontal="right"/>
    </xf>
    <xf numFmtId="166" fontId="20" fillId="0" borderId="0" xfId="1" applyNumberFormat="1" applyFont="1" applyFill="1" applyAlignment="1">
      <alignment horizontal="right"/>
    </xf>
    <xf numFmtId="166" fontId="20" fillId="0" borderId="0" xfId="1" applyNumberFormat="1" applyFont="1" applyFill="1" applyBorder="1" applyAlignment="1">
      <alignment horizontal="right"/>
    </xf>
    <xf numFmtId="170" fontId="20" fillId="3" borderId="0" xfId="2" applyNumberFormat="1" applyFont="1" applyFill="1" applyBorder="1" applyAlignment="1">
      <alignment horizontal="right"/>
    </xf>
    <xf numFmtId="165" fontId="20" fillId="0" borderId="0" xfId="1" applyNumberFormat="1" applyFont="1" applyFill="1" applyAlignment="1">
      <alignment horizontal="center"/>
    </xf>
    <xf numFmtId="165" fontId="20" fillId="0" borderId="0" xfId="1" applyNumberFormat="1" applyFont="1" applyFill="1" applyBorder="1" applyAlignment="1">
      <alignment horizontal="center"/>
    </xf>
    <xf numFmtId="167" fontId="20" fillId="3" borderId="0" xfId="2" applyNumberFormat="1" applyFont="1" applyFill="1" applyBorder="1"/>
    <xf numFmtId="9" fontId="20" fillId="3" borderId="0" xfId="2" applyFont="1" applyFill="1" applyBorder="1"/>
    <xf numFmtId="3" fontId="20" fillId="0" borderId="0" xfId="2" applyNumberFormat="1" applyFont="1" applyFill="1" applyBorder="1"/>
    <xf numFmtId="43" fontId="20" fillId="3" borderId="0" xfId="1" applyFont="1" applyFill="1" applyBorder="1"/>
    <xf numFmtId="43" fontId="20" fillId="0" borderId="0" xfId="1" applyFont="1" applyFill="1" applyBorder="1"/>
    <xf numFmtId="43" fontId="20" fillId="3" borderId="0" xfId="1" applyFont="1" applyFill="1" applyAlignment="1">
      <alignment horizontal="center"/>
    </xf>
    <xf numFmtId="43" fontId="20" fillId="3" borderId="0" xfId="1" applyFont="1" applyFill="1" applyBorder="1" applyAlignment="1">
      <alignment horizontal="center"/>
    </xf>
    <xf numFmtId="166" fontId="20" fillId="0" borderId="0" xfId="1" applyNumberFormat="1" applyFont="1" applyFill="1" applyBorder="1" applyAlignment="1"/>
    <xf numFmtId="0" fontId="20" fillId="0" borderId="0" xfId="2" applyNumberFormat="1" applyFont="1" applyFill="1" applyBorder="1"/>
    <xf numFmtId="0" fontId="20" fillId="0" borderId="2" xfId="6" applyFont="1" applyBorder="1"/>
    <xf numFmtId="0" fontId="30" fillId="0" borderId="0" xfId="6" applyFont="1"/>
    <xf numFmtId="0" fontId="31" fillId="0" borderId="0" xfId="6" applyFont="1"/>
    <xf numFmtId="0" fontId="18" fillId="16" borderId="0" xfId="6" applyFont="1" applyFill="1"/>
    <xf numFmtId="0" fontId="20" fillId="0" borderId="0" xfId="6" applyFont="1" applyAlignment="1">
      <alignment horizontal="left" indent="1"/>
    </xf>
    <xf numFmtId="166" fontId="20" fillId="0" borderId="0" xfId="2" applyNumberFormat="1" applyFont="1" applyFill="1" applyBorder="1"/>
    <xf numFmtId="0" fontId="18" fillId="0" borderId="0" xfId="6" applyFont="1" applyAlignment="1">
      <alignment horizontal="left" indent="1"/>
    </xf>
    <xf numFmtId="0" fontId="18" fillId="0" borderId="4" xfId="6" applyFont="1" applyBorder="1"/>
    <xf numFmtId="169" fontId="20" fillId="0" borderId="0" xfId="2" applyNumberFormat="1" applyFont="1" applyFill="1" applyAlignment="1">
      <alignment horizontal="right"/>
    </xf>
    <xf numFmtId="3" fontId="20" fillId="0" borderId="0" xfId="2" applyNumberFormat="1" applyFont="1" applyFill="1" applyAlignment="1">
      <alignment horizontal="right"/>
    </xf>
    <xf numFmtId="14" fontId="20" fillId="0" borderId="0" xfId="3" applyNumberFormat="1" applyFont="1"/>
    <xf numFmtId="172" fontId="20" fillId="0" borderId="0" xfId="3" applyNumberFormat="1" applyFont="1"/>
    <xf numFmtId="3" fontId="20" fillId="3" borderId="0" xfId="3" applyNumberFormat="1" applyFont="1" applyFill="1"/>
    <xf numFmtId="0" fontId="31" fillId="0" borderId="4" xfId="6" applyFont="1" applyBorder="1"/>
    <xf numFmtId="167" fontId="18" fillId="0" borderId="4" xfId="2" applyNumberFormat="1" applyFont="1" applyFill="1" applyBorder="1"/>
    <xf numFmtId="43" fontId="20" fillId="0" borderId="0" xfId="1" applyFont="1"/>
    <xf numFmtId="168" fontId="20" fillId="0" borderId="0" xfId="3" applyNumberFormat="1" applyFont="1"/>
    <xf numFmtId="3" fontId="18" fillId="3" borderId="0" xfId="3" applyNumberFormat="1" applyFont="1" applyFill="1"/>
    <xf numFmtId="17" fontId="20" fillId="0" borderId="0" xfId="3" applyNumberFormat="1" applyFont="1"/>
    <xf numFmtId="1" fontId="20" fillId="0" borderId="0" xfId="6" applyNumberFormat="1" applyFont="1"/>
    <xf numFmtId="1" fontId="20" fillId="2" borderId="0" xfId="2" applyNumberFormat="1" applyFont="1" applyFill="1"/>
    <xf numFmtId="3" fontId="20" fillId="0" borderId="0" xfId="2" applyNumberFormat="1" applyFont="1" applyFill="1"/>
    <xf numFmtId="43" fontId="20" fillId="0" borderId="0" xfId="1" applyFont="1" applyBorder="1" applyAlignment="1"/>
    <xf numFmtId="1" fontId="20" fillId="0" borderId="0" xfId="2" applyNumberFormat="1" applyFont="1" applyFill="1"/>
    <xf numFmtId="1" fontId="20" fillId="3" borderId="0" xfId="2" applyNumberFormat="1" applyFont="1" applyFill="1"/>
    <xf numFmtId="1" fontId="20" fillId="3" borderId="0" xfId="2" applyNumberFormat="1" applyFont="1" applyFill="1" applyBorder="1"/>
    <xf numFmtId="168" fontId="20" fillId="0" borderId="0" xfId="2" applyNumberFormat="1" applyFont="1" applyFill="1"/>
    <xf numFmtId="1" fontId="20" fillId="0" borderId="0" xfId="2" applyNumberFormat="1" applyFont="1" applyFill="1" applyBorder="1"/>
    <xf numFmtId="167" fontId="20" fillId="3" borderId="0" xfId="2" applyNumberFormat="1" applyFont="1" applyFill="1"/>
    <xf numFmtId="3" fontId="20" fillId="3" borderId="0" xfId="2" applyNumberFormat="1" applyFont="1" applyFill="1"/>
    <xf numFmtId="167" fontId="20" fillId="2" borderId="0" xfId="2" applyNumberFormat="1" applyFont="1" applyFill="1" applyBorder="1"/>
    <xf numFmtId="168" fontId="20" fillId="0" borderId="0" xfId="2" applyNumberFormat="1" applyFont="1" applyFill="1" applyBorder="1"/>
    <xf numFmtId="169" fontId="18" fillId="0" borderId="0" xfId="2" applyNumberFormat="1" applyFont="1" applyFill="1"/>
    <xf numFmtId="169" fontId="18" fillId="2" borderId="0" xfId="2" applyNumberFormat="1" applyFont="1" applyFill="1"/>
    <xf numFmtId="169" fontId="18" fillId="3" borderId="0" xfId="2" applyNumberFormat="1" applyFont="1" applyFill="1"/>
    <xf numFmtId="169" fontId="18" fillId="0" borderId="0" xfId="2" applyNumberFormat="1" applyFont="1" applyFill="1" applyBorder="1"/>
    <xf numFmtId="0" fontId="18" fillId="16" borderId="1" xfId="6" applyFont="1" applyFill="1" applyBorder="1"/>
    <xf numFmtId="0" fontId="18" fillId="16" borderId="1" xfId="2" applyNumberFormat="1" applyFont="1" applyFill="1" applyBorder="1"/>
    <xf numFmtId="165" fontId="20" fillId="0" borderId="0" xfId="2" applyNumberFormat="1" applyFont="1" applyFill="1"/>
    <xf numFmtId="165" fontId="18" fillId="0" borderId="0" xfId="2" applyNumberFormat="1" applyFont="1" applyFill="1"/>
    <xf numFmtId="165" fontId="18" fillId="5" borderId="0" xfId="2" applyNumberFormat="1" applyFont="1" applyFill="1"/>
    <xf numFmtId="165" fontId="18" fillId="0" borderId="0" xfId="2" applyNumberFormat="1" applyFont="1" applyFill="1" applyBorder="1"/>
    <xf numFmtId="167" fontId="20" fillId="2" borderId="0" xfId="3" applyNumberFormat="1" applyFont="1" applyFill="1"/>
    <xf numFmtId="3" fontId="18" fillId="0" borderId="4" xfId="6" applyNumberFormat="1" applyFont="1" applyBorder="1"/>
    <xf numFmtId="3" fontId="18" fillId="0" borderId="4" xfId="2" applyNumberFormat="1" applyFont="1" applyFill="1" applyBorder="1"/>
    <xf numFmtId="0" fontId="18" fillId="0" borderId="0" xfId="2" applyNumberFormat="1" applyFont="1" applyFill="1"/>
    <xf numFmtId="0" fontId="20" fillId="0" borderId="0" xfId="2" applyNumberFormat="1" applyFont="1" applyFill="1"/>
    <xf numFmtId="43" fontId="20" fillId="0" borderId="0" xfId="1" applyFont="1" applyFill="1" applyAlignment="1">
      <alignment vertical="center"/>
    </xf>
    <xf numFmtId="167" fontId="20" fillId="0" borderId="0" xfId="2" applyNumberFormat="1" applyFont="1" applyFill="1" applyAlignment="1">
      <alignment vertical="center"/>
    </xf>
    <xf numFmtId="43" fontId="20" fillId="0" borderId="0" xfId="1" applyFont="1" applyFill="1" applyBorder="1" applyAlignment="1">
      <alignment vertical="center"/>
    </xf>
    <xf numFmtId="0" fontId="17" fillId="19" borderId="1" xfId="4" applyFont="1" applyFill="1" applyBorder="1"/>
    <xf numFmtId="0" fontId="17" fillId="19" borderId="1" xfId="2" applyNumberFormat="1" applyFont="1" applyFill="1" applyBorder="1"/>
    <xf numFmtId="0" fontId="31" fillId="0" borderId="0" xfId="6" applyFont="1" applyAlignment="1">
      <alignment horizontal="left" indent="1"/>
    </xf>
    <xf numFmtId="0" fontId="30" fillId="0" borderId="0" xfId="6" applyFont="1" applyAlignment="1">
      <alignment horizontal="left" indent="1"/>
    </xf>
    <xf numFmtId="0" fontId="30" fillId="0" borderId="0" xfId="6" applyFont="1" applyAlignment="1">
      <alignment horizontal="left"/>
    </xf>
    <xf numFmtId="3" fontId="20" fillId="3" borderId="0" xfId="2" applyNumberFormat="1" applyFont="1" applyFill="1" applyAlignment="1">
      <alignment horizontal="right"/>
    </xf>
    <xf numFmtId="3" fontId="20" fillId="3" borderId="0" xfId="2" applyNumberFormat="1" applyFont="1" applyFill="1" applyBorder="1" applyAlignment="1">
      <alignment horizontal="right"/>
    </xf>
    <xf numFmtId="0" fontId="30" fillId="0" borderId="2" xfId="6" applyFont="1" applyBorder="1" applyAlignment="1">
      <alignment horizontal="left"/>
    </xf>
    <xf numFmtId="169" fontId="20" fillId="0" borderId="2" xfId="2" applyNumberFormat="1" applyFont="1" applyFill="1" applyBorder="1" applyAlignment="1">
      <alignment horizontal="right"/>
    </xf>
    <xf numFmtId="3" fontId="20" fillId="0" borderId="2" xfId="2" applyNumberFormat="1" applyFont="1" applyFill="1" applyBorder="1" applyAlignment="1">
      <alignment horizontal="right"/>
    </xf>
    <xf numFmtId="3" fontId="20" fillId="3" borderId="2" xfId="2" applyNumberFormat="1" applyFont="1" applyFill="1" applyBorder="1" applyAlignment="1">
      <alignment horizontal="right"/>
    </xf>
    <xf numFmtId="0" fontId="31" fillId="11" borderId="0" xfId="6" applyFont="1" applyFill="1"/>
    <xf numFmtId="169" fontId="18" fillId="0" borderId="0" xfId="2" applyNumberFormat="1" applyFont="1" applyFill="1" applyAlignment="1">
      <alignment horizontal="right"/>
    </xf>
    <xf numFmtId="3" fontId="18" fillId="0" borderId="0" xfId="2" applyNumberFormat="1" applyFont="1" applyFill="1" applyAlignment="1">
      <alignment horizontal="right"/>
    </xf>
    <xf numFmtId="3" fontId="18" fillId="0" borderId="0" xfId="2" applyNumberFormat="1" applyFont="1" applyFill="1" applyBorder="1" applyAlignment="1">
      <alignment horizontal="right"/>
    </xf>
    <xf numFmtId="167" fontId="18" fillId="0" borderId="0" xfId="2" applyNumberFormat="1" applyFont="1" applyFill="1" applyAlignment="1">
      <alignment horizontal="right"/>
    </xf>
    <xf numFmtId="167" fontId="18" fillId="0" borderId="0" xfId="2" applyNumberFormat="1" applyFont="1" applyFill="1" applyBorder="1" applyAlignment="1">
      <alignment horizontal="right"/>
    </xf>
    <xf numFmtId="166" fontId="18" fillId="0" borderId="0" xfId="1" applyNumberFormat="1" applyFont="1" applyFill="1" applyAlignment="1">
      <alignment horizontal="right"/>
    </xf>
    <xf numFmtId="166" fontId="18" fillId="0" borderId="0" xfId="1" applyNumberFormat="1" applyFont="1" applyFill="1" applyBorder="1" applyAlignment="1">
      <alignment horizontal="right"/>
    </xf>
    <xf numFmtId="0" fontId="31" fillId="11" borderId="4" xfId="6" applyFont="1" applyFill="1" applyBorder="1"/>
    <xf numFmtId="14" fontId="18" fillId="0" borderId="0" xfId="3" applyNumberFormat="1" applyFont="1"/>
    <xf numFmtId="172" fontId="18" fillId="0" borderId="0" xfId="3" applyNumberFormat="1" applyFont="1"/>
    <xf numFmtId="170" fontId="26" fillId="0" borderId="0" xfId="2" applyNumberFormat="1" applyFont="1" applyFill="1" applyAlignment="1">
      <alignment horizontal="right"/>
    </xf>
    <xf numFmtId="0" fontId="18" fillId="16" borderId="4" xfId="6" applyFont="1" applyFill="1" applyBorder="1"/>
    <xf numFmtId="0" fontId="26" fillId="9" borderId="0" xfId="6" applyFont="1" applyFill="1"/>
    <xf numFmtId="0" fontId="20" fillId="13" borderId="0" xfId="6" applyFont="1" applyFill="1"/>
    <xf numFmtId="170" fontId="20" fillId="13" borderId="0" xfId="2" applyNumberFormat="1" applyFont="1" applyFill="1" applyAlignment="1">
      <alignment horizontal="right"/>
    </xf>
    <xf numFmtId="167" fontId="18" fillId="13" borderId="0" xfId="2" applyNumberFormat="1" applyFont="1" applyFill="1"/>
    <xf numFmtId="166" fontId="20" fillId="13" borderId="0" xfId="1" applyNumberFormat="1" applyFont="1" applyFill="1" applyAlignment="1">
      <alignment horizontal="right"/>
    </xf>
    <xf numFmtId="166" fontId="20" fillId="13" borderId="0" xfId="1" applyNumberFormat="1" applyFont="1" applyFill="1" applyBorder="1" applyAlignment="1">
      <alignment horizontal="right"/>
    </xf>
    <xf numFmtId="0" fontId="26" fillId="0" borderId="0" xfId="6" applyFont="1"/>
    <xf numFmtId="170" fontId="20" fillId="13" borderId="0" xfId="2" applyNumberFormat="1" applyFont="1" applyFill="1" applyAlignment="1">
      <alignment horizontal="left"/>
    </xf>
    <xf numFmtId="170" fontId="20" fillId="13" borderId="0" xfId="2" applyNumberFormat="1" applyFont="1" applyFill="1" applyBorder="1" applyAlignment="1">
      <alignment horizontal="left"/>
    </xf>
    <xf numFmtId="170" fontId="20" fillId="13" borderId="0" xfId="2" applyNumberFormat="1" applyFont="1" applyFill="1" applyBorder="1" applyAlignment="1"/>
    <xf numFmtId="170" fontId="26" fillId="0" borderId="0" xfId="2" applyNumberFormat="1" applyFont="1" applyFill="1" applyBorder="1" applyAlignment="1">
      <alignment horizontal="right"/>
    </xf>
    <xf numFmtId="3" fontId="20" fillId="0" borderId="0" xfId="6" applyNumberFormat="1" applyFont="1"/>
    <xf numFmtId="166" fontId="20" fillId="13" borderId="0" xfId="1" applyNumberFormat="1" applyFont="1" applyFill="1" applyAlignment="1">
      <alignment horizontal="left"/>
    </xf>
    <xf numFmtId="166" fontId="20" fillId="13" borderId="0" xfId="1" applyNumberFormat="1" applyFont="1" applyFill="1" applyBorder="1" applyAlignment="1">
      <alignment horizontal="left"/>
    </xf>
    <xf numFmtId="43" fontId="20" fillId="0" borderId="0" xfId="1" applyFont="1" applyFill="1" applyBorder="1" applyAlignment="1"/>
    <xf numFmtId="169" fontId="20" fillId="0" borderId="0" xfId="3" applyNumberFormat="1" applyFont="1"/>
    <xf numFmtId="168" fontId="20" fillId="0" borderId="0" xfId="6" applyNumberFormat="1" applyFont="1"/>
    <xf numFmtId="168" fontId="20" fillId="0" borderId="0" xfId="2" applyNumberFormat="1" applyFont="1"/>
    <xf numFmtId="168" fontId="18" fillId="0" borderId="4" xfId="6" applyNumberFormat="1" applyFont="1" applyBorder="1"/>
    <xf numFmtId="168" fontId="20" fillId="2" borderId="0" xfId="3" applyNumberFormat="1" applyFont="1" applyFill="1"/>
    <xf numFmtId="2" fontId="20" fillId="3" borderId="0" xfId="2" applyNumberFormat="1" applyFont="1" applyFill="1"/>
    <xf numFmtId="43" fontId="20" fillId="3" borderId="0" xfId="1" applyFont="1" applyFill="1"/>
    <xf numFmtId="177" fontId="20" fillId="3" borderId="0" xfId="1" applyNumberFormat="1" applyFont="1" applyFill="1"/>
    <xf numFmtId="177" fontId="20" fillId="3" borderId="0" xfId="1" applyNumberFormat="1" applyFont="1" applyFill="1" applyBorder="1"/>
    <xf numFmtId="177" fontId="20" fillId="0" borderId="0" xfId="2" applyNumberFormat="1" applyFont="1" applyFill="1"/>
    <xf numFmtId="2" fontId="20" fillId="0" borderId="0" xfId="2" applyNumberFormat="1" applyFont="1" applyFill="1"/>
    <xf numFmtId="177" fontId="20" fillId="0" borderId="0" xfId="2" applyNumberFormat="1" applyFont="1" applyFill="1" applyBorder="1"/>
    <xf numFmtId="2" fontId="20" fillId="0" borderId="0" xfId="6" applyNumberFormat="1" applyFont="1"/>
    <xf numFmtId="2" fontId="20" fillId="0" borderId="0" xfId="2" applyNumberFormat="1" applyFont="1"/>
    <xf numFmtId="2" fontId="20" fillId="3" borderId="0" xfId="2" applyNumberFormat="1" applyFont="1" applyFill="1" applyBorder="1"/>
    <xf numFmtId="43" fontId="20" fillId="0" borderId="0" xfId="2" applyNumberFormat="1" applyFont="1"/>
    <xf numFmtId="9" fontId="20" fillId="0" borderId="0" xfId="2" applyFont="1" applyBorder="1"/>
    <xf numFmtId="166" fontId="18" fillId="0" borderId="0" xfId="3" applyNumberFormat="1" applyFont="1"/>
    <xf numFmtId="166" fontId="20" fillId="0" borderId="0" xfId="1" applyNumberFormat="1" applyFont="1" applyFill="1" applyAlignment="1">
      <alignment vertical="center"/>
    </xf>
    <xf numFmtId="167" fontId="19" fillId="10" borderId="0" xfId="19" applyNumberFormat="1" applyFont="1" applyFill="1"/>
    <xf numFmtId="166" fontId="33" fillId="13" borderId="0" xfId="1" applyNumberFormat="1" applyFont="1" applyFill="1" applyAlignment="1"/>
    <xf numFmtId="0" fontId="17" fillId="19" borderId="0" xfId="3" applyFont="1" applyFill="1"/>
    <xf numFmtId="0" fontId="20" fillId="0" borderId="4" xfId="3" applyFont="1" applyBorder="1"/>
    <xf numFmtId="167" fontId="20" fillId="0" borderId="4" xfId="2" applyNumberFormat="1" applyFont="1" applyFill="1" applyBorder="1" applyAlignment="1">
      <alignment horizontal="right"/>
    </xf>
    <xf numFmtId="0" fontId="20" fillId="0" borderId="1" xfId="3" applyFont="1" applyBorder="1"/>
    <xf numFmtId="167" fontId="18" fillId="0" borderId="1" xfId="2" applyNumberFormat="1" applyFont="1" applyFill="1" applyBorder="1" applyAlignment="1">
      <alignment horizontal="right"/>
    </xf>
    <xf numFmtId="0" fontId="20" fillId="0" borderId="0" xfId="4" applyFont="1"/>
    <xf numFmtId="4" fontId="20" fillId="0" borderId="0" xfId="2" applyNumberFormat="1" applyFont="1" applyFill="1" applyBorder="1"/>
    <xf numFmtId="3" fontId="21" fillId="10" borderId="0" xfId="0" applyNumberFormat="1" applyFont="1" applyFill="1" applyAlignment="1">
      <alignment horizontal="left"/>
    </xf>
    <xf numFmtId="3" fontId="2" fillId="11" borderId="0" xfId="0" applyNumberFormat="1" applyFont="1" applyFill="1" applyAlignment="1">
      <alignment horizontal="center"/>
    </xf>
    <xf numFmtId="0" fontId="20" fillId="20" borderId="0" xfId="22" applyNumberFormat="1" applyFont="1" applyFill="1" applyAlignment="1">
      <alignment horizontal="left" indent="1"/>
    </xf>
    <xf numFmtId="0" fontId="20" fillId="20" borderId="0" xfId="3" applyFont="1" applyFill="1"/>
    <xf numFmtId="167" fontId="20" fillId="20" borderId="0" xfId="2" applyNumberFormat="1" applyFont="1" applyFill="1"/>
    <xf numFmtId="0" fontId="18" fillId="20" borderId="4" xfId="22" applyNumberFormat="1" applyFont="1" applyFill="1" applyBorder="1" applyAlignment="1">
      <alignment horizontal="left"/>
    </xf>
    <xf numFmtId="0" fontId="18" fillId="20" borderId="0" xfId="3" applyFont="1" applyFill="1"/>
    <xf numFmtId="167" fontId="18" fillId="20" borderId="0" xfId="2" applyNumberFormat="1" applyFont="1" applyFill="1"/>
    <xf numFmtId="0" fontId="18" fillId="20" borderId="0" xfId="22" applyNumberFormat="1" applyFont="1" applyFill="1" applyAlignment="1">
      <alignment horizontal="left"/>
    </xf>
    <xf numFmtId="0" fontId="20" fillId="20" borderId="0" xfId="3" applyFont="1" applyFill="1" applyAlignment="1">
      <alignment horizontal="left" indent="1"/>
    </xf>
    <xf numFmtId="0" fontId="4" fillId="0" borderId="1" xfId="24" applyFont="1" applyBorder="1"/>
    <xf numFmtId="0" fontId="4" fillId="0" borderId="0" xfId="24" applyFont="1"/>
    <xf numFmtId="0" fontId="2" fillId="0" borderId="0" xfId="24" applyFont="1"/>
    <xf numFmtId="0" fontId="0" fillId="0" borderId="0" xfId="25" applyFont="1"/>
    <xf numFmtId="0" fontId="4" fillId="0" borderId="1" xfId="379" applyFont="1" applyBorder="1"/>
    <xf numFmtId="0" fontId="3" fillId="0" borderId="0" xfId="630" applyFont="1"/>
    <xf numFmtId="166" fontId="3" fillId="6" borderId="0" xfId="1" applyNumberFormat="1" applyFont="1" applyFill="1"/>
    <xf numFmtId="166" fontId="3" fillId="6" borderId="0" xfId="25" applyNumberFormat="1" applyFill="1"/>
    <xf numFmtId="0" fontId="3" fillId="6" borderId="0" xfId="25" applyFill="1"/>
    <xf numFmtId="0" fontId="3" fillId="6" borderId="0" xfId="379" applyFill="1"/>
    <xf numFmtId="0" fontId="0" fillId="6" borderId="0" xfId="25" applyFont="1" applyFill="1"/>
    <xf numFmtId="166" fontId="0" fillId="6" borderId="0" xfId="1" applyNumberFormat="1" applyFont="1" applyFill="1"/>
    <xf numFmtId="166" fontId="0" fillId="0" borderId="0" xfId="1" applyNumberFormat="1" applyFont="1" applyFill="1"/>
    <xf numFmtId="0" fontId="18" fillId="0" borderId="4" xfId="4" applyFont="1" applyBorder="1"/>
    <xf numFmtId="166" fontId="18" fillId="3" borderId="0" xfId="4" applyNumberFormat="1" applyFont="1" applyFill="1"/>
    <xf numFmtId="167" fontId="20" fillId="0" borderId="0" xfId="6" applyNumberFormat="1" applyFont="1"/>
    <xf numFmtId="273" fontId="3" fillId="0" borderId="0" xfId="9" applyNumberFormat="1" applyFont="1"/>
    <xf numFmtId="0" fontId="155" fillId="0" borderId="0" xfId="0" applyFont="1"/>
    <xf numFmtId="0" fontId="20" fillId="14" borderId="0" xfId="0" applyFont="1" applyFill="1"/>
    <xf numFmtId="0" fontId="17" fillId="48" borderId="1" xfId="6" applyFont="1" applyFill="1" applyBorder="1" applyAlignment="1">
      <alignment horizontal="center"/>
    </xf>
    <xf numFmtId="0" fontId="18" fillId="16" borderId="0" xfId="6" applyFont="1" applyFill="1" applyAlignment="1">
      <alignment horizontal="left"/>
    </xf>
    <xf numFmtId="0" fontId="20" fillId="16" borderId="0" xfId="6" applyFont="1" applyFill="1" applyAlignment="1">
      <alignment horizontal="center"/>
    </xf>
    <xf numFmtId="0" fontId="18" fillId="16" borderId="0" xfId="6" applyFont="1" applyFill="1" applyAlignment="1">
      <alignment horizontal="center"/>
    </xf>
    <xf numFmtId="0" fontId="18" fillId="16" borderId="1" xfId="6" applyFont="1" applyFill="1" applyBorder="1" applyAlignment="1">
      <alignment horizontal="left"/>
    </xf>
    <xf numFmtId="0" fontId="18" fillId="16" borderId="1" xfId="6" applyFont="1" applyFill="1" applyBorder="1" applyAlignment="1">
      <alignment horizontal="center"/>
    </xf>
    <xf numFmtId="169" fontId="20" fillId="0" borderId="0" xfId="6" applyNumberFormat="1" applyFont="1"/>
    <xf numFmtId="0" fontId="17" fillId="15" borderId="1" xfId="6" applyFont="1" applyFill="1" applyBorder="1"/>
    <xf numFmtId="0" fontId="17" fillId="15" borderId="1" xfId="3" applyFont="1" applyFill="1" applyBorder="1"/>
    <xf numFmtId="0" fontId="17" fillId="48" borderId="1" xfId="3" applyFont="1" applyFill="1" applyBorder="1"/>
    <xf numFmtId="0" fontId="17" fillId="0" borderId="0" xfId="3" applyFont="1"/>
    <xf numFmtId="174" fontId="20" fillId="0" borderId="0" xfId="3" applyNumberFormat="1" applyFont="1"/>
    <xf numFmtId="174" fontId="18" fillId="0" borderId="0" xfId="3" applyNumberFormat="1" applyFont="1"/>
    <xf numFmtId="0" fontId="18" fillId="0" borderId="12" xfId="6" applyFont="1" applyBorder="1"/>
    <xf numFmtId="174" fontId="18" fillId="0" borderId="12" xfId="3" applyNumberFormat="1" applyFont="1" applyBorder="1"/>
    <xf numFmtId="0" fontId="20" fillId="16" borderId="0" xfId="6" applyFont="1" applyFill="1"/>
    <xf numFmtId="175" fontId="20" fillId="16" borderId="0" xfId="3" applyNumberFormat="1" applyFont="1" applyFill="1"/>
    <xf numFmtId="175" fontId="20" fillId="0" borderId="0" xfId="3" applyNumberFormat="1" applyFont="1"/>
    <xf numFmtId="176" fontId="18" fillId="0" borderId="0" xfId="3" applyNumberFormat="1" applyFont="1"/>
    <xf numFmtId="176" fontId="20" fillId="0" borderId="0" xfId="3" applyNumberFormat="1" applyFont="1"/>
    <xf numFmtId="167" fontId="18" fillId="16" borderId="0" xfId="2" applyNumberFormat="1" applyFont="1" applyFill="1"/>
    <xf numFmtId="0" fontId="18" fillId="0" borderId="1" xfId="6" applyFont="1" applyBorder="1"/>
    <xf numFmtId="0" fontId="18" fillId="0" borderId="1" xfId="3" applyFont="1" applyBorder="1"/>
    <xf numFmtId="165" fontId="18" fillId="0" borderId="0" xfId="3" applyNumberFormat="1" applyFont="1"/>
    <xf numFmtId="168" fontId="18" fillId="16" borderId="0" xfId="3" applyNumberFormat="1" applyFont="1" applyFill="1"/>
    <xf numFmtId="165" fontId="18" fillId="0" borderId="0" xfId="4" applyNumberFormat="1" applyFont="1"/>
    <xf numFmtId="169" fontId="18" fillId="0" borderId="0" xfId="4" applyNumberFormat="1" applyFont="1"/>
    <xf numFmtId="166" fontId="18" fillId="2" borderId="0" xfId="3" applyNumberFormat="1" applyFont="1" applyFill="1"/>
    <xf numFmtId="166" fontId="18" fillId="3" borderId="0" xfId="3" applyNumberFormat="1" applyFont="1" applyFill="1"/>
    <xf numFmtId="9" fontId="26" fillId="0" borderId="0" xfId="3" applyNumberFormat="1" applyFont="1"/>
    <xf numFmtId="9" fontId="26" fillId="0" borderId="0" xfId="2" applyFont="1" applyFill="1" applyBorder="1"/>
    <xf numFmtId="167" fontId="27" fillId="0" borderId="0" xfId="2" applyNumberFormat="1" applyFont="1" applyFill="1" applyBorder="1"/>
    <xf numFmtId="169" fontId="20" fillId="0" borderId="0" xfId="2" applyNumberFormat="1" applyFont="1"/>
    <xf numFmtId="169" fontId="20" fillId="0" borderId="0" xfId="2" applyNumberFormat="1" applyFont="1" applyBorder="1"/>
    <xf numFmtId="169" fontId="20" fillId="0" borderId="0" xfId="2" applyNumberFormat="1" applyFont="1" applyFill="1" applyBorder="1"/>
    <xf numFmtId="183" fontId="20" fillId="0" borderId="0" xfId="6" applyNumberFormat="1" applyFont="1"/>
    <xf numFmtId="0" fontId="28" fillId="0" borderId="4" xfId="6" applyFont="1" applyBorder="1"/>
    <xf numFmtId="183" fontId="28" fillId="0" borderId="4" xfId="6" applyNumberFormat="1" applyFont="1" applyBorder="1"/>
    <xf numFmtId="183" fontId="18" fillId="0" borderId="4" xfId="6" applyNumberFormat="1" applyFont="1" applyBorder="1"/>
    <xf numFmtId="183" fontId="18" fillId="0" borderId="0" xfId="6" applyNumberFormat="1" applyFont="1"/>
    <xf numFmtId="9" fontId="18" fillId="0" borderId="0" xfId="2" applyFont="1" applyFill="1" applyBorder="1"/>
    <xf numFmtId="0" fontId="20" fillId="16" borderId="0" xfId="3" applyFont="1" applyFill="1"/>
    <xf numFmtId="3" fontId="20" fillId="16" borderId="0" xfId="3" applyNumberFormat="1" applyFont="1" applyFill="1"/>
    <xf numFmtId="0" fontId="27" fillId="0" borderId="4" xfId="3" applyFont="1" applyBorder="1"/>
    <xf numFmtId="3" fontId="27" fillId="0" borderId="4" xfId="3" applyNumberFormat="1" applyFont="1" applyBorder="1"/>
    <xf numFmtId="3" fontId="20" fillId="0" borderId="4" xfId="3" applyNumberFormat="1" applyFont="1" applyBorder="1"/>
    <xf numFmtId="3" fontId="27" fillId="0" borderId="0" xfId="3" applyNumberFormat="1" applyFont="1"/>
    <xf numFmtId="167" fontId="20" fillId="3" borderId="0" xfId="3" applyNumberFormat="1" applyFont="1" applyFill="1"/>
    <xf numFmtId="166" fontId="20" fillId="2" borderId="0" xfId="3" applyNumberFormat="1" applyFont="1" applyFill="1"/>
    <xf numFmtId="166" fontId="20" fillId="3" borderId="0" xfId="3" applyNumberFormat="1" applyFont="1" applyFill="1"/>
    <xf numFmtId="165" fontId="20" fillId="0" borderId="0" xfId="1" applyNumberFormat="1" applyFont="1"/>
    <xf numFmtId="0" fontId="18" fillId="16" borderId="12" xfId="6" applyFont="1" applyFill="1" applyBorder="1"/>
    <xf numFmtId="0" fontId="20" fillId="12" borderId="0" xfId="3" applyFont="1" applyFill="1"/>
    <xf numFmtId="165" fontId="18" fillId="2" borderId="0" xfId="3" applyNumberFormat="1" applyFont="1" applyFill="1"/>
    <xf numFmtId="165" fontId="18" fillId="3" borderId="0" xfId="3" applyNumberFormat="1" applyFont="1" applyFill="1"/>
    <xf numFmtId="165" fontId="28" fillId="3" borderId="0" xfId="3" applyNumberFormat="1" applyFont="1" applyFill="1"/>
    <xf numFmtId="166" fontId="18" fillId="2" borderId="0" xfId="1" applyNumberFormat="1" applyFont="1" applyFill="1" applyBorder="1"/>
    <xf numFmtId="166" fontId="31" fillId="2" borderId="0" xfId="1" applyNumberFormat="1" applyFont="1" applyFill="1" applyBorder="1"/>
    <xf numFmtId="166" fontId="31" fillId="3" borderId="0" xfId="1" applyNumberFormat="1" applyFont="1" applyFill="1" applyBorder="1"/>
    <xf numFmtId="166" fontId="28" fillId="3" borderId="0" xfId="1" applyNumberFormat="1" applyFont="1" applyFill="1" applyBorder="1"/>
    <xf numFmtId="0" fontId="20" fillId="17" borderId="0" xfId="6" applyFont="1" applyFill="1"/>
    <xf numFmtId="165" fontId="20" fillId="17" borderId="0" xfId="3" applyNumberFormat="1" applyFont="1" applyFill="1"/>
    <xf numFmtId="174" fontId="20" fillId="17" borderId="0" xfId="3" applyNumberFormat="1" applyFont="1" applyFill="1"/>
    <xf numFmtId="166" fontId="20" fillId="17" borderId="0" xfId="3" applyNumberFormat="1" applyFont="1" applyFill="1"/>
    <xf numFmtId="175" fontId="28" fillId="0" borderId="4" xfId="3" applyNumberFormat="1" applyFont="1" applyBorder="1"/>
    <xf numFmtId="175" fontId="18" fillId="0" borderId="4" xfId="3" applyNumberFormat="1" applyFont="1" applyBorder="1"/>
    <xf numFmtId="175" fontId="18" fillId="0" borderId="0" xfId="3" applyNumberFormat="1" applyFont="1"/>
    <xf numFmtId="0" fontId="18" fillId="0" borderId="1" xfId="8" applyFont="1" applyBorder="1"/>
    <xf numFmtId="0" fontId="20" fillId="0" borderId="0" xfId="8" applyFont="1"/>
    <xf numFmtId="0" fontId="20" fillId="0" borderId="2" xfId="8" applyFont="1" applyBorder="1"/>
    <xf numFmtId="0" fontId="20" fillId="0" borderId="0" xfId="8" applyFont="1" applyBorder="1"/>
    <xf numFmtId="169" fontId="20" fillId="0" borderId="0" xfId="4" applyNumberFormat="1" applyFont="1"/>
    <xf numFmtId="168" fontId="20" fillId="0" borderId="0" xfId="4" applyNumberFormat="1" applyFont="1"/>
    <xf numFmtId="0" fontId="20" fillId="0" borderId="0" xfId="2" applyNumberFormat="1" applyFont="1"/>
    <xf numFmtId="4" fontId="20" fillId="0" borderId="0" xfId="2" applyNumberFormat="1" applyFont="1"/>
    <xf numFmtId="4" fontId="20" fillId="0" borderId="0" xfId="2" applyNumberFormat="1" applyFont="1" applyBorder="1"/>
    <xf numFmtId="0" fontId="20" fillId="0" borderId="1" xfId="6" applyFont="1" applyBorder="1"/>
    <xf numFmtId="165" fontId="20" fillId="0" borderId="0" xfId="1" applyNumberFormat="1" applyFont="1" applyBorder="1"/>
    <xf numFmtId="9" fontId="20" fillId="0" borderId="0" xfId="2" applyFont="1" applyAlignment="1"/>
    <xf numFmtId="3" fontId="26" fillId="0" borderId="0" xfId="3" applyNumberFormat="1" applyFont="1"/>
    <xf numFmtId="165" fontId="20" fillId="0" borderId="0" xfId="7" applyNumberFormat="1" applyFont="1"/>
    <xf numFmtId="165" fontId="18" fillId="0" borderId="0" xfId="1" applyNumberFormat="1" applyFont="1" applyFill="1" applyBorder="1"/>
    <xf numFmtId="177" fontId="26" fillId="0" borderId="0" xfId="3" applyNumberFormat="1" applyFont="1"/>
    <xf numFmtId="175" fontId="20" fillId="3" borderId="0" xfId="3" applyNumberFormat="1" applyFont="1" applyFill="1"/>
    <xf numFmtId="175" fontId="27" fillId="3" borderId="0" xfId="3" applyNumberFormat="1" applyFont="1" applyFill="1"/>
    <xf numFmtId="175" fontId="18" fillId="0" borderId="12" xfId="3" applyNumberFormat="1" applyFont="1" applyBorder="1"/>
    <xf numFmtId="175" fontId="18" fillId="16" borderId="0" xfId="3" applyNumberFormat="1" applyFont="1" applyFill="1"/>
    <xf numFmtId="181" fontId="20" fillId="14" borderId="0" xfId="2" applyNumberFormat="1" applyFont="1" applyFill="1" applyBorder="1" applyAlignment="1">
      <alignment horizontal="center"/>
    </xf>
    <xf numFmtId="170" fontId="18" fillId="14" borderId="0" xfId="2" applyNumberFormat="1" applyFont="1" applyFill="1" applyBorder="1" applyAlignment="1">
      <alignment horizontal="center"/>
    </xf>
    <xf numFmtId="0" fontId="20" fillId="14" borderId="0" xfId="6" applyFont="1" applyFill="1" applyAlignment="1">
      <alignment horizontal="center"/>
    </xf>
    <xf numFmtId="170" fontId="18" fillId="14" borderId="0" xfId="2" applyNumberFormat="1" applyFont="1" applyFill="1" applyBorder="1" applyAlignment="1">
      <alignment horizontal="left"/>
    </xf>
    <xf numFmtId="170" fontId="20" fillId="14" borderId="0" xfId="2" applyNumberFormat="1" applyFont="1" applyFill="1" applyBorder="1" applyAlignment="1">
      <alignment horizontal="left"/>
    </xf>
    <xf numFmtId="0" fontId="21" fillId="14" borderId="0" xfId="0" applyFont="1" applyFill="1" applyAlignment="1">
      <alignment horizontal="left"/>
    </xf>
    <xf numFmtId="0" fontId="20" fillId="14" borderId="0" xfId="6" applyFont="1" applyFill="1" applyAlignment="1">
      <alignment horizontal="left"/>
    </xf>
    <xf numFmtId="3" fontId="20" fillId="14" borderId="0" xfId="0" applyNumberFormat="1" applyFont="1" applyFill="1"/>
    <xf numFmtId="3" fontId="27" fillId="14" borderId="0" xfId="0" applyNumberFormat="1" applyFont="1" applyFill="1"/>
    <xf numFmtId="169" fontId="27" fillId="14" borderId="0" xfId="0" applyNumberFormat="1" applyFont="1" applyFill="1"/>
    <xf numFmtId="169" fontId="20" fillId="14" borderId="0" xfId="0" applyNumberFormat="1" applyFont="1" applyFill="1"/>
    <xf numFmtId="0" fontId="34" fillId="14" borderId="0" xfId="0" applyFont="1" applyFill="1"/>
    <xf numFmtId="0" fontId="18" fillId="14" borderId="0" xfId="6" applyFont="1" applyFill="1" applyAlignment="1">
      <alignment horizontal="center"/>
    </xf>
    <xf numFmtId="170" fontId="18" fillId="16" borderId="0" xfId="2" applyNumberFormat="1" applyFont="1" applyFill="1" applyBorder="1" applyAlignment="1">
      <alignment horizontal="left"/>
    </xf>
    <xf numFmtId="0" fontId="21" fillId="16" borderId="0" xfId="0" applyFont="1" applyFill="1"/>
    <xf numFmtId="3" fontId="20" fillId="16" borderId="0" xfId="0" applyNumberFormat="1" applyFont="1" applyFill="1"/>
    <xf numFmtId="4" fontId="27" fillId="10" borderId="0" xfId="0" applyNumberFormat="1" applyFont="1" applyFill="1"/>
    <xf numFmtId="181" fontId="20" fillId="16" borderId="1" xfId="2" applyNumberFormat="1" applyFont="1" applyFill="1" applyBorder="1" applyAlignment="1">
      <alignment horizontal="center"/>
    </xf>
    <xf numFmtId="170" fontId="18" fillId="16" borderId="1" xfId="2" applyNumberFormat="1" applyFont="1" applyFill="1" applyBorder="1" applyAlignment="1">
      <alignment horizontal="center"/>
    </xf>
    <xf numFmtId="0" fontId="34" fillId="16" borderId="1" xfId="0" applyFont="1" applyFill="1" applyBorder="1"/>
    <xf numFmtId="3" fontId="20" fillId="10" borderId="0" xfId="0" applyNumberFormat="1" applyFont="1" applyFill="1"/>
    <xf numFmtId="170" fontId="20" fillId="14" borderId="4" xfId="2" applyNumberFormat="1" applyFont="1" applyFill="1" applyBorder="1" applyAlignment="1">
      <alignment horizontal="left"/>
    </xf>
    <xf numFmtId="3" fontId="20" fillId="14" borderId="4" xfId="0" applyNumberFormat="1" applyFont="1" applyFill="1" applyBorder="1"/>
    <xf numFmtId="170" fontId="18" fillId="14" borderId="4" xfId="2" applyNumberFormat="1" applyFont="1" applyFill="1" applyBorder="1" applyAlignment="1">
      <alignment horizontal="left"/>
    </xf>
    <xf numFmtId="3" fontId="18" fillId="14" borderId="4" xfId="0" applyNumberFormat="1" applyFont="1" applyFill="1" applyBorder="1"/>
    <xf numFmtId="3" fontId="18" fillId="14" borderId="0" xfId="0" applyNumberFormat="1" applyFont="1" applyFill="1"/>
    <xf numFmtId="0" fontId="156" fillId="0" borderId="0" xfId="6" applyFont="1"/>
    <xf numFmtId="0" fontId="156" fillId="0" borderId="0" xfId="4" applyFont="1"/>
    <xf numFmtId="0" fontId="17" fillId="48" borderId="1" xfId="4" applyFont="1" applyFill="1" applyBorder="1" applyAlignment="1">
      <alignment horizontal="right"/>
    </xf>
    <xf numFmtId="167" fontId="27" fillId="10" borderId="7" xfId="6" applyNumberFormat="1" applyFont="1" applyFill="1" applyBorder="1" applyAlignment="1">
      <alignment horizontal="center"/>
    </xf>
    <xf numFmtId="167" fontId="27" fillId="10" borderId="9" xfId="6" applyNumberFormat="1" applyFont="1" applyFill="1" applyBorder="1" applyAlignment="1">
      <alignment horizontal="center"/>
    </xf>
    <xf numFmtId="274" fontId="20" fillId="14" borderId="0" xfId="6" applyNumberFormat="1" applyFont="1" applyFill="1" applyAlignment="1">
      <alignment horizontal="center"/>
    </xf>
    <xf numFmtId="17" fontId="20" fillId="14" borderId="0" xfId="6" applyNumberFormat="1" applyFont="1" applyFill="1" applyAlignment="1">
      <alignment horizontal="center"/>
    </xf>
    <xf numFmtId="0" fontId="21" fillId="14" borderId="0" xfId="0" applyFont="1" applyFill="1"/>
    <xf numFmtId="274" fontId="21" fillId="14" borderId="0" xfId="0" applyNumberFormat="1" applyFont="1" applyFill="1" applyAlignment="1">
      <alignment horizontal="center"/>
    </xf>
    <xf numFmtId="0" fontId="20" fillId="14" borderId="0" xfId="6" applyFont="1" applyFill="1" applyAlignment="1">
      <alignment horizontal="right"/>
    </xf>
    <xf numFmtId="43" fontId="20" fillId="14" borderId="0" xfId="6" applyNumberFormat="1" applyFont="1" applyFill="1" applyAlignment="1">
      <alignment horizontal="center"/>
    </xf>
    <xf numFmtId="181" fontId="20" fillId="14" borderId="0" xfId="6" applyNumberFormat="1" applyFont="1" applyFill="1" applyAlignment="1">
      <alignment horizontal="center"/>
    </xf>
    <xf numFmtId="0" fontId="21" fillId="14" borderId="0" xfId="0" applyFont="1" applyFill="1" applyAlignment="1">
      <alignment vertical="center"/>
    </xf>
    <xf numFmtId="168" fontId="20" fillId="14" borderId="0" xfId="6" applyNumberFormat="1" applyFont="1" applyFill="1" applyAlignment="1">
      <alignment horizontal="left"/>
    </xf>
    <xf numFmtId="168" fontId="20" fillId="14" borderId="0" xfId="6" applyNumberFormat="1" applyFont="1" applyFill="1" applyAlignment="1">
      <alignment horizontal="center"/>
    </xf>
    <xf numFmtId="170" fontId="20" fillId="14" borderId="0" xfId="2" applyNumberFormat="1" applyFont="1" applyFill="1" applyBorder="1" applyAlignment="1">
      <alignment horizontal="center"/>
    </xf>
    <xf numFmtId="0" fontId="18" fillId="14" borderId="0" xfId="6" applyFont="1" applyFill="1" applyAlignment="1">
      <alignment horizontal="left"/>
    </xf>
    <xf numFmtId="274" fontId="18" fillId="14" borderId="4" xfId="6" applyNumberFormat="1" applyFont="1" applyFill="1" applyBorder="1" applyAlignment="1">
      <alignment horizontal="center"/>
    </xf>
    <xf numFmtId="274" fontId="34" fillId="14" borderId="4" xfId="0" applyNumberFormat="1" applyFont="1" applyFill="1" applyBorder="1" applyAlignment="1">
      <alignment horizontal="center"/>
    </xf>
    <xf numFmtId="0" fontId="18" fillId="14" borderId="4" xfId="6" applyFont="1" applyFill="1" applyBorder="1" applyAlignment="1">
      <alignment horizontal="left"/>
    </xf>
    <xf numFmtId="275" fontId="18" fillId="14" borderId="0" xfId="6" quotePrefix="1" applyNumberFormat="1" applyFont="1" applyFill="1" applyAlignment="1">
      <alignment horizontal="center"/>
    </xf>
    <xf numFmtId="275" fontId="34" fillId="14" borderId="0" xfId="0" applyNumberFormat="1" applyFont="1" applyFill="1" applyAlignment="1">
      <alignment horizontal="center"/>
    </xf>
    <xf numFmtId="275" fontId="21" fillId="14" borderId="0" xfId="0" applyNumberFormat="1" applyFont="1" applyFill="1" applyAlignment="1">
      <alignment horizontal="center"/>
    </xf>
    <xf numFmtId="4" fontId="18" fillId="14" borderId="5" xfId="6" applyNumberFormat="1" applyFont="1" applyFill="1" applyBorder="1" applyAlignment="1">
      <alignment horizontal="center"/>
    </xf>
    <xf numFmtId="4" fontId="28" fillId="14" borderId="5" xfId="6" applyNumberFormat="1" applyFont="1" applyFill="1" applyBorder="1" applyAlignment="1">
      <alignment horizontal="center"/>
    </xf>
    <xf numFmtId="4" fontId="33" fillId="14" borderId="0" xfId="6" applyNumberFormat="1" applyFont="1" applyFill="1" applyAlignment="1">
      <alignment horizontal="center"/>
    </xf>
    <xf numFmtId="274" fontId="20" fillId="10" borderId="0" xfId="6" applyNumberFormat="1" applyFont="1" applyFill="1" applyAlignment="1">
      <alignment horizontal="center"/>
    </xf>
    <xf numFmtId="168" fontId="20" fillId="10" borderId="0" xfId="6" applyNumberFormat="1" applyFont="1" applyFill="1" applyAlignment="1">
      <alignment horizontal="center"/>
    </xf>
    <xf numFmtId="274" fontId="20" fillId="14" borderId="0" xfId="1" applyNumberFormat="1" applyFont="1" applyFill="1" applyBorder="1" applyAlignment="1">
      <alignment horizontal="center"/>
    </xf>
    <xf numFmtId="9" fontId="20" fillId="14" borderId="0" xfId="5" applyFont="1" applyFill="1" applyBorder="1" applyAlignment="1" applyProtection="1">
      <alignment horizontal="center"/>
      <protection hidden="1"/>
    </xf>
    <xf numFmtId="0" fontId="20" fillId="14" borderId="4" xfId="6" applyFont="1" applyFill="1" applyBorder="1" applyAlignment="1">
      <alignment horizontal="left"/>
    </xf>
    <xf numFmtId="274" fontId="20" fillId="14" borderId="4" xfId="1" applyNumberFormat="1" applyFont="1" applyFill="1" applyBorder="1" applyAlignment="1">
      <alignment horizontal="center"/>
    </xf>
    <xf numFmtId="43" fontId="20" fillId="14" borderId="0" xfId="1" applyFont="1" applyFill="1" applyBorder="1" applyAlignment="1" applyProtection="1">
      <alignment horizontal="center"/>
      <protection hidden="1"/>
    </xf>
    <xf numFmtId="9" fontId="20" fillId="10" borderId="0" xfId="5" applyFont="1" applyFill="1" applyBorder="1" applyAlignment="1" applyProtection="1">
      <alignment horizontal="center"/>
      <protection hidden="1"/>
    </xf>
    <xf numFmtId="274" fontId="20" fillId="14" borderId="0" xfId="1" applyNumberFormat="1" applyFont="1" applyFill="1" applyBorder="1" applyAlignment="1" applyProtection="1">
      <alignment horizontal="center"/>
      <protection hidden="1"/>
    </xf>
    <xf numFmtId="169" fontId="20" fillId="14" borderId="0" xfId="6" applyNumberFormat="1" applyFont="1" applyFill="1" applyAlignment="1">
      <alignment horizontal="center"/>
    </xf>
    <xf numFmtId="0" fontId="20" fillId="14" borderId="0" xfId="6" quotePrefix="1" applyFont="1" applyFill="1" applyAlignment="1">
      <alignment horizontal="left"/>
    </xf>
    <xf numFmtId="274" fontId="18" fillId="14" borderId="4" xfId="1" applyNumberFormat="1" applyFont="1" applyFill="1" applyBorder="1" applyAlignment="1">
      <alignment horizontal="center"/>
    </xf>
    <xf numFmtId="0" fontId="27" fillId="14" borderId="0" xfId="6" applyFont="1" applyFill="1" applyAlignment="1">
      <alignment horizontal="center"/>
    </xf>
    <xf numFmtId="180" fontId="27" fillId="14" borderId="0" xfId="6" applyNumberFormat="1" applyFont="1" applyFill="1" applyAlignment="1">
      <alignment horizontal="center"/>
    </xf>
    <xf numFmtId="180" fontId="20" fillId="14" borderId="0" xfId="6" applyNumberFormat="1" applyFont="1" applyFill="1" applyAlignment="1">
      <alignment horizontal="center"/>
    </xf>
    <xf numFmtId="274" fontId="18" fillId="14" borderId="0" xfId="6" applyNumberFormat="1" applyFont="1" applyFill="1" applyAlignment="1">
      <alignment horizontal="center"/>
    </xf>
    <xf numFmtId="0" fontId="20" fillId="14" borderId="6" xfId="6" applyFont="1" applyFill="1" applyBorder="1" applyAlignment="1">
      <alignment horizontal="left"/>
    </xf>
    <xf numFmtId="0" fontId="20" fillId="14" borderId="8" xfId="6" applyFont="1" applyFill="1" applyBorder="1" applyAlignment="1">
      <alignment horizontal="left"/>
    </xf>
    <xf numFmtId="0" fontId="18" fillId="14" borderId="8" xfId="6" applyFont="1" applyFill="1" applyBorder="1" applyAlignment="1">
      <alignment horizontal="left"/>
    </xf>
    <xf numFmtId="0" fontId="18" fillId="14" borderId="10" xfId="6" applyFont="1" applyFill="1" applyBorder="1" applyAlignment="1">
      <alignment horizontal="left"/>
    </xf>
    <xf numFmtId="167" fontId="20" fillId="14" borderId="9" xfId="6" applyNumberFormat="1" applyFont="1" applyFill="1" applyBorder="1" applyAlignment="1">
      <alignment horizontal="center"/>
    </xf>
    <xf numFmtId="274" fontId="21" fillId="14" borderId="0" xfId="1" applyNumberFormat="1" applyFont="1" applyFill="1"/>
    <xf numFmtId="0" fontId="21" fillId="14" borderId="4" xfId="0" applyFont="1" applyFill="1" applyBorder="1"/>
    <xf numFmtId="274" fontId="21" fillId="14" borderId="4" xfId="1" applyNumberFormat="1" applyFont="1" applyFill="1" applyBorder="1"/>
    <xf numFmtId="274" fontId="21" fillId="14" borderId="0" xfId="0" applyNumberFormat="1" applyFont="1" applyFill="1"/>
    <xf numFmtId="0" fontId="34" fillId="14" borderId="4" xfId="0" applyFont="1" applyFill="1" applyBorder="1"/>
    <xf numFmtId="274" fontId="34" fillId="14" borderId="4" xfId="0" applyNumberFormat="1" applyFont="1" applyFill="1" applyBorder="1"/>
    <xf numFmtId="167" fontId="20" fillId="14" borderId="0" xfId="2" applyNumberFormat="1" applyFont="1" applyFill="1" applyBorder="1" applyAlignment="1">
      <alignment horizontal="center"/>
    </xf>
    <xf numFmtId="0" fontId="21" fillId="49" borderId="0" xfId="0" applyFont="1" applyFill="1"/>
    <xf numFmtId="0" fontId="157" fillId="49" borderId="0" xfId="14" applyFont="1" applyFill="1" applyAlignment="1">
      <alignment horizontal="centerContinuous"/>
    </xf>
    <xf numFmtId="0" fontId="158" fillId="49" borderId="0" xfId="14" applyFont="1" applyFill="1" applyAlignment="1">
      <alignment horizontal="centerContinuous"/>
    </xf>
    <xf numFmtId="0" fontId="17" fillId="49" borderId="0" xfId="14" applyFont="1" applyFill="1"/>
    <xf numFmtId="0" fontId="17" fillId="49" borderId="0" xfId="6" applyFont="1" applyFill="1" applyAlignment="1">
      <alignment horizontal="left"/>
    </xf>
    <xf numFmtId="0" fontId="17" fillId="49" borderId="0" xfId="6" applyFont="1" applyFill="1" applyAlignment="1">
      <alignment horizontal="center"/>
    </xf>
    <xf numFmtId="0" fontId="17" fillId="14" borderId="0" xfId="6" applyFont="1" applyFill="1" applyAlignment="1">
      <alignment horizontal="left"/>
    </xf>
    <xf numFmtId="0" fontId="17" fillId="14" borderId="0" xfId="6" applyFont="1" applyFill="1" applyAlignment="1">
      <alignment horizontal="center"/>
    </xf>
    <xf numFmtId="167" fontId="28" fillId="10" borderId="11" xfId="6" applyNumberFormat="1" applyFont="1" applyFill="1" applyBorder="1" applyAlignment="1">
      <alignment horizontal="center"/>
    </xf>
    <xf numFmtId="276" fontId="21" fillId="14" borderId="0" xfId="1" applyNumberFormat="1" applyFont="1" applyFill="1"/>
    <xf numFmtId="4" fontId="27" fillId="14" borderId="0" xfId="6" applyNumberFormat="1" applyFont="1" applyFill="1" applyAlignment="1">
      <alignment horizontal="center"/>
    </xf>
    <xf numFmtId="0" fontId="18" fillId="14" borderId="4" xfId="0" applyFont="1" applyFill="1" applyBorder="1"/>
    <xf numFmtId="0" fontId="27" fillId="50" borderId="4" xfId="0" applyFont="1" applyFill="1" applyBorder="1" applyAlignment="1">
      <alignment horizontal="center"/>
    </xf>
    <xf numFmtId="17" fontId="18" fillId="14" borderId="4" xfId="0" applyNumberFormat="1" applyFont="1" applyFill="1" applyBorder="1"/>
    <xf numFmtId="4" fontId="156" fillId="14" borderId="0" xfId="0" applyNumberFormat="1" applyFont="1" applyFill="1" applyAlignment="1">
      <alignment horizontal="right"/>
    </xf>
    <xf numFmtId="4" fontId="18" fillId="14" borderId="4" xfId="0" applyNumberFormat="1" applyFont="1" applyFill="1" applyBorder="1" applyAlignment="1">
      <alignment horizontal="center"/>
    </xf>
    <xf numFmtId="4" fontId="159" fillId="14" borderId="0" xfId="25" applyNumberFormat="1" applyFont="1" applyFill="1" applyAlignment="1">
      <alignment horizontal="center" vertical="center"/>
    </xf>
    <xf numFmtId="4" fontId="156" fillId="50" borderId="0" xfId="0" applyNumberFormat="1" applyFont="1" applyFill="1" applyAlignment="1">
      <alignment horizontal="right"/>
    </xf>
    <xf numFmtId="4" fontId="20" fillId="14" borderId="4" xfId="0" applyNumberFormat="1" applyFont="1" applyFill="1" applyBorder="1" applyAlignment="1">
      <alignment horizontal="right"/>
    </xf>
    <xf numFmtId="0" fontId="18" fillId="16" borderId="0" xfId="0" applyFont="1" applyFill="1"/>
    <xf numFmtId="0" fontId="26" fillId="16" borderId="0" xfId="0" applyFont="1" applyFill="1" applyAlignment="1">
      <alignment horizontal="center"/>
    </xf>
    <xf numFmtId="277" fontId="18" fillId="16" borderId="0" xfId="420" applyNumberFormat="1" applyFont="1" applyFill="1" applyBorder="1"/>
    <xf numFmtId="0" fontId="18" fillId="0" borderId="4" xfId="8" applyFont="1" applyBorder="1"/>
    <xf numFmtId="0" fontId="17" fillId="51" borderId="1" xfId="8" applyFont="1" applyFill="1" applyBorder="1"/>
    <xf numFmtId="0" fontId="17" fillId="51" borderId="1" xfId="3" applyFont="1" applyFill="1" applyBorder="1"/>
    <xf numFmtId="0" fontId="17" fillId="51" borderId="1" xfId="4" applyFont="1" applyFill="1" applyBorder="1"/>
    <xf numFmtId="0" fontId="20" fillId="0" borderId="0" xfId="631" applyFont="1"/>
    <xf numFmtId="0" fontId="18" fillId="0" borderId="4" xfId="631" applyFont="1" applyBorder="1"/>
    <xf numFmtId="0" fontId="18" fillId="0" borderId="0" xfId="631" applyFont="1"/>
    <xf numFmtId="166" fontId="20" fillId="0" borderId="0" xfId="2" applyNumberFormat="1" applyFont="1" applyBorder="1"/>
    <xf numFmtId="175" fontId="20" fillId="0" borderId="0" xfId="2" applyNumberFormat="1" applyFont="1" applyBorder="1"/>
    <xf numFmtId="166" fontId="18" fillId="0" borderId="4" xfId="2" applyNumberFormat="1" applyFont="1" applyBorder="1"/>
    <xf numFmtId="175" fontId="20" fillId="0" borderId="0" xfId="4" applyNumberFormat="1" applyFont="1"/>
    <xf numFmtId="175" fontId="20" fillId="0" borderId="0" xfId="2" applyNumberFormat="1" applyFont="1"/>
    <xf numFmtId="175" fontId="18" fillId="0" borderId="4" xfId="2" applyNumberFormat="1" applyFont="1" applyBorder="1"/>
    <xf numFmtId="175" fontId="20" fillId="2" borderId="0" xfId="3" applyNumberFormat="1" applyFont="1" applyFill="1"/>
    <xf numFmtId="175" fontId="20" fillId="0" borderId="2" xfId="3" applyNumberFormat="1" applyFont="1" applyBorder="1"/>
    <xf numFmtId="175" fontId="20" fillId="17" borderId="0" xfId="3" applyNumberFormat="1" applyFont="1" applyFill="1"/>
    <xf numFmtId="175" fontId="20" fillId="0" borderId="0" xfId="1" applyNumberFormat="1" applyFont="1"/>
    <xf numFmtId="175" fontId="20" fillId="0" borderId="0" xfId="1" applyNumberFormat="1" applyFont="1" applyBorder="1"/>
    <xf numFmtId="175" fontId="18" fillId="0" borderId="0" xfId="1" applyNumberFormat="1" applyFont="1" applyFill="1"/>
    <xf numFmtId="175" fontId="18" fillId="0" borderId="0" xfId="1" applyNumberFormat="1" applyFont="1" applyFill="1" applyBorder="1"/>
    <xf numFmtId="175" fontId="20" fillId="3" borderId="0" xfId="1" applyNumberFormat="1" applyFont="1" applyFill="1"/>
    <xf numFmtId="175" fontId="20" fillId="3" borderId="0" xfId="1" applyNumberFormat="1" applyFont="1" applyFill="1" applyBorder="1"/>
    <xf numFmtId="167" fontId="18" fillId="0" borderId="4" xfId="2" applyNumberFormat="1" applyFont="1" applyBorder="1"/>
    <xf numFmtId="0" fontId="20" fillId="0" borderId="0" xfId="9" applyFont="1"/>
    <xf numFmtId="0" fontId="4" fillId="0" borderId="1" xfId="630" applyFont="1" applyBorder="1"/>
    <xf numFmtId="0" fontId="18" fillId="0" borderId="1" xfId="9" applyFont="1" applyBorder="1"/>
    <xf numFmtId="0" fontId="18" fillId="0" borderId="1" xfId="9" applyFont="1" applyBorder="1" applyAlignment="1">
      <alignment horizontal="center"/>
    </xf>
    <xf numFmtId="166" fontId="20" fillId="6" borderId="0" xfId="9" applyNumberFormat="1" applyFont="1" applyFill="1" applyAlignment="1">
      <alignment horizontal="center"/>
    </xf>
    <xf numFmtId="166" fontId="3" fillId="6" borderId="0" xfId="420" applyNumberFormat="1" applyFont="1" applyFill="1"/>
    <xf numFmtId="166" fontId="20" fillId="0" borderId="0" xfId="9" applyNumberFormat="1" applyFont="1"/>
    <xf numFmtId="0" fontId="4" fillId="0" borderId="4" xfId="630" applyFont="1" applyBorder="1"/>
    <xf numFmtId="166" fontId="20" fillId="6" borderId="4" xfId="9" applyNumberFormat="1" applyFont="1" applyFill="1" applyBorder="1" applyAlignment="1">
      <alignment horizontal="center"/>
    </xf>
    <xf numFmtId="0" fontId="3" fillId="0" borderId="2" xfId="630" applyFont="1" applyBorder="1"/>
    <xf numFmtId="166" fontId="20" fillId="6" borderId="2" xfId="9" applyNumberFormat="1" applyFont="1" applyFill="1" applyBorder="1" applyAlignment="1">
      <alignment horizontal="center"/>
    </xf>
    <xf numFmtId="0" fontId="4" fillId="0" borderId="0" xfId="630" applyFont="1"/>
    <xf numFmtId="166" fontId="3" fillId="0" borderId="0" xfId="10" applyNumberFormat="1" applyFont="1" applyFill="1" applyBorder="1" applyAlignment="1">
      <alignment horizontal="right"/>
    </xf>
    <xf numFmtId="274" fontId="3" fillId="6" borderId="0" xfId="9" applyNumberFormat="1" applyFont="1" applyFill="1" applyAlignment="1">
      <alignment horizontal="right"/>
    </xf>
    <xf numFmtId="274" fontId="3" fillId="6" borderId="0" xfId="10" applyNumberFormat="1" applyFont="1" applyFill="1" applyAlignment="1">
      <alignment horizontal="right"/>
    </xf>
    <xf numFmtId="274" fontId="20" fillId="6" borderId="0" xfId="9" applyNumberFormat="1" applyFont="1" applyFill="1" applyAlignment="1">
      <alignment horizontal="center"/>
    </xf>
    <xf numFmtId="274" fontId="3" fillId="6" borderId="0" xfId="420" applyNumberFormat="1" applyFont="1" applyFill="1"/>
    <xf numFmtId="274" fontId="20" fillId="6" borderId="4" xfId="9" applyNumberFormat="1" applyFont="1" applyFill="1" applyBorder="1" applyAlignment="1">
      <alignment horizontal="center"/>
    </xf>
    <xf numFmtId="274" fontId="20" fillId="6" borderId="2" xfId="9" applyNumberFormat="1" applyFont="1" applyFill="1" applyBorder="1" applyAlignment="1">
      <alignment horizontal="center"/>
    </xf>
    <xf numFmtId="274" fontId="3" fillId="6" borderId="0" xfId="9" applyNumberFormat="1" applyFont="1" applyFill="1"/>
    <xf numFmtId="274" fontId="20" fillId="6" borderId="0" xfId="9" applyNumberFormat="1" applyFont="1" applyFill="1"/>
    <xf numFmtId="274" fontId="20" fillId="6" borderId="4" xfId="9" applyNumberFormat="1" applyFont="1" applyFill="1" applyBorder="1"/>
    <xf numFmtId="274" fontId="20" fillId="6" borderId="2" xfId="9" applyNumberFormat="1" applyFont="1" applyFill="1" applyBorder="1"/>
    <xf numFmtId="274" fontId="3" fillId="0" borderId="0" xfId="9" applyNumberFormat="1" applyFont="1" applyAlignment="1">
      <alignment horizontal="right"/>
    </xf>
    <xf numFmtId="165" fontId="20" fillId="0" borderId="0" xfId="6" applyNumberFormat="1" applyFont="1" applyAlignment="1">
      <alignment horizontal="left" indent="1"/>
    </xf>
    <xf numFmtId="175" fontId="27" fillId="0" borderId="0" xfId="2" applyNumberFormat="1" applyFont="1" applyBorder="1"/>
    <xf numFmtId="167" fontId="20" fillId="10" borderId="0" xfId="2" applyNumberFormat="1" applyFont="1" applyFill="1" applyBorder="1"/>
    <xf numFmtId="0" fontId="18" fillId="0" borderId="12" xfId="631" applyFont="1" applyBorder="1"/>
    <xf numFmtId="166" fontId="18" fillId="0" borderId="12" xfId="2" applyNumberFormat="1" applyFont="1" applyBorder="1"/>
    <xf numFmtId="175" fontId="27" fillId="0" borderId="0" xfId="3" applyNumberFormat="1" applyFont="1"/>
    <xf numFmtId="275" fontId="160" fillId="14" borderId="0" xfId="6" applyNumberFormat="1" applyFont="1" applyFill="1" applyAlignment="1">
      <alignment horizontal="center"/>
    </xf>
    <xf numFmtId="274" fontId="160" fillId="14" borderId="0" xfId="6" applyNumberFormat="1" applyFont="1" applyFill="1" applyAlignment="1">
      <alignment horizontal="center"/>
    </xf>
    <xf numFmtId="274" fontId="160" fillId="14" borderId="0" xfId="6" quotePrefix="1" applyNumberFormat="1" applyFont="1" applyFill="1" applyAlignment="1">
      <alignment horizontal="center"/>
    </xf>
    <xf numFmtId="3" fontId="161" fillId="10" borderId="0" xfId="0" applyNumberFormat="1" applyFont="1" applyFill="1" applyAlignment="1">
      <alignment horizontal="center"/>
    </xf>
    <xf numFmtId="0" fontId="12" fillId="49" borderId="0" xfId="0" applyFont="1" applyFill="1" applyAlignment="1">
      <alignment horizontal="right"/>
    </xf>
    <xf numFmtId="17" fontId="16" fillId="49" borderId="2" xfId="21" applyNumberFormat="1" applyFont="1" applyFill="1" applyBorder="1" applyAlignment="1">
      <alignment horizontal="right"/>
    </xf>
    <xf numFmtId="3" fontId="15" fillId="0" borderId="0" xfId="0" applyNumberFormat="1" applyFont="1"/>
    <xf numFmtId="0" fontId="15" fillId="0" borderId="4" xfId="0" applyFont="1" applyBorder="1"/>
    <xf numFmtId="3" fontId="15" fillId="0" borderId="4" xfId="0" applyNumberFormat="1" applyFont="1" applyBorder="1"/>
    <xf numFmtId="3" fontId="162" fillId="0" borderId="0" xfId="0" applyNumberFormat="1" applyFont="1"/>
    <xf numFmtId="169" fontId="14" fillId="10" borderId="0" xfId="0" applyNumberFormat="1" applyFont="1" applyFill="1" applyAlignment="1">
      <alignment horizontal="left"/>
    </xf>
    <xf numFmtId="169" fontId="0" fillId="0" borderId="0" xfId="0" applyNumberFormat="1"/>
    <xf numFmtId="169" fontId="2" fillId="10" borderId="0" xfId="21" applyNumberFormat="1" applyFill="1" applyAlignment="1">
      <alignment horizontal="left"/>
    </xf>
    <xf numFmtId="167" fontId="15" fillId="0" borderId="0" xfId="2" applyNumberFormat="1" applyFont="1"/>
    <xf numFmtId="0" fontId="163" fillId="0" borderId="0" xfId="6" applyFont="1"/>
    <xf numFmtId="4" fontId="18" fillId="0" borderId="1" xfId="4" applyNumberFormat="1" applyFont="1" applyBorder="1"/>
    <xf numFmtId="4" fontId="20" fillId="14" borderId="0" xfId="6" applyNumberFormat="1" applyFont="1" applyFill="1" applyAlignment="1">
      <alignment horizontal="center"/>
    </xf>
    <xf numFmtId="0" fontId="17" fillId="49" borderId="0" xfId="3" applyFont="1" applyFill="1"/>
    <xf numFmtId="0" fontId="17" fillId="49" borderId="1" xfId="4" applyFont="1" applyFill="1" applyBorder="1" applyAlignment="1">
      <alignment horizontal="right"/>
    </xf>
    <xf numFmtId="3" fontId="20" fillId="13" borderId="0" xfId="3" applyNumberFormat="1" applyFont="1" applyFill="1" applyAlignment="1">
      <alignment horizontal="right"/>
    </xf>
    <xf numFmtId="166" fontId="18" fillId="13" borderId="0" xfId="1" applyNumberFormat="1" applyFont="1" applyFill="1" applyAlignment="1">
      <alignment horizontal="right"/>
    </xf>
    <xf numFmtId="274" fontId="27" fillId="16" borderId="0" xfId="1" applyNumberFormat="1" applyFont="1" applyFill="1"/>
    <xf numFmtId="274" fontId="18" fillId="0" borderId="0" xfId="4" applyNumberFormat="1" applyFont="1"/>
    <xf numFmtId="274" fontId="20" fillId="0" borderId="0" xfId="4" applyNumberFormat="1" applyFont="1"/>
    <xf numFmtId="274" fontId="18" fillId="0" borderId="4" xfId="1" applyNumberFormat="1" applyFont="1" applyBorder="1"/>
    <xf numFmtId="274" fontId="18" fillId="0" borderId="4" xfId="1" applyNumberFormat="1" applyFont="1" applyFill="1" applyBorder="1"/>
    <xf numFmtId="274" fontId="20" fillId="0" borderId="0" xfId="1" applyNumberFormat="1" applyFont="1"/>
    <xf numFmtId="274" fontId="20" fillId="0" borderId="0" xfId="1" applyNumberFormat="1" applyFont="1" applyFill="1"/>
    <xf numFmtId="274" fontId="20" fillId="0" borderId="0" xfId="1" applyNumberFormat="1" applyFont="1" applyBorder="1"/>
    <xf numFmtId="274" fontId="20" fillId="0" borderId="0" xfId="3" applyNumberFormat="1" applyFont="1"/>
    <xf numFmtId="274" fontId="18" fillId="0" borderId="0" xfId="3" applyNumberFormat="1" applyFont="1"/>
    <xf numFmtId="274" fontId="28" fillId="0" borderId="0" xfId="1" applyNumberFormat="1" applyFont="1" applyBorder="1"/>
    <xf numFmtId="274" fontId="18" fillId="0" borderId="0" xfId="1" applyNumberFormat="1" applyFont="1" applyBorder="1"/>
    <xf numFmtId="274" fontId="29" fillId="0" borderId="0" xfId="1" applyNumberFormat="1" applyFont="1" applyBorder="1"/>
    <xf numFmtId="274" fontId="18" fillId="0" borderId="0" xfId="1" applyNumberFormat="1" applyFont="1" applyFill="1" applyBorder="1"/>
    <xf numFmtId="274" fontId="20" fillId="0" borderId="0" xfId="1" applyNumberFormat="1" applyFont="1" applyFill="1" applyBorder="1"/>
    <xf numFmtId="274" fontId="18" fillId="0" borderId="4" xfId="3" applyNumberFormat="1" applyFont="1" applyBorder="1"/>
    <xf numFmtId="274" fontId="29" fillId="0" borderId="4" xfId="1" applyNumberFormat="1" applyFont="1" applyBorder="1"/>
    <xf numFmtId="274" fontId="29" fillId="0" borderId="4" xfId="3" applyNumberFormat="1" applyFont="1" applyBorder="1"/>
    <xf numFmtId="274" fontId="20" fillId="2" borderId="0" xfId="3" applyNumberFormat="1" applyFont="1" applyFill="1"/>
    <xf numFmtId="274" fontId="20" fillId="3" borderId="0" xfId="3" applyNumberFormat="1" applyFont="1" applyFill="1"/>
    <xf numFmtId="274" fontId="18" fillId="3" borderId="0" xfId="1" applyNumberFormat="1" applyFont="1" applyFill="1"/>
    <xf numFmtId="274" fontId="18" fillId="0" borderId="0" xfId="1" applyNumberFormat="1" applyFont="1" applyFill="1"/>
    <xf numFmtId="274" fontId="18" fillId="3" borderId="0" xfId="1" applyNumberFormat="1" applyFont="1" applyFill="1" applyBorder="1"/>
    <xf numFmtId="274" fontId="18" fillId="0" borderId="0" xfId="1" applyNumberFormat="1" applyFont="1"/>
    <xf numFmtId="274" fontId="20" fillId="2" borderId="0" xfId="1" applyNumberFormat="1" applyFont="1" applyFill="1" applyAlignment="1">
      <alignment horizontal="center"/>
    </xf>
    <xf numFmtId="274" fontId="20" fillId="3" borderId="0" xfId="1" applyNumberFormat="1" applyFont="1" applyFill="1" applyAlignment="1">
      <alignment horizontal="center"/>
    </xf>
    <xf numFmtId="274" fontId="20" fillId="0" borderId="0" xfId="1" applyNumberFormat="1" applyFont="1" applyFill="1" applyAlignment="1">
      <alignment horizontal="center"/>
    </xf>
    <xf numFmtId="274" fontId="20" fillId="0" borderId="0" xfId="1" applyNumberFormat="1" applyFont="1" applyFill="1" applyAlignment="1">
      <alignment horizontal="right"/>
    </xf>
    <xf numFmtId="274" fontId="20" fillId="0" borderId="0" xfId="1" applyNumberFormat="1" applyFont="1" applyFill="1" applyBorder="1" applyAlignment="1">
      <alignment horizontal="right"/>
    </xf>
    <xf numFmtId="274" fontId="20" fillId="3" borderId="0" xfId="1" applyNumberFormat="1" applyFont="1" applyFill="1" applyAlignment="1">
      <alignment horizontal="right"/>
    </xf>
    <xf numFmtId="274" fontId="20" fillId="5" borderId="0" xfId="1" applyNumberFormat="1" applyFont="1" applyFill="1" applyAlignment="1">
      <alignment horizontal="right"/>
    </xf>
    <xf numFmtId="274" fontId="20" fillId="0" borderId="0" xfId="2" applyNumberFormat="1" applyFont="1" applyFill="1" applyAlignment="1">
      <alignment horizontal="right"/>
    </xf>
    <xf numFmtId="274" fontId="20" fillId="0" borderId="0" xfId="2" applyNumberFormat="1" applyFont="1" applyFill="1" applyBorder="1"/>
    <xf numFmtId="274" fontId="20" fillId="3" borderId="0" xfId="1" applyNumberFormat="1" applyFont="1" applyFill="1" applyBorder="1"/>
    <xf numFmtId="274" fontId="20" fillId="3" borderId="0" xfId="1" applyNumberFormat="1" applyFont="1" applyFill="1" applyBorder="1" applyAlignment="1">
      <alignment horizontal="center"/>
    </xf>
    <xf numFmtId="274" fontId="20" fillId="0" borderId="0" xfId="2" applyNumberFormat="1" applyFont="1" applyFill="1"/>
    <xf numFmtId="274" fontId="18" fillId="0" borderId="0" xfId="2" applyNumberFormat="1" applyFont="1" applyFill="1"/>
    <xf numFmtId="274" fontId="20" fillId="3" borderId="0" xfId="2" applyNumberFormat="1" applyFont="1" applyFill="1"/>
    <xf numFmtId="274" fontId="20" fillId="0" borderId="4" xfId="2" applyNumberFormat="1" applyFont="1" applyFill="1" applyBorder="1"/>
    <xf numFmtId="274" fontId="18" fillId="0" borderId="4" xfId="2" applyNumberFormat="1" applyFont="1" applyFill="1" applyBorder="1"/>
    <xf numFmtId="274" fontId="18" fillId="3" borderId="0" xfId="3" applyNumberFormat="1" applyFont="1" applyFill="1"/>
    <xf numFmtId="274" fontId="32" fillId="0" borderId="0" xfId="1" applyNumberFormat="1" applyFont="1" applyFill="1"/>
    <xf numFmtId="274" fontId="32" fillId="0" borderId="0" xfId="1" applyNumberFormat="1" applyFont="1" applyFill="1" applyBorder="1"/>
    <xf numFmtId="274" fontId="20" fillId="3" borderId="0" xfId="1" applyNumberFormat="1" applyFont="1" applyFill="1"/>
    <xf numFmtId="274" fontId="20" fillId="3" borderId="4" xfId="2" applyNumberFormat="1" applyFont="1" applyFill="1" applyBorder="1"/>
    <xf numFmtId="274" fontId="20" fillId="3" borderId="0" xfId="2" applyNumberFormat="1" applyFont="1" applyFill="1" applyBorder="1"/>
    <xf numFmtId="274" fontId="20" fillId="10" borderId="0" xfId="1" applyNumberFormat="1" applyFont="1" applyFill="1" applyBorder="1"/>
    <xf numFmtId="274" fontId="20" fillId="0" borderId="4" xfId="1" applyNumberFormat="1" applyFont="1" applyFill="1" applyBorder="1" applyAlignment="1">
      <alignment horizontal="right"/>
    </xf>
    <xf numFmtId="274" fontId="20" fillId="0" borderId="4" xfId="2" applyNumberFormat="1" applyFont="1" applyFill="1" applyBorder="1" applyAlignment="1">
      <alignment horizontal="right"/>
    </xf>
    <xf numFmtId="274" fontId="18" fillId="3" borderId="4" xfId="3" applyNumberFormat="1" applyFont="1" applyFill="1" applyBorder="1"/>
    <xf numFmtId="274" fontId="26" fillId="0" borderId="4" xfId="2" applyNumberFormat="1" applyFont="1" applyFill="1" applyBorder="1" applyAlignment="1">
      <alignment horizontal="right"/>
    </xf>
    <xf numFmtId="274" fontId="18" fillId="3" borderId="2" xfId="3" applyNumberFormat="1" applyFont="1" applyFill="1" applyBorder="1"/>
    <xf numFmtId="274" fontId="18" fillId="0" borderId="2" xfId="3" applyNumberFormat="1" applyFont="1" applyBorder="1"/>
    <xf numFmtId="274" fontId="18" fillId="0" borderId="2" xfId="1" applyNumberFormat="1" applyFont="1" applyFill="1" applyBorder="1"/>
    <xf numFmtId="274" fontId="18" fillId="16" borderId="4" xfId="3" applyNumberFormat="1" applyFont="1" applyFill="1" applyBorder="1"/>
    <xf numFmtId="274" fontId="26" fillId="9" borderId="0" xfId="2" applyNumberFormat="1" applyFont="1" applyFill="1" applyAlignment="1">
      <alignment horizontal="right"/>
    </xf>
    <xf numFmtId="274" fontId="18" fillId="9" borderId="0" xfId="2" applyNumberFormat="1" applyFont="1" applyFill="1" applyBorder="1"/>
    <xf numFmtId="274" fontId="26" fillId="0" borderId="0" xfId="2" applyNumberFormat="1" applyFont="1" applyFill="1" applyAlignment="1">
      <alignment horizontal="right"/>
    </xf>
    <xf numFmtId="274" fontId="18" fillId="0" borderId="0" xfId="2" applyNumberFormat="1" applyFont="1"/>
    <xf numFmtId="274" fontId="18" fillId="0" borderId="0" xfId="2" applyNumberFormat="1" applyFont="1" applyBorder="1"/>
    <xf numFmtId="274" fontId="18" fillId="0" borderId="0" xfId="2" applyNumberFormat="1" applyFont="1" applyFill="1" applyBorder="1"/>
    <xf numFmtId="274" fontId="20" fillId="3" borderId="0" xfId="1" applyNumberFormat="1" applyFont="1" applyFill="1" applyBorder="1" applyAlignment="1">
      <alignment horizontal="right"/>
    </xf>
    <xf numFmtId="274" fontId="18" fillId="3" borderId="4" xfId="2" applyNumberFormat="1" applyFont="1" applyFill="1" applyBorder="1"/>
    <xf numFmtId="274" fontId="18" fillId="3" borderId="4" xfId="1" applyNumberFormat="1" applyFont="1" applyFill="1" applyBorder="1" applyAlignment="1">
      <alignment horizontal="right"/>
    </xf>
    <xf numFmtId="274" fontId="20" fillId="2" borderId="0" xfId="2" applyNumberFormat="1" applyFont="1" applyFill="1"/>
    <xf numFmtId="274" fontId="20" fillId="0" borderId="0" xfId="2" applyNumberFormat="1" applyFont="1"/>
    <xf numFmtId="274" fontId="27" fillId="0" borderId="0" xfId="2" applyNumberFormat="1" applyFont="1" applyFill="1"/>
    <xf numFmtId="274" fontId="18" fillId="0" borderId="4" xfId="2" applyNumberFormat="1" applyFont="1" applyBorder="1"/>
    <xf numFmtId="274" fontId="20" fillId="2" borderId="0" xfId="1" applyNumberFormat="1" applyFont="1" applyFill="1" applyBorder="1"/>
    <xf numFmtId="274" fontId="20" fillId="0" borderId="0" xfId="2" applyNumberFormat="1" applyFont="1" applyBorder="1"/>
    <xf numFmtId="274" fontId="28" fillId="0" borderId="0" xfId="1" applyNumberFormat="1" applyFont="1" applyFill="1"/>
    <xf numFmtId="274" fontId="28" fillId="5" borderId="0" xfId="1" applyNumberFormat="1" applyFont="1" applyFill="1"/>
    <xf numFmtId="274" fontId="20" fillId="0" borderId="4" xfId="2" applyNumberFormat="1" applyFont="1" applyBorder="1"/>
    <xf numFmtId="274" fontId="20" fillId="0" borderId="4" xfId="1" applyNumberFormat="1" applyFont="1" applyBorder="1"/>
    <xf numFmtId="274" fontId="32" fillId="0" borderId="0" xfId="1" applyNumberFormat="1" applyFont="1"/>
    <xf numFmtId="0" fontId="17" fillId="19" borderId="0" xfId="3" applyFont="1" applyFill="1" applyAlignment="1">
      <alignment horizontal="right"/>
    </xf>
    <xf numFmtId="0" fontId="17" fillId="52" borderId="0" xfId="632" applyFont="1" applyFill="1" applyAlignment="1">
      <alignment vertical="center"/>
    </xf>
    <xf numFmtId="0" fontId="154" fillId="52" borderId="0" xfId="632" applyFont="1" applyFill="1"/>
    <xf numFmtId="0" fontId="3" fillId="52" borderId="0" xfId="632" applyFill="1"/>
    <xf numFmtId="0" fontId="164" fillId="14" borderId="0" xfId="632" applyFont="1" applyFill="1" applyAlignment="1">
      <alignment vertical="center"/>
    </xf>
    <xf numFmtId="0" fontId="165" fillId="14" borderId="0" xfId="632" applyFont="1" applyFill="1"/>
    <xf numFmtId="0" fontId="3" fillId="14" borderId="0" xfId="632" applyFill="1"/>
    <xf numFmtId="0" fontId="18" fillId="14" borderId="0" xfId="632" applyFont="1" applyFill="1"/>
    <xf numFmtId="0" fontId="20" fillId="14" borderId="0" xfId="632" applyFont="1" applyFill="1"/>
    <xf numFmtId="0" fontId="3" fillId="0" borderId="0" xfId="632"/>
    <xf numFmtId="0" fontId="167" fillId="14" borderId="0" xfId="633" applyFont="1" applyFill="1" applyAlignment="1" applyProtection="1"/>
    <xf numFmtId="0" fontId="20" fillId="14" borderId="0" xfId="632" quotePrefix="1" applyFont="1" applyFill="1"/>
    <xf numFmtId="0" fontId="16" fillId="53" borderId="0" xfId="104" applyFont="1" applyFill="1"/>
    <xf numFmtId="0" fontId="168" fillId="53" borderId="0" xfId="104" applyFont="1" applyFill="1"/>
    <xf numFmtId="0" fontId="2" fillId="14" borderId="0" xfId="104" applyFill="1"/>
    <xf numFmtId="0" fontId="19" fillId="14" borderId="45" xfId="104" applyFont="1" applyFill="1" applyBorder="1"/>
    <xf numFmtId="0" fontId="2" fillId="14" borderId="45" xfId="104" applyFill="1" applyBorder="1"/>
    <xf numFmtId="0" fontId="19" fillId="10" borderId="45" xfId="104" applyFont="1" applyFill="1" applyBorder="1"/>
    <xf numFmtId="0" fontId="169" fillId="14" borderId="45" xfId="104" applyFont="1" applyFill="1" applyBorder="1"/>
    <xf numFmtId="0" fontId="170" fillId="14" borderId="45" xfId="104" applyFont="1" applyFill="1" applyBorder="1"/>
    <xf numFmtId="0" fontId="161" fillId="14" borderId="45" xfId="104" applyFont="1" applyFill="1" applyBorder="1"/>
    <xf numFmtId="0" fontId="19" fillId="54" borderId="45" xfId="104" applyFont="1" applyFill="1" applyBorder="1"/>
    <xf numFmtId="0" fontId="19" fillId="55" borderId="45" xfId="104" applyFont="1" applyFill="1" applyBorder="1"/>
    <xf numFmtId="0" fontId="19" fillId="56" borderId="45" xfId="104" applyFont="1" applyFill="1" applyBorder="1"/>
    <xf numFmtId="0" fontId="19" fillId="57" borderId="45" xfId="104" applyFont="1" applyFill="1" applyBorder="1"/>
    <xf numFmtId="0" fontId="2" fillId="58" borderId="0" xfId="104" applyFill="1"/>
    <xf numFmtId="0" fontId="0" fillId="59" borderId="0" xfId="0" applyFill="1"/>
    <xf numFmtId="3" fontId="0" fillId="59" borderId="0" xfId="0" applyNumberFormat="1" applyFill="1"/>
    <xf numFmtId="0" fontId="18" fillId="59" borderId="0" xfId="0" applyFont="1" applyFill="1"/>
    <xf numFmtId="4" fontId="27" fillId="14" borderId="0" xfId="0" applyNumberFormat="1" applyFont="1" applyFill="1" applyAlignment="1">
      <alignment horizontal="center"/>
    </xf>
    <xf numFmtId="0" fontId="20" fillId="9" borderId="0" xfId="0" applyFont="1" applyFill="1"/>
    <xf numFmtId="9" fontId="20" fillId="9" borderId="0" xfId="19" applyFont="1" applyFill="1" applyAlignment="1">
      <alignment horizontal="center"/>
    </xf>
    <xf numFmtId="0" fontId="20" fillId="0" borderId="0" xfId="0" applyFont="1"/>
    <xf numFmtId="3" fontId="20" fillId="0" borderId="0" xfId="0" applyNumberFormat="1" applyFont="1"/>
    <xf numFmtId="175" fontId="20" fillId="0" borderId="0" xfId="0" applyNumberFormat="1" applyFont="1"/>
    <xf numFmtId="3" fontId="20" fillId="9" borderId="0" xfId="0" applyNumberFormat="1" applyFont="1" applyFill="1" applyAlignment="1">
      <alignment horizontal="center"/>
    </xf>
    <xf numFmtId="3" fontId="160" fillId="9" borderId="0" xfId="0" applyNumberFormat="1" applyFont="1" applyFill="1" applyAlignment="1">
      <alignment horizontal="center"/>
    </xf>
    <xf numFmtId="178" fontId="20" fillId="9" borderId="0" xfId="19" applyNumberFormat="1" applyFont="1" applyFill="1" applyAlignment="1">
      <alignment horizontal="center"/>
    </xf>
    <xf numFmtId="169" fontId="20" fillId="9" borderId="0" xfId="0" applyNumberFormat="1" applyFont="1" applyFill="1" applyAlignment="1">
      <alignment horizontal="center"/>
    </xf>
    <xf numFmtId="0" fontId="18" fillId="9" borderId="0" xfId="0" applyFont="1" applyFill="1"/>
    <xf numFmtId="178" fontId="18" fillId="9" borderId="0" xfId="19" applyNumberFormat="1" applyFont="1" applyFill="1" applyAlignment="1">
      <alignment horizontal="center"/>
    </xf>
    <xf numFmtId="3" fontId="19" fillId="11" borderId="0" xfId="0" applyNumberFormat="1" applyFont="1" applyFill="1" applyAlignment="1">
      <alignment horizontal="center"/>
    </xf>
    <xf numFmtId="0" fontId="18" fillId="16" borderId="0" xfId="505" applyFont="1" applyFill="1" applyAlignment="1">
      <alignment vertical="center"/>
    </xf>
    <xf numFmtId="0" fontId="20" fillId="16" borderId="0" xfId="505" applyFont="1" applyFill="1" applyAlignment="1">
      <alignment vertical="center"/>
    </xf>
    <xf numFmtId="0" fontId="20" fillId="14" borderId="0" xfId="505" applyFont="1" applyFill="1" applyAlignment="1">
      <alignment vertical="center"/>
    </xf>
    <xf numFmtId="0" fontId="20" fillId="14" borderId="9" xfId="505" applyFont="1" applyFill="1" applyBorder="1" applyAlignment="1">
      <alignment vertical="center"/>
    </xf>
    <xf numFmtId="0" fontId="18" fillId="14" borderId="0" xfId="505" applyFont="1" applyFill="1" applyAlignment="1">
      <alignment vertical="center"/>
    </xf>
    <xf numFmtId="17" fontId="27" fillId="10" borderId="0" xfId="505" applyNumberFormat="1" applyFont="1" applyFill="1" applyAlignment="1">
      <alignment vertical="center"/>
    </xf>
    <xf numFmtId="0" fontId="156" fillId="14" borderId="0" xfId="505" applyFont="1" applyFill="1" applyAlignment="1">
      <alignment vertical="center"/>
    </xf>
    <xf numFmtId="17" fontId="20" fillId="14" borderId="0" xfId="505" applyNumberFormat="1" applyFont="1" applyFill="1" applyAlignment="1">
      <alignment vertical="center"/>
    </xf>
    <xf numFmtId="0" fontId="17" fillId="60" borderId="0" xfId="505" applyFont="1" applyFill="1" applyAlignment="1">
      <alignment horizontal="right"/>
    </xf>
    <xf numFmtId="0" fontId="17" fillId="61" borderId="0" xfId="505" applyFont="1" applyFill="1" applyAlignment="1">
      <alignment horizontal="right"/>
    </xf>
    <xf numFmtId="0" fontId="17" fillId="61" borderId="0" xfId="505" applyFont="1" applyFill="1"/>
    <xf numFmtId="0" fontId="17" fillId="51" borderId="0" xfId="505" applyFont="1" applyFill="1" applyAlignment="1">
      <alignment horizontal="right"/>
    </xf>
    <xf numFmtId="0" fontId="18" fillId="14" borderId="1" xfId="505" applyFont="1" applyFill="1" applyBorder="1" applyAlignment="1">
      <alignment vertical="center"/>
    </xf>
    <xf numFmtId="17" fontId="17" fillId="60" borderId="0" xfId="505" applyNumberFormat="1" applyFont="1" applyFill="1" applyAlignment="1">
      <alignment horizontal="right"/>
    </xf>
    <xf numFmtId="17" fontId="17" fillId="14" borderId="0" xfId="505" applyNumberFormat="1" applyFont="1" applyFill="1" applyAlignment="1">
      <alignment horizontal="right"/>
    </xf>
    <xf numFmtId="17" fontId="17" fillId="61" borderId="0" xfId="505" applyNumberFormat="1" applyFont="1" applyFill="1" applyAlignment="1">
      <alignment horizontal="right"/>
    </xf>
    <xf numFmtId="1" fontId="17" fillId="61" borderId="0" xfId="505" applyNumberFormat="1" applyFont="1" applyFill="1" applyAlignment="1">
      <alignment horizontal="right"/>
    </xf>
    <xf numFmtId="175" fontId="20" fillId="14" borderId="0" xfId="505" applyNumberFormat="1" applyFont="1" applyFill="1" applyAlignment="1">
      <alignment vertical="center"/>
    </xf>
    <xf numFmtId="170" fontId="20" fillId="14" borderId="0" xfId="533" applyNumberFormat="1" applyFont="1" applyFill="1" applyAlignment="1">
      <alignment vertical="center"/>
    </xf>
    <xf numFmtId="170" fontId="20" fillId="14" borderId="0" xfId="533" applyNumberFormat="1" applyFont="1" applyFill="1" applyBorder="1" applyAlignment="1">
      <alignment vertical="center"/>
    </xf>
    <xf numFmtId="175" fontId="20" fillId="14" borderId="4" xfId="505" applyNumberFormat="1" applyFont="1" applyFill="1" applyBorder="1" applyAlignment="1">
      <alignment vertical="center"/>
    </xf>
    <xf numFmtId="170" fontId="20" fillId="14" borderId="4" xfId="505" applyNumberFormat="1" applyFont="1" applyFill="1" applyBorder="1" applyAlignment="1">
      <alignment vertical="center"/>
    </xf>
    <xf numFmtId="170" fontId="20" fillId="14" borderId="0" xfId="505" applyNumberFormat="1" applyFont="1" applyFill="1" applyAlignment="1">
      <alignment vertical="center"/>
    </xf>
    <xf numFmtId="0" fontId="18" fillId="16" borderId="4" xfId="505" applyFont="1" applyFill="1" applyBorder="1" applyAlignment="1">
      <alignment vertical="center"/>
    </xf>
    <xf numFmtId="175" fontId="32" fillId="14" borderId="4" xfId="505" applyNumberFormat="1" applyFont="1" applyFill="1" applyBorder="1" applyAlignment="1">
      <alignment vertical="center"/>
    </xf>
    <xf numFmtId="175" fontId="18" fillId="14" borderId="0" xfId="505" applyNumberFormat="1" applyFont="1" applyFill="1" applyAlignment="1">
      <alignment vertical="center"/>
    </xf>
    <xf numFmtId="175" fontId="18" fillId="14" borderId="46" xfId="505" applyNumberFormat="1" applyFont="1" applyFill="1" applyBorder="1" applyAlignment="1">
      <alignment vertical="center"/>
    </xf>
    <xf numFmtId="170" fontId="18" fillId="14" borderId="46" xfId="533" applyNumberFormat="1" applyFont="1" applyFill="1" applyBorder="1" applyAlignment="1">
      <alignment vertical="center"/>
    </xf>
    <xf numFmtId="170" fontId="18" fillId="14" borderId="46" xfId="505" applyNumberFormat="1" applyFont="1" applyFill="1" applyBorder="1" applyAlignment="1">
      <alignment vertical="center"/>
    </xf>
    <xf numFmtId="170" fontId="18" fillId="14" borderId="4" xfId="533" applyNumberFormat="1" applyFont="1" applyFill="1" applyBorder="1" applyAlignment="1">
      <alignment vertical="center"/>
    </xf>
    <xf numFmtId="0" fontId="18" fillId="14" borderId="9" xfId="505" applyFont="1" applyFill="1" applyBorder="1" applyAlignment="1">
      <alignment vertical="center"/>
    </xf>
    <xf numFmtId="175" fontId="18" fillId="14" borderId="4" xfId="505" applyNumberFormat="1" applyFont="1" applyFill="1" applyBorder="1" applyAlignment="1">
      <alignment vertical="center"/>
    </xf>
    <xf numFmtId="0" fontId="18" fillId="14" borderId="4" xfId="505" applyFont="1" applyFill="1" applyBorder="1" applyAlignment="1">
      <alignment vertical="center"/>
    </xf>
    <xf numFmtId="170" fontId="18" fillId="14" borderId="0" xfId="505" applyNumberFormat="1" applyFont="1" applyFill="1" applyAlignment="1">
      <alignment vertical="center"/>
    </xf>
    <xf numFmtId="170" fontId="18" fillId="14" borderId="4" xfId="505" applyNumberFormat="1" applyFont="1" applyFill="1" applyBorder="1" applyAlignment="1">
      <alignment vertical="center"/>
    </xf>
    <xf numFmtId="178" fontId="20" fillId="14" borderId="0" xfId="421" applyFont="1" applyFill="1" applyBorder="1" applyAlignment="1"/>
    <xf numFmtId="0" fontId="18" fillId="14" borderId="4" xfId="15" applyFont="1" applyFill="1" applyBorder="1"/>
    <xf numFmtId="170" fontId="20" fillId="14" borderId="0" xfId="533" applyNumberFormat="1" applyFont="1" applyFill="1" applyBorder="1" applyAlignment="1"/>
    <xf numFmtId="170" fontId="18" fillId="14" borderId="4" xfId="533" applyNumberFormat="1" applyFont="1" applyFill="1" applyBorder="1" applyAlignment="1"/>
    <xf numFmtId="178" fontId="18" fillId="14" borderId="4" xfId="421" applyFont="1" applyFill="1" applyBorder="1" applyAlignment="1"/>
    <xf numFmtId="178" fontId="18" fillId="14" borderId="47" xfId="421" applyFont="1" applyFill="1" applyBorder="1" applyAlignment="1"/>
    <xf numFmtId="175" fontId="20" fillId="14" borderId="47" xfId="505" applyNumberFormat="1" applyFont="1" applyFill="1" applyBorder="1" applyAlignment="1">
      <alignment vertical="center"/>
    </xf>
    <xf numFmtId="170" fontId="20" fillId="14" borderId="47" xfId="505" applyNumberFormat="1" applyFont="1" applyFill="1" applyBorder="1" applyAlignment="1">
      <alignment vertical="center"/>
    </xf>
    <xf numFmtId="0" fontId="18" fillId="14" borderId="4" xfId="22" applyNumberFormat="1" applyFont="1" applyFill="1" applyBorder="1" applyAlignment="1">
      <alignment horizontal="left"/>
    </xf>
    <xf numFmtId="0" fontId="20" fillId="14" borderId="0" xfId="22" applyNumberFormat="1" applyFont="1" applyFill="1" applyAlignment="1">
      <alignment horizontal="left" indent="1"/>
    </xf>
    <xf numFmtId="0" fontId="18" fillId="14" borderId="0" xfId="22" applyNumberFormat="1" applyFont="1" applyFill="1" applyAlignment="1">
      <alignment horizontal="left"/>
    </xf>
    <xf numFmtId="0" fontId="20" fillId="14" borderId="0" xfId="22" applyNumberFormat="1" applyFont="1" applyFill="1" applyAlignment="1">
      <alignment horizontal="left"/>
    </xf>
    <xf numFmtId="175" fontId="32" fillId="14" borderId="0" xfId="505" applyNumberFormat="1" applyFont="1" applyFill="1" applyAlignment="1">
      <alignment vertical="center"/>
    </xf>
    <xf numFmtId="175" fontId="160" fillId="14" borderId="0" xfId="505" applyNumberFormat="1" applyFont="1" applyFill="1" applyAlignment="1">
      <alignment vertical="center"/>
    </xf>
    <xf numFmtId="0" fontId="20" fillId="14" borderId="0" xfId="6" applyFont="1" applyFill="1"/>
    <xf numFmtId="175" fontId="160" fillId="14" borderId="4" xfId="505" applyNumberFormat="1" applyFont="1" applyFill="1" applyBorder="1" applyAlignment="1">
      <alignment vertical="center"/>
    </xf>
    <xf numFmtId="175" fontId="160" fillId="14" borderId="47" xfId="505" applyNumberFormat="1" applyFont="1" applyFill="1" applyBorder="1" applyAlignment="1">
      <alignment vertical="center"/>
    </xf>
    <xf numFmtId="167" fontId="20" fillId="14" borderId="0" xfId="2" applyNumberFormat="1" applyFont="1" applyFill="1" applyBorder="1" applyAlignment="1">
      <alignment vertical="center"/>
    </xf>
    <xf numFmtId="167" fontId="20" fillId="14" borderId="0" xfId="2" applyNumberFormat="1" applyFont="1" applyFill="1" applyAlignment="1">
      <alignment vertical="center"/>
    </xf>
    <xf numFmtId="170" fontId="18" fillId="14" borderId="0" xfId="533" applyNumberFormat="1" applyFont="1" applyFill="1" applyAlignment="1">
      <alignment vertical="center"/>
    </xf>
    <xf numFmtId="175" fontId="20" fillId="14" borderId="2" xfId="505" applyNumberFormat="1" applyFont="1" applyFill="1" applyBorder="1" applyAlignment="1">
      <alignment vertical="center"/>
    </xf>
    <xf numFmtId="175" fontId="160" fillId="14" borderId="2" xfId="505" applyNumberFormat="1" applyFont="1" applyFill="1" applyBorder="1" applyAlignment="1">
      <alignment vertical="center"/>
    </xf>
    <xf numFmtId="0" fontId="158" fillId="51" borderId="0" xfId="505" applyFont="1" applyFill="1" applyAlignment="1">
      <alignment horizontal="centerContinuous"/>
    </xf>
    <xf numFmtId="167" fontId="20" fillId="14" borderId="4" xfId="2" applyNumberFormat="1" applyFont="1" applyFill="1" applyBorder="1" applyAlignment="1">
      <alignment vertical="center"/>
    </xf>
    <xf numFmtId="0" fontId="18" fillId="9" borderId="0" xfId="22" applyNumberFormat="1" applyFont="1" applyFill="1" applyAlignment="1">
      <alignment horizontal="left"/>
    </xf>
    <xf numFmtId="175" fontId="20" fillId="9" borderId="0" xfId="505" applyNumberFormat="1" applyFont="1" applyFill="1" applyAlignment="1">
      <alignment vertical="center"/>
    </xf>
    <xf numFmtId="0" fontId="20" fillId="9" borderId="0" xfId="505" applyFont="1" applyFill="1" applyAlignment="1">
      <alignment vertical="center"/>
    </xf>
    <xf numFmtId="170" fontId="20" fillId="9" borderId="0" xfId="533" applyNumberFormat="1" applyFont="1" applyFill="1" applyAlignment="1">
      <alignment vertical="center"/>
    </xf>
    <xf numFmtId="170" fontId="20" fillId="9" borderId="0" xfId="505" applyNumberFormat="1" applyFont="1" applyFill="1" applyAlignment="1">
      <alignment vertical="center"/>
    </xf>
    <xf numFmtId="0" fontId="20" fillId="9" borderId="9" xfId="505" applyFont="1" applyFill="1" applyBorder="1" applyAlignment="1">
      <alignment vertical="center"/>
    </xf>
    <xf numFmtId="0" fontId="20" fillId="9" borderId="0" xfId="22" applyNumberFormat="1" applyFont="1" applyFill="1" applyAlignment="1">
      <alignment horizontal="left"/>
    </xf>
    <xf numFmtId="0" fontId="158" fillId="62" borderId="0" xfId="505" applyFont="1" applyFill="1" applyAlignment="1">
      <alignment horizontal="centerContinuous"/>
    </xf>
    <xf numFmtId="0" fontId="20" fillId="14" borderId="4" xfId="505" applyFont="1" applyFill="1" applyBorder="1" applyAlignment="1">
      <alignment vertical="center"/>
    </xf>
    <xf numFmtId="167" fontId="18" fillId="14" borderId="4" xfId="2" applyNumberFormat="1" applyFont="1" applyFill="1" applyBorder="1" applyAlignment="1">
      <alignment vertical="center"/>
    </xf>
    <xf numFmtId="274" fontId="18" fillId="0" borderId="12" xfId="2" applyNumberFormat="1" applyFont="1" applyFill="1" applyBorder="1"/>
    <xf numFmtId="274" fontId="28" fillId="10" borderId="0" xfId="3" applyNumberFormat="1" applyFont="1" applyFill="1"/>
    <xf numFmtId="167" fontId="18" fillId="14" borderId="47" xfId="2" applyNumberFormat="1" applyFont="1" applyFill="1" applyBorder="1" applyAlignment="1">
      <alignment vertical="center"/>
    </xf>
    <xf numFmtId="168" fontId="20" fillId="13" borderId="0" xfId="2" applyNumberFormat="1" applyFont="1" applyFill="1"/>
    <xf numFmtId="168" fontId="20" fillId="13" borderId="0" xfId="2" applyNumberFormat="1" applyFont="1" applyFill="1" applyBorder="1"/>
    <xf numFmtId="274" fontId="20" fillId="13" borderId="0" xfId="3" applyNumberFormat="1" applyFont="1" applyFill="1"/>
    <xf numFmtId="167" fontId="20" fillId="13" borderId="0" xfId="2" applyNumberFormat="1" applyFont="1" applyFill="1"/>
    <xf numFmtId="9" fontId="27" fillId="10" borderId="0" xfId="2" applyFont="1" applyFill="1"/>
    <xf numFmtId="274" fontId="33" fillId="13" borderId="0" xfId="3" applyNumberFormat="1" applyFont="1" applyFill="1"/>
    <xf numFmtId="170" fontId="20" fillId="13" borderId="0" xfId="2" applyNumberFormat="1" applyFont="1" applyFill="1" applyBorder="1" applyAlignment="1">
      <alignment horizontal="right"/>
    </xf>
    <xf numFmtId="274" fontId="20" fillId="13" borderId="0" xfId="2" applyNumberFormat="1" applyFont="1" applyFill="1" applyBorder="1" applyAlignment="1">
      <alignment horizontal="right"/>
    </xf>
    <xf numFmtId="167" fontId="20" fillId="13" borderId="0" xfId="2" applyNumberFormat="1" applyFont="1" applyFill="1" applyBorder="1" applyAlignment="1">
      <alignment horizontal="right"/>
    </xf>
    <xf numFmtId="274" fontId="20" fillId="13" borderId="0" xfId="2" applyNumberFormat="1" applyFont="1" applyFill="1" applyBorder="1"/>
    <xf numFmtId="164" fontId="20" fillId="0" borderId="0" xfId="1" applyNumberFormat="1" applyFont="1" applyBorder="1"/>
    <xf numFmtId="3" fontId="20" fillId="0" borderId="0" xfId="3" applyNumberFormat="1" applyFont="1" applyAlignment="1">
      <alignment horizontal="right"/>
    </xf>
    <xf numFmtId="3" fontId="18" fillId="0" borderId="0" xfId="3" applyNumberFormat="1" applyFont="1" applyAlignment="1">
      <alignment horizontal="right"/>
    </xf>
    <xf numFmtId="0" fontId="20" fillId="0" borderId="0" xfId="3" applyFont="1" applyAlignment="1">
      <alignment horizontal="right"/>
    </xf>
    <xf numFmtId="167" fontId="20" fillId="0" borderId="0" xfId="6" applyNumberFormat="1" applyFont="1" applyAlignment="1">
      <alignment horizontal="right"/>
    </xf>
    <xf numFmtId="0" fontId="18" fillId="0" borderId="0" xfId="4" applyFont="1" applyAlignment="1">
      <alignment horizontal="right"/>
    </xf>
    <xf numFmtId="3" fontId="20" fillId="0" borderId="0" xfId="2" applyNumberFormat="1" applyFont="1" applyBorder="1"/>
    <xf numFmtId="9" fontId="26" fillId="0" borderId="0" xfId="2" applyFont="1" applyBorder="1" applyAlignment="1"/>
    <xf numFmtId="167" fontId="26" fillId="0" borderId="0" xfId="2" applyNumberFormat="1" applyFont="1" applyBorder="1"/>
    <xf numFmtId="167" fontId="26" fillId="0" borderId="0" xfId="2" applyNumberFormat="1" applyFont="1" applyBorder="1" applyAlignment="1"/>
    <xf numFmtId="170" fontId="20" fillId="0" borderId="0" xfId="3" applyNumberFormat="1" applyFont="1"/>
    <xf numFmtId="43" fontId="20" fillId="0" borderId="0" xfId="1" applyFont="1" applyBorder="1"/>
    <xf numFmtId="1" fontId="20" fillId="2" borderId="0" xfId="3" applyNumberFormat="1" applyFont="1" applyFill="1"/>
    <xf numFmtId="1" fontId="20" fillId="2" borderId="0" xfId="2" applyNumberFormat="1" applyFont="1" applyFill="1" applyBorder="1"/>
    <xf numFmtId="169" fontId="20" fillId="2" borderId="0" xfId="3" applyNumberFormat="1" applyFont="1" applyFill="1"/>
    <xf numFmtId="169" fontId="20" fillId="2" borderId="0" xfId="2" applyNumberFormat="1" applyFont="1" applyFill="1" applyBorder="1"/>
    <xf numFmtId="1" fontId="18" fillId="0" borderId="0" xfId="4" applyNumberFormat="1" applyFont="1"/>
    <xf numFmtId="43" fontId="18" fillId="0" borderId="0" xfId="1" applyFont="1" applyFill="1" applyBorder="1" applyAlignment="1">
      <alignment horizontal="left"/>
    </xf>
    <xf numFmtId="173" fontId="18" fillId="0" borderId="0" xfId="3" applyNumberFormat="1" applyFont="1"/>
    <xf numFmtId="3" fontId="20" fillId="0" borderId="0" xfId="2" applyNumberFormat="1" applyFont="1" applyFill="1" applyBorder="1" applyAlignment="1">
      <alignment horizontal="right"/>
    </xf>
    <xf numFmtId="169" fontId="18" fillId="0" borderId="0" xfId="6" applyNumberFormat="1" applyFont="1"/>
    <xf numFmtId="2" fontId="26" fillId="0" borderId="0" xfId="6" applyNumberFormat="1" applyFont="1"/>
    <xf numFmtId="2" fontId="26" fillId="0" borderId="0" xfId="2" applyNumberFormat="1" applyFont="1" applyBorder="1"/>
    <xf numFmtId="168" fontId="20" fillId="0" borderId="0" xfId="2" applyNumberFormat="1" applyFont="1" applyBorder="1"/>
    <xf numFmtId="167" fontId="26" fillId="0" borderId="0" xfId="2" applyNumberFormat="1" applyFont="1" applyFill="1" applyBorder="1"/>
    <xf numFmtId="2" fontId="26" fillId="0" borderId="0" xfId="2" applyNumberFormat="1" applyFont="1" applyFill="1" applyBorder="1"/>
    <xf numFmtId="0" fontId="18" fillId="20" borderId="4" xfId="3" applyFont="1" applyFill="1" applyBorder="1"/>
    <xf numFmtId="167" fontId="18" fillId="20" borderId="4" xfId="2" applyNumberFormat="1" applyFont="1" applyFill="1" applyBorder="1"/>
    <xf numFmtId="4" fontId="160" fillId="14" borderId="0" xfId="505" applyNumberFormat="1" applyFont="1" applyFill="1" applyAlignment="1">
      <alignment vertical="center"/>
    </xf>
    <xf numFmtId="167" fontId="20" fillId="14" borderId="0" xfId="505" applyNumberFormat="1" applyFont="1" applyFill="1" applyAlignment="1">
      <alignment vertical="center"/>
    </xf>
    <xf numFmtId="167" fontId="18" fillId="16" borderId="9" xfId="6" applyNumberFormat="1" applyFont="1" applyFill="1" applyBorder="1" applyAlignment="1">
      <alignment horizontal="center"/>
    </xf>
    <xf numFmtId="0" fontId="20" fillId="43" borderId="0" xfId="634" applyFont="1" applyFill="1"/>
    <xf numFmtId="0" fontId="20" fillId="14" borderId="0" xfId="634" applyFont="1" applyFill="1"/>
    <xf numFmtId="2" fontId="32" fillId="0" borderId="0" xfId="634" applyNumberFormat="1" applyFont="1"/>
    <xf numFmtId="43" fontId="20" fillId="43" borderId="0" xfId="634" applyNumberFormat="1" applyFont="1" applyFill="1"/>
    <xf numFmtId="0" fontId="20" fillId="43" borderId="0" xfId="634" applyFont="1" applyFill="1" applyAlignment="1">
      <alignment horizontal="center"/>
    </xf>
    <xf numFmtId="0" fontId="20" fillId="63" borderId="0" xfId="634" applyFont="1" applyFill="1"/>
    <xf numFmtId="1" fontId="171" fillId="7" borderId="0" xfId="635" applyNumberFormat="1" applyFont="1" applyFill="1"/>
    <xf numFmtId="1" fontId="171" fillId="48" borderId="0" xfId="635" applyNumberFormat="1" applyFont="1" applyFill="1"/>
    <xf numFmtId="0" fontId="20" fillId="43" borderId="0" xfId="635" applyFont="1" applyFill="1"/>
    <xf numFmtId="167" fontId="20" fillId="43" borderId="0" xfId="636" applyNumberFormat="1" applyFont="1" applyFill="1"/>
    <xf numFmtId="278" fontId="160" fillId="43" borderId="0" xfId="422" applyNumberFormat="1" applyFont="1" applyFill="1"/>
    <xf numFmtId="0" fontId="18" fillId="43" borderId="4" xfId="635" applyFont="1" applyFill="1" applyBorder="1"/>
    <xf numFmtId="278" fontId="18" fillId="43" borderId="4" xfId="422" applyNumberFormat="1" applyFont="1" applyFill="1" applyBorder="1"/>
    <xf numFmtId="278" fontId="20" fillId="43" borderId="0" xfId="635" applyNumberFormat="1" applyFont="1" applyFill="1"/>
    <xf numFmtId="0" fontId="18" fillId="43" borderId="12" xfId="635" applyFont="1" applyFill="1" applyBorder="1"/>
    <xf numFmtId="278" fontId="18" fillId="43" borderId="12" xfId="635" applyNumberFormat="1" applyFont="1" applyFill="1" applyBorder="1"/>
    <xf numFmtId="0" fontId="20" fillId="43" borderId="0" xfId="635" quotePrefix="1" applyFont="1" applyFill="1"/>
    <xf numFmtId="278" fontId="20" fillId="43" borderId="0" xfId="422" applyNumberFormat="1" applyFont="1" applyFill="1"/>
    <xf numFmtId="278" fontId="20" fillId="43" borderId="0" xfId="634" applyNumberFormat="1" applyFont="1" applyFill="1"/>
    <xf numFmtId="166" fontId="20" fillId="43" borderId="0" xfId="634" applyNumberFormat="1" applyFont="1" applyFill="1"/>
    <xf numFmtId="0" fontId="20" fillId="43" borderId="6" xfId="635" applyFont="1" applyFill="1" applyBorder="1"/>
    <xf numFmtId="0" fontId="20" fillId="43" borderId="4" xfId="635" applyFont="1" applyFill="1" applyBorder="1"/>
    <xf numFmtId="278" fontId="18" fillId="43" borderId="4" xfId="635" applyNumberFormat="1" applyFont="1" applyFill="1" applyBorder="1"/>
    <xf numFmtId="0" fontId="20" fillId="43" borderId="8" xfId="635" applyFont="1" applyFill="1" applyBorder="1"/>
    <xf numFmtId="278" fontId="20" fillId="43" borderId="0" xfId="422" applyNumberFormat="1" applyFont="1" applyFill="1" applyBorder="1"/>
    <xf numFmtId="0" fontId="18" fillId="43" borderId="10" xfId="635" applyFont="1" applyFill="1" applyBorder="1"/>
    <xf numFmtId="0" fontId="18" fillId="43" borderId="47" xfId="635" applyFont="1" applyFill="1" applyBorder="1"/>
    <xf numFmtId="278" fontId="18" fillId="43" borderId="47" xfId="635" applyNumberFormat="1" applyFont="1" applyFill="1" applyBorder="1"/>
    <xf numFmtId="1" fontId="171" fillId="7" borderId="48" xfId="635" applyNumberFormat="1" applyFont="1" applyFill="1" applyBorder="1" applyAlignment="1">
      <alignment horizontal="left"/>
    </xf>
    <xf numFmtId="1" fontId="171" fillId="7" borderId="48" xfId="635" applyNumberFormat="1" applyFont="1" applyFill="1" applyBorder="1" applyAlignment="1">
      <alignment horizontal="right"/>
    </xf>
    <xf numFmtId="1" fontId="171" fillId="7" borderId="48" xfId="635" applyNumberFormat="1" applyFont="1" applyFill="1" applyBorder="1"/>
    <xf numFmtId="1" fontId="171" fillId="48" borderId="1" xfId="635" applyNumberFormat="1" applyFont="1" applyFill="1" applyBorder="1"/>
    <xf numFmtId="279" fontId="20" fillId="43" borderId="0" xfId="635" applyNumberFormat="1" applyFont="1" applyFill="1"/>
    <xf numFmtId="279" fontId="20" fillId="43" borderId="0" xfId="634" applyNumberFormat="1" applyFont="1" applyFill="1"/>
    <xf numFmtId="1" fontId="171" fillId="7" borderId="0" xfId="635" applyNumberFormat="1" applyFont="1" applyFill="1" applyAlignment="1">
      <alignment horizontal="left"/>
    </xf>
    <xf numFmtId="1" fontId="171" fillId="7" borderId="0" xfId="635" applyNumberFormat="1" applyFont="1" applyFill="1" applyAlignment="1">
      <alignment horizontal="right"/>
    </xf>
    <xf numFmtId="168" fontId="20" fillId="14" borderId="0" xfId="635" applyNumberFormat="1" applyFont="1" applyFill="1"/>
    <xf numFmtId="1" fontId="20" fillId="14" borderId="0" xfId="635" applyNumberFormat="1" applyFont="1" applyFill="1" applyAlignment="1">
      <alignment horizontal="right"/>
    </xf>
    <xf numFmtId="280" fontId="20" fillId="43" borderId="0" xfId="635" applyNumberFormat="1" applyFont="1" applyFill="1"/>
    <xf numFmtId="168" fontId="20" fillId="43" borderId="0" xfId="635" applyNumberFormat="1" applyFont="1" applyFill="1"/>
    <xf numFmtId="168" fontId="20" fillId="14" borderId="0" xfId="635" applyNumberFormat="1" applyFont="1" applyFill="1" applyAlignment="1">
      <alignment horizontal="right"/>
    </xf>
    <xf numFmtId="168" fontId="20" fillId="14" borderId="0" xfId="634" applyNumberFormat="1" applyFont="1" applyFill="1"/>
    <xf numFmtId="280" fontId="20" fillId="43" borderId="0" xfId="635" applyNumberFormat="1" applyFont="1" applyFill="1" applyAlignment="1">
      <alignment horizontal="right"/>
    </xf>
    <xf numFmtId="167" fontId="20" fillId="43" borderId="0" xfId="19" applyNumberFormat="1" applyFont="1" applyFill="1" applyAlignment="1">
      <alignment horizontal="right"/>
    </xf>
    <xf numFmtId="167" fontId="20" fillId="43" borderId="0" xfId="635" applyNumberFormat="1" applyFont="1" applyFill="1"/>
    <xf numFmtId="167" fontId="160" fillId="43" borderId="0" xfId="636" applyNumberFormat="1" applyFont="1" applyFill="1"/>
    <xf numFmtId="166" fontId="20" fillId="43" borderId="0" xfId="422" applyNumberFormat="1" applyFont="1" applyFill="1"/>
    <xf numFmtId="9" fontId="20" fillId="43" borderId="0" xfId="636" applyFont="1" applyFill="1"/>
    <xf numFmtId="166" fontId="18" fillId="43" borderId="24" xfId="422" applyNumberFormat="1" applyFont="1" applyFill="1" applyBorder="1"/>
    <xf numFmtId="1" fontId="20" fillId="43" borderId="0" xfId="634" applyNumberFormat="1" applyFont="1" applyFill="1"/>
    <xf numFmtId="175" fontId="32" fillId="14" borderId="47" xfId="505" applyNumberFormat="1" applyFont="1" applyFill="1" applyBorder="1" applyAlignment="1">
      <alignment vertical="center"/>
    </xf>
    <xf numFmtId="175" fontId="18" fillId="14" borderId="47" xfId="505" applyNumberFormat="1" applyFont="1" applyFill="1" applyBorder="1" applyAlignment="1">
      <alignment vertical="center"/>
    </xf>
    <xf numFmtId="170" fontId="18" fillId="14" borderId="47" xfId="505" applyNumberFormat="1" applyFont="1" applyFill="1" applyBorder="1" applyAlignment="1">
      <alignment vertical="center"/>
    </xf>
    <xf numFmtId="175" fontId="18" fillId="14" borderId="2" xfId="505" applyNumberFormat="1" applyFont="1" applyFill="1" applyBorder="1" applyAlignment="1">
      <alignment vertical="center"/>
    </xf>
    <xf numFmtId="175" fontId="32" fillId="14" borderId="2" xfId="505" applyNumberFormat="1" applyFont="1" applyFill="1" applyBorder="1" applyAlignment="1">
      <alignment vertical="center"/>
    </xf>
    <xf numFmtId="0" fontId="18" fillId="14" borderId="47" xfId="505" applyFont="1" applyFill="1" applyBorder="1" applyAlignment="1">
      <alignment vertical="center"/>
    </xf>
    <xf numFmtId="274" fontId="160" fillId="14" borderId="0" xfId="1" applyNumberFormat="1" applyFont="1" applyFill="1" applyBorder="1" applyAlignment="1" applyProtection="1">
      <alignment horizontal="right"/>
      <protection hidden="1"/>
    </xf>
    <xf numFmtId="174" fontId="18" fillId="0" borderId="4" xfId="3" applyNumberFormat="1" applyFont="1" applyBorder="1"/>
    <xf numFmtId="276" fontId="160" fillId="14" borderId="0" xfId="1" applyNumberFormat="1" applyFont="1" applyFill="1" applyBorder="1" applyAlignment="1" applyProtection="1">
      <alignment horizontal="right"/>
      <protection hidden="1"/>
    </xf>
    <xf numFmtId="278" fontId="27" fillId="43" borderId="0" xfId="422" applyNumberFormat="1" applyFont="1" applyFill="1"/>
    <xf numFmtId="274" fontId="20" fillId="43" borderId="0" xfId="422" applyNumberFormat="1" applyFont="1" applyFill="1"/>
    <xf numFmtId="274" fontId="160" fillId="43" borderId="0" xfId="422" applyNumberFormat="1" applyFont="1" applyFill="1"/>
    <xf numFmtId="276" fontId="20" fillId="43" borderId="0" xfId="634" applyNumberFormat="1" applyFont="1" applyFill="1"/>
    <xf numFmtId="43" fontId="20" fillId="43" borderId="0" xfId="635" applyNumberFormat="1" applyFont="1" applyFill="1"/>
    <xf numFmtId="274" fontId="160" fillId="0" borderId="0" xfId="3" applyNumberFormat="1" applyFont="1"/>
    <xf numFmtId="167" fontId="27" fillId="10" borderId="0" xfId="2" applyNumberFormat="1" applyFont="1" applyFill="1"/>
    <xf numFmtId="180" fontId="20" fillId="0" borderId="0" xfId="3" applyNumberFormat="1" applyFont="1"/>
    <xf numFmtId="175" fontId="160" fillId="0" borderId="0" xfId="3" applyNumberFormat="1" applyFont="1"/>
    <xf numFmtId="165" fontId="28" fillId="2" borderId="0" xfId="3" applyNumberFormat="1" applyFont="1" applyFill="1"/>
    <xf numFmtId="274" fontId="160" fillId="0" borderId="0" xfId="2" applyNumberFormat="1" applyFont="1" applyFill="1"/>
    <xf numFmtId="274" fontId="18" fillId="16" borderId="12" xfId="3" applyNumberFormat="1" applyFont="1" applyFill="1" applyBorder="1"/>
    <xf numFmtId="274" fontId="27" fillId="3" borderId="0" xfId="3" applyNumberFormat="1" applyFont="1" applyFill="1"/>
    <xf numFmtId="170" fontId="18" fillId="0" borderId="4" xfId="2" applyNumberFormat="1" applyFont="1" applyFill="1" applyBorder="1" applyAlignment="1">
      <alignment horizontal="right"/>
    </xf>
    <xf numFmtId="0" fontId="18" fillId="14" borderId="0" xfId="505" applyFont="1" applyFill="1" applyAlignment="1">
      <alignment horizontal="center" vertical="center"/>
    </xf>
    <xf numFmtId="0" fontId="20" fillId="14" borderId="0" xfId="505" applyFont="1" applyFill="1" applyAlignment="1">
      <alignment horizontal="center" vertical="center"/>
    </xf>
    <xf numFmtId="0" fontId="20" fillId="14" borderId="0" xfId="505" quotePrefix="1" applyFont="1" applyFill="1" applyAlignment="1">
      <alignment horizontal="center" vertical="center"/>
    </xf>
    <xf numFmtId="167" fontId="20" fillId="14" borderId="0" xfId="2" applyNumberFormat="1" applyFont="1" applyFill="1" applyAlignment="1">
      <alignment horizontal="center" vertical="center"/>
    </xf>
    <xf numFmtId="0" fontId="20" fillId="9" borderId="0" xfId="505" applyFont="1" applyFill="1" applyAlignment="1">
      <alignment horizontal="center" vertical="center"/>
    </xf>
    <xf numFmtId="167" fontId="20" fillId="14" borderId="0" xfId="505" applyNumberFormat="1" applyFont="1" applyFill="1" applyAlignment="1">
      <alignment horizontal="center" vertical="center"/>
    </xf>
    <xf numFmtId="167" fontId="18" fillId="14" borderId="4" xfId="505" applyNumberFormat="1" applyFont="1" applyFill="1" applyBorder="1" applyAlignment="1">
      <alignment horizontal="center" vertical="center"/>
    </xf>
    <xf numFmtId="167" fontId="20" fillId="14" borderId="4" xfId="505" applyNumberFormat="1" applyFont="1" applyFill="1" applyBorder="1" applyAlignment="1">
      <alignment horizontal="center" vertical="center"/>
    </xf>
    <xf numFmtId="0" fontId="20" fillId="14" borderId="4" xfId="505" applyFont="1" applyFill="1" applyBorder="1" applyAlignment="1">
      <alignment horizontal="center" vertical="center"/>
    </xf>
    <xf numFmtId="167" fontId="18" fillId="14" borderId="47" xfId="505" applyNumberFormat="1" applyFont="1" applyFill="1" applyBorder="1" applyAlignment="1">
      <alignment horizontal="center" vertical="center"/>
    </xf>
    <xf numFmtId="167" fontId="18" fillId="14" borderId="0" xfId="505" applyNumberFormat="1" applyFont="1" applyFill="1" applyAlignment="1">
      <alignment horizontal="center" vertical="center"/>
    </xf>
    <xf numFmtId="275" fontId="20" fillId="0" borderId="0" xfId="6" applyNumberFormat="1" applyFont="1" applyAlignment="1">
      <alignment horizontal="left" indent="1"/>
    </xf>
    <xf numFmtId="275" fontId="20" fillId="0" borderId="0" xfId="2" applyNumberFormat="1" applyFont="1" applyFill="1"/>
    <xf numFmtId="275" fontId="20" fillId="0" borderId="0" xfId="1" applyNumberFormat="1" applyFont="1" applyFill="1"/>
    <xf numFmtId="275" fontId="20" fillId="0" borderId="0" xfId="3" applyNumberFormat="1" applyFont="1"/>
    <xf numFmtId="274" fontId="4" fillId="6" borderId="0" xfId="9" applyNumberFormat="1" applyFont="1" applyFill="1" applyAlignment="1">
      <alignment horizontal="right"/>
    </xf>
    <xf numFmtId="0" fontId="4" fillId="2" borderId="4" xfId="9" applyFont="1" applyFill="1" applyBorder="1"/>
    <xf numFmtId="0" fontId="4" fillId="6" borderId="4" xfId="9" applyFont="1" applyFill="1" applyBorder="1" applyAlignment="1">
      <alignment horizontal="right"/>
    </xf>
    <xf numFmtId="1" fontId="4" fillId="6" borderId="4" xfId="9" applyNumberFormat="1" applyFont="1" applyFill="1" applyBorder="1" applyAlignment="1">
      <alignment horizontal="right"/>
    </xf>
    <xf numFmtId="274" fontId="4" fillId="6" borderId="4" xfId="9" applyNumberFormat="1" applyFont="1" applyFill="1" applyBorder="1" applyAlignment="1">
      <alignment horizontal="right"/>
    </xf>
    <xf numFmtId="0" fontId="4" fillId="2" borderId="0" xfId="3" applyFont="1" applyFill="1" applyAlignment="1">
      <alignment vertical="center"/>
    </xf>
    <xf numFmtId="0" fontId="18" fillId="0" borderId="0" xfId="22" applyNumberFormat="1" applyFont="1" applyAlignment="1">
      <alignment horizontal="left"/>
    </xf>
    <xf numFmtId="274" fontId="20" fillId="10" borderId="0" xfId="3" applyNumberFormat="1" applyFont="1" applyFill="1"/>
    <xf numFmtId="166" fontId="30" fillId="13" borderId="0" xfId="1" applyNumberFormat="1" applyFont="1" applyFill="1" applyAlignment="1">
      <alignment horizontal="right"/>
    </xf>
    <xf numFmtId="166" fontId="30" fillId="13" borderId="0" xfId="1" applyNumberFormat="1" applyFont="1" applyFill="1" applyBorder="1" applyAlignment="1">
      <alignment horizontal="right"/>
    </xf>
    <xf numFmtId="166" fontId="33" fillId="13" borderId="0" xfId="1" applyNumberFormat="1" applyFont="1" applyFill="1" applyAlignment="1">
      <alignment horizontal="right"/>
    </xf>
    <xf numFmtId="166" fontId="33" fillId="13" borderId="0" xfId="1" applyNumberFormat="1" applyFont="1" applyFill="1" applyBorder="1" applyAlignment="1">
      <alignment horizontal="right"/>
    </xf>
    <xf numFmtId="167" fontId="156" fillId="13" borderId="0" xfId="5" applyNumberFormat="1" applyFont="1" applyFill="1" applyBorder="1" applyAlignment="1">
      <alignment horizontal="center"/>
    </xf>
  </cellXfs>
  <cellStyles count="637">
    <cellStyle name="_x000a_386grabber=M" xfId="381" xr:uid="{A1D5FC24-4839-42A2-A2AE-45F0E56D855D}"/>
    <cellStyle name="%" xfId="3" xr:uid="{00000000-0005-0000-0000-000000000000}"/>
    <cellStyle name="% 2" xfId="25" xr:uid="{7111E2A0-941D-4888-81D1-538E96B021EA}"/>
    <cellStyle name="% 2 2" xfId="635" xr:uid="{E94DEE9F-D211-4CA2-BD6F-827D50DE2AA2}"/>
    <cellStyle name="% 2 3" xfId="379" xr:uid="{B4E9F6EC-1AC2-4742-AE6F-4FAC73421A6F}"/>
    <cellStyle name="% 2 3 2" xfId="619" xr:uid="{2C6B9F3F-DACC-48A4-99AE-1AE492F69964}"/>
    <cellStyle name="% 3" xfId="150" xr:uid="{D1DA623D-97AC-4546-901B-F7559FA2D5ED}"/>
    <cellStyle name="% 4" xfId="622" xr:uid="{9063B70D-0584-4491-AED2-C7912EA46AF5}"/>
    <cellStyle name="% 5" xfId="24" xr:uid="{120AFA90-156C-4544-AC7E-A3AEC8ED42CA}"/>
    <cellStyle name="%_AXI" xfId="382" xr:uid="{50AD7BF1-48BD-44B5-A5E9-948B0E32AC70}"/>
    <cellStyle name="%_DIGI" xfId="613" xr:uid="{A437B10A-743D-4F49-8D80-F8EBDB18A026}"/>
    <cellStyle name="%_MAXI" xfId="616" xr:uid="{05FF4377-BDFD-4EDB-9B03-A96D5CC99CE1}"/>
    <cellStyle name="%_TMAS" xfId="617" xr:uid="{1F70C40E-C005-4A9B-B4CC-8561AD55AADD}"/>
    <cellStyle name="(Body)" xfId="151" xr:uid="{4B199F53-8125-4704-B79C-03CB356973DE}"/>
    <cellStyle name="(Heading)" xfId="152" xr:uid="{81AA7097-4105-4F5B-982B-910BC3C8AA40}"/>
    <cellStyle name="(Lefting)" xfId="153" xr:uid="{21C2BC96-4B4E-4A4D-9E71-4C3E2635DAFA}"/>
    <cellStyle name="******************************************" xfId="383" xr:uid="{41FA9250-696B-4131-B2F7-E58939659502}"/>
    <cellStyle name="??&amp;O?&amp;H?_x0008_??_x0007__x0001__x0001_" xfId="318" xr:uid="{71E1E7F0-9366-4ACE-BFB3-440A71964703}"/>
    <cellStyle name="?Q\?1@" xfId="384" xr:uid="{9BE3FD18-49DD-4CB7-A5A8-380BF89102BC}"/>
    <cellStyle name="_02. 2월26일부터 3월17일까지 발생 요구사항_ICIS고객_20080404" xfId="319" xr:uid="{8423D35B-89D7-4E76-AC0A-A83F61655441}"/>
    <cellStyle name="_Anastasia" xfId="385" xr:uid="{0FD5257A-7815-4EB8-9B90-F52619828C78}"/>
    <cellStyle name="_Axiata" xfId="614" xr:uid="{576C2AA4-B225-465E-9665-678EB8F67AD1}"/>
    <cellStyle name="_Book1" xfId="320" xr:uid="{5AEC934A-754E-47FB-97A7-2905C49E2BFB}"/>
    <cellStyle name="_Book1_1" xfId="321" xr:uid="{C76F788C-54C3-45E0-82CA-CB1B580F7816}"/>
    <cellStyle name="_Book1_2" xfId="322" xr:uid="{36667637-11C4-4D2E-ABF6-89E07C7A56D7}"/>
    <cellStyle name="_Comma" xfId="386" xr:uid="{B002983C-DC34-41B8-9DF2-185CF9978A24}"/>
    <cellStyle name="_Currency" xfId="387" xr:uid="{BACADD4A-8FBB-4343-BDDC-8C2DD1C76B37}"/>
    <cellStyle name="_CurrencySpace" xfId="388" xr:uid="{8F60EB4B-E2B1-401A-8895-256627482757}"/>
    <cellStyle name="_Innsamling" xfId="389" xr:uid="{D48B1B91-85EE-4500-A45B-4EE910186DA3}"/>
    <cellStyle name="_JP Morgan" xfId="390" xr:uid="{D15CB522-CE08-46CD-9976-CE3DA47902D7}"/>
    <cellStyle name="_Mal for innhenting av estimater Q4- 2002" xfId="391" xr:uid="{BE0D533A-C007-45EB-A8E0-2675F5BB2646}"/>
    <cellStyle name="_Maxis model" xfId="392" xr:uid="{CED573D6-6196-49E4-B5C3-094A5CE1886D}"/>
    <cellStyle name="_Multiple" xfId="393" xr:uid="{E231DF45-77F3-4B57-B100-4F1239F7FDC2}"/>
    <cellStyle name="_MultipleSpace" xfId="394" xr:uid="{91F96B19-8ED3-43BB-96AF-E8CFE68FE827}"/>
    <cellStyle name="_Percent" xfId="395" xr:uid="{1AB9B3FE-4811-424A-B730-07E89ACB6A9C}"/>
    <cellStyle name="_PercentSpace" xfId="396" xr:uid="{B8C056C3-BE7C-4E7D-8B36-0E5F32D5177D}"/>
    <cellStyle name="¤@¯ë_Sheet1 (2)" xfId="397" xr:uid="{389648CD-608E-441D-A7AD-599625AB9ADE}"/>
    <cellStyle name="§Q\òm1@À" xfId="398" xr:uid="{26809A55-43A8-4B1A-9614-736D0701FA21}"/>
    <cellStyle name="•W€_VALUE" xfId="399" xr:uid="{B3BB4E98-106E-4057-A4D6-76A7A8BD3261}"/>
    <cellStyle name="123" xfId="323" xr:uid="{625237CD-F9B6-495F-8D12-E0C4ED4C5721}"/>
    <cellStyle name="3f1o [0]_J-Hwang242" xfId="400" xr:uid="{DDF9DBC8-E0F9-4341-B6F4-7854B9AE2F72}"/>
    <cellStyle name="3f1o_J-Hwang2an" xfId="401" xr:uid="{64E62922-5E23-42D1-9285-78235CDDC177}"/>
    <cellStyle name="6mal" xfId="182" xr:uid="{70DDB456-F5ED-43FE-9D11-0381AA5626B5}"/>
    <cellStyle name="9" xfId="324" xr:uid="{E516078B-D0D1-4E8E-96E7-7466508D04B5}"/>
    <cellStyle name="9 10" xfId="325" xr:uid="{60755DD9-345C-4F26-AAD4-EFD790264B93}"/>
    <cellStyle name="aaa" xfId="402" xr:uid="{65746F39-4795-4662-814C-2CE4E5E14B93}"/>
    <cellStyle name="Acquisition" xfId="403" xr:uid="{73F81221-D19D-4AD3-91F2-B581E6375742}"/>
    <cellStyle name="AeE­ [0]_INQUIRY ¿μ¾÷AßAø " xfId="326" xr:uid="{5CA32D98-85C8-439C-94C4-76971AB819C8}"/>
    <cellStyle name="ÅëÈ­ [0]_TestResults" xfId="404" xr:uid="{570D2896-668A-4384-A67A-CB54796111BD}"/>
    <cellStyle name="AeE­_INQUIRY ¿μ¾÷AßAø " xfId="327" xr:uid="{5EDC7584-8118-41B9-B428-491EBD282A7D}"/>
    <cellStyle name="ÅëÈ­_TestResults" xfId="405" xr:uid="{7187E81D-059D-41F4-A2D6-7FEF6B886530}"/>
    <cellStyle name="ANALYST" xfId="406" xr:uid="{D4994F40-3BF5-4F84-90DF-C0575A5434FC}"/>
    <cellStyle name="Année" xfId="183" xr:uid="{19A8F56A-1D9D-4C3F-9617-F8AAF7556DE6}"/>
    <cellStyle name="Année (e)" xfId="184" xr:uid="{F3E7A433-D194-47A2-B134-44590F6CFEFB}"/>
    <cellStyle name="args.style" xfId="185" xr:uid="{1DFCB29B-0B2A-4EDA-93F6-73F119DF61F8}"/>
    <cellStyle name="Arial 10" xfId="186" xr:uid="{3A5C9D70-7DE0-4ABA-A581-7D33D909CA6C}"/>
    <cellStyle name="Arial 12" xfId="187" xr:uid="{2E6B5761-2071-476C-9F5A-36BB04CBA9A4}"/>
    <cellStyle name="Asifpercent" xfId="154" xr:uid="{5536FE0E-D6B0-4787-A8F7-6D5856264C95}"/>
    <cellStyle name="Assumption" xfId="188" xr:uid="{3D4A47AE-A619-42FD-805E-4D3396765804}"/>
    <cellStyle name="Assumptions" xfId="407" xr:uid="{C8304CF6-9F4D-437C-8464-A33413F2D21C}"/>
    <cellStyle name="AÞ¸¶ [0]_INQUIRY ¿μ¾÷AßAø " xfId="328" xr:uid="{DE2063F9-37C3-434C-B922-6013CDB3CA26}"/>
    <cellStyle name="ÄÞ¸¶ [0]_TestResults" xfId="408" xr:uid="{42429177-75FC-4C72-A057-3C8120D05B10}"/>
    <cellStyle name="AÞ¸¶_INQUIRY ¿μ¾÷AßAø " xfId="329" xr:uid="{76856A51-D283-4CC6-BA3F-13EADBC72FCE}"/>
    <cellStyle name="ÄÞ¸¶_TestResults" xfId="409" xr:uid="{440F2A2E-A212-40AE-8255-528E6FBA9344}"/>
    <cellStyle name="auf tausender" xfId="189" xr:uid="{29C3A57B-5617-4173-A0C0-C65A10825EF2}"/>
    <cellStyle name="Availability" xfId="26" xr:uid="{1DFCEA96-03D2-490D-B76F-86A85FF8A2D1}"/>
    <cellStyle name="BalanceSheet" xfId="410" xr:uid="{EA984A3C-6CF6-400D-918F-20E6D09D3D41}"/>
    <cellStyle name="BlackTitle" xfId="411" xr:uid="{BC336A09-B0E3-4337-A5D8-E477D71D8AD0}"/>
    <cellStyle name="Blank" xfId="412" xr:uid="{EE722B97-D612-43D9-84EF-EBEDBA61D12E}"/>
    <cellStyle name="block" xfId="413" xr:uid="{998A36B8-BBB6-431B-96AF-1CD30244C355}"/>
    <cellStyle name="Blue" xfId="190" xr:uid="{558E2876-CE44-4A14-A1AD-E0A581F68A49}"/>
    <cellStyle name="British Pound" xfId="191" xr:uid="{F130FFA2-212F-4B85-BD28-A45A7C0BCAC7}"/>
    <cellStyle name="C￥AØ_¿μ¾÷CoE² " xfId="330" xr:uid="{E4B172D3-4CB5-4FF8-BAE7-96DD35FA66E5}"/>
    <cellStyle name="Ç¥ÁØ_TestResults" xfId="414" xr:uid="{E49BD372-8E60-4522-B439-DF9CF82BEDC6}"/>
    <cellStyle name="Calcul" xfId="192" xr:uid="{FC829FA1-391E-40CB-B28E-27B02B698A29}"/>
    <cellStyle name="Calculation 2" xfId="27" xr:uid="{B0283050-3440-450E-A3FE-5904DA5E77C9}"/>
    <cellStyle name="CashFlow" xfId="415" xr:uid="{91BDA235-C8C1-442F-9E5C-3265ED22AF03}"/>
    <cellStyle name="category" xfId="193" xr:uid="{EA45117E-8771-42A5-B995-70A10DABA6E0}"/>
    <cellStyle name="category 2" xfId="309" xr:uid="{4EE5E7EA-D712-4A51-B265-6C0DCC1BF379}"/>
    <cellStyle name="category_Sheet2" xfId="290" xr:uid="{E6760E9D-A577-439A-8960-1EEF11D4A09E}"/>
    <cellStyle name="Changeable" xfId="194" xr:uid="{C2EA1763-EB27-4A8D-9149-2E6598081CF4}"/>
    <cellStyle name="Checksum" xfId="28" xr:uid="{54073106-275D-4AA0-BCF1-966FB987501B}"/>
    <cellStyle name="ColHeading" xfId="29" xr:uid="{9DCB2FB2-4E45-47D2-9FD3-F296D7260800}"/>
    <cellStyle name="Column Heading" xfId="195" xr:uid="{21A6B19B-8BF0-45E9-A2AC-874FEB115747}"/>
    <cellStyle name="Column Heading (No Wrap)" xfId="196" xr:uid="{EA005ABD-A5B8-4ECE-86AF-A825F5928B35}"/>
    <cellStyle name="Column Heading_SHEET" xfId="197" xr:uid="{0042D312-64E1-474F-8F74-8E6BBC33B832}"/>
    <cellStyle name="Column label" xfId="30" xr:uid="{B0E30965-AB71-4966-9EF8-E5161F974478}"/>
    <cellStyle name="Column label (left aligned)" xfId="31" xr:uid="{6BC85E89-2256-44A5-A4F1-F9D23E8D42B4}"/>
    <cellStyle name="Column label (left aligned) 2" xfId="199" xr:uid="{6F8BFA5D-5D98-4623-9609-244A4E53949F}"/>
    <cellStyle name="Column label (left aligned)_AXI" xfId="416" xr:uid="{0B89B7BD-7E99-4DD6-B8B9-6A97A14B7E9A}"/>
    <cellStyle name="Column label (no wrap)" xfId="32" xr:uid="{2C5F0104-0ADE-4092-A182-29111001E04B}"/>
    <cellStyle name="Column label (no wrap) 2" xfId="200" xr:uid="{685E4E66-C43F-413F-AE33-B6C62AB8FB33}"/>
    <cellStyle name="Column label (no wrap)_AXI" xfId="417" xr:uid="{FB69484F-726E-44BF-A574-F95B5A7B1B0F}"/>
    <cellStyle name="Column label (not bold)" xfId="33" xr:uid="{FEFBB849-C7AF-4A5F-B84B-57E2FDD6C78B}"/>
    <cellStyle name="Column label (not bold) 2" xfId="201" xr:uid="{A4254792-B2B8-40F0-AA93-FB9130D83221}"/>
    <cellStyle name="Column label (not bold)_AXI" xfId="418" xr:uid="{E3C425AE-4AD8-44C8-8A7D-B37C7CAFF6ED}"/>
    <cellStyle name="Column label 2" xfId="198" xr:uid="{907ABBE4-AC17-48A4-8236-58E0CD694B35}"/>
    <cellStyle name="Column label_Anastasia" xfId="419" xr:uid="{BA371081-6FE7-4F6D-8A77-44AEEC822C07}"/>
    <cellStyle name="Column Total" xfId="202" xr:uid="{55BE8397-0948-409B-A29F-B987708D292E}"/>
    <cellStyle name="Comma" xfId="1" builtinId="3"/>
    <cellStyle name="comma - number" xfId="35" xr:uid="{8BB1134E-A060-4BF4-B1DA-DFCB4C9657E0}"/>
    <cellStyle name="Comma [0] 2" xfId="156" xr:uid="{9DE36AEC-87C7-4708-AD28-D6FC401F413A}"/>
    <cellStyle name="Comma [0] 2 2" xfId="307" xr:uid="{1546163F-6C19-4C75-B2DF-425484633892}"/>
    <cellStyle name="Comma [0] 3" xfId="289" xr:uid="{0B1FD47F-E5CB-4F42-BDE6-E4F18EDAA739}"/>
    <cellStyle name="Comma [2]" xfId="36" xr:uid="{D741B699-8970-453B-9737-55C7822926DC}"/>
    <cellStyle name="Comma 0" xfId="37" xr:uid="{884736D6-0007-48F9-9B1D-79589C458F73}"/>
    <cellStyle name="Comma 12" xfId="179" xr:uid="{8EFE013D-62F9-4CDD-A65F-8AA5FB24A7DE}"/>
    <cellStyle name="Comma 2" xfId="38" xr:uid="{AF0191B6-9296-47A3-A114-69992E523362}"/>
    <cellStyle name="Comma 3" xfId="39" xr:uid="{FF8CC03F-FC83-49B0-B3F6-8D0FC69E5F8E}"/>
    <cellStyle name="Comma 3 4" xfId="421" xr:uid="{204449E7-0A18-4557-A463-4F0F11F38FB7}"/>
    <cellStyle name="Comma 3_AXI" xfId="420" xr:uid="{F50A1455-CFA0-48E1-B7A5-8EC184E4C3A2}"/>
    <cellStyle name="Comma 4" xfId="155" xr:uid="{353BB272-D67B-4301-8EB3-22D938431164}"/>
    <cellStyle name="Comma 43" xfId="422" xr:uid="{EC0A5202-2057-4632-965C-6254B1AB63E2}"/>
    <cellStyle name="Comma 5" xfId="623" xr:uid="{7A92F0A3-D36B-48AC-9BB2-37F3C04A4768}"/>
    <cellStyle name="Comma 6" xfId="627" xr:uid="{66E4EDB3-ACDC-4258-ACCA-88177BFBFE9E}"/>
    <cellStyle name="Comma 6 5" xfId="629" xr:uid="{EA171225-D807-4C80-B6A6-4E0FEB930733}"/>
    <cellStyle name="Comma 7" xfId="34" xr:uid="{63F8DF18-E64E-44B8-A088-9EE7688D0488}"/>
    <cellStyle name="comma zerodec" xfId="291" xr:uid="{4D462CC5-9864-475E-B226-7EEE242675AB}"/>
    <cellStyle name="Comma(1)" xfId="423" xr:uid="{944A99B3-4182-4DF2-BB0E-EF9FA1A73680}"/>
    <cellStyle name="Comma, 1 dec" xfId="424" xr:uid="{D2180723-3BFB-4E37-90C4-2062A62BF9BB}"/>
    <cellStyle name="Comma_BT3" xfId="10" xr:uid="{00000000-0005-0000-0000-000002000000}"/>
    <cellStyle name="Comma0" xfId="425" xr:uid="{40B3C5CD-99A5-4552-BD8A-44DB8ADCEC86}"/>
    <cellStyle name="CommaKM" xfId="157" xr:uid="{6F278097-106F-4C51-9C0E-A8A3F65D5D71}"/>
    <cellStyle name="Company" xfId="40" xr:uid="{B7C26F80-9B02-4BC8-85E6-64863088D948}"/>
    <cellStyle name="Cover Date" xfId="426" xr:uid="{79682C62-7A6E-4505-9523-10C636AC3A64}"/>
    <cellStyle name="Cover Subtitle" xfId="427" xr:uid="{2BDFEBBC-EB04-4AAE-8F8D-4012879381D3}"/>
    <cellStyle name="Cover Title" xfId="428" xr:uid="{12416B93-B5E1-4E6A-88C7-CFA8082C10DC}"/>
    <cellStyle name="CurRatio" xfId="41" xr:uid="{6472FC21-FE26-4CF9-B594-6E9AD2BE4955}"/>
    <cellStyle name="Currency - Euro" xfId="203" xr:uid="{39383AF2-28EA-42E8-9F68-F73E1B1025E4}"/>
    <cellStyle name="Currency (2dp)" xfId="42" xr:uid="{7536A737-C0F3-43B3-A5B9-DD598338182D}"/>
    <cellStyle name="Currency [0] - Euro" xfId="204" xr:uid="{382CD865-A8FD-420A-BEB7-46018989E615}"/>
    <cellStyle name="Currency [1]" xfId="429" xr:uid="{B4F785E8-D8F1-4A95-9A94-3253E3F93687}"/>
    <cellStyle name="Currency [2]" xfId="430" xr:uid="{786D0FEE-4FD1-4BC9-B864-747396956973}"/>
    <cellStyle name="Currency 0" xfId="43" xr:uid="{3193A764-18B3-4581-A065-9228CDC4CBA8}"/>
    <cellStyle name="Currency 2" xfId="44" xr:uid="{108FE602-4FBB-4A9B-9D45-481944BC2FE4}"/>
    <cellStyle name="Currency Dollar" xfId="45" xr:uid="{7D4B730F-F08A-4AEA-BA6D-54403D174ADC}"/>
    <cellStyle name="Currency Dollar (2dp)" xfId="46" xr:uid="{C0C4D00B-D915-4848-81E2-035EA1353205}"/>
    <cellStyle name="Currency EUR" xfId="47" xr:uid="{51BDB8C1-ABAE-45D0-9335-C889C8164595}"/>
    <cellStyle name="Currency EUR (2dp)" xfId="48" xr:uid="{DC4B79E6-9142-4056-837C-A5E67A83832B}"/>
    <cellStyle name="Currency Euro" xfId="49" xr:uid="{1379D8E6-7993-4EF9-8DAA-5FA1A34855E8}"/>
    <cellStyle name="Currency Euro (2dp)" xfId="50" xr:uid="{B9F9D17E-472F-4E5D-B5D5-8C435CE5A687}"/>
    <cellStyle name="Currency GBP" xfId="51" xr:uid="{E1A10C24-5C6D-4C98-BDEB-8AB8F58AA199}"/>
    <cellStyle name="Currency GBP (2dp)" xfId="52" xr:uid="{5FABCB9C-3EB0-418A-AB20-E727DB327958}"/>
    <cellStyle name="Currency Pound" xfId="53" xr:uid="{AE9C44F6-ED20-440F-A707-F29DB7CAFCEE}"/>
    <cellStyle name="Currency Pound (2dp)" xfId="54" xr:uid="{86A2E35A-FAC8-4699-9C6F-B97EE65CCF4F}"/>
    <cellStyle name="Currency USD" xfId="55" xr:uid="{8605CEAF-24C0-4D61-AB39-1515833AB358}"/>
    <cellStyle name="Currency USD (2dp)" xfId="56" xr:uid="{EE96FA1D-6B4F-4E83-A474-FAC609AA3856}"/>
    <cellStyle name="Currency0" xfId="431" xr:uid="{8F949819-8C36-40B0-B2C4-C4C5323C6FBF}"/>
    <cellStyle name="Currency1" xfId="292" xr:uid="{7FB14C3F-324A-4F63-8F8F-7A52707F9F38}"/>
    <cellStyle name="CurrencyKMB" xfId="158" xr:uid="{A1FA6921-B54A-4750-82C6-B42D9DEF8F2F}"/>
    <cellStyle name="Date" xfId="57" xr:uid="{5C996582-3125-4605-8D93-B25611910339}"/>
    <cellStyle name="Date (Month)" xfId="58" xr:uid="{08761890-4B88-4EC9-9C58-82F131D2B701}"/>
    <cellStyle name="Date (Year)" xfId="59" xr:uid="{339BEF44-E79D-4263-B0BB-F36CED9F08D7}"/>
    <cellStyle name="Date [d-mmm-yy]" xfId="432" xr:uid="{EB7AB537-BCEA-490B-A35B-68016E6C68E9}"/>
    <cellStyle name="Date [mm-d-yy]" xfId="433" xr:uid="{04ECECF2-2F65-48EE-880A-3F05DB0F0104}"/>
    <cellStyle name="Date [mm-d-yyyy]" xfId="434" xr:uid="{7DEEB0BE-C5E5-4861-B126-D03E30FA0F0D}"/>
    <cellStyle name="Date [mmm-d-yyyy]" xfId="435" xr:uid="{16083CC8-69FF-4DF4-B8FF-548BC0C1866B}"/>
    <cellStyle name="Date [mmm-yy]" xfId="436" xr:uid="{98973B02-A501-4B54-ACA8-7F3C4674EC07}"/>
    <cellStyle name="Date [mmm-yyyy]" xfId="437" xr:uid="{1A787346-3866-45C0-8348-EB2CAB37CEDB}"/>
    <cellStyle name="Date 2" xfId="159" xr:uid="{254CD89E-0117-4A09-82F1-860885786C2F}"/>
    <cellStyle name="Date 3" xfId="205" xr:uid="{BF624F78-1979-48F0-8823-C211C70DED06}"/>
    <cellStyle name="Date Aligned" xfId="60" xr:uid="{D93AC916-3E26-489E-BA3D-678914B68790}"/>
    <cellStyle name="Date_Anastasia" xfId="438" xr:uid="{D934E6F7-B197-484C-9C47-5CC92CCFD8CA}"/>
    <cellStyle name="Date2" xfId="439" xr:uid="{77040ECC-5BBF-4172-BAFA-98C1BD508E90}"/>
    <cellStyle name="Dates" xfId="440" xr:uid="{691837AF-E33C-470E-ADE6-5E05E92FFBC4}"/>
    <cellStyle name="DateYear" xfId="441" xr:uid="{2856C9A4-0B29-4A2D-9002-E550467D2930}"/>
    <cellStyle name="Dec_0" xfId="160" xr:uid="{349A76F1-5218-4FBA-84C1-DDD68CB717B7}"/>
    <cellStyle name="Déprotégée" xfId="206" xr:uid="{D9332423-5976-4544-9088-D7FD9D19874E}"/>
    <cellStyle name="Devise" xfId="207" xr:uid="{E5AF6462-58B7-4EA6-8D74-815CCF3CCC68}"/>
    <cellStyle name="Dezimal (0.0)" xfId="61" xr:uid="{CB2011BF-2BBA-4C80-962A-C58BC3CA1C96}"/>
    <cellStyle name="Dezimal (0.0) 2" xfId="208" xr:uid="{5BCD97B5-7009-4EF7-BAD6-7DFFF2442261}"/>
    <cellStyle name="Dezimal (0.0)_AXI" xfId="442" xr:uid="{851F1C7A-BBAA-4344-B2FB-D0CEACFB923A}"/>
    <cellStyle name="Diseño" xfId="634" xr:uid="{2A29BFEE-636D-4F47-9308-8680E027842C}"/>
    <cellStyle name="Dollar" xfId="443" xr:uid="{1C0EAF72-6025-42CA-88BB-33BE922EDD5E}"/>
    <cellStyle name="Dollar (zero dec)" xfId="293" xr:uid="{7C94794B-9D1B-4C94-A699-F19E7EB04A27}"/>
    <cellStyle name="dollars" xfId="444" xr:uid="{01BDB2D4-A25A-42EF-88CB-6732DCC453D7}"/>
    <cellStyle name="DollarWhole" xfId="445" xr:uid="{D7F87528-B972-4E04-AB1E-FC09F52B359B}"/>
    <cellStyle name="Dotted Line" xfId="62" xr:uid="{1B780DD0-2DF4-430F-B6CF-EBF86DDEDD48}"/>
    <cellStyle name="Double Accounting" xfId="209" xr:uid="{521BD18E-1B0F-417F-BCB9-82DAE7B8229D}"/>
    <cellStyle name="Download" xfId="161" xr:uid="{FB022DDD-703E-497E-833E-FCB738B59DBB}"/>
    <cellStyle name="Driver" xfId="446" xr:uid="{D58D1322-0725-4275-98FF-BE3EEF028EEB}"/>
    <cellStyle name="Driver Lable" xfId="447" xr:uid="{B424AB71-03F9-4054-BD75-5CECE590E510}"/>
    <cellStyle name="drivers" xfId="448" xr:uid="{646F772C-30EB-4D97-AB4E-2956A2D500A9}"/>
    <cellStyle name="Entités" xfId="210" xr:uid="{A3A94D02-A578-482F-B218-6D0BDBE402D9}"/>
    <cellStyle name="Entry" xfId="162" xr:uid="{E74E9FBA-B1EB-4DD7-956E-13C03E02E123}"/>
    <cellStyle name="EPS" xfId="449" xr:uid="{BF424AF4-B38A-4CB1-B39A-F0854924177B}"/>
    <cellStyle name="EPSActual" xfId="450" xr:uid="{C5997B19-1E8E-42F2-A23B-DAC3AE18D57C}"/>
    <cellStyle name="EPSEstimate" xfId="451" xr:uid="{E5992426-6924-46BA-A98E-1BCECF480BB6}"/>
    <cellStyle name="Est - $" xfId="211" xr:uid="{01A59BCB-8031-4EDE-ACF6-082B2AAB135B}"/>
    <cellStyle name="Est - %" xfId="212" xr:uid="{C084C1CF-63DC-437D-A537-B7ED982AD9B1}"/>
    <cellStyle name="Est 0,000.0" xfId="213" xr:uid="{A8E5A69A-5E0E-4A68-AA4F-2AFC686B8E65}"/>
    <cellStyle name="Euro" xfId="331" xr:uid="{39869D76-93C6-4152-8C15-DFEF6F2CA167}"/>
    <cellStyle name="ExchRate" xfId="163" xr:uid="{1C2F98F0-C4BB-4531-8BB3-6DFD92C54909}"/>
    <cellStyle name="fact_Feuil1 (8)" xfId="452" xr:uid="{A4B213BF-C709-45BF-AB2E-9536B88B5F22}"/>
    <cellStyle name="Fail" xfId="214" xr:uid="{ABCEA040-AA06-46A5-9232-DB6D71CAED3B}"/>
    <cellStyle name="FF_EURO" xfId="215" xr:uid="{A85F8DB2-DF23-4EC7-B8C6-CCEFC874ABCB}"/>
    <cellStyle name="Financial" xfId="164" xr:uid="{38149350-04C6-435E-81CB-90A98E5C51A9}"/>
    <cellStyle name="financials" xfId="165" xr:uid="{BA786628-19E4-4B2C-9F1B-2F6404B442E8}"/>
    <cellStyle name="FiscalPeriod" xfId="216" xr:uid="{65FACDBF-E37C-447D-B61C-FD35DA5DF05A}"/>
    <cellStyle name="Fixed" xfId="332" xr:uid="{96C49079-AD1F-48AA-80B2-AE5ACAD0648D}"/>
    <cellStyle name="Fixed [0]" xfId="454" xr:uid="{279ADB57-DC0A-4982-8423-F76196B2DD73}"/>
    <cellStyle name="Fixed_AXI" xfId="453" xr:uid="{7D08ADA9-35F7-42A4-AAEF-8836BC6CE940}"/>
    <cellStyle name="fo]_x000d__x000a_UserName=Murat Zelef_x000d__x000a_UserCompany=Bumerang_x000d__x000a__x000d__x000a_[File Paths]_x000d__x000a_WorkingDirectory=C:\EQUIS\DLWIN_x000d__x000a_DownLoader=C" xfId="455" xr:uid="{2131F0AA-F9A8-40ED-AF1A-828B14FCB638}"/>
    <cellStyle name="Följde hyperlänken" xfId="456" xr:uid="{45D4D3CA-EDB0-464B-A7E4-1B402F4B30C3}"/>
    <cellStyle name="Footer SBILogo1" xfId="457" xr:uid="{A4EB3C37-3105-4C54-B8F9-DED78E021522}"/>
    <cellStyle name="Footer SBILogo2" xfId="458" xr:uid="{8DD43040-14D9-417E-B044-73B60F13167E}"/>
    <cellStyle name="Footnote" xfId="63" xr:uid="{666E119A-6779-438B-BDF6-674AFF35E595}"/>
    <cellStyle name="Footnote Reference" xfId="459" xr:uid="{CA313CA6-A737-4A65-A394-21F66B068538}"/>
    <cellStyle name="Footnote_Innsamling" xfId="460" xr:uid="{4383E1C3-FD24-43AD-BD84-4391D9C1D8BC}"/>
    <cellStyle name="front page small" xfId="217" xr:uid="{A1E7CD65-DFE4-4D2C-8D56-305E9177AC6C}"/>
    <cellStyle name="General" xfId="461" xr:uid="{22CA9207-6A7F-49FB-A232-1462D644DD91}"/>
    <cellStyle name="Grey" xfId="218" xr:uid="{21DDE538-E838-4F87-A3E0-A07648569C3B}"/>
    <cellStyle name="Grey 2" xfId="310" xr:uid="{912039BE-614F-44D3-8C83-BB113B33864D}"/>
    <cellStyle name="Grey_AXI" xfId="462" xr:uid="{B2FE328C-F204-45C0-A0D9-430C5B03192E}"/>
    <cellStyle name="GrowthRate" xfId="463" xr:uid="{5811A844-CAAB-4176-A84F-31133897C9C3}"/>
    <cellStyle name="GrowthSeq" xfId="464" xr:uid="{269639C9-C1BB-49AF-9F8C-CCDE7D2E3C38}"/>
    <cellStyle name="GWN Table Body" xfId="64" xr:uid="{66DBB0C7-F55E-4918-B347-4A7DD4AFFFD6}"/>
    <cellStyle name="GWN Table Header" xfId="65" xr:uid="{75DFC531-0EE6-4C2F-A99A-CA6501AAA29D}"/>
    <cellStyle name="GWN Table Left Header" xfId="66" xr:uid="{ADEF2A94-22F1-4FB1-8330-D8D70ECE25FA}"/>
    <cellStyle name="GWN Table Note" xfId="67" xr:uid="{6D7C42D5-3063-4859-98D0-49B44223867A}"/>
    <cellStyle name="GWN Table Title" xfId="68" xr:uid="{6987D998-104C-4B60-9CA2-60D105344D96}"/>
    <cellStyle name="H0" xfId="69" xr:uid="{928A03E1-A84E-4E27-82FD-BB2E4E042B6A}"/>
    <cellStyle name="H1" xfId="70" xr:uid="{B2CD5D71-8953-40B9-8F01-5AC3D4A08D0D}"/>
    <cellStyle name="H2" xfId="71" xr:uid="{10298C08-EAF3-4E2D-9DB1-E63AB933619F}"/>
    <cellStyle name="H3" xfId="72" xr:uid="{FD9D6303-E700-4E6B-A0F2-58FB89278CED}"/>
    <cellStyle name="H4" xfId="73" xr:uid="{C39501F9-60E7-4AEC-8FEE-2DE7C0D7C47B}"/>
    <cellStyle name="haeding 2" xfId="465" xr:uid="{753EEFBD-5046-45F2-B84A-08F6DEA3B1BF}"/>
    <cellStyle name="Hard" xfId="466" xr:uid="{3902F170-336C-4C4C-B5DF-89C82A561E3A}"/>
    <cellStyle name="Hard input" xfId="74" xr:uid="{DCEA447A-E480-453F-9269-B7A6E68AB9DD}"/>
    <cellStyle name="hard no." xfId="467" xr:uid="{1B25B09C-7774-41DF-8A4C-19D9AC8363C6}"/>
    <cellStyle name="Hard Percent" xfId="75" xr:uid="{2F2EAB63-2686-494A-8BD7-7B5A72EF185D}"/>
    <cellStyle name="head2" xfId="468" xr:uid="{728DC537-3F10-42A7-98B8-8C94B4F4D7B8}"/>
    <cellStyle name="Header" xfId="76" xr:uid="{B8031354-7576-45FB-AF1B-A39DF60CDDAD}"/>
    <cellStyle name="Header 2" xfId="166" xr:uid="{F24205C4-7538-45C3-9B4B-BF8009E5CA9A}"/>
    <cellStyle name="HEADER 2 2" xfId="311" xr:uid="{0AC8FFF6-8537-4060-AF29-C3ED6020219D}"/>
    <cellStyle name="Header Draft Stamp" xfId="469" xr:uid="{9A1F3C27-03BF-40F4-A4EF-E35B22CC0A77}"/>
    <cellStyle name="Header_Innsamling" xfId="470" xr:uid="{1734DC0F-F209-42E1-A162-22FC643312F9}"/>
    <cellStyle name="Header1" xfId="294" xr:uid="{EAD7D12F-1507-4651-BF4F-C6A53E783320}"/>
    <cellStyle name="Header2" xfId="295" xr:uid="{373EF69D-B754-41CC-A01D-10494DBC0C94}"/>
    <cellStyle name="Heading" xfId="471" xr:uid="{5CE92A42-7290-4285-B3E1-F5CA80144A66}"/>
    <cellStyle name="Heading 1 Above" xfId="472" xr:uid="{FCE33AEB-2A8F-40D3-BE4D-D74ADD3B95B6}"/>
    <cellStyle name="Heading 1+" xfId="473" xr:uid="{BE0BC801-328C-4DA2-A429-57B6D6E92927}"/>
    <cellStyle name="Heading 2 2" xfId="77" xr:uid="{926584B4-8681-460E-9DCA-CF8CEFA2A220}"/>
    <cellStyle name="Heading 2 Below" xfId="474" xr:uid="{D1529245-9970-424C-B757-A3D9F96C0599}"/>
    <cellStyle name="Heading 2+" xfId="475" xr:uid="{0B95859D-3675-40F2-AE0C-F7FB821B730E}"/>
    <cellStyle name="Heading 3 2" xfId="78" xr:uid="{874EE755-B235-4FCA-9355-EA34204E8D48}"/>
    <cellStyle name="Heading 3+" xfId="476" xr:uid="{CFD73BA3-333D-4C81-801A-B5F95184A9BD}"/>
    <cellStyle name="Heading 5" xfId="477" xr:uid="{4EAEB0AE-C45D-4A76-813E-BFC59914D732}"/>
    <cellStyle name="HEADING1" xfId="333" xr:uid="{20352C86-9FA5-4D50-9641-40064C3CA0FB}"/>
    <cellStyle name="HEADING2" xfId="334" xr:uid="{780EBCDB-BDA4-48FF-B639-7A52237B63A4}"/>
    <cellStyle name="Hidden" xfId="219" xr:uid="{DB1260F6-1A89-48EB-9959-5C55A8C4965F}"/>
    <cellStyle name="Highlight" xfId="79" xr:uid="{25C3DDE2-EB97-4328-8C01-1029BEE3235B}"/>
    <cellStyle name="Hist inmatning" xfId="478" xr:uid="{F19A5714-6D0F-41C7-B2DD-3D336D5D415C}"/>
    <cellStyle name="Hyperlänk" xfId="479" xr:uid="{B7318C63-3CAF-41CC-8FD4-632EE77B4ECD}"/>
    <cellStyle name="Hyperlink 2" xfId="624" xr:uid="{EE6F3686-9726-4EC0-9D91-CF5E7893432F}"/>
    <cellStyle name="Hyperlink 3" xfId="380" xr:uid="{4C17EB2E-17A7-4857-B26E-641FB3ABF03B}"/>
    <cellStyle name="Hyperlink 3 2" xfId="633" xr:uid="{83B72FD1-FD4D-4C5D-8C11-8B343C9C3950}"/>
    <cellStyle name="IncomeStatement" xfId="480" xr:uid="{4C3C1075-C6EE-48E4-9F18-7FBA0AA32FA5}"/>
    <cellStyle name="InLink" xfId="80" xr:uid="{918659A9-42F7-4443-9A8E-F3BCFC418C1A}"/>
    <cellStyle name="Input (%)" xfId="167" xr:uid="{3FCF67D7-271A-42EE-A0CD-0F9CF14AE990}"/>
    <cellStyle name="Input [yellow]" xfId="221" xr:uid="{D7BFAAA3-2E6E-4887-8EEF-40053DC8E101}"/>
    <cellStyle name="Input [yellow] 2" xfId="312" xr:uid="{46C35537-7B2E-4E62-B126-165A7966D821}"/>
    <cellStyle name="Input [yellow]_Sheet2" xfId="296" xr:uid="{C976EB34-AF29-4F9A-BE83-21FE6F6260A6}"/>
    <cellStyle name="Input 2" xfId="220" xr:uid="{8BB87899-5ADA-40BB-8E53-59799DB020F9}"/>
    <cellStyle name="input 3" xfId="81" xr:uid="{6B70BAE3-3C33-4701-8082-E0A64D07B9A4}"/>
    <cellStyle name="Input calculation" xfId="82" xr:uid="{F4503F25-C76E-4B26-9A0D-99F755667FC8}"/>
    <cellStyle name="Input Cells" xfId="222" xr:uid="{18BB0A0D-ABF4-4BBB-97E5-0EE9A1C8DC00}"/>
    <cellStyle name="Input Currency" xfId="481" xr:uid="{B72D0EEF-75DF-4CF9-BF10-88E5859BA482}"/>
    <cellStyle name="Input data" xfId="83" xr:uid="{0CC72F90-2D83-44C3-B258-A8461B1FFBF0}"/>
    <cellStyle name="Input Date" xfId="482" xr:uid="{3D959BBF-9D7C-4C4C-AF72-08D8F61FDCC8}"/>
    <cellStyle name="Input estimate" xfId="84" xr:uid="{18A627C0-FDB4-4523-9020-A7FA92114ED7}"/>
    <cellStyle name="Input Fixed [0]" xfId="483" xr:uid="{ABA8A4E6-787C-402B-BB53-5D9E4B0A7198}"/>
    <cellStyle name="Input link" xfId="85" xr:uid="{FFEEC88E-0E42-43D8-97AE-4D10EEC344E5}"/>
    <cellStyle name="Input link (different workbook)" xfId="86" xr:uid="{C606E6C2-175C-4258-BB49-820A6084B35D}"/>
    <cellStyle name="Input Link_Copy of ESA5 ForecastScaling" xfId="223" xr:uid="{4D2E80EE-8E92-4B85-9474-35B2D3118814}"/>
    <cellStyle name="Input Normal" xfId="484" xr:uid="{74B8B2B3-1674-49F6-AB5D-FA1EAD5C18BB}"/>
    <cellStyle name="Input parameter" xfId="87" xr:uid="{D8DF936A-9D17-4BB5-97DA-0E1E97CB88D7}"/>
    <cellStyle name="Input Percent" xfId="485" xr:uid="{17F5C1F5-ACE2-4BE4-AE5D-2FC602EA6BEF}"/>
    <cellStyle name="Input Percent [2]" xfId="486" xr:uid="{CC0CC4D7-E477-4C21-AFCF-051EB9A72271}"/>
    <cellStyle name="Input Percent_Book1" xfId="487" xr:uid="{1DB87B7A-8472-4207-8142-29E4B89819D1}"/>
    <cellStyle name="Input Titles" xfId="488" xr:uid="{8ECA1186-7A6B-4DC5-B3E9-B1275452DDED}"/>
    <cellStyle name="Input%" xfId="88" xr:uid="{407630AC-8B70-4FB3-BA85-1F35087F0530}"/>
    <cellStyle name="Input0dec" xfId="489" xr:uid="{35A03D67-DD88-414E-9F14-7C6862606279}"/>
    <cellStyle name="Input2dec" xfId="490" xr:uid="{590DE52F-82F6-4E4F-9053-3D2884531EAD}"/>
    <cellStyle name="InputBlueFont" xfId="89" xr:uid="{0E63087E-08D2-4992-BDC1-9FA9126B038B}"/>
    <cellStyle name="InputBlueFont 2" xfId="224" xr:uid="{A0CFBAB8-C693-4B08-B394-E5875491CD63}"/>
    <cellStyle name="InputBlueFont_AXI" xfId="491" xr:uid="{D34EE23F-BDAE-4190-9A66-7563A6F82D78}"/>
    <cellStyle name="InputDate" xfId="90" xr:uid="{53B6BEDE-88F1-45BB-81E5-CD30A3A4F884}"/>
    <cellStyle name="InputDecimal" xfId="91" xr:uid="{442A8AB0-ED55-4DF2-9081-A4A210B5886F}"/>
    <cellStyle name="InputValue" xfId="92" xr:uid="{6712D95C-BBC0-4ECF-80AF-547B7B58432D}"/>
    <cellStyle name="Integer" xfId="93" xr:uid="{A5EADE46-FE42-467F-828F-DDF29F420593}"/>
    <cellStyle name="Item" xfId="94" xr:uid="{B1C8BC0E-A418-4F1D-877A-084DD70A3ED7}"/>
    <cellStyle name="Items_Optional" xfId="95" xr:uid="{6595814B-E5CB-443B-ADA5-60ECFDF690BB}"/>
    <cellStyle name="ItemTypeClass" xfId="96" xr:uid="{330E595F-DD8A-4BA5-8066-1EA01E790A9F}"/>
    <cellStyle name="James" xfId="97" xr:uid="{03D21612-7FA3-4CDA-8AD6-F413A2E65A09}"/>
    <cellStyle name="kopregel" xfId="225" xr:uid="{FCACEE22-88DE-4DAA-8440-61D5CA3BD723}"/>
    <cellStyle name="Libellés" xfId="226" xr:uid="{F8747C01-ED8E-42CE-ACFF-EB1A43B6D598}"/>
    <cellStyle name="Linked" xfId="227" xr:uid="{FDC077D6-F665-442B-B6D5-3AF29BBC4870}"/>
    <cellStyle name="Linked Cells" xfId="228" xr:uid="{872273AB-CA64-4C7F-A99E-9650707B02A4}"/>
    <cellStyle name="Locked" xfId="492" xr:uid="{3C5EFED5-414B-4F45-8437-D78948C2973E}"/>
    <cellStyle name="Main Title" xfId="229" xr:uid="{409574A1-8778-485C-9E7F-71745FD5960D}"/>
    <cellStyle name="margenta-f" xfId="493" xr:uid="{C0E3B0F2-8754-4659-B5ED-3D1AFCA6C99D}"/>
    <cellStyle name="Margin" xfId="98" xr:uid="{7C68C0AC-CFD6-46C5-9A71-81F6A1868375}"/>
    <cellStyle name="Margin 2" xfId="230" xr:uid="{4FECFBEE-E4FB-4E8C-B2AF-74CF750893E9}"/>
    <cellStyle name="Margin_AXI" xfId="494" xr:uid="{1D152481-568A-4D1E-ADDB-D26DC927196A}"/>
    <cellStyle name="Margins" xfId="495" xr:uid="{8CFB60A0-8050-488B-BF17-1FC328617B42}"/>
    <cellStyle name="MetricLabel" xfId="231" xr:uid="{3748C765-7B3E-4EC9-826B-6037AFDA4780}"/>
    <cellStyle name="MetricLabelBlue" xfId="232" xr:uid="{26B7E248-7A44-4477-B9ED-99C9A94B1A64}"/>
    <cellStyle name="MetricValue" xfId="233" xr:uid="{3A26910B-DBF6-4A10-88D7-E031319995AB}"/>
    <cellStyle name="Migliaia_Foglio1" xfId="99" xr:uid="{418D27E5-83D1-40B4-9091-5AC3BE9D354A}"/>
    <cellStyle name="Millares [0]_96 Risk" xfId="234" xr:uid="{A212D4D9-CED7-4884-9D02-CDC070134542}"/>
    <cellStyle name="Millares_96 Risk" xfId="235" xr:uid="{BC4E6BB4-352F-4F63-B567-B12110464593}"/>
    <cellStyle name="Milliers [0]_Aimants permanents" xfId="236" xr:uid="{A16CC428-7A9E-4243-AABB-B52067F914BF}"/>
    <cellStyle name="Milliers [00]" xfId="237" xr:uid="{5A07CE4D-2814-4540-BB8B-35635D6DF7C8}"/>
    <cellStyle name="Milliers_Aimants permanents" xfId="238" xr:uid="{9D45F783-29E6-4FF2-B755-A1317746C2DD}"/>
    <cellStyle name="mine" xfId="100" xr:uid="{53023131-3AC9-44F5-9BF5-13F75C84056F}"/>
    <cellStyle name="Model" xfId="239" xr:uid="{01730007-51EA-4359-AE6F-3EFA5AB3CF56}"/>
    <cellStyle name="Model 2" xfId="313" xr:uid="{D13FBD2D-BD79-4F52-AB43-66FDBF5F3836}"/>
    <cellStyle name="Model_Sheet2" xfId="297" xr:uid="{D0F58E13-2EB8-48D4-BEBF-DECC97C280DA}"/>
    <cellStyle name="Moneda [0]_96 Risk" xfId="240" xr:uid="{95AE7589-FA2F-4064-B412-64C60C8C3DC9}"/>
    <cellStyle name="Moneda_96 Risk" xfId="241" xr:uid="{4312DD9C-303D-407D-B27B-FD68CE1F0019}"/>
    <cellStyle name="Monétaire [0]_Aimants permanents" xfId="242" xr:uid="{57227767-68C0-4D70-AC42-DD7FF40C0547}"/>
    <cellStyle name="Monétaire [00]" xfId="243" xr:uid="{EC4D1AB0-8E9F-4EA1-8D63-A421AF7FD2BB}"/>
    <cellStyle name="Monétaire_Aimants permanents" xfId="244" xr:uid="{88991F28-84FD-4CDE-BAD9-811616E5F193}"/>
    <cellStyle name="Multiple" xfId="101" xr:uid="{C75A6CEC-1D78-4B53-9F52-455A553F545B}"/>
    <cellStyle name="NA is zero" xfId="496" xr:uid="{9C45E62C-1830-47FA-9E58-90B7F136FE12}"/>
    <cellStyle name="Name" xfId="102" xr:uid="{E0BFFDC6-C0AB-40EC-AA96-443147323291}"/>
    <cellStyle name="neg0.0" xfId="103" xr:uid="{51094941-7C67-4BDC-8C2F-9632F096B340}"/>
    <cellStyle name="neg0.0 2" xfId="245" xr:uid="{07C609B6-D712-4BB6-8FC8-EF1330B1B295}"/>
    <cellStyle name="neg0.0_AXI" xfId="497" xr:uid="{7E176AAC-398F-4296-88AC-AEAC401D63C3}"/>
    <cellStyle name="no dec" xfId="498" xr:uid="{656D4DD9-C412-42FB-A478-BA0E6B444D9F}"/>
    <cellStyle name="Normal" xfId="0" builtinId="0"/>
    <cellStyle name="Normal - Style1" xfId="104" xr:uid="{3E167C11-3699-4434-9FF5-41F08C02408D}"/>
    <cellStyle name="Normal - Style1 2" xfId="314" xr:uid="{9CD5FEB6-E068-4DB5-B2B3-0DE9C633E9F1}"/>
    <cellStyle name="Normal - Style1_Sheet2" xfId="298" xr:uid="{7DB11B2B-B067-447B-AA84-8897CDF0E6C5}"/>
    <cellStyle name="Normal (%)" xfId="168" xr:uid="{8884F079-5B4D-413E-B3DB-107FB5A2E0EB}"/>
    <cellStyle name="Normal (£m)" xfId="169" xr:uid="{E1238569-2880-438C-A3C8-99E862BC7E7F}"/>
    <cellStyle name="Normal (no,)" xfId="499" xr:uid="{F55057EF-E7E7-41D2-9B7E-F413839A3F3E}"/>
    <cellStyle name="Normal (x)" xfId="170" xr:uid="{143834BD-6854-4F95-8E98-97D52F310561}"/>
    <cellStyle name="Normal [0]" xfId="500" xr:uid="{E5D5DCB5-37DD-4950-B237-DE8AADFB1EA1}"/>
    <cellStyle name="Normal [1]" xfId="501" xr:uid="{1D496935-3EB3-4C6E-BD75-C44103E7D8B0}"/>
    <cellStyle name="Normal [2]" xfId="502" xr:uid="{ADAEC916-8BAB-421F-B2CC-00ADAF85162C}"/>
    <cellStyle name="Normal [3]" xfId="503" xr:uid="{0FBC1F4A-257F-4029-88BD-3D77A56928D8}"/>
    <cellStyle name="Normal 1" xfId="13" xr:uid="{00000000-0005-0000-0000-000005000000}"/>
    <cellStyle name="Normal 10 3" xfId="618" xr:uid="{4CD7E86D-2EA5-45CD-B973-1F4E6EB7CE1B}"/>
    <cellStyle name="Normal 155" xfId="620" xr:uid="{248271CA-572E-4C2E-94E9-671021A71540}"/>
    <cellStyle name="Normal 2" xfId="20" xr:uid="{6CA0AF30-4353-41BB-A752-76385A6F6E7E}"/>
    <cellStyle name="Normal 2 2" xfId="21" xr:uid="{EFD676B1-3B39-4B3B-A95F-426EFB27D939}"/>
    <cellStyle name="Normal 2 2 2" xfId="305" xr:uid="{D9EFB084-FCCC-4FA5-877E-E2F5985F8A38}"/>
    <cellStyle name="Normal 2 3" xfId="105" xr:uid="{D1D55F5C-7714-4C6B-B25F-B28C8CE52798}"/>
    <cellStyle name="Normal 2 5" xfId="505" xr:uid="{8F147CFB-6072-4009-85C5-564369FBA401}"/>
    <cellStyle name="Normal 2_AXI" xfId="504" xr:uid="{9791B4D4-2388-4EEB-82EF-50A8CC1C0791}"/>
    <cellStyle name="Normal 3" xfId="22" xr:uid="{E7D69A8B-16D7-46C8-8F3F-90DEDABD5A49}"/>
    <cellStyle name="Normal 3 2" xfId="316" xr:uid="{47F0B303-4BF8-4B77-855F-A2FE4E31D4AC}"/>
    <cellStyle name="Normal 3 3" xfId="149" xr:uid="{6A0A4E23-2D61-4EA4-8ED4-4AC9A277E9F4}"/>
    <cellStyle name="Normal 3_AXI" xfId="506" xr:uid="{727C2F47-4722-4778-A3E2-37141F59EBBD}"/>
    <cellStyle name="Normal 4" xfId="181" xr:uid="{6F3A61C5-A5DB-41FC-BCF3-DC603E862401}"/>
    <cellStyle name="Normal 5" xfId="507" xr:uid="{3192E6D7-1A06-4A65-B9DE-63B3E6E9099F}"/>
    <cellStyle name="Normal 6" xfId="615" xr:uid="{A92EE2C6-0E37-4CB0-B157-88F7DDBD22B7}"/>
    <cellStyle name="Normal 7" xfId="621" xr:uid="{4F0703AD-A5C0-4B73-9D38-B3366B5DB294}"/>
    <cellStyle name="Normal 7 2" xfId="632" xr:uid="{A9ACB960-302B-4A68-8216-77F0EB8BD514}"/>
    <cellStyle name="Normal 8" xfId="626" xr:uid="{B416C707-C0B4-4AA8-9014-C5866CDEDA82}"/>
    <cellStyle name="Normal 9" xfId="23" xr:uid="{4EF0286F-637B-43A4-BA3D-F9EA60E5B822}"/>
    <cellStyle name="Normal Bold" xfId="508" xr:uid="{7DCD5B14-984A-4904-85C2-BEA94B610BC3}"/>
    <cellStyle name="Normal Pct" xfId="509" xr:uid="{5B942F0F-C0EA-4319-B11E-1E7815D63806}"/>
    <cellStyle name="Normal_bt debt model" xfId="11" xr:uid="{00000000-0005-0000-0000-000006000000}"/>
    <cellStyle name="Normal_BT3" xfId="9" xr:uid="{00000000-0005-0000-0000-000007000000}"/>
    <cellStyle name="Normal_BT3 2" xfId="630" xr:uid="{A734363C-D928-4370-BE4B-C328EE8728EB}"/>
    <cellStyle name="Normal_dt2" xfId="4" xr:uid="{00000000-0005-0000-0000-000008000000}"/>
    <cellStyle name="Normal_Egypt" xfId="6" xr:uid="{00000000-0005-0000-0000-000009000000}"/>
    <cellStyle name="Normal_Indonesian market model" xfId="7" xr:uid="{00000000-0005-0000-0000-00000B000000}"/>
    <cellStyle name="Normal_MTN_120308" xfId="631" xr:uid="{FF719DEE-9B77-4FD4-B6D3-153DA1E7EDDC}"/>
    <cellStyle name="Normal_Preview Telefonica" xfId="15" xr:uid="{00000000-0005-0000-0000-00000C000000}"/>
    <cellStyle name="Normal_temp" xfId="14" xr:uid="{00000000-0005-0000-0000-00000D000000}"/>
    <cellStyle name="Normal_Vodafone(2sep03)" xfId="12" xr:uid="{00000000-0005-0000-0000-00000E000000}"/>
    <cellStyle name="NormalE" xfId="510" xr:uid="{FF518B0A-FF7A-4E55-AF70-ACB8DBC5305E}"/>
    <cellStyle name="NormalGB" xfId="511" xr:uid="{09E410D5-F3DC-4DDB-BF46-263140CE6096}"/>
    <cellStyle name="NormalMultiple" xfId="512" xr:uid="{84832B2E-B10D-48BB-A19E-FABCBC177E82}"/>
    <cellStyle name="NOT" xfId="246" xr:uid="{01FB3EAE-B790-4DAF-9A1B-2F12261B0BF7}"/>
    <cellStyle name="Note 2" xfId="247" xr:uid="{A2438003-8B48-4ACB-8394-8EE41A1B311A}"/>
    <cellStyle name="Note 3" xfId="106" xr:uid="{EDCC0EF4-3167-492B-B863-11DA3DE4CC38}"/>
    <cellStyle name="Notes" xfId="513" xr:uid="{A1EED516-5535-43B4-8B9E-ECA2BEDFB8D4}"/>
    <cellStyle name="NPPESalesPct" xfId="514" xr:uid="{05DA0A3D-CCA1-4149-9B8B-ABD2F0B66153}"/>
    <cellStyle name="Number" xfId="107" xr:uid="{6318419E-F906-4809-8312-90A7D8DC449E}"/>
    <cellStyle name="Number (2dp)" xfId="108" xr:uid="{652D95F2-22DB-4FDE-A13B-CE06E93B992D}"/>
    <cellStyle name="Number_Copy of ESA5 ForecastScaling" xfId="248" xr:uid="{7C28033C-4346-49DB-BA08-9E8734F3E0B1}"/>
    <cellStyle name="NWI%S" xfId="515" xr:uid="{98A8280A-F26F-49F1-B5FF-F430417CB92D}"/>
    <cellStyle name="Œ…‹æØ‚è [0.00]_GE 3 MINIMUM" xfId="249" xr:uid="{6DA9EAC8-CBD5-4D30-BC9A-22FE588E5E58}"/>
    <cellStyle name="Œ…‹æØ‚è_GE 3 MINIMUM" xfId="250" xr:uid="{B8B77101-8FD5-4FBB-9DB6-6FDA5570D7EE}"/>
    <cellStyle name="Ombrée" xfId="251" xr:uid="{DD7391A4-169C-45C3-912D-D8BAC7761345}"/>
    <cellStyle name="Onedec" xfId="171" xr:uid="{9DB33BF8-CA73-4386-BF65-73AB81B5321D}"/>
    <cellStyle name="Option" xfId="516" xr:uid="{F2A83920-7F31-463D-8B17-62391BAC1688}"/>
    <cellStyle name="Output 2" xfId="109" xr:uid="{FACD5FC9-4C21-41FC-8510-8DAE7433C851}"/>
    <cellStyle name="Page Number" xfId="110" xr:uid="{C9459646-F883-47D2-8B45-BC2922D3E863}"/>
    <cellStyle name="Pass" xfId="252" xr:uid="{7D7894BB-C178-4CC2-BE23-62F25FA61CE9}"/>
    <cellStyle name="PB Table Heading" xfId="517" xr:uid="{4931E043-FCD8-4A5C-9C65-93BB6F69DFE9}"/>
    <cellStyle name="PB Table Highlight1" xfId="518" xr:uid="{F40AA2CE-1E4C-49F2-A688-4304F862B3C5}"/>
    <cellStyle name="PB Table Highlight2" xfId="519" xr:uid="{7CACDB13-5BB6-4441-A269-FDE1033BB8B2}"/>
    <cellStyle name="PB Table Highlight3" xfId="520" xr:uid="{D2EF9A8E-0E4C-4071-954C-2BEF2E63EAF0}"/>
    <cellStyle name="PB Table Standard Row" xfId="521" xr:uid="{41F47919-6E54-4088-94A0-7F91BB2E5E14}"/>
    <cellStyle name="PB Table Subtotal Row" xfId="522" xr:uid="{86907BF9-FAE8-4431-A197-49C105618D60}"/>
    <cellStyle name="PB Table Total Row" xfId="523" xr:uid="{19E41643-CD21-40AC-9225-36CFB7020629}"/>
    <cellStyle name="pb_page_heading_LS" xfId="111" xr:uid="{F6C8DDA5-6924-4778-859A-7E5BF30E480A}"/>
    <cellStyle name="pc1" xfId="524" xr:uid="{741A7F38-338A-4A7A-89DF-E5E973F524E5}"/>
    <cellStyle name="PctLine" xfId="525" xr:uid="{325513AC-D415-4561-8B98-9B8989CBC235}"/>
    <cellStyle name="per.style" xfId="253" xr:uid="{7F15E2BC-5EA0-40A9-BE99-569B674E1CF5}"/>
    <cellStyle name="Percent" xfId="2" builtinId="5"/>
    <cellStyle name="Percent (0)" xfId="113" xr:uid="{D24084B7-1752-4770-A166-4008349F7464}"/>
    <cellStyle name="Percent (0.0)" xfId="526" xr:uid="{44A2C4D0-19A5-46C0-B32D-63D974A8EC6F}"/>
    <cellStyle name="Percent (0.00)" xfId="527" xr:uid="{AAF3A5F9-A5BA-459B-899A-213E58C67CD4}"/>
    <cellStyle name="Percent [0]" xfId="528" xr:uid="{9C30A6D9-5F07-44BF-8A90-A8E56F59DDAF}"/>
    <cellStyle name="Percent [1]" xfId="529" xr:uid="{35CDDC51-B41A-4895-B9E3-A72D16AA1DA1}"/>
    <cellStyle name="Percent [2]" xfId="254" xr:uid="{3FD33431-CAB3-4F0C-8009-9415B069F2BE}"/>
    <cellStyle name="Percent 0" xfId="530" xr:uid="{1F4B85D5-8600-4EBB-928E-DF5FC4D5EB62}"/>
    <cellStyle name="Percent 0.00" xfId="531" xr:uid="{894FD8F2-621F-491F-9557-022E96F95911}"/>
    <cellStyle name="Percent 0_3q" xfId="532" xr:uid="{0108F9C1-E872-44A1-8747-34873A0DBD11}"/>
    <cellStyle name="Percent 12" xfId="180" xr:uid="{73B5DFBF-582F-46C2-9416-552D4864E8DA}"/>
    <cellStyle name="Percent 2" xfId="19" xr:uid="{00000000-0005-0000-0000-000010000000}"/>
    <cellStyle name="Percent 2 2" xfId="306" xr:uid="{6D37BB51-8341-4646-B9BD-160FDC74FB79}"/>
    <cellStyle name="Percent 2 2 3" xfId="533" xr:uid="{303DA478-91D3-4F32-B19A-6878CDEA96A8}"/>
    <cellStyle name="Percent 2 3" xfId="114" xr:uid="{E6D34560-CC50-4547-AB46-56D3242BC84C}"/>
    <cellStyle name="Percent 2 4" xfId="534" xr:uid="{41C5768F-2D5E-4FB6-8448-95FE824E760C}"/>
    <cellStyle name="Percent 2 4 2" xfId="628" xr:uid="{E3F634AF-3298-4348-A55C-4B5462F48889}"/>
    <cellStyle name="Percent 3" xfId="172" xr:uid="{0D66F74F-7A89-4E3C-B27D-28677354BCF3}"/>
    <cellStyle name="Percent 3 2" xfId="317" xr:uid="{CDA7C043-E145-4F89-8239-A34636DDEA85}"/>
    <cellStyle name="Percent 4" xfId="625" xr:uid="{7E9DEF92-6F33-4748-BA02-26E3EC5B1A54}"/>
    <cellStyle name="Percent 5" xfId="17" xr:uid="{00000000-0005-0000-0000-000011000000}"/>
    <cellStyle name="Percent 5 4" xfId="535" xr:uid="{BAEFE0BF-13F9-42D4-A043-F7A0DA50D9C7}"/>
    <cellStyle name="Percent 6" xfId="112" xr:uid="{A270422C-9899-4CCE-BD86-30BE014CEEAC}"/>
    <cellStyle name="Percent 8" xfId="636" xr:uid="{05B0DCDF-AFDB-4992-B2A5-38696A995C56}"/>
    <cellStyle name="Percent 89" xfId="536" xr:uid="{91F3A556-778E-4121-A15E-B43D7A73BA1B}"/>
    <cellStyle name="Percent_Egypt" xfId="5" xr:uid="{00000000-0005-0000-0000-000012000000}"/>
    <cellStyle name="Percent_Financials" xfId="16" xr:uid="{00000000-0005-0000-0000-000013000000}"/>
    <cellStyle name="Percentage" xfId="115" xr:uid="{12DEF2E6-0D9E-43BC-8636-3DCDA024B86A}"/>
    <cellStyle name="Percentage (2dp)" xfId="116" xr:uid="{26CD7300-49E1-4FDB-B6BA-18EBC0095DB7}"/>
    <cellStyle name="Percentage_Copy of ESA5 ForecastScaling" xfId="255" xr:uid="{50EE1A34-17A8-461C-9D3F-3834A98A9BD8}"/>
    <cellStyle name="PercentChange" xfId="117" xr:uid="{D5FD8857-8FBF-4B9F-9FE6-7720B785D74B}"/>
    <cellStyle name="PercentPresentation" xfId="537" xr:uid="{257B6544-3A73-4F62-9722-B6B590F1FA2A}"/>
    <cellStyle name="PercentSales" xfId="538" xr:uid="{47D40BD6-C393-4D83-8AEE-D9E1768DB2DF}"/>
    <cellStyle name="PerShare" xfId="539" xr:uid="{25138ED2-451F-4C31-BEDD-AE9CEEF650CE}"/>
    <cellStyle name="POPS" xfId="540" xr:uid="{F3C0EEB7-E763-4967-94ED-AC703F3F827D}"/>
    <cellStyle name="Pourcentage [0]" xfId="256" xr:uid="{B27FED29-EC28-4540-96F3-D4E761F67747}"/>
    <cellStyle name="Pourcentage [00]" xfId="257" xr:uid="{277C5480-6886-4136-AC79-42BE0FA93F32}"/>
    <cellStyle name="Pourcentage_BASCULER" xfId="258" xr:uid="{837ACB4D-4B1B-4E6D-A9B5-BC55F1EFC695}"/>
    <cellStyle name="Presentation" xfId="541" xr:uid="{005975D3-7B2E-474A-98B4-B04D7F1E2806}"/>
    <cellStyle name="PresentationZero" xfId="542" xr:uid="{22E15F7F-0BB7-4901-B451-7E35B72584B1}"/>
    <cellStyle name="Price" xfId="543" xr:uid="{44161569-2E7C-49C6-B6E4-6339CE1F6FE1}"/>
    <cellStyle name="Pub percent" xfId="118" xr:uid="{6C278326-A909-4613-884B-A9F9AB8921CF}"/>
    <cellStyle name="r" xfId="544" xr:uid="{6614F6E6-ECC3-4A3D-9792-941BB72CABD9}"/>
    <cellStyle name="r_Canal Digital" xfId="545" xr:uid="{29E1CADE-729D-4F83-9BE5-6E2CEEFE768B}"/>
    <cellStyle name="r_Canal Digital_Deutsche" xfId="546" xr:uid="{ABBFE7BC-D896-45EF-A3F1-3194B002D1C0}"/>
    <cellStyle name="r_Canal Digital_Fixed" xfId="547" xr:uid="{13D8E6A9-E910-49AA-8949-FC57CCD10C7F}"/>
    <cellStyle name="r_Canal Digital_Fixed_Deutsche" xfId="548" xr:uid="{A28E241E-4AC0-4DEA-852C-E508F8D6FC96}"/>
    <cellStyle name="r_Canal Digital_Fixed_Innsamling" xfId="549" xr:uid="{5B8D9050-7F7A-4E44-89B5-3EC0027F93D7}"/>
    <cellStyle name="r_Canal Digital_Group" xfId="550" xr:uid="{C6D4790C-D678-403E-AD7B-B7571B58682C}"/>
    <cellStyle name="r_Canal Digital_Group_Deutsche" xfId="551" xr:uid="{8FECDB3A-4B7A-480C-9B5E-3836F827B6B7}"/>
    <cellStyle name="r_Canal Digital_Group_Innsamling" xfId="552" xr:uid="{5530C58A-D061-4FA7-8BAE-4576F8229F6A}"/>
    <cellStyle name="r_Canal Digital_Innsamling" xfId="553" xr:uid="{FF8F4153-8543-4221-A3B1-3D0C47DE83ED}"/>
    <cellStyle name="r_Canal Digital_Mobile" xfId="554" xr:uid="{EE7BCAF0-2FEA-42B0-8E4C-3F25404BF841}"/>
    <cellStyle name="r_Canal Digital_Mobile_Deutsche" xfId="555" xr:uid="{E9FEE4E8-8191-4688-81F6-D29356C7B321}"/>
    <cellStyle name="r_Canal Digital_Mobile_Innsamling" xfId="556" xr:uid="{34F0F969-13D0-47A7-99F3-3354FD7FF648}"/>
    <cellStyle name="r_Canal Digital_Special items" xfId="557" xr:uid="{EE6E4170-69DB-4B6B-ADF1-DFA9D9079D43}"/>
    <cellStyle name="r_Canal Digital_Special items_Deutsche" xfId="558" xr:uid="{AA3BD343-7A89-4278-AC77-136C4B54FD5F}"/>
    <cellStyle name="r_Canal Digital_Special items_Innsamling" xfId="559" xr:uid="{29F204AC-E3F3-423F-BD15-A5DB55BF797E}"/>
    <cellStyle name="r_tel" xfId="560" xr:uid="{242FA24E-FC2C-4334-A54B-E2BDA6B8E5C9}"/>
    <cellStyle name="r_tel.xls Chart 680" xfId="561" xr:uid="{3F61500F-E877-4C9A-81E5-7934A77A4603}"/>
    <cellStyle name="r_Telenor" xfId="562" xr:uid="{9ACBD5DB-25E8-42E2-BBD0-2C13647B2028}"/>
    <cellStyle name="RatioX" xfId="119" xr:uid="{A2DE93B4-E3BE-4474-850D-7C512321184B}"/>
    <cellStyle name="Red font" xfId="563" xr:uid="{F1545A5C-9395-4FCD-A2A9-607AB089D1CE}"/>
    <cellStyle name="Report" xfId="564" xr:uid="{3E353CAA-A4E1-411F-9C77-482B0E2E3321}"/>
    <cellStyle name="Right" xfId="565" xr:uid="{B957A331-B8E9-4AA4-8321-1B2A0F294301}"/>
    <cellStyle name="Rmess" xfId="120" xr:uid="{4AFE2309-689A-4975-B8C3-8973AE8C5BE1}"/>
    <cellStyle name="Rnumber" xfId="121" xr:uid="{ED6141DF-1074-4965-940E-3EA2B9E58D2D}"/>
    <cellStyle name="Rnumber 0d" xfId="122" xr:uid="{3362463A-7A6A-4C93-8898-B13D02938999}"/>
    <cellStyle name="Rnumber_eurosubs10" xfId="123" xr:uid="{823B4C90-BDFD-4610-863C-BAD16E593170}"/>
    <cellStyle name="Row and Column Total" xfId="259" xr:uid="{67EB5CB2-B5A7-4C11-A72F-62EC09315CD7}"/>
    <cellStyle name="Row Heading" xfId="260" xr:uid="{DD7F8BEE-3E2C-4BA7-BF42-86365B90919D}"/>
    <cellStyle name="Row Heading (No Wrap)" xfId="261" xr:uid="{08CEAD1B-8CC7-4435-8FB7-943E3A9F27C5}"/>
    <cellStyle name="Row Ignore" xfId="262" xr:uid="{3C524423-7D2E-4939-94CA-D0F817D73857}"/>
    <cellStyle name="Row label" xfId="124" xr:uid="{8EE76A63-2A60-49E2-9B6D-1BA4D08A25A4}"/>
    <cellStyle name="Row label (indent)" xfId="125" xr:uid="{21800145-768B-4B4D-AE70-A737D7B1F6C2}"/>
    <cellStyle name="Row Sub total" xfId="263" xr:uid="{BA759065-C2F9-4C1A-B610-EA96F20C25FB}"/>
    <cellStyle name="Row Title 1" xfId="264" xr:uid="{6331C9E4-6241-4773-A764-AF0CCD430E2E}"/>
    <cellStyle name="Row Title 2" xfId="265" xr:uid="{A41E0290-9EB2-4917-B27A-7C47462C124E}"/>
    <cellStyle name="Row Title 3" xfId="266" xr:uid="{6C689405-9ACC-4085-A868-7538637A7891}"/>
    <cellStyle name="Row Total" xfId="267" xr:uid="{CA2604E1-6493-4269-A20E-C25613B0D3A6}"/>
    <cellStyle name="Saisie" xfId="268" xr:uid="{2948FDD4-560A-4550-8994-532DE6B35C81}"/>
    <cellStyle name="Salomon Logo" xfId="566" xr:uid="{9F66E2AE-0D2F-452F-B3D6-E59BD9D5E7D4}"/>
    <cellStyle name="ScripFactor" xfId="126" xr:uid="{5DFFBC95-7673-406F-9712-0BFB99B585B5}"/>
    <cellStyle name="ScripFactor 2" xfId="269" xr:uid="{A2108669-9532-4936-AF81-5386AE0322B9}"/>
    <cellStyle name="ScripFactor_AXI" xfId="567" xr:uid="{D3F75F45-3E1B-4E02-8B18-1349E76F3A0F}"/>
    <cellStyle name="Section Title" xfId="270" xr:uid="{7CD7704D-DAA4-473C-829D-52411B952DF6}"/>
    <cellStyle name="SectionHeading" xfId="127" xr:uid="{A93AD45C-35DF-4C0B-8F95-9C17A259E998}"/>
    <cellStyle name="Separador de milhares_Projeção" xfId="271" xr:uid="{C3B1E7CF-579D-4311-8EC6-6149C18F03DE}"/>
    <cellStyle name="Share" xfId="173" xr:uid="{EB0097C0-CED5-489B-B04A-B3CCF8FFA821}"/>
    <cellStyle name="Shares" xfId="568" xr:uid="{09B63F40-37DA-4F34-82AC-6BA2B2F34C9F}"/>
    <cellStyle name="Single Accounting" xfId="272" xr:uid="{B7615BCB-F076-4E88-BA6C-C41B0A374E44}"/>
    <cellStyle name="Small Number" xfId="273" xr:uid="{B93A643F-E003-49BD-914C-BD5E2ED24419}"/>
    <cellStyle name="Small Percentage" xfId="274" xr:uid="{710BC531-74A2-4794-AFBC-96312F24CE23}"/>
    <cellStyle name="Source" xfId="174" xr:uid="{8A469DAB-EEE1-4B43-A9D2-6C4C5C574364}"/>
    <cellStyle name="Sous titre" xfId="275" xr:uid="{94D4FC42-EEA0-404F-85BB-5AD4E036C012}"/>
    <cellStyle name="Standaard_KPN" xfId="569" xr:uid="{3B945235-308C-459C-9785-9293C9E22E31}"/>
    <cellStyle name="Standard" xfId="276" xr:uid="{BB13862B-E130-4EE3-BA69-92CA22456D4A}"/>
    <cellStyle name="Strange" xfId="570" xr:uid="{2F6FC1C5-4C15-421B-9A49-ECB67CF24081}"/>
    <cellStyle name="STYL1 - Style1" xfId="571" xr:uid="{6D42E243-E38E-443A-A594-186FCB0F17BD}"/>
    <cellStyle name="Style 1" xfId="8" xr:uid="{00000000-0005-0000-0000-000014000000}"/>
    <cellStyle name="Style 1 2" xfId="18" xr:uid="{00000000-0005-0000-0000-000015000000}"/>
    <cellStyle name="subhead" xfId="277" xr:uid="{0EC5A97A-6523-4922-8A04-612C1F8EBAB5}"/>
    <cellStyle name="subhead 2" xfId="315" xr:uid="{0148B27A-D919-4FAB-813A-0734DBBEE042}"/>
    <cellStyle name="Subhead_AXI" xfId="572" xr:uid="{A93D1534-4C32-41C0-99FE-8FCA432F53C1}"/>
    <cellStyle name="Sub-total row" xfId="128" xr:uid="{7AFCC7BE-487E-4411-84DF-0CCC567FB636}"/>
    <cellStyle name="Table" xfId="573" xr:uid="{B20ADA99-540F-4B74-92A4-AFF7C05E2572}"/>
    <cellStyle name="Table finish row" xfId="129" xr:uid="{ED8209C8-B676-42E2-98C4-BF7A0519C35E}"/>
    <cellStyle name="Table Head" xfId="130" xr:uid="{59720343-D454-4469-823D-01E841F72437}"/>
    <cellStyle name="Table Head Aligned" xfId="131" xr:uid="{A84B1D82-7541-4A2A-BDD7-DA7665A6EA75}"/>
    <cellStyle name="Table Head Blue" xfId="132" xr:uid="{40BFDD1E-D6B4-457E-928B-C70ECB849CC5}"/>
    <cellStyle name="Table Head Green" xfId="133" xr:uid="{C71117FD-38A6-439E-80AB-E322D228E37D}"/>
    <cellStyle name="Table Head_Anastasia" xfId="574" xr:uid="{D6DDE335-0314-4526-9D32-23F7472CA323}"/>
    <cellStyle name="table numbers 1" xfId="278" xr:uid="{FD1641B3-B7B2-4D98-B333-35984A69AAFB}"/>
    <cellStyle name="Table numbers 2" xfId="279" xr:uid="{72C95B0C-2E76-472E-A637-774F761A49BE}"/>
    <cellStyle name="Table shading" xfId="134" xr:uid="{10AC5C87-A748-44CC-B772-1067A2597545}"/>
    <cellStyle name="Table Source" xfId="575" xr:uid="{31BC699C-8A80-4FD8-8F07-921FAFC47E33}"/>
    <cellStyle name="Table Text" xfId="576" xr:uid="{23AA01FE-83FD-4331-A38C-5D93D4DCC800}"/>
    <cellStyle name="Table Title" xfId="135" xr:uid="{D23A2A85-E5C3-41C9-9387-10B89A7BCD72}"/>
    <cellStyle name="Table unfinish row" xfId="136" xr:uid="{3FE34E47-68DA-46B8-A824-FD5F479213CC}"/>
    <cellStyle name="Table Units" xfId="137" xr:uid="{5B8D7F5E-8281-4312-81DD-688545492FA4}"/>
    <cellStyle name="Table unshading" xfId="138" xr:uid="{14EAD4B0-B191-4DD4-8B98-91A6BE14E2FA}"/>
    <cellStyle name="TableBorder" xfId="139" xr:uid="{F2CAAF32-1CE1-4E7C-8A86-A094A05A186E}"/>
    <cellStyle name="TableFootnotes" xfId="577" xr:uid="{32A26926-F795-4CD9-BB72-8166567A31CF}"/>
    <cellStyle name="TableTitleFormat" xfId="578" xr:uid="{E2A25787-BA74-45A4-A9E7-6CC0BB80A249}"/>
    <cellStyle name="Test [green]" xfId="579" xr:uid="{69A74F08-85FF-420B-B849-10F5DEB7142D}"/>
    <cellStyle name="test a style" xfId="140" xr:uid="{BB37CDD0-0589-4FC2-95CB-61969CC90DEB}"/>
    <cellStyle name="Text" xfId="141" xr:uid="{D6A40485-04C8-4E2E-8476-C7FDC7D1EBD7}"/>
    <cellStyle name="Text 1" xfId="580" xr:uid="{9FC671C1-92FD-46C2-9F31-4CCEEDEFB75A}"/>
    <cellStyle name="Text 2" xfId="581" xr:uid="{6EFBA35F-9330-4EFF-93B9-5E3724A7BA01}"/>
    <cellStyle name="Text Head 1" xfId="582" xr:uid="{1BD665DB-30D9-4D55-94FD-0583BB9CF50F}"/>
    <cellStyle name="Text Head 2" xfId="583" xr:uid="{D94D72A4-E304-4CED-B0D0-7C71087CB93C}"/>
    <cellStyle name="Text Indent 1" xfId="584" xr:uid="{77BCD7AE-CF44-44D6-AD26-9BB0AE8118F0}"/>
    <cellStyle name="Text Indent 2" xfId="585" xr:uid="{953AD67F-6860-4E79-91CC-46562B81E395}"/>
    <cellStyle name="TFCF" xfId="586" xr:uid="{79B44C78-7114-496B-B1E7-6FF6060525AB}"/>
    <cellStyle name="Time Strip" xfId="587" xr:uid="{4A23F62E-7B20-4A1C-A47D-DFA6BF5FCBF0}"/>
    <cellStyle name="times" xfId="588" xr:uid="{751003C8-C7EF-4F44-940F-F8112D80463E}"/>
    <cellStyle name="Times 10" xfId="280" xr:uid="{CAA297B7-0FB3-44E4-923D-819D938D66DB}"/>
    <cellStyle name="Times 12" xfId="281" xr:uid="{2072EFA3-AD1B-4EFD-9FB0-CBF17B81BCFD}"/>
    <cellStyle name="times_Deutsche" xfId="589" xr:uid="{30483577-8920-4E4D-A07E-7421FAFD3DA4}"/>
    <cellStyle name="Title 2" xfId="282" xr:uid="{FCB3FA23-8206-4CD4-86F7-FE95B28D5BA4}"/>
    <cellStyle name="Title 3" xfId="142" xr:uid="{A1D94675-1D3B-4EF2-B33E-34F0021E9EA2}"/>
    <cellStyle name="Title Heading" xfId="283" xr:uid="{2A9D7EC2-91AC-4323-BE6D-8DEDE49E2490}"/>
    <cellStyle name="Title II" xfId="590" xr:uid="{3113A55F-6275-4853-A563-2E7A4739999A}"/>
    <cellStyle name="title1" xfId="591" xr:uid="{795B3406-695A-43BC-B14B-8F7176A370FB}"/>
    <cellStyle name="Title2" xfId="592" xr:uid="{AD62FAAA-3B36-4E54-A91A-13E8436A0052}"/>
    <cellStyle name="TitleII" xfId="593" xr:uid="{3DF782CF-EEEC-4667-A42A-32D1B77796B6}"/>
    <cellStyle name="Titles" xfId="143" xr:uid="{5D37CFCD-1F65-416D-889A-24465AD7FDF4}"/>
    <cellStyle name="Titre" xfId="284" xr:uid="{2F608729-A352-49CE-B990-2A5D52103A32}"/>
    <cellStyle name="TOC 1" xfId="594" xr:uid="{C17D7582-DF3C-46BC-B489-F6097C6DD849}"/>
    <cellStyle name="TOC 2" xfId="595" xr:uid="{BDAC9F53-79BC-413E-9910-CF7C1562FAA9}"/>
    <cellStyle name="tom" xfId="596" xr:uid="{9450B17E-A6BB-4299-A06C-3852D90F7F60}"/>
    <cellStyle name="Topline" xfId="597" xr:uid="{0EDA1EDE-C4EA-4734-ADA9-093BFAA9FA80}"/>
    <cellStyle name="Total 2" xfId="144" xr:uid="{844D470A-C7A1-4E26-84AD-1ABE9C0806D2}"/>
    <cellStyle name="Total row" xfId="145" xr:uid="{A54801CD-6154-429F-B9D7-57D76DFEAF32}"/>
    <cellStyle name="Total row 2" xfId="285" xr:uid="{E052196B-B1B3-4DCC-9425-61E59786A882}"/>
    <cellStyle name="Total row_AXI" xfId="598" xr:uid="{E8304FCF-CBB3-4B47-BF61-257856561A39}"/>
    <cellStyle name="Tusenskille_Korrigeringer for å nettoføre VØT" xfId="599" xr:uid="{C8595E4E-6CCE-4454-B0C9-E1E5B7A79291}"/>
    <cellStyle name="Tusental (0)_1998-Q2" xfId="600" xr:uid="{8FF977D2-C10F-421E-85A8-06CBB2069C97}"/>
    <cellStyle name="Tusental_1998-Q4-NORGE" xfId="601" xr:uid="{BABBB953-8BAF-438E-AE5F-1F7D18CC8167}"/>
    <cellStyle name="ul" xfId="602" xr:uid="{6B18E8C0-3D15-4B77-B2CF-3AA5C805FBB6}"/>
    <cellStyle name="Unhighlight" xfId="146" xr:uid="{F27A33DF-AB83-4B65-B1C9-B3207651E4B4}"/>
    <cellStyle name="Unit" xfId="603" xr:uid="{B121432B-62B7-4A45-9A19-8B9133001BD1}"/>
    <cellStyle name="units" xfId="604" xr:uid="{3DD899E6-DE0F-47B3-90CC-3A3A1A48F48A}"/>
    <cellStyle name="Untotal row" xfId="147" xr:uid="{B1270832-AA76-4FA6-B8FB-F27B0E4F07EC}"/>
    <cellStyle name="Upload Only" xfId="175" xr:uid="{E0DA79AF-B8EE-43B5-A21C-B2B82CEE82D1}"/>
    <cellStyle name="Upload Only 2" xfId="286" xr:uid="{3727459D-EF93-4BE3-80AE-916B09B18DDE}"/>
    <cellStyle name="Validation" xfId="176" xr:uid="{9F9912DC-569A-4804-A4FF-E948292FBA9E}"/>
    <cellStyle name="Valuta (0)_1998-Q2" xfId="605" xr:uid="{01E04821-AB92-4E25-963B-49601B65259C}"/>
    <cellStyle name="web_ normal" xfId="606" xr:uid="{F3027E38-E718-442D-9103-D6E88042451E}"/>
    <cellStyle name="White" xfId="607" xr:uid="{CB181240-EC56-401B-A61A-839601844121}"/>
    <cellStyle name="WholeNumber" xfId="608" xr:uid="{EB76FDEB-9D23-477A-9E1B-1D94DD8A7DAD}"/>
    <cellStyle name="WP Header" xfId="287" xr:uid="{59E8DF3C-7E84-4A4D-9CEB-5644A395D9CE}"/>
    <cellStyle name="Year" xfId="148" xr:uid="{05CAE162-D529-4F4C-B0D5-62BEA24C4456}"/>
    <cellStyle name="Year 2" xfId="177" xr:uid="{0CE4F971-4EBE-4088-9EE2-5085DA1AB5F4}"/>
    <cellStyle name="Year_AXI" xfId="609" xr:uid="{894D4551-24C0-4EB2-B504-4AF6AB8D18E2}"/>
    <cellStyle name="Yen" xfId="288" xr:uid="{FBCC8729-DE2A-4EE8-87BD-BA9316EE4729}"/>
    <cellStyle name="고정소숫점" xfId="335" xr:uid="{3C661D2C-2672-4F55-BB4D-0D49A95E1621}"/>
    <cellStyle name="고정출력1" xfId="336" xr:uid="{06848DBB-FCC8-45AE-BCB7-DD8FF8725FF2}"/>
    <cellStyle name="고정출력2" xfId="337" xr:uid="{6E6A0304-D101-4CE9-BE42-94B910A114AD}"/>
    <cellStyle name="날짜" xfId="338" xr:uid="{ADDF3CBD-3BC2-460D-957C-3087C7231FED}"/>
    <cellStyle name="달러" xfId="339" xr:uid="{EF5B2BBC-B3A2-4AB3-929B-768408EDCF89}"/>
    <cellStyle name="똿뗦먛귟 [0.00]_PRODUCT DETAIL Q1_x0013_" xfId="610" xr:uid="{6E5D0CE7-E343-4F00-9428-548956174B39}"/>
    <cellStyle name="똿뗦먛귟_PRODUCT DETAIL Q1" xfId="340" xr:uid="{C2B79BD4-39DC-4975-AAC0-EA7C6F88D136}"/>
    <cellStyle name="믅됞 [0.00]_PRODUCT DETAIL Q1" xfId="341" xr:uid="{435390BE-9A20-4D32-9957-82029CDB9C3B}"/>
    <cellStyle name="믅됞_PRODUCT DETAIL Q1" xfId="342" xr:uid="{7B298F0A-A5D7-499C-8B3A-FF0807C75EB8}"/>
    <cellStyle name="백분율 2" xfId="299" xr:uid="{C09F1D26-3B37-4C7F-A87E-5FF26A3895BD}"/>
    <cellStyle name="백분율 3" xfId="300" xr:uid="{4F2D922E-06F8-44F5-A2FE-2F3516F20ED5}"/>
    <cellStyle name="뷭?_BOOKSHIP" xfId="343" xr:uid="{2CBF0189-4FB9-4E6D-94D5-E75E2E73289E}"/>
    <cellStyle name="쉼표 [0] 10" xfId="344" xr:uid="{F6BE6702-0D9B-42F5-ABDF-98212894DF65}"/>
    <cellStyle name="쉼표 [0] 2" xfId="301" xr:uid="{45FE25D1-FD0B-4656-B481-782D2E6C1D11}"/>
    <cellStyle name="쉼표 [0] 2 2" xfId="345" xr:uid="{A543B245-3826-426C-BD68-C6223D42916E}"/>
    <cellStyle name="쉼표 [0] 2 3" xfId="346" xr:uid="{92457DFA-57D2-4D7B-A629-536412FEFCB8}"/>
    <cellStyle name="쉼표 [0] 2 4" xfId="347" xr:uid="{1CBE7A11-BED4-4531-B200-2076A2B86307}"/>
    <cellStyle name="쉼표 [0] 2 5" xfId="348" xr:uid="{DFF288A5-67CB-4489-AFD9-F7290FA63AD9}"/>
    <cellStyle name="쉼표 [0] 2 6" xfId="349" xr:uid="{044CD9AC-44C9-4E27-BDA6-0C1A09A58FBE}"/>
    <cellStyle name="쉼표 [0] 2 7" xfId="350" xr:uid="{1B519D9B-BF25-4E98-8E40-AD20A31546C0}"/>
    <cellStyle name="쉼표 [0] 2 8" xfId="351" xr:uid="{AB2C2BA4-0A42-4E60-AAFE-16093424D6A3}"/>
    <cellStyle name="쉼표 [0] 2 9" xfId="352" xr:uid="{DE4DAB53-80D7-4587-ADA0-45BB657961D3}"/>
    <cellStyle name="쉼표 [0] 3" xfId="353" xr:uid="{A91F7108-0CA5-4861-BDD0-0A1111DB4367}"/>
    <cellStyle name="쉼표 [0] 36" xfId="354" xr:uid="{6B5C453C-0031-4418-8A42-1A5E294E0DA7}"/>
    <cellStyle name="쉼표 [0] 4" xfId="355" xr:uid="{6ADFE02B-1895-469D-AF07-FD80AEAD5DC8}"/>
    <cellStyle name="쉼표 [0] 5" xfId="356" xr:uid="{74BC0C39-4735-494E-AFB7-D6410BD7BDB5}"/>
    <cellStyle name="요약" xfId="357" xr:uid="{88074560-2E98-4034-A770-C68B700FFFF3}"/>
    <cellStyle name="원" xfId="302" xr:uid="{8A9C91FA-C79E-4916-9DD4-A2559A2872F7}"/>
    <cellStyle name="자리수" xfId="358" xr:uid="{F1B9C014-1F38-4D3E-8BEF-3AB0D3E5BEB1}"/>
    <cellStyle name="자리수0" xfId="359" xr:uid="{3F679A33-7E62-4D7F-AD9D-B14CBD7AC9B6}"/>
    <cellStyle name="콤마 [0]_ 94경비율" xfId="360" xr:uid="{1AE12A93-4B3B-41B0-A200-46129B87EE30}"/>
    <cellStyle name="콤마_ 94경비율" xfId="361" xr:uid="{FEFA8A0C-9ECB-43A6-8BB9-89F37522A47E}"/>
    <cellStyle name="통화 [0]_97년도 프로젝트 현황 (2)OMMENT" xfId="611" xr:uid="{A9BEDF89-52C6-40AB-893E-AED2D638B310}"/>
    <cellStyle name="통화_97년도 프로젝트 현황 (2) (2)OMMENT" xfId="612" xr:uid="{0BAF6AD4-03DE-4014-BD4E-FDEAA4D4B5FA}"/>
    <cellStyle name="트윈리버(주)" xfId="303" xr:uid="{8EAFF207-8B46-4596-BB9A-7C0631803073}"/>
    <cellStyle name="퍼센트" xfId="362" xr:uid="{E577470A-76B0-43D2-A831-15CBB0209648}"/>
    <cellStyle name="표준 2" xfId="304" xr:uid="{2A779AE0-48F0-468F-8CA6-B0B69734A262}"/>
    <cellStyle name="표준 2 2" xfId="364" xr:uid="{7D5E14C9-6AC6-4DB2-B2F9-3CC1A7FA2F7B}"/>
    <cellStyle name="표준 2 3" xfId="365" xr:uid="{BAA0B9CC-D089-4602-A235-65D78C80AF4C}"/>
    <cellStyle name="표준 2 4" xfId="366" xr:uid="{C46CA850-9E9F-488A-8EE2-804467A81F22}"/>
    <cellStyle name="표준 2 5" xfId="367" xr:uid="{46FF0AC8-5763-428A-8B28-078DF0260AC5}"/>
    <cellStyle name="표준 2 6" xfId="368" xr:uid="{C3D4E17F-DC3E-4CD6-94F0-5D9CF6A1A5CB}"/>
    <cellStyle name="표준 2 7" xfId="369" xr:uid="{0160A2A4-B84C-46E3-81A4-61EC8C42BA6F}"/>
    <cellStyle name="표준 2 8" xfId="370" xr:uid="{E16BE21A-350F-4883-90AA-8076BD2A70C3}"/>
    <cellStyle name="표준 2_Sheet1" xfId="363" xr:uid="{1C56AE73-9A71-4600-8233-51401AF38443}"/>
    <cellStyle name="표준 3" xfId="371" xr:uid="{412C02B6-F7EB-446D-B79E-A3A13A0C53F8}"/>
    <cellStyle name="표준 4" xfId="372" xr:uid="{3B415C04-D59D-41D0-9204-4C04F806D5F0}"/>
    <cellStyle name="표준 5" xfId="373" xr:uid="{E84E3F35-8809-4CDE-AA4C-1F6A89BD8CC9}"/>
    <cellStyle name="표준 6 2" xfId="374" xr:uid="{09419E4C-ADDA-4173-94A3-86F1EEB0E4DF}"/>
    <cellStyle name="표준 7 2" xfId="375" xr:uid="{901F252F-1182-4139-92FB-4609C8C5F3E4}"/>
    <cellStyle name="표준_2002 3Q results(release)_매출내역-2002(최종본)" xfId="308" xr:uid="{080BA3ED-A7A7-4F45-BBBB-3137FE837F9F}"/>
    <cellStyle name="합산" xfId="376" xr:uid="{E20A9541-3819-475C-B01F-7A6A9C61B235}"/>
    <cellStyle name="화폐기호" xfId="377" xr:uid="{1604796D-6B51-4199-B61E-A4B43902A96F}"/>
    <cellStyle name="화폐기호0" xfId="378" xr:uid="{98E82EEE-BC6D-410C-8992-05786AC8FDDD}"/>
    <cellStyle name="標準_各社別業績見込2" xfId="178" xr:uid="{8392B354-F418-45B8-91DE-884DE8B8DB1B}"/>
  </cellStyles>
  <dxfs count="1">
    <dxf>
      <font>
        <condense val="0"/>
        <extend val="0"/>
        <color auto="1"/>
      </font>
      <fill>
        <patternFill>
          <bgColor indexed="14"/>
        </patternFill>
      </fill>
    </dxf>
  </dxfs>
  <tableStyles count="0" defaultTableStyle="TableStyleMedium2" defaultPivotStyle="PivotStyleLight16"/>
  <colors>
    <mruColors>
      <color rgb="FFFFFFCC"/>
      <color rgb="FF0000FF"/>
      <color rgb="FFE7E7FF"/>
      <color rgb="FF263238"/>
      <color rgb="FFF9663E"/>
      <color rgb="FF1F4E78"/>
      <color rgb="FF333399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sheetMetadata" Target="metadata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theme" Target="theme/theme1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029214650260236E-2"/>
          <c:y val="3.3720930232558143E-2"/>
          <c:w val="0.9244037816565438"/>
          <c:h val="0.8709302325581395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[5]MASTER!$AF$161</c:f>
              <c:strCache>
                <c:ptCount val="1"/>
                <c:pt idx="0">
                  <c:v>Total Pay-TV Revs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[5]MASTER!$AG$160:$AK$160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cat>
          <c:val>
            <c:numRef>
              <c:f>[5]MASTER!$AG$161:$AH$161</c:f>
              <c:numCache>
                <c:formatCode>General</c:formatCode>
                <c:ptCount val="2"/>
                <c:pt idx="0">
                  <c:v>262.39999999999998</c:v>
                </c:pt>
                <c:pt idx="1">
                  <c:v>313.2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55-486D-AEE0-FB0DDBBF0E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7030440"/>
        <c:axId val="1047026520"/>
      </c:barChart>
      <c:catAx>
        <c:axId val="1047030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rebuchet MS"/>
                <a:ea typeface="Trebuchet MS"/>
                <a:cs typeface="Trebuchet MS"/>
              </a:defRPr>
            </a:pPr>
            <a:endParaRPr lang="en-US"/>
          </a:p>
        </c:txPr>
        <c:crossAx val="1047026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702652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rebuchet MS"/>
                <a:ea typeface="Trebuchet MS"/>
                <a:cs typeface="Trebuchet MS"/>
              </a:defRPr>
            </a:pPr>
            <a:endParaRPr lang="en-US"/>
          </a:p>
        </c:txPr>
        <c:crossAx val="104703044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2175094160975235"/>
          <c:y val="0.95930232558139539"/>
          <c:w val="0.19363409149453137"/>
          <c:h val="3.372093023255817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Trebuchet MS"/>
              <a:ea typeface="Trebuchet MS"/>
              <a:cs typeface="Trebuchet M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Trebuchet MS"/>
          <a:ea typeface="Trebuchet MS"/>
          <a:cs typeface="Trebuchet MS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914893617021277"/>
          <c:y val="7.0731707317073164E-2"/>
          <c:w val="0.85106382978723405"/>
          <c:h val="0.74634146341463414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[5]MASTER!$AG$102:$AL$102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</c:numCache>
            </c:numRef>
          </c:cat>
          <c:val>
            <c:numRef>
              <c:f>[5]MASTER!$AG$103:$AL$103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F9-4360-A561-1BF96F3F28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47031224"/>
        <c:axId val="1047021032"/>
      </c:lineChart>
      <c:catAx>
        <c:axId val="1047031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rebuchet MS"/>
                <a:ea typeface="Trebuchet MS"/>
                <a:cs typeface="Trebuchet MS"/>
              </a:defRPr>
            </a:pPr>
            <a:endParaRPr lang="en-US"/>
          </a:p>
        </c:txPr>
        <c:crossAx val="1047021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702103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rebuchet MS"/>
                <a:ea typeface="Trebuchet MS"/>
                <a:cs typeface="Trebuchet MS"/>
              </a:defRPr>
            </a:pPr>
            <a:endParaRPr lang="en-US"/>
          </a:p>
        </c:txPr>
        <c:crossAx val="104703122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6382978723404256"/>
          <c:y val="0.93170731707317078"/>
          <c:w val="0.15957446808510634"/>
          <c:h val="5.365853658536590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Trebuchet MS"/>
              <a:ea typeface="Trebuchet MS"/>
              <a:cs typeface="Trebuchet M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Trebuchet MS"/>
          <a:ea typeface="Trebuchet MS"/>
          <a:cs typeface="Trebuchet MS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032378312693278"/>
          <c:y val="7.0904730125795248E-2"/>
          <c:w val="0.87702403959350916"/>
          <c:h val="0.74572216166784655"/>
        </c:manualLayout>
      </c:layout>
      <c:barChart>
        <c:barDir val="col"/>
        <c:grouping val="clustered"/>
        <c:varyColors val="0"/>
        <c:ser>
          <c:idx val="0"/>
          <c:order val="1"/>
          <c:tx>
            <c:strRef>
              <c:f>[5]MASTER!$BJ$144:$BK$144</c:f>
              <c:strCache>
                <c:ptCount val="1"/>
                <c:pt idx="0">
                  <c:v>0 0</c:v>
                </c:pt>
              </c:strCache>
            </c:strRef>
          </c:tx>
          <c:spPr>
            <a:solidFill>
              <a:srgbClr val="9999FF"/>
            </a:solidFill>
            <a:ln w="3175">
              <a:solidFill>
                <a:srgbClr val="C0C0C0"/>
              </a:solidFill>
              <a:prstDash val="solid"/>
            </a:ln>
          </c:spPr>
          <c:invertIfNegative val="0"/>
          <c:cat>
            <c:numRef>
              <c:f>[5]MASTER!$BL$142:$BT$142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[5]MASTER!$BL$144:$BT$144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9C-4B73-8DE7-6B7A7D8C8C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7028088"/>
        <c:axId val="1047030832"/>
      </c:barChart>
      <c:lineChart>
        <c:grouping val="standard"/>
        <c:varyColors val="0"/>
        <c:ser>
          <c:idx val="1"/>
          <c:order val="0"/>
          <c:tx>
            <c:strRef>
              <c:f>[5]MASTER!$BJ$143:$BK$143</c:f>
              <c:strCache>
                <c:ptCount val="1"/>
                <c:pt idx="0">
                  <c:v>0 0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[5]MASTER!$BL$142:$BT$142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[5]MASTER!$BL$143:$BT$143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9C-4B73-8DE7-6B7A7D8C8C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7028088"/>
        <c:axId val="1047030832"/>
      </c:lineChart>
      <c:catAx>
        <c:axId val="1047028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rebuchet MS"/>
                <a:ea typeface="Trebuchet MS"/>
                <a:cs typeface="Trebuchet MS"/>
              </a:defRPr>
            </a:pPr>
            <a:endParaRPr lang="en-US"/>
          </a:p>
        </c:txPr>
        <c:crossAx val="10470308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0470308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rebuchet MS"/>
                <a:ea typeface="Trebuchet MS"/>
                <a:cs typeface="Trebuchet MS"/>
              </a:defRPr>
            </a:pPr>
            <a:endParaRPr lang="en-US"/>
          </a:p>
        </c:txPr>
        <c:crossAx val="104702808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8640827663532348"/>
          <c:y val="0.93154136906480822"/>
          <c:w val="0.50485521834042602"/>
          <c:h val="5.378973105134476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Trebuchet MS"/>
              <a:ea typeface="Trebuchet MS"/>
              <a:cs typeface="Trebuchet M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Trebuchet MS"/>
          <a:ea typeface="Trebuchet MS"/>
          <a:cs typeface="Trebuchet MS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Trebuchet MS"/>
                <a:ea typeface="Trebuchet MS"/>
                <a:cs typeface="Trebuchet MS"/>
              </a:defRPr>
            </a:pPr>
            <a:r>
              <a:rPr lang="en-GB"/>
              <a:t>Singapore dollar vs. Australian dollar</a:t>
            </a:r>
          </a:p>
        </c:rich>
      </c:tx>
      <c:layout>
        <c:manualLayout>
          <c:xMode val="edge"/>
          <c:yMode val="edge"/>
          <c:x val="0.31068012129551764"/>
          <c:y val="3.29113924050632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97412895385972"/>
          <c:y val="0.18734177215189873"/>
          <c:w val="0.85760653318184477"/>
          <c:h val="0.59240506329113929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[5]MASTER!$BY$201:$BY$495</c:f>
              <c:numCache>
                <c:formatCode>General</c:formatCode>
                <c:ptCount val="295"/>
                <c:pt idx="6">
                  <c:v>39937</c:v>
                </c:pt>
                <c:pt idx="7">
                  <c:v>39938</c:v>
                </c:pt>
                <c:pt idx="8">
                  <c:v>39939</c:v>
                </c:pt>
                <c:pt idx="9">
                  <c:v>39940</c:v>
                </c:pt>
                <c:pt idx="10">
                  <c:v>39941</c:v>
                </c:pt>
                <c:pt idx="11">
                  <c:v>39942</c:v>
                </c:pt>
                <c:pt idx="12">
                  <c:v>39943</c:v>
                </c:pt>
                <c:pt idx="13">
                  <c:v>39944</c:v>
                </c:pt>
                <c:pt idx="14">
                  <c:v>39945</c:v>
                </c:pt>
                <c:pt idx="15">
                  <c:v>39946</c:v>
                </c:pt>
                <c:pt idx="16">
                  <c:v>39947</c:v>
                </c:pt>
                <c:pt idx="17">
                  <c:v>39948</c:v>
                </c:pt>
                <c:pt idx="18">
                  <c:v>39949</c:v>
                </c:pt>
                <c:pt idx="19">
                  <c:v>39950</c:v>
                </c:pt>
                <c:pt idx="26">
                  <c:v>39957</c:v>
                </c:pt>
                <c:pt idx="27">
                  <c:v>39958</c:v>
                </c:pt>
                <c:pt idx="28">
                  <c:v>39959</c:v>
                </c:pt>
                <c:pt idx="29">
                  <c:v>39960</c:v>
                </c:pt>
                <c:pt idx="30">
                  <c:v>39961</c:v>
                </c:pt>
                <c:pt idx="31">
                  <c:v>39962</c:v>
                </c:pt>
                <c:pt idx="32">
                  <c:v>39963</c:v>
                </c:pt>
                <c:pt idx="33">
                  <c:v>39964</c:v>
                </c:pt>
                <c:pt idx="34">
                  <c:v>39965</c:v>
                </c:pt>
                <c:pt idx="35">
                  <c:v>39966</c:v>
                </c:pt>
                <c:pt idx="36">
                  <c:v>39967</c:v>
                </c:pt>
                <c:pt idx="37">
                  <c:v>39968</c:v>
                </c:pt>
                <c:pt idx="38">
                  <c:v>39969</c:v>
                </c:pt>
                <c:pt idx="39">
                  <c:v>39970</c:v>
                </c:pt>
                <c:pt idx="40">
                  <c:v>39971</c:v>
                </c:pt>
                <c:pt idx="41">
                  <c:v>39972</c:v>
                </c:pt>
                <c:pt idx="42">
                  <c:v>39973</c:v>
                </c:pt>
                <c:pt idx="43">
                  <c:v>39974</c:v>
                </c:pt>
                <c:pt idx="44">
                  <c:v>39975</c:v>
                </c:pt>
                <c:pt idx="45">
                  <c:v>39976</c:v>
                </c:pt>
                <c:pt idx="46">
                  <c:v>39977</c:v>
                </c:pt>
                <c:pt idx="47">
                  <c:v>39978</c:v>
                </c:pt>
                <c:pt idx="48">
                  <c:v>39979</c:v>
                </c:pt>
                <c:pt idx="49">
                  <c:v>39980</c:v>
                </c:pt>
                <c:pt idx="50">
                  <c:v>39981</c:v>
                </c:pt>
                <c:pt idx="51">
                  <c:v>39982</c:v>
                </c:pt>
                <c:pt idx="52">
                  <c:v>39983</c:v>
                </c:pt>
                <c:pt idx="53">
                  <c:v>39984</c:v>
                </c:pt>
                <c:pt idx="54">
                  <c:v>39985</c:v>
                </c:pt>
                <c:pt idx="55">
                  <c:v>39986</c:v>
                </c:pt>
                <c:pt idx="56">
                  <c:v>39987</c:v>
                </c:pt>
                <c:pt idx="57">
                  <c:v>39988</c:v>
                </c:pt>
                <c:pt idx="58">
                  <c:v>39989</c:v>
                </c:pt>
                <c:pt idx="59">
                  <c:v>39990</c:v>
                </c:pt>
                <c:pt idx="60">
                  <c:v>39991</c:v>
                </c:pt>
                <c:pt idx="61">
                  <c:v>39992</c:v>
                </c:pt>
                <c:pt idx="62">
                  <c:v>39993</c:v>
                </c:pt>
                <c:pt idx="63">
                  <c:v>39994</c:v>
                </c:pt>
                <c:pt idx="64">
                  <c:v>39995</c:v>
                </c:pt>
                <c:pt idx="65">
                  <c:v>39996</c:v>
                </c:pt>
                <c:pt idx="66">
                  <c:v>39997</c:v>
                </c:pt>
                <c:pt idx="67">
                  <c:v>39998</c:v>
                </c:pt>
                <c:pt idx="68">
                  <c:v>39999</c:v>
                </c:pt>
                <c:pt idx="69">
                  <c:v>40000</c:v>
                </c:pt>
                <c:pt idx="70">
                  <c:v>0</c:v>
                </c:pt>
                <c:pt idx="71">
                  <c:v>40001</c:v>
                </c:pt>
                <c:pt idx="72">
                  <c:v>0</c:v>
                </c:pt>
                <c:pt idx="73">
                  <c:v>0</c:v>
                </c:pt>
                <c:pt idx="74">
                  <c:v>40002</c:v>
                </c:pt>
                <c:pt idx="75">
                  <c:v>40003</c:v>
                </c:pt>
                <c:pt idx="76">
                  <c:v>40004</c:v>
                </c:pt>
                <c:pt idx="77">
                  <c:v>40005</c:v>
                </c:pt>
                <c:pt idx="78">
                  <c:v>40006</c:v>
                </c:pt>
                <c:pt idx="79">
                  <c:v>40007</c:v>
                </c:pt>
                <c:pt idx="80">
                  <c:v>40008</c:v>
                </c:pt>
                <c:pt idx="81">
                  <c:v>40009</c:v>
                </c:pt>
                <c:pt idx="82">
                  <c:v>40010</c:v>
                </c:pt>
                <c:pt idx="83">
                  <c:v>40011</c:v>
                </c:pt>
                <c:pt idx="84">
                  <c:v>40012</c:v>
                </c:pt>
                <c:pt idx="85">
                  <c:v>40013</c:v>
                </c:pt>
                <c:pt idx="86">
                  <c:v>40014</c:v>
                </c:pt>
                <c:pt idx="87">
                  <c:v>40015</c:v>
                </c:pt>
                <c:pt idx="88">
                  <c:v>40016</c:v>
                </c:pt>
                <c:pt idx="89">
                  <c:v>40017</c:v>
                </c:pt>
                <c:pt idx="90">
                  <c:v>40018</c:v>
                </c:pt>
                <c:pt idx="91">
                  <c:v>40019</c:v>
                </c:pt>
                <c:pt idx="92">
                  <c:v>40020</c:v>
                </c:pt>
                <c:pt idx="93">
                  <c:v>40021</c:v>
                </c:pt>
                <c:pt idx="94">
                  <c:v>40022</c:v>
                </c:pt>
                <c:pt idx="95">
                  <c:v>40023</c:v>
                </c:pt>
                <c:pt idx="96">
                  <c:v>40024</c:v>
                </c:pt>
                <c:pt idx="97">
                  <c:v>40025</c:v>
                </c:pt>
                <c:pt idx="98">
                  <c:v>40026</c:v>
                </c:pt>
                <c:pt idx="99">
                  <c:v>40027</c:v>
                </c:pt>
                <c:pt idx="100">
                  <c:v>40028</c:v>
                </c:pt>
                <c:pt idx="101">
                  <c:v>40029</c:v>
                </c:pt>
                <c:pt idx="102">
                  <c:v>40030</c:v>
                </c:pt>
                <c:pt idx="103">
                  <c:v>40031</c:v>
                </c:pt>
                <c:pt idx="104">
                  <c:v>40032</c:v>
                </c:pt>
                <c:pt idx="105">
                  <c:v>40033</c:v>
                </c:pt>
                <c:pt idx="106">
                  <c:v>40034</c:v>
                </c:pt>
                <c:pt idx="107">
                  <c:v>40035</c:v>
                </c:pt>
                <c:pt idx="108">
                  <c:v>40036</c:v>
                </c:pt>
                <c:pt idx="109">
                  <c:v>0</c:v>
                </c:pt>
                <c:pt idx="110">
                  <c:v>0</c:v>
                </c:pt>
                <c:pt idx="111">
                  <c:v>40037</c:v>
                </c:pt>
                <c:pt idx="112">
                  <c:v>40038</c:v>
                </c:pt>
                <c:pt idx="113">
                  <c:v>40039</c:v>
                </c:pt>
                <c:pt idx="114">
                  <c:v>40040</c:v>
                </c:pt>
                <c:pt idx="115">
                  <c:v>40041</c:v>
                </c:pt>
                <c:pt idx="116">
                  <c:v>40042</c:v>
                </c:pt>
                <c:pt idx="117">
                  <c:v>40043</c:v>
                </c:pt>
                <c:pt idx="118">
                  <c:v>40044</c:v>
                </c:pt>
                <c:pt idx="119">
                  <c:v>40045</c:v>
                </c:pt>
                <c:pt idx="120">
                  <c:v>40046</c:v>
                </c:pt>
                <c:pt idx="121">
                  <c:v>0</c:v>
                </c:pt>
                <c:pt idx="122">
                  <c:v>40048</c:v>
                </c:pt>
                <c:pt idx="123">
                  <c:v>40049</c:v>
                </c:pt>
                <c:pt idx="124">
                  <c:v>40050</c:v>
                </c:pt>
                <c:pt idx="125">
                  <c:v>40051</c:v>
                </c:pt>
                <c:pt idx="126">
                  <c:v>40052</c:v>
                </c:pt>
                <c:pt idx="127">
                  <c:v>40053</c:v>
                </c:pt>
                <c:pt idx="128">
                  <c:v>40054</c:v>
                </c:pt>
                <c:pt idx="129">
                  <c:v>40055</c:v>
                </c:pt>
                <c:pt idx="130">
                  <c:v>40056</c:v>
                </c:pt>
                <c:pt idx="131">
                  <c:v>40057</c:v>
                </c:pt>
                <c:pt idx="132">
                  <c:v>40058</c:v>
                </c:pt>
                <c:pt idx="133">
                  <c:v>40059</c:v>
                </c:pt>
                <c:pt idx="134">
                  <c:v>40060</c:v>
                </c:pt>
                <c:pt idx="135">
                  <c:v>40061</c:v>
                </c:pt>
                <c:pt idx="136">
                  <c:v>40062</c:v>
                </c:pt>
                <c:pt idx="137">
                  <c:v>40063</c:v>
                </c:pt>
                <c:pt idx="138">
                  <c:v>40064</c:v>
                </c:pt>
                <c:pt idx="139">
                  <c:v>40065</c:v>
                </c:pt>
                <c:pt idx="140">
                  <c:v>40066</c:v>
                </c:pt>
                <c:pt idx="141">
                  <c:v>40067</c:v>
                </c:pt>
                <c:pt idx="142">
                  <c:v>40068</c:v>
                </c:pt>
                <c:pt idx="143">
                  <c:v>40069</c:v>
                </c:pt>
                <c:pt idx="144">
                  <c:v>40070</c:v>
                </c:pt>
                <c:pt idx="145">
                  <c:v>40071</c:v>
                </c:pt>
                <c:pt idx="146">
                  <c:v>40072</c:v>
                </c:pt>
                <c:pt idx="147">
                  <c:v>40073</c:v>
                </c:pt>
                <c:pt idx="148">
                  <c:v>40074</c:v>
                </c:pt>
                <c:pt idx="149">
                  <c:v>40075</c:v>
                </c:pt>
                <c:pt idx="150">
                  <c:v>40076</c:v>
                </c:pt>
                <c:pt idx="151">
                  <c:v>40077</c:v>
                </c:pt>
                <c:pt idx="152">
                  <c:v>40078</c:v>
                </c:pt>
                <c:pt idx="153">
                  <c:v>40079</c:v>
                </c:pt>
                <c:pt idx="154">
                  <c:v>40080</c:v>
                </c:pt>
                <c:pt idx="155">
                  <c:v>40081</c:v>
                </c:pt>
                <c:pt idx="156">
                  <c:v>40082</c:v>
                </c:pt>
                <c:pt idx="157">
                  <c:v>40083</c:v>
                </c:pt>
                <c:pt idx="158">
                  <c:v>40084</c:v>
                </c:pt>
                <c:pt idx="159">
                  <c:v>40085</c:v>
                </c:pt>
                <c:pt idx="160">
                  <c:v>40086</c:v>
                </c:pt>
                <c:pt idx="161">
                  <c:v>40087</c:v>
                </c:pt>
                <c:pt idx="162">
                  <c:v>40088</c:v>
                </c:pt>
                <c:pt idx="163">
                  <c:v>40089</c:v>
                </c:pt>
                <c:pt idx="164">
                  <c:v>40090</c:v>
                </c:pt>
                <c:pt idx="165">
                  <c:v>40091</c:v>
                </c:pt>
                <c:pt idx="166">
                  <c:v>40092</c:v>
                </c:pt>
                <c:pt idx="167">
                  <c:v>40093</c:v>
                </c:pt>
                <c:pt idx="168">
                  <c:v>40094</c:v>
                </c:pt>
                <c:pt idx="169">
                  <c:v>40095</c:v>
                </c:pt>
                <c:pt idx="170">
                  <c:v>40096</c:v>
                </c:pt>
                <c:pt idx="171">
                  <c:v>40097</c:v>
                </c:pt>
                <c:pt idx="172">
                  <c:v>40098</c:v>
                </c:pt>
                <c:pt idx="173">
                  <c:v>40099</c:v>
                </c:pt>
                <c:pt idx="174">
                  <c:v>40100</c:v>
                </c:pt>
                <c:pt idx="175">
                  <c:v>40101</c:v>
                </c:pt>
                <c:pt idx="176">
                  <c:v>40102</c:v>
                </c:pt>
                <c:pt idx="177">
                  <c:v>40103</c:v>
                </c:pt>
                <c:pt idx="178">
                  <c:v>40104</c:v>
                </c:pt>
                <c:pt idx="179">
                  <c:v>40105</c:v>
                </c:pt>
                <c:pt idx="180">
                  <c:v>40106</c:v>
                </c:pt>
                <c:pt idx="181">
                  <c:v>40107</c:v>
                </c:pt>
                <c:pt idx="182">
                  <c:v>40108</c:v>
                </c:pt>
                <c:pt idx="183">
                  <c:v>40109</c:v>
                </c:pt>
                <c:pt idx="184">
                  <c:v>40110</c:v>
                </c:pt>
                <c:pt idx="185">
                  <c:v>40111</c:v>
                </c:pt>
                <c:pt idx="186">
                  <c:v>40112</c:v>
                </c:pt>
                <c:pt idx="187">
                  <c:v>40113</c:v>
                </c:pt>
                <c:pt idx="188">
                  <c:v>40114</c:v>
                </c:pt>
                <c:pt idx="189">
                  <c:v>40115</c:v>
                </c:pt>
                <c:pt idx="190">
                  <c:v>40116</c:v>
                </c:pt>
                <c:pt idx="191">
                  <c:v>40117</c:v>
                </c:pt>
                <c:pt idx="192">
                  <c:v>40118</c:v>
                </c:pt>
                <c:pt idx="193">
                  <c:v>40119</c:v>
                </c:pt>
                <c:pt idx="194">
                  <c:v>40120</c:v>
                </c:pt>
                <c:pt idx="195">
                  <c:v>40121</c:v>
                </c:pt>
                <c:pt idx="196">
                  <c:v>40122</c:v>
                </c:pt>
                <c:pt idx="197">
                  <c:v>40123</c:v>
                </c:pt>
                <c:pt idx="198">
                  <c:v>40124</c:v>
                </c:pt>
                <c:pt idx="199">
                  <c:v>40125</c:v>
                </c:pt>
                <c:pt idx="200">
                  <c:v>40126</c:v>
                </c:pt>
                <c:pt idx="201">
                  <c:v>40127</c:v>
                </c:pt>
                <c:pt idx="202">
                  <c:v>40128</c:v>
                </c:pt>
                <c:pt idx="203">
                  <c:v>40129</c:v>
                </c:pt>
                <c:pt idx="204">
                  <c:v>40130</c:v>
                </c:pt>
                <c:pt idx="205">
                  <c:v>40131</c:v>
                </c:pt>
                <c:pt idx="206">
                  <c:v>40132</c:v>
                </c:pt>
                <c:pt idx="207">
                  <c:v>40133</c:v>
                </c:pt>
                <c:pt idx="208">
                  <c:v>40134</c:v>
                </c:pt>
                <c:pt idx="209">
                  <c:v>40135</c:v>
                </c:pt>
                <c:pt idx="210">
                  <c:v>40136</c:v>
                </c:pt>
                <c:pt idx="211">
                  <c:v>40137</c:v>
                </c:pt>
                <c:pt idx="212">
                  <c:v>40138</c:v>
                </c:pt>
                <c:pt idx="213">
                  <c:v>40139</c:v>
                </c:pt>
                <c:pt idx="214">
                  <c:v>40140</c:v>
                </c:pt>
                <c:pt idx="215">
                  <c:v>40141</c:v>
                </c:pt>
                <c:pt idx="216">
                  <c:v>40142</c:v>
                </c:pt>
                <c:pt idx="217">
                  <c:v>40143</c:v>
                </c:pt>
                <c:pt idx="218">
                  <c:v>40144</c:v>
                </c:pt>
                <c:pt idx="219">
                  <c:v>40145</c:v>
                </c:pt>
                <c:pt idx="220">
                  <c:v>40146</c:v>
                </c:pt>
                <c:pt idx="221">
                  <c:v>40147</c:v>
                </c:pt>
                <c:pt idx="222">
                  <c:v>40148</c:v>
                </c:pt>
                <c:pt idx="223">
                  <c:v>40149</c:v>
                </c:pt>
                <c:pt idx="224">
                  <c:v>40150</c:v>
                </c:pt>
                <c:pt idx="225">
                  <c:v>40151</c:v>
                </c:pt>
                <c:pt idx="226">
                  <c:v>40152</c:v>
                </c:pt>
                <c:pt idx="227">
                  <c:v>40153</c:v>
                </c:pt>
                <c:pt idx="228">
                  <c:v>40154</c:v>
                </c:pt>
                <c:pt idx="229">
                  <c:v>40155</c:v>
                </c:pt>
                <c:pt idx="230">
                  <c:v>40156</c:v>
                </c:pt>
                <c:pt idx="231">
                  <c:v>40157</c:v>
                </c:pt>
                <c:pt idx="232">
                  <c:v>40158</c:v>
                </c:pt>
                <c:pt idx="233">
                  <c:v>40159</c:v>
                </c:pt>
                <c:pt idx="234">
                  <c:v>40160</c:v>
                </c:pt>
                <c:pt idx="235">
                  <c:v>40161</c:v>
                </c:pt>
                <c:pt idx="236">
                  <c:v>40162</c:v>
                </c:pt>
                <c:pt idx="237">
                  <c:v>40163</c:v>
                </c:pt>
                <c:pt idx="238">
                  <c:v>40164</c:v>
                </c:pt>
                <c:pt idx="239">
                  <c:v>40165</c:v>
                </c:pt>
                <c:pt idx="240">
                  <c:v>40166</c:v>
                </c:pt>
                <c:pt idx="241">
                  <c:v>40167</c:v>
                </c:pt>
                <c:pt idx="242">
                  <c:v>40168</c:v>
                </c:pt>
                <c:pt idx="243">
                  <c:v>40169</c:v>
                </c:pt>
                <c:pt idx="244">
                  <c:v>40170</c:v>
                </c:pt>
                <c:pt idx="245">
                  <c:v>40171</c:v>
                </c:pt>
                <c:pt idx="246">
                  <c:v>40172</c:v>
                </c:pt>
                <c:pt idx="247">
                  <c:v>40173</c:v>
                </c:pt>
                <c:pt idx="248">
                  <c:v>40174</c:v>
                </c:pt>
                <c:pt idx="249">
                  <c:v>40175</c:v>
                </c:pt>
                <c:pt idx="250">
                  <c:v>40176</c:v>
                </c:pt>
                <c:pt idx="251">
                  <c:v>40177</c:v>
                </c:pt>
                <c:pt idx="252">
                  <c:v>40178</c:v>
                </c:pt>
                <c:pt idx="253">
                  <c:v>40179</c:v>
                </c:pt>
                <c:pt idx="254">
                  <c:v>40180</c:v>
                </c:pt>
                <c:pt idx="255">
                  <c:v>40181</c:v>
                </c:pt>
                <c:pt idx="256">
                  <c:v>40182</c:v>
                </c:pt>
                <c:pt idx="257">
                  <c:v>40183</c:v>
                </c:pt>
                <c:pt idx="258">
                  <c:v>40184</c:v>
                </c:pt>
                <c:pt idx="259">
                  <c:v>40185</c:v>
                </c:pt>
                <c:pt idx="260">
                  <c:v>40186</c:v>
                </c:pt>
                <c:pt idx="261">
                  <c:v>40189</c:v>
                </c:pt>
                <c:pt idx="262">
                  <c:v>40190</c:v>
                </c:pt>
                <c:pt idx="263">
                  <c:v>40191</c:v>
                </c:pt>
                <c:pt idx="264">
                  <c:v>40192</c:v>
                </c:pt>
                <c:pt idx="265">
                  <c:v>40193</c:v>
                </c:pt>
                <c:pt idx="266">
                  <c:v>40196</c:v>
                </c:pt>
                <c:pt idx="267">
                  <c:v>40197</c:v>
                </c:pt>
                <c:pt idx="268">
                  <c:v>40198</c:v>
                </c:pt>
                <c:pt idx="269">
                  <c:v>40199</c:v>
                </c:pt>
                <c:pt idx="270">
                  <c:v>40200</c:v>
                </c:pt>
                <c:pt idx="271">
                  <c:v>40203</c:v>
                </c:pt>
                <c:pt idx="272">
                  <c:v>40205</c:v>
                </c:pt>
                <c:pt idx="273">
                  <c:v>40206</c:v>
                </c:pt>
                <c:pt idx="274">
                  <c:v>40207</c:v>
                </c:pt>
                <c:pt idx="275">
                  <c:v>40210</c:v>
                </c:pt>
                <c:pt idx="276">
                  <c:v>40211</c:v>
                </c:pt>
                <c:pt idx="277">
                  <c:v>40212</c:v>
                </c:pt>
                <c:pt idx="278">
                  <c:v>40213</c:v>
                </c:pt>
                <c:pt idx="279">
                  <c:v>40214</c:v>
                </c:pt>
                <c:pt idx="280">
                  <c:v>40217</c:v>
                </c:pt>
                <c:pt idx="281">
                  <c:v>40218</c:v>
                </c:pt>
                <c:pt idx="282">
                  <c:v>40219</c:v>
                </c:pt>
                <c:pt idx="283">
                  <c:v>40220</c:v>
                </c:pt>
                <c:pt idx="284">
                  <c:v>40221</c:v>
                </c:pt>
                <c:pt idx="285">
                  <c:v>40224</c:v>
                </c:pt>
                <c:pt idx="286">
                  <c:v>40225</c:v>
                </c:pt>
                <c:pt idx="287">
                  <c:v>40226</c:v>
                </c:pt>
                <c:pt idx="288">
                  <c:v>40227</c:v>
                </c:pt>
                <c:pt idx="289">
                  <c:v>40228</c:v>
                </c:pt>
                <c:pt idx="290">
                  <c:v>40231</c:v>
                </c:pt>
                <c:pt idx="291">
                  <c:v>40232</c:v>
                </c:pt>
                <c:pt idx="292">
                  <c:v>40233</c:v>
                </c:pt>
                <c:pt idx="293">
                  <c:v>40234</c:v>
                </c:pt>
                <c:pt idx="294">
                  <c:v>40235</c:v>
                </c:pt>
              </c:numCache>
            </c:numRef>
          </c:cat>
          <c:val>
            <c:numRef>
              <c:f>[5]MASTER!$BZ$201:$BZ$495</c:f>
              <c:numCache>
                <c:formatCode>General</c:formatCode>
                <c:ptCount val="295"/>
                <c:pt idx="6">
                  <c:v>1.0096000000000001</c:v>
                </c:pt>
                <c:pt idx="7">
                  <c:v>1.0007999999999999</c:v>
                </c:pt>
                <c:pt idx="8">
                  <c:v>0.98550000000000004</c:v>
                </c:pt>
                <c:pt idx="9">
                  <c:v>1.002</c:v>
                </c:pt>
                <c:pt idx="10">
                  <c:v>1.0123</c:v>
                </c:pt>
                <c:pt idx="11">
                  <c:v>0.99250000000000005</c:v>
                </c:pt>
                <c:pt idx="12">
                  <c:v>0.9839</c:v>
                </c:pt>
                <c:pt idx="13">
                  <c:v>0.98560000000000003</c:v>
                </c:pt>
                <c:pt idx="14">
                  <c:v>0.98099999999999998</c:v>
                </c:pt>
                <c:pt idx="15">
                  <c:v>0.99360000000000004</c:v>
                </c:pt>
                <c:pt idx="16">
                  <c:v>1.0008999999999999</c:v>
                </c:pt>
                <c:pt idx="17">
                  <c:v>0.99380000000000002</c:v>
                </c:pt>
                <c:pt idx="18">
                  <c:v>0.9708</c:v>
                </c:pt>
                <c:pt idx="19">
                  <c:v>0.9577</c:v>
                </c:pt>
                <c:pt idx="26">
                  <c:v>0.98850000000000005</c:v>
                </c:pt>
                <c:pt idx="27">
                  <c:v>0.99239999999999995</c:v>
                </c:pt>
                <c:pt idx="28">
                  <c:v>0.99229999999999996</c:v>
                </c:pt>
                <c:pt idx="29">
                  <c:v>0.98629999999999995</c:v>
                </c:pt>
                <c:pt idx="30">
                  <c:v>0.97919999999999996</c:v>
                </c:pt>
                <c:pt idx="31">
                  <c:v>0.9768</c:v>
                </c:pt>
                <c:pt idx="32">
                  <c:v>0.9829</c:v>
                </c:pt>
                <c:pt idx="33">
                  <c:v>0.98219999999999996</c:v>
                </c:pt>
                <c:pt idx="34">
                  <c:v>0.98909999999999998</c:v>
                </c:pt>
                <c:pt idx="35">
                  <c:v>0.98850000000000005</c:v>
                </c:pt>
                <c:pt idx="36">
                  <c:v>0.996</c:v>
                </c:pt>
                <c:pt idx="37">
                  <c:v>0.99750000000000005</c:v>
                </c:pt>
                <c:pt idx="38">
                  <c:v>0.99460000000000004</c:v>
                </c:pt>
                <c:pt idx="39">
                  <c:v>0.98329999999999995</c:v>
                </c:pt>
                <c:pt idx="40">
                  <c:v>0.99080000000000001</c:v>
                </c:pt>
                <c:pt idx="41">
                  <c:v>0.98309999999999997</c:v>
                </c:pt>
                <c:pt idx="42">
                  <c:v>0.99850000000000005</c:v>
                </c:pt>
                <c:pt idx="43">
                  <c:v>0.996</c:v>
                </c:pt>
                <c:pt idx="44">
                  <c:v>0.98899999999999999</c:v>
                </c:pt>
                <c:pt idx="45">
                  <c:v>0.9849</c:v>
                </c:pt>
                <c:pt idx="46">
                  <c:v>0.98850000000000005</c:v>
                </c:pt>
                <c:pt idx="47">
                  <c:v>0.99129999999999996</c:v>
                </c:pt>
                <c:pt idx="48">
                  <c:v>1.0052000000000001</c:v>
                </c:pt>
                <c:pt idx="49">
                  <c:v>1.0106999999999999</c:v>
                </c:pt>
                <c:pt idx="50">
                  <c:v>1.0142</c:v>
                </c:pt>
                <c:pt idx="51">
                  <c:v>1.0107999999999999</c:v>
                </c:pt>
                <c:pt idx="52">
                  <c:v>1.0241</c:v>
                </c:pt>
                <c:pt idx="53">
                  <c:v>1.0392999999999999</c:v>
                </c:pt>
                <c:pt idx="54">
                  <c:v>1.0521</c:v>
                </c:pt>
                <c:pt idx="55">
                  <c:v>1.0609</c:v>
                </c:pt>
                <c:pt idx="56">
                  <c:v>1.0559000000000001</c:v>
                </c:pt>
                <c:pt idx="57">
                  <c:v>1.0542</c:v>
                </c:pt>
                <c:pt idx="58">
                  <c:v>1.0542</c:v>
                </c:pt>
                <c:pt idx="59">
                  <c:v>1.0397000000000001</c:v>
                </c:pt>
                <c:pt idx="60">
                  <c:v>1.0441</c:v>
                </c:pt>
                <c:pt idx="61">
                  <c:v>1.0481</c:v>
                </c:pt>
                <c:pt idx="62">
                  <c:v>1.0659000000000001</c:v>
                </c:pt>
                <c:pt idx="63">
                  <c:v>1.0746</c:v>
                </c:pt>
                <c:pt idx="64">
                  <c:v>1.0772999999999999</c:v>
                </c:pt>
                <c:pt idx="65">
                  <c:v>1.075</c:v>
                </c:pt>
                <c:pt idx="66">
                  <c:v>1.0735999999999999</c:v>
                </c:pt>
                <c:pt idx="67">
                  <c:v>1.0765</c:v>
                </c:pt>
                <c:pt idx="68">
                  <c:v>1.0926</c:v>
                </c:pt>
                <c:pt idx="69">
                  <c:v>1.0791999999999999</c:v>
                </c:pt>
                <c:pt idx="70">
                  <c:v>0</c:v>
                </c:pt>
                <c:pt idx="71">
                  <c:v>1.0871</c:v>
                </c:pt>
                <c:pt idx="72">
                  <c:v>0</c:v>
                </c:pt>
                <c:pt idx="73">
                  <c:v>0</c:v>
                </c:pt>
                <c:pt idx="74">
                  <c:v>1.0792999999999999</c:v>
                </c:pt>
                <c:pt idx="75">
                  <c:v>1.0831</c:v>
                </c:pt>
                <c:pt idx="76">
                  <c:v>1.0596000000000001</c:v>
                </c:pt>
                <c:pt idx="77">
                  <c:v>1.0631999999999999</c:v>
                </c:pt>
                <c:pt idx="78">
                  <c:v>1.0662</c:v>
                </c:pt>
                <c:pt idx="79">
                  <c:v>1.0652999999999999</c:v>
                </c:pt>
                <c:pt idx="80">
                  <c:v>1.0652999999999999</c:v>
                </c:pt>
                <c:pt idx="81">
                  <c:v>1.0531999999999999</c:v>
                </c:pt>
                <c:pt idx="82">
                  <c:v>1.0646</c:v>
                </c:pt>
                <c:pt idx="83">
                  <c:v>1.0757000000000001</c:v>
                </c:pt>
                <c:pt idx="84">
                  <c:v>1.0767</c:v>
                </c:pt>
                <c:pt idx="85">
                  <c:v>1.0857000000000001</c:v>
                </c:pt>
                <c:pt idx="86">
                  <c:v>1.0925</c:v>
                </c:pt>
                <c:pt idx="87">
                  <c:v>1.0895999999999999</c:v>
                </c:pt>
                <c:pt idx="88">
                  <c:v>1.1083000000000001</c:v>
                </c:pt>
                <c:pt idx="89">
                  <c:v>1.1094999999999999</c:v>
                </c:pt>
                <c:pt idx="90">
                  <c:v>1.1175999999999999</c:v>
                </c:pt>
                <c:pt idx="91">
                  <c:v>1.1101000000000001</c:v>
                </c:pt>
                <c:pt idx="92">
                  <c:v>1.1200000000000001</c:v>
                </c:pt>
                <c:pt idx="93">
                  <c:v>1.1042000000000001</c:v>
                </c:pt>
                <c:pt idx="94">
                  <c:v>1.1117999999999999</c:v>
                </c:pt>
                <c:pt idx="95">
                  <c:v>1.1051</c:v>
                </c:pt>
                <c:pt idx="96">
                  <c:v>1.1215999999999999</c:v>
                </c:pt>
                <c:pt idx="97">
                  <c:v>1.1272</c:v>
                </c:pt>
                <c:pt idx="98">
                  <c:v>1.1294</c:v>
                </c:pt>
                <c:pt idx="99">
                  <c:v>1.1259000000000001</c:v>
                </c:pt>
                <c:pt idx="100">
                  <c:v>1.1289</c:v>
                </c:pt>
                <c:pt idx="101">
                  <c:v>1.1313</c:v>
                </c:pt>
                <c:pt idx="102">
                  <c:v>1.1368</c:v>
                </c:pt>
                <c:pt idx="103">
                  <c:v>1.1320000000000001</c:v>
                </c:pt>
                <c:pt idx="104">
                  <c:v>1.1461000000000001</c:v>
                </c:pt>
                <c:pt idx="105">
                  <c:v>1.1602000000000001</c:v>
                </c:pt>
                <c:pt idx="106">
                  <c:v>1.1657999999999999</c:v>
                </c:pt>
                <c:pt idx="107">
                  <c:v>1.1861999999999999</c:v>
                </c:pt>
                <c:pt idx="108">
                  <c:v>1.1567000000000001</c:v>
                </c:pt>
                <c:pt idx="109">
                  <c:v>0</c:v>
                </c:pt>
                <c:pt idx="110">
                  <c:v>0</c:v>
                </c:pt>
                <c:pt idx="111">
                  <c:v>1.1618999999999999</c:v>
                </c:pt>
                <c:pt idx="112">
                  <c:v>1.1539999999999999</c:v>
                </c:pt>
                <c:pt idx="113">
                  <c:v>1.1718</c:v>
                </c:pt>
                <c:pt idx="114">
                  <c:v>1.1732</c:v>
                </c:pt>
                <c:pt idx="115">
                  <c:v>1.1802999999999999</c:v>
                </c:pt>
                <c:pt idx="116">
                  <c:v>1.1713</c:v>
                </c:pt>
                <c:pt idx="117">
                  <c:v>1.1572</c:v>
                </c:pt>
                <c:pt idx="118">
                  <c:v>1.1565000000000001</c:v>
                </c:pt>
                <c:pt idx="119">
                  <c:v>1.1549</c:v>
                </c:pt>
                <c:pt idx="120">
                  <c:v>1.1696</c:v>
                </c:pt>
                <c:pt idx="121">
                  <c:v>0</c:v>
                </c:pt>
                <c:pt idx="122">
                  <c:v>1.1400999999999999</c:v>
                </c:pt>
                <c:pt idx="123">
                  <c:v>1.1573</c:v>
                </c:pt>
                <c:pt idx="124">
                  <c:v>1.1648000000000001</c:v>
                </c:pt>
                <c:pt idx="125">
                  <c:v>1.1718999999999999</c:v>
                </c:pt>
                <c:pt idx="126">
                  <c:v>1.1644000000000001</c:v>
                </c:pt>
                <c:pt idx="127">
                  <c:v>1.1749000000000001</c:v>
                </c:pt>
                <c:pt idx="128">
                  <c:v>1.1648000000000001</c:v>
                </c:pt>
                <c:pt idx="129">
                  <c:v>1.1634</c:v>
                </c:pt>
                <c:pt idx="130">
                  <c:v>1.1566000000000001</c:v>
                </c:pt>
                <c:pt idx="131">
                  <c:v>1.1562000000000001</c:v>
                </c:pt>
                <c:pt idx="132">
                  <c:v>1.1595</c:v>
                </c:pt>
                <c:pt idx="133">
                  <c:v>1.1506000000000001</c:v>
                </c:pt>
                <c:pt idx="134">
                  <c:v>1.1383000000000001</c:v>
                </c:pt>
                <c:pt idx="135">
                  <c:v>1.1406000000000001</c:v>
                </c:pt>
                <c:pt idx="136">
                  <c:v>1.1341000000000001</c:v>
                </c:pt>
                <c:pt idx="137">
                  <c:v>1.1459999999999999</c:v>
                </c:pt>
                <c:pt idx="138">
                  <c:v>1.1556</c:v>
                </c:pt>
                <c:pt idx="139">
                  <c:v>1.1600999999999999</c:v>
                </c:pt>
                <c:pt idx="140">
                  <c:v>1.1644000000000001</c:v>
                </c:pt>
                <c:pt idx="141">
                  <c:v>1.1665000000000001</c:v>
                </c:pt>
                <c:pt idx="142">
                  <c:v>1.1732</c:v>
                </c:pt>
                <c:pt idx="143">
                  <c:v>1.1774</c:v>
                </c:pt>
                <c:pt idx="144">
                  <c:v>1.1788000000000001</c:v>
                </c:pt>
                <c:pt idx="145">
                  <c:v>1.1774</c:v>
                </c:pt>
                <c:pt idx="146">
                  <c:v>1.1829000000000001</c:v>
                </c:pt>
                <c:pt idx="147">
                  <c:v>1.1955</c:v>
                </c:pt>
                <c:pt idx="148">
                  <c:v>1.1880999999999999</c:v>
                </c:pt>
                <c:pt idx="149">
                  <c:v>1.1854</c:v>
                </c:pt>
                <c:pt idx="150">
                  <c:v>1.1926000000000001</c:v>
                </c:pt>
                <c:pt idx="151">
                  <c:v>1.2078</c:v>
                </c:pt>
                <c:pt idx="152">
                  <c:v>1.2062999999999999</c:v>
                </c:pt>
                <c:pt idx="153">
                  <c:v>1.2094</c:v>
                </c:pt>
                <c:pt idx="154">
                  <c:v>1.2040999999999999</c:v>
                </c:pt>
                <c:pt idx="155">
                  <c:v>1.2081999999999999</c:v>
                </c:pt>
                <c:pt idx="156">
                  <c:v>1.2064999999999999</c:v>
                </c:pt>
                <c:pt idx="157">
                  <c:v>1.1929000000000001</c:v>
                </c:pt>
                <c:pt idx="158">
                  <c:v>1.2076</c:v>
                </c:pt>
                <c:pt idx="159">
                  <c:v>1.2163999999999999</c:v>
                </c:pt>
                <c:pt idx="160">
                  <c:v>1.1888000000000001</c:v>
                </c:pt>
                <c:pt idx="161">
                  <c:v>1.1952</c:v>
                </c:pt>
                <c:pt idx="162">
                  <c:v>1.1963999999999999</c:v>
                </c:pt>
                <c:pt idx="163">
                  <c:v>1.2020999999999999</c:v>
                </c:pt>
                <c:pt idx="164">
                  <c:v>1.1913</c:v>
                </c:pt>
                <c:pt idx="165">
                  <c:v>1.2070000000000001</c:v>
                </c:pt>
                <c:pt idx="166">
                  <c:v>1.2046999999999999</c:v>
                </c:pt>
                <c:pt idx="167">
                  <c:v>1.2058</c:v>
                </c:pt>
                <c:pt idx="168">
                  <c:v>1.1969000000000001</c:v>
                </c:pt>
                <c:pt idx="169">
                  <c:v>1.2111000000000001</c:v>
                </c:pt>
                <c:pt idx="170">
                  <c:v>1.2109000000000001</c:v>
                </c:pt>
                <c:pt idx="171">
                  <c:v>1.2121999999999999</c:v>
                </c:pt>
                <c:pt idx="172">
                  <c:v>1.2020999999999999</c:v>
                </c:pt>
                <c:pt idx="173">
                  <c:v>1.2046999999999999</c:v>
                </c:pt>
                <c:pt idx="174">
                  <c:v>1.2113</c:v>
                </c:pt>
                <c:pt idx="175">
                  <c:v>1.2199</c:v>
                </c:pt>
                <c:pt idx="176">
                  <c:v>1.2275</c:v>
                </c:pt>
                <c:pt idx="177">
                  <c:v>1.2262</c:v>
                </c:pt>
                <c:pt idx="178">
                  <c:v>1.2254</c:v>
                </c:pt>
                <c:pt idx="179">
                  <c:v>1.23</c:v>
                </c:pt>
                <c:pt idx="180">
                  <c:v>1.2217</c:v>
                </c:pt>
                <c:pt idx="181">
                  <c:v>1.2262</c:v>
                </c:pt>
                <c:pt idx="182">
                  <c:v>1.2277</c:v>
                </c:pt>
                <c:pt idx="183">
                  <c:v>1.2373000000000001</c:v>
                </c:pt>
                <c:pt idx="184">
                  <c:v>1.2311000000000001</c:v>
                </c:pt>
                <c:pt idx="185">
                  <c:v>1.2251000000000001</c:v>
                </c:pt>
                <c:pt idx="186">
                  <c:v>1.2288999999999999</c:v>
                </c:pt>
                <c:pt idx="187">
                  <c:v>1.2337</c:v>
                </c:pt>
                <c:pt idx="188">
                  <c:v>1.2355</c:v>
                </c:pt>
                <c:pt idx="189">
                  <c:v>1.2319</c:v>
                </c:pt>
                <c:pt idx="190">
                  <c:v>1.2242</c:v>
                </c:pt>
                <c:pt idx="191">
                  <c:v>1.242</c:v>
                </c:pt>
                <c:pt idx="192">
                  <c:v>1.2444999999999999</c:v>
                </c:pt>
                <c:pt idx="193">
                  <c:v>1.2404999999999999</c:v>
                </c:pt>
                <c:pt idx="194">
                  <c:v>1.2304999999999999</c:v>
                </c:pt>
                <c:pt idx="195">
                  <c:v>1.2418</c:v>
                </c:pt>
                <c:pt idx="196">
                  <c:v>1.2484</c:v>
                </c:pt>
                <c:pt idx="197">
                  <c:v>1.2570999999999999</c:v>
                </c:pt>
                <c:pt idx="198">
                  <c:v>1.2605</c:v>
                </c:pt>
                <c:pt idx="199">
                  <c:v>1.2647999999999999</c:v>
                </c:pt>
                <c:pt idx="200">
                  <c:v>1.2674000000000001</c:v>
                </c:pt>
                <c:pt idx="201">
                  <c:v>1.272</c:v>
                </c:pt>
                <c:pt idx="202">
                  <c:v>1.2785</c:v>
                </c:pt>
                <c:pt idx="203">
                  <c:v>1.2816000000000001</c:v>
                </c:pt>
                <c:pt idx="204">
                  <c:v>1.28</c:v>
                </c:pt>
                <c:pt idx="205">
                  <c:v>1.2898000000000001</c:v>
                </c:pt>
                <c:pt idx="206">
                  <c:v>1.2863</c:v>
                </c:pt>
                <c:pt idx="207">
                  <c:v>1.2903</c:v>
                </c:pt>
                <c:pt idx="208">
                  <c:v>1.2930999999999999</c:v>
                </c:pt>
                <c:pt idx="209">
                  <c:v>1.288</c:v>
                </c:pt>
                <c:pt idx="210">
                  <c:v>1.2846</c:v>
                </c:pt>
                <c:pt idx="211">
                  <c:v>1.2734000000000001</c:v>
                </c:pt>
                <c:pt idx="212">
                  <c:v>1.2610000000000001</c:v>
                </c:pt>
                <c:pt idx="213">
                  <c:v>1.2793999999999999</c:v>
                </c:pt>
                <c:pt idx="214">
                  <c:v>1.2648999999999999</c:v>
                </c:pt>
                <c:pt idx="215">
                  <c:v>1.2604</c:v>
                </c:pt>
                <c:pt idx="216">
                  <c:v>1.2635000000000001</c:v>
                </c:pt>
                <c:pt idx="217">
                  <c:v>1.2654000000000001</c:v>
                </c:pt>
                <c:pt idx="218">
                  <c:v>1.2727999999999999</c:v>
                </c:pt>
                <c:pt idx="219">
                  <c:v>1.2858000000000001</c:v>
                </c:pt>
                <c:pt idx="220">
                  <c:v>1.2879</c:v>
                </c:pt>
                <c:pt idx="221">
                  <c:v>1.2907999999999999</c:v>
                </c:pt>
                <c:pt idx="222">
                  <c:v>1.2950999999999999</c:v>
                </c:pt>
                <c:pt idx="223">
                  <c:v>1.2856000000000001</c:v>
                </c:pt>
                <c:pt idx="224">
                  <c:v>1.2946</c:v>
                </c:pt>
                <c:pt idx="225">
                  <c:v>1.2934000000000001</c:v>
                </c:pt>
                <c:pt idx="226">
                  <c:v>1.2869999999999999</c:v>
                </c:pt>
                <c:pt idx="227">
                  <c:v>1.2821</c:v>
                </c:pt>
                <c:pt idx="228">
                  <c:v>1.2776000000000001</c:v>
                </c:pt>
                <c:pt idx="229">
                  <c:v>1.2748999999999999</c:v>
                </c:pt>
                <c:pt idx="230">
                  <c:v>1.2783</c:v>
                </c:pt>
                <c:pt idx="231">
                  <c:v>1.2808999999999999</c:v>
                </c:pt>
                <c:pt idx="232">
                  <c:v>1.2734000000000001</c:v>
                </c:pt>
                <c:pt idx="233">
                  <c:v>1.2544</c:v>
                </c:pt>
                <c:pt idx="234">
                  <c:v>1.2690000000000001</c:v>
                </c:pt>
                <c:pt idx="235">
                  <c:v>1.2645</c:v>
                </c:pt>
                <c:pt idx="236">
                  <c:v>1.2793999999999999</c:v>
                </c:pt>
                <c:pt idx="237">
                  <c:v>1.2827</c:v>
                </c:pt>
                <c:pt idx="238">
                  <c:v>1.2772999999999999</c:v>
                </c:pt>
                <c:pt idx="239">
                  <c:v>1.2716000000000001</c:v>
                </c:pt>
                <c:pt idx="240">
                  <c:v>1.2688999999999999</c:v>
                </c:pt>
                <c:pt idx="241">
                  <c:v>1.2629999999999999</c:v>
                </c:pt>
                <c:pt idx="242">
                  <c:v>1.2706</c:v>
                </c:pt>
                <c:pt idx="243">
                  <c:v>1.2722</c:v>
                </c:pt>
                <c:pt idx="244">
                  <c:v>1.2667999999999999</c:v>
                </c:pt>
                <c:pt idx="245">
                  <c:v>1.2716000000000001</c:v>
                </c:pt>
                <c:pt idx="246">
                  <c:v>1.2566999999999999</c:v>
                </c:pt>
                <c:pt idx="247">
                  <c:v>1.2474000000000001</c:v>
                </c:pt>
                <c:pt idx="248">
                  <c:v>1.2454000000000001</c:v>
                </c:pt>
                <c:pt idx="249">
                  <c:v>1.2447999999999999</c:v>
                </c:pt>
                <c:pt idx="250">
                  <c:v>1.2359</c:v>
                </c:pt>
                <c:pt idx="251">
                  <c:v>1.2366999999999999</c:v>
                </c:pt>
                <c:pt idx="252">
                  <c:v>1.2408999999999999</c:v>
                </c:pt>
                <c:pt idx="253">
                  <c:v>1.2498</c:v>
                </c:pt>
                <c:pt idx="254">
                  <c:v>1.2523</c:v>
                </c:pt>
                <c:pt idx="255">
                  <c:v>1.2589000000000001</c:v>
                </c:pt>
                <c:pt idx="256">
                  <c:v>1.258</c:v>
                </c:pt>
                <c:pt idx="257">
                  <c:v>1.2745</c:v>
                </c:pt>
                <c:pt idx="258">
                  <c:v>1.2763</c:v>
                </c:pt>
                <c:pt idx="259">
                  <c:v>1.2863</c:v>
                </c:pt>
                <c:pt idx="260">
                  <c:v>1.2801</c:v>
                </c:pt>
                <c:pt idx="261">
                  <c:v>1.2926</c:v>
                </c:pt>
                <c:pt idx="262">
                  <c:v>1.2889999999999999</c:v>
                </c:pt>
                <c:pt idx="263">
                  <c:v>1.2833000000000001</c:v>
                </c:pt>
                <c:pt idx="264">
                  <c:v>1.2887</c:v>
                </c:pt>
                <c:pt idx="265">
                  <c:v>1.2882</c:v>
                </c:pt>
                <c:pt idx="266">
                  <c:v>1.2817000000000001</c:v>
                </c:pt>
                <c:pt idx="267">
                  <c:v>1.282</c:v>
                </c:pt>
                <c:pt idx="268">
                  <c:v>1.2784</c:v>
                </c:pt>
                <c:pt idx="269">
                  <c:v>1.2782</c:v>
                </c:pt>
                <c:pt idx="270">
                  <c:v>1.2679</c:v>
                </c:pt>
                <c:pt idx="271">
                  <c:v>1.2713000000000001</c:v>
                </c:pt>
                <c:pt idx="272">
                  <c:v>1.2657</c:v>
                </c:pt>
                <c:pt idx="273">
                  <c:v>1.2641</c:v>
                </c:pt>
                <c:pt idx="274">
                  <c:v>1.2530000000000001</c:v>
                </c:pt>
                <c:pt idx="275">
                  <c:v>1.2458</c:v>
                </c:pt>
                <c:pt idx="276">
                  <c:v>1.2433000000000001</c:v>
                </c:pt>
                <c:pt idx="277">
                  <c:v>1.2478</c:v>
                </c:pt>
                <c:pt idx="278">
                  <c:v>1.2442</c:v>
                </c:pt>
                <c:pt idx="279">
                  <c:v>1.2321</c:v>
                </c:pt>
                <c:pt idx="280">
                  <c:v>1.2314000000000001</c:v>
                </c:pt>
                <c:pt idx="281">
                  <c:v>1.2331000000000001</c:v>
                </c:pt>
                <c:pt idx="282">
                  <c:v>1.2418</c:v>
                </c:pt>
                <c:pt idx="283">
                  <c:v>1.2543</c:v>
                </c:pt>
                <c:pt idx="284">
                  <c:v>1.2551999999999999</c:v>
                </c:pt>
                <c:pt idx="285">
                  <c:v>1.2528999999999999</c:v>
                </c:pt>
                <c:pt idx="286">
                  <c:v>1.2589999999999999</c:v>
                </c:pt>
                <c:pt idx="287">
                  <c:v>1.2650999999999999</c:v>
                </c:pt>
                <c:pt idx="288">
                  <c:v>1.2621</c:v>
                </c:pt>
                <c:pt idx="289">
                  <c:v>1.2587999999999999</c:v>
                </c:pt>
                <c:pt idx="290">
                  <c:v>1.2687999999999999</c:v>
                </c:pt>
                <c:pt idx="291">
                  <c:v>1.2685</c:v>
                </c:pt>
                <c:pt idx="292">
                  <c:v>1.2589999999999999</c:v>
                </c:pt>
                <c:pt idx="293">
                  <c:v>1.2544999999999999</c:v>
                </c:pt>
                <c:pt idx="294">
                  <c:v>1.2532000000000001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F5-4626-936B-15D1DEB33F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47021816"/>
        <c:axId val="1047032008"/>
      </c:lineChart>
      <c:dateAx>
        <c:axId val="104702181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rebuchet MS"/>
                <a:ea typeface="Trebuchet MS"/>
                <a:cs typeface="Trebuchet MS"/>
              </a:defRPr>
            </a:pPr>
            <a:endParaRPr lang="en-US"/>
          </a:p>
        </c:txPr>
        <c:crossAx val="1047032008"/>
        <c:crosses val="autoZero"/>
        <c:auto val="1"/>
        <c:lblOffset val="100"/>
        <c:baseTimeUnit val="days"/>
        <c:majorUnit val="1"/>
        <c:majorTimeUnit val="months"/>
        <c:minorUnit val="1"/>
        <c:minorTimeUnit val="months"/>
      </c:dateAx>
      <c:valAx>
        <c:axId val="1047032008"/>
        <c:scaling>
          <c:orientation val="minMax"/>
          <c:min val="0.6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rebuchet MS"/>
                <a:ea typeface="Trebuchet MS"/>
                <a:cs typeface="Trebuchet MS"/>
              </a:defRPr>
            </a:pPr>
            <a:endParaRPr lang="en-US"/>
          </a:p>
        </c:txPr>
        <c:crossAx val="104702181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Trebuchet MS"/>
          <a:ea typeface="Trebuchet MS"/>
          <a:cs typeface="Trebuchet MS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Trebuchet MS"/>
                <a:ea typeface="Trebuchet MS"/>
                <a:cs typeface="Trebuchet MS"/>
              </a:defRPr>
            </a:pPr>
            <a:r>
              <a:rPr lang="en-GB"/>
              <a:t>BB ARPU/sub/month</a:t>
            </a:r>
          </a:p>
        </c:rich>
      </c:tx>
      <c:layout>
        <c:manualLayout>
          <c:xMode val="edge"/>
          <c:yMode val="edge"/>
          <c:x val="0.39225659923822648"/>
          <c:y val="3.29113924050632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390691404098609E-2"/>
          <c:y val="0.18734177215189873"/>
          <c:w val="0.90404189032560356"/>
          <c:h val="0.68607594936708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[5]MASTER!$AF$161</c:f>
              <c:strCache>
                <c:ptCount val="1"/>
                <c:pt idx="0">
                  <c:v>Total Pay-TV Revs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[5]MASTER!$AG$160:$AQ$160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cat>
          <c:val>
            <c:numRef>
              <c:f>[5]MASTER!$AG$161:$AQ$161</c:f>
              <c:numCache>
                <c:formatCode>General</c:formatCode>
                <c:ptCount val="11"/>
                <c:pt idx="0">
                  <c:v>262.39999999999998</c:v>
                </c:pt>
                <c:pt idx="1">
                  <c:v>313.2</c:v>
                </c:pt>
                <c:pt idx="2">
                  <c:v>342</c:v>
                </c:pt>
                <c:pt idx="3">
                  <c:v>398.14</c:v>
                </c:pt>
                <c:pt idx="4">
                  <c:v>412.34005436787288</c:v>
                </c:pt>
                <c:pt idx="5">
                  <c:v>441.32505811297347</c:v>
                </c:pt>
                <c:pt idx="6">
                  <c:v>467.99361565100776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61-4D6E-8888-8D6E3CBCEE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7023384"/>
        <c:axId val="1047023776"/>
      </c:barChart>
      <c:catAx>
        <c:axId val="1047023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rebuchet MS"/>
                <a:ea typeface="Trebuchet MS"/>
                <a:cs typeface="Trebuchet MS"/>
              </a:defRPr>
            </a:pPr>
            <a:endParaRPr lang="en-US"/>
          </a:p>
        </c:txPr>
        <c:crossAx val="1047023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702377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rebuchet MS"/>
                <a:ea typeface="Trebuchet MS"/>
                <a:cs typeface="Trebuchet MS"/>
              </a:defRPr>
            </a:pPr>
            <a:endParaRPr lang="en-US"/>
          </a:p>
        </c:txPr>
        <c:crossAx val="10470233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Trebuchet MS"/>
          <a:ea typeface="Trebuchet MS"/>
          <a:cs typeface="Trebuchet MS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5714493318064766"/>
          <c:y val="7.2319201995012475E-2"/>
          <c:w val="0.41666908871075564"/>
          <c:h val="0.85785536159600995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[5]MASTER!$AF$593:$AM$593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cat>
          <c:val>
            <c:numRef>
              <c:f>[5]MASTER!$AF$594:$AM$594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24-47B3-A24D-9A5AAB445B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47032792"/>
        <c:axId val="1047037104"/>
      </c:lineChart>
      <c:catAx>
        <c:axId val="1047032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306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rebuchet MS"/>
                <a:ea typeface="Trebuchet MS"/>
                <a:cs typeface="Trebuchet MS"/>
              </a:defRPr>
            </a:pPr>
            <a:endParaRPr lang="en-US"/>
          </a:p>
        </c:txPr>
        <c:crossAx val="1047037104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104703710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rebuchet MS"/>
                <a:ea typeface="Trebuchet MS"/>
                <a:cs typeface="Trebuchet MS"/>
              </a:defRPr>
            </a:pPr>
            <a:endParaRPr lang="en-US"/>
          </a:p>
        </c:txPr>
        <c:crossAx val="104703279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Trebuchet MS"/>
          <a:ea typeface="Trebuchet MS"/>
          <a:cs typeface="Trebuchet MS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1152530311738779E-2"/>
          <c:y val="4.2768064226182748E-2"/>
          <c:w val="0.90913095347343309"/>
          <c:h val="0.70031557137154155"/>
        </c:manualLayout>
      </c:layout>
      <c:lineChart>
        <c:grouping val="standard"/>
        <c:varyColors val="0"/>
        <c:ser>
          <c:idx val="0"/>
          <c:order val="0"/>
          <c:tx>
            <c:strRef>
              <c:f>'Forward valuation'!$B$26</c:f>
              <c:strCache>
                <c:ptCount val="1"/>
                <c:pt idx="0">
                  <c:v>Rolling EV/EBITDA</c:v>
                </c:pt>
              </c:strCache>
            </c:strRef>
          </c:tx>
          <c:spPr>
            <a:ln w="28575" cap="rnd">
              <a:solidFill>
                <a:srgbClr val="263238"/>
              </a:solidFill>
              <a:round/>
            </a:ln>
            <a:effectLst/>
          </c:spPr>
          <c:marker>
            <c:symbol val="none"/>
          </c:marker>
          <c:cat>
            <c:numRef>
              <c:f>'Forward valuation'!$C$2:$AQ$2</c:f>
              <c:numCache>
                <c:formatCode>mmm\-yy</c:formatCode>
                <c:ptCount val="41"/>
                <c:pt idx="0">
                  <c:v>43861</c:v>
                </c:pt>
                <c:pt idx="1">
                  <c:v>43889</c:v>
                </c:pt>
                <c:pt idx="2">
                  <c:v>43921</c:v>
                </c:pt>
                <c:pt idx="3">
                  <c:v>43951</c:v>
                </c:pt>
                <c:pt idx="4">
                  <c:v>43979</c:v>
                </c:pt>
                <c:pt idx="5">
                  <c:v>44012</c:v>
                </c:pt>
                <c:pt idx="6">
                  <c:v>44042</c:v>
                </c:pt>
                <c:pt idx="7">
                  <c:v>44071</c:v>
                </c:pt>
                <c:pt idx="8">
                  <c:v>44104</c:v>
                </c:pt>
                <c:pt idx="9">
                  <c:v>44134</c:v>
                </c:pt>
                <c:pt idx="10">
                  <c:v>44165</c:v>
                </c:pt>
                <c:pt idx="11">
                  <c:v>44196</c:v>
                </c:pt>
                <c:pt idx="12">
                  <c:v>44225</c:v>
                </c:pt>
                <c:pt idx="13">
                  <c:v>44253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44407</c:v>
                </c:pt>
                <c:pt idx="19">
                  <c:v>44438</c:v>
                </c:pt>
                <c:pt idx="20">
                  <c:v>44469</c:v>
                </c:pt>
                <c:pt idx="21">
                  <c:v>44498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44680</c:v>
                </c:pt>
                <c:pt idx="28">
                  <c:v>44712</c:v>
                </c:pt>
                <c:pt idx="29">
                  <c:v>44742</c:v>
                </c:pt>
                <c:pt idx="30">
                  <c:v>44771</c:v>
                </c:pt>
                <c:pt idx="31">
                  <c:v>44803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44925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45044</c:v>
                </c:pt>
                <c:pt idx="40">
                  <c:v>45076</c:v>
                </c:pt>
              </c:numCache>
            </c:numRef>
          </c:cat>
          <c:val>
            <c:numRef>
              <c:f>'Forward valuation'!$C$26:$AQ$26</c:f>
              <c:numCache>
                <c:formatCode>0.0</c:formatCode>
                <c:ptCount val="41"/>
                <c:pt idx="0">
                  <c:v>14.471497492221435</c:v>
                </c:pt>
                <c:pt idx="1">
                  <c:v>14.582757852156314</c:v>
                </c:pt>
                <c:pt idx="2">
                  <c:v>14.257318028496362</c:v>
                </c:pt>
                <c:pt idx="3">
                  <c:v>14.389988205855047</c:v>
                </c:pt>
                <c:pt idx="4">
                  <c:v>14.051868285687556</c:v>
                </c:pt>
                <c:pt idx="5">
                  <c:v>13.868003810401643</c:v>
                </c:pt>
                <c:pt idx="6">
                  <c:v>13.583553024948191</c:v>
                </c:pt>
                <c:pt idx="7">
                  <c:v>12.82987992847376</c:v>
                </c:pt>
                <c:pt idx="8">
                  <c:v>12.867814023253963</c:v>
                </c:pt>
                <c:pt idx="9">
                  <c:v>12.176185762704726</c:v>
                </c:pt>
                <c:pt idx="10">
                  <c:v>12.25977007176817</c:v>
                </c:pt>
                <c:pt idx="11">
                  <c:v>12.441064746502594</c:v>
                </c:pt>
                <c:pt idx="12">
                  <c:v>11.712295074796174</c:v>
                </c:pt>
                <c:pt idx="13">
                  <c:v>11.655575036481913</c:v>
                </c:pt>
                <c:pt idx="14">
                  <c:v>11.186854125408166</c:v>
                </c:pt>
                <c:pt idx="15">
                  <c:v>11.327061028693203</c:v>
                </c:pt>
                <c:pt idx="16">
                  <c:v>11.408145945893995</c:v>
                </c:pt>
                <c:pt idx="17">
                  <c:v>10.883247842425918</c:v>
                </c:pt>
                <c:pt idx="18">
                  <c:v>10.613545174495647</c:v>
                </c:pt>
                <c:pt idx="19">
                  <c:v>11.435659378545916</c:v>
                </c:pt>
                <c:pt idx="20">
                  <c:v>11.418838051458057</c:v>
                </c:pt>
                <c:pt idx="21">
                  <c:v>11.363215520961903</c:v>
                </c:pt>
                <c:pt idx="22">
                  <c:v>11.36594660334182</c:v>
                </c:pt>
                <c:pt idx="23">
                  <c:v>11.678564284312976</c:v>
                </c:pt>
                <c:pt idx="24">
                  <c:v>10.405103806228375</c:v>
                </c:pt>
                <c:pt idx="25">
                  <c:v>9.8684717648493709</c:v>
                </c:pt>
                <c:pt idx="26">
                  <c:v>9.5717673970623647</c:v>
                </c:pt>
                <c:pt idx="27">
                  <c:v>9.20820159277309</c:v>
                </c:pt>
                <c:pt idx="28">
                  <c:v>9.0741901408450705</c:v>
                </c:pt>
                <c:pt idx="29">
                  <c:v>8.072748348209112</c:v>
                </c:pt>
                <c:pt idx="30">
                  <c:v>8.6368330661781556</c:v>
                </c:pt>
                <c:pt idx="31">
                  <c:v>8.8509331523583317</c:v>
                </c:pt>
                <c:pt idx="32">
                  <c:v>8.1504358515869466</c:v>
                </c:pt>
                <c:pt idx="33">
                  <c:v>8.6417559359469909</c:v>
                </c:pt>
                <c:pt idx="34">
                  <c:v>8.5237502728661863</c:v>
                </c:pt>
                <c:pt idx="35">
                  <c:v>8.4253533282986304</c:v>
                </c:pt>
                <c:pt idx="36">
                  <c:v>8.3997917171445042</c:v>
                </c:pt>
                <c:pt idx="37">
                  <c:v>8.2683871697656723</c:v>
                </c:pt>
                <c:pt idx="38">
                  <c:v>8.5841674780291228</c:v>
                </c:pt>
                <c:pt idx="39">
                  <c:v>8.9784135800342675</c:v>
                </c:pt>
                <c:pt idx="40">
                  <c:v>8.7317269430104449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B5-4865-8EA9-E2D53FF1EBBD}"/>
            </c:ext>
          </c:extLst>
        </c:ser>
        <c:ser>
          <c:idx val="1"/>
          <c:order val="1"/>
          <c:tx>
            <c:strRef>
              <c:f>'Forward valuation'!$B$27</c:f>
              <c:strCache>
                <c:ptCount val="1"/>
                <c:pt idx="0">
                  <c:v>Rolling P/E</c:v>
                </c:pt>
              </c:strCache>
            </c:strRef>
          </c:tx>
          <c:spPr>
            <a:ln w="28575" cap="rnd">
              <a:solidFill>
                <a:srgbClr val="799098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'Forward valuation'!$C$2:$AQ$2</c:f>
              <c:numCache>
                <c:formatCode>mmm\-yy</c:formatCode>
                <c:ptCount val="41"/>
                <c:pt idx="0">
                  <c:v>43861</c:v>
                </c:pt>
                <c:pt idx="1">
                  <c:v>43889</c:v>
                </c:pt>
                <c:pt idx="2">
                  <c:v>43921</c:v>
                </c:pt>
                <c:pt idx="3">
                  <c:v>43951</c:v>
                </c:pt>
                <c:pt idx="4">
                  <c:v>43979</c:v>
                </c:pt>
                <c:pt idx="5">
                  <c:v>44012</c:v>
                </c:pt>
                <c:pt idx="6">
                  <c:v>44042</c:v>
                </c:pt>
                <c:pt idx="7">
                  <c:v>44071</c:v>
                </c:pt>
                <c:pt idx="8">
                  <c:v>44104</c:v>
                </c:pt>
                <c:pt idx="9">
                  <c:v>44134</c:v>
                </c:pt>
                <c:pt idx="10">
                  <c:v>44165</c:v>
                </c:pt>
                <c:pt idx="11">
                  <c:v>44196</c:v>
                </c:pt>
                <c:pt idx="12">
                  <c:v>44225</c:v>
                </c:pt>
                <c:pt idx="13">
                  <c:v>44253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44407</c:v>
                </c:pt>
                <c:pt idx="19">
                  <c:v>44438</c:v>
                </c:pt>
                <c:pt idx="20">
                  <c:v>44469</c:v>
                </c:pt>
                <c:pt idx="21">
                  <c:v>44498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44680</c:v>
                </c:pt>
                <c:pt idx="28">
                  <c:v>44712</c:v>
                </c:pt>
                <c:pt idx="29">
                  <c:v>44742</c:v>
                </c:pt>
                <c:pt idx="30">
                  <c:v>44771</c:v>
                </c:pt>
                <c:pt idx="31">
                  <c:v>44803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44925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45044</c:v>
                </c:pt>
                <c:pt idx="40">
                  <c:v>45076</c:v>
                </c:pt>
              </c:numCache>
            </c:numRef>
          </c:cat>
          <c:val>
            <c:numRef>
              <c:f>'Forward valuation'!$C$27:$AQ$27</c:f>
              <c:numCache>
                <c:formatCode>0.0</c:formatCode>
                <c:ptCount val="41"/>
                <c:pt idx="0">
                  <c:v>30.510066127847168</c:v>
                </c:pt>
                <c:pt idx="1">
                  <c:v>30.781152591518666</c:v>
                </c:pt>
                <c:pt idx="2">
                  <c:v>29.926323319027183</c:v>
                </c:pt>
                <c:pt idx="3">
                  <c:v>30.253159195199441</c:v>
                </c:pt>
                <c:pt idx="4">
                  <c:v>29.372682926829267</c:v>
                </c:pt>
                <c:pt idx="5">
                  <c:v>28.89122807017544</c:v>
                </c:pt>
                <c:pt idx="6">
                  <c:v>28.15625</c:v>
                </c:pt>
                <c:pt idx="7">
                  <c:v>26.232807782623279</c:v>
                </c:pt>
                <c:pt idx="8">
                  <c:v>26.325778661365142</c:v>
                </c:pt>
                <c:pt idx="9">
                  <c:v>24.573486088379706</c:v>
                </c:pt>
                <c:pt idx="10">
                  <c:v>24.785252263906855</c:v>
                </c:pt>
                <c:pt idx="11">
                  <c:v>25.241930329178651</c:v>
                </c:pt>
                <c:pt idx="12">
                  <c:v>23.57880606443462</c:v>
                </c:pt>
                <c:pt idx="13">
                  <c:v>23.650511692030332</c:v>
                </c:pt>
                <c:pt idx="14">
                  <c:v>22.67001388740519</c:v>
                </c:pt>
                <c:pt idx="15">
                  <c:v>23.241323648103307</c:v>
                </c:pt>
                <c:pt idx="16">
                  <c:v>23.668419340849958</c:v>
                </c:pt>
                <c:pt idx="17">
                  <c:v>22.512205777947685</c:v>
                </c:pt>
                <c:pt idx="18">
                  <c:v>22.010234400792342</c:v>
                </c:pt>
                <c:pt idx="19">
                  <c:v>24.415978266895824</c:v>
                </c:pt>
                <c:pt idx="20">
                  <c:v>24.602849162011175</c:v>
                </c:pt>
                <c:pt idx="21">
                  <c:v>24.686877216686369</c:v>
                </c:pt>
                <c:pt idx="22">
                  <c:v>24.932032225121979</c:v>
                </c:pt>
                <c:pt idx="23">
                  <c:v>26.040082337469265</c:v>
                </c:pt>
                <c:pt idx="24">
                  <c:v>22.890560165975103</c:v>
                </c:pt>
                <c:pt idx="25">
                  <c:v>21.083445040214475</c:v>
                </c:pt>
                <c:pt idx="26">
                  <c:v>19.994960988296491</c:v>
                </c:pt>
                <c:pt idx="27">
                  <c:v>18.772095959595958</c:v>
                </c:pt>
                <c:pt idx="28">
                  <c:v>18.194325153374233</c:v>
                </c:pt>
                <c:pt idx="29">
                  <c:v>15.407219570405728</c:v>
                </c:pt>
                <c:pt idx="30">
                  <c:v>16.67697444831591</c:v>
                </c:pt>
                <c:pt idx="31">
                  <c:v>17.039734162895929</c:v>
                </c:pt>
                <c:pt idx="32">
                  <c:v>15.140986769570011</c:v>
                </c:pt>
                <c:pt idx="33">
                  <c:v>16.196908602150536</c:v>
                </c:pt>
                <c:pt idx="34">
                  <c:v>15.76495278069255</c:v>
                </c:pt>
                <c:pt idx="35">
                  <c:v>15.39344262295082</c:v>
                </c:pt>
                <c:pt idx="36">
                  <c:v>15.514954954954955</c:v>
                </c:pt>
                <c:pt idx="37">
                  <c:v>15.136606635071091</c:v>
                </c:pt>
                <c:pt idx="38">
                  <c:v>15.80010100187342</c:v>
                </c:pt>
                <c:pt idx="39">
                  <c:v>16.63721772732762</c:v>
                </c:pt>
                <c:pt idx="40">
                  <c:v>15.997377049180329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7B5-4865-8EA9-E2D53FF1E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5160607"/>
        <c:axId val="1495161855"/>
        <c:extLst/>
      </c:lineChart>
      <c:lineChart>
        <c:grouping val="standard"/>
        <c:varyColors val="0"/>
        <c:ser>
          <c:idx val="2"/>
          <c:order val="2"/>
          <c:tx>
            <c:v>Share price (RHS)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'Forward valuation'!$C$5:$AQ$5</c:f>
              <c:numCache>
                <c:formatCode>General</c:formatCode>
                <c:ptCount val="41"/>
                <c:pt idx="0">
                  <c:v>5.31</c:v>
                </c:pt>
                <c:pt idx="1">
                  <c:v>5.43</c:v>
                </c:pt>
                <c:pt idx="2">
                  <c:v>5.35</c:v>
                </c:pt>
                <c:pt idx="3">
                  <c:v>5.48</c:v>
                </c:pt>
                <c:pt idx="4">
                  <c:v>5.39</c:v>
                </c:pt>
                <c:pt idx="5">
                  <c:v>5.37</c:v>
                </c:pt>
                <c:pt idx="6">
                  <c:v>5.3</c:v>
                </c:pt>
                <c:pt idx="7">
                  <c:v>5</c:v>
                </c:pt>
                <c:pt idx="8">
                  <c:v>5.08</c:v>
                </c:pt>
                <c:pt idx="9">
                  <c:v>4.8</c:v>
                </c:pt>
                <c:pt idx="10">
                  <c:v>4.9000000000000004</c:v>
                </c:pt>
                <c:pt idx="11">
                  <c:v>5.05</c:v>
                </c:pt>
                <c:pt idx="12">
                  <c:v>4.7699999999999996</c:v>
                </c:pt>
                <c:pt idx="13">
                  <c:v>4.75</c:v>
                </c:pt>
                <c:pt idx="14">
                  <c:v>4.5199999999999996</c:v>
                </c:pt>
                <c:pt idx="15">
                  <c:v>4.5999999999999996</c:v>
                </c:pt>
                <c:pt idx="16">
                  <c:v>4.6500000000000004</c:v>
                </c:pt>
                <c:pt idx="17">
                  <c:v>4.3899999999999997</c:v>
                </c:pt>
                <c:pt idx="18">
                  <c:v>4.26</c:v>
                </c:pt>
                <c:pt idx="19">
                  <c:v>4.6900000000000004</c:v>
                </c:pt>
                <c:pt idx="20">
                  <c:v>4.6900000000000004</c:v>
                </c:pt>
                <c:pt idx="21">
                  <c:v>4.67</c:v>
                </c:pt>
                <c:pt idx="22">
                  <c:v>4.68</c:v>
                </c:pt>
                <c:pt idx="23">
                  <c:v>4.8499999999999996</c:v>
                </c:pt>
                <c:pt idx="24">
                  <c:v>4.2300000000000004</c:v>
                </c:pt>
                <c:pt idx="25">
                  <c:v>4.0199999999999996</c:v>
                </c:pt>
                <c:pt idx="26">
                  <c:v>3.93</c:v>
                </c:pt>
                <c:pt idx="27">
                  <c:v>3.8</c:v>
                </c:pt>
                <c:pt idx="28">
                  <c:v>3.79</c:v>
                </c:pt>
                <c:pt idx="29">
                  <c:v>3.3</c:v>
                </c:pt>
                <c:pt idx="30">
                  <c:v>3.67</c:v>
                </c:pt>
                <c:pt idx="31">
                  <c:v>3.85</c:v>
                </c:pt>
                <c:pt idx="32">
                  <c:v>3.51</c:v>
                </c:pt>
                <c:pt idx="33">
                  <c:v>3.85</c:v>
                </c:pt>
                <c:pt idx="34">
                  <c:v>3.84</c:v>
                </c:pt>
                <c:pt idx="35">
                  <c:v>3.84</c:v>
                </c:pt>
                <c:pt idx="36">
                  <c:v>3.96</c:v>
                </c:pt>
                <c:pt idx="37">
                  <c:v>3.91</c:v>
                </c:pt>
                <c:pt idx="38">
                  <c:v>4.13</c:v>
                </c:pt>
                <c:pt idx="39">
                  <c:v>4.4000000000000004</c:v>
                </c:pt>
                <c:pt idx="40">
                  <c:v>4.28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36E-4CF6-96C3-66A7145F1F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5782528"/>
        <c:axId val="1005782048"/>
      </c:lineChart>
      <c:dateAx>
        <c:axId val="1495160607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" pitchFamily="2" charset="0"/>
                <a:ea typeface="Roboto" pitchFamily="2" charset="0"/>
                <a:cs typeface="+mn-cs"/>
              </a:defRPr>
            </a:pPr>
            <a:endParaRPr lang="en-US"/>
          </a:p>
        </c:txPr>
        <c:crossAx val="1495161855"/>
        <c:crosses val="autoZero"/>
        <c:auto val="1"/>
        <c:lblOffset val="100"/>
        <c:baseTimeUnit val="months"/>
      </c:dateAx>
      <c:valAx>
        <c:axId val="149516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95160607"/>
        <c:crosses val="autoZero"/>
        <c:crossBetween val="between"/>
      </c:valAx>
      <c:valAx>
        <c:axId val="100578204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5782528"/>
        <c:crosses val="max"/>
        <c:crossBetween val="between"/>
      </c:valAx>
      <c:catAx>
        <c:axId val="1005782528"/>
        <c:scaling>
          <c:orientation val="minMax"/>
        </c:scaling>
        <c:delete val="1"/>
        <c:axPos val="b"/>
        <c:majorTickMark val="out"/>
        <c:minorTickMark val="none"/>
        <c:tickLblPos val="nextTo"/>
        <c:crossAx val="10057820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Roboto" pitchFamily="2" charset="0"/>
              <a:ea typeface="Roboto" pitchFamily="2" charset="0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'Snap charts'!$H$7</c:f>
              <c:strCache>
                <c:ptCount val="1"/>
                <c:pt idx="0">
                  <c:v>revenue</c:v>
                </c:pt>
              </c:strCache>
            </c:strRef>
          </c:tx>
          <c:spPr>
            <a:ln w="25400" cap="rnd">
              <a:solidFill>
                <a:srgbClr val="333399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'Snap charts'!$I$6:$W$6</c:f>
              <c:strCache>
                <c:ptCount val="15"/>
                <c:pt idx="0">
                  <c:v>Q1 13</c:v>
                </c:pt>
                <c:pt idx="1">
                  <c:v>Q2 13</c:v>
                </c:pt>
                <c:pt idx="2">
                  <c:v>Q3 13</c:v>
                </c:pt>
                <c:pt idx="3">
                  <c:v>Q4 13</c:v>
                </c:pt>
                <c:pt idx="4">
                  <c:v>Q1 14</c:v>
                </c:pt>
                <c:pt idx="5">
                  <c:v>Q2 14</c:v>
                </c:pt>
                <c:pt idx="6">
                  <c:v>Q3 14</c:v>
                </c:pt>
                <c:pt idx="7">
                  <c:v>Q4 14</c:v>
                </c:pt>
                <c:pt idx="8">
                  <c:v>Q1 15</c:v>
                </c:pt>
                <c:pt idx="9">
                  <c:v>Q2 15</c:v>
                </c:pt>
                <c:pt idx="10">
                  <c:v>Q3 15</c:v>
                </c:pt>
                <c:pt idx="11">
                  <c:v>Q4 15</c:v>
                </c:pt>
                <c:pt idx="12">
                  <c:v>Q1 16</c:v>
                </c:pt>
                <c:pt idx="13">
                  <c:v>Q2 16</c:v>
                </c:pt>
                <c:pt idx="14">
                  <c:v>Q3 16</c:v>
                </c:pt>
              </c:strCache>
            </c:strRef>
          </c:cat>
          <c:val>
            <c:numRef>
              <c:f>'Snap charts'!$I$7:$W$7</c:f>
              <c:numCache>
                <c:formatCode>0%</c:formatCode>
                <c:ptCount val="15"/>
                <c:pt idx="0">
                  <c:v>-1.1206896551724133E-2</c:v>
                </c:pt>
                <c:pt idx="1">
                  <c:v>-2.4096385542168641E-2</c:v>
                </c:pt>
                <c:pt idx="2">
                  <c:v>-1.6281062553556103E-2</c:v>
                </c:pt>
                <c:pt idx="3">
                  <c:v>-4.7377326565143818E-2</c:v>
                </c:pt>
                <c:pt idx="4">
                  <c:v>-4.4463818657367038E-2</c:v>
                </c:pt>
                <c:pt idx="5">
                  <c:v>-4.0564373897707284E-2</c:v>
                </c:pt>
                <c:pt idx="6">
                  <c:v>-5.0522648083623722E-2</c:v>
                </c:pt>
                <c:pt idx="7">
                  <c:v>-2.6642984014209614E-2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BA-452B-B863-6A18EB90711D}"/>
            </c:ext>
          </c:extLst>
        </c:ser>
        <c:ser>
          <c:idx val="1"/>
          <c:order val="1"/>
          <c:tx>
            <c:strRef>
              <c:f>'Snap charts'!$H$8</c:f>
              <c:strCache>
                <c:ptCount val="1"/>
                <c:pt idx="0">
                  <c:v>Pricing</c:v>
                </c:pt>
              </c:strCache>
            </c:strRef>
          </c:tx>
          <c:spPr>
            <a:ln w="25400" cap="rnd">
              <a:solidFill>
                <a:srgbClr val="99CCFF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'Snap charts'!$I$6:$W$6</c:f>
              <c:strCache>
                <c:ptCount val="15"/>
                <c:pt idx="0">
                  <c:v>Q1 13</c:v>
                </c:pt>
                <c:pt idx="1">
                  <c:v>Q2 13</c:v>
                </c:pt>
                <c:pt idx="2">
                  <c:v>Q3 13</c:v>
                </c:pt>
                <c:pt idx="3">
                  <c:v>Q4 13</c:v>
                </c:pt>
                <c:pt idx="4">
                  <c:v>Q1 14</c:v>
                </c:pt>
                <c:pt idx="5">
                  <c:v>Q2 14</c:v>
                </c:pt>
                <c:pt idx="6">
                  <c:v>Q3 14</c:v>
                </c:pt>
                <c:pt idx="7">
                  <c:v>Q4 14</c:v>
                </c:pt>
                <c:pt idx="8">
                  <c:v>Q1 15</c:v>
                </c:pt>
                <c:pt idx="9">
                  <c:v>Q2 15</c:v>
                </c:pt>
                <c:pt idx="10">
                  <c:v>Q3 15</c:v>
                </c:pt>
                <c:pt idx="11">
                  <c:v>Q4 15</c:v>
                </c:pt>
                <c:pt idx="12">
                  <c:v>Q1 16</c:v>
                </c:pt>
                <c:pt idx="13">
                  <c:v>Q2 16</c:v>
                </c:pt>
                <c:pt idx="14">
                  <c:v>Q3 16</c:v>
                </c:pt>
              </c:strCache>
            </c:strRef>
          </c:cat>
          <c:val>
            <c:numRef>
              <c:f>'Snap charts'!$I$8:$W$8</c:f>
              <c:numCache>
                <c:formatCode>0%</c:formatCode>
                <c:ptCount val="15"/>
                <c:pt idx="0">
                  <c:v>-0.26165875992206022</c:v>
                </c:pt>
                <c:pt idx="1">
                  <c:v>-0.23416286090476457</c:v>
                </c:pt>
                <c:pt idx="2">
                  <c:v>-0.18772454437124075</c:v>
                </c:pt>
                <c:pt idx="3">
                  <c:v>-0.14668600349951533</c:v>
                </c:pt>
                <c:pt idx="4">
                  <c:v>8.0557991397502748E-2</c:v>
                </c:pt>
                <c:pt idx="5">
                  <c:v>3.6123067543374576E-2</c:v>
                </c:pt>
                <c:pt idx="6">
                  <c:v>-5.9728291096542874E-2</c:v>
                </c:pt>
                <c:pt idx="7">
                  <c:v>-9.0855019432625528E-2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BA-452B-B863-6A18EB90711D}"/>
            </c:ext>
          </c:extLst>
        </c:ser>
        <c:ser>
          <c:idx val="2"/>
          <c:order val="2"/>
          <c:tx>
            <c:strRef>
              <c:f>'Snap charts'!$H$9</c:f>
              <c:strCache>
                <c:ptCount val="1"/>
                <c:pt idx="0">
                  <c:v>MoU</c:v>
                </c:pt>
              </c:strCache>
            </c:strRef>
          </c:tx>
          <c:spPr>
            <a:ln w="25400" cap="rnd">
              <a:solidFill>
                <a:srgbClr val="333399"/>
              </a:solidFill>
              <a:prstDash val="lgDash"/>
              <a:round/>
            </a:ln>
            <a:effectLst/>
          </c:spPr>
          <c:marker>
            <c:symbol val="none"/>
          </c:marker>
          <c:cat>
            <c:strRef>
              <c:f>'Snap charts'!$I$6:$W$6</c:f>
              <c:strCache>
                <c:ptCount val="15"/>
                <c:pt idx="0">
                  <c:v>Q1 13</c:v>
                </c:pt>
                <c:pt idx="1">
                  <c:v>Q2 13</c:v>
                </c:pt>
                <c:pt idx="2">
                  <c:v>Q3 13</c:v>
                </c:pt>
                <c:pt idx="3">
                  <c:v>Q4 13</c:v>
                </c:pt>
                <c:pt idx="4">
                  <c:v>Q1 14</c:v>
                </c:pt>
                <c:pt idx="5">
                  <c:v>Q2 14</c:v>
                </c:pt>
                <c:pt idx="6">
                  <c:v>Q3 14</c:v>
                </c:pt>
                <c:pt idx="7">
                  <c:v>Q4 14</c:v>
                </c:pt>
                <c:pt idx="8">
                  <c:v>Q1 15</c:v>
                </c:pt>
                <c:pt idx="9">
                  <c:v>Q2 15</c:v>
                </c:pt>
                <c:pt idx="10">
                  <c:v>Q3 15</c:v>
                </c:pt>
                <c:pt idx="11">
                  <c:v>Q4 15</c:v>
                </c:pt>
                <c:pt idx="12">
                  <c:v>Q1 16</c:v>
                </c:pt>
                <c:pt idx="13">
                  <c:v>Q2 16</c:v>
                </c:pt>
                <c:pt idx="14">
                  <c:v>Q3 16</c:v>
                </c:pt>
              </c:strCache>
            </c:strRef>
          </c:cat>
          <c:val>
            <c:numRef>
              <c:f>'Snap charts'!$I$9:$W$9</c:f>
              <c:numCache>
                <c:formatCode>0%</c:formatCode>
                <c:ptCount val="15"/>
                <c:pt idx="0">
                  <c:v>-8.5714285714285743E-2</c:v>
                </c:pt>
                <c:pt idx="1">
                  <c:v>-0.10857142857142854</c:v>
                </c:pt>
                <c:pt idx="2">
                  <c:v>-4.3749999999999956E-2</c:v>
                </c:pt>
                <c:pt idx="3">
                  <c:v>-6.0606060606060552E-2</c:v>
                </c:pt>
                <c:pt idx="4">
                  <c:v>-3.7499999999999978E-2</c:v>
                </c:pt>
                <c:pt idx="5">
                  <c:v>3.2051282051282159E-2</c:v>
                </c:pt>
                <c:pt idx="6">
                  <c:v>7.8431372549019551E-2</c:v>
                </c:pt>
                <c:pt idx="7">
                  <c:v>8.3870967741935587E-2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4BA-452B-B863-6A18EB90711D}"/>
            </c:ext>
          </c:extLst>
        </c:ser>
        <c:ser>
          <c:idx val="3"/>
          <c:order val="3"/>
          <c:tx>
            <c:strRef>
              <c:f>'Snap charts'!$H$10</c:f>
              <c:strCache>
                <c:ptCount val="1"/>
                <c:pt idx="0">
                  <c:v>Subscribers</c:v>
                </c:pt>
              </c:strCache>
            </c:strRef>
          </c:tx>
          <c:spPr>
            <a:ln w="25400" cap="rnd">
              <a:solidFill>
                <a:srgbClr val="99CCFF"/>
              </a:solidFill>
              <a:prstDash val="lgDash"/>
              <a:round/>
            </a:ln>
            <a:effectLst/>
          </c:spPr>
          <c:marker>
            <c:symbol val="none"/>
          </c:marker>
          <c:cat>
            <c:strRef>
              <c:f>'Snap charts'!$I$6:$W$6</c:f>
              <c:strCache>
                <c:ptCount val="15"/>
                <c:pt idx="0">
                  <c:v>Q1 13</c:v>
                </c:pt>
                <c:pt idx="1">
                  <c:v>Q2 13</c:v>
                </c:pt>
                <c:pt idx="2">
                  <c:v>Q3 13</c:v>
                </c:pt>
                <c:pt idx="3">
                  <c:v>Q4 13</c:v>
                </c:pt>
                <c:pt idx="4">
                  <c:v>Q1 14</c:v>
                </c:pt>
                <c:pt idx="5">
                  <c:v>Q2 14</c:v>
                </c:pt>
                <c:pt idx="6">
                  <c:v>Q3 14</c:v>
                </c:pt>
                <c:pt idx="7">
                  <c:v>Q4 14</c:v>
                </c:pt>
                <c:pt idx="8">
                  <c:v>Q1 15</c:v>
                </c:pt>
                <c:pt idx="9">
                  <c:v>Q2 15</c:v>
                </c:pt>
                <c:pt idx="10">
                  <c:v>Q3 15</c:v>
                </c:pt>
                <c:pt idx="11">
                  <c:v>Q4 15</c:v>
                </c:pt>
                <c:pt idx="12">
                  <c:v>Q1 16</c:v>
                </c:pt>
                <c:pt idx="13">
                  <c:v>Q2 16</c:v>
                </c:pt>
                <c:pt idx="14">
                  <c:v>Q3 16</c:v>
                </c:pt>
              </c:strCache>
            </c:strRef>
          </c:cat>
          <c:val>
            <c:numRef>
              <c:f>'Snap charts'!$I$10:$W$10</c:f>
              <c:numCache>
                <c:formatCode>0%</c:formatCode>
                <c:ptCount val="15"/>
                <c:pt idx="0">
                  <c:v>6.5661515265736936E-2</c:v>
                </c:pt>
                <c:pt idx="1">
                  <c:v>1.9324026451138954E-2</c:v>
                </c:pt>
                <c:pt idx="2">
                  <c:v>-5.1471643933955535E-2</c:v>
                </c:pt>
                <c:pt idx="3">
                  <c:v>-8.5018806330281693E-2</c:v>
                </c:pt>
                <c:pt idx="4">
                  <c:v>-0.10851726089417091</c:v>
                </c:pt>
                <c:pt idx="5">
                  <c:v>-0.10610538455993657</c:v>
                </c:pt>
                <c:pt idx="6">
                  <c:v>-6.0395065465829068E-2</c:v>
                </c:pt>
                <c:pt idx="7">
                  <c:v>1.55122934925922E-3</c:v>
                </c:pt>
                <c:pt idx="8">
                  <c:v>5.2213934296143405E-2</c:v>
                </c:pt>
                <c:pt idx="9">
                  <c:v>6.9994355293927946E-2</c:v>
                </c:pt>
                <c:pt idx="10">
                  <c:v>5.5980668546113499E-2</c:v>
                </c:pt>
                <c:pt idx="11">
                  <c:v>-1.6959653062804891E-2</c:v>
                </c:pt>
                <c:pt idx="12">
                  <c:v>-7.1644042232277494E-2</c:v>
                </c:pt>
                <c:pt idx="13">
                  <c:v>-7.6870902102645244E-2</c:v>
                </c:pt>
                <c:pt idx="14">
                  <c:v>-8.1159420289855122E-2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4BA-452B-B863-6A18EB9071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47013192"/>
        <c:axId val="1047013584"/>
      </c:lineChart>
      <c:catAx>
        <c:axId val="1047013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/>
                <a:ea typeface="Trebuchet MS"/>
                <a:cs typeface="Trebuchet MS"/>
              </a:defRPr>
            </a:pPr>
            <a:endParaRPr lang="en-US"/>
          </a:p>
        </c:txPr>
        <c:crossAx val="1047013584"/>
        <c:crosses val="autoZero"/>
        <c:auto val="1"/>
        <c:lblAlgn val="ctr"/>
        <c:lblOffset val="100"/>
        <c:noMultiLvlLbl val="0"/>
      </c:catAx>
      <c:valAx>
        <c:axId val="104701358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C0C0C0"/>
              </a:solidFill>
              <a:prstDash val="solid"/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/>
                <a:ea typeface="Trebuchet MS"/>
                <a:cs typeface="Trebuchet MS"/>
              </a:defRPr>
            </a:pPr>
            <a:endParaRPr lang="en-US"/>
          </a:p>
        </c:txPr>
        <c:crossAx val="1047013192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rebuchet MS"/>
              <a:ea typeface="Trebuchet MS"/>
              <a:cs typeface="Trebuchet M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25400" cap="flat" cmpd="sng" algn="ctr">
      <a:noFill/>
      <a:round/>
    </a:ln>
    <a:effectLst/>
  </c:spPr>
  <c:txPr>
    <a:bodyPr/>
    <a:lstStyle/>
    <a:p>
      <a:pPr>
        <a:defRPr sz="1000" b="0" i="0" u="none" strike="noStrike" baseline="0">
          <a:latin typeface="Trebuchet MS"/>
          <a:ea typeface="Trebuchet MS"/>
          <a:cs typeface="Trebuchet M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'Snap charts'!$H$48</c:f>
              <c:strCache>
                <c:ptCount val="1"/>
                <c:pt idx="0">
                  <c:v>Voice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  <a:effectLst/>
          </c:spPr>
          <c:invertIfNegative val="0"/>
          <c:cat>
            <c:strRef>
              <c:f>'Snap charts'!$I$47:$X$47</c:f>
              <c:strCache>
                <c:ptCount val="16"/>
                <c:pt idx="0">
                  <c:v>Q1 13</c:v>
                </c:pt>
                <c:pt idx="1">
                  <c:v>Q2 13</c:v>
                </c:pt>
                <c:pt idx="2">
                  <c:v>Q3 13</c:v>
                </c:pt>
                <c:pt idx="3">
                  <c:v>Q4 13</c:v>
                </c:pt>
                <c:pt idx="4">
                  <c:v>Q1 14</c:v>
                </c:pt>
                <c:pt idx="5">
                  <c:v>Q2 14</c:v>
                </c:pt>
                <c:pt idx="6">
                  <c:v>Q3 14</c:v>
                </c:pt>
                <c:pt idx="7">
                  <c:v>Q4 14</c:v>
                </c:pt>
                <c:pt idx="8">
                  <c:v>Q1 15</c:v>
                </c:pt>
                <c:pt idx="9">
                  <c:v>Q2 15</c:v>
                </c:pt>
                <c:pt idx="10">
                  <c:v>Q3 15</c:v>
                </c:pt>
                <c:pt idx="11">
                  <c:v>Q4 15</c:v>
                </c:pt>
                <c:pt idx="12">
                  <c:v>Q1 16</c:v>
                </c:pt>
                <c:pt idx="13">
                  <c:v>Q2 16</c:v>
                </c:pt>
                <c:pt idx="14">
                  <c:v>Q3 16</c:v>
                </c:pt>
                <c:pt idx="15">
                  <c:v>Q3 17</c:v>
                </c:pt>
              </c:strCache>
            </c:strRef>
          </c:cat>
          <c:val>
            <c:numRef>
              <c:f>'Snap charts'!$I$48:$X$48</c:f>
              <c:numCache>
                <c:formatCode>General</c:formatCode>
                <c:ptCount val="16"/>
                <c:pt idx="0">
                  <c:v>1147</c:v>
                </c:pt>
                <c:pt idx="1">
                  <c:v>1134</c:v>
                </c:pt>
                <c:pt idx="2">
                  <c:v>1148</c:v>
                </c:pt>
                <c:pt idx="3">
                  <c:v>1126</c:v>
                </c:pt>
                <c:pt idx="4">
                  <c:v>1096</c:v>
                </c:pt>
                <c:pt idx="5">
                  <c:v>1088</c:v>
                </c:pt>
                <c:pt idx="6">
                  <c:v>1090</c:v>
                </c:pt>
                <c:pt idx="7">
                  <c:v>1096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4C-4627-8A56-E5E859E86F72}"/>
            </c:ext>
          </c:extLst>
        </c:ser>
        <c:ser>
          <c:idx val="1"/>
          <c:order val="1"/>
          <c:tx>
            <c:strRef>
              <c:f>'Snap charts'!$H$49</c:f>
              <c:strCache>
                <c:ptCount val="1"/>
                <c:pt idx="0">
                  <c:v>Data 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  <a:effectLst/>
          </c:spPr>
          <c:invertIfNegative val="0"/>
          <c:cat>
            <c:strRef>
              <c:f>'Snap charts'!$I$47:$X$47</c:f>
              <c:strCache>
                <c:ptCount val="16"/>
                <c:pt idx="0">
                  <c:v>Q1 13</c:v>
                </c:pt>
                <c:pt idx="1">
                  <c:v>Q2 13</c:v>
                </c:pt>
                <c:pt idx="2">
                  <c:v>Q3 13</c:v>
                </c:pt>
                <c:pt idx="3">
                  <c:v>Q4 13</c:v>
                </c:pt>
                <c:pt idx="4">
                  <c:v>Q1 14</c:v>
                </c:pt>
                <c:pt idx="5">
                  <c:v>Q2 14</c:v>
                </c:pt>
                <c:pt idx="6">
                  <c:v>Q3 14</c:v>
                </c:pt>
                <c:pt idx="7">
                  <c:v>Q4 14</c:v>
                </c:pt>
                <c:pt idx="8">
                  <c:v>Q1 15</c:v>
                </c:pt>
                <c:pt idx="9">
                  <c:v>Q2 15</c:v>
                </c:pt>
                <c:pt idx="10">
                  <c:v>Q3 15</c:v>
                </c:pt>
                <c:pt idx="11">
                  <c:v>Q4 15</c:v>
                </c:pt>
                <c:pt idx="12">
                  <c:v>Q1 16</c:v>
                </c:pt>
                <c:pt idx="13">
                  <c:v>Q2 16</c:v>
                </c:pt>
                <c:pt idx="14">
                  <c:v>Q3 16</c:v>
                </c:pt>
                <c:pt idx="15">
                  <c:v>Q3 17</c:v>
                </c:pt>
              </c:strCache>
            </c:strRef>
          </c:cat>
          <c:val>
            <c:numRef>
              <c:f>'Snap charts'!$I$49:$X$49</c:f>
              <c:numCache>
                <c:formatCode>General</c:formatCode>
                <c:ptCount val="16"/>
                <c:pt idx="0">
                  <c:v>466</c:v>
                </c:pt>
                <c:pt idx="1">
                  <c:v>495</c:v>
                </c:pt>
                <c:pt idx="2">
                  <c:v>506</c:v>
                </c:pt>
                <c:pt idx="3">
                  <c:v>524</c:v>
                </c:pt>
                <c:pt idx="4">
                  <c:v>524</c:v>
                </c:pt>
                <c:pt idx="5">
                  <c:v>566</c:v>
                </c:pt>
                <c:pt idx="6">
                  <c:v>589</c:v>
                </c:pt>
                <c:pt idx="7">
                  <c:v>638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4C-4627-8A56-E5E859E86F72}"/>
            </c:ext>
          </c:extLst>
        </c:ser>
        <c:ser>
          <c:idx val="2"/>
          <c:order val="2"/>
          <c:tx>
            <c:strRef>
              <c:f>'Snap charts'!$H$50</c:f>
              <c:strCache>
                <c:ptCount val="1"/>
                <c:pt idx="0">
                  <c:v>SMS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  <a:effectLst/>
          </c:spPr>
          <c:invertIfNegative val="0"/>
          <c:cat>
            <c:strRef>
              <c:f>'Snap charts'!$I$47:$X$47</c:f>
              <c:strCache>
                <c:ptCount val="16"/>
                <c:pt idx="0">
                  <c:v>Q1 13</c:v>
                </c:pt>
                <c:pt idx="1">
                  <c:v>Q2 13</c:v>
                </c:pt>
                <c:pt idx="2">
                  <c:v>Q3 13</c:v>
                </c:pt>
                <c:pt idx="3">
                  <c:v>Q4 13</c:v>
                </c:pt>
                <c:pt idx="4">
                  <c:v>Q1 14</c:v>
                </c:pt>
                <c:pt idx="5">
                  <c:v>Q2 14</c:v>
                </c:pt>
                <c:pt idx="6">
                  <c:v>Q3 14</c:v>
                </c:pt>
                <c:pt idx="7">
                  <c:v>Q4 14</c:v>
                </c:pt>
                <c:pt idx="8">
                  <c:v>Q1 15</c:v>
                </c:pt>
                <c:pt idx="9">
                  <c:v>Q2 15</c:v>
                </c:pt>
                <c:pt idx="10">
                  <c:v>Q3 15</c:v>
                </c:pt>
                <c:pt idx="11">
                  <c:v>Q4 15</c:v>
                </c:pt>
                <c:pt idx="12">
                  <c:v>Q1 16</c:v>
                </c:pt>
                <c:pt idx="13">
                  <c:v>Q2 16</c:v>
                </c:pt>
                <c:pt idx="14">
                  <c:v>Q3 16</c:v>
                </c:pt>
                <c:pt idx="15">
                  <c:v>Q3 17</c:v>
                </c:pt>
              </c:strCache>
            </c:strRef>
          </c:cat>
          <c:val>
            <c:numRef>
              <c:f>'Snap charts'!$I$50:$X$50</c:f>
              <c:numCache>
                <c:formatCode>General</c:formatCode>
                <c:ptCount val="16"/>
                <c:pt idx="0">
                  <c:v>320</c:v>
                </c:pt>
                <c:pt idx="1">
                  <c:v>298</c:v>
                </c:pt>
                <c:pt idx="2">
                  <c:v>275</c:v>
                </c:pt>
                <c:pt idx="3">
                  <c:v>257</c:v>
                </c:pt>
                <c:pt idx="4">
                  <c:v>223</c:v>
                </c:pt>
                <c:pt idx="5">
                  <c:v>205</c:v>
                </c:pt>
                <c:pt idx="6">
                  <c:v>184</c:v>
                </c:pt>
                <c:pt idx="7">
                  <c:v>171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04C-4627-8A56-E5E859E86F72}"/>
            </c:ext>
          </c:extLst>
        </c:ser>
        <c:ser>
          <c:idx val="3"/>
          <c:order val="3"/>
          <c:tx>
            <c:strRef>
              <c:f>'Snap charts'!$H$51</c:f>
              <c:strCache>
                <c:ptCount val="1"/>
                <c:pt idx="0">
                  <c:v>VAS</c:v>
                </c:pt>
              </c:strCache>
            </c:strRef>
          </c:tx>
          <c:spPr>
            <a:solidFill>
              <a:srgbClr val="CCCCFF"/>
            </a:solidFill>
            <a:ln w="25400">
              <a:noFill/>
            </a:ln>
            <a:effectLst/>
          </c:spPr>
          <c:invertIfNegative val="0"/>
          <c:cat>
            <c:strRef>
              <c:f>'Snap charts'!$I$47:$X$47</c:f>
              <c:strCache>
                <c:ptCount val="16"/>
                <c:pt idx="0">
                  <c:v>Q1 13</c:v>
                </c:pt>
                <c:pt idx="1">
                  <c:v>Q2 13</c:v>
                </c:pt>
                <c:pt idx="2">
                  <c:v>Q3 13</c:v>
                </c:pt>
                <c:pt idx="3">
                  <c:v>Q4 13</c:v>
                </c:pt>
                <c:pt idx="4">
                  <c:v>Q1 14</c:v>
                </c:pt>
                <c:pt idx="5">
                  <c:v>Q2 14</c:v>
                </c:pt>
                <c:pt idx="6">
                  <c:v>Q3 14</c:v>
                </c:pt>
                <c:pt idx="7">
                  <c:v>Q4 14</c:v>
                </c:pt>
                <c:pt idx="8">
                  <c:v>Q1 15</c:v>
                </c:pt>
                <c:pt idx="9">
                  <c:v>Q2 15</c:v>
                </c:pt>
                <c:pt idx="10">
                  <c:v>Q3 15</c:v>
                </c:pt>
                <c:pt idx="11">
                  <c:v>Q4 15</c:v>
                </c:pt>
                <c:pt idx="12">
                  <c:v>Q1 16</c:v>
                </c:pt>
                <c:pt idx="13">
                  <c:v>Q2 16</c:v>
                </c:pt>
                <c:pt idx="14">
                  <c:v>Q3 16</c:v>
                </c:pt>
                <c:pt idx="15">
                  <c:v>Q3 17</c:v>
                </c:pt>
              </c:strCache>
            </c:strRef>
          </c:cat>
          <c:val>
            <c:numRef>
              <c:f>'Snap charts'!$I$51:$X$51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04C-4627-8A56-E5E859E86F72}"/>
            </c:ext>
          </c:extLst>
        </c:ser>
        <c:ser>
          <c:idx val="4"/>
          <c:order val="4"/>
          <c:tx>
            <c:strRef>
              <c:f>'Snap charts'!$H$52</c:f>
              <c:strCache>
                <c:ptCount val="1"/>
                <c:pt idx="0">
                  <c:v>Equipment</c:v>
                </c:pt>
              </c:strCache>
            </c:strRef>
          </c:tx>
          <c:spPr>
            <a:solidFill>
              <a:srgbClr val="969696"/>
            </a:solidFill>
            <a:ln w="25400">
              <a:noFill/>
            </a:ln>
            <a:effectLst/>
          </c:spPr>
          <c:invertIfNegative val="0"/>
          <c:cat>
            <c:strRef>
              <c:f>'Snap charts'!$I$47:$X$47</c:f>
              <c:strCache>
                <c:ptCount val="16"/>
                <c:pt idx="0">
                  <c:v>Q1 13</c:v>
                </c:pt>
                <c:pt idx="1">
                  <c:v>Q2 13</c:v>
                </c:pt>
                <c:pt idx="2">
                  <c:v>Q3 13</c:v>
                </c:pt>
                <c:pt idx="3">
                  <c:v>Q4 13</c:v>
                </c:pt>
                <c:pt idx="4">
                  <c:v>Q1 14</c:v>
                </c:pt>
                <c:pt idx="5">
                  <c:v>Q2 14</c:v>
                </c:pt>
                <c:pt idx="6">
                  <c:v>Q3 14</c:v>
                </c:pt>
                <c:pt idx="7">
                  <c:v>Q4 14</c:v>
                </c:pt>
                <c:pt idx="8">
                  <c:v>Q1 15</c:v>
                </c:pt>
                <c:pt idx="9">
                  <c:v>Q2 15</c:v>
                </c:pt>
                <c:pt idx="10">
                  <c:v>Q3 15</c:v>
                </c:pt>
                <c:pt idx="11">
                  <c:v>Q4 15</c:v>
                </c:pt>
                <c:pt idx="12">
                  <c:v>Q1 16</c:v>
                </c:pt>
                <c:pt idx="13">
                  <c:v>Q2 16</c:v>
                </c:pt>
                <c:pt idx="14">
                  <c:v>Q3 16</c:v>
                </c:pt>
                <c:pt idx="15">
                  <c:v>Q3 17</c:v>
                </c:pt>
              </c:strCache>
            </c:strRef>
          </c:cat>
          <c:val>
            <c:numRef>
              <c:f>'Snap charts'!$I$52:$X$52</c:f>
              <c:numCache>
                <c:formatCode>0</c:formatCode>
                <c:ptCount val="16"/>
                <c:pt idx="0">
                  <c:v>118.33699999999999</c:v>
                </c:pt>
                <c:pt idx="1">
                  <c:v>130.37899999999991</c:v>
                </c:pt>
                <c:pt idx="2">
                  <c:v>100.80799999999999</c:v>
                </c:pt>
                <c:pt idx="3">
                  <c:v>105.20900000000006</c:v>
                </c:pt>
                <c:pt idx="4">
                  <c:v>117.3599999999999</c:v>
                </c:pt>
                <c:pt idx="5">
                  <c:v>79.775000000000091</c:v>
                </c:pt>
                <c:pt idx="6">
                  <c:v>84.799999999999955</c:v>
                </c:pt>
                <c:pt idx="7">
                  <c:v>88.400000000000091</c:v>
                </c:pt>
                <c:pt idx="8">
                  <c:v>134.5440000000001</c:v>
                </c:pt>
                <c:pt idx="9">
                  <c:v>113.70550000000003</c:v>
                </c:pt>
                <c:pt idx="10">
                  <c:v>107.1434999999999</c:v>
                </c:pt>
                <c:pt idx="11">
                  <c:v>111.70000000000005</c:v>
                </c:pt>
                <c:pt idx="12">
                  <c:v>129.70000000000005</c:v>
                </c:pt>
                <c:pt idx="13">
                  <c:v>128.91350000000011</c:v>
                </c:pt>
                <c:pt idx="14">
                  <c:v>159.875</c:v>
                </c:pt>
                <c:pt idx="15">
                  <c:v>107.6400000000001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04C-4627-8A56-E5E859E86F72}"/>
            </c:ext>
          </c:extLst>
        </c:ser>
        <c:ser>
          <c:idx val="5"/>
          <c:order val="5"/>
          <c:tx>
            <c:strRef>
              <c:f>'Snap charts'!$H$53</c:f>
              <c:strCache>
                <c:ptCount val="1"/>
                <c:pt idx="0">
                  <c:v>Consensus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25400">
              <a:solidFill>
                <a:schemeClr val="accent5">
                  <a:lumMod val="75000"/>
                </a:schemeClr>
              </a:solidFill>
            </a:ln>
            <a:effectLst/>
          </c:spPr>
          <c:invertIfNegative val="0"/>
          <c:cat>
            <c:strRef>
              <c:f>'Snap charts'!$I$47:$X$47</c:f>
              <c:strCache>
                <c:ptCount val="16"/>
                <c:pt idx="0">
                  <c:v>Q1 13</c:v>
                </c:pt>
                <c:pt idx="1">
                  <c:v>Q2 13</c:v>
                </c:pt>
                <c:pt idx="2">
                  <c:v>Q3 13</c:v>
                </c:pt>
                <c:pt idx="3">
                  <c:v>Q4 13</c:v>
                </c:pt>
                <c:pt idx="4">
                  <c:v>Q1 14</c:v>
                </c:pt>
                <c:pt idx="5">
                  <c:v>Q2 14</c:v>
                </c:pt>
                <c:pt idx="6">
                  <c:v>Q3 14</c:v>
                </c:pt>
                <c:pt idx="7">
                  <c:v>Q4 14</c:v>
                </c:pt>
                <c:pt idx="8">
                  <c:v>Q1 15</c:v>
                </c:pt>
                <c:pt idx="9">
                  <c:v>Q2 15</c:v>
                </c:pt>
                <c:pt idx="10">
                  <c:v>Q3 15</c:v>
                </c:pt>
                <c:pt idx="11">
                  <c:v>Q4 15</c:v>
                </c:pt>
                <c:pt idx="12">
                  <c:v>Q1 16</c:v>
                </c:pt>
                <c:pt idx="13">
                  <c:v>Q2 16</c:v>
                </c:pt>
                <c:pt idx="14">
                  <c:v>Q3 16</c:v>
                </c:pt>
                <c:pt idx="15">
                  <c:v>Q3 17</c:v>
                </c:pt>
              </c:strCache>
            </c:strRef>
          </c:cat>
          <c:val>
            <c:numRef>
              <c:f>'Snap charts'!$I$53:$X$53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04C-4627-8A56-E5E859E86F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3995560"/>
        <c:axId val="353992424"/>
      </c:barChart>
      <c:catAx>
        <c:axId val="353995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/>
                <a:ea typeface="Trebuchet MS"/>
                <a:cs typeface="Trebuchet MS"/>
              </a:defRPr>
            </a:pPr>
            <a:endParaRPr lang="en-US"/>
          </a:p>
        </c:txPr>
        <c:crossAx val="353992424"/>
        <c:crosses val="autoZero"/>
        <c:auto val="1"/>
        <c:lblAlgn val="ctr"/>
        <c:lblOffset val="100"/>
        <c:noMultiLvlLbl val="0"/>
      </c:catAx>
      <c:valAx>
        <c:axId val="353992424"/>
        <c:scaling>
          <c:orientation val="minMax"/>
          <c:max val="2000"/>
        </c:scaling>
        <c:delete val="0"/>
        <c:axPos val="l"/>
        <c:majorGridlines>
          <c:spPr>
            <a:ln w="3175" cap="flat" cmpd="sng" algn="ctr">
              <a:solidFill>
                <a:srgbClr val="C0C0C0"/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/>
                <a:ea typeface="Trebuchet MS"/>
                <a:cs typeface="Trebuchet MS"/>
              </a:defRPr>
            </a:pPr>
            <a:endParaRPr lang="en-US"/>
          </a:p>
        </c:txPr>
        <c:crossAx val="353995560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rebuchet MS"/>
              <a:ea typeface="Trebuchet MS"/>
              <a:cs typeface="Trebuchet M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25400" cap="flat" cmpd="sng" algn="ctr">
      <a:noFill/>
      <a:round/>
    </a:ln>
    <a:effectLst/>
  </c:spPr>
  <c:txPr>
    <a:bodyPr/>
    <a:lstStyle/>
    <a:p>
      <a:pPr>
        <a:defRPr sz="1000" b="0" i="0" u="none" strike="noStrike" baseline="0">
          <a:latin typeface="Trebuchet MS"/>
          <a:ea typeface="Trebuchet MS"/>
          <a:cs typeface="Trebuchet M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'Snap charts'!$H$68</c:f>
              <c:strCache>
                <c:ptCount val="1"/>
                <c:pt idx="0">
                  <c:v>Handest revenues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  <a:effectLst/>
          </c:spPr>
          <c:invertIfNegative val="0"/>
          <c:cat>
            <c:strRef>
              <c:f>'Snap charts'!$I$66:$W$66</c:f>
              <c:strCache>
                <c:ptCount val="15"/>
                <c:pt idx="0">
                  <c:v>Q1 13</c:v>
                </c:pt>
                <c:pt idx="1">
                  <c:v>Q2 13</c:v>
                </c:pt>
                <c:pt idx="2">
                  <c:v>Q3 13</c:v>
                </c:pt>
                <c:pt idx="3">
                  <c:v>Q4 13</c:v>
                </c:pt>
                <c:pt idx="4">
                  <c:v>Q1 14</c:v>
                </c:pt>
                <c:pt idx="5">
                  <c:v>Q2 14</c:v>
                </c:pt>
                <c:pt idx="6">
                  <c:v>Q3 14</c:v>
                </c:pt>
                <c:pt idx="7">
                  <c:v>Q4 14</c:v>
                </c:pt>
                <c:pt idx="8">
                  <c:v>Q1 15</c:v>
                </c:pt>
                <c:pt idx="9">
                  <c:v>Q2 15</c:v>
                </c:pt>
                <c:pt idx="10">
                  <c:v>Q3 15</c:v>
                </c:pt>
                <c:pt idx="11">
                  <c:v>Q4 15</c:v>
                </c:pt>
                <c:pt idx="12">
                  <c:v>Q1 16</c:v>
                </c:pt>
                <c:pt idx="13">
                  <c:v>Q2 16</c:v>
                </c:pt>
                <c:pt idx="14">
                  <c:v>Q3 16</c:v>
                </c:pt>
              </c:strCache>
            </c:strRef>
          </c:cat>
          <c:val>
            <c:numRef>
              <c:f>'Snap charts'!$I$68:$W$68</c:f>
              <c:numCache>
                <c:formatCode>0</c:formatCode>
                <c:ptCount val="15"/>
                <c:pt idx="0">
                  <c:v>118.33699999999999</c:v>
                </c:pt>
                <c:pt idx="1">
                  <c:v>130.37899999999991</c:v>
                </c:pt>
                <c:pt idx="2">
                  <c:v>100.80799999999999</c:v>
                </c:pt>
                <c:pt idx="3">
                  <c:v>105.20900000000006</c:v>
                </c:pt>
                <c:pt idx="4">
                  <c:v>117.3599999999999</c:v>
                </c:pt>
                <c:pt idx="5">
                  <c:v>79.775000000000091</c:v>
                </c:pt>
                <c:pt idx="6">
                  <c:v>84.799999999999955</c:v>
                </c:pt>
                <c:pt idx="7">
                  <c:v>88.400000000000091</c:v>
                </c:pt>
                <c:pt idx="8">
                  <c:v>134.5440000000001</c:v>
                </c:pt>
                <c:pt idx="9">
                  <c:v>113.70550000000003</c:v>
                </c:pt>
                <c:pt idx="10">
                  <c:v>107.1434999999999</c:v>
                </c:pt>
                <c:pt idx="11">
                  <c:v>111.70000000000005</c:v>
                </c:pt>
                <c:pt idx="12">
                  <c:v>129.70000000000005</c:v>
                </c:pt>
                <c:pt idx="13">
                  <c:v>128.91350000000011</c:v>
                </c:pt>
                <c:pt idx="14">
                  <c:v>159.875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46-4F71-B157-D59B2DD1912A}"/>
            </c:ext>
          </c:extLst>
        </c:ser>
        <c:ser>
          <c:idx val="1"/>
          <c:order val="1"/>
          <c:tx>
            <c:strRef>
              <c:f>'Snap charts'!$H$69</c:f>
              <c:strCache>
                <c:ptCount val="1"/>
                <c:pt idx="0">
                  <c:v>Handset EBITDA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  <a:effectLst/>
          </c:spPr>
          <c:invertIfNegative val="0"/>
          <c:cat>
            <c:strRef>
              <c:f>'Snap charts'!$I$66:$W$66</c:f>
              <c:strCache>
                <c:ptCount val="15"/>
                <c:pt idx="0">
                  <c:v>Q1 13</c:v>
                </c:pt>
                <c:pt idx="1">
                  <c:v>Q2 13</c:v>
                </c:pt>
                <c:pt idx="2">
                  <c:v>Q3 13</c:v>
                </c:pt>
                <c:pt idx="3">
                  <c:v>Q4 13</c:v>
                </c:pt>
                <c:pt idx="4">
                  <c:v>Q1 14</c:v>
                </c:pt>
                <c:pt idx="5">
                  <c:v>Q2 14</c:v>
                </c:pt>
                <c:pt idx="6">
                  <c:v>Q3 14</c:v>
                </c:pt>
                <c:pt idx="7">
                  <c:v>Q4 14</c:v>
                </c:pt>
                <c:pt idx="8">
                  <c:v>Q1 15</c:v>
                </c:pt>
                <c:pt idx="9">
                  <c:v>Q2 15</c:v>
                </c:pt>
                <c:pt idx="10">
                  <c:v>Q3 15</c:v>
                </c:pt>
                <c:pt idx="11">
                  <c:v>Q4 15</c:v>
                </c:pt>
                <c:pt idx="12">
                  <c:v>Q1 16</c:v>
                </c:pt>
                <c:pt idx="13">
                  <c:v>Q2 16</c:v>
                </c:pt>
                <c:pt idx="14">
                  <c:v>Q3 16</c:v>
                </c:pt>
              </c:strCache>
            </c:strRef>
          </c:cat>
          <c:val>
            <c:numRef>
              <c:f>'Snap charts'!$I$69:$W$69</c:f>
              <c:numCache>
                <c:formatCode>_-* #,##0_-;\-* #,##0_-;_-* "-"??_-;_-@_-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46-4F71-B157-D59B2DD191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14682336"/>
        <c:axId val="718177880"/>
      </c:barChart>
      <c:catAx>
        <c:axId val="1014682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/>
                <a:ea typeface="Trebuchet MS"/>
                <a:cs typeface="Trebuchet MS"/>
              </a:defRPr>
            </a:pPr>
            <a:endParaRPr lang="en-US"/>
          </a:p>
        </c:txPr>
        <c:crossAx val="718177880"/>
        <c:crosses val="autoZero"/>
        <c:auto val="1"/>
        <c:lblAlgn val="ctr"/>
        <c:lblOffset val="100"/>
        <c:noMultiLvlLbl val="0"/>
      </c:catAx>
      <c:valAx>
        <c:axId val="718177880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C0C0C0"/>
              </a:solidFill>
              <a:prstDash val="solid"/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/>
                <a:ea typeface="Trebuchet MS"/>
                <a:cs typeface="Trebuchet MS"/>
              </a:defRPr>
            </a:pPr>
            <a:endParaRPr lang="en-US"/>
          </a:p>
        </c:txPr>
        <c:crossAx val="1014682336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rebuchet MS"/>
              <a:ea typeface="Trebuchet MS"/>
              <a:cs typeface="Trebuchet M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25400" cap="flat" cmpd="sng" algn="ctr">
      <a:noFill/>
      <a:round/>
    </a:ln>
    <a:effectLst/>
  </c:spPr>
  <c:txPr>
    <a:bodyPr/>
    <a:lstStyle/>
    <a:p>
      <a:pPr>
        <a:defRPr sz="1000" b="0" i="0" u="none" strike="noStrike" baseline="0">
          <a:latin typeface="Trebuchet MS"/>
          <a:ea typeface="Trebuchet MS"/>
          <a:cs typeface="Trebuchet M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'Snap charts'!$H$62</c:f>
              <c:strCache>
                <c:ptCount val="1"/>
                <c:pt idx="0">
                  <c:v>Margins</c:v>
                </c:pt>
              </c:strCache>
            </c:strRef>
          </c:tx>
          <c:spPr>
            <a:ln w="25400" cap="rnd">
              <a:solidFill>
                <a:srgbClr val="333399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'Snap charts'!$I$61:$Y$61</c:f>
              <c:strCache>
                <c:ptCount val="17"/>
                <c:pt idx="0">
                  <c:v>Q1 13</c:v>
                </c:pt>
                <c:pt idx="1">
                  <c:v>Q2 13</c:v>
                </c:pt>
                <c:pt idx="2">
                  <c:v>Q3 13</c:v>
                </c:pt>
                <c:pt idx="3">
                  <c:v>Q4 13</c:v>
                </c:pt>
                <c:pt idx="4">
                  <c:v>Q1 14</c:v>
                </c:pt>
                <c:pt idx="5">
                  <c:v>Q2 14</c:v>
                </c:pt>
                <c:pt idx="6">
                  <c:v>Q3 14</c:v>
                </c:pt>
                <c:pt idx="7">
                  <c:v>Q4 14</c:v>
                </c:pt>
                <c:pt idx="8">
                  <c:v>Q1 15</c:v>
                </c:pt>
                <c:pt idx="9">
                  <c:v>Q2 15</c:v>
                </c:pt>
                <c:pt idx="10">
                  <c:v>Q3 15</c:v>
                </c:pt>
                <c:pt idx="11">
                  <c:v>Q4 15</c:v>
                </c:pt>
                <c:pt idx="12">
                  <c:v>Q1 16</c:v>
                </c:pt>
                <c:pt idx="13">
                  <c:v>Q2 16</c:v>
                </c:pt>
                <c:pt idx="14">
                  <c:v>Q3 16</c:v>
                </c:pt>
                <c:pt idx="15">
                  <c:v>Q4 16</c:v>
                </c:pt>
                <c:pt idx="16">
                  <c:v>Q1 17</c:v>
                </c:pt>
              </c:strCache>
            </c:strRef>
          </c:cat>
          <c:val>
            <c:numRef>
              <c:f>'Snap charts'!$I$62:$Y$62</c:f>
              <c:numCache>
                <c:formatCode>#,##0.0%;[Red]\-#,##0.0%;0.0%;@_)</c:formatCode>
                <c:ptCount val="17"/>
                <c:pt idx="0">
                  <c:v>0.48216587881392353</c:v>
                </c:pt>
                <c:pt idx="1">
                  <c:v>0.50762527233115473</c:v>
                </c:pt>
                <c:pt idx="2">
                  <c:v>0.51540866458240286</c:v>
                </c:pt>
                <c:pt idx="3">
                  <c:v>0.48606115107913667</c:v>
                </c:pt>
                <c:pt idx="4">
                  <c:v>0.33400000000000002</c:v>
                </c:pt>
                <c:pt idx="5">
                  <c:v>0.313</c:v>
                </c:pt>
                <c:pt idx="6">
                  <c:v>0.316</c:v>
                </c:pt>
                <c:pt idx="7">
                  <c:v>0.32800000000000001</c:v>
                </c:pt>
                <c:pt idx="8">
                  <c:v>0.33200000000000002</c:v>
                </c:pt>
                <c:pt idx="9">
                  <c:v>0.308</c:v>
                </c:pt>
                <c:pt idx="10">
                  <c:v>0.31809787626962144</c:v>
                </c:pt>
                <c:pt idx="11">
                  <c:v>0.31066176470588236</c:v>
                </c:pt>
                <c:pt idx="12">
                  <c:v>0.54252336448598126</c:v>
                </c:pt>
                <c:pt idx="13">
                  <c:v>0.48049476688867743</c:v>
                </c:pt>
                <c:pt idx="14">
                  <c:v>0.53061224489795922</c:v>
                </c:pt>
                <c:pt idx="15">
                  <c:v>0.53613369467028005</c:v>
                </c:pt>
                <c:pt idx="16">
                  <c:v>0.43115789473684213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C9-46B1-846D-559F1E185E11}"/>
            </c:ext>
          </c:extLst>
        </c:ser>
        <c:ser>
          <c:idx val="1"/>
          <c:order val="1"/>
          <c:tx>
            <c:strRef>
              <c:f>'Snap charts'!$H$63</c:f>
              <c:strCache>
                <c:ptCount val="1"/>
                <c:pt idx="0">
                  <c:v>Service rev margins</c:v>
                </c:pt>
              </c:strCache>
            </c:strRef>
          </c:tx>
          <c:spPr>
            <a:ln w="25400" cap="rnd">
              <a:solidFill>
                <a:srgbClr val="99CCFF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'Snap charts'!$I$61:$Y$61</c:f>
              <c:strCache>
                <c:ptCount val="17"/>
                <c:pt idx="0">
                  <c:v>Q1 13</c:v>
                </c:pt>
                <c:pt idx="1">
                  <c:v>Q2 13</c:v>
                </c:pt>
                <c:pt idx="2">
                  <c:v>Q3 13</c:v>
                </c:pt>
                <c:pt idx="3">
                  <c:v>Q4 13</c:v>
                </c:pt>
                <c:pt idx="4">
                  <c:v>Q1 14</c:v>
                </c:pt>
                <c:pt idx="5">
                  <c:v>Q2 14</c:v>
                </c:pt>
                <c:pt idx="6">
                  <c:v>Q3 14</c:v>
                </c:pt>
                <c:pt idx="7">
                  <c:v>Q4 14</c:v>
                </c:pt>
                <c:pt idx="8">
                  <c:v>Q1 15</c:v>
                </c:pt>
                <c:pt idx="9">
                  <c:v>Q2 15</c:v>
                </c:pt>
                <c:pt idx="10">
                  <c:v>Q3 15</c:v>
                </c:pt>
                <c:pt idx="11">
                  <c:v>Q4 15</c:v>
                </c:pt>
                <c:pt idx="12">
                  <c:v>Q1 16</c:v>
                </c:pt>
                <c:pt idx="13">
                  <c:v>Q2 16</c:v>
                </c:pt>
                <c:pt idx="14">
                  <c:v>Q3 16</c:v>
                </c:pt>
                <c:pt idx="15">
                  <c:v>Q4 16</c:v>
                </c:pt>
                <c:pt idx="16">
                  <c:v>Q1 17</c:v>
                </c:pt>
              </c:strCache>
            </c:strRef>
          </c:cat>
          <c:val>
            <c:numRef>
              <c:f>'Snap charts'!$I$63:$Y$63</c:f>
              <c:numCache>
                <c:formatCode>#,##0.0%;[Red]\-#,##0.0%;0.0%;@_)</c:formatCode>
                <c:ptCount val="17"/>
                <c:pt idx="0">
                  <c:v>0.52291529471310261</c:v>
                </c:pt>
                <c:pt idx="1">
                  <c:v>0.5530183170109858</c:v>
                </c:pt>
                <c:pt idx="2">
                  <c:v>0.55475648401685995</c:v>
                </c:pt>
                <c:pt idx="3">
                  <c:v>0.52532059864194169</c:v>
                </c:pt>
                <c:pt idx="4">
                  <c:v>0.36432174772474574</c:v>
                </c:pt>
                <c:pt idx="5">
                  <c:v>0.33587135512633848</c:v>
                </c:pt>
                <c:pt idx="6">
                  <c:v>0.34053856591170023</c:v>
                </c:pt>
                <c:pt idx="7">
                  <c:v>0.35408522322790609</c:v>
                </c:pt>
                <c:pt idx="8">
                  <c:v>0.36598312554887114</c:v>
                </c:pt>
                <c:pt idx="9">
                  <c:v>0.3363255445792554</c:v>
                </c:pt>
                <c:pt idx="10">
                  <c:v>0.34521519958975005</c:v>
                </c:pt>
                <c:pt idx="11">
                  <c:v>0.33744321868916288</c:v>
                </c:pt>
                <c:pt idx="12">
                  <c:v>0.59743734883960276</c:v>
                </c:pt>
                <c:pt idx="13">
                  <c:v>0.52988151377180415</c:v>
                </c:pt>
                <c:pt idx="14">
                  <c:v>0.59517461143265915</c:v>
                </c:pt>
                <c:pt idx="15">
                  <c:v>0.58520183793803859</c:v>
                </c:pt>
                <c:pt idx="16">
                  <c:v>0.49089165867689355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C9-46B1-846D-559F1E185E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8176312"/>
        <c:axId val="718183368"/>
      </c:lineChart>
      <c:catAx>
        <c:axId val="718176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/>
                <a:ea typeface="Trebuchet MS"/>
                <a:cs typeface="Trebuchet MS"/>
              </a:defRPr>
            </a:pPr>
            <a:endParaRPr lang="en-US"/>
          </a:p>
        </c:txPr>
        <c:crossAx val="718183368"/>
        <c:crosses val="autoZero"/>
        <c:auto val="1"/>
        <c:lblAlgn val="ctr"/>
        <c:lblOffset val="100"/>
        <c:noMultiLvlLbl val="0"/>
      </c:catAx>
      <c:valAx>
        <c:axId val="718183368"/>
        <c:scaling>
          <c:orientation val="minMax"/>
          <c:min val="0.4"/>
        </c:scaling>
        <c:delete val="0"/>
        <c:axPos val="l"/>
        <c:majorGridlines>
          <c:spPr>
            <a:ln w="3175" cap="flat" cmpd="sng" algn="ctr">
              <a:solidFill>
                <a:srgbClr val="C0C0C0"/>
              </a:solidFill>
              <a:prstDash val="solid"/>
              <a:round/>
            </a:ln>
            <a:effectLst/>
          </c:spPr>
        </c:majorGridlines>
        <c:numFmt formatCode="#,##0.0%;[Red]\-#,##0.0%;0.0%;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/>
                <a:ea typeface="Trebuchet MS"/>
                <a:cs typeface="Trebuchet MS"/>
              </a:defRPr>
            </a:pPr>
            <a:endParaRPr lang="en-US"/>
          </a:p>
        </c:txPr>
        <c:crossAx val="718176312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rebuchet MS"/>
              <a:ea typeface="Trebuchet MS"/>
              <a:cs typeface="Trebuchet M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25400" cap="flat" cmpd="sng" algn="ctr">
      <a:noFill/>
      <a:round/>
    </a:ln>
    <a:effectLst/>
  </c:spPr>
  <c:txPr>
    <a:bodyPr/>
    <a:lstStyle/>
    <a:p>
      <a:pPr>
        <a:defRPr sz="1000" b="0" i="0" u="none" strike="noStrike" baseline="0">
          <a:latin typeface="Trebuchet MS"/>
          <a:ea typeface="Trebuchet MS"/>
          <a:cs typeface="Trebuchet M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'Snap charts'!$H$103</c:f>
              <c:strCache>
                <c:ptCount val="1"/>
                <c:pt idx="0">
                  <c:v>Voice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  <a:effectLst/>
          </c:spPr>
          <c:invertIfNegative val="0"/>
          <c:cat>
            <c:strRef>
              <c:f>'Snap charts'!$I$102:$W$102</c:f>
              <c:strCache>
                <c:ptCount val="15"/>
                <c:pt idx="0">
                  <c:v>Q1 13</c:v>
                </c:pt>
                <c:pt idx="1">
                  <c:v>Q2 13</c:v>
                </c:pt>
                <c:pt idx="2">
                  <c:v>Q3 13</c:v>
                </c:pt>
                <c:pt idx="3">
                  <c:v>Q4 13</c:v>
                </c:pt>
                <c:pt idx="4">
                  <c:v>Q1 14</c:v>
                </c:pt>
                <c:pt idx="5">
                  <c:v>Q2 14</c:v>
                </c:pt>
                <c:pt idx="6">
                  <c:v>Q3 14</c:v>
                </c:pt>
                <c:pt idx="7">
                  <c:v>Q4 14</c:v>
                </c:pt>
                <c:pt idx="8">
                  <c:v>Q1 15</c:v>
                </c:pt>
                <c:pt idx="9">
                  <c:v>Q2 15</c:v>
                </c:pt>
                <c:pt idx="10">
                  <c:v>Q3 15</c:v>
                </c:pt>
                <c:pt idx="11">
                  <c:v>Q4 15</c:v>
                </c:pt>
                <c:pt idx="12">
                  <c:v>Q1 16</c:v>
                </c:pt>
                <c:pt idx="13">
                  <c:v>Q2 16</c:v>
                </c:pt>
                <c:pt idx="14">
                  <c:v>Q3 16</c:v>
                </c:pt>
              </c:strCache>
            </c:strRef>
          </c:cat>
          <c:val>
            <c:numRef>
              <c:f>'Snap charts'!$I$103:$W$103</c:f>
              <c:numCache>
                <c:formatCode>#,##0.0_);[Red]\-#,##0.0_);0.0_);@_)</c:formatCode>
                <c:ptCount val="15"/>
                <c:pt idx="0">
                  <c:v>28.499515972894482</c:v>
                </c:pt>
                <c:pt idx="1">
                  <c:v>28.317983519146878</c:v>
                </c:pt>
                <c:pt idx="2">
                  <c:v>29.7220867869332</c:v>
                </c:pt>
                <c:pt idx="3">
                  <c:v>30.092391304347828</c:v>
                </c:pt>
                <c:pt idx="4">
                  <c:v>29.640552995391708</c:v>
                </c:pt>
                <c:pt idx="5">
                  <c:v>30.28132992327366</c:v>
                </c:pt>
                <c:pt idx="6">
                  <c:v>30.138746145940392</c:v>
                </c:pt>
                <c:pt idx="7">
                  <c:v>29.652917505030185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F9-499B-8D08-6F22340AB491}"/>
            </c:ext>
          </c:extLst>
        </c:ser>
        <c:ser>
          <c:idx val="1"/>
          <c:order val="1"/>
          <c:tx>
            <c:strRef>
              <c:f>'Snap charts'!$H$104</c:f>
              <c:strCache>
                <c:ptCount val="1"/>
                <c:pt idx="0">
                  <c:v>Data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  <a:effectLst/>
          </c:spPr>
          <c:invertIfNegative val="0"/>
          <c:cat>
            <c:strRef>
              <c:f>'Snap charts'!$I$102:$W$102</c:f>
              <c:strCache>
                <c:ptCount val="15"/>
                <c:pt idx="0">
                  <c:v>Q1 13</c:v>
                </c:pt>
                <c:pt idx="1">
                  <c:v>Q2 13</c:v>
                </c:pt>
                <c:pt idx="2">
                  <c:v>Q3 13</c:v>
                </c:pt>
                <c:pt idx="3">
                  <c:v>Q4 13</c:v>
                </c:pt>
                <c:pt idx="4">
                  <c:v>Q1 14</c:v>
                </c:pt>
                <c:pt idx="5">
                  <c:v>Q2 14</c:v>
                </c:pt>
                <c:pt idx="6">
                  <c:v>Q3 14</c:v>
                </c:pt>
                <c:pt idx="7">
                  <c:v>Q4 14</c:v>
                </c:pt>
                <c:pt idx="8">
                  <c:v>Q1 15</c:v>
                </c:pt>
                <c:pt idx="9">
                  <c:v>Q2 15</c:v>
                </c:pt>
                <c:pt idx="10">
                  <c:v>Q3 15</c:v>
                </c:pt>
                <c:pt idx="11">
                  <c:v>Q4 15</c:v>
                </c:pt>
                <c:pt idx="12">
                  <c:v>Q1 16</c:v>
                </c:pt>
                <c:pt idx="13">
                  <c:v>Q2 16</c:v>
                </c:pt>
                <c:pt idx="14">
                  <c:v>Q3 16</c:v>
                </c:pt>
              </c:strCache>
            </c:strRef>
          </c:cat>
          <c:val>
            <c:numRef>
              <c:f>'Snap charts'!$I$104:$W$104</c:f>
              <c:numCache>
                <c:formatCode>#,##0.0_);[Red]\-#,##0.0_);0.0_);@_)</c:formatCode>
                <c:ptCount val="15"/>
                <c:pt idx="0">
                  <c:v>10.375605033881897</c:v>
                </c:pt>
                <c:pt idx="1">
                  <c:v>11.037324285021812</c:v>
                </c:pt>
                <c:pt idx="2">
                  <c:v>11.842028278888346</c:v>
                </c:pt>
                <c:pt idx="3">
                  <c:v>12.685770750988143</c:v>
                </c:pt>
                <c:pt idx="4">
                  <c:v>12.878648233486944</c:v>
                </c:pt>
                <c:pt idx="5">
                  <c:v>14.475703324808183</c:v>
                </c:pt>
                <c:pt idx="6">
                  <c:v>15.13360739979445</c:v>
                </c:pt>
                <c:pt idx="7">
                  <c:v>16.046277665995976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3F9-499B-8D08-6F22340AB491}"/>
            </c:ext>
          </c:extLst>
        </c:ser>
        <c:ser>
          <c:idx val="2"/>
          <c:order val="2"/>
          <c:tx>
            <c:strRef>
              <c:f>'Snap charts'!$H$105</c:f>
              <c:strCache>
                <c:ptCount val="1"/>
                <c:pt idx="0">
                  <c:v>SMS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  <a:effectLst/>
          </c:spPr>
          <c:invertIfNegative val="0"/>
          <c:cat>
            <c:strRef>
              <c:f>'Snap charts'!$I$102:$W$102</c:f>
              <c:strCache>
                <c:ptCount val="15"/>
                <c:pt idx="0">
                  <c:v>Q1 13</c:v>
                </c:pt>
                <c:pt idx="1">
                  <c:v>Q2 13</c:v>
                </c:pt>
                <c:pt idx="2">
                  <c:v>Q3 13</c:v>
                </c:pt>
                <c:pt idx="3">
                  <c:v>Q4 13</c:v>
                </c:pt>
                <c:pt idx="4">
                  <c:v>Q1 14</c:v>
                </c:pt>
                <c:pt idx="5">
                  <c:v>Q2 14</c:v>
                </c:pt>
                <c:pt idx="6">
                  <c:v>Q3 14</c:v>
                </c:pt>
                <c:pt idx="7">
                  <c:v>Q4 14</c:v>
                </c:pt>
                <c:pt idx="8">
                  <c:v>Q1 15</c:v>
                </c:pt>
                <c:pt idx="9">
                  <c:v>Q2 15</c:v>
                </c:pt>
                <c:pt idx="10">
                  <c:v>Q3 15</c:v>
                </c:pt>
                <c:pt idx="11">
                  <c:v>Q4 15</c:v>
                </c:pt>
                <c:pt idx="12">
                  <c:v>Q1 16</c:v>
                </c:pt>
                <c:pt idx="13">
                  <c:v>Q2 16</c:v>
                </c:pt>
                <c:pt idx="14">
                  <c:v>Q3 16</c:v>
                </c:pt>
              </c:strCache>
            </c:strRef>
          </c:cat>
          <c:val>
            <c:numRef>
              <c:f>'Snap charts'!$I$105:$W$105</c:f>
              <c:numCache>
                <c:formatCode>#,##0.0_);[Red]\-#,##0.0_);0.0_);@_)</c:formatCode>
                <c:ptCount val="15"/>
                <c:pt idx="0">
                  <c:v>7.1248789932236205</c:v>
                </c:pt>
                <c:pt idx="1">
                  <c:v>6.644692195831313</c:v>
                </c:pt>
                <c:pt idx="2">
                  <c:v>6.435884934178449</c:v>
                </c:pt>
                <c:pt idx="3">
                  <c:v>6.2218379446640313</c:v>
                </c:pt>
                <c:pt idx="4">
                  <c:v>5.4807987711213517</c:v>
                </c:pt>
                <c:pt idx="5">
                  <c:v>5.2429667519181589</c:v>
                </c:pt>
                <c:pt idx="6">
                  <c:v>4.7276464542651597</c:v>
                </c:pt>
                <c:pt idx="7">
                  <c:v>4.3008048289738428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3F9-499B-8D08-6F22340AB491}"/>
            </c:ext>
          </c:extLst>
        </c:ser>
        <c:ser>
          <c:idx val="3"/>
          <c:order val="3"/>
          <c:tx>
            <c:strRef>
              <c:f>'Snap charts'!$H$106</c:f>
              <c:strCache>
                <c:ptCount val="1"/>
                <c:pt idx="0">
                  <c:v>VAS</c:v>
                </c:pt>
              </c:strCache>
            </c:strRef>
          </c:tx>
          <c:spPr>
            <a:solidFill>
              <a:srgbClr val="CCCCFF"/>
            </a:solidFill>
            <a:ln w="25400">
              <a:noFill/>
            </a:ln>
            <a:effectLst/>
          </c:spPr>
          <c:invertIfNegative val="0"/>
          <c:cat>
            <c:strRef>
              <c:f>'Snap charts'!$I$102:$W$102</c:f>
              <c:strCache>
                <c:ptCount val="15"/>
                <c:pt idx="0">
                  <c:v>Q1 13</c:v>
                </c:pt>
                <c:pt idx="1">
                  <c:v>Q2 13</c:v>
                </c:pt>
                <c:pt idx="2">
                  <c:v>Q3 13</c:v>
                </c:pt>
                <c:pt idx="3">
                  <c:v>Q4 13</c:v>
                </c:pt>
                <c:pt idx="4">
                  <c:v>Q1 14</c:v>
                </c:pt>
                <c:pt idx="5">
                  <c:v>Q2 14</c:v>
                </c:pt>
                <c:pt idx="6">
                  <c:v>Q3 14</c:v>
                </c:pt>
                <c:pt idx="7">
                  <c:v>Q4 14</c:v>
                </c:pt>
                <c:pt idx="8">
                  <c:v>Q1 15</c:v>
                </c:pt>
                <c:pt idx="9">
                  <c:v>Q2 15</c:v>
                </c:pt>
                <c:pt idx="10">
                  <c:v>Q3 15</c:v>
                </c:pt>
                <c:pt idx="11">
                  <c:v>Q4 15</c:v>
                </c:pt>
                <c:pt idx="12">
                  <c:v>Q1 16</c:v>
                </c:pt>
                <c:pt idx="13">
                  <c:v>Q2 16</c:v>
                </c:pt>
                <c:pt idx="14">
                  <c:v>Q3 16</c:v>
                </c:pt>
              </c:strCache>
            </c:strRef>
          </c:cat>
          <c:val>
            <c:numRef>
              <c:f>'Snap charts'!$I$106:$W$106</c:f>
              <c:numCache>
                <c:formatCode>#,##0.0_);[Red]\-#,##0.0_);0.0_);@_)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3F9-499B-8D08-6F22340AB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18178664"/>
        <c:axId val="718178272"/>
      </c:barChart>
      <c:catAx>
        <c:axId val="718178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/>
                <a:ea typeface="Trebuchet MS"/>
                <a:cs typeface="Trebuchet MS"/>
              </a:defRPr>
            </a:pPr>
            <a:endParaRPr lang="en-US"/>
          </a:p>
        </c:txPr>
        <c:crossAx val="718178272"/>
        <c:crosses val="autoZero"/>
        <c:auto val="1"/>
        <c:lblAlgn val="ctr"/>
        <c:lblOffset val="100"/>
        <c:noMultiLvlLbl val="0"/>
      </c:catAx>
      <c:valAx>
        <c:axId val="718178272"/>
        <c:scaling>
          <c:orientation val="minMax"/>
          <c:max val="50"/>
        </c:scaling>
        <c:delete val="0"/>
        <c:axPos val="l"/>
        <c:majorGridlines>
          <c:spPr>
            <a:ln w="3175" cap="flat" cmpd="sng" algn="ctr">
              <a:solidFill>
                <a:srgbClr val="C0C0C0"/>
              </a:solidFill>
              <a:prstDash val="solid"/>
              <a:round/>
            </a:ln>
            <a:effectLst/>
          </c:spPr>
        </c:majorGridlines>
        <c:numFmt formatCode="#,##0.0_);[Red]\-#,##0.0_);0.0_);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/>
                <a:ea typeface="Trebuchet MS"/>
                <a:cs typeface="Trebuchet MS"/>
              </a:defRPr>
            </a:pPr>
            <a:endParaRPr lang="en-US"/>
          </a:p>
        </c:txPr>
        <c:crossAx val="718178664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rebuchet MS"/>
              <a:ea typeface="Trebuchet MS"/>
              <a:cs typeface="Trebuchet M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25400" cap="flat" cmpd="sng" algn="ctr">
      <a:noFill/>
      <a:round/>
    </a:ln>
    <a:effectLst/>
  </c:spPr>
  <c:txPr>
    <a:bodyPr/>
    <a:lstStyle/>
    <a:p>
      <a:pPr>
        <a:defRPr sz="1000" b="0" i="0" u="none" strike="noStrike" baseline="0">
          <a:latin typeface="Trebuchet MS"/>
          <a:ea typeface="Trebuchet MS"/>
          <a:cs typeface="Trebuchet M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'Snap charts'!$H$131</c:f>
              <c:strCache>
                <c:ptCount val="1"/>
                <c:pt idx="0">
                  <c:v>Subscribers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  <a:effectLst/>
          </c:spPr>
          <c:invertIfNegative val="0"/>
          <c:cat>
            <c:strRef>
              <c:f>'Snap charts'!$I$130:$W$130</c:f>
              <c:strCache>
                <c:ptCount val="15"/>
                <c:pt idx="0">
                  <c:v>Q1 13</c:v>
                </c:pt>
                <c:pt idx="1">
                  <c:v>Q2 13</c:v>
                </c:pt>
                <c:pt idx="2">
                  <c:v>Q3 13</c:v>
                </c:pt>
                <c:pt idx="3">
                  <c:v>Q4 13</c:v>
                </c:pt>
                <c:pt idx="4">
                  <c:v>Q1 14</c:v>
                </c:pt>
                <c:pt idx="5">
                  <c:v>Q2 14</c:v>
                </c:pt>
                <c:pt idx="6">
                  <c:v>Q3 14</c:v>
                </c:pt>
                <c:pt idx="7">
                  <c:v>Q4 14</c:v>
                </c:pt>
                <c:pt idx="8">
                  <c:v>Q1 15</c:v>
                </c:pt>
                <c:pt idx="9">
                  <c:v>Q2 15</c:v>
                </c:pt>
                <c:pt idx="10">
                  <c:v>Q3 15</c:v>
                </c:pt>
                <c:pt idx="11">
                  <c:v>Q4 15</c:v>
                </c:pt>
                <c:pt idx="12">
                  <c:v>Q1 16</c:v>
                </c:pt>
                <c:pt idx="13">
                  <c:v>Q2 16</c:v>
                </c:pt>
                <c:pt idx="14">
                  <c:v>Q3 16</c:v>
                </c:pt>
              </c:strCache>
            </c:strRef>
          </c:cat>
          <c:val>
            <c:numRef>
              <c:f>'Snap charts'!$I$131:$W$131</c:f>
              <c:numCache>
                <c:formatCode>#,##0_);[Red]\-#,##0_);0_);@_)</c:formatCode>
                <c:ptCount val="15"/>
                <c:pt idx="0">
                  <c:v>14136</c:v>
                </c:pt>
                <c:pt idx="1">
                  <c:v>13873</c:v>
                </c:pt>
                <c:pt idx="2">
                  <c:v>13213</c:v>
                </c:pt>
                <c:pt idx="3">
                  <c:v>12893</c:v>
                </c:pt>
                <c:pt idx="4">
                  <c:v>12602</c:v>
                </c:pt>
                <c:pt idx="5">
                  <c:v>12401</c:v>
                </c:pt>
                <c:pt idx="6">
                  <c:v>12415</c:v>
                </c:pt>
                <c:pt idx="7">
                  <c:v>12913</c:v>
                </c:pt>
                <c:pt idx="8">
                  <c:v>13260</c:v>
                </c:pt>
                <c:pt idx="9">
                  <c:v>13269</c:v>
                </c:pt>
                <c:pt idx="10">
                  <c:v>13110</c:v>
                </c:pt>
                <c:pt idx="11">
                  <c:v>12694</c:v>
                </c:pt>
                <c:pt idx="12">
                  <c:v>12310</c:v>
                </c:pt>
                <c:pt idx="13">
                  <c:v>12249</c:v>
                </c:pt>
                <c:pt idx="14">
                  <c:v>12046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1B-4F5E-A7A5-F068EB8477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18179840"/>
        <c:axId val="718180232"/>
      </c:barChart>
      <c:catAx>
        <c:axId val="718179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/>
                <a:ea typeface="Trebuchet MS"/>
                <a:cs typeface="Trebuchet MS"/>
              </a:defRPr>
            </a:pPr>
            <a:endParaRPr lang="en-US"/>
          </a:p>
        </c:txPr>
        <c:crossAx val="718180232"/>
        <c:crosses val="autoZero"/>
        <c:auto val="1"/>
        <c:lblAlgn val="ctr"/>
        <c:lblOffset val="100"/>
        <c:noMultiLvlLbl val="0"/>
      </c:catAx>
      <c:valAx>
        <c:axId val="718180232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C0C0C0"/>
              </a:solidFill>
              <a:prstDash val="solid"/>
              <a:round/>
            </a:ln>
            <a:effectLst/>
          </c:spPr>
        </c:majorGridlines>
        <c:numFmt formatCode="#,##0_);[Red]\-#,##0_);0_);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/>
                <a:ea typeface="Trebuchet MS"/>
                <a:cs typeface="Trebuchet MS"/>
              </a:defRPr>
            </a:pPr>
            <a:endParaRPr lang="en-US"/>
          </a:p>
        </c:txPr>
        <c:crossAx val="71817984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5400" cap="flat" cmpd="sng" algn="ctr">
      <a:noFill/>
      <a:round/>
    </a:ln>
    <a:effectLst/>
  </c:spPr>
  <c:txPr>
    <a:bodyPr/>
    <a:lstStyle/>
    <a:p>
      <a:pPr>
        <a:defRPr sz="1000" b="0" i="0" u="none" strike="noStrike" baseline="0">
          <a:latin typeface="Trebuchet MS"/>
          <a:ea typeface="Trebuchet MS"/>
          <a:cs typeface="Trebuchet M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'Snap charts'!$H$156</c:f>
              <c:strCache>
                <c:ptCount val="1"/>
                <c:pt idx="0">
                  <c:v>2G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  <a:effectLst/>
          </c:spPr>
          <c:invertIfNegative val="0"/>
          <c:cat>
            <c:strRef>
              <c:f>'Snap charts'!$I$155:$Q$155</c:f>
              <c:strCache>
                <c:ptCount val="9"/>
                <c:pt idx="0">
                  <c:v>Q3 14</c:v>
                </c:pt>
                <c:pt idx="1">
                  <c:v>Q4 14</c:v>
                </c:pt>
                <c:pt idx="2">
                  <c:v>Q1 15</c:v>
                </c:pt>
                <c:pt idx="3">
                  <c:v>Q2 15</c:v>
                </c:pt>
                <c:pt idx="4">
                  <c:v>Q3 15</c:v>
                </c:pt>
                <c:pt idx="5">
                  <c:v>Q4 15</c:v>
                </c:pt>
                <c:pt idx="6">
                  <c:v>Q1 16</c:v>
                </c:pt>
                <c:pt idx="7">
                  <c:v>Q2 16</c:v>
                </c:pt>
                <c:pt idx="8">
                  <c:v>Q3 16</c:v>
                </c:pt>
              </c:strCache>
            </c:strRef>
          </c:cat>
          <c:val>
            <c:numRef>
              <c:f>'Snap charts'!$I$156:$Q$156</c:f>
              <c:numCache>
                <c:formatCode>General</c:formatCode>
                <c:ptCount val="9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7B-4962-AD2B-3AF65151F08A}"/>
            </c:ext>
          </c:extLst>
        </c:ser>
        <c:ser>
          <c:idx val="1"/>
          <c:order val="1"/>
          <c:tx>
            <c:strRef>
              <c:f>'Snap charts'!$H$157</c:f>
              <c:strCache>
                <c:ptCount val="1"/>
                <c:pt idx="0">
                  <c:v>3G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  <a:effectLst/>
          </c:spPr>
          <c:invertIfNegative val="0"/>
          <c:cat>
            <c:strRef>
              <c:f>'Snap charts'!$I$155:$Q$155</c:f>
              <c:strCache>
                <c:ptCount val="9"/>
                <c:pt idx="0">
                  <c:v>Q3 14</c:v>
                </c:pt>
                <c:pt idx="1">
                  <c:v>Q4 14</c:v>
                </c:pt>
                <c:pt idx="2">
                  <c:v>Q1 15</c:v>
                </c:pt>
                <c:pt idx="3">
                  <c:v>Q2 15</c:v>
                </c:pt>
                <c:pt idx="4">
                  <c:v>Q3 15</c:v>
                </c:pt>
                <c:pt idx="5">
                  <c:v>Q4 15</c:v>
                </c:pt>
                <c:pt idx="6">
                  <c:v>Q1 16</c:v>
                </c:pt>
                <c:pt idx="7">
                  <c:v>Q2 16</c:v>
                </c:pt>
                <c:pt idx="8">
                  <c:v>Q3 16</c:v>
                </c:pt>
              </c:strCache>
            </c:strRef>
          </c:cat>
          <c:val>
            <c:numRef>
              <c:f>'Snap charts'!$I$157:$Q$157</c:f>
              <c:numCache>
                <c:formatCode>General</c:formatCode>
                <c:ptCount val="9"/>
                <c:pt idx="0">
                  <c:v>22</c:v>
                </c:pt>
                <c:pt idx="1">
                  <c:v>25</c:v>
                </c:pt>
                <c:pt idx="2">
                  <c:v>27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39</c:v>
                </c:pt>
                <c:pt idx="8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7B-4962-AD2B-3AF65151F08A}"/>
            </c:ext>
          </c:extLst>
        </c:ser>
        <c:ser>
          <c:idx val="2"/>
          <c:order val="2"/>
          <c:tx>
            <c:strRef>
              <c:f>'Snap charts'!$H$158</c:f>
              <c:strCache>
                <c:ptCount val="1"/>
                <c:pt idx="0">
                  <c:v>4G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  <a:effectLst/>
          </c:spPr>
          <c:invertIfNegative val="0"/>
          <c:cat>
            <c:strRef>
              <c:f>'Snap charts'!$I$155:$Q$155</c:f>
              <c:strCache>
                <c:ptCount val="9"/>
                <c:pt idx="0">
                  <c:v>Q3 14</c:v>
                </c:pt>
                <c:pt idx="1">
                  <c:v>Q4 14</c:v>
                </c:pt>
                <c:pt idx="2">
                  <c:v>Q1 15</c:v>
                </c:pt>
                <c:pt idx="3">
                  <c:v>Q2 15</c:v>
                </c:pt>
                <c:pt idx="4">
                  <c:v>Q3 15</c:v>
                </c:pt>
                <c:pt idx="5">
                  <c:v>Q4 15</c:v>
                </c:pt>
                <c:pt idx="6">
                  <c:v>Q1 16</c:v>
                </c:pt>
                <c:pt idx="7">
                  <c:v>Q2 16</c:v>
                </c:pt>
                <c:pt idx="8">
                  <c:v>Q3 16</c:v>
                </c:pt>
              </c:strCache>
            </c:strRef>
          </c:cat>
          <c:val>
            <c:numRef>
              <c:f>'Snap charts'!$I$158:$Q$158</c:f>
              <c:numCache>
                <c:formatCode>General</c:formatCode>
                <c:ptCount val="9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5</c:v>
                </c:pt>
                <c:pt idx="4">
                  <c:v>7</c:v>
                </c:pt>
                <c:pt idx="5">
                  <c:v>11</c:v>
                </c:pt>
                <c:pt idx="6">
                  <c:v>12</c:v>
                </c:pt>
                <c:pt idx="7">
                  <c:v>21</c:v>
                </c:pt>
                <c:pt idx="8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57B-4962-AD2B-3AF65151F0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718183760"/>
        <c:axId val="718182976"/>
      </c:barChart>
      <c:catAx>
        <c:axId val="718183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/>
                <a:ea typeface="Trebuchet MS"/>
                <a:cs typeface="Trebuchet MS"/>
              </a:defRPr>
            </a:pPr>
            <a:endParaRPr lang="en-US"/>
          </a:p>
        </c:txPr>
        <c:crossAx val="718182976"/>
        <c:crosses val="autoZero"/>
        <c:auto val="1"/>
        <c:lblAlgn val="ctr"/>
        <c:lblOffset val="100"/>
        <c:noMultiLvlLbl val="0"/>
      </c:catAx>
      <c:valAx>
        <c:axId val="71818297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C0C0C0"/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/>
                <a:ea typeface="Trebuchet MS"/>
                <a:cs typeface="Trebuchet MS"/>
              </a:defRPr>
            </a:pPr>
            <a:endParaRPr lang="en-US"/>
          </a:p>
        </c:txPr>
        <c:crossAx val="718183760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rebuchet MS"/>
              <a:ea typeface="Trebuchet MS"/>
              <a:cs typeface="Trebuchet M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25400" cap="flat" cmpd="sng" algn="ctr">
      <a:noFill/>
      <a:round/>
    </a:ln>
    <a:effectLst/>
  </c:spPr>
  <c:txPr>
    <a:bodyPr/>
    <a:lstStyle/>
    <a:p>
      <a:pPr>
        <a:defRPr sz="1000" b="0" i="0" u="none" strike="noStrike" baseline="0">
          <a:latin typeface="Trebuchet MS"/>
          <a:ea typeface="Trebuchet MS"/>
          <a:cs typeface="Trebuchet M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0"/>
          <c:order val="0"/>
          <c:tx>
            <c:strRef>
              <c:f>'Snap charts'!$H$189</c:f>
              <c:strCache>
                <c:ptCount val="1"/>
                <c:pt idx="0">
                  <c:v>Direct costs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  <a:effectLst/>
          </c:spPr>
          <c:cat>
            <c:strRef>
              <c:f>'Snap charts'!$I$188:$U$188</c:f>
              <c:strCache>
                <c:ptCount val="13"/>
                <c:pt idx="0">
                  <c:v>Q1 14</c:v>
                </c:pt>
                <c:pt idx="1">
                  <c:v>Q2 14</c:v>
                </c:pt>
                <c:pt idx="2">
                  <c:v>Q3 14</c:v>
                </c:pt>
                <c:pt idx="3">
                  <c:v>Q4 14</c:v>
                </c:pt>
                <c:pt idx="4">
                  <c:v>Q1 15</c:v>
                </c:pt>
                <c:pt idx="5">
                  <c:v>Q2 15</c:v>
                </c:pt>
                <c:pt idx="6">
                  <c:v>Q3 15</c:v>
                </c:pt>
                <c:pt idx="7">
                  <c:v>Q4 15</c:v>
                </c:pt>
                <c:pt idx="8">
                  <c:v>Q1 16</c:v>
                </c:pt>
                <c:pt idx="9">
                  <c:v>Q2 16</c:v>
                </c:pt>
                <c:pt idx="10">
                  <c:v>Q3 16</c:v>
                </c:pt>
                <c:pt idx="11">
                  <c:v>Q4 16</c:v>
                </c:pt>
                <c:pt idx="12">
                  <c:v>Q1 17</c:v>
                </c:pt>
              </c:strCache>
            </c:strRef>
          </c:cat>
          <c:val>
            <c:numRef>
              <c:f>'Snap charts'!$I$189:$U$189</c:f>
              <c:numCache>
                <c:formatCode>0.0%</c:formatCode>
                <c:ptCount val="13"/>
                <c:pt idx="0">
                  <c:v>0.34744526264113895</c:v>
                </c:pt>
                <c:pt idx="1">
                  <c:v>0.31850733137829912</c:v>
                </c:pt>
                <c:pt idx="2">
                  <c:v>0.31971582557569816</c:v>
                </c:pt>
                <c:pt idx="3">
                  <c:v>0.33317894736842107</c:v>
                </c:pt>
                <c:pt idx="4">
                  <c:v>0.33622431668237518</c:v>
                </c:pt>
                <c:pt idx="5">
                  <c:v>0.31109621828626138</c:v>
                </c:pt>
                <c:pt idx="6">
                  <c:v>0.31987000928505105</c:v>
                </c:pt>
                <c:pt idx="7">
                  <c:v>0.31368909512761023</c:v>
                </c:pt>
                <c:pt idx="8">
                  <c:v>8.5768143261074459E-2</c:v>
                </c:pt>
                <c:pt idx="9">
                  <c:v>0.10170316301703163</c:v>
                </c:pt>
                <c:pt idx="10">
                  <c:v>9.2285849503076195E-2</c:v>
                </c:pt>
                <c:pt idx="11">
                  <c:v>9.5150115473441113E-2</c:v>
                </c:pt>
                <c:pt idx="12">
                  <c:v>8.8145896656534953E-2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34-4229-9F37-7D63BC1C0893}"/>
            </c:ext>
          </c:extLst>
        </c:ser>
        <c:ser>
          <c:idx val="1"/>
          <c:order val="1"/>
          <c:tx>
            <c:strRef>
              <c:f>'Snap charts'!$H$190</c:f>
              <c:strCache>
                <c:ptCount val="1"/>
                <c:pt idx="0">
                  <c:v>Marketing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  <a:effectLst/>
          </c:spPr>
          <c:cat>
            <c:strRef>
              <c:f>'Snap charts'!$I$188:$U$188</c:f>
              <c:strCache>
                <c:ptCount val="13"/>
                <c:pt idx="0">
                  <c:v>Q1 14</c:v>
                </c:pt>
                <c:pt idx="1">
                  <c:v>Q2 14</c:v>
                </c:pt>
                <c:pt idx="2">
                  <c:v>Q3 14</c:v>
                </c:pt>
                <c:pt idx="3">
                  <c:v>Q4 14</c:v>
                </c:pt>
                <c:pt idx="4">
                  <c:v>Q1 15</c:v>
                </c:pt>
                <c:pt idx="5">
                  <c:v>Q2 15</c:v>
                </c:pt>
                <c:pt idx="6">
                  <c:v>Q3 15</c:v>
                </c:pt>
                <c:pt idx="7">
                  <c:v>Q4 15</c:v>
                </c:pt>
                <c:pt idx="8">
                  <c:v>Q1 16</c:v>
                </c:pt>
                <c:pt idx="9">
                  <c:v>Q2 16</c:v>
                </c:pt>
                <c:pt idx="10">
                  <c:v>Q3 16</c:v>
                </c:pt>
                <c:pt idx="11">
                  <c:v>Q4 16</c:v>
                </c:pt>
                <c:pt idx="12">
                  <c:v>Q1 17</c:v>
                </c:pt>
              </c:strCache>
            </c:strRef>
          </c:cat>
          <c:val>
            <c:numRef>
              <c:f>'Snap charts'!$I$190:$U$190</c:f>
              <c:numCache>
                <c:formatCode>0.0%</c:formatCode>
                <c:ptCount val="13"/>
                <c:pt idx="0">
                  <c:v>3.4855179185076093E-2</c:v>
                </c:pt>
                <c:pt idx="1">
                  <c:v>4.8875855327468229E-2</c:v>
                </c:pt>
                <c:pt idx="2">
                  <c:v>5.2425281724644779E-2</c:v>
                </c:pt>
                <c:pt idx="3">
                  <c:v>5.8373205741626792E-2</c:v>
                </c:pt>
                <c:pt idx="4">
                  <c:v>4.8539114043355328E-2</c:v>
                </c:pt>
                <c:pt idx="5">
                  <c:v>5.2656773575873624E-2</c:v>
                </c:pt>
                <c:pt idx="6">
                  <c:v>4.36397400185701E-2</c:v>
                </c:pt>
                <c:pt idx="7">
                  <c:v>4.5475638051044084E-2</c:v>
                </c:pt>
                <c:pt idx="8">
                  <c:v>1.6965127238454288E-2</c:v>
                </c:pt>
                <c:pt idx="9">
                  <c:v>3.0656934306569343E-2</c:v>
                </c:pt>
                <c:pt idx="10">
                  <c:v>2.5082820634169428E-2</c:v>
                </c:pt>
                <c:pt idx="11">
                  <c:v>2.0785219399538105E-2</c:v>
                </c:pt>
                <c:pt idx="12">
                  <c:v>1.6934433347807209E-2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34-4229-9F37-7D63BC1C0893}"/>
            </c:ext>
          </c:extLst>
        </c:ser>
        <c:ser>
          <c:idx val="2"/>
          <c:order val="2"/>
          <c:tx>
            <c:strRef>
              <c:f>'Snap charts'!$H$191</c:f>
              <c:strCache>
                <c:ptCount val="1"/>
                <c:pt idx="0">
                  <c:v>Staff costs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  <a:effectLst/>
          </c:spPr>
          <c:cat>
            <c:strRef>
              <c:f>'Snap charts'!$I$188:$U$188</c:f>
              <c:strCache>
                <c:ptCount val="13"/>
                <c:pt idx="0">
                  <c:v>Q1 14</c:v>
                </c:pt>
                <c:pt idx="1">
                  <c:v>Q2 14</c:v>
                </c:pt>
                <c:pt idx="2">
                  <c:v>Q3 14</c:v>
                </c:pt>
                <c:pt idx="3">
                  <c:v>Q4 14</c:v>
                </c:pt>
                <c:pt idx="4">
                  <c:v>Q1 15</c:v>
                </c:pt>
                <c:pt idx="5">
                  <c:v>Q2 15</c:v>
                </c:pt>
                <c:pt idx="6">
                  <c:v>Q3 15</c:v>
                </c:pt>
                <c:pt idx="7">
                  <c:v>Q4 15</c:v>
                </c:pt>
                <c:pt idx="8">
                  <c:v>Q1 16</c:v>
                </c:pt>
                <c:pt idx="9">
                  <c:v>Q2 16</c:v>
                </c:pt>
                <c:pt idx="10">
                  <c:v>Q3 16</c:v>
                </c:pt>
                <c:pt idx="11">
                  <c:v>Q4 16</c:v>
                </c:pt>
                <c:pt idx="12">
                  <c:v>Q1 17</c:v>
                </c:pt>
              </c:strCache>
            </c:strRef>
          </c:cat>
          <c:val>
            <c:numRef>
              <c:f>'Snap charts'!$I$191:$U$191</c:f>
              <c:numCache>
                <c:formatCode>0.0%</c:formatCode>
                <c:ptCount val="13"/>
                <c:pt idx="0">
                  <c:v>5.7437407952871868E-2</c:v>
                </c:pt>
                <c:pt idx="1">
                  <c:v>5.6207233626588464E-2</c:v>
                </c:pt>
                <c:pt idx="2">
                  <c:v>3.2337089661930427E-2</c:v>
                </c:pt>
                <c:pt idx="3">
                  <c:v>5.5502392344497609E-2</c:v>
                </c:pt>
                <c:pt idx="4">
                  <c:v>5.8435438265786996E-2</c:v>
                </c:pt>
                <c:pt idx="5">
                  <c:v>5.5050263283867883E-2</c:v>
                </c:pt>
                <c:pt idx="6">
                  <c:v>5.7567316620241414E-2</c:v>
                </c:pt>
                <c:pt idx="7">
                  <c:v>5.4292343387471E-2</c:v>
                </c:pt>
                <c:pt idx="8">
                  <c:v>5.8435438265786996E-2</c:v>
                </c:pt>
                <c:pt idx="9">
                  <c:v>6.569343065693431E-2</c:v>
                </c:pt>
                <c:pt idx="10">
                  <c:v>6.4363464268812121E-2</c:v>
                </c:pt>
                <c:pt idx="11">
                  <c:v>6.0969976905311779E-2</c:v>
                </c:pt>
                <c:pt idx="12">
                  <c:v>6.2092922275293096E-2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B34-4229-9F37-7D63BC1C0893}"/>
            </c:ext>
          </c:extLst>
        </c:ser>
        <c:ser>
          <c:idx val="3"/>
          <c:order val="3"/>
          <c:tx>
            <c:strRef>
              <c:f>'Snap charts'!$H$192</c:f>
              <c:strCache>
                <c:ptCount val="1"/>
                <c:pt idx="0">
                  <c:v>General and admin</c:v>
                </c:pt>
              </c:strCache>
            </c:strRef>
          </c:tx>
          <c:spPr>
            <a:solidFill>
              <a:srgbClr val="CCCCFF"/>
            </a:solidFill>
            <a:ln w="25400">
              <a:noFill/>
            </a:ln>
            <a:effectLst/>
          </c:spPr>
          <c:cat>
            <c:strRef>
              <c:f>'Snap charts'!$I$188:$U$188</c:f>
              <c:strCache>
                <c:ptCount val="13"/>
                <c:pt idx="0">
                  <c:v>Q1 14</c:v>
                </c:pt>
                <c:pt idx="1">
                  <c:v>Q2 14</c:v>
                </c:pt>
                <c:pt idx="2">
                  <c:v>Q3 14</c:v>
                </c:pt>
                <c:pt idx="3">
                  <c:v>Q4 14</c:v>
                </c:pt>
                <c:pt idx="4">
                  <c:v>Q1 15</c:v>
                </c:pt>
                <c:pt idx="5">
                  <c:v>Q2 15</c:v>
                </c:pt>
                <c:pt idx="6">
                  <c:v>Q3 15</c:v>
                </c:pt>
                <c:pt idx="7">
                  <c:v>Q4 15</c:v>
                </c:pt>
                <c:pt idx="8">
                  <c:v>Q1 16</c:v>
                </c:pt>
                <c:pt idx="9">
                  <c:v>Q2 16</c:v>
                </c:pt>
                <c:pt idx="10">
                  <c:v>Q3 16</c:v>
                </c:pt>
                <c:pt idx="11">
                  <c:v>Q4 16</c:v>
                </c:pt>
                <c:pt idx="12">
                  <c:v>Q1 17</c:v>
                </c:pt>
              </c:strCache>
            </c:strRef>
          </c:cat>
          <c:val>
            <c:numRef>
              <c:f>'Snap charts'!$I$192:$U$192</c:f>
              <c:numCache>
                <c:formatCode>0.0%</c:formatCode>
                <c:ptCount val="13"/>
                <c:pt idx="0">
                  <c:v>6.823760432007854E-2</c:v>
                </c:pt>
                <c:pt idx="1">
                  <c:v>5.865102639296188E-2</c:v>
                </c:pt>
                <c:pt idx="2">
                  <c:v>7.1533561979421859E-2</c:v>
                </c:pt>
                <c:pt idx="3">
                  <c:v>6.5550239234449761E-2</c:v>
                </c:pt>
                <c:pt idx="4">
                  <c:v>5.7492931196983975E-2</c:v>
                </c:pt>
                <c:pt idx="5">
                  <c:v>5.5050263283867883E-2</c:v>
                </c:pt>
                <c:pt idx="6">
                  <c:v>6.545961002785515E-2</c:v>
                </c:pt>
                <c:pt idx="7">
                  <c:v>7.2389791183294666E-2</c:v>
                </c:pt>
                <c:pt idx="8">
                  <c:v>3.9114043355325166E-2</c:v>
                </c:pt>
                <c:pt idx="9">
                  <c:v>5.4987834549878344E-2</c:v>
                </c:pt>
                <c:pt idx="10">
                  <c:v>4.0700425934690011E-2</c:v>
                </c:pt>
                <c:pt idx="11">
                  <c:v>4.8036951501154737E-2</c:v>
                </c:pt>
                <c:pt idx="12">
                  <c:v>4.211897524967434E-2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B34-4229-9F37-7D63BC1C0893}"/>
            </c:ext>
          </c:extLst>
        </c:ser>
        <c:ser>
          <c:idx val="4"/>
          <c:order val="4"/>
          <c:tx>
            <c:strRef>
              <c:f>'Snap charts'!$H$193</c:f>
              <c:strCache>
                <c:ptCount val="1"/>
                <c:pt idx="0">
                  <c:v>Bad debt</c:v>
                </c:pt>
              </c:strCache>
            </c:strRef>
          </c:tx>
          <c:spPr>
            <a:solidFill>
              <a:srgbClr val="969696"/>
            </a:solidFill>
            <a:ln w="25400">
              <a:noFill/>
            </a:ln>
            <a:effectLst/>
          </c:spPr>
          <c:cat>
            <c:strRef>
              <c:f>'Snap charts'!$I$188:$U$188</c:f>
              <c:strCache>
                <c:ptCount val="13"/>
                <c:pt idx="0">
                  <c:v>Q1 14</c:v>
                </c:pt>
                <c:pt idx="1">
                  <c:v>Q2 14</c:v>
                </c:pt>
                <c:pt idx="2">
                  <c:v>Q3 14</c:v>
                </c:pt>
                <c:pt idx="3">
                  <c:v>Q4 14</c:v>
                </c:pt>
                <c:pt idx="4">
                  <c:v>Q1 15</c:v>
                </c:pt>
                <c:pt idx="5">
                  <c:v>Q2 15</c:v>
                </c:pt>
                <c:pt idx="6">
                  <c:v>Q3 15</c:v>
                </c:pt>
                <c:pt idx="7">
                  <c:v>Q4 15</c:v>
                </c:pt>
                <c:pt idx="8">
                  <c:v>Q1 16</c:v>
                </c:pt>
                <c:pt idx="9">
                  <c:v>Q2 16</c:v>
                </c:pt>
                <c:pt idx="10">
                  <c:v>Q3 16</c:v>
                </c:pt>
                <c:pt idx="11">
                  <c:v>Q4 16</c:v>
                </c:pt>
                <c:pt idx="12">
                  <c:v>Q1 17</c:v>
                </c:pt>
              </c:strCache>
            </c:strRef>
          </c:cat>
          <c:val>
            <c:numRef>
              <c:f>'Snap charts'!$I$193:$U$193</c:f>
              <c:numCache>
                <c:formatCode>0.0%</c:formatCode>
                <c:ptCount val="13"/>
                <c:pt idx="0">
                  <c:v>5.5473735886107023E-3</c:v>
                </c:pt>
                <c:pt idx="1">
                  <c:v>4.5454545454545461E-3</c:v>
                </c:pt>
                <c:pt idx="2">
                  <c:v>7.104360607545321E-3</c:v>
                </c:pt>
                <c:pt idx="3">
                  <c:v>8.4688995215310998E-3</c:v>
                </c:pt>
                <c:pt idx="4">
                  <c:v>1.1781338360037699E-3</c:v>
                </c:pt>
                <c:pt idx="5">
                  <c:v>4.8348492101483965E-3</c:v>
                </c:pt>
                <c:pt idx="6">
                  <c:v>3.2497678737233053E-3</c:v>
                </c:pt>
                <c:pt idx="7">
                  <c:v>3.7122969837587007E-3</c:v>
                </c:pt>
                <c:pt idx="8">
                  <c:v>-9.42507068803016E-4</c:v>
                </c:pt>
                <c:pt idx="9">
                  <c:v>9.7323600973236014E-4</c:v>
                </c:pt>
                <c:pt idx="10">
                  <c:v>-1.656412683388547E-2</c:v>
                </c:pt>
                <c:pt idx="11">
                  <c:v>-1.1547344110854504E-2</c:v>
                </c:pt>
                <c:pt idx="12">
                  <c:v>-4.3421623968736434E-3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B34-4229-9F37-7D63BC1C08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8181016"/>
        <c:axId val="718181800"/>
      </c:areaChart>
      <c:catAx>
        <c:axId val="718181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/>
                <a:ea typeface="Trebuchet MS"/>
                <a:cs typeface="Trebuchet MS"/>
              </a:defRPr>
            </a:pPr>
            <a:endParaRPr lang="en-US"/>
          </a:p>
        </c:txPr>
        <c:crossAx val="718181800"/>
        <c:crosses val="autoZero"/>
        <c:auto val="1"/>
        <c:lblAlgn val="ctr"/>
        <c:lblOffset val="100"/>
        <c:noMultiLvlLbl val="0"/>
      </c:catAx>
      <c:valAx>
        <c:axId val="718181800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C0C0C0"/>
              </a:solidFill>
              <a:prstDash val="solid"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/>
                <a:ea typeface="Trebuchet MS"/>
                <a:cs typeface="Trebuchet MS"/>
              </a:defRPr>
            </a:pPr>
            <a:endParaRPr lang="en-US"/>
          </a:p>
        </c:txPr>
        <c:crossAx val="718181016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rebuchet MS"/>
              <a:ea typeface="Trebuchet MS"/>
              <a:cs typeface="Trebuchet M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25400" cap="flat" cmpd="sng" algn="ctr">
      <a:noFill/>
      <a:round/>
    </a:ln>
    <a:effectLst/>
  </c:spPr>
  <c:txPr>
    <a:bodyPr/>
    <a:lstStyle/>
    <a:p>
      <a:pPr>
        <a:defRPr sz="1000" b="0" i="0" u="none" strike="noStrike" baseline="0">
          <a:latin typeface="Trebuchet MS"/>
          <a:ea typeface="Trebuchet MS"/>
          <a:cs typeface="Trebuchet M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'Snap charts'!$H$159</c:f>
              <c:strCache>
                <c:ptCount val="1"/>
                <c:pt idx="0">
                  <c:v>Data traffic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  <a:effectLst/>
          </c:spPr>
          <c:invertIfNegative val="0"/>
          <c:cat>
            <c:strRef>
              <c:f>'Snap charts'!$I$155:$R$155</c:f>
              <c:strCache>
                <c:ptCount val="10"/>
                <c:pt idx="0">
                  <c:v>Q3 14</c:v>
                </c:pt>
                <c:pt idx="1">
                  <c:v>Q4 14</c:v>
                </c:pt>
                <c:pt idx="2">
                  <c:v>Q1 15</c:v>
                </c:pt>
                <c:pt idx="3">
                  <c:v>Q2 15</c:v>
                </c:pt>
                <c:pt idx="4">
                  <c:v>Q3 15</c:v>
                </c:pt>
                <c:pt idx="5">
                  <c:v>Q4 15</c:v>
                </c:pt>
                <c:pt idx="6">
                  <c:v>Q1 16</c:v>
                </c:pt>
                <c:pt idx="7">
                  <c:v>Q2 16</c:v>
                </c:pt>
                <c:pt idx="8">
                  <c:v>Q3 16</c:v>
                </c:pt>
                <c:pt idx="9">
                  <c:v>Q4 16</c:v>
                </c:pt>
              </c:strCache>
            </c:strRef>
          </c:cat>
          <c:val>
            <c:numRef>
              <c:f>'Snap charts'!$I$159:$R$159</c:f>
              <c:numCache>
                <c:formatCode>General</c:formatCode>
                <c:ptCount val="10"/>
                <c:pt idx="0">
                  <c:v>27</c:v>
                </c:pt>
                <c:pt idx="1">
                  <c:v>32</c:v>
                </c:pt>
                <c:pt idx="2">
                  <c:v>36</c:v>
                </c:pt>
                <c:pt idx="3">
                  <c:v>42</c:v>
                </c:pt>
                <c:pt idx="4">
                  <c:v>45</c:v>
                </c:pt>
                <c:pt idx="5">
                  <c:v>50</c:v>
                </c:pt>
                <c:pt idx="6">
                  <c:v>52</c:v>
                </c:pt>
                <c:pt idx="7">
                  <c:v>64</c:v>
                </c:pt>
                <c:pt idx="8">
                  <c:v>83</c:v>
                </c:pt>
                <c:pt idx="9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08-49E8-BDF0-3552BE4C9110}"/>
            </c:ext>
          </c:extLst>
        </c:ser>
        <c:ser>
          <c:idx val="1"/>
          <c:order val="1"/>
          <c:tx>
            <c:strRef>
              <c:f>'Snap charts'!$H$160</c:f>
              <c:strCache>
                <c:ptCount val="1"/>
                <c:pt idx="0">
                  <c:v>ARPUs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  <a:effectLst/>
          </c:spPr>
          <c:invertIfNegative val="0"/>
          <c:cat>
            <c:strRef>
              <c:f>'Snap charts'!$I$155:$R$155</c:f>
              <c:strCache>
                <c:ptCount val="10"/>
                <c:pt idx="0">
                  <c:v>Q3 14</c:v>
                </c:pt>
                <c:pt idx="1">
                  <c:v>Q4 14</c:v>
                </c:pt>
                <c:pt idx="2">
                  <c:v>Q1 15</c:v>
                </c:pt>
                <c:pt idx="3">
                  <c:v>Q2 15</c:v>
                </c:pt>
                <c:pt idx="4">
                  <c:v>Q3 15</c:v>
                </c:pt>
                <c:pt idx="5">
                  <c:v>Q4 15</c:v>
                </c:pt>
                <c:pt idx="6">
                  <c:v>Q1 16</c:v>
                </c:pt>
                <c:pt idx="7">
                  <c:v>Q2 16</c:v>
                </c:pt>
                <c:pt idx="8">
                  <c:v>Q3 16</c:v>
                </c:pt>
                <c:pt idx="9">
                  <c:v>Q4 16</c:v>
                </c:pt>
              </c:strCache>
            </c:strRef>
          </c:cat>
          <c:val>
            <c:numRef>
              <c:f>'Snap charts'!$I$160:$R$160</c:f>
              <c:numCache>
                <c:formatCode>General</c:formatCode>
                <c:ptCount val="10"/>
                <c:pt idx="0">
                  <c:v>50</c:v>
                </c:pt>
                <c:pt idx="1">
                  <c:v>50</c:v>
                </c:pt>
                <c:pt idx="2">
                  <c:v>48</c:v>
                </c:pt>
                <c:pt idx="3">
                  <c:v>47</c:v>
                </c:pt>
                <c:pt idx="4">
                  <c:v>49</c:v>
                </c:pt>
                <c:pt idx="5">
                  <c:v>50</c:v>
                </c:pt>
                <c:pt idx="6">
                  <c:v>50</c:v>
                </c:pt>
                <c:pt idx="7">
                  <c:v>49</c:v>
                </c:pt>
                <c:pt idx="8">
                  <c:v>50</c:v>
                </c:pt>
                <c:pt idx="9">
                  <c:v>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08-49E8-BDF0-3552BE4C9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18182584"/>
        <c:axId val="718179056"/>
      </c:barChart>
      <c:catAx>
        <c:axId val="718182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/>
                <a:ea typeface="Trebuchet MS"/>
                <a:cs typeface="Trebuchet MS"/>
              </a:defRPr>
            </a:pPr>
            <a:endParaRPr lang="en-US"/>
          </a:p>
        </c:txPr>
        <c:crossAx val="718179056"/>
        <c:crosses val="autoZero"/>
        <c:auto val="1"/>
        <c:lblAlgn val="ctr"/>
        <c:lblOffset val="100"/>
        <c:noMultiLvlLbl val="0"/>
      </c:catAx>
      <c:valAx>
        <c:axId val="7181790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C0C0C0"/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/>
                <a:ea typeface="Trebuchet MS"/>
                <a:cs typeface="Trebuchet MS"/>
              </a:defRPr>
            </a:pPr>
            <a:endParaRPr lang="en-US"/>
          </a:p>
        </c:txPr>
        <c:crossAx val="718182584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rebuchet MS"/>
              <a:ea typeface="Trebuchet MS"/>
              <a:cs typeface="Trebuchet M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25400" cap="flat" cmpd="sng" algn="ctr">
      <a:noFill/>
      <a:round/>
    </a:ln>
    <a:effectLst/>
  </c:spPr>
  <c:txPr>
    <a:bodyPr/>
    <a:lstStyle/>
    <a:p>
      <a:pPr>
        <a:defRPr sz="1000" b="0" i="0" u="none" strike="noStrike" baseline="0">
          <a:latin typeface="Trebuchet MS"/>
          <a:ea typeface="Trebuchet MS"/>
          <a:cs typeface="Trebuchet M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'Snap charts'!$H$172</c:f>
              <c:strCache>
                <c:ptCount val="1"/>
                <c:pt idx="0">
                  <c:v>Blended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  <a:effectLst/>
          </c:spPr>
          <c:invertIfNegative val="0"/>
          <c:cat>
            <c:strRef>
              <c:f>'Snap charts'!$M$171:$R$171</c:f>
              <c:strCache>
                <c:ptCount val="6"/>
                <c:pt idx="0">
                  <c:v>Q4 15</c:v>
                </c:pt>
                <c:pt idx="1">
                  <c:v>Q1 16</c:v>
                </c:pt>
                <c:pt idx="2">
                  <c:v>Q2 16</c:v>
                </c:pt>
                <c:pt idx="3">
                  <c:v>Q3 16</c:v>
                </c:pt>
                <c:pt idx="4">
                  <c:v>Q4 16</c:v>
                </c:pt>
                <c:pt idx="5">
                  <c:v>Q1 17</c:v>
                </c:pt>
              </c:strCache>
            </c:strRef>
          </c:cat>
          <c:val>
            <c:numRef>
              <c:f>'Snap charts'!$M$172:$R$172</c:f>
              <c:numCache>
                <c:formatCode>General</c:formatCode>
                <c:ptCount val="6"/>
                <c:pt idx="0">
                  <c:v>100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7B-4AE8-86BF-3D507841C9BC}"/>
            </c:ext>
          </c:extLst>
        </c:ser>
        <c:ser>
          <c:idx val="1"/>
          <c:order val="1"/>
          <c:tx>
            <c:strRef>
              <c:f>'Snap charts'!$H$173</c:f>
              <c:strCache>
                <c:ptCount val="1"/>
                <c:pt idx="0">
                  <c:v>ARPU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  <a:effectLst/>
          </c:spPr>
          <c:invertIfNegative val="0"/>
          <c:cat>
            <c:strRef>
              <c:f>'Snap charts'!$M$171:$R$171</c:f>
              <c:strCache>
                <c:ptCount val="6"/>
                <c:pt idx="0">
                  <c:v>Q4 15</c:v>
                </c:pt>
                <c:pt idx="1">
                  <c:v>Q1 16</c:v>
                </c:pt>
                <c:pt idx="2">
                  <c:v>Q2 16</c:v>
                </c:pt>
                <c:pt idx="3">
                  <c:v>Q3 16</c:v>
                </c:pt>
                <c:pt idx="4">
                  <c:v>Q4 16</c:v>
                </c:pt>
                <c:pt idx="5">
                  <c:v>Q1 17</c:v>
                </c:pt>
              </c:strCache>
            </c:strRef>
          </c:cat>
          <c:val>
            <c:numRef>
              <c:f>'Snap charts'!$M$173:$R$173</c:f>
              <c:numCache>
                <c:formatCode>General</c:formatCode>
                <c:ptCount val="6"/>
                <c:pt idx="0">
                  <c:v>100</c:v>
                </c:pt>
                <c:pt idx="1">
                  <c:v>100</c:v>
                </c:pt>
                <c:pt idx="2">
                  <c:v>98</c:v>
                </c:pt>
                <c:pt idx="3">
                  <c:v>100</c:v>
                </c:pt>
                <c:pt idx="4">
                  <c:v>104</c:v>
                </c:pt>
                <c:pt idx="5">
                  <c:v>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7B-4AE8-86BF-3D507841C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66854160"/>
        <c:axId val="466852984"/>
      </c:barChart>
      <c:catAx>
        <c:axId val="466854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/>
                <a:ea typeface="Trebuchet MS"/>
                <a:cs typeface="Trebuchet MS"/>
              </a:defRPr>
            </a:pPr>
            <a:endParaRPr lang="en-US"/>
          </a:p>
        </c:txPr>
        <c:crossAx val="466852984"/>
        <c:crosses val="autoZero"/>
        <c:auto val="1"/>
        <c:lblAlgn val="ctr"/>
        <c:lblOffset val="100"/>
        <c:noMultiLvlLbl val="0"/>
      </c:catAx>
      <c:valAx>
        <c:axId val="466852984"/>
        <c:scaling>
          <c:orientation val="minMax"/>
          <c:max val="200"/>
        </c:scaling>
        <c:delete val="0"/>
        <c:axPos val="l"/>
        <c:majorGridlines>
          <c:spPr>
            <a:ln w="3175" cap="flat" cmpd="sng" algn="ctr">
              <a:solidFill>
                <a:srgbClr val="C0C0C0"/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/>
                <a:ea typeface="Trebuchet MS"/>
                <a:cs typeface="Trebuchet MS"/>
              </a:defRPr>
            </a:pPr>
            <a:endParaRPr lang="en-US"/>
          </a:p>
        </c:txPr>
        <c:crossAx val="466854160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rebuchet MS"/>
              <a:ea typeface="Trebuchet MS"/>
              <a:cs typeface="Trebuchet M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25400" cap="flat" cmpd="sng" algn="ctr">
      <a:noFill/>
      <a:round/>
    </a:ln>
    <a:effectLst/>
  </c:spPr>
  <c:txPr>
    <a:bodyPr/>
    <a:lstStyle/>
    <a:p>
      <a:pPr>
        <a:defRPr sz="1000" b="0" i="0" u="none" strike="noStrike" baseline="0">
          <a:latin typeface="Trebuchet MS"/>
          <a:ea typeface="Trebuchet MS"/>
          <a:cs typeface="Trebuchet M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rebuchet MS"/>
              <a:ea typeface="Trebuchet MS"/>
              <a:cs typeface="Trebuchet M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906955380577428"/>
          <c:y val="6.9143700787401591E-2"/>
          <c:w val="0.86037489063867012"/>
          <c:h val="0.7642822251385244"/>
        </c:manualLayout>
      </c:layout>
      <c:lineChart>
        <c:grouping val="standard"/>
        <c:varyColors val="0"/>
        <c:ser>
          <c:idx val="0"/>
          <c:order val="0"/>
          <c:tx>
            <c:strRef>
              <c:f>'Snap charts'!$H$74</c:f>
              <c:strCache>
                <c:ptCount val="1"/>
              </c:strCache>
            </c:strRef>
          </c:tx>
          <c:spPr>
            <a:ln w="25400" cap="rnd">
              <a:solidFill>
                <a:srgbClr val="333399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'Snap charts'!$M$66:$Y$66</c:f>
              <c:strCache>
                <c:ptCount val="13"/>
                <c:pt idx="0">
                  <c:v>Q1 14</c:v>
                </c:pt>
                <c:pt idx="1">
                  <c:v>Q2 14</c:v>
                </c:pt>
                <c:pt idx="2">
                  <c:v>Q3 14</c:v>
                </c:pt>
                <c:pt idx="3">
                  <c:v>Q4 14</c:v>
                </c:pt>
                <c:pt idx="4">
                  <c:v>Q1 15</c:v>
                </c:pt>
                <c:pt idx="5">
                  <c:v>Q2 15</c:v>
                </c:pt>
                <c:pt idx="6">
                  <c:v>Q3 15</c:v>
                </c:pt>
                <c:pt idx="7">
                  <c:v>Q4 15</c:v>
                </c:pt>
                <c:pt idx="8">
                  <c:v>Q1 16</c:v>
                </c:pt>
                <c:pt idx="9">
                  <c:v>Q2 16</c:v>
                </c:pt>
                <c:pt idx="10">
                  <c:v>Q3 16</c:v>
                </c:pt>
                <c:pt idx="11">
                  <c:v>Q4 16</c:v>
                </c:pt>
                <c:pt idx="12">
                  <c:v>Q1 17</c:v>
                </c:pt>
              </c:strCache>
            </c:strRef>
          </c:cat>
          <c:val>
            <c:numRef>
              <c:f>'Snap charts'!$M$74:$Y$74</c:f>
              <c:numCache>
                <c:formatCode>0.0%</c:formatCode>
                <c:ptCount val="13"/>
                <c:pt idx="0">
                  <c:v>-5.4695062923523663E-2</c:v>
                </c:pt>
                <c:pt idx="1">
                  <c:v>-5.2350945225399848E-2</c:v>
                </c:pt>
                <c:pt idx="2">
                  <c:v>-5.1194539249146742E-2</c:v>
                </c:pt>
                <c:pt idx="3">
                  <c:v>-1.7786561264822143E-2</c:v>
                </c:pt>
                <c:pt idx="4">
                  <c:v>3.3794162826420893E-2</c:v>
                </c:pt>
                <c:pt idx="5">
                  <c:v>1.4833759590792805E-2</c:v>
                </c:pt>
                <c:pt idx="6">
                  <c:v>5.1387461459403871E-2</c:v>
                </c:pt>
                <c:pt idx="7">
                  <c:v>2.9678068410462721E-2</c:v>
                </c:pt>
                <c:pt idx="8">
                  <c:v>-6.9341258048538634E-3</c:v>
                </c:pt>
                <c:pt idx="9">
                  <c:v>-2.5201612903225756E-2</c:v>
                </c:pt>
                <c:pt idx="10">
                  <c:v>-3.128054740957964E-2</c:v>
                </c:pt>
                <c:pt idx="11">
                  <c:v>-9.2818759159746245E-3</c:v>
                </c:pt>
                <c:pt idx="12">
                  <c:v>-5.4862842892767771E-3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C4-453C-9494-2F295A8DD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6854552"/>
        <c:axId val="466857296"/>
      </c:lineChart>
      <c:catAx>
        <c:axId val="466854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/>
                <a:ea typeface="Trebuchet MS"/>
                <a:cs typeface="Trebuchet MS"/>
              </a:defRPr>
            </a:pPr>
            <a:endParaRPr lang="en-US"/>
          </a:p>
        </c:txPr>
        <c:crossAx val="466857296"/>
        <c:crosses val="autoZero"/>
        <c:auto val="1"/>
        <c:lblAlgn val="ctr"/>
        <c:lblOffset val="100"/>
        <c:noMultiLvlLbl val="0"/>
      </c:catAx>
      <c:valAx>
        <c:axId val="46685729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C0C0C0"/>
              </a:solidFill>
              <a:prstDash val="solid"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/>
                <a:ea typeface="Trebuchet MS"/>
                <a:cs typeface="Trebuchet MS"/>
              </a:defRPr>
            </a:pPr>
            <a:endParaRPr lang="en-US"/>
          </a:p>
        </c:txPr>
        <c:crossAx val="466854552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5400" cap="flat" cmpd="sng" algn="ctr">
      <a:noFill/>
      <a:round/>
    </a:ln>
    <a:effectLst/>
  </c:spPr>
  <c:txPr>
    <a:bodyPr/>
    <a:lstStyle/>
    <a:p>
      <a:pPr>
        <a:defRPr sz="1000" b="0" i="0" u="none" strike="noStrike" baseline="0">
          <a:latin typeface="Trebuchet MS"/>
          <a:ea typeface="Trebuchet MS"/>
          <a:cs typeface="Trebuchet M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'Snap charts'!$H$213</c:f>
              <c:strCache>
                <c:ptCount val="1"/>
                <c:pt idx="0">
                  <c:v>DPS (LHS)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  <a:effectLst/>
          </c:spPr>
          <c:invertIfNegative val="0"/>
          <c:cat>
            <c:numRef>
              <c:f>'Snap charts'!$I$212:$Q$212</c:f>
              <c:numCache>
                <c:formatCode>General</c:formatCode>
                <c:ptCount val="9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</c:numCache>
            </c:numRef>
          </c:cat>
          <c:val>
            <c:numRef>
              <c:f>'Snap charts'!$I$213:$Q$213</c:f>
              <c:numCache>
                <c:formatCode>0.00</c:formatCode>
                <c:ptCount val="9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01-4DAA-A27B-09DD5FCC14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66856512"/>
        <c:axId val="466852200"/>
      </c:barChart>
      <c:lineChart>
        <c:grouping val="standard"/>
        <c:varyColors val="0"/>
        <c:ser>
          <c:idx val="1"/>
          <c:order val="1"/>
          <c:tx>
            <c:strRef>
              <c:f>'Snap charts'!$H$214</c:f>
              <c:strCache>
                <c:ptCount val="1"/>
                <c:pt idx="0">
                  <c:v>Net debt/EBITDA (RHS)</c:v>
                </c:pt>
              </c:strCache>
            </c:strRef>
          </c:tx>
          <c:spPr>
            <a:ln w="25400" cap="rnd">
              <a:solidFill>
                <a:schemeClr val="accent1">
                  <a:lumMod val="60000"/>
                  <a:lumOff val="4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'Snap charts'!$I$212:$Q$212</c:f>
              <c:numCache>
                <c:formatCode>General</c:formatCode>
                <c:ptCount val="9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</c:numCache>
            </c:numRef>
          </c:cat>
          <c:val>
            <c:numRef>
              <c:f>'Snap charts'!$I$214:$Q$214</c:f>
              <c:numCache>
                <c:formatCode>_-* #,##0.0_-;\-* #,##0.0_-;_-* "-"??_-;_-@_-</c:formatCode>
                <c:ptCount val="9"/>
                <c:pt idx="0">
                  <c:v>1.0319293478260869</c:v>
                </c:pt>
                <c:pt idx="1">
                  <c:v>1.2292561609767125</c:v>
                </c:pt>
                <c:pt idx="2">
                  <c:v>1.384603745646416</c:v>
                </c:pt>
                <c:pt idx="3">
                  <c:v>1.4849624060150375</c:v>
                </c:pt>
                <c:pt idx="4">
                  <c:v>1.8158652595322669</c:v>
                </c:pt>
                <c:pt idx="5">
                  <c:v>1.9390958260132451</c:v>
                </c:pt>
                <c:pt idx="6">
                  <c:v>2.0395797703097784</c:v>
                </c:pt>
                <c:pt idx="7">
                  <c:v>1.6791866807949041</c:v>
                </c:pt>
                <c:pt idx="8">
                  <c:v>1.842297456657461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01-4DAA-A27B-09DD5FCC14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6857688"/>
        <c:axId val="466852592"/>
      </c:lineChart>
      <c:catAx>
        <c:axId val="466856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/>
                <a:ea typeface="Trebuchet MS"/>
                <a:cs typeface="Trebuchet MS"/>
              </a:defRPr>
            </a:pPr>
            <a:endParaRPr lang="en-US"/>
          </a:p>
        </c:txPr>
        <c:crossAx val="466852200"/>
        <c:crosses val="autoZero"/>
        <c:auto val="1"/>
        <c:lblAlgn val="ctr"/>
        <c:lblOffset val="100"/>
        <c:noMultiLvlLbl val="0"/>
      </c:catAx>
      <c:valAx>
        <c:axId val="466852200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C0C0C0"/>
              </a:solidFill>
              <a:prstDash val="solid"/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/>
                <a:ea typeface="Trebuchet MS"/>
                <a:cs typeface="Trebuchet MS"/>
              </a:defRPr>
            </a:pPr>
            <a:endParaRPr lang="en-US"/>
          </a:p>
        </c:txPr>
        <c:crossAx val="466856512"/>
        <c:crosses val="autoZero"/>
        <c:crossBetween val="between"/>
      </c:valAx>
      <c:valAx>
        <c:axId val="466852592"/>
        <c:scaling>
          <c:orientation val="minMax"/>
        </c:scaling>
        <c:delete val="0"/>
        <c:axPos val="r"/>
        <c:numFmt formatCode="_-* #,##0.0_-;\-* #,##0.0_-;_-* &quot;-&quot;??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/>
                <a:ea typeface="Trebuchet MS"/>
                <a:cs typeface="Trebuchet MS"/>
              </a:defRPr>
            </a:pPr>
            <a:endParaRPr lang="en-US"/>
          </a:p>
        </c:txPr>
        <c:crossAx val="466857688"/>
        <c:crosses val="max"/>
        <c:crossBetween val="between"/>
      </c:valAx>
      <c:catAx>
        <c:axId val="4668576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6852592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b"/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rebuchet MS"/>
              <a:ea typeface="Trebuchet MS"/>
              <a:cs typeface="Trebuchet M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25400" cap="flat" cmpd="sng" algn="ctr">
      <a:noFill/>
      <a:round/>
    </a:ln>
    <a:effectLst/>
  </c:spPr>
  <c:txPr>
    <a:bodyPr/>
    <a:lstStyle/>
    <a:p>
      <a:pPr>
        <a:defRPr sz="1000" b="0" i="0" u="none" strike="noStrike" baseline="0">
          <a:latin typeface="Trebuchet MS"/>
          <a:ea typeface="Trebuchet MS"/>
          <a:cs typeface="Trebuchet M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'Snap charts'!$H$227</c:f>
              <c:strCache>
                <c:ptCount val="1"/>
                <c:pt idx="0">
                  <c:v>OpFCF - interest - tax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  <a:effectLst/>
          </c:spPr>
          <c:invertIfNegative val="0"/>
          <c:cat>
            <c:numRef>
              <c:f>'Snap charts'!$I$226:$Q$226</c:f>
              <c:numCache>
                <c:formatCode>General</c:formatCode>
                <c:ptCount val="9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</c:numCache>
            </c:numRef>
          </c:cat>
          <c:val>
            <c:numRef>
              <c:f>'Snap charts'!$I$227:$Q$227</c:f>
              <c:numCache>
                <c:formatCode>_-* #,##0_-;\-* #,##0_-;_-* "-"??_-;_-@_-</c:formatCode>
                <c:ptCount val="9"/>
                <c:pt idx="0">
                  <c:v>2733</c:v>
                </c:pt>
                <c:pt idx="1">
                  <c:v>2365</c:v>
                </c:pt>
                <c:pt idx="2">
                  <c:v>2654</c:v>
                </c:pt>
                <c:pt idx="3">
                  <c:v>1894.561874065377</c:v>
                </c:pt>
                <c:pt idx="4">
                  <c:v>1997</c:v>
                </c:pt>
                <c:pt idx="5">
                  <c:v>1935</c:v>
                </c:pt>
                <c:pt idx="6">
                  <c:v>2107</c:v>
                </c:pt>
                <c:pt idx="7">
                  <c:v>1875.721</c:v>
                </c:pt>
                <c:pt idx="8">
                  <c:v>1805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F2-4CA8-87CE-DB3A5857F0C2}"/>
            </c:ext>
          </c:extLst>
        </c:ser>
        <c:ser>
          <c:idx val="1"/>
          <c:order val="1"/>
          <c:tx>
            <c:strRef>
              <c:f>'Snap charts'!$H$228</c:f>
              <c:strCache>
                <c:ptCount val="1"/>
                <c:pt idx="0">
                  <c:v>Dividend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  <a:effectLst/>
          </c:spPr>
          <c:invertIfNegative val="0"/>
          <c:cat>
            <c:numRef>
              <c:f>'Snap charts'!$I$226:$Q$226</c:f>
              <c:numCache>
                <c:formatCode>General</c:formatCode>
                <c:ptCount val="9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</c:numCache>
            </c:numRef>
          </c:cat>
          <c:val>
            <c:numRef>
              <c:f>'Snap charts'!$I$228:$Q$228</c:f>
              <c:numCache>
                <c:formatCode>_-* #,##0_-;\-* #,##0_-;_-* "-"??_-;_-@_-</c:formatCode>
                <c:ptCount val="9"/>
                <c:pt idx="0">
                  <c:v>3000</c:v>
                </c:pt>
                <c:pt idx="1">
                  <c:v>3000</c:v>
                </c:pt>
                <c:pt idx="2">
                  <c:v>3000</c:v>
                </c:pt>
                <c:pt idx="3">
                  <c:v>3000</c:v>
                </c:pt>
                <c:pt idx="4">
                  <c:v>2325.0000000000005</c:v>
                </c:pt>
                <c:pt idx="5">
                  <c:v>1500</c:v>
                </c:pt>
                <c:pt idx="6">
                  <c:v>1532.096</c:v>
                </c:pt>
                <c:pt idx="7">
                  <c:v>1563.0229999999999</c:v>
                </c:pt>
                <c:pt idx="8">
                  <c:v>1564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F2-4CA8-87CE-DB3A5857F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66858080"/>
        <c:axId val="466854944"/>
      </c:barChart>
      <c:catAx>
        <c:axId val="466858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/>
                <a:ea typeface="Trebuchet MS"/>
                <a:cs typeface="Trebuchet MS"/>
              </a:defRPr>
            </a:pPr>
            <a:endParaRPr lang="en-US"/>
          </a:p>
        </c:txPr>
        <c:crossAx val="466854944"/>
        <c:crosses val="autoZero"/>
        <c:auto val="1"/>
        <c:lblAlgn val="ctr"/>
        <c:lblOffset val="100"/>
        <c:noMultiLvlLbl val="0"/>
      </c:catAx>
      <c:valAx>
        <c:axId val="466854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C0C0C0"/>
              </a:solidFill>
              <a:prstDash val="solid"/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/>
                <a:ea typeface="Trebuchet MS"/>
                <a:cs typeface="Trebuchet MS"/>
              </a:defRPr>
            </a:pPr>
            <a:endParaRPr lang="en-US"/>
          </a:p>
        </c:txPr>
        <c:crossAx val="466858080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rebuchet MS"/>
              <a:ea typeface="Trebuchet MS"/>
              <a:cs typeface="Trebuchet M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25400" cap="flat" cmpd="sng" algn="ctr">
      <a:noFill/>
      <a:round/>
    </a:ln>
    <a:effectLst/>
  </c:spPr>
  <c:txPr>
    <a:bodyPr/>
    <a:lstStyle/>
    <a:p>
      <a:pPr>
        <a:defRPr sz="1000" b="0" i="0" u="none" strike="noStrike" baseline="0">
          <a:latin typeface="Trebuchet MS"/>
          <a:ea typeface="Trebuchet MS"/>
          <a:cs typeface="Trebuchet M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5.xml"/><Relationship Id="rId13" Type="http://schemas.openxmlformats.org/officeDocument/2006/relationships/chart" Target="../charts/chart20.xml"/><Relationship Id="rId3" Type="http://schemas.openxmlformats.org/officeDocument/2006/relationships/chart" Target="../charts/chart10.xml"/><Relationship Id="rId7" Type="http://schemas.openxmlformats.org/officeDocument/2006/relationships/chart" Target="../charts/chart14.xml"/><Relationship Id="rId12" Type="http://schemas.openxmlformats.org/officeDocument/2006/relationships/chart" Target="../charts/chart19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6" Type="http://schemas.openxmlformats.org/officeDocument/2006/relationships/chart" Target="../charts/chart13.xml"/><Relationship Id="rId11" Type="http://schemas.openxmlformats.org/officeDocument/2006/relationships/chart" Target="../charts/chart18.xml"/><Relationship Id="rId5" Type="http://schemas.openxmlformats.org/officeDocument/2006/relationships/chart" Target="../charts/chart12.xml"/><Relationship Id="rId10" Type="http://schemas.openxmlformats.org/officeDocument/2006/relationships/chart" Target="../charts/chart17.xml"/><Relationship Id="rId4" Type="http://schemas.openxmlformats.org/officeDocument/2006/relationships/chart" Target="../charts/chart11.xml"/><Relationship Id="rId9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160020</xdr:rowOff>
    </xdr:from>
    <xdr:to>
      <xdr:col>2</xdr:col>
      <xdr:colOff>1182708</xdr:colOff>
      <xdr:row>1</xdr:row>
      <xdr:rowOff>387350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9F9A75-043F-471A-8E81-0535BD8AD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0020"/>
          <a:ext cx="2660141" cy="392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105</xdr:col>
      <xdr:colOff>19050</xdr:colOff>
      <xdr:row>303</xdr:row>
      <xdr:rowOff>152400</xdr:rowOff>
    </xdr:from>
    <xdr:to>
      <xdr:col>116</xdr:col>
      <xdr:colOff>76200</xdr:colOff>
      <xdr:row>316</xdr:row>
      <xdr:rowOff>0</xdr:rowOff>
    </xdr:to>
    <xdr:graphicFrame macro="">
      <xdr:nvGraphicFramePr>
        <xdr:cNvPr id="5" name="Chart 70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108</xdr:col>
      <xdr:colOff>625475</xdr:colOff>
      <xdr:row>117</xdr:row>
      <xdr:rowOff>111125</xdr:rowOff>
    </xdr:from>
    <xdr:to>
      <xdr:col>115</xdr:col>
      <xdr:colOff>568325</xdr:colOff>
      <xdr:row>131</xdr:row>
      <xdr:rowOff>177800</xdr:rowOff>
    </xdr:to>
    <xdr:graphicFrame macro="">
      <xdr:nvGraphicFramePr>
        <xdr:cNvPr id="10" name="Chart 76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134</xdr:col>
      <xdr:colOff>504825</xdr:colOff>
      <xdr:row>296</xdr:row>
      <xdr:rowOff>0</xdr:rowOff>
    </xdr:from>
    <xdr:to>
      <xdr:col>144</xdr:col>
      <xdr:colOff>295275</xdr:colOff>
      <xdr:row>296</xdr:row>
      <xdr:rowOff>123825</xdr:rowOff>
    </xdr:to>
    <xdr:graphicFrame macro="">
      <xdr:nvGraphicFramePr>
        <xdr:cNvPr id="18" name="Chart 119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139</xdr:col>
      <xdr:colOff>85725</xdr:colOff>
      <xdr:row>340</xdr:row>
      <xdr:rowOff>38100</xdr:rowOff>
    </xdr:from>
    <xdr:to>
      <xdr:col>148</xdr:col>
      <xdr:colOff>317500</xdr:colOff>
      <xdr:row>355</xdr:row>
      <xdr:rowOff>161925</xdr:rowOff>
    </xdr:to>
    <xdr:graphicFrame macro="">
      <xdr:nvGraphicFramePr>
        <xdr:cNvPr id="19" name="Chart 120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111</xdr:col>
      <xdr:colOff>371475</xdr:colOff>
      <xdr:row>315</xdr:row>
      <xdr:rowOff>171450</xdr:rowOff>
    </xdr:from>
    <xdr:to>
      <xdr:col>120</xdr:col>
      <xdr:colOff>200025</xdr:colOff>
      <xdr:row>325</xdr:row>
      <xdr:rowOff>0</xdr:rowOff>
    </xdr:to>
    <xdr:graphicFrame macro="">
      <xdr:nvGraphicFramePr>
        <xdr:cNvPr id="20" name="Chart 122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79374</xdr:colOff>
      <xdr:row>320</xdr:row>
      <xdr:rowOff>68262</xdr:rowOff>
    </xdr:from>
    <xdr:to>
      <xdr:col>36</xdr:col>
      <xdr:colOff>515937</xdr:colOff>
      <xdr:row>330</xdr:row>
      <xdr:rowOff>7937</xdr:rowOff>
    </xdr:to>
    <xdr:graphicFrame macro="">
      <xdr:nvGraphicFramePr>
        <xdr:cNvPr id="2" name="Chart 6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55419</xdr:colOff>
      <xdr:row>29</xdr:row>
      <xdr:rowOff>141761</xdr:rowOff>
    </xdr:from>
    <xdr:to>
      <xdr:col>18</xdr:col>
      <xdr:colOff>170709</xdr:colOff>
      <xdr:row>47</xdr:row>
      <xdr:rowOff>166254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511565B-B087-6BB7-34FC-42CA78C1C20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244929</xdr:colOff>
      <xdr:row>11</xdr:row>
      <xdr:rowOff>63954</xdr:rowOff>
    </xdr:from>
    <xdr:to>
      <xdr:col>16</xdr:col>
      <xdr:colOff>530679</xdr:colOff>
      <xdr:row>25</xdr:row>
      <xdr:rowOff>140154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34</xdr:col>
      <xdr:colOff>136071</xdr:colOff>
      <xdr:row>34</xdr:row>
      <xdr:rowOff>118381</xdr:rowOff>
    </xdr:from>
    <xdr:to>
      <xdr:col>42</xdr:col>
      <xdr:colOff>326570</xdr:colOff>
      <xdr:row>51</xdr:row>
      <xdr:rowOff>13607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24</xdr:col>
      <xdr:colOff>421820</xdr:colOff>
      <xdr:row>78</xdr:row>
      <xdr:rowOff>23131</xdr:rowOff>
    </xdr:from>
    <xdr:to>
      <xdr:col>32</xdr:col>
      <xdr:colOff>163284</xdr:colOff>
      <xdr:row>93</xdr:row>
      <xdr:rowOff>163284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435428</xdr:colOff>
      <xdr:row>52</xdr:row>
      <xdr:rowOff>186417</xdr:rowOff>
    </xdr:from>
    <xdr:to>
      <xdr:col>34</xdr:col>
      <xdr:colOff>108856</xdr:colOff>
      <xdr:row>67</xdr:row>
      <xdr:rowOff>72117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299357</xdr:colOff>
      <xdr:row>108</xdr:row>
      <xdr:rowOff>104773</xdr:rowOff>
    </xdr:from>
    <xdr:to>
      <xdr:col>19</xdr:col>
      <xdr:colOff>530678</xdr:colOff>
      <xdr:row>125</xdr:row>
      <xdr:rowOff>95248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353786</xdr:colOff>
      <xdr:row>134</xdr:row>
      <xdr:rowOff>63954</xdr:rowOff>
    </xdr:from>
    <xdr:to>
      <xdr:col>20</xdr:col>
      <xdr:colOff>27215</xdr:colOff>
      <xdr:row>148</xdr:row>
      <xdr:rowOff>140154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21</xdr:col>
      <xdr:colOff>489858</xdr:colOff>
      <xdr:row>134</xdr:row>
      <xdr:rowOff>190499</xdr:rowOff>
    </xdr:from>
    <xdr:to>
      <xdr:col>29</xdr:col>
      <xdr:colOff>394608</xdr:colOff>
      <xdr:row>150</xdr:row>
      <xdr:rowOff>180973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163286</xdr:colOff>
      <xdr:row>192</xdr:row>
      <xdr:rowOff>131988</xdr:rowOff>
    </xdr:from>
    <xdr:to>
      <xdr:col>17</xdr:col>
      <xdr:colOff>380999</xdr:colOff>
      <xdr:row>210</xdr:row>
      <xdr:rowOff>68036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20</xdr:col>
      <xdr:colOff>462643</xdr:colOff>
      <xdr:row>149</xdr:row>
      <xdr:rowOff>0</xdr:rowOff>
    </xdr:from>
    <xdr:to>
      <xdr:col>28</xdr:col>
      <xdr:colOff>54430</xdr:colOff>
      <xdr:row>165</xdr:row>
      <xdr:rowOff>133350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23</xdr:col>
      <xdr:colOff>163286</xdr:colOff>
      <xdr:row>178</xdr:row>
      <xdr:rowOff>104772</xdr:rowOff>
    </xdr:from>
    <xdr:to>
      <xdr:col>30</xdr:col>
      <xdr:colOff>449036</xdr:colOff>
      <xdr:row>192</xdr:row>
      <xdr:rowOff>180972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31</xdr:col>
      <xdr:colOff>598713</xdr:colOff>
      <xdr:row>68</xdr:row>
      <xdr:rowOff>77559</xdr:rowOff>
    </xdr:from>
    <xdr:to>
      <xdr:col>40</xdr:col>
      <xdr:colOff>244927</xdr:colOff>
      <xdr:row>83</xdr:row>
      <xdr:rowOff>81643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B8A1218-301D-4350-A3B0-16708B8262D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18</xdr:col>
      <xdr:colOff>68035</xdr:colOff>
      <xdr:row>208</xdr:row>
      <xdr:rowOff>16329</xdr:rowOff>
    </xdr:from>
    <xdr:to>
      <xdr:col>25</xdr:col>
      <xdr:colOff>353785</xdr:colOff>
      <xdr:row>222</xdr:row>
      <xdr:rowOff>92529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66F5288-9349-402E-A5F4-28E4D102706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9</xdr:col>
      <xdr:colOff>54429</xdr:colOff>
      <xdr:row>230</xdr:row>
      <xdr:rowOff>29936</xdr:rowOff>
    </xdr:from>
    <xdr:to>
      <xdr:col>16</xdr:col>
      <xdr:colOff>340179</xdr:colOff>
      <xdr:row>244</xdr:row>
      <xdr:rowOff>106136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C9431914-21EC-4A05-81F4-0AAD6A5632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../Shared/shared/TELECOMS/STOCKS/EMEA/Malaysia/00%20Market%20models/Malaysian%20market%20model.xlsx" TargetMode="External"/><Relationship Id="rId2" Type="http://schemas.openxmlformats.org/officeDocument/2006/relationships/externalLinkPath" Target="file:///S:\Shared\shared\TELECOMS\STOCKS\EMEA\Malaysia\00%20Market%20models\Malaysian%20market%20model.xlsx" TargetMode="External"/><Relationship Id="rId1" Type="http://schemas.openxmlformats.org/officeDocument/2006/relationships/externalLinkPath" Target="/Shared/shared/TELECOMS/STOCKS/EMEA/Malaysia/00%20Market%20models/Malaysian%20market%20model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00%20Market%20models/Malaysian%20market%20model.xlsx" TargetMode="External"/><Relationship Id="rId2" Type="http://schemas.openxmlformats.org/officeDocument/2006/relationships/externalLinkPath" Target="https://newstreet1385.sharepoint.com/sites/Corp/Shared/TELECOMS/STOCKS/EMEA/Malaysia/00%20Market%20models/Malaysian%20market%20model.xlsx" TargetMode="External"/><Relationship Id="rId1" Type="http://schemas.openxmlformats.org/officeDocument/2006/relationships/externalLinkPath" Target="/sites/Corp/Shared/TELECOMS/STOCKS/EMEA/Malaysia/00%20Market%20models/Malaysian%20market%20model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newstreet1385.sharepoint.com/sites/Corp/Shared/TELECOMS/STOCKS/EMEA/Malaysia/01%20Maxis/02%20Model/Maxis%20Quarterly%20NSR.xlsx" TargetMode="External"/><Relationship Id="rId1" Type="http://schemas.openxmlformats.org/officeDocument/2006/relationships/externalLinkPath" Target="Maxis%20Quarterly%20NSR.xlsx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../Shared/shared/TELECOMS/STOCKS/EMEA/Malaysia/00%20Market%20models/Malaysian%20Enterprise%20Model%20.xlsx" TargetMode="External"/><Relationship Id="rId2" Type="http://schemas.openxmlformats.org/officeDocument/2006/relationships/externalLinkPath" Target="file:///S:\Shared\shared\TELECOMS\STOCKS\EMEA\Malaysia\00%20Market%20models\Malaysian%20Enterprise%20Model%20.xlsx" TargetMode="External"/><Relationship Id="rId1" Type="http://schemas.openxmlformats.org/officeDocument/2006/relationships/externalLinkPath" Target="/Shared/shared/TELECOMS/STOCKS/EMEA/Malaysia/00%20Market%20models/Malaysian%20Enterprise%20Model%20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TELECOMS/STOCKS/EMEA/Singapore/Starhub/Starhub20.xlsm" TargetMode="External"/><Relationship Id="rId1" Type="http://schemas.openxmlformats.org/officeDocument/2006/relationships/externalLinkPath" Target="/TELECOMS/STOCKS/EMEA/Singapore/Starhub/Starhub20.xlsm" TargetMode="External"/></Relationships>
</file>

<file path=xl/externalLinks/_rels/externalLink6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VEON/02%20Model/VEON.xlsx" TargetMode="External"/><Relationship Id="rId2" Type="http://schemas.openxmlformats.org/officeDocument/2006/relationships/externalLinkPath" Target="https://newstreet1385.sharepoint.com/sites/Corp/Shared/TELECOMS/STOCKS/EMEA/VEON/02%20Model/VEON.xlsx" TargetMode="External"/><Relationship Id="rId1" Type="http://schemas.openxmlformats.org/officeDocument/2006/relationships/externalLinkPath" Target="/sites/Corp/Shared/TELECOMS/STOCKS/EMEA/VEON/02%20Model/VEON.xlsx" TargetMode="External"/></Relationships>
</file>

<file path=xl/externalLinks/_rels/externalLink7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Indonesia/01%20Telkom%20Indonesia/Model/PT%20Telkom.xlsx" TargetMode="External"/><Relationship Id="rId2" Type="http://schemas.openxmlformats.org/officeDocument/2006/relationships/externalLinkPath" Target="https://newstreet1385.sharepoint.com/sites/Corp/Shared/TELECOMS/STOCKS/EMEA/Indonesia/01%20Telkom%20Indonesia/Model/PT%20Telkom.xlsx" TargetMode="External"/><Relationship Id="rId1" Type="http://schemas.openxmlformats.org/officeDocument/2006/relationships/externalLinkPath" Target="/sites/Corp/Shared/TELECOMS/STOCKS/EMEA/Indonesia/01%20Telkom%20Indonesia/Model/PT%20Telkom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TELECOMS/STOCKS/EMEA/Malaysia/Digi%20model.xls" TargetMode="External"/><Relationship Id="rId1" Type="http://schemas.openxmlformats.org/officeDocument/2006/relationships/externalLinkPath" Target="/TELECOMS/STOCKS/EMEA/Malaysia/Digi%20mod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Ownership"/>
      <sheetName val="Small Cells"/>
      <sheetName val="competition"/>
      <sheetName val="Bband Charts"/>
      <sheetName val="Spectrum"/>
      <sheetName val="Data plans"/>
      <sheetName val="#Returns"/>
      <sheetName val="Forecast Changes"/>
      <sheetName val="Front page"/>
      <sheetName val="Relative valuations"/>
      <sheetName val="Malaysian mobile model"/>
      <sheetName val="Link Page (Mob) for Dec ye"/>
      <sheetName val="Workings"/>
      <sheetName val="Malaysia"/>
      <sheetName val="link page (Mob) for march ye"/>
      <sheetName val="U-Mobile"/>
      <sheetName val="Lin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5">
          <cell r="BK5">
            <v>31876.816491127447</v>
          </cell>
          <cell r="BP5">
            <v>32022.6</v>
          </cell>
          <cell r="BU5">
            <v>32382.3</v>
          </cell>
          <cell r="BZ5">
            <v>32523</v>
          </cell>
          <cell r="CE5">
            <v>32657</v>
          </cell>
          <cell r="CJ5">
            <v>33573.874000000003</v>
          </cell>
          <cell r="CO5">
            <v>33938.22</v>
          </cell>
          <cell r="CT5">
            <v>34306.519907961767</v>
          </cell>
        </row>
        <row r="7">
          <cell r="BK7">
            <v>1.399</v>
          </cell>
          <cell r="BP7">
            <v>1.3120000000000001</v>
          </cell>
          <cell r="BU7">
            <v>1.302</v>
          </cell>
          <cell r="BZ7">
            <v>1.3540000000000001</v>
          </cell>
          <cell r="CE7">
            <v>1.3360000000000001</v>
          </cell>
          <cell r="CJ7">
            <v>1.4072549387657796</v>
          </cell>
          <cell r="CO7">
            <v>1.3981876480263253</v>
          </cell>
          <cell r="CT7">
            <v>1.4181876480263254</v>
          </cell>
        </row>
        <row r="15">
          <cell r="BK15">
            <v>11718</v>
          </cell>
          <cell r="BP15">
            <v>10928</v>
          </cell>
          <cell r="BU15">
            <v>10761</v>
          </cell>
          <cell r="BZ15">
            <v>11130</v>
          </cell>
          <cell r="CE15">
            <v>11132</v>
          </cell>
          <cell r="CJ15">
            <v>11618</v>
          </cell>
          <cell r="CO15">
            <v>11738</v>
          </cell>
          <cell r="CT15">
            <v>12511</v>
          </cell>
        </row>
        <row r="16">
          <cell r="BK16">
            <v>10556</v>
          </cell>
          <cell r="BP16">
            <v>9546</v>
          </cell>
          <cell r="BU16">
            <v>9076</v>
          </cell>
          <cell r="BZ16">
            <v>8372</v>
          </cell>
          <cell r="CE16">
            <v>8678</v>
          </cell>
          <cell r="CJ16">
            <v>9595</v>
          </cell>
          <cell r="CT16">
            <v>0</v>
          </cell>
        </row>
        <row r="17">
          <cell r="BK17">
            <v>12299</v>
          </cell>
          <cell r="BP17">
            <v>11747</v>
          </cell>
          <cell r="BU17">
            <v>11660</v>
          </cell>
          <cell r="BZ17">
            <v>11281</v>
          </cell>
          <cell r="CE17">
            <v>10441</v>
          </cell>
          <cell r="CJ17">
            <v>10305</v>
          </cell>
          <cell r="CO17">
            <v>19985</v>
          </cell>
          <cell r="CT17">
            <v>20420.714</v>
          </cell>
        </row>
        <row r="21">
          <cell r="BK21">
            <v>44100</v>
          </cell>
          <cell r="BP21">
            <v>42741</v>
          </cell>
          <cell r="BU21">
            <v>42413</v>
          </cell>
          <cell r="BZ21">
            <v>44601</v>
          </cell>
          <cell r="CE21">
            <v>43723.600000000006</v>
          </cell>
          <cell r="CJ21">
            <v>47247</v>
          </cell>
          <cell r="CO21">
            <v>47452</v>
          </cell>
          <cell r="CT21">
            <v>48660.714</v>
          </cell>
        </row>
      </sheetData>
      <sheetData sheetId="11">
        <row r="5">
          <cell r="BI5">
            <v>33149.308357124988</v>
          </cell>
        </row>
      </sheetData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Ownership"/>
      <sheetName val="Small Cells"/>
      <sheetName val="competition"/>
      <sheetName val="Bband Charts"/>
      <sheetName val="Spectrum"/>
      <sheetName val="Data plans"/>
      <sheetName val="#Returns"/>
      <sheetName val="Forecast Changes"/>
      <sheetName val="Front page"/>
      <sheetName val="Relative valuations"/>
      <sheetName val="Malaysian mobile model"/>
      <sheetName val="Link Page (Mob) for Dec ye"/>
      <sheetName val="Workings"/>
      <sheetName val="Malaysia"/>
      <sheetName val="link page (Mob) for march ye"/>
      <sheetName val="U-Mobile"/>
      <sheetName val="Lin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5">
          <cell r="CY5">
            <v>35557.673000000003</v>
          </cell>
          <cell r="DD5">
            <v>35977.838000000003</v>
          </cell>
          <cell r="DE5">
            <v>36157.727189999998</v>
          </cell>
          <cell r="DF5">
            <v>36338.515825949995</v>
          </cell>
          <cell r="DG5">
            <v>36520.208405079742</v>
          </cell>
        </row>
        <row r="7">
          <cell r="CY7">
            <v>1.327702181186041</v>
          </cell>
          <cell r="DD7">
            <v>1.337702181186041</v>
          </cell>
          <cell r="DE7">
            <v>1.347702181186041</v>
          </cell>
          <cell r="DF7">
            <v>1.3567021811860409</v>
          </cell>
          <cell r="DG7">
            <v>1.3648021811860409</v>
          </cell>
        </row>
        <row r="15">
          <cell r="CY15">
            <v>12826</v>
          </cell>
          <cell r="DD15">
            <v>13504</v>
          </cell>
          <cell r="DE15">
            <v>13589.613584573439</v>
          </cell>
          <cell r="DF15">
            <v>13748.767303558094</v>
          </cell>
          <cell r="DG15">
            <v>13900.006651461272</v>
          </cell>
          <cell r="DH15">
            <v>14044.123874766659</v>
          </cell>
          <cell r="DI15">
            <v>14181.835742538982</v>
          </cell>
          <cell r="DJ15">
            <v>14313.790755428116</v>
          </cell>
          <cell r="DK15">
            <v>14440.575666217841</v>
          </cell>
        </row>
        <row r="16">
          <cell r="CY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</row>
        <row r="17">
          <cell r="CY17">
            <v>18655</v>
          </cell>
          <cell r="DC17">
            <v>19242</v>
          </cell>
          <cell r="DD17">
            <v>19242</v>
          </cell>
          <cell r="DE17">
            <v>18490.388702805692</v>
          </cell>
          <cell r="DF17">
            <v>18706.937474351631</v>
          </cell>
          <cell r="DG17">
            <v>18912.717742678251</v>
          </cell>
        </row>
        <row r="21">
          <cell r="CZ21">
            <v>15729</v>
          </cell>
          <cell r="DB21">
            <v>15729</v>
          </cell>
          <cell r="DC21">
            <v>48475</v>
          </cell>
          <cell r="DD21">
            <v>48475</v>
          </cell>
          <cell r="DE21">
            <v>48729.84780069282</v>
          </cell>
          <cell r="DF21">
            <v>49300.543682129828</v>
          </cell>
          <cell r="DG21">
            <v>49842.860088621615</v>
          </cell>
          <cell r="DH21">
            <v>50359.637869934115</v>
          </cell>
        </row>
      </sheetData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ey"/>
      <sheetName val="Profit and Loss Highlights"/>
      <sheetName val="Key Balance Sheet &amp; CFlow Items"/>
      <sheetName val="Domestic Mobile Operations"/>
      <sheetName val="Charts"/>
      <sheetName val="Lisbon"/>
      <sheetName val="Dates"/>
    </sheetNames>
    <sheetDataSet>
      <sheetData sheetId="0"/>
      <sheetData sheetId="1">
        <row r="10">
          <cell r="X10">
            <v>1928</v>
          </cell>
          <cell r="Y10">
            <v>1944</v>
          </cell>
          <cell r="Z10">
            <v>1897</v>
          </cell>
          <cell r="AA10">
            <v>1834</v>
          </cell>
          <cell r="AB10">
            <v>1863</v>
          </cell>
          <cell r="AC10">
            <v>1876</v>
          </cell>
          <cell r="AD10">
            <v>1898</v>
          </cell>
          <cell r="AE10">
            <v>1797</v>
          </cell>
          <cell r="AF10">
            <v>1763</v>
          </cell>
          <cell r="AG10">
            <v>1773</v>
          </cell>
          <cell r="AH10">
            <v>1772</v>
          </cell>
          <cell r="AI10">
            <v>1698</v>
          </cell>
          <cell r="AJ10">
            <v>1660</v>
          </cell>
          <cell r="AK10">
            <v>1673</v>
          </cell>
          <cell r="AL10">
            <v>1663</v>
          </cell>
          <cell r="AM10">
            <v>1664</v>
          </cell>
          <cell r="AN10">
            <v>1687</v>
          </cell>
          <cell r="AO10">
            <v>1715</v>
          </cell>
          <cell r="AP10">
            <v>1674</v>
          </cell>
          <cell r="AQ10">
            <v>1698</v>
          </cell>
          <cell r="AR10">
            <v>1748</v>
          </cell>
          <cell r="AS10">
            <v>1768</v>
          </cell>
          <cell r="AT10">
            <v>1793</v>
          </cell>
          <cell r="AU10">
            <v>1784</v>
          </cell>
          <cell r="AV10">
            <v>1779</v>
          </cell>
          <cell r="AW10">
            <v>1806</v>
          </cell>
          <cell r="AX10">
            <v>1841</v>
          </cell>
          <cell r="AY10">
            <v>1839</v>
          </cell>
          <cell r="AZ10">
            <v>1849</v>
          </cell>
          <cell r="BA10">
            <v>1853</v>
          </cell>
          <cell r="BB10">
            <v>1867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</row>
        <row r="12">
          <cell r="W12">
            <v>72</v>
          </cell>
          <cell r="X12">
            <v>76</v>
          </cell>
          <cell r="Y12">
            <v>75</v>
          </cell>
          <cell r="Z12">
            <v>69</v>
          </cell>
          <cell r="AA12">
            <v>71</v>
          </cell>
          <cell r="AB12">
            <v>71</v>
          </cell>
          <cell r="AC12">
            <v>71</v>
          </cell>
          <cell r="AD12">
            <v>70</v>
          </cell>
          <cell r="AE12">
            <v>70</v>
          </cell>
          <cell r="AF12">
            <v>69</v>
          </cell>
          <cell r="AG12">
            <v>72</v>
          </cell>
          <cell r="AH12">
            <v>116</v>
          </cell>
          <cell r="AI12">
            <v>129</v>
          </cell>
          <cell r="AJ12">
            <v>127</v>
          </cell>
          <cell r="AK12">
            <v>147</v>
          </cell>
          <cell r="AL12">
            <v>155</v>
          </cell>
          <cell r="AM12">
            <v>136</v>
          </cell>
          <cell r="AN12">
            <v>135</v>
          </cell>
          <cell r="AO12">
            <v>137</v>
          </cell>
          <cell r="AP12">
            <v>151</v>
          </cell>
          <cell r="AQ12">
            <v>141</v>
          </cell>
          <cell r="AR12">
            <v>135</v>
          </cell>
          <cell r="AS12">
            <v>131</v>
          </cell>
          <cell r="AT12">
            <v>103</v>
          </cell>
          <cell r="AU12">
            <v>106</v>
          </cell>
          <cell r="AV12">
            <v>106</v>
          </cell>
          <cell r="AW12">
            <v>106</v>
          </cell>
        </row>
        <row r="13">
          <cell r="AA13">
            <v>75</v>
          </cell>
          <cell r="AB13">
            <v>79</v>
          </cell>
          <cell r="AC13">
            <v>80</v>
          </cell>
          <cell r="AD13">
            <v>80</v>
          </cell>
          <cell r="AE13">
            <v>80</v>
          </cell>
          <cell r="AF13">
            <v>86</v>
          </cell>
          <cell r="AG13">
            <v>95</v>
          </cell>
          <cell r="AH13">
            <v>104</v>
          </cell>
          <cell r="AI13">
            <v>113</v>
          </cell>
          <cell r="AJ13">
            <v>113</v>
          </cell>
          <cell r="AK13">
            <v>120</v>
          </cell>
          <cell r="AL13">
            <v>127</v>
          </cell>
          <cell r="AM13">
            <v>135</v>
          </cell>
          <cell r="AN13">
            <v>142</v>
          </cell>
          <cell r="AO13">
            <v>149</v>
          </cell>
          <cell r="AP13">
            <v>159</v>
          </cell>
          <cell r="AQ13">
            <v>166</v>
          </cell>
          <cell r="AR13">
            <v>177</v>
          </cell>
          <cell r="AS13">
            <v>184</v>
          </cell>
          <cell r="AT13">
            <v>191</v>
          </cell>
          <cell r="AU13">
            <v>196</v>
          </cell>
          <cell r="AV13">
            <v>205</v>
          </cell>
          <cell r="AW13">
            <v>205</v>
          </cell>
        </row>
        <row r="19">
          <cell r="AM19">
            <v>748</v>
          </cell>
          <cell r="AN19">
            <v>766</v>
          </cell>
          <cell r="AO19">
            <v>783</v>
          </cell>
          <cell r="AP19">
            <v>766</v>
          </cell>
          <cell r="AQ19">
            <v>785</v>
          </cell>
          <cell r="AR19">
            <v>810</v>
          </cell>
          <cell r="AS19">
            <v>830</v>
          </cell>
          <cell r="AT19">
            <v>850</v>
          </cell>
          <cell r="AU19">
            <v>864</v>
          </cell>
          <cell r="AV19">
            <v>871</v>
          </cell>
          <cell r="AW19">
            <v>882</v>
          </cell>
          <cell r="AX19">
            <v>903</v>
          </cell>
          <cell r="AY19">
            <v>911</v>
          </cell>
          <cell r="AZ19">
            <v>916</v>
          </cell>
          <cell r="BA19">
            <v>925</v>
          </cell>
          <cell r="BB19">
            <v>948</v>
          </cell>
          <cell r="BC19">
            <v>924</v>
          </cell>
          <cell r="BD19">
            <v>933</v>
          </cell>
          <cell r="BE19">
            <v>952</v>
          </cell>
          <cell r="BF19">
            <v>976</v>
          </cell>
          <cell r="BG19">
            <v>963</v>
          </cell>
          <cell r="BH19">
            <v>972</v>
          </cell>
        </row>
        <row r="20">
          <cell r="AM20">
            <v>690</v>
          </cell>
          <cell r="AN20">
            <v>685</v>
          </cell>
          <cell r="AO20">
            <v>685</v>
          </cell>
          <cell r="AP20">
            <v>655</v>
          </cell>
          <cell r="AQ20">
            <v>657</v>
          </cell>
          <cell r="AR20">
            <v>679</v>
          </cell>
          <cell r="AS20">
            <v>676</v>
          </cell>
          <cell r="AT20">
            <v>681</v>
          </cell>
          <cell r="AU20">
            <v>661</v>
          </cell>
          <cell r="AV20">
            <v>651</v>
          </cell>
          <cell r="AW20">
            <v>652</v>
          </cell>
          <cell r="AX20">
            <v>655</v>
          </cell>
          <cell r="AY20">
            <v>649</v>
          </cell>
          <cell r="AZ20">
            <v>648</v>
          </cell>
          <cell r="BA20">
            <v>641</v>
          </cell>
          <cell r="BB20">
            <v>627</v>
          </cell>
          <cell r="BC20">
            <v>595</v>
          </cell>
          <cell r="BD20">
            <v>610</v>
          </cell>
          <cell r="BE20">
            <v>616</v>
          </cell>
          <cell r="BF20">
            <v>624</v>
          </cell>
          <cell r="BG20">
            <v>609</v>
          </cell>
          <cell r="BH20">
            <v>612</v>
          </cell>
        </row>
        <row r="21">
          <cell r="AM21">
            <v>165</v>
          </cell>
          <cell r="AN21">
            <v>175</v>
          </cell>
          <cell r="AO21">
            <v>185</v>
          </cell>
          <cell r="AP21">
            <v>196</v>
          </cell>
          <cell r="AQ21">
            <v>200</v>
          </cell>
          <cell r="AR21">
            <v>209</v>
          </cell>
          <cell r="AS21">
            <v>215</v>
          </cell>
          <cell r="AT21">
            <v>219</v>
          </cell>
          <cell r="AU21">
            <v>222</v>
          </cell>
          <cell r="AV21">
            <v>229</v>
          </cell>
          <cell r="AW21">
            <v>231</v>
          </cell>
          <cell r="AX21">
            <v>243</v>
          </cell>
          <cell r="AY21">
            <v>244</v>
          </cell>
          <cell r="AZ21">
            <v>251</v>
          </cell>
          <cell r="BA21">
            <v>251</v>
          </cell>
          <cell r="BB21">
            <v>247</v>
          </cell>
          <cell r="BC21">
            <v>254</v>
          </cell>
          <cell r="BD21">
            <v>254</v>
          </cell>
          <cell r="BE21">
            <v>255</v>
          </cell>
          <cell r="BF21">
            <v>254</v>
          </cell>
          <cell r="BG21">
            <v>251</v>
          </cell>
          <cell r="BH21">
            <v>252</v>
          </cell>
        </row>
        <row r="22">
          <cell r="AM22">
            <v>134</v>
          </cell>
          <cell r="AN22">
            <v>141</v>
          </cell>
          <cell r="AO22">
            <v>148</v>
          </cell>
          <cell r="AP22">
            <v>157</v>
          </cell>
          <cell r="AQ22">
            <v>163</v>
          </cell>
          <cell r="AR22">
            <v>173</v>
          </cell>
          <cell r="AS22">
            <v>180</v>
          </cell>
          <cell r="AT22">
            <v>187</v>
          </cell>
          <cell r="AU22">
            <v>192</v>
          </cell>
          <cell r="AV22">
            <v>201</v>
          </cell>
          <cell r="AW22">
            <v>201</v>
          </cell>
          <cell r="AX22">
            <v>215</v>
          </cell>
          <cell r="AY22">
            <v>216</v>
          </cell>
          <cell r="AZ22">
            <v>224</v>
          </cell>
          <cell r="BA22">
            <v>225</v>
          </cell>
          <cell r="BB22">
            <v>222</v>
          </cell>
          <cell r="BC22">
            <v>230</v>
          </cell>
        </row>
        <row r="23">
          <cell r="AM23">
            <v>31</v>
          </cell>
          <cell r="AN23">
            <v>34</v>
          </cell>
          <cell r="AO23">
            <v>37</v>
          </cell>
          <cell r="AP23">
            <v>39</v>
          </cell>
          <cell r="AQ23">
            <v>37</v>
          </cell>
          <cell r="AR23">
            <v>36</v>
          </cell>
          <cell r="AS23">
            <v>35</v>
          </cell>
          <cell r="AT23">
            <v>32</v>
          </cell>
          <cell r="AU23">
            <v>30</v>
          </cell>
          <cell r="AV23">
            <v>28</v>
          </cell>
          <cell r="AW23">
            <v>28</v>
          </cell>
          <cell r="AX23">
            <v>28</v>
          </cell>
          <cell r="AY23">
            <v>28</v>
          </cell>
          <cell r="AZ23">
            <v>27</v>
          </cell>
          <cell r="BA23">
            <v>26</v>
          </cell>
          <cell r="BB23">
            <v>25</v>
          </cell>
          <cell r="BC23">
            <v>24</v>
          </cell>
        </row>
        <row r="24">
          <cell r="AM24">
            <v>1603</v>
          </cell>
          <cell r="AN24">
            <v>1626</v>
          </cell>
          <cell r="AO24">
            <v>1653</v>
          </cell>
          <cell r="AP24">
            <v>1617</v>
          </cell>
          <cell r="AQ24">
            <v>1642</v>
          </cell>
          <cell r="AR24">
            <v>1698</v>
          </cell>
          <cell r="AS24">
            <v>1721</v>
          </cell>
          <cell r="AT24">
            <v>1750</v>
          </cell>
          <cell r="AU24">
            <v>1747</v>
          </cell>
          <cell r="AV24">
            <v>1751</v>
          </cell>
          <cell r="AW24">
            <v>1765</v>
          </cell>
          <cell r="AX24">
            <v>1801</v>
          </cell>
          <cell r="AY24">
            <v>1804</v>
          </cell>
          <cell r="AZ24">
            <v>1815</v>
          </cell>
          <cell r="BA24">
            <v>1817</v>
          </cell>
          <cell r="BB24">
            <v>1822</v>
          </cell>
          <cell r="BC24">
            <v>1773</v>
          </cell>
          <cell r="BD24">
            <v>1797</v>
          </cell>
          <cell r="BE24">
            <v>1823</v>
          </cell>
          <cell r="BF24">
            <v>1854</v>
          </cell>
          <cell r="BG24">
            <v>1823</v>
          </cell>
          <cell r="BH24">
            <v>1836</v>
          </cell>
        </row>
        <row r="26">
          <cell r="AM26">
            <v>180</v>
          </cell>
          <cell r="AN26">
            <v>185</v>
          </cell>
          <cell r="AO26">
            <v>186</v>
          </cell>
          <cell r="AP26">
            <v>189</v>
          </cell>
          <cell r="AQ26">
            <v>185</v>
          </cell>
          <cell r="AR26">
            <v>185</v>
          </cell>
          <cell r="AS26">
            <v>199</v>
          </cell>
          <cell r="AT26">
            <v>207</v>
          </cell>
          <cell r="AU26">
            <v>200</v>
          </cell>
          <cell r="AV26">
            <v>201</v>
          </cell>
          <cell r="AW26">
            <v>200</v>
          </cell>
          <cell r="AX26">
            <v>205</v>
          </cell>
          <cell r="AY26">
            <v>200</v>
          </cell>
          <cell r="AZ26">
            <v>202</v>
          </cell>
          <cell r="BA26">
            <v>209</v>
          </cell>
          <cell r="BB26">
            <v>215</v>
          </cell>
          <cell r="BC26">
            <v>213</v>
          </cell>
          <cell r="BD26">
            <v>207</v>
          </cell>
          <cell r="BE26">
            <v>207</v>
          </cell>
          <cell r="BF26">
            <v>214</v>
          </cell>
          <cell r="BG26">
            <v>211</v>
          </cell>
          <cell r="BH26">
            <v>209</v>
          </cell>
        </row>
        <row r="27">
          <cell r="AM27">
            <v>188</v>
          </cell>
          <cell r="AN27">
            <v>186</v>
          </cell>
          <cell r="AO27">
            <v>194</v>
          </cell>
          <cell r="AP27">
            <v>210</v>
          </cell>
          <cell r="AQ27">
            <v>203</v>
          </cell>
          <cell r="AR27">
            <v>201</v>
          </cell>
          <cell r="AS27">
            <v>188</v>
          </cell>
          <cell r="AT27">
            <v>157</v>
          </cell>
          <cell r="AU27">
            <v>165</v>
          </cell>
          <cell r="AV27">
            <v>161</v>
          </cell>
          <cell r="AW27">
            <v>180</v>
          </cell>
          <cell r="AX27">
            <v>196</v>
          </cell>
          <cell r="AY27">
            <v>187</v>
          </cell>
          <cell r="AZ27">
            <v>199</v>
          </cell>
          <cell r="BA27">
            <v>187</v>
          </cell>
          <cell r="BB27">
            <v>211</v>
          </cell>
          <cell r="BC27">
            <v>185</v>
          </cell>
          <cell r="BD27">
            <v>200</v>
          </cell>
          <cell r="BE27">
            <v>211</v>
          </cell>
          <cell r="BF27">
            <v>228</v>
          </cell>
          <cell r="BG27">
            <v>208</v>
          </cell>
          <cell r="BH27">
            <v>207</v>
          </cell>
        </row>
        <row r="28">
          <cell r="AM28">
            <v>368</v>
          </cell>
          <cell r="AN28">
            <v>371</v>
          </cell>
          <cell r="AO28">
            <v>380</v>
          </cell>
          <cell r="AP28">
            <v>399</v>
          </cell>
          <cell r="AQ28">
            <v>388</v>
          </cell>
          <cell r="AR28">
            <v>386</v>
          </cell>
          <cell r="AS28">
            <v>387</v>
          </cell>
          <cell r="AT28">
            <v>364</v>
          </cell>
          <cell r="AU28">
            <v>365</v>
          </cell>
          <cell r="AV28">
            <v>362</v>
          </cell>
          <cell r="AW28">
            <v>380</v>
          </cell>
          <cell r="AX28">
            <v>401</v>
          </cell>
          <cell r="AY28">
            <v>387</v>
          </cell>
          <cell r="AZ28">
            <v>401</v>
          </cell>
          <cell r="BA28">
            <v>396</v>
          </cell>
          <cell r="BB28">
            <v>426</v>
          </cell>
          <cell r="BC28">
            <v>398</v>
          </cell>
          <cell r="BD28">
            <v>407</v>
          </cell>
          <cell r="BE28">
            <v>418</v>
          </cell>
          <cell r="BF28">
            <v>442</v>
          </cell>
          <cell r="BG28">
            <v>419</v>
          </cell>
          <cell r="BH28">
            <v>416</v>
          </cell>
        </row>
        <row r="30">
          <cell r="C30">
            <v>2089</v>
          </cell>
          <cell r="D30">
            <v>2144</v>
          </cell>
          <cell r="E30">
            <v>2128</v>
          </cell>
          <cell r="F30">
            <v>2177</v>
          </cell>
          <cell r="G30">
            <v>2143</v>
          </cell>
          <cell r="K30">
            <v>2037</v>
          </cell>
          <cell r="L30">
            <v>2046</v>
          </cell>
          <cell r="M30">
            <v>2041</v>
          </cell>
          <cell r="N30">
            <v>2090</v>
          </cell>
          <cell r="O30">
            <v>2122</v>
          </cell>
          <cell r="P30">
            <v>2089</v>
          </cell>
          <cell r="Q30">
            <v>2154</v>
          </cell>
          <cell r="R30">
            <v>2155</v>
          </cell>
          <cell r="S30">
            <v>2122</v>
          </cell>
          <cell r="T30">
            <v>2055</v>
          </cell>
          <cell r="U30">
            <v>2113</v>
          </cell>
          <cell r="V30">
            <v>2165</v>
          </cell>
          <cell r="W30">
            <v>2076</v>
          </cell>
          <cell r="X30">
            <v>2069</v>
          </cell>
          <cell r="Y30">
            <v>2090</v>
          </cell>
          <cell r="Z30">
            <v>2036</v>
          </cell>
          <cell r="AA30">
            <v>1980</v>
          </cell>
          <cell r="AB30">
            <v>2013</v>
          </cell>
          <cell r="AC30">
            <v>2027</v>
          </cell>
          <cell r="AD30">
            <v>2048</v>
          </cell>
          <cell r="AE30">
            <v>1947</v>
          </cell>
          <cell r="AF30">
            <v>1918</v>
          </cell>
          <cell r="AG30">
            <v>1940</v>
          </cell>
          <cell r="AH30">
            <v>1992</v>
          </cell>
          <cell r="AI30">
            <v>1940</v>
          </cell>
          <cell r="AJ30">
            <v>1900</v>
          </cell>
          <cell r="AK30">
            <v>1940</v>
          </cell>
          <cell r="AL30">
            <v>1945</v>
          </cell>
          <cell r="AM30">
            <v>1971</v>
          </cell>
          <cell r="AN30">
            <v>1997</v>
          </cell>
          <cell r="AO30">
            <v>2033</v>
          </cell>
          <cell r="AP30">
            <v>2016</v>
          </cell>
          <cell r="AQ30">
            <v>2030</v>
          </cell>
          <cell r="AR30">
            <v>2084</v>
          </cell>
          <cell r="AS30">
            <v>2108</v>
          </cell>
          <cell r="AT30">
            <v>2114</v>
          </cell>
          <cell r="AU30">
            <v>2112</v>
          </cell>
          <cell r="AV30">
            <v>2113</v>
          </cell>
          <cell r="AW30">
            <v>2145</v>
          </cell>
          <cell r="AX30">
            <v>2202</v>
          </cell>
          <cell r="AY30">
            <v>2191</v>
          </cell>
          <cell r="AZ30">
            <v>2216</v>
          </cell>
          <cell r="BA30">
            <v>2213</v>
          </cell>
          <cell r="BB30">
            <v>2248</v>
          </cell>
          <cell r="BC30">
            <v>2171</v>
          </cell>
          <cell r="BD30">
            <v>2204</v>
          </cell>
          <cell r="BE30">
            <v>2241</v>
          </cell>
          <cell r="BF30">
            <v>2296</v>
          </cell>
          <cell r="BG30">
            <v>2242</v>
          </cell>
          <cell r="BH30">
            <v>2252</v>
          </cell>
        </row>
        <row r="31">
          <cell r="W31">
            <v>299</v>
          </cell>
          <cell r="X31">
            <v>266</v>
          </cell>
          <cell r="Y31">
            <v>243</v>
          </cell>
          <cell r="Z31">
            <v>340</v>
          </cell>
          <cell r="AA31">
            <v>257</v>
          </cell>
          <cell r="AB31">
            <v>233</v>
          </cell>
          <cell r="AC31">
            <v>237</v>
          </cell>
          <cell r="AD31">
            <v>397</v>
          </cell>
          <cell r="AE31">
            <v>285</v>
          </cell>
          <cell r="AF31">
            <v>288</v>
          </cell>
          <cell r="AG31">
            <v>345</v>
          </cell>
          <cell r="AH31">
            <v>598</v>
          </cell>
          <cell r="AI31">
            <v>401</v>
          </cell>
          <cell r="AJ31">
            <v>251</v>
          </cell>
          <cell r="AK31">
            <v>273</v>
          </cell>
          <cell r="AL31">
            <v>316</v>
          </cell>
          <cell r="AM31">
            <v>269</v>
          </cell>
          <cell r="AN31">
            <v>276</v>
          </cell>
          <cell r="AO31">
            <v>238</v>
          </cell>
          <cell r="AP31">
            <v>440</v>
          </cell>
          <cell r="AQ31">
            <v>376</v>
          </cell>
          <cell r="AR31">
            <v>340</v>
          </cell>
          <cell r="AS31">
            <v>297</v>
          </cell>
          <cell r="AT31">
            <v>440</v>
          </cell>
          <cell r="AU31">
            <v>414</v>
          </cell>
          <cell r="AV31">
            <v>357</v>
          </cell>
          <cell r="AW31">
            <v>297</v>
          </cell>
          <cell r="AX31">
            <v>540</v>
          </cell>
          <cell r="AY31">
            <v>412</v>
          </cell>
          <cell r="AZ31">
            <v>370</v>
          </cell>
          <cell r="BA31">
            <v>363</v>
          </cell>
          <cell r="BB31">
            <v>523</v>
          </cell>
          <cell r="BC31">
            <v>437</v>
          </cell>
          <cell r="BD31">
            <v>358</v>
          </cell>
          <cell r="BE31">
            <v>348</v>
          </cell>
          <cell r="BF31">
            <v>580</v>
          </cell>
          <cell r="BG31">
            <v>489</v>
          </cell>
          <cell r="BH31">
            <v>404</v>
          </cell>
        </row>
        <row r="32">
          <cell r="W32">
            <v>2375</v>
          </cell>
          <cell r="X32">
            <v>2335</v>
          </cell>
          <cell r="Y32">
            <v>2333</v>
          </cell>
          <cell r="Z32">
            <v>2376</v>
          </cell>
          <cell r="AA32">
            <v>2237</v>
          </cell>
          <cell r="AB32">
            <v>2246</v>
          </cell>
          <cell r="AC32">
            <v>2264</v>
          </cell>
          <cell r="AD32">
            <v>2445</v>
          </cell>
          <cell r="AE32">
            <v>2232</v>
          </cell>
          <cell r="AF32">
            <v>2206</v>
          </cell>
          <cell r="AG32">
            <v>2285</v>
          </cell>
          <cell r="AH32">
            <v>2590</v>
          </cell>
          <cell r="AI32">
            <v>2341</v>
          </cell>
          <cell r="AJ32">
            <v>2151</v>
          </cell>
          <cell r="AK32">
            <v>2213</v>
          </cell>
          <cell r="AL32">
            <v>2261</v>
          </cell>
          <cell r="AM32">
            <v>2240</v>
          </cell>
          <cell r="AN32">
            <v>2274</v>
          </cell>
          <cell r="AO32">
            <v>2271</v>
          </cell>
          <cell r="AP32">
            <v>2456</v>
          </cell>
          <cell r="AQ32">
            <v>2406</v>
          </cell>
          <cell r="AR32">
            <v>2424</v>
          </cell>
          <cell r="AS32">
            <v>2405</v>
          </cell>
          <cell r="AT32">
            <v>2554</v>
          </cell>
          <cell r="AU32">
            <v>2526</v>
          </cell>
          <cell r="AV32">
            <v>2470</v>
          </cell>
          <cell r="AW32">
            <v>2442</v>
          </cell>
          <cell r="AX32">
            <v>2742</v>
          </cell>
          <cell r="AY32">
            <v>2603</v>
          </cell>
          <cell r="AZ32">
            <v>2586</v>
          </cell>
          <cell r="BA32">
            <v>2576</v>
          </cell>
          <cell r="BB32">
            <v>2771</v>
          </cell>
          <cell r="BC32">
            <v>2608</v>
          </cell>
          <cell r="BD32">
            <v>2562</v>
          </cell>
          <cell r="BE32">
            <v>2589</v>
          </cell>
          <cell r="BF32">
            <v>2876</v>
          </cell>
          <cell r="BG32">
            <v>2731</v>
          </cell>
          <cell r="BH32">
            <v>2656</v>
          </cell>
        </row>
        <row r="41">
          <cell r="AQ41">
            <v>972</v>
          </cell>
          <cell r="AR41">
            <v>919</v>
          </cell>
          <cell r="AS41">
            <v>893</v>
          </cell>
          <cell r="AT41">
            <v>1047</v>
          </cell>
          <cell r="AU41">
            <v>1023</v>
          </cell>
          <cell r="AV41">
            <v>938</v>
          </cell>
          <cell r="AW41">
            <v>895</v>
          </cell>
          <cell r="AX41">
            <v>1175</v>
          </cell>
          <cell r="AY41">
            <v>1037</v>
          </cell>
          <cell r="AZ41">
            <v>996</v>
          </cell>
          <cell r="BA41">
            <v>971</v>
          </cell>
          <cell r="BB41">
            <v>1181</v>
          </cell>
          <cell r="BC41">
            <v>1012</v>
          </cell>
          <cell r="BD41">
            <v>914</v>
          </cell>
          <cell r="BE41">
            <v>949</v>
          </cell>
          <cell r="BF41">
            <v>1255</v>
          </cell>
          <cell r="BG41">
            <v>1069</v>
          </cell>
          <cell r="BH41">
            <v>1029</v>
          </cell>
        </row>
        <row r="42">
          <cell r="AQ42">
            <v>66</v>
          </cell>
          <cell r="AR42">
            <v>67</v>
          </cell>
          <cell r="AS42">
            <v>63</v>
          </cell>
          <cell r="AT42">
            <v>63</v>
          </cell>
          <cell r="AU42">
            <v>61</v>
          </cell>
          <cell r="AV42">
            <v>62</v>
          </cell>
          <cell r="AW42">
            <v>62</v>
          </cell>
          <cell r="AX42">
            <v>62</v>
          </cell>
          <cell r="AY42">
            <v>62</v>
          </cell>
          <cell r="AZ42">
            <v>62</v>
          </cell>
          <cell r="BA42">
            <v>62</v>
          </cell>
          <cell r="BB42">
            <v>62</v>
          </cell>
          <cell r="BC42">
            <v>62</v>
          </cell>
          <cell r="BD42">
            <v>63</v>
          </cell>
          <cell r="BE42">
            <v>61</v>
          </cell>
          <cell r="BF42">
            <v>62</v>
          </cell>
          <cell r="BG42">
            <v>66</v>
          </cell>
          <cell r="BH42">
            <v>66</v>
          </cell>
        </row>
        <row r="43">
          <cell r="S43">
            <v>182</v>
          </cell>
          <cell r="T43">
            <v>209</v>
          </cell>
          <cell r="U43">
            <v>195</v>
          </cell>
          <cell r="V43">
            <v>206</v>
          </cell>
          <cell r="W43">
            <v>203</v>
          </cell>
          <cell r="X43">
            <v>195</v>
          </cell>
          <cell r="Y43">
            <v>199</v>
          </cell>
          <cell r="Z43">
            <v>190</v>
          </cell>
          <cell r="AA43">
            <v>200</v>
          </cell>
          <cell r="AB43">
            <v>196</v>
          </cell>
          <cell r="AC43">
            <v>208</v>
          </cell>
          <cell r="AD43">
            <v>280</v>
          </cell>
          <cell r="AE43">
            <v>151</v>
          </cell>
          <cell r="AF43">
            <v>145</v>
          </cell>
          <cell r="AG43">
            <v>129</v>
          </cell>
          <cell r="AH43">
            <v>105</v>
          </cell>
          <cell r="AI43">
            <v>110</v>
          </cell>
          <cell r="AJ43">
            <v>128</v>
          </cell>
          <cell r="AK43">
            <v>107</v>
          </cell>
          <cell r="AL43">
            <v>128</v>
          </cell>
          <cell r="AM43">
            <v>118</v>
          </cell>
          <cell r="AN43">
            <v>117</v>
          </cell>
          <cell r="AO43">
            <v>125</v>
          </cell>
          <cell r="AP43">
            <v>119</v>
          </cell>
          <cell r="AQ43">
            <v>132</v>
          </cell>
          <cell r="AR43">
            <v>134</v>
          </cell>
          <cell r="AS43">
            <v>129</v>
          </cell>
          <cell r="AT43">
            <v>123</v>
          </cell>
          <cell r="AU43">
            <v>138</v>
          </cell>
          <cell r="AV43">
            <v>144</v>
          </cell>
          <cell r="AW43">
            <v>139</v>
          </cell>
          <cell r="AX43">
            <v>136</v>
          </cell>
          <cell r="AY43">
            <v>138</v>
          </cell>
          <cell r="AZ43">
            <v>139</v>
          </cell>
          <cell r="BA43">
            <v>149</v>
          </cell>
          <cell r="BB43">
            <v>164</v>
          </cell>
          <cell r="BC43">
            <v>146</v>
          </cell>
          <cell r="BD43">
            <v>150</v>
          </cell>
          <cell r="BE43">
            <v>153</v>
          </cell>
          <cell r="BF43">
            <v>151</v>
          </cell>
          <cell r="BG43">
            <v>154</v>
          </cell>
          <cell r="BH43">
            <v>132</v>
          </cell>
        </row>
        <row r="44">
          <cell r="X44">
            <v>137</v>
          </cell>
          <cell r="Y44">
            <v>150</v>
          </cell>
          <cell r="Z44">
            <v>146</v>
          </cell>
          <cell r="AA44">
            <v>140</v>
          </cell>
          <cell r="AB44">
            <v>144</v>
          </cell>
          <cell r="AC44">
            <v>148</v>
          </cell>
          <cell r="AD44">
            <v>174</v>
          </cell>
          <cell r="AE44">
            <v>152</v>
          </cell>
          <cell r="AF44">
            <v>166</v>
          </cell>
          <cell r="AG44">
            <v>153</v>
          </cell>
          <cell r="AH44">
            <v>180</v>
          </cell>
          <cell r="AI44">
            <v>158</v>
          </cell>
          <cell r="AJ44">
            <v>178</v>
          </cell>
          <cell r="AK44">
            <v>171</v>
          </cell>
          <cell r="AL44">
            <v>163</v>
          </cell>
          <cell r="AM44">
            <v>183</v>
          </cell>
          <cell r="AN44">
            <v>178</v>
          </cell>
          <cell r="AO44">
            <v>183</v>
          </cell>
          <cell r="AP44">
            <v>191</v>
          </cell>
          <cell r="AQ44">
            <v>210</v>
          </cell>
          <cell r="AR44">
            <v>194</v>
          </cell>
          <cell r="AS44">
            <v>193</v>
          </cell>
          <cell r="AT44">
            <v>216</v>
          </cell>
          <cell r="AU44">
            <v>200</v>
          </cell>
          <cell r="AV44">
            <v>202</v>
          </cell>
          <cell r="AW44">
            <v>277</v>
          </cell>
          <cell r="AX44">
            <v>201</v>
          </cell>
          <cell r="AY44">
            <v>202</v>
          </cell>
          <cell r="AZ44">
            <v>208</v>
          </cell>
          <cell r="BA44">
            <v>204</v>
          </cell>
          <cell r="BB44">
            <v>225</v>
          </cell>
          <cell r="BC44">
            <v>199</v>
          </cell>
          <cell r="BD44">
            <v>209</v>
          </cell>
          <cell r="BE44">
            <v>193</v>
          </cell>
          <cell r="BF44">
            <v>171</v>
          </cell>
          <cell r="BG44">
            <v>185</v>
          </cell>
          <cell r="BH44">
            <v>177</v>
          </cell>
        </row>
        <row r="45">
          <cell r="X45">
            <v>67</v>
          </cell>
          <cell r="Y45">
            <v>64</v>
          </cell>
          <cell r="Z45">
            <v>107</v>
          </cell>
          <cell r="AA45">
            <v>81</v>
          </cell>
          <cell r="AB45">
            <v>96</v>
          </cell>
          <cell r="AC45">
            <v>90</v>
          </cell>
          <cell r="AD45">
            <v>213</v>
          </cell>
          <cell r="AE45">
            <v>104</v>
          </cell>
          <cell r="AF45">
            <v>49</v>
          </cell>
          <cell r="AG45">
            <v>90</v>
          </cell>
          <cell r="AH45">
            <v>114</v>
          </cell>
          <cell r="AI45">
            <v>107</v>
          </cell>
          <cell r="AJ45">
            <v>95</v>
          </cell>
          <cell r="AK45">
            <v>111</v>
          </cell>
          <cell r="AL45">
            <v>140</v>
          </cell>
          <cell r="AM45">
            <v>99</v>
          </cell>
          <cell r="AN45">
            <v>86</v>
          </cell>
          <cell r="AO45">
            <v>102</v>
          </cell>
          <cell r="AP45">
            <v>114</v>
          </cell>
          <cell r="AQ45">
            <v>87</v>
          </cell>
          <cell r="AR45">
            <v>96</v>
          </cell>
          <cell r="AS45">
            <v>102</v>
          </cell>
          <cell r="AT45">
            <v>109</v>
          </cell>
          <cell r="AU45">
            <v>106</v>
          </cell>
          <cell r="AV45">
            <v>94</v>
          </cell>
          <cell r="AW45">
            <v>102</v>
          </cell>
          <cell r="AX45">
            <v>126</v>
          </cell>
          <cell r="AY45">
            <v>102</v>
          </cell>
          <cell r="AZ45">
            <v>109</v>
          </cell>
          <cell r="BA45">
            <v>128</v>
          </cell>
          <cell r="BB45">
            <v>123</v>
          </cell>
          <cell r="BC45">
            <v>102</v>
          </cell>
          <cell r="BD45">
            <v>111</v>
          </cell>
          <cell r="BE45">
            <v>118</v>
          </cell>
          <cell r="BF45">
            <v>118</v>
          </cell>
          <cell r="BG45">
            <v>117</v>
          </cell>
          <cell r="BH45">
            <v>111</v>
          </cell>
        </row>
        <row r="46">
          <cell r="X46">
            <v>43</v>
          </cell>
          <cell r="Y46">
            <v>43</v>
          </cell>
          <cell r="Z46">
            <v>35</v>
          </cell>
          <cell r="AA46">
            <v>39</v>
          </cell>
          <cell r="AB46">
            <v>51</v>
          </cell>
          <cell r="AC46">
            <v>59</v>
          </cell>
          <cell r="AD46">
            <v>62</v>
          </cell>
          <cell r="AE46">
            <v>42</v>
          </cell>
          <cell r="AF46">
            <v>43</v>
          </cell>
          <cell r="AG46">
            <v>42</v>
          </cell>
          <cell r="AH46">
            <v>46</v>
          </cell>
          <cell r="AI46">
            <v>40</v>
          </cell>
          <cell r="AJ46">
            <v>30</v>
          </cell>
          <cell r="AK46">
            <v>46</v>
          </cell>
          <cell r="AL46">
            <v>26</v>
          </cell>
          <cell r="AM46">
            <v>41</v>
          </cell>
          <cell r="AN46">
            <v>42</v>
          </cell>
          <cell r="AO46">
            <v>49</v>
          </cell>
          <cell r="AP46">
            <v>48</v>
          </cell>
          <cell r="AQ46">
            <v>39</v>
          </cell>
          <cell r="AR46">
            <v>50</v>
          </cell>
          <cell r="AS46">
            <v>48</v>
          </cell>
          <cell r="AT46">
            <v>52</v>
          </cell>
          <cell r="AU46">
            <v>38</v>
          </cell>
          <cell r="AV46">
            <v>43</v>
          </cell>
          <cell r="AW46">
            <v>44</v>
          </cell>
          <cell r="AX46">
            <v>38</v>
          </cell>
          <cell r="AY46">
            <v>39</v>
          </cell>
          <cell r="AZ46">
            <v>47</v>
          </cell>
          <cell r="BA46">
            <v>43</v>
          </cell>
          <cell r="BB46">
            <v>48</v>
          </cell>
          <cell r="BC46">
            <v>42</v>
          </cell>
          <cell r="BD46">
            <v>41</v>
          </cell>
          <cell r="BE46">
            <v>45</v>
          </cell>
          <cell r="BF46">
            <v>48</v>
          </cell>
          <cell r="BG46">
            <v>43</v>
          </cell>
          <cell r="BH46">
            <v>45</v>
          </cell>
        </row>
        <row r="47">
          <cell r="AQ47">
            <v>34</v>
          </cell>
          <cell r="AR47">
            <v>26</v>
          </cell>
          <cell r="AS47">
            <v>25</v>
          </cell>
          <cell r="AT47">
            <v>22</v>
          </cell>
          <cell r="AU47">
            <v>34</v>
          </cell>
          <cell r="AV47">
            <v>37</v>
          </cell>
          <cell r="AW47">
            <v>32</v>
          </cell>
          <cell r="AX47">
            <v>26</v>
          </cell>
          <cell r="AY47">
            <v>40</v>
          </cell>
          <cell r="AZ47">
            <v>38</v>
          </cell>
          <cell r="BA47">
            <v>27</v>
          </cell>
          <cell r="BB47">
            <v>29</v>
          </cell>
          <cell r="BC47">
            <v>34</v>
          </cell>
          <cell r="BD47">
            <v>37</v>
          </cell>
          <cell r="BE47">
            <v>24</v>
          </cell>
          <cell r="BF47">
            <v>34</v>
          </cell>
          <cell r="BG47">
            <v>45</v>
          </cell>
          <cell r="BH47">
            <v>39</v>
          </cell>
        </row>
        <row r="48">
          <cell r="AQ48">
            <v>-61</v>
          </cell>
          <cell r="AR48">
            <v>-74</v>
          </cell>
          <cell r="AS48">
            <v>-52</v>
          </cell>
          <cell r="AT48">
            <v>-64</v>
          </cell>
          <cell r="AU48">
            <v>-46</v>
          </cell>
          <cell r="AV48">
            <v>-52</v>
          </cell>
          <cell r="AW48">
            <v>-38</v>
          </cell>
          <cell r="AX48">
            <v>-79</v>
          </cell>
          <cell r="AY48">
            <v>-61</v>
          </cell>
          <cell r="AZ48">
            <v>-59</v>
          </cell>
          <cell r="BA48">
            <v>-56</v>
          </cell>
          <cell r="BB48">
            <v>-45</v>
          </cell>
          <cell r="BC48">
            <v>-44</v>
          </cell>
          <cell r="BD48">
            <v>-57</v>
          </cell>
          <cell r="BE48">
            <v>-56</v>
          </cell>
          <cell r="BF48">
            <v>-40</v>
          </cell>
          <cell r="BG48">
            <v>-47</v>
          </cell>
          <cell r="BH48">
            <v>-67</v>
          </cell>
        </row>
        <row r="50">
          <cell r="K50">
            <v>707.74600000000009</v>
          </cell>
          <cell r="L50">
            <v>651.66600000000005</v>
          </cell>
          <cell r="M50">
            <v>652.54</v>
          </cell>
          <cell r="N50">
            <v>696.34400000000005</v>
          </cell>
          <cell r="O50">
            <v>713.46800000000007</v>
          </cell>
          <cell r="P50">
            <v>649.88</v>
          </cell>
          <cell r="Q50">
            <v>689</v>
          </cell>
          <cell r="R50">
            <v>676</v>
          </cell>
        </row>
        <row r="55">
          <cell r="S55">
            <v>1161</v>
          </cell>
          <cell r="T55">
            <v>1010</v>
          </cell>
          <cell r="U55">
            <v>1144</v>
          </cell>
          <cell r="V55">
            <v>1187</v>
          </cell>
          <cell r="W55">
            <v>1024</v>
          </cell>
          <cell r="X55">
            <v>1006</v>
          </cell>
          <cell r="Y55">
            <v>1119</v>
          </cell>
          <cell r="Z55">
            <v>1046</v>
          </cell>
          <cell r="AA55">
            <v>1020</v>
          </cell>
          <cell r="AB55">
            <v>1007</v>
          </cell>
          <cell r="AC55">
            <v>1047</v>
          </cell>
          <cell r="AD55">
            <v>769</v>
          </cell>
          <cell r="AE55">
            <v>991</v>
          </cell>
          <cell r="AF55">
            <v>985</v>
          </cell>
          <cell r="AG55">
            <v>1005</v>
          </cell>
          <cell r="AH55">
            <v>945</v>
          </cell>
          <cell r="AI55">
            <v>962</v>
          </cell>
          <cell r="AJ55">
            <v>946</v>
          </cell>
          <cell r="AK55">
            <v>967</v>
          </cell>
          <cell r="AL55">
            <v>939</v>
          </cell>
          <cell r="AM55">
            <v>961</v>
          </cell>
          <cell r="AN55">
            <v>1006</v>
          </cell>
          <cell r="AO55">
            <v>977</v>
          </cell>
          <cell r="AP55">
            <v>932</v>
          </cell>
          <cell r="AQ55">
            <v>927</v>
          </cell>
          <cell r="AR55">
            <v>1012</v>
          </cell>
          <cell r="AS55">
            <v>1004</v>
          </cell>
          <cell r="AT55">
            <v>986</v>
          </cell>
          <cell r="AU55">
            <v>972</v>
          </cell>
          <cell r="AV55">
            <v>1002</v>
          </cell>
          <cell r="AW55">
            <v>929</v>
          </cell>
          <cell r="AX55">
            <v>1057</v>
          </cell>
          <cell r="AY55">
            <v>1044</v>
          </cell>
          <cell r="AZ55">
            <v>1046</v>
          </cell>
          <cell r="BA55">
            <v>1048</v>
          </cell>
          <cell r="BB55">
            <v>984</v>
          </cell>
          <cell r="BC55">
            <v>1055</v>
          </cell>
          <cell r="BD55">
            <v>1094</v>
          </cell>
          <cell r="BE55">
            <v>1102</v>
          </cell>
          <cell r="BF55">
            <v>1078</v>
          </cell>
          <cell r="BG55">
            <v>1099</v>
          </cell>
          <cell r="BH55">
            <v>1124</v>
          </cell>
        </row>
        <row r="60">
          <cell r="K60">
            <v>1073</v>
          </cell>
          <cell r="L60">
            <v>1086</v>
          </cell>
          <cell r="M60">
            <v>1079</v>
          </cell>
          <cell r="N60">
            <v>1034</v>
          </cell>
          <cell r="O60">
            <v>1047</v>
          </cell>
          <cell r="P60">
            <v>1101</v>
          </cell>
          <cell r="Q60">
            <v>1021</v>
          </cell>
          <cell r="R60">
            <v>1162</v>
          </cell>
          <cell r="S60">
            <v>1213</v>
          </cell>
          <cell r="T60">
            <v>1050</v>
          </cell>
          <cell r="U60">
            <v>1130</v>
          </cell>
          <cell r="V60">
            <v>1158</v>
          </cell>
          <cell r="W60">
            <v>1013</v>
          </cell>
          <cell r="X60">
            <v>1125</v>
          </cell>
          <cell r="Y60">
            <v>1109</v>
          </cell>
          <cell r="Z60">
            <v>1061</v>
          </cell>
          <cell r="AA60">
            <v>1023</v>
          </cell>
          <cell r="AB60">
            <v>1007</v>
          </cell>
          <cell r="AC60">
            <v>1025</v>
          </cell>
          <cell r="AD60">
            <v>762</v>
          </cell>
          <cell r="AE60">
            <v>982</v>
          </cell>
          <cell r="AF60">
            <v>978</v>
          </cell>
          <cell r="AG60">
            <v>986</v>
          </cell>
          <cell r="AH60">
            <v>945</v>
          </cell>
          <cell r="AI60">
            <v>944</v>
          </cell>
          <cell r="AJ60">
            <v>938</v>
          </cell>
          <cell r="AK60">
            <v>953</v>
          </cell>
          <cell r="AL60">
            <v>924</v>
          </cell>
          <cell r="AM60">
            <v>961</v>
          </cell>
          <cell r="AN60">
            <v>996</v>
          </cell>
          <cell r="AO60">
            <v>969</v>
          </cell>
          <cell r="AP60">
            <v>932</v>
          </cell>
          <cell r="AQ60">
            <v>927</v>
          </cell>
          <cell r="AR60">
            <v>1012</v>
          </cell>
          <cell r="AS60">
            <v>1004</v>
          </cell>
          <cell r="AT60">
            <v>986</v>
          </cell>
          <cell r="AU60">
            <v>972</v>
          </cell>
          <cell r="AV60">
            <v>1002</v>
          </cell>
          <cell r="AW60">
            <v>929</v>
          </cell>
          <cell r="AX60">
            <v>1057</v>
          </cell>
          <cell r="AY60">
            <v>1044</v>
          </cell>
          <cell r="AZ60">
            <v>1046</v>
          </cell>
          <cell r="BA60">
            <v>1048</v>
          </cell>
          <cell r="BB60">
            <v>984</v>
          </cell>
          <cell r="BC60">
            <v>1055</v>
          </cell>
          <cell r="BD60">
            <v>1094</v>
          </cell>
          <cell r="BE60">
            <v>1102</v>
          </cell>
          <cell r="BF60">
            <v>1078</v>
          </cell>
          <cell r="BG60">
            <v>1099</v>
          </cell>
          <cell r="BH60">
            <v>1124</v>
          </cell>
        </row>
        <row r="65">
          <cell r="X65">
            <v>238</v>
          </cell>
          <cell r="Y65">
            <v>264</v>
          </cell>
          <cell r="Z65">
            <v>279</v>
          </cell>
          <cell r="AA65">
            <v>235</v>
          </cell>
          <cell r="AB65">
            <v>268</v>
          </cell>
          <cell r="AC65">
            <v>260</v>
          </cell>
          <cell r="AD65">
            <v>305</v>
          </cell>
          <cell r="AE65">
            <v>323</v>
          </cell>
          <cell r="AF65">
            <v>323</v>
          </cell>
          <cell r="AG65">
            <v>375</v>
          </cell>
          <cell r="AH65">
            <v>358</v>
          </cell>
          <cell r="AI65">
            <v>355</v>
          </cell>
          <cell r="AJ65">
            <v>357</v>
          </cell>
          <cell r="AK65">
            <v>339</v>
          </cell>
          <cell r="AL65">
            <v>362</v>
          </cell>
          <cell r="AM65">
            <v>386</v>
          </cell>
          <cell r="AN65">
            <v>393</v>
          </cell>
          <cell r="AO65">
            <v>369</v>
          </cell>
          <cell r="AP65">
            <v>372</v>
          </cell>
          <cell r="AQ65">
            <v>350</v>
          </cell>
          <cell r="AR65">
            <v>343</v>
          </cell>
          <cell r="AS65">
            <v>343</v>
          </cell>
          <cell r="AT65">
            <v>372</v>
          </cell>
          <cell r="AU65">
            <v>349</v>
          </cell>
          <cell r="AV65">
            <v>346</v>
          </cell>
          <cell r="AW65">
            <v>350</v>
          </cell>
          <cell r="AX65">
            <v>480</v>
          </cell>
          <cell r="AY65">
            <v>367</v>
          </cell>
          <cell r="AZ65">
            <v>364</v>
          </cell>
          <cell r="BA65">
            <v>362</v>
          </cell>
          <cell r="BB65">
            <v>370</v>
          </cell>
          <cell r="BC65">
            <v>361</v>
          </cell>
          <cell r="BD65">
            <v>361</v>
          </cell>
          <cell r="BE65">
            <v>368</v>
          </cell>
          <cell r="BF65">
            <v>404</v>
          </cell>
          <cell r="BG65">
            <v>361</v>
          </cell>
          <cell r="BH65">
            <v>355</v>
          </cell>
        </row>
        <row r="66">
          <cell r="X66">
            <v>98</v>
          </cell>
          <cell r="Y66">
            <v>98</v>
          </cell>
          <cell r="Z66">
            <v>104</v>
          </cell>
          <cell r="AI66">
            <v>10</v>
          </cell>
          <cell r="AJ66">
            <v>17</v>
          </cell>
          <cell r="AK66">
            <v>16</v>
          </cell>
          <cell r="AL66">
            <v>19</v>
          </cell>
          <cell r="AM66">
            <v>21</v>
          </cell>
          <cell r="AN66">
            <v>31</v>
          </cell>
          <cell r="AO66">
            <v>66</v>
          </cell>
          <cell r="AP66">
            <v>63</v>
          </cell>
          <cell r="AQ66">
            <v>67</v>
          </cell>
          <cell r="AR66">
            <v>69</v>
          </cell>
          <cell r="AS66">
            <v>84</v>
          </cell>
          <cell r="AT66">
            <v>93</v>
          </cell>
          <cell r="AU66">
            <v>82</v>
          </cell>
          <cell r="AV66">
            <v>85</v>
          </cell>
          <cell r="AW66">
            <v>82</v>
          </cell>
          <cell r="AX66">
            <v>129</v>
          </cell>
          <cell r="AY66">
            <v>81</v>
          </cell>
          <cell r="AZ66">
            <v>75</v>
          </cell>
          <cell r="BA66">
            <v>81</v>
          </cell>
          <cell r="BB66">
            <v>80</v>
          </cell>
          <cell r="BC66">
            <v>80</v>
          </cell>
          <cell r="BD66">
            <v>85</v>
          </cell>
          <cell r="BE66">
            <v>80</v>
          </cell>
          <cell r="BF66">
            <v>73</v>
          </cell>
          <cell r="BG66">
            <v>72</v>
          </cell>
          <cell r="BH66">
            <v>75</v>
          </cell>
        </row>
        <row r="67">
          <cell r="W67">
            <v>3</v>
          </cell>
          <cell r="X67">
            <v>95</v>
          </cell>
          <cell r="Y67">
            <v>2</v>
          </cell>
          <cell r="Z67">
            <v>9</v>
          </cell>
          <cell r="AA67">
            <v>7</v>
          </cell>
          <cell r="AB67">
            <v>16</v>
          </cell>
          <cell r="AC67">
            <v>11</v>
          </cell>
          <cell r="AD67">
            <v>30</v>
          </cell>
          <cell r="AE67">
            <v>20</v>
          </cell>
          <cell r="AF67">
            <v>21</v>
          </cell>
          <cell r="AG67">
            <v>38</v>
          </cell>
          <cell r="AH67">
            <v>14</v>
          </cell>
          <cell r="AI67">
            <v>18</v>
          </cell>
          <cell r="AJ67">
            <v>19</v>
          </cell>
          <cell r="AK67">
            <v>24</v>
          </cell>
          <cell r="AL67">
            <v>26</v>
          </cell>
          <cell r="AM67">
            <v>16</v>
          </cell>
          <cell r="AN67">
            <v>24</v>
          </cell>
          <cell r="AO67">
            <v>9</v>
          </cell>
          <cell r="AP67">
            <v>26</v>
          </cell>
          <cell r="AQ67">
            <v>10</v>
          </cell>
          <cell r="AR67">
            <v>-3</v>
          </cell>
          <cell r="AS67">
            <v>-3</v>
          </cell>
          <cell r="AT67">
            <v>-3</v>
          </cell>
          <cell r="AU67">
            <v>0</v>
          </cell>
          <cell r="AV67">
            <v>-3</v>
          </cell>
          <cell r="AW67">
            <v>-5</v>
          </cell>
          <cell r="AX67">
            <v>-159</v>
          </cell>
          <cell r="AY67">
            <v>-1</v>
          </cell>
          <cell r="AZ67">
            <v>-12</v>
          </cell>
          <cell r="BA67">
            <v>-8</v>
          </cell>
          <cell r="BB67">
            <v>3</v>
          </cell>
          <cell r="BC67">
            <v>-3</v>
          </cell>
          <cell r="BD67">
            <v>-1</v>
          </cell>
          <cell r="BE67">
            <v>-3</v>
          </cell>
          <cell r="BF67">
            <v>11</v>
          </cell>
          <cell r="BG67">
            <v>3</v>
          </cell>
          <cell r="BH67">
            <v>3</v>
          </cell>
        </row>
        <row r="73">
          <cell r="X73">
            <v>-107</v>
          </cell>
          <cell r="Y73">
            <v>-100</v>
          </cell>
          <cell r="Z73">
            <v>-82</v>
          </cell>
          <cell r="AA73">
            <v>-102</v>
          </cell>
          <cell r="AB73">
            <v>-85</v>
          </cell>
          <cell r="AC73">
            <v>-92</v>
          </cell>
          <cell r="AD73">
            <v>-79</v>
          </cell>
          <cell r="AE73">
            <v>-112</v>
          </cell>
          <cell r="AF73">
            <v>-113</v>
          </cell>
          <cell r="AG73">
            <v>-108</v>
          </cell>
          <cell r="AH73">
            <v>-119</v>
          </cell>
          <cell r="AI73">
            <v>-102</v>
          </cell>
          <cell r="AJ73">
            <v>-103</v>
          </cell>
          <cell r="AK73">
            <v>-99</v>
          </cell>
          <cell r="AL73">
            <v>-101</v>
          </cell>
          <cell r="AM73">
            <v>-109</v>
          </cell>
          <cell r="AN73">
            <v>-110</v>
          </cell>
          <cell r="AO73">
            <v>-99</v>
          </cell>
          <cell r="AP73">
            <v>-94</v>
          </cell>
          <cell r="AQ73">
            <v>-91</v>
          </cell>
          <cell r="AR73">
            <v>-99</v>
          </cell>
          <cell r="AS73">
            <v>-106</v>
          </cell>
          <cell r="AT73">
            <v>-111</v>
          </cell>
          <cell r="AU73">
            <v>-112</v>
          </cell>
          <cell r="AV73">
            <v>-115</v>
          </cell>
          <cell r="AW73">
            <v>-108</v>
          </cell>
          <cell r="AX73">
            <v>-111</v>
          </cell>
          <cell r="AY73">
            <v>-116</v>
          </cell>
          <cell r="AZ73">
            <v>-112</v>
          </cell>
          <cell r="BA73">
            <v>-110</v>
          </cell>
          <cell r="BB73">
            <v>-109</v>
          </cell>
          <cell r="BC73">
            <v>-111</v>
          </cell>
          <cell r="BD73">
            <v>-110</v>
          </cell>
          <cell r="BE73">
            <v>-107</v>
          </cell>
          <cell r="BF73">
            <v>-104</v>
          </cell>
          <cell r="BG73">
            <v>-104</v>
          </cell>
          <cell r="BH73">
            <v>-106</v>
          </cell>
        </row>
        <row r="76">
          <cell r="S76">
            <v>686</v>
          </cell>
          <cell r="T76">
            <v>568</v>
          </cell>
          <cell r="U76">
            <v>698</v>
          </cell>
          <cell r="V76">
            <v>732</v>
          </cell>
          <cell r="W76">
            <v>684</v>
          </cell>
          <cell r="X76">
            <v>658</v>
          </cell>
          <cell r="Y76">
            <v>736</v>
          </cell>
          <cell r="Z76">
            <v>659</v>
          </cell>
          <cell r="AA76">
            <v>676</v>
          </cell>
          <cell r="AB76">
            <v>635</v>
          </cell>
          <cell r="AC76">
            <v>684</v>
          </cell>
          <cell r="AD76">
            <v>355</v>
          </cell>
          <cell r="AE76">
            <v>536</v>
          </cell>
          <cell r="AF76">
            <v>528</v>
          </cell>
          <cell r="AG76">
            <v>484</v>
          </cell>
          <cell r="AH76">
            <v>454</v>
          </cell>
          <cell r="AI76">
            <v>477</v>
          </cell>
          <cell r="AJ76">
            <v>450</v>
          </cell>
          <cell r="AK76">
            <v>489</v>
          </cell>
          <cell r="AL76">
            <v>431</v>
          </cell>
          <cell r="AM76">
            <v>453</v>
          </cell>
          <cell r="AN76">
            <v>484</v>
          </cell>
          <cell r="AO76">
            <v>441</v>
          </cell>
          <cell r="AP76">
            <v>384</v>
          </cell>
          <cell r="AQ76">
            <v>429</v>
          </cell>
          <cell r="AR76">
            <v>498</v>
          </cell>
          <cell r="AS76">
            <v>468</v>
          </cell>
          <cell r="AT76">
            <v>407</v>
          </cell>
          <cell r="AU76">
            <v>429</v>
          </cell>
          <cell r="AV76">
            <v>453</v>
          </cell>
          <cell r="AW76">
            <v>384</v>
          </cell>
          <cell r="AX76">
            <v>178</v>
          </cell>
          <cell r="AY76">
            <v>479</v>
          </cell>
          <cell r="AZ76">
            <v>483</v>
          </cell>
          <cell r="BA76">
            <v>487</v>
          </cell>
          <cell r="BB76">
            <v>428</v>
          </cell>
          <cell r="BC76">
            <v>500</v>
          </cell>
          <cell r="BD76">
            <v>537</v>
          </cell>
          <cell r="BE76">
            <v>544</v>
          </cell>
          <cell r="BF76">
            <v>486</v>
          </cell>
          <cell r="BG76">
            <v>559</v>
          </cell>
          <cell r="BH76">
            <v>585</v>
          </cell>
        </row>
        <row r="77">
          <cell r="X77">
            <v>-176</v>
          </cell>
          <cell r="Y77">
            <v>-175</v>
          </cell>
          <cell r="Z77">
            <v>-151</v>
          </cell>
          <cell r="AA77">
            <v>-166</v>
          </cell>
          <cell r="AB77">
            <v>-157</v>
          </cell>
          <cell r="AC77">
            <v>-166</v>
          </cell>
          <cell r="AD77">
            <v>-96</v>
          </cell>
          <cell r="AE77">
            <v>-134</v>
          </cell>
          <cell r="AF77">
            <v>-139</v>
          </cell>
          <cell r="AG77">
            <v>-124</v>
          </cell>
          <cell r="AH77">
            <v>-112</v>
          </cell>
          <cell r="AI77">
            <v>-118</v>
          </cell>
          <cell r="AJ77">
            <v>-113</v>
          </cell>
          <cell r="AK77">
            <v>-126</v>
          </cell>
          <cell r="AL77">
            <v>-112</v>
          </cell>
          <cell r="AM77">
            <v>-119</v>
          </cell>
          <cell r="AN77">
            <v>-124</v>
          </cell>
          <cell r="AO77">
            <v>-116</v>
          </cell>
          <cell r="AP77">
            <v>-95</v>
          </cell>
          <cell r="AQ77">
            <v>-140</v>
          </cell>
          <cell r="AR77">
            <v>-176</v>
          </cell>
          <cell r="AS77">
            <v>-160</v>
          </cell>
          <cell r="AT77">
            <v>-175</v>
          </cell>
          <cell r="AU77">
            <v>-109</v>
          </cell>
          <cell r="AV77">
            <v>-124</v>
          </cell>
          <cell r="AW77">
            <v>-97</v>
          </cell>
          <cell r="AX77">
            <v>-122</v>
          </cell>
          <cell r="AY77">
            <v>-126</v>
          </cell>
          <cell r="AZ77">
            <v>-127</v>
          </cell>
          <cell r="BA77">
            <v>-121</v>
          </cell>
          <cell r="BB77">
            <v>-107</v>
          </cell>
          <cell r="BC77">
            <v>-129</v>
          </cell>
          <cell r="BD77">
            <v>-139</v>
          </cell>
          <cell r="BE77">
            <v>-132</v>
          </cell>
          <cell r="BF77">
            <v>-106</v>
          </cell>
          <cell r="BG77">
            <v>-142</v>
          </cell>
          <cell r="BH77">
            <v>-149</v>
          </cell>
        </row>
        <row r="78">
          <cell r="Y78">
            <v>561</v>
          </cell>
          <cell r="Z78">
            <v>520</v>
          </cell>
        </row>
        <row r="83">
          <cell r="AU83">
            <v>320</v>
          </cell>
          <cell r="AV83">
            <v>329</v>
          </cell>
          <cell r="AW83">
            <v>344</v>
          </cell>
          <cell r="AX83">
            <v>360</v>
          </cell>
          <cell r="AY83">
            <v>353</v>
          </cell>
          <cell r="AZ83">
            <v>356</v>
          </cell>
          <cell r="BA83">
            <v>366</v>
          </cell>
          <cell r="BB83">
            <v>321</v>
          </cell>
          <cell r="BC83">
            <v>371</v>
          </cell>
          <cell r="BD83">
            <v>398</v>
          </cell>
          <cell r="BE83">
            <v>412</v>
          </cell>
          <cell r="BF83">
            <v>380</v>
          </cell>
          <cell r="BG83">
            <v>417</v>
          </cell>
          <cell r="BH83">
            <v>436</v>
          </cell>
        </row>
        <row r="86">
          <cell r="AA86">
            <v>6.8000000000000005E-2</v>
          </cell>
          <cell r="AB86">
            <v>6.3733333333333336E-2</v>
          </cell>
          <cell r="AC86">
            <v>6.9066666666666665E-2</v>
          </cell>
          <cell r="AD86">
            <v>3.4533333333333333E-2</v>
          </cell>
          <cell r="AE86">
            <v>5.1406649616368288E-2</v>
          </cell>
          <cell r="AF86">
            <v>4.9744245524296675E-2</v>
          </cell>
          <cell r="AG86">
            <v>4.6035805626598467E-2</v>
          </cell>
          <cell r="AH86">
            <v>4.3734015345268544E-2</v>
          </cell>
          <cell r="AI86">
            <v>4.5907928388746806E-2</v>
          </cell>
          <cell r="AJ86">
            <v>4.3094629156010228E-2</v>
          </cell>
          <cell r="AK86">
            <v>4.6419437340153455E-2</v>
          </cell>
          <cell r="AL86">
            <v>4.0792838874680305E-2</v>
          </cell>
          <cell r="AM86">
            <v>4.271099744245524E-2</v>
          </cell>
          <cell r="AN86">
            <v>4.6035805626598467E-2</v>
          </cell>
          <cell r="AO86">
            <v>4.1560102301790282E-2</v>
          </cell>
          <cell r="AP86">
            <v>3.6956521739130437E-2</v>
          </cell>
          <cell r="AQ86">
            <v>3.6928188090978788E-2</v>
          </cell>
          <cell r="AR86">
            <v>4.1176470588235294E-2</v>
          </cell>
          <cell r="AS86">
            <v>3.938618925831202E-2</v>
          </cell>
          <cell r="AT86">
            <v>2.9667519181585677E-2</v>
          </cell>
          <cell r="AU86">
            <v>4.0920716112531973E-2</v>
          </cell>
          <cell r="AV86">
            <v>4.2071611253196931E-2</v>
          </cell>
          <cell r="AW86">
            <v>3.6700767263427109E-2</v>
          </cell>
          <cell r="AX86">
            <v>7.1611253196930949E-3</v>
          </cell>
          <cell r="AY86">
            <v>4.514066496163683E-2</v>
          </cell>
          <cell r="AZ86">
            <v>4.5524296675191818E-2</v>
          </cell>
          <cell r="BA86">
            <v>4.6803069053708443E-2</v>
          </cell>
          <cell r="BB86">
            <v>4.09804672539257E-2</v>
          </cell>
          <cell r="BC86">
            <v>4.7442455242966752E-2</v>
          </cell>
          <cell r="BD86">
            <v>5.089514066496164E-2</v>
          </cell>
          <cell r="BE86">
            <v>5.2685421994884914E-2</v>
          </cell>
          <cell r="BF86">
            <v>4.8500319081046586E-2</v>
          </cell>
          <cell r="BG86">
            <v>5.3324808184143223E-2</v>
          </cell>
          <cell r="BH86">
            <v>5.5754475703324806E-2</v>
          </cell>
        </row>
        <row r="87">
          <cell r="AA87">
            <v>0.05</v>
          </cell>
          <cell r="AB87">
            <v>0.05</v>
          </cell>
          <cell r="AC87">
            <v>0.05</v>
          </cell>
          <cell r="AD87">
            <v>0.05</v>
          </cell>
          <cell r="AE87">
            <v>0.05</v>
          </cell>
          <cell r="AF87">
            <v>0.05</v>
          </cell>
          <cell r="AG87">
            <v>0.05</v>
          </cell>
          <cell r="AH87">
            <v>0.05</v>
          </cell>
          <cell r="AI87">
            <v>0.04</v>
          </cell>
          <cell r="AJ87">
            <v>0.04</v>
          </cell>
          <cell r="AK87">
            <v>0.04</v>
          </cell>
          <cell r="AL87">
            <v>0.05</v>
          </cell>
          <cell r="AM87">
            <v>0.04</v>
          </cell>
          <cell r="AN87">
            <v>0.04</v>
          </cell>
          <cell r="AO87">
            <v>0.04</v>
          </cell>
          <cell r="AP87">
            <v>0.05</v>
          </cell>
          <cell r="AQ87">
            <v>0.05</v>
          </cell>
          <cell r="AR87">
            <v>0.05</v>
          </cell>
          <cell r="AS87">
            <v>0.05</v>
          </cell>
          <cell r="AT87">
            <v>0.05</v>
          </cell>
          <cell r="AU87">
            <v>0.04</v>
          </cell>
          <cell r="AV87">
            <v>0.04</v>
          </cell>
          <cell r="AW87">
            <v>0.04</v>
          </cell>
          <cell r="AX87">
            <v>0.04</v>
          </cell>
          <cell r="AY87">
            <v>0.04</v>
          </cell>
          <cell r="AZ87">
            <v>0.04</v>
          </cell>
          <cell r="BA87">
            <v>0.04</v>
          </cell>
          <cell r="BB87">
            <v>0.05</v>
          </cell>
          <cell r="BC87">
            <v>0.04</v>
          </cell>
          <cell r="BD87">
            <v>0.04</v>
          </cell>
          <cell r="BE87">
            <v>0.04</v>
          </cell>
          <cell r="BF87">
            <v>5.5E-2</v>
          </cell>
          <cell r="BG87">
            <v>0.04</v>
          </cell>
          <cell r="BH87">
            <v>0.04</v>
          </cell>
        </row>
      </sheetData>
      <sheetData sheetId="2">
        <row r="5">
          <cell r="X5">
            <v>211</v>
          </cell>
          <cell r="Y5">
            <v>273</v>
          </cell>
          <cell r="Z5">
            <v>382</v>
          </cell>
          <cell r="AA5">
            <v>107</v>
          </cell>
          <cell r="AB5">
            <v>212</v>
          </cell>
          <cell r="AC5">
            <v>195</v>
          </cell>
          <cell r="AD5">
            <v>524</v>
          </cell>
          <cell r="AE5">
            <v>127</v>
          </cell>
          <cell r="AF5">
            <v>267</v>
          </cell>
          <cell r="AG5">
            <v>242</v>
          </cell>
          <cell r="AH5">
            <v>577</v>
          </cell>
          <cell r="AI5">
            <v>163</v>
          </cell>
          <cell r="AJ5">
            <v>259</v>
          </cell>
          <cell r="AK5">
            <v>319</v>
          </cell>
          <cell r="AL5">
            <v>504</v>
          </cell>
          <cell r="AM5">
            <v>136</v>
          </cell>
          <cell r="AN5">
            <v>180</v>
          </cell>
          <cell r="AO5">
            <v>274</v>
          </cell>
          <cell r="AP5">
            <v>597</v>
          </cell>
          <cell r="AQ5">
            <v>171</v>
          </cell>
          <cell r="AR5">
            <v>241</v>
          </cell>
          <cell r="AS5">
            <v>272</v>
          </cell>
          <cell r="AT5">
            <v>430</v>
          </cell>
          <cell r="AU5">
            <v>130</v>
          </cell>
          <cell r="AV5">
            <v>166</v>
          </cell>
          <cell r="AW5">
            <v>215</v>
          </cell>
          <cell r="AX5">
            <v>302</v>
          </cell>
          <cell r="AY5">
            <v>106</v>
          </cell>
          <cell r="AZ5">
            <v>116</v>
          </cell>
          <cell r="BA5">
            <v>140</v>
          </cell>
          <cell r="BB5">
            <v>312</v>
          </cell>
          <cell r="BC5">
            <v>86</v>
          </cell>
          <cell r="BD5">
            <v>165</v>
          </cell>
          <cell r="BE5">
            <v>224</v>
          </cell>
          <cell r="BF5">
            <v>511</v>
          </cell>
          <cell r="BG5">
            <v>142</v>
          </cell>
          <cell r="BH5">
            <v>171</v>
          </cell>
        </row>
        <row r="7">
          <cell r="O7">
            <v>8723</v>
          </cell>
          <cell r="P7">
            <v>9569</v>
          </cell>
          <cell r="Q7">
            <v>9105</v>
          </cell>
          <cell r="R7">
            <v>9130</v>
          </cell>
          <cell r="S7">
            <v>8695</v>
          </cell>
          <cell r="T7">
            <v>8751</v>
          </cell>
          <cell r="U7">
            <v>8300</v>
          </cell>
          <cell r="V7">
            <v>9253</v>
          </cell>
          <cell r="W7">
            <v>9263</v>
          </cell>
          <cell r="X7">
            <v>9295</v>
          </cell>
          <cell r="Y7">
            <v>7839</v>
          </cell>
          <cell r="Z7">
            <v>7643</v>
          </cell>
          <cell r="AA7">
            <v>7622</v>
          </cell>
          <cell r="AB7">
            <v>7637</v>
          </cell>
          <cell r="AC7">
            <v>7622</v>
          </cell>
          <cell r="AD7">
            <v>7639</v>
          </cell>
          <cell r="AE7">
            <v>8717</v>
          </cell>
          <cell r="AF7">
            <v>8731</v>
          </cell>
          <cell r="AG7">
            <v>8704</v>
          </cell>
          <cell r="AH7">
            <v>8953</v>
          </cell>
          <cell r="AI7">
            <v>8990</v>
          </cell>
          <cell r="AJ7">
            <v>8951</v>
          </cell>
          <cell r="AK7">
            <v>8910</v>
          </cell>
          <cell r="AL7">
            <v>9780</v>
          </cell>
          <cell r="AM7">
            <v>10092</v>
          </cell>
          <cell r="AN7">
            <v>10341</v>
          </cell>
          <cell r="AO7">
            <v>10070</v>
          </cell>
          <cell r="AP7">
            <v>10098</v>
          </cell>
          <cell r="AQ7">
            <v>9936</v>
          </cell>
          <cell r="AR7">
            <v>9895</v>
          </cell>
          <cell r="AS7">
            <v>10285</v>
          </cell>
          <cell r="AT7">
            <v>9865</v>
          </cell>
          <cell r="AU7">
            <v>10157</v>
          </cell>
          <cell r="AV7">
            <v>10056</v>
          </cell>
          <cell r="AW7">
            <v>9768</v>
          </cell>
          <cell r="AX7">
            <v>9772</v>
          </cell>
          <cell r="AY7">
            <v>10065</v>
          </cell>
          <cell r="AZ7">
            <v>9249</v>
          </cell>
          <cell r="BA7">
            <v>9290</v>
          </cell>
          <cell r="BB7">
            <v>9289</v>
          </cell>
          <cell r="BC7">
            <v>9842</v>
          </cell>
          <cell r="BD7">
            <v>9025</v>
          </cell>
          <cell r="BE7">
            <v>8978</v>
          </cell>
          <cell r="BF7">
            <v>8980</v>
          </cell>
          <cell r="BG7">
            <v>8962</v>
          </cell>
          <cell r="BH7">
            <v>9274</v>
          </cell>
        </row>
        <row r="8">
          <cell r="O8">
            <v>1335</v>
          </cell>
          <cell r="P8">
            <v>1557</v>
          </cell>
          <cell r="Q8">
            <v>1303</v>
          </cell>
          <cell r="R8">
            <v>1296</v>
          </cell>
          <cell r="S8">
            <v>786</v>
          </cell>
          <cell r="T8">
            <v>973</v>
          </cell>
          <cell r="U8">
            <v>696</v>
          </cell>
          <cell r="V8">
            <v>682</v>
          </cell>
          <cell r="W8">
            <v>559</v>
          </cell>
          <cell r="X8">
            <v>454</v>
          </cell>
          <cell r="Y8">
            <v>731</v>
          </cell>
          <cell r="Z8">
            <v>602</v>
          </cell>
          <cell r="AA8">
            <v>376</v>
          </cell>
          <cell r="AB8">
            <v>524</v>
          </cell>
          <cell r="AC8">
            <v>734</v>
          </cell>
          <cell r="AD8">
            <v>560</v>
          </cell>
          <cell r="AE8">
            <v>434</v>
          </cell>
          <cell r="AF8">
            <v>600</v>
          </cell>
          <cell r="AG8">
            <v>844</v>
          </cell>
          <cell r="AH8">
            <v>582</v>
          </cell>
          <cell r="AI8">
            <v>948</v>
          </cell>
          <cell r="AJ8">
            <v>693</v>
          </cell>
          <cell r="AK8">
            <v>637</v>
          </cell>
          <cell r="AL8">
            <v>735</v>
          </cell>
          <cell r="AM8">
            <v>952</v>
          </cell>
          <cell r="AN8">
            <v>1369</v>
          </cell>
          <cell r="AO8">
            <v>1214</v>
          </cell>
          <cell r="AP8">
            <v>1191</v>
          </cell>
          <cell r="AQ8">
            <v>531</v>
          </cell>
          <cell r="AR8">
            <v>853</v>
          </cell>
          <cell r="AS8">
            <v>1142</v>
          </cell>
          <cell r="AT8">
            <v>628</v>
          </cell>
          <cell r="AU8">
            <v>340</v>
          </cell>
          <cell r="AV8">
            <v>515</v>
          </cell>
          <cell r="AW8">
            <v>695</v>
          </cell>
          <cell r="AX8">
            <v>569</v>
          </cell>
          <cell r="AY8">
            <v>1168</v>
          </cell>
          <cell r="AZ8">
            <v>727</v>
          </cell>
          <cell r="BA8">
            <v>827</v>
          </cell>
          <cell r="BB8">
            <v>464</v>
          </cell>
          <cell r="BC8">
            <v>1231</v>
          </cell>
          <cell r="BD8">
            <v>688</v>
          </cell>
          <cell r="BE8">
            <v>899</v>
          </cell>
          <cell r="BF8">
            <v>458</v>
          </cell>
          <cell r="BG8">
            <v>346</v>
          </cell>
          <cell r="BH8">
            <v>804</v>
          </cell>
        </row>
        <row r="9">
          <cell r="O9">
            <v>7388</v>
          </cell>
          <cell r="P9">
            <v>8012</v>
          </cell>
          <cell r="Q9">
            <v>7802</v>
          </cell>
          <cell r="R9">
            <v>7834</v>
          </cell>
          <cell r="S9">
            <v>7909</v>
          </cell>
          <cell r="T9">
            <v>7778</v>
          </cell>
          <cell r="U9">
            <v>7604</v>
          </cell>
          <cell r="V9">
            <v>8571</v>
          </cell>
          <cell r="W9">
            <v>8704</v>
          </cell>
          <cell r="X9">
            <v>8841</v>
          </cell>
          <cell r="Y9">
            <v>7108</v>
          </cell>
          <cell r="Z9">
            <v>7041</v>
          </cell>
          <cell r="AA9">
            <v>7246</v>
          </cell>
          <cell r="AB9">
            <v>7113</v>
          </cell>
          <cell r="AC9">
            <v>6888</v>
          </cell>
          <cell r="AD9">
            <v>7079</v>
          </cell>
          <cell r="AE9">
            <v>8283</v>
          </cell>
          <cell r="AF9">
            <v>8131</v>
          </cell>
          <cell r="AG9">
            <v>7860</v>
          </cell>
          <cell r="AH9">
            <v>8371</v>
          </cell>
          <cell r="AI9">
            <v>8042</v>
          </cell>
          <cell r="AJ9">
            <v>8258</v>
          </cell>
          <cell r="AK9">
            <v>8273</v>
          </cell>
          <cell r="AL9">
            <v>9045</v>
          </cell>
          <cell r="AM9">
            <v>9140</v>
          </cell>
          <cell r="AN9">
            <v>8972</v>
          </cell>
          <cell r="AO9">
            <v>8856</v>
          </cell>
          <cell r="AP9">
            <v>8907</v>
          </cell>
          <cell r="AQ9">
            <v>9405</v>
          </cell>
          <cell r="AR9">
            <v>9042</v>
          </cell>
          <cell r="AS9">
            <v>9143</v>
          </cell>
          <cell r="AT9">
            <v>9237</v>
          </cell>
          <cell r="AU9">
            <v>9817</v>
          </cell>
          <cell r="AV9">
            <v>9541</v>
          </cell>
          <cell r="AW9">
            <v>9073</v>
          </cell>
          <cell r="AX9">
            <v>9203</v>
          </cell>
          <cell r="AY9">
            <v>8897</v>
          </cell>
          <cell r="AZ9">
            <v>8522</v>
          </cell>
          <cell r="BA9">
            <v>8463</v>
          </cell>
          <cell r="BB9">
            <v>8825</v>
          </cell>
          <cell r="BC9">
            <v>8611</v>
          </cell>
          <cell r="BD9">
            <v>8337</v>
          </cell>
          <cell r="BE9">
            <v>8079</v>
          </cell>
          <cell r="BF9">
            <v>8522</v>
          </cell>
          <cell r="BG9">
            <v>8616</v>
          </cell>
          <cell r="BH9">
            <v>8470</v>
          </cell>
        </row>
      </sheetData>
      <sheetData sheetId="3">
        <row r="7">
          <cell r="X7">
            <v>8500</v>
          </cell>
          <cell r="Y7">
            <v>8300</v>
          </cell>
          <cell r="Z7">
            <v>8200</v>
          </cell>
          <cell r="AA7">
            <v>8000</v>
          </cell>
          <cell r="AB7">
            <v>8200</v>
          </cell>
          <cell r="AC7">
            <v>8300</v>
          </cell>
          <cell r="AD7">
            <v>8400</v>
          </cell>
          <cell r="AE7">
            <v>8400</v>
          </cell>
          <cell r="AF7">
            <v>8400</v>
          </cell>
          <cell r="AG7">
            <v>8500</v>
          </cell>
          <cell r="AH7">
            <v>8700</v>
          </cell>
          <cell r="AI7">
            <v>8300</v>
          </cell>
          <cell r="AJ7">
            <v>8400</v>
          </cell>
          <cell r="AK7">
            <v>8600</v>
          </cell>
          <cell r="AL7">
            <v>8800</v>
          </cell>
          <cell r="AM7">
            <v>8900</v>
          </cell>
          <cell r="AN7">
            <v>8500</v>
          </cell>
          <cell r="AO7">
            <v>8800</v>
          </cell>
          <cell r="AP7">
            <v>8500</v>
          </cell>
          <cell r="AQ7">
            <v>8500</v>
          </cell>
        </row>
        <row r="9">
          <cell r="X9">
            <v>0.78351942372009264</v>
          </cell>
          <cell r="Y9">
            <v>0.78627651078179084</v>
          </cell>
          <cell r="Z9">
            <v>0.80389865656838877</v>
          </cell>
          <cell r="AA9">
            <v>0.82</v>
          </cell>
          <cell r="AB9">
            <v>0.83</v>
          </cell>
          <cell r="AC9">
            <v>0.84</v>
          </cell>
          <cell r="AD9">
            <v>0.85</v>
          </cell>
          <cell r="AE9">
            <v>0.85</v>
          </cell>
          <cell r="AF9">
            <v>0.85</v>
          </cell>
          <cell r="AG9">
            <v>0.85</v>
          </cell>
          <cell r="AH9">
            <v>0.85</v>
          </cell>
          <cell r="AI9">
            <v>0.85</v>
          </cell>
          <cell r="AJ9">
            <v>0.85</v>
          </cell>
          <cell r="AK9">
            <v>0.85</v>
          </cell>
          <cell r="AL9">
            <v>0.85</v>
          </cell>
          <cell r="AM9">
            <v>0.85</v>
          </cell>
          <cell r="AN9">
            <v>0.85</v>
          </cell>
          <cell r="AO9">
            <v>0.85</v>
          </cell>
          <cell r="AP9">
            <v>0.85</v>
          </cell>
          <cell r="AQ9">
            <v>0.85</v>
          </cell>
        </row>
        <row r="12">
          <cell r="W12">
            <v>8820</v>
          </cell>
          <cell r="X12">
            <v>8653</v>
          </cell>
          <cell r="Y12">
            <v>8255</v>
          </cell>
          <cell r="Z12">
            <v>8034</v>
          </cell>
          <cell r="AA12">
            <v>7756</v>
          </cell>
          <cell r="AB12">
            <v>7716</v>
          </cell>
          <cell r="AC12">
            <v>7703</v>
          </cell>
          <cell r="AD12">
            <v>7571</v>
          </cell>
          <cell r="AE12">
            <v>7444</v>
          </cell>
          <cell r="AF12">
            <v>7463</v>
          </cell>
          <cell r="AG12">
            <v>7461</v>
          </cell>
          <cell r="AH12">
            <v>7375</v>
          </cell>
          <cell r="AI12">
            <v>7388</v>
          </cell>
          <cell r="AJ12">
            <v>7830</v>
          </cell>
          <cell r="AK12">
            <v>7147</v>
          </cell>
          <cell r="AL12">
            <v>7193</v>
          </cell>
          <cell r="AM12">
            <v>7365</v>
          </cell>
          <cell r="AN12">
            <v>7360</v>
          </cell>
          <cell r="AO12">
            <v>7334</v>
          </cell>
          <cell r="AP12">
            <v>7359</v>
          </cell>
          <cell r="AQ12">
            <v>7092</v>
          </cell>
          <cell r="AR12">
            <v>7149</v>
          </cell>
          <cell r="AS12">
            <v>7188</v>
          </cell>
          <cell r="AT12">
            <v>7147</v>
          </cell>
          <cell r="AU12">
            <v>7126</v>
          </cell>
          <cell r="AV12">
            <v>7032</v>
          </cell>
          <cell r="AW12">
            <v>7185</v>
          </cell>
          <cell r="AX12">
            <v>7589</v>
          </cell>
          <cell r="AY12">
            <v>7397</v>
          </cell>
          <cell r="AZ12">
            <v>7497</v>
          </cell>
          <cell r="BA12">
            <v>7494</v>
          </cell>
          <cell r="BB12">
            <v>7438</v>
          </cell>
          <cell r="BC12">
            <v>7566</v>
          </cell>
          <cell r="BD12">
            <v>7601</v>
          </cell>
          <cell r="BE12">
            <v>7573</v>
          </cell>
          <cell r="BF12">
            <v>7585</v>
          </cell>
          <cell r="BG12">
            <v>7613</v>
          </cell>
          <cell r="BH12">
            <v>7391</v>
          </cell>
        </row>
        <row r="13">
          <cell r="W13">
            <v>2800</v>
          </cell>
          <cell r="X13">
            <v>2842</v>
          </cell>
          <cell r="Y13">
            <v>2849</v>
          </cell>
          <cell r="Z13">
            <v>2894</v>
          </cell>
          <cell r="AA13">
            <v>2958</v>
          </cell>
          <cell r="AB13">
            <v>3019</v>
          </cell>
          <cell r="AC13">
            <v>3105</v>
          </cell>
          <cell r="AD13">
            <v>3190</v>
          </cell>
          <cell r="AE13">
            <v>3321</v>
          </cell>
          <cell r="AF13">
            <v>3438</v>
          </cell>
          <cell r="AG13">
            <v>3581</v>
          </cell>
          <cell r="AH13">
            <v>3755</v>
          </cell>
          <cell r="AI13">
            <v>3833</v>
          </cell>
          <cell r="AJ13">
            <v>3801</v>
          </cell>
          <cell r="AK13">
            <v>3855</v>
          </cell>
          <cell r="AL13">
            <v>3939</v>
          </cell>
          <cell r="AM13">
            <v>4006</v>
          </cell>
          <cell r="AN13">
            <v>4133</v>
          </cell>
          <cell r="AO13">
            <v>4107</v>
          </cell>
          <cell r="AP13">
            <v>4259</v>
          </cell>
          <cell r="AQ13">
            <v>4324</v>
          </cell>
          <cell r="AR13">
            <v>4398</v>
          </cell>
          <cell r="AS13">
            <v>4478</v>
          </cell>
          <cell r="AT13">
            <v>4591</v>
          </cell>
          <cell r="AU13">
            <v>4663</v>
          </cell>
          <cell r="AV13">
            <v>4721</v>
          </cell>
          <cell r="AW13">
            <v>4825</v>
          </cell>
          <cell r="AX13">
            <v>4922</v>
          </cell>
          <cell r="AY13">
            <v>5033</v>
          </cell>
          <cell r="AZ13">
            <v>5129</v>
          </cell>
          <cell r="BA13">
            <v>5243</v>
          </cell>
          <cell r="BB13">
            <v>5388</v>
          </cell>
          <cell r="BC13">
            <v>5549</v>
          </cell>
          <cell r="BD13">
            <v>5647</v>
          </cell>
          <cell r="BE13">
            <v>5794</v>
          </cell>
          <cell r="BF13">
            <v>5919</v>
          </cell>
          <cell r="BG13">
            <v>6018</v>
          </cell>
          <cell r="BH13">
            <v>6156</v>
          </cell>
        </row>
        <row r="16">
          <cell r="X16">
            <v>159</v>
          </cell>
          <cell r="Y16">
            <v>163</v>
          </cell>
          <cell r="Z16">
            <v>172</v>
          </cell>
          <cell r="AA16">
            <v>184</v>
          </cell>
          <cell r="AB16">
            <v>194</v>
          </cell>
          <cell r="AC16">
            <v>202</v>
          </cell>
          <cell r="AD16">
            <v>226</v>
          </cell>
          <cell r="AF16">
            <v>279</v>
          </cell>
          <cell r="AJ16">
            <v>371</v>
          </cell>
          <cell r="AK16">
            <v>383</v>
          </cell>
          <cell r="AL16">
            <v>402</v>
          </cell>
          <cell r="AM16">
            <v>423</v>
          </cell>
          <cell r="AN16">
            <v>444</v>
          </cell>
          <cell r="AO16">
            <v>470</v>
          </cell>
          <cell r="AP16">
            <v>494</v>
          </cell>
          <cell r="AQ16">
            <v>520</v>
          </cell>
          <cell r="AR16">
            <v>545</v>
          </cell>
          <cell r="AS16">
            <v>564</v>
          </cell>
          <cell r="AT16">
            <v>587</v>
          </cell>
          <cell r="AU16">
            <v>612</v>
          </cell>
          <cell r="AV16">
            <v>634</v>
          </cell>
          <cell r="AW16">
            <v>658</v>
          </cell>
          <cell r="AX16">
            <v>678</v>
          </cell>
          <cell r="AY16">
            <v>692</v>
          </cell>
          <cell r="AZ16">
            <v>707</v>
          </cell>
          <cell r="BA16">
            <v>716</v>
          </cell>
          <cell r="BB16">
            <v>723</v>
          </cell>
          <cell r="BC16">
            <v>727</v>
          </cell>
          <cell r="BD16">
            <v>727</v>
          </cell>
          <cell r="BE16">
            <v>724</v>
          </cell>
          <cell r="BF16">
            <v>723</v>
          </cell>
          <cell r="BG16">
            <v>725</v>
          </cell>
          <cell r="BH16">
            <v>729</v>
          </cell>
        </row>
        <row r="19">
          <cell r="O19">
            <v>972</v>
          </cell>
          <cell r="P19">
            <v>976</v>
          </cell>
          <cell r="Q19">
            <v>976</v>
          </cell>
          <cell r="R19">
            <v>1012</v>
          </cell>
          <cell r="S19">
            <v>997</v>
          </cell>
          <cell r="T19">
            <v>978</v>
          </cell>
          <cell r="U19">
            <v>965</v>
          </cell>
          <cell r="V19">
            <v>1010</v>
          </cell>
          <cell r="W19">
            <v>936</v>
          </cell>
          <cell r="X19">
            <v>946</v>
          </cell>
          <cell r="Y19">
            <v>997</v>
          </cell>
          <cell r="Z19">
            <v>903</v>
          </cell>
          <cell r="AA19">
            <v>985</v>
          </cell>
          <cell r="AB19">
            <v>1009</v>
          </cell>
          <cell r="AC19">
            <v>1025</v>
          </cell>
          <cell r="AD19">
            <v>1053</v>
          </cell>
          <cell r="AE19">
            <v>1000</v>
          </cell>
          <cell r="AF19">
            <v>972</v>
          </cell>
          <cell r="AG19">
            <v>979</v>
          </cell>
          <cell r="AH19">
            <v>989</v>
          </cell>
          <cell r="AI19">
            <v>984</v>
          </cell>
          <cell r="AJ19">
            <v>974</v>
          </cell>
          <cell r="AK19">
            <v>956</v>
          </cell>
          <cell r="AL19">
            <v>967</v>
          </cell>
          <cell r="AM19">
            <v>974</v>
          </cell>
          <cell r="AN19">
            <v>1002</v>
          </cell>
          <cell r="AO19">
            <v>1030</v>
          </cell>
          <cell r="AP19">
            <v>1019</v>
          </cell>
          <cell r="AQ19">
            <v>785</v>
          </cell>
          <cell r="AR19">
            <v>810</v>
          </cell>
          <cell r="AS19">
            <v>830</v>
          </cell>
          <cell r="AT19">
            <v>850</v>
          </cell>
          <cell r="AU19">
            <v>864</v>
          </cell>
          <cell r="AV19">
            <v>871</v>
          </cell>
          <cell r="AW19">
            <v>882</v>
          </cell>
          <cell r="AX19">
            <v>903</v>
          </cell>
          <cell r="AY19">
            <v>911</v>
          </cell>
          <cell r="AZ19">
            <v>916</v>
          </cell>
          <cell r="BA19">
            <v>925</v>
          </cell>
          <cell r="BB19">
            <v>948</v>
          </cell>
          <cell r="BC19">
            <v>924</v>
          </cell>
          <cell r="BD19">
            <v>933</v>
          </cell>
          <cell r="BE19">
            <v>952</v>
          </cell>
          <cell r="BF19">
            <v>976</v>
          </cell>
          <cell r="BG19">
            <v>963</v>
          </cell>
          <cell r="BH19">
            <v>972</v>
          </cell>
        </row>
        <row r="20">
          <cell r="O20">
            <v>1052</v>
          </cell>
          <cell r="P20">
            <v>1008</v>
          </cell>
          <cell r="Q20">
            <v>1070</v>
          </cell>
          <cell r="R20">
            <v>1035</v>
          </cell>
          <cell r="S20">
            <v>1008</v>
          </cell>
          <cell r="T20">
            <v>956</v>
          </cell>
          <cell r="U20">
            <v>1017</v>
          </cell>
          <cell r="V20">
            <v>1018</v>
          </cell>
          <cell r="W20">
            <v>1006</v>
          </cell>
          <cell r="X20">
            <v>982</v>
          </cell>
          <cell r="Y20">
            <v>947</v>
          </cell>
          <cell r="Z20">
            <v>994</v>
          </cell>
          <cell r="AA20">
            <v>849</v>
          </cell>
          <cell r="AB20">
            <v>854</v>
          </cell>
          <cell r="AC20">
            <v>851</v>
          </cell>
          <cell r="AD20">
            <v>845</v>
          </cell>
          <cell r="AE20">
            <v>797</v>
          </cell>
          <cell r="AF20">
            <v>791</v>
          </cell>
          <cell r="AG20">
            <v>794</v>
          </cell>
          <cell r="AH20">
            <v>783</v>
          </cell>
          <cell r="AI20">
            <v>714</v>
          </cell>
          <cell r="AJ20">
            <v>686</v>
          </cell>
          <cell r="AK20">
            <v>717</v>
          </cell>
          <cell r="AL20">
            <v>696</v>
          </cell>
          <cell r="AM20">
            <v>690</v>
          </cell>
          <cell r="AN20">
            <v>685</v>
          </cell>
          <cell r="AO20">
            <v>685</v>
          </cell>
          <cell r="AP20">
            <v>655</v>
          </cell>
          <cell r="AQ20">
            <v>657</v>
          </cell>
          <cell r="AR20">
            <v>679</v>
          </cell>
          <cell r="AS20">
            <v>676</v>
          </cell>
          <cell r="AT20">
            <v>681</v>
          </cell>
          <cell r="AU20">
            <v>661</v>
          </cell>
          <cell r="AV20">
            <v>651</v>
          </cell>
          <cell r="AW20">
            <v>652</v>
          </cell>
          <cell r="AX20">
            <v>655</v>
          </cell>
          <cell r="AY20">
            <v>649</v>
          </cell>
          <cell r="AZ20">
            <v>648</v>
          </cell>
          <cell r="BA20">
            <v>641</v>
          </cell>
          <cell r="BB20">
            <v>627</v>
          </cell>
          <cell r="BC20">
            <v>595</v>
          </cell>
          <cell r="BD20">
            <v>610</v>
          </cell>
          <cell r="BE20">
            <v>616</v>
          </cell>
          <cell r="BF20">
            <v>624</v>
          </cell>
          <cell r="BG20">
            <v>609</v>
          </cell>
          <cell r="BH20">
            <v>612</v>
          </cell>
        </row>
        <row r="23">
          <cell r="O23">
            <v>35</v>
          </cell>
          <cell r="P23">
            <v>33</v>
          </cell>
          <cell r="Q23">
            <v>35</v>
          </cell>
          <cell r="R23">
            <v>35</v>
          </cell>
          <cell r="S23">
            <v>35</v>
          </cell>
          <cell r="T23">
            <v>34</v>
          </cell>
          <cell r="U23">
            <v>36</v>
          </cell>
          <cell r="V23">
            <v>37</v>
          </cell>
          <cell r="W23">
            <v>36</v>
          </cell>
          <cell r="X23">
            <v>36</v>
          </cell>
          <cell r="Y23">
            <v>36</v>
          </cell>
          <cell r="Z23">
            <v>36</v>
          </cell>
          <cell r="AA23">
            <v>35</v>
          </cell>
          <cell r="AB23">
            <v>37</v>
          </cell>
          <cell r="AC23">
            <v>36</v>
          </cell>
          <cell r="AD23">
            <v>37</v>
          </cell>
          <cell r="AE23">
            <v>35</v>
          </cell>
          <cell r="AF23">
            <v>35</v>
          </cell>
          <cell r="AG23">
            <v>35</v>
          </cell>
          <cell r="AH23">
            <v>35</v>
          </cell>
          <cell r="AI23">
            <v>32</v>
          </cell>
          <cell r="AJ23">
            <v>30.6</v>
          </cell>
          <cell r="AK23">
            <v>33.1</v>
          </cell>
          <cell r="AL23">
            <v>32.4</v>
          </cell>
          <cell r="AM23">
            <v>31.6</v>
          </cell>
          <cell r="AN23">
            <v>31</v>
          </cell>
          <cell r="AO23">
            <v>30.5</v>
          </cell>
          <cell r="AP23">
            <v>29.7</v>
          </cell>
          <cell r="AQ23">
            <v>30.2</v>
          </cell>
          <cell r="AR23">
            <v>31.8</v>
          </cell>
          <cell r="AS23">
            <v>31.3</v>
          </cell>
          <cell r="AT23">
            <v>31.8</v>
          </cell>
          <cell r="AU23">
            <v>30.7</v>
          </cell>
          <cell r="AV23">
            <v>30.8</v>
          </cell>
          <cell r="AW23">
            <v>30.7</v>
          </cell>
          <cell r="AX23">
            <v>29.6</v>
          </cell>
          <cell r="AY23">
            <v>28.7</v>
          </cell>
          <cell r="AZ23">
            <v>28.9</v>
          </cell>
          <cell r="BA23">
            <v>28.4</v>
          </cell>
          <cell r="BB23">
            <v>28.1</v>
          </cell>
          <cell r="BC23">
            <v>26.3</v>
          </cell>
          <cell r="BD23">
            <v>26.8</v>
          </cell>
          <cell r="BE23">
            <v>27</v>
          </cell>
          <cell r="BF23">
            <v>27.3</v>
          </cell>
          <cell r="BG23">
            <v>26.4</v>
          </cell>
          <cell r="BH23">
            <v>27</v>
          </cell>
        </row>
        <row r="24">
          <cell r="O24">
            <v>95</v>
          </cell>
          <cell r="P24">
            <v>96</v>
          </cell>
          <cell r="Q24">
            <v>97</v>
          </cell>
          <cell r="R24">
            <v>102</v>
          </cell>
          <cell r="S24">
            <v>101</v>
          </cell>
          <cell r="T24">
            <v>101</v>
          </cell>
          <cell r="U24">
            <v>100</v>
          </cell>
          <cell r="V24">
            <v>104</v>
          </cell>
          <cell r="W24">
            <v>96</v>
          </cell>
          <cell r="X24">
            <v>96</v>
          </cell>
          <cell r="Y24">
            <v>96</v>
          </cell>
          <cell r="Z24">
            <v>96</v>
          </cell>
          <cell r="AA24">
            <v>92</v>
          </cell>
          <cell r="AB24">
            <v>94</v>
          </cell>
          <cell r="AC24">
            <v>93</v>
          </cell>
          <cell r="AD24">
            <v>94</v>
          </cell>
          <cell r="AE24">
            <v>88</v>
          </cell>
          <cell r="AF24">
            <v>86</v>
          </cell>
          <cell r="AG24">
            <v>85</v>
          </cell>
          <cell r="AH24">
            <v>84</v>
          </cell>
          <cell r="AI24">
            <v>81</v>
          </cell>
          <cell r="AJ24">
            <v>79.5</v>
          </cell>
          <cell r="AK24">
            <v>78.400000000000006</v>
          </cell>
          <cell r="AL24">
            <v>77.3</v>
          </cell>
          <cell r="AM24">
            <v>76</v>
          </cell>
          <cell r="AN24">
            <v>75.400000000000006</v>
          </cell>
          <cell r="AO24">
            <v>75</v>
          </cell>
          <cell r="AP24">
            <v>73.400000000000006</v>
          </cell>
          <cell r="AQ24">
            <v>72.5</v>
          </cell>
          <cell r="AR24">
            <v>72.7</v>
          </cell>
          <cell r="AS24">
            <v>72.8</v>
          </cell>
          <cell r="AT24">
            <v>72.7</v>
          </cell>
          <cell r="AU24">
            <v>71.3</v>
          </cell>
          <cell r="AV24">
            <v>71</v>
          </cell>
          <cell r="AW24">
            <v>70.2</v>
          </cell>
          <cell r="AX24">
            <v>69.8</v>
          </cell>
          <cell r="AY24">
            <v>68.3</v>
          </cell>
          <cell r="AZ24">
            <v>67.5</v>
          </cell>
          <cell r="BA24">
            <v>67</v>
          </cell>
          <cell r="BB24">
            <v>67.599999999999994</v>
          </cell>
          <cell r="BC24">
            <v>64.599999999999994</v>
          </cell>
          <cell r="BD24">
            <v>64</v>
          </cell>
          <cell r="BE24">
            <v>63</v>
          </cell>
          <cell r="BF24">
            <v>63.1</v>
          </cell>
          <cell r="BG24">
            <v>61.1</v>
          </cell>
          <cell r="BH24">
            <v>60.7</v>
          </cell>
        </row>
        <row r="25">
          <cell r="X25">
            <v>51</v>
          </cell>
          <cell r="Y25">
            <v>51</v>
          </cell>
          <cell r="Z25">
            <v>51</v>
          </cell>
          <cell r="AA25">
            <v>51</v>
          </cell>
          <cell r="AB25">
            <v>53</v>
          </cell>
          <cell r="AC25">
            <v>53</v>
          </cell>
          <cell r="AD25">
            <v>53</v>
          </cell>
          <cell r="AE25">
            <v>51</v>
          </cell>
          <cell r="AF25">
            <v>51</v>
          </cell>
          <cell r="AG25">
            <v>51</v>
          </cell>
          <cell r="AH25">
            <v>51</v>
          </cell>
          <cell r="AI25">
            <v>49</v>
          </cell>
          <cell r="AJ25">
            <v>47</v>
          </cell>
          <cell r="AK25">
            <v>48.7</v>
          </cell>
          <cell r="AL25">
            <v>48.3</v>
          </cell>
          <cell r="AM25">
            <v>47.4</v>
          </cell>
          <cell r="AN25">
            <v>47</v>
          </cell>
          <cell r="AO25">
            <v>46.6</v>
          </cell>
          <cell r="AP25">
            <v>45.9</v>
          </cell>
          <cell r="AQ25">
            <v>46.2</v>
          </cell>
          <cell r="AR25">
            <v>47.7</v>
          </cell>
          <cell r="AS25">
            <v>47.3</v>
          </cell>
          <cell r="AT25">
            <v>47.8</v>
          </cell>
          <cell r="AU25">
            <v>46.9</v>
          </cell>
          <cell r="AV25">
            <v>47</v>
          </cell>
          <cell r="AW25">
            <v>46.7</v>
          </cell>
          <cell r="AX25">
            <v>45.8</v>
          </cell>
          <cell r="AY25">
            <v>44.7</v>
          </cell>
          <cell r="AZ25">
            <v>44.7</v>
          </cell>
          <cell r="BA25">
            <v>44.2</v>
          </cell>
          <cell r="BB25">
            <v>44.5</v>
          </cell>
          <cell r="BC25">
            <v>42.4</v>
          </cell>
          <cell r="BD25">
            <v>42.6</v>
          </cell>
          <cell r="BE25">
            <v>42.4</v>
          </cell>
          <cell r="BF25">
            <v>42.9</v>
          </cell>
          <cell r="BG25">
            <v>41.6</v>
          </cell>
          <cell r="BH25">
            <v>42.1</v>
          </cell>
        </row>
        <row r="26">
          <cell r="AJ26">
            <v>105</v>
          </cell>
          <cell r="AK26">
            <v>102</v>
          </cell>
          <cell r="AL26">
            <v>107</v>
          </cell>
          <cell r="AM26">
            <v>108.1</v>
          </cell>
          <cell r="AN26">
            <v>108.9</v>
          </cell>
          <cell r="AO26">
            <v>108.4</v>
          </cell>
          <cell r="AP26">
            <v>109.5</v>
          </cell>
          <cell r="AQ26">
            <v>107.8</v>
          </cell>
          <cell r="AR26">
            <v>108.3</v>
          </cell>
          <cell r="AS26">
            <v>108</v>
          </cell>
          <cell r="AT26">
            <v>108.5</v>
          </cell>
          <cell r="AU26">
            <v>107.1</v>
          </cell>
          <cell r="AV26">
            <v>107.4</v>
          </cell>
          <cell r="AW26">
            <v>108.9</v>
          </cell>
          <cell r="AX26">
            <v>108.3</v>
          </cell>
          <cell r="AY26">
            <v>109.6</v>
          </cell>
          <cell r="AZ26">
            <v>109.9</v>
          </cell>
          <cell r="BA26">
            <v>108.6</v>
          </cell>
          <cell r="BB26">
            <v>109.4</v>
          </cell>
          <cell r="BC26">
            <v>110.5</v>
          </cell>
          <cell r="BD26">
            <v>110.9</v>
          </cell>
          <cell r="BE26">
            <v>110.5</v>
          </cell>
          <cell r="BF26">
            <v>109.6</v>
          </cell>
          <cell r="BG26">
            <v>110</v>
          </cell>
          <cell r="BH26">
            <v>110.5</v>
          </cell>
        </row>
        <row r="38">
          <cell r="S38">
            <v>1.63</v>
          </cell>
          <cell r="T38">
            <v>2.21</v>
          </cell>
          <cell r="U38">
            <v>2.84</v>
          </cell>
          <cell r="V38">
            <v>3.66</v>
          </cell>
          <cell r="W38">
            <v>4.29</v>
          </cell>
          <cell r="X38">
            <v>5.0199999999999996</v>
          </cell>
          <cell r="Y38">
            <v>5.59</v>
          </cell>
          <cell r="Z38">
            <v>6.72</v>
          </cell>
          <cell r="AA38">
            <v>7.65</v>
          </cell>
          <cell r="AB38">
            <v>9.08</v>
          </cell>
          <cell r="AC38">
            <v>10.67</v>
          </cell>
          <cell r="AD38">
            <v>10.92</v>
          </cell>
          <cell r="AE38">
            <v>11.7</v>
          </cell>
          <cell r="AF38">
            <v>13.67</v>
          </cell>
          <cell r="AG38">
            <v>15.16</v>
          </cell>
          <cell r="AH38">
            <v>14.99</v>
          </cell>
          <cell r="AI38">
            <v>16.809999999999999</v>
          </cell>
          <cell r="AJ38">
            <v>21.07</v>
          </cell>
          <cell r="AK38">
            <v>19.489999999999998</v>
          </cell>
          <cell r="AL38">
            <v>20.75</v>
          </cell>
          <cell r="AM38">
            <v>21.58</v>
          </cell>
          <cell r="AN38">
            <v>24.4</v>
          </cell>
          <cell r="AO38">
            <v>24.97</v>
          </cell>
          <cell r="AP38">
            <v>24.4</v>
          </cell>
          <cell r="AQ38">
            <v>24.2</v>
          </cell>
          <cell r="AR38">
            <v>24.9</v>
          </cell>
          <cell r="AS38">
            <v>26.3</v>
          </cell>
          <cell r="AT38">
            <v>26.6</v>
          </cell>
          <cell r="AU38">
            <v>25.2</v>
          </cell>
          <cell r="AV38">
            <v>26.1</v>
          </cell>
          <cell r="AW38">
            <v>26.9</v>
          </cell>
          <cell r="AX38">
            <v>27.8</v>
          </cell>
          <cell r="AY38">
            <v>29.5</v>
          </cell>
          <cell r="AZ38">
            <v>29.7</v>
          </cell>
          <cell r="BA38">
            <v>30.1</v>
          </cell>
          <cell r="BB38">
            <v>31.3</v>
          </cell>
          <cell r="BC38">
            <v>33.200000000000003</v>
          </cell>
          <cell r="BD38">
            <v>34.299999999999997</v>
          </cell>
          <cell r="BE38">
            <v>35.799999999999997</v>
          </cell>
          <cell r="BF38">
            <v>39.1</v>
          </cell>
          <cell r="BG38">
            <v>40.1</v>
          </cell>
          <cell r="BH38">
            <v>40.799999999999997</v>
          </cell>
        </row>
        <row r="39">
          <cell r="X39">
            <v>4.29</v>
          </cell>
          <cell r="Y39">
            <v>4.78</v>
          </cell>
          <cell r="Z39">
            <v>5.87</v>
          </cell>
          <cell r="AA39">
            <v>6.73</v>
          </cell>
          <cell r="AB39">
            <v>8.1999999999999993</v>
          </cell>
          <cell r="AC39">
            <v>10.24</v>
          </cell>
          <cell r="AD39">
            <v>10.36</v>
          </cell>
          <cell r="AE39">
            <v>11.47</v>
          </cell>
          <cell r="AF39">
            <v>13.72</v>
          </cell>
          <cell r="AG39">
            <v>15.21</v>
          </cell>
          <cell r="AH39">
            <v>14.75</v>
          </cell>
          <cell r="AI39">
            <v>16.89</v>
          </cell>
          <cell r="AJ39">
            <v>22.53</v>
          </cell>
          <cell r="AK39">
            <v>19.07</v>
          </cell>
          <cell r="AL39">
            <v>19.29</v>
          </cell>
          <cell r="AM39">
            <v>20.89</v>
          </cell>
          <cell r="AN39">
            <v>23.72</v>
          </cell>
          <cell r="AO39">
            <v>23.21</v>
          </cell>
          <cell r="AP39">
            <v>22.6</v>
          </cell>
          <cell r="AQ39">
            <v>22.3</v>
          </cell>
          <cell r="AR39">
            <v>23.2</v>
          </cell>
          <cell r="AS39">
            <v>24.6</v>
          </cell>
          <cell r="AT39">
            <v>24.9</v>
          </cell>
          <cell r="AU39">
            <v>23.7</v>
          </cell>
          <cell r="AV39">
            <v>24.7</v>
          </cell>
          <cell r="AW39">
            <v>25.2</v>
          </cell>
          <cell r="AX39">
            <v>26.2</v>
          </cell>
          <cell r="AY39">
            <v>27.9</v>
          </cell>
          <cell r="AZ39">
            <v>27.9</v>
          </cell>
          <cell r="BA39">
            <v>28.2</v>
          </cell>
          <cell r="BB39">
            <v>29.5</v>
          </cell>
          <cell r="BC39">
            <v>31.9</v>
          </cell>
          <cell r="BD39">
            <v>32.700000000000003</v>
          </cell>
          <cell r="BE39">
            <v>34</v>
          </cell>
          <cell r="BF39">
            <v>37.1</v>
          </cell>
          <cell r="BG39">
            <v>38.299999999999997</v>
          </cell>
          <cell r="BH39">
            <v>37.9</v>
          </cell>
        </row>
        <row r="40">
          <cell r="X40">
            <v>7.13</v>
          </cell>
          <cell r="Y40">
            <v>7.75</v>
          </cell>
          <cell r="Z40">
            <v>8.8800000000000008</v>
          </cell>
          <cell r="AA40">
            <v>9.8800000000000008</v>
          </cell>
          <cell r="AB40">
            <v>11.17</v>
          </cell>
          <cell r="AC40">
            <v>11.66</v>
          </cell>
          <cell r="AD40">
            <v>12.16</v>
          </cell>
          <cell r="AE40">
            <v>12.17</v>
          </cell>
          <cell r="AF40">
            <v>13.59</v>
          </cell>
          <cell r="AG40">
            <v>15.06</v>
          </cell>
          <cell r="AH40">
            <v>15.42</v>
          </cell>
          <cell r="AI40">
            <v>16.68</v>
          </cell>
          <cell r="AJ40">
            <v>18.62</v>
          </cell>
          <cell r="AK40">
            <v>20.21</v>
          </cell>
          <cell r="AL40">
            <v>23.33</v>
          </cell>
          <cell r="AM40">
            <v>22.81</v>
          </cell>
          <cell r="AN40">
            <v>25.59</v>
          </cell>
          <cell r="AO40">
            <v>28.04</v>
          </cell>
          <cell r="AP40">
            <v>27.4</v>
          </cell>
          <cell r="AQ40">
            <v>27.2</v>
          </cell>
          <cell r="AR40">
            <v>27.9</v>
          </cell>
          <cell r="AS40">
            <v>29.1</v>
          </cell>
          <cell r="AT40">
            <v>29.3</v>
          </cell>
          <cell r="AU40">
            <v>27.5</v>
          </cell>
          <cell r="AV40">
            <v>28.4</v>
          </cell>
          <cell r="AW40">
            <v>29.5</v>
          </cell>
          <cell r="AX40">
            <v>30.4</v>
          </cell>
          <cell r="AY40">
            <v>32</v>
          </cell>
          <cell r="AZ40">
            <v>32.5</v>
          </cell>
          <cell r="BA40">
            <v>32.799999999999997</v>
          </cell>
          <cell r="BB40">
            <v>33.799999999999997</v>
          </cell>
          <cell r="BC40">
            <v>35</v>
          </cell>
          <cell r="BD40">
            <v>36.6</v>
          </cell>
          <cell r="BE40">
            <v>38.4</v>
          </cell>
          <cell r="BF40">
            <v>42</v>
          </cell>
          <cell r="BG40">
            <v>42.6</v>
          </cell>
          <cell r="BH40">
            <v>44.8</v>
          </cell>
        </row>
      </sheetData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nterprise model"/>
    </sheetNames>
    <sheetDataSet>
      <sheetData sheetId="0">
        <row r="52">
          <cell r="E52">
            <v>1200</v>
          </cell>
          <cell r="F52">
            <v>1400.5190859077447</v>
          </cell>
          <cell r="G52">
            <v>1606.816249840974</v>
          </cell>
          <cell r="H52">
            <v>1845.7481232307298</v>
          </cell>
          <cell r="I52">
            <v>2082.050444412539</v>
          </cell>
          <cell r="K52">
            <v>2546.18199208947</v>
          </cell>
          <cell r="L52">
            <v>2724.9281054742096</v>
          </cell>
          <cell r="M52">
            <v>2829.4377414071914</v>
          </cell>
          <cell r="N52">
            <v>2908.5251707789303</v>
          </cell>
          <cell r="O52">
            <v>2985.9708092393239</v>
          </cell>
          <cell r="P52">
            <v>3061.7531989836862</v>
          </cell>
          <cell r="Q52">
            <v>3135.8535570843719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ASTER"/>
      <sheetName val="ANNA"/>
      <sheetName val="OpCo"/>
      <sheetName val="Mobile Market Data"/>
      <sheetName val="Fixed data"/>
      <sheetName val="Workings"/>
      <sheetName val="VALUATION"/>
      <sheetName val="Singapore - New LISBON"/>
      <sheetName val="Lisbon"/>
      <sheetName val="Sheet1"/>
    </sheetNames>
    <sheetDataSet>
      <sheetData sheetId="0" refreshError="1">
        <row r="102">
          <cell r="AG102">
            <v>0</v>
          </cell>
          <cell r="AH102">
            <v>0</v>
          </cell>
        </row>
        <row r="103">
          <cell r="AG103">
            <v>0</v>
          </cell>
          <cell r="AH103">
            <v>0</v>
          </cell>
        </row>
        <row r="142"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</row>
        <row r="143"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</row>
        <row r="144"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</row>
        <row r="160"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</row>
        <row r="161">
          <cell r="AF161" t="str">
            <v>Total Pay-TV Revs</v>
          </cell>
          <cell r="AG161">
            <v>262.39999999999998</v>
          </cell>
          <cell r="AH161">
            <v>313.2</v>
          </cell>
          <cell r="AI161">
            <v>342</v>
          </cell>
          <cell r="AJ161">
            <v>398.14</v>
          </cell>
          <cell r="AK161">
            <v>412.34005436787288</v>
          </cell>
          <cell r="AL161">
            <v>441.32505811297347</v>
          </cell>
          <cell r="AM161">
            <v>467.99361565100776</v>
          </cell>
        </row>
        <row r="207">
          <cell r="BY207">
            <v>39937</v>
          </cell>
          <cell r="BZ207">
            <v>1.0096000000000001</v>
          </cell>
        </row>
        <row r="208">
          <cell r="BY208">
            <v>39938</v>
          </cell>
          <cell r="BZ208">
            <v>1.0007999999999999</v>
          </cell>
        </row>
        <row r="209">
          <cell r="BY209">
            <v>39939</v>
          </cell>
          <cell r="BZ209">
            <v>0.98550000000000004</v>
          </cell>
        </row>
        <row r="210">
          <cell r="BY210">
            <v>39940</v>
          </cell>
          <cell r="BZ210">
            <v>1.002</v>
          </cell>
        </row>
        <row r="211">
          <cell r="BY211">
            <v>39941</v>
          </cell>
          <cell r="BZ211">
            <v>1.0123</v>
          </cell>
        </row>
        <row r="212">
          <cell r="BY212">
            <v>39942</v>
          </cell>
          <cell r="BZ212">
            <v>0.99250000000000005</v>
          </cell>
        </row>
        <row r="213">
          <cell r="BY213">
            <v>39943</v>
          </cell>
          <cell r="BZ213">
            <v>0.9839</v>
          </cell>
        </row>
        <row r="214">
          <cell r="BY214">
            <v>39944</v>
          </cell>
          <cell r="BZ214">
            <v>0.98560000000000003</v>
          </cell>
        </row>
        <row r="215">
          <cell r="BY215">
            <v>39945</v>
          </cell>
          <cell r="BZ215">
            <v>0.98099999999999998</v>
          </cell>
        </row>
        <row r="216">
          <cell r="BY216">
            <v>39946</v>
          </cell>
          <cell r="BZ216">
            <v>0.99360000000000004</v>
          </cell>
        </row>
        <row r="217">
          <cell r="BY217">
            <v>39947</v>
          </cell>
          <cell r="BZ217">
            <v>1.0008999999999999</v>
          </cell>
        </row>
        <row r="218">
          <cell r="BY218">
            <v>39948</v>
          </cell>
          <cell r="BZ218">
            <v>0.99380000000000002</v>
          </cell>
        </row>
        <row r="219">
          <cell r="BY219">
            <v>39949</v>
          </cell>
          <cell r="BZ219">
            <v>0.9708</v>
          </cell>
        </row>
        <row r="220">
          <cell r="BY220">
            <v>39950</v>
          </cell>
          <cell r="BZ220">
            <v>0.9577</v>
          </cell>
        </row>
        <row r="227">
          <cell r="BY227">
            <v>39957</v>
          </cell>
          <cell r="BZ227">
            <v>0.98850000000000005</v>
          </cell>
        </row>
        <row r="228">
          <cell r="BY228">
            <v>39958</v>
          </cell>
          <cell r="BZ228">
            <v>0.99239999999999995</v>
          </cell>
        </row>
        <row r="229">
          <cell r="BY229">
            <v>39959</v>
          </cell>
          <cell r="BZ229">
            <v>0.99229999999999996</v>
          </cell>
        </row>
        <row r="230">
          <cell r="BY230">
            <v>39960</v>
          </cell>
          <cell r="BZ230">
            <v>0.98629999999999995</v>
          </cell>
        </row>
        <row r="231">
          <cell r="BY231">
            <v>39961</v>
          </cell>
          <cell r="BZ231">
            <v>0.97919999999999996</v>
          </cell>
        </row>
        <row r="232">
          <cell r="BY232">
            <v>39962</v>
          </cell>
          <cell r="BZ232">
            <v>0.9768</v>
          </cell>
        </row>
        <row r="233">
          <cell r="BY233">
            <v>39963</v>
          </cell>
          <cell r="BZ233">
            <v>0.9829</v>
          </cell>
        </row>
        <row r="234">
          <cell r="BY234">
            <v>39964</v>
          </cell>
          <cell r="BZ234">
            <v>0.98219999999999996</v>
          </cell>
        </row>
        <row r="235">
          <cell r="BY235">
            <v>39965</v>
          </cell>
          <cell r="BZ235">
            <v>0.98909999999999998</v>
          </cell>
        </row>
        <row r="236">
          <cell r="BY236">
            <v>39966</v>
          </cell>
          <cell r="BZ236">
            <v>0.98850000000000005</v>
          </cell>
        </row>
        <row r="237">
          <cell r="BY237">
            <v>39967</v>
          </cell>
          <cell r="BZ237">
            <v>0.996</v>
          </cell>
        </row>
        <row r="238">
          <cell r="BY238">
            <v>39968</v>
          </cell>
          <cell r="BZ238">
            <v>0.99750000000000005</v>
          </cell>
        </row>
        <row r="239">
          <cell r="BY239">
            <v>39969</v>
          </cell>
          <cell r="BZ239">
            <v>0.99460000000000004</v>
          </cell>
        </row>
        <row r="240">
          <cell r="BY240">
            <v>39970</v>
          </cell>
          <cell r="BZ240">
            <v>0.98329999999999995</v>
          </cell>
        </row>
        <row r="241">
          <cell r="BY241">
            <v>39971</v>
          </cell>
          <cell r="BZ241">
            <v>0.99080000000000001</v>
          </cell>
        </row>
        <row r="242">
          <cell r="BY242">
            <v>39972</v>
          </cell>
          <cell r="BZ242">
            <v>0.98309999999999997</v>
          </cell>
        </row>
        <row r="243">
          <cell r="BY243">
            <v>39973</v>
          </cell>
          <cell r="BZ243">
            <v>0.99850000000000005</v>
          </cell>
        </row>
        <row r="244">
          <cell r="BY244">
            <v>39974</v>
          </cell>
          <cell r="BZ244">
            <v>0.996</v>
          </cell>
        </row>
        <row r="245">
          <cell r="BY245">
            <v>39975</v>
          </cell>
          <cell r="BZ245">
            <v>0.98899999999999999</v>
          </cell>
        </row>
        <row r="246">
          <cell r="BY246">
            <v>39976</v>
          </cell>
          <cell r="BZ246">
            <v>0.9849</v>
          </cell>
        </row>
        <row r="247">
          <cell r="BY247">
            <v>39977</v>
          </cell>
          <cell r="BZ247">
            <v>0.98850000000000005</v>
          </cell>
        </row>
        <row r="248">
          <cell r="BY248">
            <v>39978</v>
          </cell>
          <cell r="BZ248">
            <v>0.99129999999999996</v>
          </cell>
        </row>
        <row r="249">
          <cell r="BY249">
            <v>39979</v>
          </cell>
          <cell r="BZ249">
            <v>1.0052000000000001</v>
          </cell>
        </row>
        <row r="250">
          <cell r="BY250">
            <v>39980</v>
          </cell>
          <cell r="BZ250">
            <v>1.0106999999999999</v>
          </cell>
        </row>
        <row r="251">
          <cell r="BY251">
            <v>39981</v>
          </cell>
          <cell r="BZ251">
            <v>1.0142</v>
          </cell>
        </row>
        <row r="252">
          <cell r="BY252">
            <v>39982</v>
          </cell>
          <cell r="BZ252">
            <v>1.0107999999999999</v>
          </cell>
        </row>
        <row r="253">
          <cell r="BY253">
            <v>39983</v>
          </cell>
          <cell r="BZ253">
            <v>1.0241</v>
          </cell>
        </row>
        <row r="254">
          <cell r="BY254">
            <v>39984</v>
          </cell>
          <cell r="BZ254">
            <v>1.0392999999999999</v>
          </cell>
        </row>
        <row r="255">
          <cell r="BY255">
            <v>39985</v>
          </cell>
          <cell r="BZ255">
            <v>1.0521</v>
          </cell>
        </row>
        <row r="256">
          <cell r="BY256">
            <v>39986</v>
          </cell>
          <cell r="BZ256">
            <v>1.0609</v>
          </cell>
        </row>
        <row r="257">
          <cell r="BY257">
            <v>39987</v>
          </cell>
          <cell r="BZ257">
            <v>1.0559000000000001</v>
          </cell>
        </row>
        <row r="258">
          <cell r="BY258">
            <v>39988</v>
          </cell>
          <cell r="BZ258">
            <v>1.0542</v>
          </cell>
        </row>
        <row r="259">
          <cell r="BY259">
            <v>39989</v>
          </cell>
          <cell r="BZ259">
            <v>1.0542</v>
          </cell>
        </row>
        <row r="260">
          <cell r="BY260">
            <v>39990</v>
          </cell>
          <cell r="BZ260">
            <v>1.0397000000000001</v>
          </cell>
        </row>
        <row r="261">
          <cell r="BY261">
            <v>39991</v>
          </cell>
          <cell r="BZ261">
            <v>1.0441</v>
          </cell>
        </row>
        <row r="262">
          <cell r="BY262">
            <v>39992</v>
          </cell>
          <cell r="BZ262">
            <v>1.0481</v>
          </cell>
        </row>
        <row r="263">
          <cell r="BY263">
            <v>39993</v>
          </cell>
          <cell r="BZ263">
            <v>1.0659000000000001</v>
          </cell>
        </row>
        <row r="264">
          <cell r="BY264">
            <v>39994</v>
          </cell>
          <cell r="BZ264">
            <v>1.0746</v>
          </cell>
        </row>
        <row r="265">
          <cell r="BY265">
            <v>39995</v>
          </cell>
          <cell r="BZ265">
            <v>1.0772999999999999</v>
          </cell>
        </row>
        <row r="266">
          <cell r="BY266">
            <v>39996</v>
          </cell>
          <cell r="BZ266">
            <v>1.075</v>
          </cell>
        </row>
        <row r="267">
          <cell r="BY267">
            <v>39997</v>
          </cell>
          <cell r="BZ267">
            <v>1.0735999999999999</v>
          </cell>
        </row>
        <row r="268">
          <cell r="BY268">
            <v>39998</v>
          </cell>
          <cell r="BZ268">
            <v>1.0765</v>
          </cell>
        </row>
        <row r="269">
          <cell r="BY269">
            <v>39999</v>
          </cell>
          <cell r="BZ269">
            <v>1.0926</v>
          </cell>
        </row>
        <row r="270">
          <cell r="BY270">
            <v>40000</v>
          </cell>
          <cell r="BZ270">
            <v>1.0791999999999999</v>
          </cell>
        </row>
        <row r="271">
          <cell r="BY271">
            <v>0</v>
          </cell>
          <cell r="BZ271">
            <v>0</v>
          </cell>
        </row>
        <row r="272">
          <cell r="BY272">
            <v>40001</v>
          </cell>
          <cell r="BZ272">
            <v>1.0871</v>
          </cell>
        </row>
        <row r="273">
          <cell r="BY273">
            <v>0</v>
          </cell>
          <cell r="BZ273">
            <v>0</v>
          </cell>
        </row>
        <row r="274">
          <cell r="BY274">
            <v>0</v>
          </cell>
          <cell r="BZ274">
            <v>0</v>
          </cell>
        </row>
        <row r="275">
          <cell r="BY275">
            <v>40002</v>
          </cell>
          <cell r="BZ275">
            <v>1.0792999999999999</v>
          </cell>
        </row>
        <row r="276">
          <cell r="BY276">
            <v>40003</v>
          </cell>
          <cell r="BZ276">
            <v>1.0831</v>
          </cell>
        </row>
        <row r="277">
          <cell r="BY277">
            <v>40004</v>
          </cell>
          <cell r="BZ277">
            <v>1.0596000000000001</v>
          </cell>
        </row>
        <row r="278">
          <cell r="BY278">
            <v>40005</v>
          </cell>
          <cell r="BZ278">
            <v>1.0631999999999999</v>
          </cell>
        </row>
        <row r="279">
          <cell r="BY279">
            <v>40006</v>
          </cell>
          <cell r="BZ279">
            <v>1.0662</v>
          </cell>
        </row>
        <row r="280">
          <cell r="BY280">
            <v>40007</v>
          </cell>
          <cell r="BZ280">
            <v>1.0652999999999999</v>
          </cell>
        </row>
        <row r="281">
          <cell r="BY281">
            <v>40008</v>
          </cell>
          <cell r="BZ281">
            <v>1.0652999999999999</v>
          </cell>
        </row>
        <row r="282">
          <cell r="BY282">
            <v>40009</v>
          </cell>
          <cell r="BZ282">
            <v>1.0531999999999999</v>
          </cell>
        </row>
        <row r="283">
          <cell r="BY283">
            <v>40010</v>
          </cell>
          <cell r="BZ283">
            <v>1.0646</v>
          </cell>
        </row>
        <row r="284">
          <cell r="BY284">
            <v>40011</v>
          </cell>
          <cell r="BZ284">
            <v>1.0757000000000001</v>
          </cell>
        </row>
        <row r="285">
          <cell r="BY285">
            <v>40012</v>
          </cell>
          <cell r="BZ285">
            <v>1.0767</v>
          </cell>
        </row>
        <row r="286">
          <cell r="BY286">
            <v>40013</v>
          </cell>
          <cell r="BZ286">
            <v>1.0857000000000001</v>
          </cell>
        </row>
        <row r="287">
          <cell r="BY287">
            <v>40014</v>
          </cell>
          <cell r="BZ287">
            <v>1.0925</v>
          </cell>
        </row>
        <row r="288">
          <cell r="BY288">
            <v>40015</v>
          </cell>
          <cell r="BZ288">
            <v>1.0895999999999999</v>
          </cell>
        </row>
        <row r="289">
          <cell r="BY289">
            <v>40016</v>
          </cell>
          <cell r="BZ289">
            <v>1.1083000000000001</v>
          </cell>
        </row>
        <row r="290">
          <cell r="BY290">
            <v>40017</v>
          </cell>
          <cell r="BZ290">
            <v>1.1094999999999999</v>
          </cell>
        </row>
        <row r="291">
          <cell r="BY291">
            <v>40018</v>
          </cell>
          <cell r="BZ291">
            <v>1.1175999999999999</v>
          </cell>
        </row>
        <row r="292">
          <cell r="BY292">
            <v>40019</v>
          </cell>
          <cell r="BZ292">
            <v>1.1101000000000001</v>
          </cell>
        </row>
        <row r="293">
          <cell r="BY293">
            <v>40020</v>
          </cell>
          <cell r="BZ293">
            <v>1.1200000000000001</v>
          </cell>
        </row>
        <row r="294">
          <cell r="BY294">
            <v>40021</v>
          </cell>
          <cell r="BZ294">
            <v>1.1042000000000001</v>
          </cell>
        </row>
        <row r="295">
          <cell r="BY295">
            <v>40022</v>
          </cell>
          <cell r="BZ295">
            <v>1.1117999999999999</v>
          </cell>
        </row>
        <row r="296">
          <cell r="BY296">
            <v>40023</v>
          </cell>
          <cell r="BZ296">
            <v>1.1051</v>
          </cell>
        </row>
        <row r="297">
          <cell r="BY297">
            <v>40024</v>
          </cell>
          <cell r="BZ297">
            <v>1.1215999999999999</v>
          </cell>
        </row>
        <row r="298">
          <cell r="BY298">
            <v>40025</v>
          </cell>
          <cell r="BZ298">
            <v>1.1272</v>
          </cell>
        </row>
        <row r="299">
          <cell r="BY299">
            <v>40026</v>
          </cell>
          <cell r="BZ299">
            <v>1.1294</v>
          </cell>
        </row>
        <row r="300">
          <cell r="BY300">
            <v>40027</v>
          </cell>
          <cell r="BZ300">
            <v>1.1259000000000001</v>
          </cell>
        </row>
        <row r="301">
          <cell r="BY301">
            <v>40028</v>
          </cell>
          <cell r="BZ301">
            <v>1.1289</v>
          </cell>
        </row>
        <row r="302">
          <cell r="BY302">
            <v>40029</v>
          </cell>
          <cell r="BZ302">
            <v>1.1313</v>
          </cell>
        </row>
        <row r="303">
          <cell r="BY303">
            <v>40030</v>
          </cell>
          <cell r="BZ303">
            <v>1.1368</v>
          </cell>
        </row>
        <row r="304">
          <cell r="BY304">
            <v>40031</v>
          </cell>
          <cell r="BZ304">
            <v>1.1320000000000001</v>
          </cell>
        </row>
        <row r="305">
          <cell r="BY305">
            <v>40032</v>
          </cell>
          <cell r="BZ305">
            <v>1.1461000000000001</v>
          </cell>
        </row>
        <row r="306">
          <cell r="BY306">
            <v>40033</v>
          </cell>
          <cell r="BZ306">
            <v>1.1602000000000001</v>
          </cell>
        </row>
        <row r="307">
          <cell r="BY307">
            <v>40034</v>
          </cell>
          <cell r="BZ307">
            <v>1.1657999999999999</v>
          </cell>
        </row>
        <row r="308">
          <cell r="BY308">
            <v>40035</v>
          </cell>
          <cell r="BZ308">
            <v>1.1861999999999999</v>
          </cell>
        </row>
        <row r="309">
          <cell r="BY309">
            <v>40036</v>
          </cell>
          <cell r="BZ309">
            <v>1.1567000000000001</v>
          </cell>
        </row>
        <row r="310">
          <cell r="BY310">
            <v>0</v>
          </cell>
          <cell r="BZ310">
            <v>0</v>
          </cell>
        </row>
        <row r="311">
          <cell r="BY311">
            <v>0</v>
          </cell>
          <cell r="BZ311">
            <v>0</v>
          </cell>
        </row>
        <row r="312">
          <cell r="BY312">
            <v>40037</v>
          </cell>
          <cell r="BZ312">
            <v>1.1618999999999999</v>
          </cell>
        </row>
        <row r="313">
          <cell r="BY313">
            <v>40038</v>
          </cell>
          <cell r="BZ313">
            <v>1.1539999999999999</v>
          </cell>
        </row>
        <row r="314">
          <cell r="BY314">
            <v>40039</v>
          </cell>
          <cell r="BZ314">
            <v>1.1718</v>
          </cell>
        </row>
        <row r="315">
          <cell r="BY315">
            <v>40040</v>
          </cell>
          <cell r="BZ315">
            <v>1.1732</v>
          </cell>
        </row>
        <row r="316">
          <cell r="BY316">
            <v>40041</v>
          </cell>
          <cell r="BZ316">
            <v>1.1802999999999999</v>
          </cell>
        </row>
        <row r="317">
          <cell r="BY317">
            <v>40042</v>
          </cell>
          <cell r="BZ317">
            <v>1.1713</v>
          </cell>
        </row>
        <row r="318">
          <cell r="BY318">
            <v>40043</v>
          </cell>
          <cell r="BZ318">
            <v>1.1572</v>
          </cell>
        </row>
        <row r="319">
          <cell r="BY319">
            <v>40044</v>
          </cell>
          <cell r="BZ319">
            <v>1.1565000000000001</v>
          </cell>
        </row>
        <row r="320">
          <cell r="BY320">
            <v>40045</v>
          </cell>
          <cell r="BZ320">
            <v>1.1549</v>
          </cell>
        </row>
        <row r="321">
          <cell r="BY321">
            <v>40046</v>
          </cell>
          <cell r="BZ321">
            <v>1.1696</v>
          </cell>
        </row>
        <row r="322">
          <cell r="BY322">
            <v>0</v>
          </cell>
          <cell r="BZ322">
            <v>0</v>
          </cell>
        </row>
        <row r="323">
          <cell r="BY323">
            <v>40048</v>
          </cell>
          <cell r="BZ323">
            <v>1.1400999999999999</v>
          </cell>
        </row>
        <row r="324">
          <cell r="BY324">
            <v>40049</v>
          </cell>
          <cell r="BZ324">
            <v>1.1573</v>
          </cell>
        </row>
        <row r="325">
          <cell r="BY325">
            <v>40050</v>
          </cell>
          <cell r="BZ325">
            <v>1.1648000000000001</v>
          </cell>
        </row>
        <row r="326">
          <cell r="BY326">
            <v>40051</v>
          </cell>
          <cell r="BZ326">
            <v>1.1718999999999999</v>
          </cell>
        </row>
        <row r="327">
          <cell r="BY327">
            <v>40052</v>
          </cell>
          <cell r="BZ327">
            <v>1.1644000000000001</v>
          </cell>
        </row>
        <row r="328">
          <cell r="BY328">
            <v>40053</v>
          </cell>
          <cell r="BZ328">
            <v>1.1749000000000001</v>
          </cell>
        </row>
        <row r="329">
          <cell r="BY329">
            <v>40054</v>
          </cell>
          <cell r="BZ329">
            <v>1.1648000000000001</v>
          </cell>
        </row>
        <row r="330">
          <cell r="BY330">
            <v>40055</v>
          </cell>
          <cell r="BZ330">
            <v>1.1634</v>
          </cell>
        </row>
        <row r="331">
          <cell r="BY331">
            <v>40056</v>
          </cell>
          <cell r="BZ331">
            <v>1.1566000000000001</v>
          </cell>
        </row>
        <row r="332">
          <cell r="BY332">
            <v>40057</v>
          </cell>
          <cell r="BZ332">
            <v>1.1562000000000001</v>
          </cell>
        </row>
        <row r="333">
          <cell r="BY333">
            <v>40058</v>
          </cell>
          <cell r="BZ333">
            <v>1.1595</v>
          </cell>
        </row>
        <row r="334">
          <cell r="BY334">
            <v>40059</v>
          </cell>
          <cell r="BZ334">
            <v>1.1506000000000001</v>
          </cell>
        </row>
        <row r="335">
          <cell r="BY335">
            <v>40060</v>
          </cell>
          <cell r="BZ335">
            <v>1.1383000000000001</v>
          </cell>
        </row>
        <row r="336">
          <cell r="BY336">
            <v>40061</v>
          </cell>
          <cell r="BZ336">
            <v>1.1406000000000001</v>
          </cell>
        </row>
        <row r="337">
          <cell r="BY337">
            <v>40062</v>
          </cell>
          <cell r="BZ337">
            <v>1.1341000000000001</v>
          </cell>
        </row>
        <row r="338">
          <cell r="BY338">
            <v>40063</v>
          </cell>
          <cell r="BZ338">
            <v>1.1459999999999999</v>
          </cell>
        </row>
        <row r="339">
          <cell r="BY339">
            <v>40064</v>
          </cell>
          <cell r="BZ339">
            <v>1.1556</v>
          </cell>
        </row>
        <row r="340">
          <cell r="BY340">
            <v>40065</v>
          </cell>
          <cell r="BZ340">
            <v>1.1600999999999999</v>
          </cell>
        </row>
        <row r="341">
          <cell r="BY341">
            <v>40066</v>
          </cell>
          <cell r="BZ341">
            <v>1.1644000000000001</v>
          </cell>
        </row>
        <row r="342">
          <cell r="BY342">
            <v>40067</v>
          </cell>
          <cell r="BZ342">
            <v>1.1665000000000001</v>
          </cell>
        </row>
        <row r="343">
          <cell r="BY343">
            <v>40068</v>
          </cell>
          <cell r="BZ343">
            <v>1.1732</v>
          </cell>
        </row>
        <row r="344">
          <cell r="BY344">
            <v>40069</v>
          </cell>
          <cell r="BZ344">
            <v>1.1774</v>
          </cell>
        </row>
        <row r="345">
          <cell r="BY345">
            <v>40070</v>
          </cell>
          <cell r="BZ345">
            <v>1.1788000000000001</v>
          </cell>
        </row>
        <row r="346">
          <cell r="BY346">
            <v>40071</v>
          </cell>
          <cell r="BZ346">
            <v>1.1774</v>
          </cell>
        </row>
        <row r="347">
          <cell r="BY347">
            <v>40072</v>
          </cell>
          <cell r="BZ347">
            <v>1.1829000000000001</v>
          </cell>
        </row>
        <row r="348">
          <cell r="BY348">
            <v>40073</v>
          </cell>
          <cell r="BZ348">
            <v>1.1955</v>
          </cell>
        </row>
        <row r="349">
          <cell r="BY349">
            <v>40074</v>
          </cell>
          <cell r="BZ349">
            <v>1.1880999999999999</v>
          </cell>
        </row>
        <row r="350">
          <cell r="BY350">
            <v>40075</v>
          </cell>
          <cell r="BZ350">
            <v>1.1854</v>
          </cell>
        </row>
        <row r="351">
          <cell r="BY351">
            <v>40076</v>
          </cell>
          <cell r="BZ351">
            <v>1.1926000000000001</v>
          </cell>
        </row>
        <row r="352">
          <cell r="BY352">
            <v>40077</v>
          </cell>
          <cell r="BZ352">
            <v>1.2078</v>
          </cell>
        </row>
        <row r="353">
          <cell r="BY353">
            <v>40078</v>
          </cell>
          <cell r="BZ353">
            <v>1.2062999999999999</v>
          </cell>
        </row>
        <row r="354">
          <cell r="BY354">
            <v>40079</v>
          </cell>
          <cell r="BZ354">
            <v>1.2094</v>
          </cell>
        </row>
        <row r="355">
          <cell r="BY355">
            <v>40080</v>
          </cell>
          <cell r="BZ355">
            <v>1.2040999999999999</v>
          </cell>
        </row>
        <row r="356">
          <cell r="BY356">
            <v>40081</v>
          </cell>
          <cell r="BZ356">
            <v>1.2081999999999999</v>
          </cell>
        </row>
        <row r="357">
          <cell r="BY357">
            <v>40082</v>
          </cell>
          <cell r="BZ357">
            <v>1.2064999999999999</v>
          </cell>
        </row>
        <row r="358">
          <cell r="BY358">
            <v>40083</v>
          </cell>
          <cell r="BZ358">
            <v>1.1929000000000001</v>
          </cell>
        </row>
        <row r="359">
          <cell r="BY359">
            <v>40084</v>
          </cell>
          <cell r="BZ359">
            <v>1.2076</v>
          </cell>
        </row>
        <row r="360">
          <cell r="BY360">
            <v>40085</v>
          </cell>
          <cell r="BZ360">
            <v>1.2163999999999999</v>
          </cell>
        </row>
        <row r="361">
          <cell r="BY361">
            <v>40086</v>
          </cell>
          <cell r="BZ361">
            <v>1.1888000000000001</v>
          </cell>
        </row>
        <row r="362">
          <cell r="BY362">
            <v>40087</v>
          </cell>
          <cell r="BZ362">
            <v>1.1952</v>
          </cell>
        </row>
        <row r="363">
          <cell r="BY363">
            <v>40088</v>
          </cell>
          <cell r="BZ363">
            <v>1.1963999999999999</v>
          </cell>
        </row>
        <row r="364">
          <cell r="BY364">
            <v>40089</v>
          </cell>
          <cell r="BZ364">
            <v>1.2020999999999999</v>
          </cell>
        </row>
        <row r="365">
          <cell r="BY365">
            <v>40090</v>
          </cell>
          <cell r="BZ365">
            <v>1.1913</v>
          </cell>
        </row>
        <row r="366">
          <cell r="BY366">
            <v>40091</v>
          </cell>
          <cell r="BZ366">
            <v>1.2070000000000001</v>
          </cell>
        </row>
        <row r="367">
          <cell r="BY367">
            <v>40092</v>
          </cell>
          <cell r="BZ367">
            <v>1.2046999999999999</v>
          </cell>
        </row>
        <row r="368">
          <cell r="BY368">
            <v>40093</v>
          </cell>
          <cell r="BZ368">
            <v>1.2058</v>
          </cell>
        </row>
        <row r="369">
          <cell r="BY369">
            <v>40094</v>
          </cell>
          <cell r="BZ369">
            <v>1.1969000000000001</v>
          </cell>
        </row>
        <row r="370">
          <cell r="BY370">
            <v>40095</v>
          </cell>
          <cell r="BZ370">
            <v>1.2111000000000001</v>
          </cell>
        </row>
        <row r="371">
          <cell r="BY371">
            <v>40096</v>
          </cell>
          <cell r="BZ371">
            <v>1.2109000000000001</v>
          </cell>
        </row>
        <row r="372">
          <cell r="BY372">
            <v>40097</v>
          </cell>
          <cell r="BZ372">
            <v>1.2121999999999999</v>
          </cell>
        </row>
        <row r="373">
          <cell r="BY373">
            <v>40098</v>
          </cell>
          <cell r="BZ373">
            <v>1.2020999999999999</v>
          </cell>
        </row>
        <row r="374">
          <cell r="BY374">
            <v>40099</v>
          </cell>
          <cell r="BZ374">
            <v>1.2046999999999999</v>
          </cell>
        </row>
        <row r="375">
          <cell r="BY375">
            <v>40100</v>
          </cell>
          <cell r="BZ375">
            <v>1.2113</v>
          </cell>
        </row>
        <row r="376">
          <cell r="BY376">
            <v>40101</v>
          </cell>
          <cell r="BZ376">
            <v>1.2199</v>
          </cell>
        </row>
        <row r="377">
          <cell r="BY377">
            <v>40102</v>
          </cell>
          <cell r="BZ377">
            <v>1.2275</v>
          </cell>
        </row>
        <row r="378">
          <cell r="BY378">
            <v>40103</v>
          </cell>
          <cell r="BZ378">
            <v>1.2262</v>
          </cell>
        </row>
        <row r="379">
          <cell r="BY379">
            <v>40104</v>
          </cell>
          <cell r="BZ379">
            <v>1.2254</v>
          </cell>
        </row>
        <row r="380">
          <cell r="BY380">
            <v>40105</v>
          </cell>
          <cell r="BZ380">
            <v>1.23</v>
          </cell>
        </row>
        <row r="381">
          <cell r="BY381">
            <v>40106</v>
          </cell>
          <cell r="BZ381">
            <v>1.2217</v>
          </cell>
        </row>
        <row r="382">
          <cell r="BY382">
            <v>40107</v>
          </cell>
          <cell r="BZ382">
            <v>1.2262</v>
          </cell>
        </row>
        <row r="383">
          <cell r="BY383">
            <v>40108</v>
          </cell>
          <cell r="BZ383">
            <v>1.2277</v>
          </cell>
        </row>
        <row r="384">
          <cell r="BY384">
            <v>40109</v>
          </cell>
          <cell r="BZ384">
            <v>1.2373000000000001</v>
          </cell>
        </row>
        <row r="385">
          <cell r="BY385">
            <v>40110</v>
          </cell>
          <cell r="BZ385">
            <v>1.2311000000000001</v>
          </cell>
        </row>
        <row r="386">
          <cell r="BY386">
            <v>40111</v>
          </cell>
          <cell r="BZ386">
            <v>1.2251000000000001</v>
          </cell>
        </row>
        <row r="387">
          <cell r="BY387">
            <v>40112</v>
          </cell>
          <cell r="BZ387">
            <v>1.2288999999999999</v>
          </cell>
        </row>
        <row r="388">
          <cell r="BY388">
            <v>40113</v>
          </cell>
          <cell r="BZ388">
            <v>1.2337</v>
          </cell>
        </row>
        <row r="389">
          <cell r="BY389">
            <v>40114</v>
          </cell>
          <cell r="BZ389">
            <v>1.2355</v>
          </cell>
        </row>
        <row r="390">
          <cell r="BY390">
            <v>40115</v>
          </cell>
          <cell r="BZ390">
            <v>1.2319</v>
          </cell>
        </row>
        <row r="391">
          <cell r="BY391">
            <v>40116</v>
          </cell>
          <cell r="BZ391">
            <v>1.2242</v>
          </cell>
        </row>
        <row r="392">
          <cell r="BY392">
            <v>40117</v>
          </cell>
          <cell r="BZ392">
            <v>1.242</v>
          </cell>
        </row>
        <row r="393">
          <cell r="BY393">
            <v>40118</v>
          </cell>
          <cell r="BZ393">
            <v>1.2444999999999999</v>
          </cell>
        </row>
        <row r="394">
          <cell r="BY394">
            <v>40119</v>
          </cell>
          <cell r="BZ394">
            <v>1.2404999999999999</v>
          </cell>
        </row>
        <row r="395">
          <cell r="BY395">
            <v>40120</v>
          </cell>
          <cell r="BZ395">
            <v>1.2304999999999999</v>
          </cell>
        </row>
        <row r="396">
          <cell r="BY396">
            <v>40121</v>
          </cell>
          <cell r="BZ396">
            <v>1.2418</v>
          </cell>
        </row>
        <row r="397">
          <cell r="BY397">
            <v>40122</v>
          </cell>
          <cell r="BZ397">
            <v>1.2484</v>
          </cell>
        </row>
        <row r="398">
          <cell r="BY398">
            <v>40123</v>
          </cell>
          <cell r="BZ398">
            <v>1.2570999999999999</v>
          </cell>
        </row>
        <row r="399">
          <cell r="BY399">
            <v>40124</v>
          </cell>
          <cell r="BZ399">
            <v>1.2605</v>
          </cell>
        </row>
        <row r="400">
          <cell r="BY400">
            <v>40125</v>
          </cell>
          <cell r="BZ400">
            <v>1.2647999999999999</v>
          </cell>
        </row>
        <row r="401">
          <cell r="BY401">
            <v>40126</v>
          </cell>
          <cell r="BZ401">
            <v>1.2674000000000001</v>
          </cell>
        </row>
        <row r="402">
          <cell r="BY402">
            <v>40127</v>
          </cell>
          <cell r="BZ402">
            <v>1.272</v>
          </cell>
        </row>
        <row r="403">
          <cell r="BY403">
            <v>40128</v>
          </cell>
          <cell r="BZ403">
            <v>1.2785</v>
          </cell>
        </row>
        <row r="404">
          <cell r="BY404">
            <v>40129</v>
          </cell>
          <cell r="BZ404">
            <v>1.2816000000000001</v>
          </cell>
        </row>
        <row r="405">
          <cell r="BY405">
            <v>40130</v>
          </cell>
          <cell r="BZ405">
            <v>1.28</v>
          </cell>
        </row>
        <row r="406">
          <cell r="BY406">
            <v>40131</v>
          </cell>
          <cell r="BZ406">
            <v>1.2898000000000001</v>
          </cell>
        </row>
        <row r="407">
          <cell r="BY407">
            <v>40132</v>
          </cell>
          <cell r="BZ407">
            <v>1.2863</v>
          </cell>
        </row>
        <row r="408">
          <cell r="BY408">
            <v>40133</v>
          </cell>
          <cell r="BZ408">
            <v>1.2903</v>
          </cell>
        </row>
        <row r="409">
          <cell r="BY409">
            <v>40134</v>
          </cell>
          <cell r="BZ409">
            <v>1.2930999999999999</v>
          </cell>
        </row>
        <row r="410">
          <cell r="BY410">
            <v>40135</v>
          </cell>
          <cell r="BZ410">
            <v>1.288</v>
          </cell>
        </row>
        <row r="411">
          <cell r="BY411">
            <v>40136</v>
          </cell>
          <cell r="BZ411">
            <v>1.2846</v>
          </cell>
        </row>
        <row r="412">
          <cell r="BY412">
            <v>40137</v>
          </cell>
          <cell r="BZ412">
            <v>1.2734000000000001</v>
          </cell>
        </row>
        <row r="413">
          <cell r="BY413">
            <v>40138</v>
          </cell>
          <cell r="BZ413">
            <v>1.2610000000000001</v>
          </cell>
        </row>
        <row r="414">
          <cell r="BY414">
            <v>40139</v>
          </cell>
          <cell r="BZ414">
            <v>1.2793999999999999</v>
          </cell>
        </row>
        <row r="415">
          <cell r="BY415">
            <v>40140</v>
          </cell>
          <cell r="BZ415">
            <v>1.2648999999999999</v>
          </cell>
        </row>
        <row r="416">
          <cell r="BY416">
            <v>40141</v>
          </cell>
          <cell r="BZ416">
            <v>1.2604</v>
          </cell>
        </row>
        <row r="417">
          <cell r="BY417">
            <v>40142</v>
          </cell>
          <cell r="BZ417">
            <v>1.2635000000000001</v>
          </cell>
        </row>
        <row r="418">
          <cell r="BY418">
            <v>40143</v>
          </cell>
          <cell r="BZ418">
            <v>1.2654000000000001</v>
          </cell>
        </row>
        <row r="419">
          <cell r="BY419">
            <v>40144</v>
          </cell>
          <cell r="BZ419">
            <v>1.2727999999999999</v>
          </cell>
        </row>
        <row r="420">
          <cell r="BY420">
            <v>40145</v>
          </cell>
          <cell r="BZ420">
            <v>1.2858000000000001</v>
          </cell>
        </row>
        <row r="421">
          <cell r="BY421">
            <v>40146</v>
          </cell>
          <cell r="BZ421">
            <v>1.2879</v>
          </cell>
        </row>
        <row r="422">
          <cell r="BY422">
            <v>40147</v>
          </cell>
          <cell r="BZ422">
            <v>1.2907999999999999</v>
          </cell>
        </row>
        <row r="423">
          <cell r="BY423">
            <v>40148</v>
          </cell>
          <cell r="BZ423">
            <v>1.2950999999999999</v>
          </cell>
        </row>
        <row r="424">
          <cell r="BY424">
            <v>40149</v>
          </cell>
          <cell r="BZ424">
            <v>1.2856000000000001</v>
          </cell>
        </row>
        <row r="425">
          <cell r="BY425">
            <v>40150</v>
          </cell>
          <cell r="BZ425">
            <v>1.2946</v>
          </cell>
        </row>
        <row r="426">
          <cell r="BY426">
            <v>40151</v>
          </cell>
          <cell r="BZ426">
            <v>1.2934000000000001</v>
          </cell>
        </row>
        <row r="427">
          <cell r="BY427">
            <v>40152</v>
          </cell>
          <cell r="BZ427">
            <v>1.2869999999999999</v>
          </cell>
        </row>
        <row r="428">
          <cell r="BY428">
            <v>40153</v>
          </cell>
          <cell r="BZ428">
            <v>1.2821</v>
          </cell>
        </row>
        <row r="429">
          <cell r="BY429">
            <v>40154</v>
          </cell>
          <cell r="BZ429">
            <v>1.2776000000000001</v>
          </cell>
        </row>
        <row r="430">
          <cell r="BY430">
            <v>40155</v>
          </cell>
          <cell r="BZ430">
            <v>1.2748999999999999</v>
          </cell>
        </row>
        <row r="431">
          <cell r="BY431">
            <v>40156</v>
          </cell>
          <cell r="BZ431">
            <v>1.2783</v>
          </cell>
        </row>
        <row r="432">
          <cell r="BY432">
            <v>40157</v>
          </cell>
          <cell r="BZ432">
            <v>1.2808999999999999</v>
          </cell>
        </row>
        <row r="433">
          <cell r="BY433">
            <v>40158</v>
          </cell>
          <cell r="BZ433">
            <v>1.2734000000000001</v>
          </cell>
        </row>
        <row r="434">
          <cell r="BY434">
            <v>40159</v>
          </cell>
          <cell r="BZ434">
            <v>1.2544</v>
          </cell>
        </row>
        <row r="435">
          <cell r="BY435">
            <v>40160</v>
          </cell>
          <cell r="BZ435">
            <v>1.2690000000000001</v>
          </cell>
        </row>
        <row r="436">
          <cell r="BY436">
            <v>40161</v>
          </cell>
          <cell r="BZ436">
            <v>1.2645</v>
          </cell>
        </row>
        <row r="437">
          <cell r="BY437">
            <v>40162</v>
          </cell>
          <cell r="BZ437">
            <v>1.2793999999999999</v>
          </cell>
        </row>
        <row r="438">
          <cell r="BY438">
            <v>40163</v>
          </cell>
          <cell r="BZ438">
            <v>1.2827</v>
          </cell>
        </row>
        <row r="439">
          <cell r="BY439">
            <v>40164</v>
          </cell>
          <cell r="BZ439">
            <v>1.2772999999999999</v>
          </cell>
        </row>
        <row r="440">
          <cell r="BY440">
            <v>40165</v>
          </cell>
          <cell r="BZ440">
            <v>1.2716000000000001</v>
          </cell>
        </row>
        <row r="441">
          <cell r="BY441">
            <v>40166</v>
          </cell>
          <cell r="BZ441">
            <v>1.2688999999999999</v>
          </cell>
        </row>
        <row r="442">
          <cell r="BY442">
            <v>40167</v>
          </cell>
          <cell r="BZ442">
            <v>1.2629999999999999</v>
          </cell>
        </row>
        <row r="443">
          <cell r="BY443">
            <v>40168</v>
          </cell>
          <cell r="BZ443">
            <v>1.2706</v>
          </cell>
        </row>
        <row r="444">
          <cell r="BY444">
            <v>40169</v>
          </cell>
          <cell r="BZ444">
            <v>1.2722</v>
          </cell>
        </row>
        <row r="445">
          <cell r="BY445">
            <v>40170</v>
          </cell>
          <cell r="BZ445">
            <v>1.2667999999999999</v>
          </cell>
        </row>
        <row r="446">
          <cell r="BY446">
            <v>40171</v>
          </cell>
          <cell r="BZ446">
            <v>1.2716000000000001</v>
          </cell>
        </row>
        <row r="447">
          <cell r="BY447">
            <v>40172</v>
          </cell>
          <cell r="BZ447">
            <v>1.2566999999999999</v>
          </cell>
        </row>
        <row r="448">
          <cell r="BY448">
            <v>40173</v>
          </cell>
          <cell r="BZ448">
            <v>1.2474000000000001</v>
          </cell>
        </row>
        <row r="449">
          <cell r="BY449">
            <v>40174</v>
          </cell>
          <cell r="BZ449">
            <v>1.2454000000000001</v>
          </cell>
        </row>
        <row r="450">
          <cell r="BY450">
            <v>40175</v>
          </cell>
          <cell r="BZ450">
            <v>1.2447999999999999</v>
          </cell>
        </row>
        <row r="451">
          <cell r="BY451">
            <v>40176</v>
          </cell>
          <cell r="BZ451">
            <v>1.2359</v>
          </cell>
        </row>
        <row r="452">
          <cell r="BY452">
            <v>40177</v>
          </cell>
          <cell r="BZ452">
            <v>1.2366999999999999</v>
          </cell>
        </row>
        <row r="453">
          <cell r="BY453">
            <v>40178</v>
          </cell>
          <cell r="BZ453">
            <v>1.2408999999999999</v>
          </cell>
        </row>
        <row r="454">
          <cell r="BY454">
            <v>40179</v>
          </cell>
          <cell r="BZ454">
            <v>1.2498</v>
          </cell>
        </row>
        <row r="455">
          <cell r="BY455">
            <v>40180</v>
          </cell>
          <cell r="BZ455">
            <v>1.2523</v>
          </cell>
        </row>
        <row r="456">
          <cell r="BY456">
            <v>40181</v>
          </cell>
          <cell r="BZ456">
            <v>1.2589000000000001</v>
          </cell>
        </row>
        <row r="457">
          <cell r="BY457">
            <v>40182</v>
          </cell>
          <cell r="BZ457">
            <v>1.258</v>
          </cell>
        </row>
        <row r="458">
          <cell r="BY458">
            <v>40183</v>
          </cell>
          <cell r="BZ458">
            <v>1.2745</v>
          </cell>
        </row>
        <row r="459">
          <cell r="BY459">
            <v>40184</v>
          </cell>
          <cell r="BZ459">
            <v>1.2763</v>
          </cell>
        </row>
        <row r="460">
          <cell r="BY460">
            <v>40185</v>
          </cell>
          <cell r="BZ460">
            <v>1.2863</v>
          </cell>
        </row>
        <row r="461">
          <cell r="BY461">
            <v>40186</v>
          </cell>
          <cell r="BZ461">
            <v>1.2801</v>
          </cell>
        </row>
        <row r="462">
          <cell r="BY462">
            <v>40189</v>
          </cell>
          <cell r="BZ462">
            <v>1.2926</v>
          </cell>
        </row>
        <row r="463">
          <cell r="BY463">
            <v>40190</v>
          </cell>
          <cell r="BZ463">
            <v>1.2889999999999999</v>
          </cell>
        </row>
        <row r="464">
          <cell r="BY464">
            <v>40191</v>
          </cell>
          <cell r="BZ464">
            <v>1.2833000000000001</v>
          </cell>
        </row>
        <row r="465">
          <cell r="BY465">
            <v>40192</v>
          </cell>
          <cell r="BZ465">
            <v>1.2887</v>
          </cell>
        </row>
        <row r="466">
          <cell r="BY466">
            <v>40193</v>
          </cell>
          <cell r="BZ466">
            <v>1.2882</v>
          </cell>
        </row>
        <row r="467">
          <cell r="BY467">
            <v>40196</v>
          </cell>
          <cell r="BZ467">
            <v>1.2817000000000001</v>
          </cell>
        </row>
        <row r="468">
          <cell r="BY468">
            <v>40197</v>
          </cell>
          <cell r="BZ468">
            <v>1.282</v>
          </cell>
        </row>
        <row r="469">
          <cell r="BY469">
            <v>40198</v>
          </cell>
          <cell r="BZ469">
            <v>1.2784</v>
          </cell>
        </row>
        <row r="470">
          <cell r="BY470">
            <v>40199</v>
          </cell>
          <cell r="BZ470">
            <v>1.2782</v>
          </cell>
        </row>
        <row r="471">
          <cell r="BY471">
            <v>40200</v>
          </cell>
          <cell r="BZ471">
            <v>1.2679</v>
          </cell>
        </row>
        <row r="472">
          <cell r="BY472">
            <v>40203</v>
          </cell>
          <cell r="BZ472">
            <v>1.2713000000000001</v>
          </cell>
        </row>
        <row r="473">
          <cell r="BY473">
            <v>40205</v>
          </cell>
          <cell r="BZ473">
            <v>1.2657</v>
          </cell>
        </row>
        <row r="474">
          <cell r="BY474">
            <v>40206</v>
          </cell>
          <cell r="BZ474">
            <v>1.2641</v>
          </cell>
        </row>
        <row r="475">
          <cell r="BY475">
            <v>40207</v>
          </cell>
          <cell r="BZ475">
            <v>1.2530000000000001</v>
          </cell>
        </row>
        <row r="476">
          <cell r="BY476">
            <v>40210</v>
          </cell>
          <cell r="BZ476">
            <v>1.2458</v>
          </cell>
        </row>
        <row r="477">
          <cell r="BY477">
            <v>40211</v>
          </cell>
          <cell r="BZ477">
            <v>1.2433000000000001</v>
          </cell>
        </row>
        <row r="478">
          <cell r="BY478">
            <v>40212</v>
          </cell>
          <cell r="BZ478">
            <v>1.2478</v>
          </cell>
        </row>
        <row r="479">
          <cell r="BY479">
            <v>40213</v>
          </cell>
          <cell r="BZ479">
            <v>1.2442</v>
          </cell>
        </row>
        <row r="480">
          <cell r="BY480">
            <v>40214</v>
          </cell>
          <cell r="BZ480">
            <v>1.2321</v>
          </cell>
        </row>
        <row r="481">
          <cell r="BY481">
            <v>40217</v>
          </cell>
          <cell r="BZ481">
            <v>1.2314000000000001</v>
          </cell>
        </row>
        <row r="482">
          <cell r="BY482">
            <v>40218</v>
          </cell>
          <cell r="BZ482">
            <v>1.2331000000000001</v>
          </cell>
        </row>
        <row r="483">
          <cell r="BY483">
            <v>40219</v>
          </cell>
          <cell r="BZ483">
            <v>1.2418</v>
          </cell>
        </row>
        <row r="484">
          <cell r="BY484">
            <v>40220</v>
          </cell>
          <cell r="BZ484">
            <v>1.2543</v>
          </cell>
        </row>
        <row r="485">
          <cell r="BY485">
            <v>40221</v>
          </cell>
          <cell r="BZ485">
            <v>1.2551999999999999</v>
          </cell>
        </row>
        <row r="486">
          <cell r="BY486">
            <v>40224</v>
          </cell>
          <cell r="BZ486">
            <v>1.2528999999999999</v>
          </cell>
        </row>
        <row r="487">
          <cell r="BY487">
            <v>40225</v>
          </cell>
          <cell r="BZ487">
            <v>1.2589999999999999</v>
          </cell>
        </row>
        <row r="488">
          <cell r="BY488">
            <v>40226</v>
          </cell>
          <cell r="BZ488">
            <v>1.2650999999999999</v>
          </cell>
        </row>
        <row r="489">
          <cell r="BY489">
            <v>40227</v>
          </cell>
          <cell r="BZ489">
            <v>1.2621</v>
          </cell>
        </row>
        <row r="490">
          <cell r="BY490">
            <v>40228</v>
          </cell>
          <cell r="BZ490">
            <v>1.2587999999999999</v>
          </cell>
        </row>
        <row r="491">
          <cell r="BY491">
            <v>40231</v>
          </cell>
          <cell r="BZ491">
            <v>1.2687999999999999</v>
          </cell>
        </row>
        <row r="492">
          <cell r="BY492">
            <v>40232</v>
          </cell>
          <cell r="BZ492">
            <v>1.2685</v>
          </cell>
        </row>
        <row r="493">
          <cell r="BY493">
            <v>40233</v>
          </cell>
          <cell r="BZ493">
            <v>1.2589999999999999</v>
          </cell>
        </row>
        <row r="494">
          <cell r="BY494">
            <v>40234</v>
          </cell>
          <cell r="BZ494">
            <v>1.2544999999999999</v>
          </cell>
        </row>
        <row r="495">
          <cell r="BY495">
            <v>40235</v>
          </cell>
          <cell r="BZ495">
            <v>1.2532000000000001</v>
          </cell>
        </row>
        <row r="593">
          <cell r="AF593">
            <v>0</v>
          </cell>
          <cell r="AG593">
            <v>0</v>
          </cell>
          <cell r="AH593">
            <v>0</v>
          </cell>
        </row>
        <row r="594">
          <cell r="AF594">
            <v>0</v>
          </cell>
          <cell r="AG594">
            <v>0</v>
          </cell>
          <cell r="AH594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__FDSCACHE__"/>
      <sheetName val="Cover"/>
      <sheetName val="SumofParts"/>
      <sheetName val="Valuation"/>
      <sheetName val="Master"/>
      <sheetName val="VIP Summary"/>
      <sheetName val="Russia"/>
      <sheetName val="Russian Fixed business"/>
      <sheetName val="GTH valuation"/>
      <sheetName val="Snap - old"/>
      <sheetName val="Pakistan"/>
      <sheetName val="Bangladesh"/>
      <sheetName val="Ukraine"/>
      <sheetName val="Uzbekistan"/>
      <sheetName val="Kazakhstan"/>
      <sheetName val="Kyrgyzstan (Others)"/>
      <sheetName val="Interim"/>
      <sheetName val="Inputs"/>
      <sheetName val="Assumptions"/>
      <sheetName val="Forecast changes"/>
      <sheetName val="SoTP changes"/>
      <sheetName val="Snap charts"/>
      <sheetName val="Initiation charts"/>
      <sheetName val="Lisbon"/>
      <sheetName val="Anna"/>
      <sheetName val="High yield"/>
      <sheetName val="Quarterly"/>
      <sheetName val="FX pull"/>
      <sheetName val="Workings"/>
      <sheetName val="Digital revenue"/>
      <sheetName val="Guidance"/>
      <sheetName val="HQ liquidity"/>
      <sheetName val="Fintech"/>
      <sheetName val="Content"/>
      <sheetName val="Network savings"/>
      <sheetName val="Notes for digital"/>
      <sheetName val="Old vs New"/>
      <sheetName val="USD vs LLC"/>
      <sheetName val="Maturity"/>
      <sheetName val="Debt - Q"/>
      <sheetName val="Debt"/>
      <sheetName val="Inflation"/>
      <sheetName val="ROIC"/>
      <sheetName val="Spectrum"/>
      <sheetName val="Market shares "/>
      <sheetName val="Ukraine market"/>
      <sheetName val="asset disposal"/>
      <sheetName val="Multiplay"/>
      <sheetName val="Comps"/>
      <sheetName val="Exhibits"/>
      <sheetName val="Liquidity analysis"/>
      <sheetName val="EFCF reconciliation"/>
      <sheetName val="Share repurchase"/>
      <sheetName val="Other CIS"/>
      <sheetName val="Algeria latest"/>
      <sheetName val="Prop EBITDA calc"/>
      <sheetName val="FCF yield"/>
      <sheetName val="EBITDA stable FX"/>
      <sheetName val="EFCF moving FX"/>
      <sheetName val="Consensus submission"/>
      <sheetName val="Luxembourg tax losses"/>
      <sheetName val="Lisbon Russia - New"/>
      <sheetName val="ORTE Link"/>
      <sheetName val="WIND link"/>
      <sheetName val="New Quarterly"/>
      <sheetName val="OTH quarts"/>
      <sheetName val="Lisbon Ukraine - New"/>
      <sheetName val="Cash flow"/>
      <sheetName val="Table for snap"/>
      <sheetName val="Wind merger"/>
      <sheetName val="LISBON old"/>
      <sheetName val="Sheet2"/>
      <sheetName val="Quarterly debt calcs"/>
      <sheetName val="Changes to forecast"/>
      <sheetName val="Share ownership"/>
      <sheetName val="Tables"/>
      <sheetName val="Link for CH review"/>
      <sheetName val="Quarterly old"/>
      <sheetName val="OTE and Wind consol detail"/>
      <sheetName val="Spend as % of GDP"/>
      <sheetName val="KPI"/>
      <sheetName val="Debt - old"/>
      <sheetName val="Working"/>
      <sheetName val="Consensus"/>
      <sheetName val="Cambodia"/>
      <sheetName val="Vietnam"/>
      <sheetName val="Armentel"/>
      <sheetName val="Pakistan - old"/>
      <sheetName val="Algeria"/>
      <sheetName val="VIP+OT+Wind implied by mkt"/>
      <sheetName val="VIP Summary RUB"/>
      <sheetName val="valuation RUB"/>
      <sheetName val="Quarterly Forecasts"/>
      <sheetName val="VIP+OT+Wind OLD"/>
    </sheetNames>
    <sheetDataSet>
      <sheetData sheetId="0"/>
      <sheetData sheetId="1"/>
      <sheetData sheetId="2"/>
      <sheetData sheetId="3"/>
      <sheetData sheetId="4">
        <row r="23">
          <cell r="S23">
            <v>386.11699999999996</v>
          </cell>
        </row>
        <row r="30">
          <cell r="S30">
            <v>5824.1672077511594</v>
          </cell>
        </row>
      </sheetData>
      <sheetData sheetId="5">
        <row r="539">
          <cell r="N539"/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__FDSCACHE__"/>
      <sheetName val="Cover"/>
      <sheetName val="Colour code"/>
      <sheetName val="SOP"/>
      <sheetName val="Valuation"/>
      <sheetName val="Master"/>
      <sheetName val="Balance sheet and cash-flow"/>
      <sheetName val="Telkomsel"/>
      <sheetName val="Fixed"/>
      <sheetName val="Inputs"/>
      <sheetName val="Snap"/>
      <sheetName val="Vs Consensus"/>
      <sheetName val="Forecast changes"/>
      <sheetName val="VA"/>
      <sheetName val="Seasonality"/>
      <sheetName val="Anna"/>
      <sheetName val="Lisbon - New"/>
      <sheetName val="Link for Market model"/>
      <sheetName val="Link for Singtel"/>
      <sheetName val="Disclaimer"/>
      <sheetName val="Workings"/>
      <sheetName val="Reported Group Highlights"/>
      <sheetName val="Telkomsel-Indihome"/>
      <sheetName val="Enterprise"/>
      <sheetName val="Charts"/>
      <sheetName val="New vs. old"/>
      <sheetName val="Sheet1"/>
      <sheetName val="Spectrum working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2">
          <cell r="T12">
            <v>146742</v>
          </cell>
          <cell r="U12">
            <v>152589.61320370526</v>
          </cell>
          <cell r="V12">
            <v>159186.62302815466</v>
          </cell>
        </row>
        <row r="62">
          <cell r="T62">
            <v>72240</v>
          </cell>
          <cell r="U62">
            <v>77183.941634466828</v>
          </cell>
          <cell r="V62" t="str">
            <v>-</v>
          </cell>
        </row>
        <row r="78">
          <cell r="T78">
            <v>17814</v>
          </cell>
          <cell r="U78">
            <v>23300.490003422899</v>
          </cell>
          <cell r="V78">
            <v>25585.300141344367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tents"/>
      <sheetName val="Link for sector review"/>
      <sheetName val="Anna"/>
      <sheetName val="DCF"/>
      <sheetName val="link for Telenor"/>
      <sheetName val="For notes"/>
      <sheetName val="Financials"/>
      <sheetName val="Forecasts for snaps"/>
      <sheetName val="Feeder sheet LISBON"/>
      <sheetName val="Notes for snaps (Hard Figures)"/>
      <sheetName val="Lisbon - New"/>
      <sheetName val="Version History"/>
      <sheetName val="ARPU versus income"/>
      <sheetName val="New vs Old"/>
      <sheetName val="MASTER"/>
    </sheetNames>
    <sheetDataSet>
      <sheetData sheetId="0" refreshError="1"/>
      <sheetData sheetId="1" refreshError="1"/>
      <sheetData sheetId="2" refreshError="1"/>
      <sheetData sheetId="3" refreshError="1">
        <row r="34">
          <cell r="A34" t="str">
            <v>Rf</v>
          </cell>
        </row>
        <row r="35">
          <cell r="A35" t="str">
            <v>Tax rate</v>
          </cell>
        </row>
        <row r="36">
          <cell r="A36" t="str">
            <v>Equity premium</v>
          </cell>
        </row>
        <row r="37">
          <cell r="A37" t="str">
            <v>Debt Premium</v>
          </cell>
        </row>
        <row r="38">
          <cell r="A38" t="str">
            <v>Cost of Equity</v>
          </cell>
        </row>
        <row r="39">
          <cell r="A39" t="str">
            <v>Cost of Debt</v>
          </cell>
        </row>
        <row r="40">
          <cell r="A40" t="str">
            <v>Debt/Equity</v>
          </cell>
        </row>
        <row r="41">
          <cell r="A41" t="str">
            <v>WACC</v>
          </cell>
        </row>
        <row r="42">
          <cell r="A42" t="str">
            <v>Terminal growth</v>
          </cell>
        </row>
      </sheetData>
      <sheetData sheetId="4" refreshError="1"/>
      <sheetData sheetId="5" refreshError="1"/>
      <sheetData sheetId="6" refreshError="1">
        <row r="5">
          <cell r="Q5">
            <v>27174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</row>
        <row r="7">
          <cell r="M7">
            <v>0</v>
          </cell>
          <cell r="N7">
            <v>0</v>
          </cell>
          <cell r="O7">
            <v>0</v>
          </cell>
          <cell r="P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</row>
        <row r="116">
          <cell r="BA116">
            <v>2.1879021879021909E-2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New Street Research Colors">
      <a:dk1>
        <a:sysClr val="windowText" lastClr="000000"/>
      </a:dk1>
      <a:lt1>
        <a:sysClr val="window" lastClr="FFFFFF"/>
      </a:lt1>
      <a:dk2>
        <a:srgbClr val="799098"/>
      </a:dk2>
      <a:lt2>
        <a:srgbClr val="263238"/>
      </a:lt2>
      <a:accent1>
        <a:srgbClr val="C7FE02"/>
      </a:accent1>
      <a:accent2>
        <a:srgbClr val="E3F982"/>
      </a:accent2>
      <a:accent3>
        <a:srgbClr val="F9663E"/>
      </a:accent3>
      <a:accent4>
        <a:srgbClr val="F19375"/>
      </a:accent4>
      <a:accent5>
        <a:srgbClr val="00C994"/>
      </a:accent5>
      <a:accent6>
        <a:srgbClr val="80D4C1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NSR Accent">
    <a:dk1>
      <a:sysClr val="windowText" lastClr="000000"/>
    </a:dk1>
    <a:lt1>
      <a:srgbClr val="FFFFFF"/>
    </a:lt1>
    <a:dk2>
      <a:srgbClr val="263238"/>
    </a:dk2>
    <a:lt2>
      <a:srgbClr val="ECEFF1"/>
    </a:lt2>
    <a:accent1>
      <a:srgbClr val="C7FE02"/>
    </a:accent1>
    <a:accent2>
      <a:srgbClr val="E3F982"/>
    </a:accent2>
    <a:accent3>
      <a:srgbClr val="F9663E"/>
    </a:accent3>
    <a:accent4>
      <a:srgbClr val="F19375"/>
    </a:accent4>
    <a:accent5>
      <a:srgbClr val="00CA94"/>
    </a:accent5>
    <a:accent6>
      <a:srgbClr val="80D4C1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2835EC3-F47E-4BD6-8B41-C92CCE59DE59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356b277c-80b7-4a21-95cc-e63748d6dcc3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elvin@newstreetresearch.com" TargetMode="External"/><Relationship Id="rId2" Type="http://schemas.openxmlformats.org/officeDocument/2006/relationships/hyperlink" Target="mailto:david@newstreetresearch.com" TargetMode="External"/><Relationship Id="rId1" Type="http://schemas.openxmlformats.org/officeDocument/2006/relationships/hyperlink" Target="mailto:chris@newstreetresearch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3F238-83C1-4A5C-BF3E-89A881872A84}">
  <sheetPr>
    <tabColor theme="0"/>
  </sheetPr>
  <dimension ref="A1:AZ25"/>
  <sheetViews>
    <sheetView tabSelected="1" zoomScaleNormal="100" workbookViewId="0">
      <pane ySplit="2" topLeftCell="A3" activePane="bottomLeft" state="frozen"/>
      <selection activeCell="L14" sqref="L14"/>
      <selection pane="bottomLeft"/>
    </sheetView>
  </sheetViews>
  <sheetFormatPr defaultColWidth="9.54296875" defaultRowHeight="13.5"/>
  <cols>
    <col min="1" max="1" width="2.6328125" style="766" customWidth="1"/>
    <col min="2" max="3" width="20.54296875" style="766" customWidth="1"/>
    <col min="4" max="16384" width="9.54296875" style="766"/>
  </cols>
  <sheetData>
    <row r="1" spans="1:52" s="763" customFormat="1">
      <c r="A1" s="761"/>
      <c r="B1" s="762"/>
      <c r="C1" s="762"/>
      <c r="D1" s="762"/>
      <c r="E1" s="762"/>
      <c r="F1" s="762"/>
      <c r="G1" s="762"/>
      <c r="H1" s="762"/>
      <c r="I1" s="762"/>
      <c r="J1" s="762"/>
      <c r="K1" s="762"/>
      <c r="L1" s="762"/>
      <c r="M1" s="762"/>
      <c r="N1" s="762"/>
      <c r="O1" s="762"/>
      <c r="P1" s="762"/>
      <c r="Q1" s="762"/>
      <c r="R1" s="762"/>
      <c r="S1" s="762"/>
      <c r="T1" s="762"/>
      <c r="U1" s="762"/>
      <c r="V1" s="762"/>
      <c r="W1" s="762"/>
      <c r="X1" s="762"/>
      <c r="Y1" s="762"/>
      <c r="Z1" s="762"/>
      <c r="AA1" s="762"/>
      <c r="AB1" s="762"/>
      <c r="AC1" s="762"/>
      <c r="AD1" s="762"/>
      <c r="AE1" s="762"/>
      <c r="AF1" s="762"/>
      <c r="AG1" s="762"/>
      <c r="AH1" s="762"/>
      <c r="AI1" s="762"/>
      <c r="AJ1" s="762"/>
      <c r="AK1" s="762"/>
      <c r="AL1" s="762"/>
      <c r="AM1" s="762"/>
      <c r="AN1" s="762"/>
      <c r="AO1" s="762"/>
      <c r="AP1" s="762"/>
      <c r="AQ1" s="762"/>
      <c r="AR1" s="762"/>
      <c r="AS1" s="762"/>
      <c r="AT1" s="762"/>
      <c r="AU1" s="762"/>
      <c r="AV1" s="762"/>
      <c r="AW1" s="762"/>
      <c r="AX1" s="762"/>
      <c r="AY1" s="762"/>
      <c r="AZ1" s="762"/>
    </row>
    <row r="2" spans="1:52" s="763" customFormat="1" ht="54.75" customHeight="1">
      <c r="A2" s="762"/>
      <c r="B2" s="762"/>
      <c r="C2" s="762"/>
      <c r="D2" s="762"/>
      <c r="E2" s="762"/>
      <c r="F2" s="762"/>
      <c r="G2" s="762"/>
      <c r="H2" s="762"/>
      <c r="I2" s="762"/>
      <c r="J2" s="762"/>
      <c r="K2" s="762"/>
      <c r="L2" s="762"/>
      <c r="M2" s="762"/>
      <c r="N2" s="762"/>
      <c r="O2" s="762"/>
      <c r="P2" s="762"/>
      <c r="Q2" s="762"/>
      <c r="R2" s="762"/>
      <c r="S2" s="762"/>
      <c r="T2" s="762"/>
      <c r="U2" s="762"/>
      <c r="V2" s="762"/>
      <c r="W2" s="762"/>
      <c r="X2" s="762"/>
      <c r="Y2" s="762"/>
      <c r="Z2" s="762"/>
      <c r="AA2" s="762"/>
      <c r="AB2" s="762"/>
      <c r="AC2" s="762"/>
      <c r="AD2" s="762"/>
      <c r="AE2" s="762"/>
      <c r="AF2" s="762"/>
      <c r="AG2" s="762"/>
      <c r="AH2" s="762"/>
      <c r="AI2" s="762"/>
      <c r="AJ2" s="762"/>
      <c r="AK2" s="762"/>
      <c r="AL2" s="762"/>
      <c r="AM2" s="762"/>
      <c r="AN2" s="762"/>
      <c r="AO2" s="762"/>
      <c r="AP2" s="762"/>
      <c r="AQ2" s="762"/>
      <c r="AR2" s="762"/>
      <c r="AS2" s="762"/>
      <c r="AT2" s="762"/>
      <c r="AU2" s="762"/>
      <c r="AV2" s="762"/>
      <c r="AW2" s="762"/>
      <c r="AX2" s="762"/>
      <c r="AY2" s="762"/>
      <c r="AZ2" s="762"/>
    </row>
    <row r="3" spans="1:52" ht="14.5">
      <c r="A3" s="764"/>
      <c r="B3" s="765"/>
      <c r="C3" s="765"/>
      <c r="D3" s="765"/>
      <c r="E3" s="765"/>
      <c r="F3" s="765"/>
      <c r="G3" s="765"/>
      <c r="H3" s="765"/>
      <c r="I3" s="765"/>
      <c r="J3" s="765"/>
      <c r="K3" s="765"/>
      <c r="L3" s="765"/>
      <c r="M3" s="765"/>
      <c r="N3" s="765"/>
      <c r="O3" s="765"/>
      <c r="P3" s="765"/>
      <c r="Q3" s="765"/>
      <c r="R3" s="765"/>
      <c r="S3" s="765"/>
      <c r="T3" s="765"/>
      <c r="U3" s="765"/>
      <c r="V3" s="765"/>
      <c r="W3" s="765"/>
      <c r="X3" s="765"/>
      <c r="Y3" s="765"/>
      <c r="Z3" s="765"/>
      <c r="AA3" s="765"/>
      <c r="AB3" s="765"/>
      <c r="AC3" s="765"/>
      <c r="AD3" s="765"/>
      <c r="AE3" s="765"/>
      <c r="AF3" s="765"/>
      <c r="AG3" s="765"/>
      <c r="AH3" s="765"/>
      <c r="AI3" s="765"/>
      <c r="AJ3" s="765"/>
      <c r="AK3" s="765"/>
      <c r="AL3" s="765"/>
      <c r="AM3" s="765"/>
      <c r="AN3" s="765"/>
      <c r="AO3" s="765"/>
      <c r="AP3" s="765"/>
      <c r="AQ3" s="765"/>
      <c r="AR3" s="765"/>
      <c r="AS3" s="765"/>
      <c r="AT3" s="765"/>
      <c r="AU3" s="765"/>
      <c r="AV3" s="765"/>
      <c r="AW3" s="765"/>
      <c r="AX3" s="765"/>
      <c r="AY3" s="765"/>
      <c r="AZ3" s="765"/>
    </row>
    <row r="4" spans="1:52" s="769" customFormat="1">
      <c r="A4" s="766"/>
      <c r="B4" s="767" t="s">
        <v>797</v>
      </c>
      <c r="C4" s="768" t="s">
        <v>245</v>
      </c>
      <c r="D4" s="766"/>
      <c r="E4" s="766"/>
      <c r="F4" s="766"/>
      <c r="G4" s="766"/>
      <c r="H4" s="766"/>
      <c r="I4" s="766"/>
      <c r="J4" s="766"/>
      <c r="K4" s="766"/>
      <c r="L4" s="766"/>
      <c r="M4" s="766"/>
      <c r="N4" s="766"/>
      <c r="O4" s="766"/>
      <c r="P4" s="766"/>
      <c r="Q4" s="766"/>
      <c r="R4" s="766"/>
      <c r="S4" s="766"/>
      <c r="T4" s="766"/>
      <c r="U4" s="766"/>
      <c r="V4" s="766"/>
      <c r="W4" s="766"/>
      <c r="X4" s="766"/>
      <c r="Y4" s="766"/>
      <c r="Z4" s="766"/>
      <c r="AA4" s="766"/>
      <c r="AB4" s="766"/>
      <c r="AC4" s="766"/>
      <c r="AD4" s="766"/>
      <c r="AE4" s="766"/>
      <c r="AF4" s="766"/>
      <c r="AG4" s="766"/>
      <c r="AH4" s="766"/>
      <c r="AI4" s="766"/>
      <c r="AJ4" s="766"/>
      <c r="AK4" s="766"/>
      <c r="AL4" s="766"/>
      <c r="AM4" s="766"/>
      <c r="AN4" s="766"/>
      <c r="AO4" s="766"/>
      <c r="AP4" s="766"/>
      <c r="AQ4" s="766"/>
      <c r="AR4" s="766"/>
      <c r="AS4" s="766"/>
      <c r="AT4" s="766"/>
      <c r="AU4" s="766"/>
      <c r="AV4" s="766"/>
      <c r="AW4" s="766"/>
      <c r="AX4" s="766"/>
      <c r="AY4" s="766"/>
      <c r="AZ4" s="766"/>
    </row>
    <row r="5" spans="1:52" s="769" customFormat="1">
      <c r="A5" s="766"/>
      <c r="B5" s="767" t="s">
        <v>570</v>
      </c>
      <c r="C5" s="768" t="s">
        <v>798</v>
      </c>
      <c r="D5" s="768"/>
      <c r="E5" s="766"/>
      <c r="F5" s="766"/>
      <c r="G5" s="766"/>
      <c r="H5" s="766"/>
      <c r="I5" s="766"/>
      <c r="J5" s="766"/>
      <c r="K5" s="766"/>
      <c r="L5" s="766"/>
      <c r="M5" s="766"/>
      <c r="N5" s="766"/>
      <c r="O5" s="766"/>
      <c r="P5" s="766"/>
      <c r="Q5" s="766"/>
      <c r="R5" s="766"/>
      <c r="S5" s="766"/>
      <c r="T5" s="766"/>
      <c r="U5" s="766"/>
      <c r="V5" s="766"/>
      <c r="W5" s="766"/>
      <c r="X5" s="766"/>
      <c r="Y5" s="766"/>
      <c r="Z5" s="766"/>
      <c r="AA5" s="766"/>
      <c r="AB5" s="766"/>
      <c r="AC5" s="766"/>
      <c r="AD5" s="766"/>
      <c r="AE5" s="766"/>
      <c r="AF5" s="766"/>
      <c r="AG5" s="766"/>
      <c r="AH5" s="766"/>
      <c r="AI5" s="766"/>
      <c r="AJ5" s="766"/>
      <c r="AK5" s="766"/>
      <c r="AL5" s="766"/>
      <c r="AM5" s="766"/>
      <c r="AN5" s="766"/>
      <c r="AO5" s="766"/>
      <c r="AP5" s="766"/>
      <c r="AQ5" s="766"/>
      <c r="AR5" s="766"/>
      <c r="AS5" s="766"/>
      <c r="AT5" s="766"/>
      <c r="AU5" s="766"/>
      <c r="AV5" s="766"/>
      <c r="AW5" s="766"/>
      <c r="AX5" s="766"/>
      <c r="AY5" s="766"/>
      <c r="AZ5" s="766"/>
    </row>
    <row r="6" spans="1:52" s="769" customFormat="1">
      <c r="A6" s="766"/>
      <c r="B6" s="768"/>
      <c r="C6" s="768"/>
      <c r="D6" s="768"/>
      <c r="E6" s="766"/>
      <c r="F6" s="766"/>
      <c r="G6" s="766"/>
      <c r="H6" s="766"/>
      <c r="I6" s="766"/>
      <c r="J6" s="766"/>
      <c r="K6" s="766"/>
      <c r="L6" s="766"/>
      <c r="M6" s="766"/>
      <c r="N6" s="766"/>
      <c r="O6" s="766"/>
      <c r="P6" s="766"/>
      <c r="Q6" s="766"/>
      <c r="R6" s="766"/>
      <c r="S6" s="766"/>
      <c r="T6" s="766"/>
      <c r="U6" s="766"/>
      <c r="V6" s="766"/>
      <c r="W6" s="766"/>
      <c r="X6" s="766"/>
      <c r="Y6" s="766"/>
      <c r="Z6" s="766"/>
      <c r="AA6" s="766"/>
      <c r="AB6" s="766"/>
      <c r="AC6" s="766"/>
      <c r="AD6" s="766"/>
      <c r="AE6" s="766"/>
      <c r="AF6" s="766"/>
      <c r="AG6" s="766"/>
      <c r="AH6" s="766"/>
      <c r="AI6" s="766"/>
      <c r="AJ6" s="766"/>
      <c r="AK6" s="766"/>
      <c r="AL6" s="766"/>
      <c r="AM6" s="766"/>
      <c r="AN6" s="766"/>
      <c r="AO6" s="766"/>
      <c r="AP6" s="766"/>
      <c r="AQ6" s="766"/>
      <c r="AR6" s="766"/>
      <c r="AS6" s="766"/>
      <c r="AT6" s="766"/>
      <c r="AU6" s="766"/>
      <c r="AV6" s="766"/>
      <c r="AW6" s="766"/>
      <c r="AX6" s="766"/>
      <c r="AY6" s="766"/>
      <c r="AZ6" s="766"/>
    </row>
    <row r="7" spans="1:52" s="769" customFormat="1">
      <c r="A7" s="766"/>
      <c r="B7" s="767" t="s">
        <v>571</v>
      </c>
      <c r="C7" s="768" t="s">
        <v>799</v>
      </c>
      <c r="D7" s="768"/>
      <c r="E7" s="766"/>
      <c r="F7" s="766"/>
      <c r="G7" s="766"/>
      <c r="H7" s="766"/>
      <c r="I7" s="766"/>
      <c r="J7" s="766"/>
      <c r="K7" s="766"/>
      <c r="L7" s="766"/>
      <c r="M7" s="766"/>
      <c r="N7" s="766"/>
      <c r="O7" s="766"/>
      <c r="P7" s="766"/>
      <c r="Q7" s="766"/>
      <c r="R7" s="766"/>
      <c r="S7" s="766"/>
      <c r="T7" s="766"/>
      <c r="U7" s="766"/>
      <c r="V7" s="766"/>
      <c r="W7" s="766"/>
      <c r="X7" s="766"/>
      <c r="Y7" s="766"/>
      <c r="Z7" s="766"/>
      <c r="AA7" s="766"/>
      <c r="AB7" s="766"/>
      <c r="AC7" s="766"/>
      <c r="AD7" s="766"/>
      <c r="AE7" s="766"/>
      <c r="AF7" s="766"/>
      <c r="AG7" s="766"/>
      <c r="AH7" s="766"/>
      <c r="AI7" s="766"/>
      <c r="AJ7" s="766"/>
      <c r="AK7" s="766"/>
      <c r="AL7" s="766"/>
      <c r="AM7" s="766"/>
      <c r="AN7" s="766"/>
      <c r="AO7" s="766"/>
      <c r="AP7" s="766"/>
      <c r="AQ7" s="766"/>
      <c r="AR7" s="766"/>
      <c r="AS7" s="766"/>
      <c r="AT7" s="766"/>
      <c r="AU7" s="766"/>
      <c r="AV7" s="766"/>
      <c r="AW7" s="766"/>
      <c r="AX7" s="766"/>
      <c r="AY7" s="766"/>
      <c r="AZ7" s="766"/>
    </row>
    <row r="8" spans="1:52" s="769" customFormat="1">
      <c r="A8" s="766"/>
      <c r="B8" s="767" t="s">
        <v>572</v>
      </c>
      <c r="C8" s="771" t="s">
        <v>820</v>
      </c>
      <c r="D8" s="768"/>
      <c r="E8" s="766"/>
      <c r="F8" s="766"/>
      <c r="G8" s="766"/>
      <c r="H8" s="766"/>
      <c r="I8" s="766"/>
      <c r="J8" s="766"/>
      <c r="K8" s="766"/>
      <c r="L8" s="766"/>
      <c r="M8" s="766"/>
      <c r="N8" s="766"/>
      <c r="O8" s="766"/>
      <c r="P8" s="766"/>
      <c r="Q8" s="766"/>
      <c r="R8" s="766"/>
      <c r="S8" s="766"/>
      <c r="T8" s="766"/>
      <c r="U8" s="766"/>
      <c r="V8" s="766"/>
      <c r="W8" s="766"/>
      <c r="X8" s="766"/>
      <c r="Y8" s="766"/>
      <c r="Z8" s="766"/>
      <c r="AA8" s="766"/>
      <c r="AB8" s="766"/>
      <c r="AC8" s="766"/>
      <c r="AD8" s="766"/>
      <c r="AE8" s="766"/>
      <c r="AF8" s="766"/>
      <c r="AG8" s="766"/>
      <c r="AH8" s="766"/>
      <c r="AI8" s="766"/>
      <c r="AJ8" s="766"/>
      <c r="AK8" s="766"/>
      <c r="AL8" s="766"/>
      <c r="AM8" s="766"/>
      <c r="AN8" s="766"/>
      <c r="AO8" s="766"/>
      <c r="AP8" s="766"/>
      <c r="AQ8" s="766"/>
      <c r="AR8" s="766"/>
      <c r="AS8" s="766"/>
      <c r="AT8" s="766"/>
      <c r="AU8" s="766"/>
      <c r="AV8" s="766"/>
      <c r="AW8" s="766"/>
      <c r="AX8" s="766"/>
      <c r="AY8" s="766"/>
      <c r="AZ8" s="766"/>
    </row>
    <row r="9" spans="1:52" s="769" customFormat="1">
      <c r="A9" s="766"/>
      <c r="B9" s="768"/>
      <c r="C9" s="768"/>
      <c r="D9" s="768"/>
      <c r="E9" s="766"/>
      <c r="F9" s="766"/>
      <c r="G9" s="766"/>
      <c r="H9" s="766"/>
      <c r="I9" s="766"/>
      <c r="J9" s="766"/>
      <c r="K9" s="766"/>
      <c r="L9" s="766"/>
      <c r="M9" s="766"/>
      <c r="N9" s="766"/>
      <c r="O9" s="766"/>
      <c r="P9" s="766"/>
      <c r="Q9" s="766"/>
      <c r="R9" s="766"/>
      <c r="S9" s="766"/>
      <c r="T9" s="766"/>
      <c r="U9" s="766"/>
      <c r="V9" s="766"/>
      <c r="W9" s="766"/>
      <c r="X9" s="766"/>
      <c r="Y9" s="766"/>
      <c r="Z9" s="766"/>
      <c r="AA9" s="766"/>
      <c r="AB9" s="766"/>
      <c r="AC9" s="766"/>
      <c r="AD9" s="766"/>
      <c r="AE9" s="766"/>
      <c r="AF9" s="766"/>
      <c r="AG9" s="766"/>
      <c r="AH9" s="766"/>
      <c r="AI9" s="766"/>
      <c r="AJ9" s="766"/>
      <c r="AK9" s="766"/>
      <c r="AL9" s="766"/>
      <c r="AM9" s="766"/>
      <c r="AN9" s="766"/>
      <c r="AO9" s="766"/>
      <c r="AP9" s="766"/>
      <c r="AQ9" s="766"/>
      <c r="AR9" s="766"/>
      <c r="AS9" s="766"/>
      <c r="AT9" s="766"/>
      <c r="AU9" s="766"/>
      <c r="AV9" s="766"/>
      <c r="AW9" s="766"/>
      <c r="AX9" s="766"/>
      <c r="AY9" s="766"/>
      <c r="AZ9" s="766"/>
    </row>
    <row r="10" spans="1:52" s="769" customFormat="1">
      <c r="A10" s="766"/>
      <c r="B10" s="768" t="s">
        <v>579</v>
      </c>
      <c r="C10" s="768" t="s">
        <v>574</v>
      </c>
      <c r="D10" s="768"/>
      <c r="E10" s="766"/>
      <c r="F10" s="766"/>
      <c r="G10" s="766"/>
      <c r="H10" s="766"/>
      <c r="I10" s="766"/>
      <c r="J10" s="766"/>
      <c r="K10" s="766"/>
      <c r="L10" s="766"/>
      <c r="M10" s="766"/>
      <c r="N10" s="766"/>
      <c r="O10" s="766"/>
      <c r="P10" s="766"/>
      <c r="Q10" s="766"/>
      <c r="R10" s="766"/>
      <c r="S10" s="766"/>
      <c r="T10" s="766"/>
      <c r="U10" s="766"/>
      <c r="V10" s="766"/>
      <c r="W10" s="766"/>
      <c r="X10" s="766"/>
      <c r="Y10" s="766"/>
      <c r="Z10" s="766"/>
      <c r="AA10" s="766"/>
      <c r="AB10" s="766"/>
      <c r="AC10" s="766"/>
      <c r="AD10" s="766"/>
      <c r="AE10" s="766"/>
      <c r="AF10" s="766"/>
      <c r="AG10" s="766"/>
      <c r="AH10" s="766"/>
      <c r="AI10" s="766"/>
      <c r="AJ10" s="766"/>
      <c r="AK10" s="766"/>
      <c r="AL10" s="766"/>
      <c r="AM10" s="766"/>
      <c r="AN10" s="766"/>
      <c r="AO10" s="766"/>
      <c r="AP10" s="766"/>
      <c r="AQ10" s="766"/>
      <c r="AR10" s="766"/>
      <c r="AS10" s="766"/>
      <c r="AT10" s="766"/>
      <c r="AU10" s="766"/>
      <c r="AV10" s="766"/>
      <c r="AW10" s="766"/>
      <c r="AX10" s="766"/>
      <c r="AY10" s="766"/>
      <c r="AZ10" s="766"/>
    </row>
    <row r="11" spans="1:52" s="769" customFormat="1">
      <c r="A11" s="766"/>
      <c r="B11" s="768" t="s">
        <v>575</v>
      </c>
      <c r="C11" s="770" t="s">
        <v>576</v>
      </c>
      <c r="D11" s="768"/>
      <c r="E11" s="766"/>
      <c r="F11" s="766"/>
      <c r="G11" s="766"/>
      <c r="H11" s="766"/>
      <c r="I11" s="766"/>
      <c r="J11" s="766"/>
      <c r="K11" s="766"/>
      <c r="L11" s="766"/>
      <c r="M11" s="766"/>
      <c r="N11" s="766"/>
      <c r="O11" s="766"/>
      <c r="P11" s="766"/>
      <c r="Q11" s="766"/>
      <c r="R11" s="766"/>
      <c r="S11" s="766"/>
      <c r="T11" s="766"/>
      <c r="U11" s="766"/>
      <c r="V11" s="766"/>
      <c r="W11" s="766"/>
      <c r="X11" s="766"/>
      <c r="Y11" s="766"/>
      <c r="Z11" s="766"/>
      <c r="AA11" s="766"/>
      <c r="AB11" s="766"/>
      <c r="AC11" s="766"/>
      <c r="AD11" s="766"/>
      <c r="AE11" s="766"/>
      <c r="AF11" s="766"/>
      <c r="AG11" s="766"/>
      <c r="AH11" s="766"/>
      <c r="AI11" s="766"/>
      <c r="AJ11" s="766"/>
      <c r="AK11" s="766"/>
      <c r="AL11" s="766"/>
      <c r="AM11" s="766"/>
      <c r="AN11" s="766"/>
      <c r="AO11" s="766"/>
      <c r="AP11" s="766"/>
      <c r="AQ11" s="766"/>
      <c r="AR11" s="766"/>
      <c r="AS11" s="766"/>
      <c r="AT11" s="766"/>
      <c r="AU11" s="766"/>
      <c r="AV11" s="766"/>
      <c r="AW11" s="766"/>
      <c r="AX11" s="766"/>
      <c r="AY11" s="766"/>
      <c r="AZ11" s="766"/>
    </row>
    <row r="12" spans="1:52" s="769" customFormat="1">
      <c r="A12" s="766"/>
      <c r="B12" s="768" t="s">
        <v>577</v>
      </c>
      <c r="C12" s="771" t="s">
        <v>578</v>
      </c>
      <c r="D12" s="768"/>
      <c r="E12" s="766"/>
      <c r="F12" s="766"/>
      <c r="G12" s="766"/>
      <c r="H12" s="766"/>
      <c r="I12" s="766"/>
      <c r="J12" s="766"/>
      <c r="K12" s="766"/>
      <c r="L12" s="766"/>
      <c r="M12" s="766"/>
      <c r="N12" s="766"/>
      <c r="O12" s="766"/>
      <c r="P12" s="766"/>
      <c r="Q12" s="766"/>
      <c r="R12" s="766"/>
      <c r="S12" s="766"/>
      <c r="T12" s="766"/>
      <c r="U12" s="766"/>
      <c r="V12" s="766"/>
      <c r="W12" s="766"/>
      <c r="X12" s="766"/>
      <c r="Y12" s="766"/>
      <c r="Z12" s="766"/>
      <c r="AA12" s="766"/>
      <c r="AB12" s="766"/>
      <c r="AC12" s="766"/>
      <c r="AD12" s="766"/>
      <c r="AE12" s="766"/>
      <c r="AF12" s="766"/>
      <c r="AG12" s="766"/>
      <c r="AH12" s="766"/>
      <c r="AI12" s="766"/>
      <c r="AJ12" s="766"/>
      <c r="AK12" s="766"/>
      <c r="AL12" s="766"/>
      <c r="AM12" s="766"/>
      <c r="AN12" s="766"/>
      <c r="AO12" s="766"/>
      <c r="AP12" s="766"/>
      <c r="AQ12" s="766"/>
      <c r="AR12" s="766"/>
      <c r="AS12" s="766"/>
      <c r="AT12" s="766"/>
      <c r="AU12" s="766"/>
      <c r="AV12" s="766"/>
      <c r="AW12" s="766"/>
      <c r="AX12" s="766"/>
      <c r="AY12" s="766"/>
      <c r="AZ12" s="766"/>
    </row>
    <row r="13" spans="1:52" s="769" customFormat="1">
      <c r="A13" s="766"/>
      <c r="B13" s="768"/>
      <c r="C13" s="768"/>
      <c r="D13" s="768"/>
      <c r="E13" s="766"/>
      <c r="F13" s="766"/>
      <c r="G13" s="766"/>
      <c r="H13" s="766"/>
      <c r="I13" s="766"/>
      <c r="J13" s="766"/>
      <c r="K13" s="766"/>
      <c r="L13" s="766"/>
      <c r="M13" s="766"/>
      <c r="N13" s="766"/>
      <c r="O13" s="766"/>
      <c r="P13" s="766"/>
      <c r="Q13" s="766"/>
      <c r="R13" s="766"/>
      <c r="S13" s="766"/>
      <c r="T13" s="766"/>
      <c r="U13" s="766"/>
      <c r="V13" s="766"/>
      <c r="W13" s="766"/>
      <c r="X13" s="766"/>
      <c r="Y13" s="766"/>
      <c r="Z13" s="766"/>
      <c r="AA13" s="766"/>
      <c r="AB13" s="766"/>
      <c r="AC13" s="766"/>
      <c r="AD13" s="766"/>
      <c r="AE13" s="766"/>
      <c r="AF13" s="766"/>
      <c r="AG13" s="766"/>
      <c r="AH13" s="766"/>
      <c r="AI13" s="766"/>
      <c r="AJ13" s="766"/>
      <c r="AK13" s="766"/>
      <c r="AL13" s="766"/>
      <c r="AM13" s="766"/>
      <c r="AN13" s="766"/>
      <c r="AO13" s="766"/>
      <c r="AP13" s="766"/>
      <c r="AQ13" s="766"/>
      <c r="AR13" s="766"/>
      <c r="AS13" s="766"/>
      <c r="AT13" s="766"/>
      <c r="AU13" s="766"/>
      <c r="AV13" s="766"/>
      <c r="AW13" s="766"/>
      <c r="AX13" s="766"/>
      <c r="AY13" s="766"/>
      <c r="AZ13" s="766"/>
    </row>
    <row r="14" spans="1:52" s="769" customFormat="1">
      <c r="A14" s="766"/>
      <c r="B14" s="768" t="s">
        <v>573</v>
      </c>
      <c r="C14" s="768" t="s">
        <v>580</v>
      </c>
      <c r="D14" s="768"/>
      <c r="E14" s="766"/>
      <c r="F14" s="766"/>
      <c r="G14" s="766"/>
      <c r="H14" s="766"/>
      <c r="I14" s="766"/>
      <c r="J14" s="766"/>
      <c r="K14" s="766"/>
      <c r="L14" s="766"/>
      <c r="M14" s="766"/>
      <c r="N14" s="766"/>
      <c r="O14" s="766"/>
      <c r="P14" s="766"/>
      <c r="Q14" s="766"/>
      <c r="R14" s="766"/>
      <c r="S14" s="766"/>
      <c r="T14" s="766"/>
      <c r="U14" s="766"/>
      <c r="V14" s="766"/>
      <c r="W14" s="766"/>
      <c r="X14" s="766"/>
      <c r="Y14" s="766"/>
      <c r="Z14" s="766"/>
      <c r="AA14" s="766"/>
      <c r="AB14" s="766"/>
      <c r="AC14" s="766"/>
      <c r="AD14" s="766"/>
      <c r="AE14" s="766"/>
      <c r="AF14" s="766"/>
      <c r="AG14" s="766"/>
      <c r="AH14" s="766"/>
      <c r="AI14" s="766"/>
      <c r="AJ14" s="766"/>
      <c r="AK14" s="766"/>
      <c r="AL14" s="766"/>
      <c r="AM14" s="766"/>
      <c r="AN14" s="766"/>
      <c r="AO14" s="766"/>
      <c r="AP14" s="766"/>
      <c r="AQ14" s="766"/>
      <c r="AR14" s="766"/>
      <c r="AS14" s="766"/>
      <c r="AT14" s="766"/>
      <c r="AU14" s="766"/>
      <c r="AV14" s="766"/>
      <c r="AW14" s="766"/>
      <c r="AX14" s="766"/>
      <c r="AY14" s="766"/>
      <c r="AZ14" s="766"/>
    </row>
    <row r="15" spans="1:52" s="769" customFormat="1">
      <c r="A15" s="766"/>
      <c r="B15" s="768" t="s">
        <v>575</v>
      </c>
      <c r="C15" s="770" t="s">
        <v>581</v>
      </c>
      <c r="D15" s="768"/>
      <c r="E15" s="766"/>
      <c r="F15" s="766"/>
      <c r="G15" s="766"/>
      <c r="H15" s="766"/>
      <c r="I15" s="766"/>
      <c r="J15" s="766"/>
      <c r="K15" s="766"/>
      <c r="L15" s="766"/>
      <c r="M15" s="766"/>
      <c r="N15" s="766"/>
      <c r="O15" s="766"/>
      <c r="P15" s="766"/>
      <c r="Q15" s="766"/>
      <c r="R15" s="766"/>
      <c r="S15" s="766"/>
      <c r="T15" s="766"/>
      <c r="U15" s="766"/>
      <c r="V15" s="766"/>
      <c r="W15" s="766"/>
      <c r="X15" s="766"/>
      <c r="Y15" s="766"/>
      <c r="Z15" s="766"/>
      <c r="AA15" s="766"/>
      <c r="AB15" s="766"/>
      <c r="AC15" s="766"/>
      <c r="AD15" s="766"/>
      <c r="AE15" s="766"/>
      <c r="AF15" s="766"/>
      <c r="AG15" s="766"/>
      <c r="AH15" s="766"/>
      <c r="AI15" s="766"/>
      <c r="AJ15" s="766"/>
      <c r="AK15" s="766"/>
      <c r="AL15" s="766"/>
      <c r="AM15" s="766"/>
      <c r="AN15" s="766"/>
      <c r="AO15" s="766"/>
      <c r="AP15" s="766"/>
      <c r="AQ15" s="766"/>
      <c r="AR15" s="766"/>
      <c r="AS15" s="766"/>
      <c r="AT15" s="766"/>
      <c r="AU15" s="766"/>
      <c r="AV15" s="766"/>
      <c r="AW15" s="766"/>
      <c r="AX15" s="766"/>
      <c r="AY15" s="766"/>
      <c r="AZ15" s="766"/>
    </row>
    <row r="16" spans="1:52" s="769" customFormat="1">
      <c r="A16" s="766"/>
      <c r="B16" s="768" t="s">
        <v>577</v>
      </c>
      <c r="C16" s="771" t="s">
        <v>582</v>
      </c>
      <c r="D16" s="768"/>
      <c r="E16" s="766"/>
      <c r="F16" s="766"/>
      <c r="G16" s="766"/>
      <c r="H16" s="766"/>
      <c r="I16" s="766"/>
      <c r="J16" s="766"/>
      <c r="K16" s="766"/>
      <c r="L16" s="766"/>
      <c r="M16" s="766"/>
      <c r="N16" s="766"/>
      <c r="O16" s="766"/>
      <c r="P16" s="766"/>
      <c r="Q16" s="766"/>
      <c r="R16" s="766"/>
      <c r="S16" s="766"/>
      <c r="T16" s="766"/>
      <c r="U16" s="766"/>
      <c r="V16" s="766"/>
      <c r="W16" s="766"/>
      <c r="X16" s="766"/>
      <c r="Y16" s="766"/>
      <c r="Z16" s="766"/>
      <c r="AA16" s="766"/>
      <c r="AB16" s="766"/>
      <c r="AC16" s="766"/>
      <c r="AD16" s="766"/>
      <c r="AE16" s="766"/>
      <c r="AF16" s="766"/>
      <c r="AG16" s="766"/>
      <c r="AH16" s="766"/>
      <c r="AI16" s="766"/>
      <c r="AJ16" s="766"/>
      <c r="AK16" s="766"/>
      <c r="AL16" s="766"/>
      <c r="AM16" s="766"/>
      <c r="AN16" s="766"/>
      <c r="AO16" s="766"/>
      <c r="AP16" s="766"/>
      <c r="AQ16" s="766"/>
      <c r="AR16" s="766"/>
      <c r="AS16" s="766"/>
      <c r="AT16" s="766"/>
      <c r="AU16" s="766"/>
      <c r="AV16" s="766"/>
      <c r="AW16" s="766"/>
      <c r="AX16" s="766"/>
      <c r="AY16" s="766"/>
      <c r="AZ16" s="766"/>
    </row>
    <row r="17" spans="1:52" s="769" customFormat="1">
      <c r="A17" s="766"/>
      <c r="B17" s="768"/>
      <c r="C17" s="768"/>
      <c r="D17" s="768"/>
      <c r="E17" s="766"/>
      <c r="F17" s="766"/>
      <c r="G17" s="766"/>
      <c r="H17" s="766"/>
      <c r="I17" s="766"/>
      <c r="J17" s="766"/>
      <c r="K17" s="766"/>
      <c r="L17" s="766"/>
      <c r="M17" s="766"/>
      <c r="N17" s="766"/>
      <c r="O17" s="766"/>
      <c r="P17" s="766"/>
      <c r="Q17" s="766"/>
      <c r="R17" s="766"/>
      <c r="S17" s="766"/>
      <c r="T17" s="766"/>
      <c r="U17" s="766"/>
      <c r="V17" s="766"/>
      <c r="W17" s="766"/>
      <c r="X17" s="766"/>
      <c r="Y17" s="766"/>
      <c r="Z17" s="766"/>
      <c r="AA17" s="766"/>
      <c r="AB17" s="766"/>
      <c r="AC17" s="766"/>
      <c r="AD17" s="766"/>
      <c r="AE17" s="766"/>
      <c r="AF17" s="766"/>
      <c r="AG17" s="766"/>
      <c r="AH17" s="766"/>
      <c r="AI17" s="766"/>
      <c r="AJ17" s="766"/>
      <c r="AK17" s="766"/>
      <c r="AL17" s="766"/>
      <c r="AM17" s="766"/>
      <c r="AN17" s="766"/>
      <c r="AO17" s="766"/>
      <c r="AP17" s="766"/>
      <c r="AQ17" s="766"/>
      <c r="AR17" s="766"/>
      <c r="AS17" s="766"/>
      <c r="AT17" s="766"/>
      <c r="AU17" s="766"/>
      <c r="AV17" s="766"/>
      <c r="AW17" s="766"/>
      <c r="AX17" s="766"/>
      <c r="AY17" s="766"/>
      <c r="AZ17" s="766"/>
    </row>
    <row r="18" spans="1:52" s="769" customFormat="1">
      <c r="A18" s="766"/>
      <c r="B18" s="768" t="s">
        <v>800</v>
      </c>
      <c r="C18" s="768" t="s">
        <v>919</v>
      </c>
      <c r="D18" s="768"/>
      <c r="E18" s="766"/>
      <c r="F18" s="766"/>
      <c r="G18" s="766"/>
      <c r="H18" s="766"/>
      <c r="I18" s="766"/>
      <c r="J18" s="766"/>
      <c r="K18" s="766"/>
      <c r="L18" s="766"/>
      <c r="M18" s="766"/>
      <c r="N18" s="766"/>
      <c r="O18" s="766"/>
      <c r="P18" s="766"/>
      <c r="Q18" s="766"/>
      <c r="R18" s="766"/>
      <c r="S18" s="766"/>
      <c r="T18" s="766"/>
      <c r="U18" s="766"/>
      <c r="V18" s="766"/>
      <c r="W18" s="766"/>
      <c r="X18" s="766"/>
      <c r="Y18" s="766"/>
      <c r="Z18" s="766"/>
      <c r="AA18" s="766"/>
      <c r="AB18" s="766"/>
      <c r="AC18" s="766"/>
      <c r="AD18" s="766"/>
      <c r="AE18" s="766"/>
      <c r="AF18" s="766"/>
      <c r="AG18" s="766"/>
      <c r="AH18" s="766"/>
      <c r="AI18" s="766"/>
      <c r="AJ18" s="766"/>
      <c r="AK18" s="766"/>
      <c r="AL18" s="766"/>
      <c r="AM18" s="766"/>
      <c r="AN18" s="766"/>
      <c r="AO18" s="766"/>
      <c r="AP18" s="766"/>
      <c r="AQ18" s="766"/>
      <c r="AR18" s="766"/>
      <c r="AS18" s="766"/>
      <c r="AT18" s="766"/>
      <c r="AU18" s="766"/>
      <c r="AV18" s="766"/>
      <c r="AW18" s="766"/>
      <c r="AX18" s="766"/>
      <c r="AY18" s="766"/>
      <c r="AZ18" s="766"/>
    </row>
    <row r="19" spans="1:52" s="769" customFormat="1">
      <c r="A19" s="766"/>
      <c r="B19" s="768" t="s">
        <v>575</v>
      </c>
      <c r="C19" s="770" t="s">
        <v>920</v>
      </c>
      <c r="D19" s="768"/>
      <c r="E19" s="766"/>
      <c r="F19" s="766"/>
      <c r="G19" s="766"/>
      <c r="H19" s="766"/>
      <c r="I19" s="766"/>
      <c r="J19" s="766"/>
      <c r="K19" s="766"/>
      <c r="L19" s="766"/>
      <c r="M19" s="766"/>
      <c r="N19" s="766"/>
      <c r="O19" s="766"/>
      <c r="P19" s="766"/>
      <c r="Q19" s="766"/>
      <c r="R19" s="766"/>
      <c r="S19" s="766"/>
      <c r="T19" s="766"/>
      <c r="U19" s="766"/>
      <c r="V19" s="766"/>
      <c r="W19" s="766"/>
      <c r="X19" s="766"/>
      <c r="Y19" s="766"/>
      <c r="Z19" s="766"/>
      <c r="AA19" s="766"/>
      <c r="AB19" s="766"/>
      <c r="AC19" s="766"/>
      <c r="AD19" s="766"/>
      <c r="AE19" s="766"/>
      <c r="AF19" s="766"/>
      <c r="AG19" s="766"/>
      <c r="AH19" s="766"/>
      <c r="AI19" s="766"/>
      <c r="AJ19" s="766"/>
      <c r="AK19" s="766"/>
      <c r="AL19" s="766"/>
      <c r="AM19" s="766"/>
      <c r="AN19" s="766"/>
      <c r="AO19" s="766"/>
      <c r="AP19" s="766"/>
      <c r="AQ19" s="766"/>
      <c r="AR19" s="766"/>
      <c r="AS19" s="766"/>
      <c r="AT19" s="766"/>
      <c r="AU19" s="766"/>
      <c r="AV19" s="766"/>
      <c r="AW19" s="766"/>
      <c r="AX19" s="766"/>
      <c r="AY19" s="766"/>
      <c r="AZ19" s="766"/>
    </row>
    <row r="20" spans="1:52" s="769" customFormat="1">
      <c r="A20" s="766"/>
      <c r="B20" s="768" t="s">
        <v>577</v>
      </c>
      <c r="C20" s="771" t="s">
        <v>921</v>
      </c>
      <c r="D20" s="768"/>
      <c r="E20" s="766"/>
      <c r="F20" s="766"/>
      <c r="G20" s="766"/>
      <c r="H20" s="766"/>
      <c r="I20" s="766"/>
      <c r="J20" s="766"/>
      <c r="K20" s="766"/>
      <c r="L20" s="766"/>
      <c r="M20" s="766"/>
      <c r="N20" s="766"/>
      <c r="O20" s="766"/>
      <c r="P20" s="766"/>
      <c r="Q20" s="766"/>
      <c r="R20" s="766"/>
      <c r="S20" s="766"/>
      <c r="T20" s="766"/>
      <c r="U20" s="766"/>
      <c r="V20" s="766"/>
      <c r="W20" s="766"/>
      <c r="X20" s="766"/>
      <c r="Y20" s="766"/>
      <c r="Z20" s="766"/>
      <c r="AA20" s="766"/>
      <c r="AB20" s="766"/>
      <c r="AC20" s="766"/>
      <c r="AD20" s="766"/>
      <c r="AE20" s="766"/>
      <c r="AF20" s="766"/>
      <c r="AG20" s="766"/>
      <c r="AH20" s="766"/>
      <c r="AI20" s="766"/>
      <c r="AJ20" s="766"/>
      <c r="AK20" s="766"/>
      <c r="AL20" s="766"/>
      <c r="AM20" s="766"/>
      <c r="AN20" s="766"/>
      <c r="AO20" s="766"/>
      <c r="AP20" s="766"/>
      <c r="AQ20" s="766"/>
      <c r="AR20" s="766"/>
      <c r="AS20" s="766"/>
      <c r="AT20" s="766"/>
      <c r="AU20" s="766"/>
      <c r="AV20" s="766"/>
      <c r="AW20" s="766"/>
      <c r="AX20" s="766"/>
      <c r="AY20" s="766"/>
      <c r="AZ20" s="766"/>
    </row>
    <row r="21" spans="1:52" s="769" customFormat="1">
      <c r="A21" s="766"/>
      <c r="B21" s="766"/>
      <c r="C21" s="766"/>
      <c r="D21" s="766"/>
      <c r="E21" s="766"/>
      <c r="F21" s="766"/>
      <c r="G21" s="766"/>
      <c r="H21" s="766"/>
      <c r="I21" s="766"/>
      <c r="J21" s="766"/>
      <c r="K21" s="766"/>
      <c r="L21" s="766"/>
      <c r="M21" s="766"/>
      <c r="N21" s="766"/>
      <c r="O21" s="766"/>
      <c r="P21" s="766"/>
      <c r="Q21" s="766"/>
      <c r="R21" s="766"/>
      <c r="S21" s="766"/>
      <c r="T21" s="766"/>
      <c r="U21" s="766"/>
      <c r="V21" s="766"/>
      <c r="W21" s="766"/>
      <c r="X21" s="766"/>
      <c r="Y21" s="766"/>
      <c r="Z21" s="766"/>
      <c r="AA21" s="766"/>
      <c r="AB21" s="766"/>
      <c r="AC21" s="766"/>
      <c r="AD21" s="766"/>
      <c r="AE21" s="766"/>
      <c r="AF21" s="766"/>
      <c r="AG21" s="766"/>
      <c r="AH21" s="766"/>
      <c r="AI21" s="766"/>
      <c r="AJ21" s="766"/>
      <c r="AK21" s="766"/>
      <c r="AL21" s="766"/>
      <c r="AM21" s="766"/>
      <c r="AN21" s="766"/>
      <c r="AO21" s="766"/>
      <c r="AP21" s="766"/>
      <c r="AQ21" s="766"/>
      <c r="AR21" s="766"/>
      <c r="AS21" s="766"/>
      <c r="AT21" s="766"/>
      <c r="AU21" s="766"/>
      <c r="AV21" s="766"/>
      <c r="AW21" s="766"/>
      <c r="AX21" s="766"/>
      <c r="AY21" s="766"/>
      <c r="AZ21" s="766"/>
    </row>
    <row r="22" spans="1:52" s="769" customFormat="1">
      <c r="A22" s="766"/>
      <c r="B22" s="766"/>
      <c r="C22" s="766"/>
      <c r="D22" s="766"/>
      <c r="E22" s="766"/>
      <c r="F22" s="766"/>
      <c r="G22" s="766"/>
      <c r="H22" s="766"/>
      <c r="I22" s="766"/>
      <c r="J22" s="766"/>
      <c r="K22" s="766"/>
      <c r="L22" s="766"/>
      <c r="M22" s="766"/>
      <c r="N22" s="766"/>
      <c r="O22" s="766"/>
      <c r="P22" s="766"/>
      <c r="Q22" s="766"/>
      <c r="R22" s="766"/>
      <c r="S22" s="766"/>
      <c r="T22" s="766"/>
      <c r="U22" s="766"/>
      <c r="V22" s="766"/>
      <c r="W22" s="766"/>
      <c r="X22" s="766"/>
      <c r="Y22" s="766"/>
      <c r="Z22" s="766"/>
      <c r="AA22" s="766"/>
      <c r="AB22" s="766"/>
      <c r="AC22" s="766"/>
      <c r="AD22" s="766"/>
      <c r="AE22" s="766"/>
      <c r="AF22" s="766"/>
      <c r="AG22" s="766"/>
      <c r="AH22" s="766"/>
      <c r="AI22" s="766"/>
      <c r="AJ22" s="766"/>
      <c r="AK22" s="766"/>
      <c r="AL22" s="766"/>
      <c r="AM22" s="766"/>
      <c r="AN22" s="766"/>
      <c r="AO22" s="766"/>
      <c r="AP22" s="766"/>
      <c r="AQ22" s="766"/>
      <c r="AR22" s="766"/>
      <c r="AS22" s="766"/>
      <c r="AT22" s="766"/>
      <c r="AU22" s="766"/>
      <c r="AV22" s="766"/>
      <c r="AW22" s="766"/>
      <c r="AX22" s="766"/>
      <c r="AY22" s="766"/>
      <c r="AZ22" s="766"/>
    </row>
    <row r="23" spans="1:52" s="769" customFormat="1">
      <c r="A23" s="766"/>
      <c r="B23" s="766"/>
      <c r="C23" s="766"/>
      <c r="D23" s="766"/>
      <c r="E23" s="766"/>
      <c r="F23" s="766"/>
      <c r="G23" s="766"/>
      <c r="H23" s="766"/>
      <c r="I23" s="766"/>
      <c r="J23" s="766"/>
      <c r="K23" s="766"/>
      <c r="L23" s="766"/>
      <c r="M23" s="766"/>
      <c r="N23" s="766"/>
      <c r="O23" s="766"/>
      <c r="P23" s="766"/>
      <c r="Q23" s="766"/>
      <c r="R23" s="766"/>
      <c r="S23" s="766"/>
      <c r="T23" s="766"/>
      <c r="U23" s="766"/>
      <c r="V23" s="766"/>
      <c r="W23" s="766"/>
      <c r="X23" s="766"/>
      <c r="Y23" s="766"/>
      <c r="Z23" s="766"/>
      <c r="AA23" s="766"/>
      <c r="AB23" s="766"/>
      <c r="AC23" s="766"/>
      <c r="AD23" s="766"/>
      <c r="AE23" s="766"/>
      <c r="AF23" s="766"/>
      <c r="AG23" s="766"/>
      <c r="AH23" s="766"/>
      <c r="AI23" s="766"/>
      <c r="AJ23" s="766"/>
      <c r="AK23" s="766"/>
      <c r="AL23" s="766"/>
      <c r="AM23" s="766"/>
      <c r="AN23" s="766"/>
      <c r="AO23" s="766"/>
      <c r="AP23" s="766"/>
      <c r="AQ23" s="766"/>
      <c r="AR23" s="766"/>
      <c r="AS23" s="766"/>
      <c r="AT23" s="766"/>
      <c r="AU23" s="766"/>
      <c r="AV23" s="766"/>
      <c r="AW23" s="766"/>
      <c r="AX23" s="766"/>
      <c r="AY23" s="766"/>
      <c r="AZ23" s="766"/>
    </row>
    <row r="24" spans="1:52" s="769" customFormat="1">
      <c r="A24" s="766"/>
      <c r="B24" s="766"/>
      <c r="C24" s="766"/>
      <c r="D24" s="766"/>
      <c r="E24" s="766"/>
      <c r="F24" s="766"/>
      <c r="G24" s="766"/>
      <c r="H24" s="766"/>
      <c r="I24" s="766"/>
      <c r="J24" s="766"/>
      <c r="K24" s="766"/>
      <c r="L24" s="766"/>
      <c r="M24" s="766"/>
      <c r="N24" s="766"/>
      <c r="O24" s="766"/>
      <c r="P24" s="766"/>
      <c r="Q24" s="766"/>
      <c r="R24" s="766"/>
      <c r="S24" s="766"/>
      <c r="T24" s="766"/>
      <c r="U24" s="766"/>
      <c r="V24" s="766"/>
      <c r="W24" s="766"/>
      <c r="X24" s="766"/>
      <c r="Y24" s="766"/>
      <c r="Z24" s="766"/>
      <c r="AA24" s="766"/>
      <c r="AB24" s="766"/>
      <c r="AC24" s="766"/>
      <c r="AD24" s="766"/>
      <c r="AE24" s="766"/>
      <c r="AF24" s="766"/>
      <c r="AG24" s="766"/>
      <c r="AH24" s="766"/>
      <c r="AI24" s="766"/>
      <c r="AJ24" s="766"/>
      <c r="AK24" s="766"/>
      <c r="AL24" s="766"/>
      <c r="AM24" s="766"/>
      <c r="AN24" s="766"/>
      <c r="AO24" s="766"/>
      <c r="AP24" s="766"/>
      <c r="AQ24" s="766"/>
      <c r="AR24" s="766"/>
      <c r="AS24" s="766"/>
      <c r="AT24" s="766"/>
      <c r="AU24" s="766"/>
      <c r="AV24" s="766"/>
      <c r="AW24" s="766"/>
      <c r="AX24" s="766"/>
      <c r="AY24" s="766"/>
      <c r="AZ24" s="766"/>
    </row>
    <row r="25" spans="1:52" s="769" customFormat="1">
      <c r="A25" s="766"/>
      <c r="B25" s="766"/>
      <c r="C25" s="766"/>
      <c r="D25" s="766"/>
      <c r="E25" s="766"/>
      <c r="F25" s="766"/>
      <c r="G25" s="766"/>
      <c r="H25" s="766"/>
      <c r="I25" s="766"/>
      <c r="J25" s="766"/>
      <c r="K25" s="766"/>
      <c r="L25" s="766"/>
      <c r="M25" s="766"/>
      <c r="N25" s="766"/>
      <c r="O25" s="766"/>
      <c r="P25" s="766"/>
      <c r="Q25" s="766"/>
      <c r="R25" s="766"/>
      <c r="S25" s="766"/>
      <c r="T25" s="766"/>
      <c r="U25" s="766"/>
      <c r="V25" s="766"/>
      <c r="W25" s="766"/>
      <c r="X25" s="766"/>
      <c r="Y25" s="766"/>
      <c r="Z25" s="766"/>
      <c r="AA25" s="766"/>
      <c r="AB25" s="766"/>
      <c r="AC25" s="766"/>
      <c r="AD25" s="766"/>
      <c r="AE25" s="766"/>
      <c r="AF25" s="766"/>
      <c r="AG25" s="766"/>
      <c r="AH25" s="766"/>
      <c r="AI25" s="766"/>
      <c r="AJ25" s="766"/>
      <c r="AK25" s="766"/>
      <c r="AL25" s="766"/>
      <c r="AM25" s="766"/>
      <c r="AN25" s="766"/>
      <c r="AO25" s="766"/>
      <c r="AP25" s="766"/>
      <c r="AQ25" s="766"/>
      <c r="AR25" s="766"/>
      <c r="AS25" s="766"/>
      <c r="AT25" s="766"/>
      <c r="AU25" s="766"/>
      <c r="AV25" s="766"/>
      <c r="AW25" s="766"/>
      <c r="AX25" s="766"/>
      <c r="AY25" s="766"/>
      <c r="AZ25" s="766"/>
    </row>
  </sheetData>
  <hyperlinks>
    <hyperlink ref="C11" r:id="rId1" xr:uid="{DC6053A2-B1D9-4F70-8A78-CF9B41CD0F7C}"/>
    <hyperlink ref="C15" r:id="rId2" xr:uid="{3C2BDF92-4B30-4F4A-9B63-3168E32B8519}"/>
    <hyperlink ref="C19" r:id="rId3" display="kelvin@newstreetresearch.com" xr:uid="{BACE0813-2517-48CE-B92A-DBA4A285FB80}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11EC5-B2CC-4500-8B9B-2023778D6CB9}">
  <sheetPr>
    <tabColor theme="0"/>
  </sheetPr>
  <dimension ref="B2:E18"/>
  <sheetViews>
    <sheetView zoomScaleNormal="100" workbookViewId="0">
      <selection activeCell="L14" sqref="L14"/>
    </sheetView>
  </sheetViews>
  <sheetFormatPr defaultColWidth="8.7265625" defaultRowHeight="12.5"/>
  <cols>
    <col min="1" max="1" width="1.6328125" style="774" customWidth="1"/>
    <col min="2" max="2" width="22.08984375" style="774" bestFit="1" customWidth="1"/>
    <col min="3" max="16384" width="8.7265625" style="774"/>
  </cols>
  <sheetData>
    <row r="2" spans="2:5" ht="13">
      <c r="B2" s="772" t="s">
        <v>801</v>
      </c>
      <c r="C2" s="773"/>
      <c r="D2" s="773"/>
      <c r="E2" s="773"/>
    </row>
    <row r="4" spans="2:5">
      <c r="B4" s="775" t="s">
        <v>802</v>
      </c>
      <c r="C4" s="776" t="s">
        <v>803</v>
      </c>
      <c r="D4" s="776"/>
      <c r="E4" s="776"/>
    </row>
    <row r="5" spans="2:5">
      <c r="B5" s="777" t="s">
        <v>802</v>
      </c>
      <c r="C5" s="776" t="s">
        <v>804</v>
      </c>
      <c r="D5" s="776"/>
      <c r="E5" s="776"/>
    </row>
    <row r="6" spans="2:5">
      <c r="B6" s="774" t="s">
        <v>805</v>
      </c>
      <c r="C6" s="774" t="s">
        <v>806</v>
      </c>
    </row>
    <row r="7" spans="2:5">
      <c r="B7" s="778" t="s">
        <v>807</v>
      </c>
      <c r="C7" s="776" t="s">
        <v>808</v>
      </c>
      <c r="D7" s="776"/>
      <c r="E7" s="776"/>
    </row>
    <row r="8" spans="2:5">
      <c r="B8" s="779" t="s">
        <v>809</v>
      </c>
      <c r="C8" s="776" t="s">
        <v>810</v>
      </c>
      <c r="D8" s="776"/>
      <c r="E8" s="776"/>
    </row>
    <row r="9" spans="2:5">
      <c r="B9" s="780" t="s">
        <v>811</v>
      </c>
      <c r="C9" s="776" t="s">
        <v>812</v>
      </c>
      <c r="D9" s="776"/>
      <c r="E9" s="776"/>
    </row>
    <row r="11" spans="2:5" ht="13">
      <c r="B11" s="772" t="s">
        <v>813</v>
      </c>
      <c r="C11" s="773"/>
      <c r="D11" s="773"/>
      <c r="E11" s="773"/>
    </row>
    <row r="13" spans="2:5">
      <c r="B13" s="775"/>
      <c r="C13" s="776" t="s">
        <v>814</v>
      </c>
      <c r="D13" s="776"/>
      <c r="E13" s="776"/>
    </row>
    <row r="14" spans="2:5">
      <c r="B14" s="781"/>
      <c r="C14" s="776" t="s">
        <v>815</v>
      </c>
      <c r="D14" s="776"/>
      <c r="E14" s="776"/>
    </row>
    <row r="15" spans="2:5">
      <c r="B15" s="782"/>
      <c r="C15" s="776" t="s">
        <v>816</v>
      </c>
      <c r="D15" s="776"/>
      <c r="E15" s="776"/>
    </row>
    <row r="16" spans="2:5">
      <c r="B16" s="783"/>
      <c r="C16" s="776" t="s">
        <v>817</v>
      </c>
      <c r="D16" s="776"/>
      <c r="E16" s="776"/>
    </row>
    <row r="17" spans="2:5">
      <c r="B17" s="784"/>
      <c r="C17" s="776" t="s">
        <v>818</v>
      </c>
      <c r="D17" s="776"/>
      <c r="E17" s="776"/>
    </row>
    <row r="18" spans="2:5">
      <c r="B18" s="785"/>
      <c r="C18" s="774" t="s">
        <v>819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tabColor theme="0"/>
  </sheetPr>
  <dimension ref="A1:U75"/>
  <sheetViews>
    <sheetView zoomScale="85" zoomScaleNormal="85" workbookViewId="0">
      <pane xSplit="2" ySplit="3" topLeftCell="C7" activePane="bottomRight" state="frozen"/>
      <selection activeCell="I312" sqref="I312"/>
      <selection pane="topRight" activeCell="I312" sqref="I312"/>
      <selection pane="bottomLeft" activeCell="I312" sqref="I312"/>
      <selection pane="bottomRight" activeCell="H43" sqref="H43"/>
    </sheetView>
  </sheetViews>
  <sheetFormatPr defaultColWidth="8.90625" defaultRowHeight="13"/>
  <cols>
    <col min="1" max="1" width="2.6328125" style="542" customWidth="1"/>
    <col min="2" max="2" width="26.54296875" style="542" bestFit="1" customWidth="1"/>
    <col min="3" max="3" width="10" style="542" customWidth="1"/>
    <col min="4" max="15" width="10" style="542" bestFit="1" customWidth="1"/>
    <col min="16" max="16" width="10" style="542" customWidth="1"/>
    <col min="17" max="18" width="8.90625" style="542"/>
    <col min="19" max="19" width="8.6328125" style="542" customWidth="1"/>
    <col min="20" max="21" width="13.36328125" style="542" bestFit="1" customWidth="1"/>
    <col min="22" max="16384" width="8.90625" style="542"/>
  </cols>
  <sheetData>
    <row r="1" spans="1:21" ht="21" customHeight="1">
      <c r="B1" s="592" t="s">
        <v>279</v>
      </c>
      <c r="C1" s="592"/>
      <c r="D1" s="592"/>
      <c r="E1" s="592"/>
      <c r="F1" s="592"/>
      <c r="G1" s="592"/>
      <c r="H1" s="592"/>
      <c r="I1" s="592"/>
      <c r="J1" s="592"/>
      <c r="K1" s="592"/>
      <c r="L1" s="589"/>
      <c r="M1" s="589"/>
      <c r="N1" s="589"/>
      <c r="O1" s="589"/>
      <c r="P1" s="589"/>
      <c r="Q1" s="589"/>
      <c r="R1" s="589"/>
      <c r="S1" s="589"/>
    </row>
    <row r="2" spans="1:21" ht="14.5">
      <c r="B2" s="592" t="s">
        <v>600</v>
      </c>
      <c r="C2" s="592"/>
      <c r="D2" s="592"/>
      <c r="E2" s="592"/>
      <c r="F2" s="592"/>
      <c r="G2" s="592"/>
      <c r="H2" s="592"/>
      <c r="I2" s="592"/>
      <c r="J2" s="592"/>
      <c r="K2" s="592"/>
      <c r="L2" s="591"/>
      <c r="M2" s="591" t="s">
        <v>707</v>
      </c>
      <c r="N2" s="590"/>
      <c r="O2" s="590"/>
      <c r="P2" s="590"/>
      <c r="Q2" s="590"/>
      <c r="R2" s="590"/>
      <c r="S2" s="590"/>
    </row>
    <row r="3" spans="1:21">
      <c r="B3" s="593"/>
      <c r="C3" s="594">
        <v>2016</v>
      </c>
      <c r="D3" s="594">
        <f t="shared" ref="D3:O3" si="0">C3+1</f>
        <v>2017</v>
      </c>
      <c r="E3" s="594">
        <f t="shared" si="0"/>
        <v>2018</v>
      </c>
      <c r="F3" s="594">
        <f t="shared" si="0"/>
        <v>2019</v>
      </c>
      <c r="G3" s="594">
        <f t="shared" si="0"/>
        <v>2020</v>
      </c>
      <c r="H3" s="594">
        <f t="shared" si="0"/>
        <v>2021</v>
      </c>
      <c r="I3" s="594">
        <f t="shared" si="0"/>
        <v>2022</v>
      </c>
      <c r="J3" s="594">
        <f t="shared" si="0"/>
        <v>2023</v>
      </c>
      <c r="K3" s="594">
        <f t="shared" si="0"/>
        <v>2024</v>
      </c>
      <c r="L3" s="594">
        <f t="shared" si="0"/>
        <v>2025</v>
      </c>
      <c r="M3" s="422">
        <f t="shared" si="0"/>
        <v>2026</v>
      </c>
      <c r="N3" s="422">
        <f t="shared" si="0"/>
        <v>2027</v>
      </c>
      <c r="O3" s="422">
        <f t="shared" si="0"/>
        <v>2028</v>
      </c>
      <c r="P3" s="422">
        <f t="shared" ref="P3" si="1">O3+1</f>
        <v>2029</v>
      </c>
      <c r="Q3" s="422">
        <f t="shared" ref="Q3" si="2">P3+1</f>
        <v>2030</v>
      </c>
      <c r="R3" s="422">
        <f t="shared" ref="R3" si="3">Q3+1</f>
        <v>2031</v>
      </c>
      <c r="S3" s="422">
        <f t="shared" ref="S3" si="4">R3+1</f>
        <v>2032</v>
      </c>
    </row>
    <row r="4" spans="1:21">
      <c r="B4" s="595"/>
      <c r="C4" s="596"/>
      <c r="D4" s="596"/>
      <c r="E4" s="596"/>
      <c r="F4" s="596"/>
      <c r="G4" s="596"/>
      <c r="H4" s="596"/>
      <c r="I4" s="596"/>
      <c r="J4" s="596"/>
      <c r="K4" s="596"/>
      <c r="L4" s="596"/>
      <c r="M4" s="596"/>
      <c r="N4" s="596"/>
      <c r="O4" s="596"/>
      <c r="P4" s="596"/>
      <c r="Q4" s="596"/>
      <c r="R4" s="596"/>
      <c r="S4" s="596"/>
    </row>
    <row r="5" spans="1:21">
      <c r="B5" s="515" t="s">
        <v>75</v>
      </c>
      <c r="C5" s="563">
        <f>'Income Statement'!AU471</f>
        <v>3109</v>
      </c>
      <c r="D5" s="563">
        <f>'Income Statement'!AZ471</f>
        <v>2775</v>
      </c>
      <c r="E5" s="563">
        <f>'Income Statement'!BE471</f>
        <v>2685</v>
      </c>
      <c r="F5" s="563">
        <f>'Income Statement'!BJ471</f>
        <v>2512</v>
      </c>
      <c r="G5" s="563">
        <f>'Income Statement'!BO471</f>
        <v>2284</v>
      </c>
      <c r="H5" s="563">
        <f>'Income Statement'!BT471</f>
        <v>2082</v>
      </c>
      <c r="I5" s="563">
        <f>'Income Statement'!BY471</f>
        <v>2209</v>
      </c>
      <c r="J5" s="563">
        <f>'Income Statement'!CD471</f>
        <v>1890</v>
      </c>
      <c r="K5" s="563">
        <f>'Income Statement'!CI471</f>
        <v>2324</v>
      </c>
      <c r="L5" s="563">
        <f>'Income Statement'!CN471</f>
        <v>2521</v>
      </c>
      <c r="M5" s="563">
        <f>'Income Statement'!CQ471</f>
        <v>2808.9732718038576</v>
      </c>
      <c r="N5" s="563">
        <f>'Income Statement'!CR471</f>
        <v>2936.5606269771351</v>
      </c>
      <c r="O5" s="563">
        <f>'Income Statement'!CS471</f>
        <v>3056.3849942727456</v>
      </c>
      <c r="P5" s="563">
        <f>'Income Statement'!CT471</f>
        <v>3189.161915731187</v>
      </c>
      <c r="Q5" s="563">
        <f>'Income Statement'!CU471</f>
        <v>3336.7783165555588</v>
      </c>
      <c r="R5" s="563">
        <f>'Income Statement'!CV471</f>
        <v>3476.252114967509</v>
      </c>
      <c r="S5" s="563">
        <f>'Income Statement'!CW471</f>
        <v>3647.3440844747279</v>
      </c>
    </row>
    <row r="6" spans="1:21">
      <c r="B6" s="515" t="s">
        <v>90</v>
      </c>
      <c r="C6" s="568">
        <v>0.25</v>
      </c>
      <c r="D6" s="564">
        <f t="shared" ref="D6:I6" si="5">C6</f>
        <v>0.25</v>
      </c>
      <c r="E6" s="564">
        <f t="shared" si="5"/>
        <v>0.25</v>
      </c>
      <c r="F6" s="564">
        <f t="shared" si="5"/>
        <v>0.25</v>
      </c>
      <c r="G6" s="564">
        <f t="shared" si="5"/>
        <v>0.25</v>
      </c>
      <c r="H6" s="564">
        <f t="shared" si="5"/>
        <v>0.25</v>
      </c>
      <c r="I6" s="564">
        <f t="shared" si="5"/>
        <v>0.25</v>
      </c>
      <c r="J6" s="564">
        <f t="shared" ref="J6:O6" si="6">I6</f>
        <v>0.25</v>
      </c>
      <c r="K6" s="564">
        <f t="shared" si="6"/>
        <v>0.25</v>
      </c>
      <c r="L6" s="564">
        <f t="shared" si="6"/>
        <v>0.25</v>
      </c>
      <c r="M6" s="564">
        <f t="shared" si="6"/>
        <v>0.25</v>
      </c>
      <c r="N6" s="564">
        <f t="shared" si="6"/>
        <v>0.25</v>
      </c>
      <c r="O6" s="564">
        <f t="shared" si="6"/>
        <v>0.25</v>
      </c>
      <c r="P6" s="564">
        <f t="shared" ref="P6" si="7">O6</f>
        <v>0.25</v>
      </c>
      <c r="Q6" s="564">
        <f t="shared" ref="Q6" si="8">P6</f>
        <v>0.25</v>
      </c>
      <c r="R6" s="564">
        <f t="shared" ref="R6" si="9">Q6</f>
        <v>0.25</v>
      </c>
      <c r="S6" s="564">
        <f t="shared" ref="S6" si="10">R6</f>
        <v>0.25</v>
      </c>
    </row>
    <row r="7" spans="1:21">
      <c r="B7" s="565" t="s">
        <v>399</v>
      </c>
      <c r="C7" s="566">
        <f t="shared" ref="C7:J7" si="11">-C6*C5</f>
        <v>-777.25</v>
      </c>
      <c r="D7" s="566">
        <f t="shared" si="11"/>
        <v>-693.75</v>
      </c>
      <c r="E7" s="566">
        <f t="shared" si="11"/>
        <v>-671.25</v>
      </c>
      <c r="F7" s="566">
        <f t="shared" si="11"/>
        <v>-628</v>
      </c>
      <c r="G7" s="566">
        <f t="shared" si="11"/>
        <v>-571</v>
      </c>
      <c r="H7" s="566">
        <f t="shared" si="11"/>
        <v>-520.5</v>
      </c>
      <c r="I7" s="566">
        <f t="shared" si="11"/>
        <v>-552.25</v>
      </c>
      <c r="J7" s="566">
        <f t="shared" si="11"/>
        <v>-472.5</v>
      </c>
      <c r="K7" s="566">
        <f t="shared" ref="K7:S7" si="12">-K6*K5</f>
        <v>-581</v>
      </c>
      <c r="L7" s="566">
        <f t="shared" si="12"/>
        <v>-630.25</v>
      </c>
      <c r="M7" s="566">
        <f t="shared" si="12"/>
        <v>-702.24331795096441</v>
      </c>
      <c r="N7" s="566">
        <f t="shared" si="12"/>
        <v>-734.14015674428379</v>
      </c>
      <c r="O7" s="566">
        <f t="shared" si="12"/>
        <v>-764.09624856818641</v>
      </c>
      <c r="P7" s="566">
        <f t="shared" si="12"/>
        <v>-797.29047893279676</v>
      </c>
      <c r="Q7" s="566">
        <f t="shared" si="12"/>
        <v>-834.19457913888971</v>
      </c>
      <c r="R7" s="566">
        <f t="shared" si="12"/>
        <v>-869.06302874187725</v>
      </c>
      <c r="S7" s="566">
        <f t="shared" si="12"/>
        <v>-911.83602111868197</v>
      </c>
    </row>
    <row r="8" spans="1:21">
      <c r="B8" s="515"/>
      <c r="C8" s="567"/>
      <c r="D8" s="567"/>
      <c r="E8" s="567"/>
      <c r="F8" s="567"/>
      <c r="G8" s="567"/>
      <c r="H8" s="567"/>
      <c r="I8" s="567"/>
      <c r="J8" s="567"/>
      <c r="K8" s="567"/>
      <c r="L8" s="567"/>
      <c r="M8" s="567"/>
      <c r="N8" s="567"/>
      <c r="O8" s="567"/>
      <c r="P8" s="567"/>
      <c r="Q8" s="567"/>
      <c r="R8" s="567"/>
      <c r="S8" s="567"/>
    </row>
    <row r="9" spans="1:21">
      <c r="B9" s="515"/>
      <c r="C9" s="567"/>
      <c r="D9" s="567"/>
      <c r="E9" s="567"/>
      <c r="F9" s="567"/>
      <c r="G9" s="567"/>
      <c r="H9" s="567"/>
      <c r="I9" s="567"/>
      <c r="J9" s="567"/>
      <c r="K9" s="567"/>
      <c r="L9" s="567"/>
      <c r="M9" s="567"/>
      <c r="N9" s="567"/>
      <c r="O9" s="567"/>
      <c r="P9" s="567"/>
      <c r="Q9" s="567"/>
      <c r="R9" s="567"/>
      <c r="S9" s="567"/>
    </row>
    <row r="10" spans="1:21">
      <c r="A10" s="542" t="s">
        <v>728</v>
      </c>
      <c r="B10" s="426" t="s">
        <v>398</v>
      </c>
      <c r="C10" s="427">
        <f t="shared" ref="C10:O10" si="13">C3</f>
        <v>2016</v>
      </c>
      <c r="D10" s="427">
        <f t="shared" si="13"/>
        <v>2017</v>
      </c>
      <c r="E10" s="427">
        <f t="shared" si="13"/>
        <v>2018</v>
      </c>
      <c r="F10" s="427">
        <f t="shared" si="13"/>
        <v>2019</v>
      </c>
      <c r="G10" s="427">
        <f t="shared" si="13"/>
        <v>2020</v>
      </c>
      <c r="H10" s="427">
        <f t="shared" si="13"/>
        <v>2021</v>
      </c>
      <c r="I10" s="427">
        <f t="shared" si="13"/>
        <v>2022</v>
      </c>
      <c r="J10" s="427">
        <f t="shared" si="13"/>
        <v>2023</v>
      </c>
      <c r="K10" s="427">
        <f t="shared" si="13"/>
        <v>2024</v>
      </c>
      <c r="L10" s="427">
        <f t="shared" si="13"/>
        <v>2025</v>
      </c>
      <c r="M10" s="427">
        <f t="shared" si="13"/>
        <v>2026</v>
      </c>
      <c r="N10" s="427">
        <f t="shared" si="13"/>
        <v>2027</v>
      </c>
      <c r="O10" s="427">
        <f t="shared" si="13"/>
        <v>2028</v>
      </c>
      <c r="P10" s="427">
        <f t="shared" ref="P10:S10" si="14">P3</f>
        <v>2029</v>
      </c>
      <c r="Q10" s="427">
        <f t="shared" si="14"/>
        <v>2030</v>
      </c>
      <c r="R10" s="427">
        <f t="shared" si="14"/>
        <v>2031</v>
      </c>
      <c r="S10" s="427">
        <f t="shared" si="14"/>
        <v>2032</v>
      </c>
      <c r="T10" s="509"/>
      <c r="U10" s="509"/>
    </row>
    <row r="11" spans="1:21">
      <c r="B11" s="515" t="s">
        <v>2</v>
      </c>
      <c r="C11" s="569">
        <f>'Income Statement'!AU453</f>
        <v>4502</v>
      </c>
      <c r="D11" s="569">
        <f>'Income Statement'!AZ453</f>
        <v>4195</v>
      </c>
      <c r="E11" s="569">
        <f>'Income Statement'!BE453</f>
        <v>3843</v>
      </c>
      <c r="F11" s="569">
        <f>'Income Statement'!BJ453</f>
        <v>3926</v>
      </c>
      <c r="G11" s="569">
        <f>'Income Statement'!BO453</f>
        <v>3814</v>
      </c>
      <c r="H11" s="569">
        <f>'Income Statement'!BT453</f>
        <v>3876</v>
      </c>
      <c r="I11" s="569">
        <f>'Income Statement'!BY453</f>
        <v>3929</v>
      </c>
      <c r="J11" s="569">
        <f>'Income Statement'!CD453</f>
        <v>3960</v>
      </c>
      <c r="K11" s="569">
        <f>'Income Statement'!CI453</f>
        <v>4122</v>
      </c>
      <c r="L11" s="569">
        <f>'Income Statement'!CN453</f>
        <v>4329</v>
      </c>
      <c r="M11" s="569">
        <f>'Income Statement'!CQ453</f>
        <v>4521.5932718038575</v>
      </c>
      <c r="N11" s="569">
        <f>'Income Statement'!CR453</f>
        <v>4652.7746464653283</v>
      </c>
      <c r="O11" s="569">
        <f>'Income Statement'!CS453</f>
        <v>4782.7277825729407</v>
      </c>
      <c r="P11" s="569">
        <f>'Income Statement'!CT453</f>
        <v>4920.6127220270864</v>
      </c>
      <c r="Q11" s="569">
        <f>'Income Statement'!CU453</f>
        <v>5055.0552341969897</v>
      </c>
      <c r="R11" s="569">
        <f>'Income Statement'!CV453</f>
        <v>5192.1232583166502</v>
      </c>
      <c r="S11" s="569">
        <f>'Income Statement'!CW453</f>
        <v>5332.0710765879776</v>
      </c>
      <c r="T11" s="570"/>
      <c r="U11" s="570"/>
    </row>
    <row r="12" spans="1:21">
      <c r="B12" s="571" t="s">
        <v>732</v>
      </c>
      <c r="C12" s="569">
        <f t="shared" ref="C12:J12" si="15">C7</f>
        <v>-777.25</v>
      </c>
      <c r="D12" s="569">
        <f t="shared" si="15"/>
        <v>-693.75</v>
      </c>
      <c r="E12" s="569">
        <f t="shared" si="15"/>
        <v>-671.25</v>
      </c>
      <c r="F12" s="569">
        <f t="shared" si="15"/>
        <v>-628</v>
      </c>
      <c r="G12" s="569">
        <f t="shared" si="15"/>
        <v>-571</v>
      </c>
      <c r="H12" s="569">
        <f t="shared" si="15"/>
        <v>-520.5</v>
      </c>
      <c r="I12" s="569">
        <f t="shared" si="15"/>
        <v>-552.25</v>
      </c>
      <c r="J12" s="569">
        <f t="shared" si="15"/>
        <v>-472.5</v>
      </c>
      <c r="K12" s="569">
        <f t="shared" ref="K12:S12" si="16">K7</f>
        <v>-581</v>
      </c>
      <c r="L12" s="569">
        <f t="shared" si="16"/>
        <v>-630.25</v>
      </c>
      <c r="M12" s="569">
        <f t="shared" si="16"/>
        <v>-702.24331795096441</v>
      </c>
      <c r="N12" s="569">
        <f t="shared" si="16"/>
        <v>-734.14015674428379</v>
      </c>
      <c r="O12" s="569">
        <f t="shared" si="16"/>
        <v>-764.09624856818641</v>
      </c>
      <c r="P12" s="569">
        <f t="shared" si="16"/>
        <v>-797.29047893279676</v>
      </c>
      <c r="Q12" s="569">
        <f t="shared" si="16"/>
        <v>-834.19457913888971</v>
      </c>
      <c r="R12" s="569">
        <f t="shared" si="16"/>
        <v>-869.06302874187725</v>
      </c>
      <c r="S12" s="569">
        <f t="shared" si="16"/>
        <v>-911.83602111868197</v>
      </c>
    </row>
    <row r="13" spans="1:21">
      <c r="B13" s="571" t="s">
        <v>733</v>
      </c>
      <c r="C13" s="569">
        <f>-'Income Statement'!AU508</f>
        <v>-1189</v>
      </c>
      <c r="D13" s="569">
        <f>-'Income Statement'!AZ508</f>
        <v>-1028</v>
      </c>
      <c r="E13" s="569">
        <f>-'Income Statement'!BE508</f>
        <v>-1038</v>
      </c>
      <c r="F13" s="569">
        <f>-'Income Statement'!BJ508</f>
        <v>-1213</v>
      </c>
      <c r="G13" s="569">
        <f>-'Income Statement'!BO508</f>
        <v>-1245</v>
      </c>
      <c r="H13" s="569">
        <f>-'Income Statement'!BT508</f>
        <v>-1187</v>
      </c>
      <c r="I13" s="569">
        <f>-'Income Statement'!BY508</f>
        <v>-1114</v>
      </c>
      <c r="J13" s="569">
        <f>-'Income Statement'!CD508</f>
        <v>-813</v>
      </c>
      <c r="K13" s="569">
        <f>-'Income Statement'!CI508</f>
        <v>-674</v>
      </c>
      <c r="L13" s="569">
        <f>-'Income Statement'!CN508</f>
        <v>-986</v>
      </c>
      <c r="M13" s="569">
        <f>-'Income Statement'!CQ508</f>
        <v>-1094.558857979579</v>
      </c>
      <c r="N13" s="569">
        <f>-'Income Statement'!CR508</f>
        <v>-1009.534532260039</v>
      </c>
      <c r="O13" s="569">
        <f>-'Income Statement'!CS508</f>
        <v>-1034.2470765174933</v>
      </c>
      <c r="P13" s="569">
        <f>-'Income Statement'!CT508</f>
        <v>-1060.3356434492387</v>
      </c>
      <c r="Q13" s="569">
        <f>-'Income Statement'!CU508</f>
        <v>-1085.6165288458519</v>
      </c>
      <c r="R13" s="569">
        <f>-'Income Statement'!CV508</f>
        <v>-1111.260654890877</v>
      </c>
      <c r="S13" s="569">
        <f>-'Income Statement'!CW508</f>
        <v>-1516.4251017295933</v>
      </c>
    </row>
    <row r="14" spans="1:21">
      <c r="B14" s="515" t="s">
        <v>734</v>
      </c>
      <c r="C14" s="569">
        <f>'Balance Sheet and Cflow'!K169</f>
        <v>-220</v>
      </c>
      <c r="D14" s="569">
        <f>'Balance Sheet and Cflow'!L169</f>
        <v>-333</v>
      </c>
      <c r="E14" s="569">
        <f>'Balance Sheet and Cflow'!M169</f>
        <v>357</v>
      </c>
      <c r="F14" s="569">
        <f>'Balance Sheet and Cflow'!N169</f>
        <v>13</v>
      </c>
      <c r="G14" s="569">
        <f>'Balance Sheet and Cflow'!O169</f>
        <v>-14</v>
      </c>
      <c r="H14" s="569">
        <f>'Balance Sheet and Cflow'!P169</f>
        <v>332</v>
      </c>
      <c r="I14" s="569">
        <f>'Balance Sheet and Cflow'!Q169</f>
        <v>-561</v>
      </c>
      <c r="J14" s="569">
        <f>'Balance Sheet and Cflow'!R169</f>
        <v>1</v>
      </c>
      <c r="K14" s="569">
        <f>'Balance Sheet and Cflow'!S169</f>
        <v>80</v>
      </c>
      <c r="L14" s="569">
        <f>'Balance Sheet and Cflow'!T169</f>
        <v>-34</v>
      </c>
      <c r="M14" s="569">
        <f>'Balance Sheet and Cflow'!U169</f>
        <v>-50.630121442028454</v>
      </c>
      <c r="N14" s="569">
        <f>'Balance Sheet and Cflow'!V169</f>
        <v>-58.992535890515299</v>
      </c>
      <c r="O14" s="569">
        <f>'Balance Sheet and Cflow'!W169</f>
        <v>-59.79576275715408</v>
      </c>
      <c r="P14" s="569">
        <f>'Balance Sheet and Cflow'!X169</f>
        <v>-58.821841402358487</v>
      </c>
      <c r="Q14" s="569">
        <f>'Balance Sheet and Cflow'!Y169</f>
        <v>-61.300828546835376</v>
      </c>
      <c r="R14" s="569">
        <f>'Balance Sheet and Cflow'!Z169</f>
        <v>-61.797594246651329</v>
      </c>
      <c r="S14" s="569">
        <f>'Balance Sheet and Cflow'!AA169</f>
        <v>-62.189827478250677</v>
      </c>
    </row>
    <row r="15" spans="1:21">
      <c r="B15" s="554" t="s">
        <v>400</v>
      </c>
      <c r="C15" s="572">
        <f t="shared" ref="C15:S15" si="17">SUM(C11:C14)</f>
        <v>2315.75</v>
      </c>
      <c r="D15" s="572">
        <f t="shared" si="17"/>
        <v>2140.25</v>
      </c>
      <c r="E15" s="572">
        <f t="shared" si="17"/>
        <v>2490.75</v>
      </c>
      <c r="F15" s="572">
        <f t="shared" si="17"/>
        <v>2098</v>
      </c>
      <c r="G15" s="572">
        <f t="shared" si="17"/>
        <v>1984</v>
      </c>
      <c r="H15" s="572">
        <f t="shared" si="17"/>
        <v>2500.5</v>
      </c>
      <c r="I15" s="572">
        <f t="shared" si="17"/>
        <v>1701.75</v>
      </c>
      <c r="J15" s="572">
        <f t="shared" si="17"/>
        <v>2675.5</v>
      </c>
      <c r="K15" s="572">
        <f t="shared" si="17"/>
        <v>2947</v>
      </c>
      <c r="L15" s="572">
        <f t="shared" si="17"/>
        <v>2678.75</v>
      </c>
      <c r="M15" s="572">
        <f t="shared" si="17"/>
        <v>2674.1609744312855</v>
      </c>
      <c r="N15" s="572">
        <f t="shared" si="17"/>
        <v>2850.1074215704907</v>
      </c>
      <c r="O15" s="572">
        <f t="shared" si="17"/>
        <v>2924.5886947301069</v>
      </c>
      <c r="P15" s="572">
        <f t="shared" si="17"/>
        <v>3004.1647582426922</v>
      </c>
      <c r="Q15" s="572">
        <f t="shared" si="17"/>
        <v>3073.9432976654125</v>
      </c>
      <c r="R15" s="572">
        <f t="shared" si="17"/>
        <v>3150.0019804372446</v>
      </c>
      <c r="S15" s="572">
        <f t="shared" si="17"/>
        <v>2841.6201262614518</v>
      </c>
    </row>
    <row r="16" spans="1:21">
      <c r="B16" s="515" t="s">
        <v>60</v>
      </c>
      <c r="C16" s="550"/>
      <c r="D16" s="550">
        <f t="shared" ref="D16:I16" si="18">D15/C15-1</f>
        <v>-7.5785382705387039E-2</v>
      </c>
      <c r="E16" s="550">
        <f t="shared" si="18"/>
        <v>0.16376591519682271</v>
      </c>
      <c r="F16" s="550">
        <f t="shared" si="18"/>
        <v>-0.15768342868613872</v>
      </c>
      <c r="G16" s="550">
        <f t="shared" si="18"/>
        <v>-5.4337464251668299E-2</v>
      </c>
      <c r="H16" s="550">
        <f t="shared" si="18"/>
        <v>0.26033266129032251</v>
      </c>
      <c r="I16" s="550">
        <f t="shared" si="18"/>
        <v>-0.31943611277744455</v>
      </c>
      <c r="J16" s="550">
        <f t="shared" ref="J16" si="19">J15/I15-1</f>
        <v>0.57220508300279116</v>
      </c>
      <c r="K16" s="550">
        <f t="shared" ref="K16:S16" si="20">K15/J15-1</f>
        <v>0.10147635955896095</v>
      </c>
      <c r="L16" s="550">
        <f t="shared" si="20"/>
        <v>-9.1024770953512024E-2</v>
      </c>
      <c r="M16" s="550">
        <f t="shared" si="20"/>
        <v>-1.7131220041864959E-3</v>
      </c>
      <c r="N16" s="550">
        <f t="shared" si="20"/>
        <v>6.5795009657795056E-2</v>
      </c>
      <c r="O16" s="550">
        <f t="shared" si="20"/>
        <v>2.6132795064466308E-2</v>
      </c>
      <c r="P16" s="550">
        <f t="shared" si="20"/>
        <v>2.7209317896897955E-2</v>
      </c>
      <c r="Q16" s="550">
        <f t="shared" si="20"/>
        <v>2.3227267822533815E-2</v>
      </c>
      <c r="R16" s="550">
        <f t="shared" si="20"/>
        <v>2.4743033753939825E-2</v>
      </c>
      <c r="S16" s="550">
        <f t="shared" si="20"/>
        <v>-9.7898939775582949E-2</v>
      </c>
    </row>
    <row r="17" spans="1:19">
      <c r="B17" s="515"/>
      <c r="C17" s="521"/>
      <c r="D17" s="521"/>
      <c r="E17" s="521"/>
      <c r="F17" s="521"/>
      <c r="G17" s="521"/>
      <c r="H17" s="521"/>
      <c r="I17" s="521"/>
      <c r="J17" s="521"/>
      <c r="K17" s="521"/>
      <c r="L17" s="521"/>
      <c r="M17" s="521"/>
      <c r="N17" s="521"/>
      <c r="O17" s="521"/>
      <c r="P17" s="521"/>
      <c r="Q17" s="521"/>
      <c r="R17" s="521"/>
      <c r="S17" s="521"/>
    </row>
    <row r="18" spans="1:19">
      <c r="B18" s="515" t="s">
        <v>401</v>
      </c>
      <c r="C18" s="573">
        <v>0</v>
      </c>
      <c r="D18" s="573">
        <v>0</v>
      </c>
      <c r="E18" s="573">
        <v>0</v>
      </c>
      <c r="F18" s="573">
        <v>0</v>
      </c>
      <c r="G18" s="573">
        <v>0</v>
      </c>
      <c r="H18" s="573">
        <v>0</v>
      </c>
      <c r="I18" s="573">
        <v>0</v>
      </c>
      <c r="J18" s="573">
        <v>0</v>
      </c>
      <c r="K18" s="573">
        <v>0</v>
      </c>
      <c r="L18" s="573">
        <v>0</v>
      </c>
      <c r="M18" s="573">
        <v>0</v>
      </c>
      <c r="N18" s="511">
        <f t="shared" ref="N18:O18" si="21">M18+1</f>
        <v>1</v>
      </c>
      <c r="O18" s="511">
        <f t="shared" si="21"/>
        <v>2</v>
      </c>
      <c r="P18" s="511">
        <f t="shared" ref="P18" si="22">O18+1</f>
        <v>3</v>
      </c>
      <c r="Q18" s="511">
        <f t="shared" ref="Q18" si="23">P18+1</f>
        <v>4</v>
      </c>
      <c r="R18" s="511">
        <f t="shared" ref="R18" si="24">Q18+1</f>
        <v>5</v>
      </c>
      <c r="S18" s="511">
        <f t="shared" ref="S18" si="25">R18+1</f>
        <v>6</v>
      </c>
    </row>
    <row r="19" spans="1:19">
      <c r="B19" s="515" t="s">
        <v>402</v>
      </c>
      <c r="C19" s="574">
        <v>0</v>
      </c>
      <c r="D19" s="574">
        <v>0</v>
      </c>
      <c r="E19" s="574">
        <v>0</v>
      </c>
      <c r="F19" s="574">
        <v>0</v>
      </c>
      <c r="G19" s="574">
        <v>0</v>
      </c>
      <c r="H19" s="574">
        <v>0</v>
      </c>
      <c r="I19" s="574">
        <v>0</v>
      </c>
      <c r="J19" s="574">
        <v>0</v>
      </c>
      <c r="K19" s="574">
        <v>0</v>
      </c>
      <c r="L19" s="574">
        <v>0</v>
      </c>
      <c r="M19" s="574">
        <v>0</v>
      </c>
      <c r="N19" s="575">
        <f t="shared" ref="N19:S19" si="26">(1/(1+$C$53)^N18)</f>
        <v>0.93385940746620599</v>
      </c>
      <c r="O19" s="575">
        <f t="shared" si="26"/>
        <v>0.87209339291313348</v>
      </c>
      <c r="P19" s="575">
        <f t="shared" si="26"/>
        <v>0.81441261916105201</v>
      </c>
      <c r="Q19" s="575">
        <f t="shared" si="26"/>
        <v>0.760546885962741</v>
      </c>
      <c r="R19" s="575">
        <f t="shared" si="26"/>
        <v>0.7102438642754334</v>
      </c>
      <c r="S19" s="575">
        <f t="shared" si="26"/>
        <v>0.66326791424876475</v>
      </c>
    </row>
    <row r="20" spans="1:19">
      <c r="B20" s="551" t="s">
        <v>754</v>
      </c>
      <c r="C20" s="576">
        <f t="shared" ref="C20:L20" si="27">C15*C19</f>
        <v>0</v>
      </c>
      <c r="D20" s="576">
        <f t="shared" si="27"/>
        <v>0</v>
      </c>
      <c r="E20" s="576">
        <f t="shared" si="27"/>
        <v>0</v>
      </c>
      <c r="F20" s="576">
        <f t="shared" si="27"/>
        <v>0</v>
      </c>
      <c r="G20" s="576">
        <f t="shared" si="27"/>
        <v>0</v>
      </c>
      <c r="H20" s="576">
        <f t="shared" si="27"/>
        <v>0</v>
      </c>
      <c r="I20" s="576">
        <f t="shared" si="27"/>
        <v>0</v>
      </c>
      <c r="J20" s="576">
        <f t="shared" si="27"/>
        <v>0</v>
      </c>
      <c r="K20" s="576">
        <f t="shared" si="27"/>
        <v>0</v>
      </c>
      <c r="L20" s="576">
        <f t="shared" si="27"/>
        <v>0</v>
      </c>
      <c r="M20" s="576">
        <f t="shared" ref="M20" si="28">M15*M19</f>
        <v>0</v>
      </c>
      <c r="N20" s="576">
        <f t="shared" ref="N20:S20" si="29">N15*N19</f>
        <v>2661.5996279228548</v>
      </c>
      <c r="O20" s="576">
        <f t="shared" si="29"/>
        <v>2550.5144776625712</v>
      </c>
      <c r="P20" s="576">
        <f t="shared" si="29"/>
        <v>2446.6296891517595</v>
      </c>
      <c r="Q20" s="576">
        <f t="shared" si="29"/>
        <v>2337.8780026654686</v>
      </c>
      <c r="R20" s="576">
        <f t="shared" si="29"/>
        <v>2237.2695790610169</v>
      </c>
      <c r="S20" s="576">
        <f t="shared" si="29"/>
        <v>1884.7554542327446</v>
      </c>
    </row>
    <row r="21" spans="1:19">
      <c r="B21" s="515"/>
      <c r="C21" s="511"/>
      <c r="D21" s="511"/>
      <c r="E21" s="511"/>
      <c r="F21" s="511"/>
      <c r="G21" s="511"/>
      <c r="H21" s="521"/>
      <c r="I21" s="521"/>
      <c r="J21" s="521"/>
      <c r="K21" s="521"/>
    </row>
    <row r="22" spans="1:19">
      <c r="B22" s="515"/>
      <c r="C22" s="511"/>
      <c r="D22" s="511"/>
      <c r="E22" s="511"/>
      <c r="F22" s="511"/>
      <c r="G22" s="511"/>
      <c r="H22" s="521"/>
      <c r="I22" s="521"/>
      <c r="J22" s="521"/>
      <c r="K22" s="521"/>
    </row>
    <row r="23" spans="1:19">
      <c r="A23" s="542" t="s">
        <v>728</v>
      </c>
      <c r="B23" s="423" t="s">
        <v>279</v>
      </c>
      <c r="C23" s="424"/>
      <c r="D23" s="425" t="s">
        <v>709</v>
      </c>
      <c r="E23" s="511"/>
      <c r="F23" s="511"/>
      <c r="G23" s="511"/>
      <c r="H23" s="521"/>
      <c r="I23" s="521"/>
      <c r="J23" s="521"/>
      <c r="K23" s="521"/>
    </row>
    <row r="24" spans="1:19">
      <c r="B24" s="515" t="s">
        <v>667</v>
      </c>
      <c r="C24" s="540">
        <f>SUM(N20:S20)</f>
        <v>14118.646830696416</v>
      </c>
      <c r="D24" s="540"/>
      <c r="E24" s="511"/>
      <c r="F24" s="541"/>
      <c r="G24" s="541"/>
      <c r="H24" s="541"/>
      <c r="I24" s="541"/>
      <c r="J24" s="521"/>
      <c r="K24" s="521"/>
    </row>
    <row r="25" spans="1:19">
      <c r="B25" s="515" t="s">
        <v>403</v>
      </c>
      <c r="C25" s="540">
        <f>(S15*(1+C54)/(C53-C54))*S19</f>
        <v>37824.900409589769</v>
      </c>
      <c r="D25" s="543"/>
      <c r="E25" s="544"/>
      <c r="F25" s="545"/>
      <c r="G25" s="546"/>
      <c r="H25" s="546"/>
      <c r="I25" s="547"/>
      <c r="J25" s="521"/>
      <c r="K25" s="521"/>
    </row>
    <row r="26" spans="1:19">
      <c r="B26" s="548" t="s">
        <v>404</v>
      </c>
      <c r="C26" s="561">
        <v>-200</v>
      </c>
      <c r="D26" s="543"/>
      <c r="E26" s="549"/>
      <c r="F26" s="511"/>
      <c r="G26" s="550"/>
      <c r="H26" s="550"/>
      <c r="I26" s="547"/>
      <c r="J26" s="521"/>
      <c r="K26" s="521"/>
    </row>
    <row r="27" spans="1:19">
      <c r="B27" s="551" t="s">
        <v>405</v>
      </c>
      <c r="C27" s="552">
        <f>C25+C24+C26</f>
        <v>51743.547240286185</v>
      </c>
      <c r="D27" s="553">
        <f>D30-D29</f>
        <v>46571.897888074564</v>
      </c>
      <c r="E27" s="511" t="s">
        <v>506</v>
      </c>
    </row>
    <row r="28" spans="1:19">
      <c r="B28" s="515" t="s">
        <v>406</v>
      </c>
      <c r="C28" s="540">
        <f>C27/E28</f>
        <v>12935.886810071546</v>
      </c>
      <c r="D28" s="543"/>
      <c r="E28" s="562">
        <v>4</v>
      </c>
    </row>
    <row r="29" spans="1:19">
      <c r="B29" s="515" t="s">
        <v>910</v>
      </c>
      <c r="C29" s="665">
        <f>-'Balance Sheet and Cflow'!U135</f>
        <v>-7994.3728880745612</v>
      </c>
      <c r="D29" s="543">
        <f>C29</f>
        <v>-7994.3728880745612</v>
      </c>
      <c r="E29" s="549"/>
      <c r="F29" s="511"/>
      <c r="G29" s="550"/>
    </row>
    <row r="30" spans="1:19">
      <c r="B30" s="554" t="s">
        <v>407</v>
      </c>
      <c r="C30" s="552">
        <f>C27+C29</f>
        <v>43749.174352211623</v>
      </c>
      <c r="D30" s="552">
        <f>D32*D31</f>
        <v>38577.525000000001</v>
      </c>
      <c r="E30" s="549"/>
      <c r="F30" s="511"/>
      <c r="G30" s="550"/>
    </row>
    <row r="31" spans="1:19">
      <c r="B31" s="515" t="s">
        <v>708</v>
      </c>
      <c r="C31" s="666">
        <f>'Balance Sheet and Cflow'!T214</f>
        <v>7833</v>
      </c>
      <c r="D31" s="543">
        <f>C31</f>
        <v>7833</v>
      </c>
      <c r="E31" s="549"/>
      <c r="F31" s="511"/>
      <c r="G31" s="550"/>
    </row>
    <row r="32" spans="1:19">
      <c r="B32" s="551"/>
      <c r="C32" s="555">
        <f>C30/C31</f>
        <v>5.5852386508632224</v>
      </c>
      <c r="D32" s="556">
        <f>D34-D33</f>
        <v>4.9249999999999998</v>
      </c>
      <c r="E32" s="549"/>
      <c r="F32" s="511"/>
      <c r="G32" s="550"/>
    </row>
    <row r="33" spans="2:11">
      <c r="B33" s="515" t="s">
        <v>713</v>
      </c>
      <c r="C33" s="664">
        <f>'Income Statement'!CN501</f>
        <v>0.17499999999999999</v>
      </c>
      <c r="D33" s="557">
        <f>C33</f>
        <v>0.17499999999999999</v>
      </c>
      <c r="E33" s="549"/>
      <c r="F33" s="511"/>
      <c r="G33" s="550"/>
    </row>
    <row r="34" spans="2:11">
      <c r="B34" s="554" t="s">
        <v>572</v>
      </c>
      <c r="C34" s="558">
        <f>C32+C33</f>
        <v>5.7602386508632222</v>
      </c>
      <c r="D34" s="559">
        <v>5.0999999999999996</v>
      </c>
      <c r="E34" s="549">
        <v>4.2</v>
      </c>
      <c r="F34" s="549"/>
      <c r="G34" s="549"/>
    </row>
    <row r="35" spans="2:11">
      <c r="B35" s="515" t="s">
        <v>408</v>
      </c>
      <c r="C35" s="599">
        <v>3.68</v>
      </c>
      <c r="D35" s="560" cm="1">
        <f t="array" ref="D35">_xll.FDS("6012-MY","FG_PRICE(0)")</f>
        <v>3.68</v>
      </c>
      <c r="E35" s="511"/>
      <c r="F35" s="549"/>
      <c r="G35" s="550"/>
    </row>
    <row r="36" spans="2:11">
      <c r="B36" s="515" t="s">
        <v>409</v>
      </c>
      <c r="C36" s="550">
        <f>D34/C35-1</f>
        <v>0.38586956521739113</v>
      </c>
      <c r="D36" s="549"/>
      <c r="E36" s="511"/>
      <c r="F36" s="550"/>
      <c r="G36" s="550"/>
    </row>
    <row r="37" spans="2:11">
      <c r="B37" s="551"/>
      <c r="C37" s="546"/>
      <c r="D37" s="546"/>
      <c r="E37" s="546"/>
      <c r="F37" s="546"/>
      <c r="G37" s="550"/>
    </row>
    <row r="38" spans="2:11">
      <c r="B38" s="608" t="s">
        <v>738</v>
      </c>
      <c r="C38" s="609"/>
      <c r="D38" s="610"/>
      <c r="E38" s="546"/>
      <c r="F38" s="546"/>
      <c r="G38" s="550"/>
    </row>
    <row r="39" spans="2:11">
      <c r="B39" s="600" t="s">
        <v>756</v>
      </c>
      <c r="C39" s="601" t="s">
        <v>758</v>
      </c>
      <c r="D39" s="602"/>
      <c r="E39" s="546"/>
      <c r="F39" s="546"/>
      <c r="G39" s="550"/>
    </row>
    <row r="40" spans="2:11">
      <c r="B40" s="421" t="s">
        <v>408</v>
      </c>
      <c r="C40" s="789">
        <v>3.68</v>
      </c>
      <c r="D40" s="603" cm="1">
        <f t="array" ref="D40">_xll.FDS(C39,"FG_PRICE(0)")</f>
        <v>3.68</v>
      </c>
      <c r="E40" s="546"/>
      <c r="F40" s="546"/>
      <c r="G40" s="550"/>
    </row>
    <row r="41" spans="2:11">
      <c r="B41" s="421" t="s">
        <v>757</v>
      </c>
      <c r="C41" s="789">
        <v>7841.9</v>
      </c>
      <c r="D41" s="603" cm="1">
        <f t="array" ref="D41">_xll.FDS(C39,"FF_COM_SHS_OUT(CURR,0)")</f>
        <v>7841.9</v>
      </c>
      <c r="E41" s="546"/>
      <c r="F41" s="546"/>
      <c r="G41" s="550"/>
    </row>
    <row r="42" spans="2:11">
      <c r="B42" s="600" t="s">
        <v>777</v>
      </c>
      <c r="C42" s="604">
        <f>C40*C41/1000</f>
        <v>28.858191999999999</v>
      </c>
      <c r="D42" s="607">
        <f>C42/D43</f>
        <v>7.0609718620014679</v>
      </c>
      <c r="E42" s="546"/>
      <c r="F42" s="546"/>
      <c r="G42" s="550"/>
    </row>
    <row r="43" spans="2:11">
      <c r="B43" s="421" t="s">
        <v>506</v>
      </c>
      <c r="C43" s="605"/>
      <c r="D43" s="606" cm="1">
        <f t="array" ref="D43">_xll.FDS("","P_EXCH_RATE(USD,MYR,0)")</f>
        <v>4.0869999999999997</v>
      </c>
      <c r="E43" s="546"/>
      <c r="F43" s="546"/>
      <c r="G43" s="550"/>
    </row>
    <row r="44" spans="2:11">
      <c r="B44" s="551"/>
      <c r="C44" s="509"/>
      <c r="D44" s="509"/>
      <c r="E44" s="509"/>
      <c r="F44" s="509"/>
      <c r="G44" s="550"/>
    </row>
    <row r="45" spans="2:11">
      <c r="B45" s="423" t="s">
        <v>243</v>
      </c>
      <c r="C45" s="511"/>
      <c r="D45" s="511"/>
      <c r="E45" s="511"/>
      <c r="F45" s="511"/>
      <c r="G45" s="511"/>
    </row>
    <row r="46" spans="2:11">
      <c r="B46" s="577" t="s">
        <v>412</v>
      </c>
      <c r="C46" s="538">
        <v>3.9E-2</v>
      </c>
      <c r="D46" s="511"/>
      <c r="E46" s="511"/>
      <c r="F46" s="511"/>
      <c r="G46" s="511"/>
    </row>
    <row r="47" spans="2:11">
      <c r="B47" s="578" t="s">
        <v>413</v>
      </c>
      <c r="C47" s="539">
        <v>0.25</v>
      </c>
      <c r="D47" s="511"/>
      <c r="E47" s="511"/>
      <c r="F47" s="511"/>
      <c r="G47" s="511"/>
    </row>
    <row r="48" spans="2:11">
      <c r="B48" s="578" t="s">
        <v>414</v>
      </c>
      <c r="C48" s="539">
        <v>0.04</v>
      </c>
      <c r="D48" s="511"/>
      <c r="E48" s="511"/>
      <c r="F48" s="511"/>
      <c r="G48" s="511"/>
      <c r="H48" s="511"/>
      <c r="I48" s="521"/>
      <c r="J48" s="521"/>
      <c r="K48" s="521"/>
    </row>
    <row r="49" spans="2:19">
      <c r="B49" s="578" t="s">
        <v>415</v>
      </c>
      <c r="C49" s="539">
        <v>0.03</v>
      </c>
      <c r="D49" s="511"/>
      <c r="E49" s="511"/>
      <c r="F49" s="511"/>
      <c r="G49" s="511"/>
      <c r="H49" s="511"/>
      <c r="I49" s="521"/>
      <c r="J49" s="521"/>
      <c r="K49" s="521"/>
    </row>
    <row r="50" spans="2:19">
      <c r="B50" s="578" t="s">
        <v>416</v>
      </c>
      <c r="C50" s="581">
        <f>C46+C48</f>
        <v>7.9000000000000001E-2</v>
      </c>
      <c r="D50" s="511"/>
      <c r="E50" s="511"/>
      <c r="F50" s="511"/>
      <c r="G50" s="511"/>
      <c r="H50" s="511"/>
      <c r="I50" s="521"/>
      <c r="J50" s="521"/>
      <c r="K50" s="521"/>
    </row>
    <row r="51" spans="2:19">
      <c r="B51" s="578" t="s">
        <v>417</v>
      </c>
      <c r="C51" s="581">
        <f>(C46+C49)*(1-C47)</f>
        <v>5.1750000000000004E-2</v>
      </c>
      <c r="D51" s="511"/>
      <c r="E51" s="511"/>
      <c r="F51" s="511"/>
      <c r="G51" s="511"/>
      <c r="H51" s="511"/>
      <c r="I51" s="521"/>
      <c r="J51" s="521"/>
      <c r="K51" s="521"/>
    </row>
    <row r="52" spans="2:19">
      <c r="B52" s="578" t="s">
        <v>907</v>
      </c>
      <c r="C52" s="539">
        <v>0.3</v>
      </c>
      <c r="D52" s="511"/>
      <c r="E52" s="680"/>
      <c r="F52" s="511"/>
      <c r="G52" s="511"/>
      <c r="H52" s="511"/>
      <c r="I52" s="521"/>
      <c r="J52" s="521"/>
      <c r="K52" s="521"/>
    </row>
    <row r="53" spans="2:19">
      <c r="B53" s="579" t="s">
        <v>243</v>
      </c>
      <c r="C53" s="914">
        <f>(C52*C51)+((1-C52)*C50)</f>
        <v>7.0824999999999999E-2</v>
      </c>
      <c r="D53" s="549"/>
      <c r="E53" s="549"/>
      <c r="F53" s="549"/>
      <c r="G53" s="549"/>
      <c r="H53" s="511"/>
      <c r="I53" s="521"/>
      <c r="J53" s="521"/>
      <c r="K53" s="521"/>
    </row>
    <row r="54" spans="2:19">
      <c r="B54" s="580" t="s">
        <v>418</v>
      </c>
      <c r="C54" s="597">
        <v>0.02</v>
      </c>
      <c r="D54" s="511"/>
      <c r="E54" s="511"/>
      <c r="F54" s="511"/>
      <c r="G54" s="511"/>
      <c r="H54" s="511"/>
      <c r="I54" s="521"/>
      <c r="J54" s="521"/>
      <c r="K54" s="521"/>
    </row>
    <row r="58" spans="2:19">
      <c r="B58" s="426" t="s">
        <v>563</v>
      </c>
      <c r="C58" s="427">
        <v>2016</v>
      </c>
      <c r="D58" s="427">
        <f>C58+1</f>
        <v>2017</v>
      </c>
      <c r="E58" s="427">
        <f t="shared" ref="E58:O58" si="30">D58+1</f>
        <v>2018</v>
      </c>
      <c r="F58" s="427">
        <f t="shared" si="30"/>
        <v>2019</v>
      </c>
      <c r="G58" s="427">
        <f t="shared" si="30"/>
        <v>2020</v>
      </c>
      <c r="H58" s="427">
        <f t="shared" si="30"/>
        <v>2021</v>
      </c>
      <c r="I58" s="427">
        <f t="shared" si="30"/>
        <v>2022</v>
      </c>
      <c r="J58" s="427">
        <f t="shared" si="30"/>
        <v>2023</v>
      </c>
      <c r="K58" s="427">
        <f t="shared" si="30"/>
        <v>2024</v>
      </c>
      <c r="L58" s="427">
        <f t="shared" si="30"/>
        <v>2025</v>
      </c>
      <c r="M58" s="427">
        <f t="shared" si="30"/>
        <v>2026</v>
      </c>
      <c r="N58" s="427">
        <f t="shared" si="30"/>
        <v>2027</v>
      </c>
      <c r="O58" s="427">
        <f t="shared" si="30"/>
        <v>2028</v>
      </c>
      <c r="P58" s="427">
        <f t="shared" ref="P58" si="31">O58+1</f>
        <v>2029</v>
      </c>
      <c r="Q58" s="427">
        <f t="shared" ref="Q58" si="32">P58+1</f>
        <v>2030</v>
      </c>
      <c r="R58" s="427">
        <f t="shared" ref="R58" si="33">Q58+1</f>
        <v>2031</v>
      </c>
      <c r="S58" s="427">
        <f t="shared" ref="S58" si="34">R58+1</f>
        <v>2032</v>
      </c>
    </row>
    <row r="59" spans="2:19">
      <c r="B59" s="542" t="s">
        <v>396</v>
      </c>
      <c r="C59" s="582">
        <v>7750</v>
      </c>
      <c r="D59" s="582">
        <f>'Balance Sheet and Cflow'!L214</f>
        <v>7800</v>
      </c>
      <c r="E59" s="582">
        <f>'Balance Sheet and Cflow'!M214</f>
        <v>7810</v>
      </c>
      <c r="F59" s="582">
        <f>'Balance Sheet and Cflow'!N214</f>
        <v>7820</v>
      </c>
      <c r="G59" s="582">
        <f>'Balance Sheet and Cflow'!O214</f>
        <v>7825</v>
      </c>
      <c r="H59" s="582">
        <f>'Balance Sheet and Cflow'!P214</f>
        <v>7825</v>
      </c>
      <c r="I59" s="582">
        <f>'Balance Sheet and Cflow'!Q214</f>
        <v>7828</v>
      </c>
      <c r="J59" s="582">
        <f>'Balance Sheet and Cflow'!R214</f>
        <v>7832</v>
      </c>
      <c r="K59" s="582">
        <f>'Balance Sheet and Cflow'!S214</f>
        <v>7832</v>
      </c>
      <c r="L59" s="582">
        <f>'Balance Sheet and Cflow'!T214</f>
        <v>7833</v>
      </c>
      <c r="M59" s="582">
        <f>'Balance Sheet and Cflow'!U214</f>
        <v>7835</v>
      </c>
      <c r="N59" s="582">
        <f>'Balance Sheet and Cflow'!V214</f>
        <v>7835</v>
      </c>
      <c r="O59" s="582">
        <f>'Balance Sheet and Cflow'!W214</f>
        <v>7835</v>
      </c>
      <c r="P59" s="582">
        <f>'Balance Sheet and Cflow'!X214</f>
        <v>7835</v>
      </c>
      <c r="Q59" s="582">
        <f>'Balance Sheet and Cflow'!Y214</f>
        <v>7835</v>
      </c>
      <c r="R59" s="582">
        <f>'Balance Sheet and Cflow'!Z214</f>
        <v>7835</v>
      </c>
      <c r="S59" s="582">
        <f>'Balance Sheet and Cflow'!AA214</f>
        <v>7835</v>
      </c>
    </row>
    <row r="60" spans="2:19">
      <c r="B60" s="542" t="s">
        <v>397</v>
      </c>
      <c r="C60" s="598">
        <f>C35</f>
        <v>3.68</v>
      </c>
      <c r="D60" s="598">
        <f>C60</f>
        <v>3.68</v>
      </c>
      <c r="E60" s="598">
        <f t="shared" ref="E60:O60" si="35">D60</f>
        <v>3.68</v>
      </c>
      <c r="F60" s="598">
        <f t="shared" si="35"/>
        <v>3.68</v>
      </c>
      <c r="G60" s="598">
        <f t="shared" si="35"/>
        <v>3.68</v>
      </c>
      <c r="H60" s="598">
        <f t="shared" si="35"/>
        <v>3.68</v>
      </c>
      <c r="I60" s="598">
        <f t="shared" si="35"/>
        <v>3.68</v>
      </c>
      <c r="J60" s="598">
        <f t="shared" si="35"/>
        <v>3.68</v>
      </c>
      <c r="K60" s="598">
        <f t="shared" si="35"/>
        <v>3.68</v>
      </c>
      <c r="L60" s="598">
        <f t="shared" si="35"/>
        <v>3.68</v>
      </c>
      <c r="M60" s="598">
        <f t="shared" si="35"/>
        <v>3.68</v>
      </c>
      <c r="N60" s="598">
        <f t="shared" si="35"/>
        <v>3.68</v>
      </c>
      <c r="O60" s="598">
        <f t="shared" si="35"/>
        <v>3.68</v>
      </c>
      <c r="P60" s="598">
        <f t="shared" ref="P60" si="36">O60</f>
        <v>3.68</v>
      </c>
      <c r="Q60" s="598">
        <f t="shared" ref="Q60" si="37">P60</f>
        <v>3.68</v>
      </c>
      <c r="R60" s="598">
        <f t="shared" ref="R60" si="38">Q60</f>
        <v>3.68</v>
      </c>
      <c r="S60" s="598">
        <f t="shared" ref="S60" si="39">R60</f>
        <v>3.68</v>
      </c>
    </row>
    <row r="61" spans="2:19">
      <c r="B61" s="583" t="s">
        <v>755</v>
      </c>
      <c r="C61" s="584">
        <f t="shared" ref="C61:I61" si="40">C59*C60</f>
        <v>28520</v>
      </c>
      <c r="D61" s="584">
        <f t="shared" si="40"/>
        <v>28704</v>
      </c>
      <c r="E61" s="584">
        <f t="shared" si="40"/>
        <v>28740.800000000003</v>
      </c>
      <c r="F61" s="584">
        <f t="shared" si="40"/>
        <v>28777.600000000002</v>
      </c>
      <c r="G61" s="584">
        <f t="shared" si="40"/>
        <v>28796</v>
      </c>
      <c r="H61" s="584">
        <f t="shared" si="40"/>
        <v>28796</v>
      </c>
      <c r="I61" s="584">
        <f t="shared" si="40"/>
        <v>28807.040000000001</v>
      </c>
      <c r="J61" s="584">
        <f t="shared" ref="J61:O61" si="41">J59*J60</f>
        <v>28821.760000000002</v>
      </c>
      <c r="K61" s="584">
        <f t="shared" si="41"/>
        <v>28821.760000000002</v>
      </c>
      <c r="L61" s="584">
        <f t="shared" si="41"/>
        <v>28825.440000000002</v>
      </c>
      <c r="M61" s="584">
        <f t="shared" si="41"/>
        <v>28832.800000000003</v>
      </c>
      <c r="N61" s="584">
        <f t="shared" si="41"/>
        <v>28832.800000000003</v>
      </c>
      <c r="O61" s="584">
        <f t="shared" si="41"/>
        <v>28832.800000000003</v>
      </c>
      <c r="P61" s="584">
        <f t="shared" ref="P61:S61" si="42">P59*P60</f>
        <v>28832.800000000003</v>
      </c>
      <c r="Q61" s="584">
        <f t="shared" si="42"/>
        <v>28832.800000000003</v>
      </c>
      <c r="R61" s="584">
        <f t="shared" si="42"/>
        <v>28832.800000000003</v>
      </c>
      <c r="S61" s="584">
        <f t="shared" si="42"/>
        <v>28832.800000000003</v>
      </c>
    </row>
    <row r="62" spans="2:19">
      <c r="B62" s="542" t="s">
        <v>419</v>
      </c>
      <c r="C62" s="585"/>
      <c r="D62" s="685">
        <v>0</v>
      </c>
      <c r="E62" s="685">
        <v>0</v>
      </c>
      <c r="F62" s="685">
        <v>0</v>
      </c>
      <c r="G62" s="685">
        <v>0</v>
      </c>
      <c r="H62" s="685">
        <v>0</v>
      </c>
      <c r="I62" s="685">
        <v>0</v>
      </c>
      <c r="J62" s="685">
        <v>0</v>
      </c>
      <c r="K62" s="685">
        <v>0</v>
      </c>
      <c r="L62" s="685">
        <v>0</v>
      </c>
      <c r="M62" s="582">
        <f>L62+'Balance Sheet and Cflow'!U61</f>
        <v>-1614.9853056527602</v>
      </c>
      <c r="N62" s="582">
        <f>M62+'Balance Sheet and Cflow'!V61</f>
        <v>-3347.0997444732875</v>
      </c>
      <c r="O62" s="582">
        <f>N62+'Balance Sheet and Cflow'!W61</f>
        <v>-5183.7118778167405</v>
      </c>
      <c r="P62" s="582">
        <f>O62+'Balance Sheet and Cflow'!X61</f>
        <v>-7133.6223456015859</v>
      </c>
      <c r="Q62" s="582">
        <f>P62+'Balance Sheet and Cflow'!Y61</f>
        <v>-9206.8186758487864</v>
      </c>
      <c r="R62" s="582">
        <f>Q62+'Balance Sheet and Cflow'!Z61</f>
        <v>-11396.844711024816</v>
      </c>
      <c r="S62" s="582">
        <f>R62+'Balance Sheet and Cflow'!AA61</f>
        <v>-13724.911990776705</v>
      </c>
    </row>
    <row r="63" spans="2:19">
      <c r="B63" s="542" t="s">
        <v>142</v>
      </c>
      <c r="C63" s="582">
        <f>'Balance Sheet and Cflow'!K66</f>
        <v>9182.1881259346228</v>
      </c>
      <c r="D63" s="582">
        <f>'Balance Sheet and Cflow'!L66</f>
        <v>7044.1881259346228</v>
      </c>
      <c r="E63" s="582">
        <f>'Balance Sheet and Cflow'!M66</f>
        <v>7079.9491259346223</v>
      </c>
      <c r="F63" s="582">
        <f>'Balance Sheet and Cflow'!N66</f>
        <v>8365.1881259346228</v>
      </c>
      <c r="G63" s="582">
        <f>'Balance Sheet and Cflow'!O66</f>
        <v>9028.1881259346228</v>
      </c>
      <c r="H63" s="582">
        <f>'Balance Sheet and Cflow'!P66</f>
        <v>8899.1881259346228</v>
      </c>
      <c r="I63" s="582">
        <f>'Balance Sheet and Cflow'!Q66</f>
        <v>9237.1881259346228</v>
      </c>
      <c r="J63" s="582">
        <f>'Balance Sheet and Cflow'!R66</f>
        <v>9203.1881259346228</v>
      </c>
      <c r="K63" s="582">
        <f>'Balance Sheet and Cflow'!S66</f>
        <v>8825.1881259346228</v>
      </c>
      <c r="L63" s="582">
        <f>'Balance Sheet and Cflow'!T66</f>
        <v>8522.1881259346228</v>
      </c>
      <c r="M63" s="582">
        <f>'Balance Sheet and Cflow'!U66</f>
        <v>7994.3728880745612</v>
      </c>
      <c r="N63" s="582">
        <f>'Balance Sheet and Cflow'!V66</f>
        <v>7371.538076757045</v>
      </c>
      <c r="O63" s="582">
        <f>'Balance Sheet and Cflow'!W66</f>
        <v>6750.5267779453279</v>
      </c>
      <c r="P63" s="582">
        <f>'Balance Sheet and Cflow'!X66</f>
        <v>6134.7882294221918</v>
      </c>
      <c r="Q63" s="582">
        <f>'Balance Sheet and Cflow'!Y66</f>
        <v>5544.1796376897373</v>
      </c>
      <c r="R63" s="582">
        <f>'Balance Sheet and Cflow'!Z66</f>
        <v>4966.0278012041254</v>
      </c>
      <c r="S63" s="582">
        <f>'Balance Sheet and Cflow'!AA66</f>
        <v>4805.1774673003956</v>
      </c>
    </row>
    <row r="64" spans="2:19">
      <c r="B64" s="586" t="s">
        <v>244</v>
      </c>
      <c r="C64" s="587">
        <f>C61+C62+C63</f>
        <v>37702.188125934626</v>
      </c>
      <c r="D64" s="587">
        <f t="shared" ref="D64:I64" si="43">D61+D62+D63</f>
        <v>35748.188125934626</v>
      </c>
      <c r="E64" s="587">
        <f t="shared" si="43"/>
        <v>35820.749125934628</v>
      </c>
      <c r="F64" s="587">
        <f t="shared" si="43"/>
        <v>37142.788125934625</v>
      </c>
      <c r="G64" s="587">
        <f t="shared" si="43"/>
        <v>37824.188125934626</v>
      </c>
      <c r="H64" s="587">
        <f t="shared" si="43"/>
        <v>37695.188125934626</v>
      </c>
      <c r="I64" s="587">
        <f t="shared" si="43"/>
        <v>38044.22812593462</v>
      </c>
      <c r="J64" s="587">
        <f t="shared" ref="J64" si="44">J61+J62+J63</f>
        <v>38024.948125934621</v>
      </c>
      <c r="K64" s="587">
        <f t="shared" ref="K64:S64" si="45">K61+K62+K63</f>
        <v>37646.948125934621</v>
      </c>
      <c r="L64" s="587">
        <f t="shared" si="45"/>
        <v>37347.628125934629</v>
      </c>
      <c r="M64" s="587">
        <f t="shared" si="45"/>
        <v>35212.1875824218</v>
      </c>
      <c r="N64" s="587">
        <f t="shared" si="45"/>
        <v>32857.238332283763</v>
      </c>
      <c r="O64" s="587">
        <f t="shared" si="45"/>
        <v>30399.614900128588</v>
      </c>
      <c r="P64" s="587">
        <f t="shared" si="45"/>
        <v>27833.965883820609</v>
      </c>
      <c r="Q64" s="587">
        <f t="shared" si="45"/>
        <v>25170.160961840953</v>
      </c>
      <c r="R64" s="587">
        <f t="shared" si="45"/>
        <v>22401.98309017931</v>
      </c>
      <c r="S64" s="587">
        <f t="shared" si="45"/>
        <v>19913.065476523694</v>
      </c>
    </row>
    <row r="66" spans="2:19">
      <c r="B66" s="520" t="s">
        <v>711</v>
      </c>
    </row>
    <row r="67" spans="2:19">
      <c r="B67" s="515" t="s">
        <v>410</v>
      </c>
      <c r="C67" s="546">
        <f t="shared" ref="C67:S67" si="46">C64/C11</f>
        <v>8.3745420093146663</v>
      </c>
      <c r="D67" s="546">
        <f t="shared" si="46"/>
        <v>8.5216181468258938</v>
      </c>
      <c r="E67" s="546">
        <f t="shared" si="46"/>
        <v>9.32103802392262</v>
      </c>
      <c r="F67" s="546">
        <f t="shared" si="46"/>
        <v>9.4607203581086665</v>
      </c>
      <c r="G67" s="546">
        <f t="shared" si="46"/>
        <v>9.9171966769624085</v>
      </c>
      <c r="H67" s="546">
        <f t="shared" si="46"/>
        <v>9.7252807342452599</v>
      </c>
      <c r="I67" s="546">
        <f t="shared" si="46"/>
        <v>9.6829290216173636</v>
      </c>
      <c r="J67" s="546">
        <f t="shared" si="46"/>
        <v>9.6022596277612688</v>
      </c>
      <c r="K67" s="546">
        <f t="shared" si="46"/>
        <v>9.1331751882422658</v>
      </c>
      <c r="L67" s="546">
        <f t="shared" si="46"/>
        <v>8.6273107244016245</v>
      </c>
      <c r="M67" s="546">
        <f t="shared" si="46"/>
        <v>7.7875619202640376</v>
      </c>
      <c r="N67" s="546">
        <f t="shared" si="46"/>
        <v>7.0618589613501088</v>
      </c>
      <c r="O67" s="546">
        <f t="shared" si="46"/>
        <v>6.3561248480202348</v>
      </c>
      <c r="P67" s="546">
        <f t="shared" si="46"/>
        <v>5.6566056823009188</v>
      </c>
      <c r="Q67" s="546">
        <f t="shared" si="46"/>
        <v>4.979205922730003</v>
      </c>
      <c r="R67" s="546">
        <f t="shared" si="46"/>
        <v>4.3146092601511752</v>
      </c>
      <c r="S67" s="546">
        <f t="shared" si="46"/>
        <v>3.7345836524869016</v>
      </c>
    </row>
    <row r="68" spans="2:19">
      <c r="B68" s="515" t="s">
        <v>411</v>
      </c>
      <c r="C68" s="588">
        <f t="shared" ref="C68:S68" si="47">C15/C64</f>
        <v>6.1422164471325182E-2</v>
      </c>
      <c r="D68" s="588">
        <f t="shared" si="47"/>
        <v>5.9870167194495921E-2</v>
      </c>
      <c r="E68" s="588">
        <f t="shared" si="47"/>
        <v>6.9533721677436072E-2</v>
      </c>
      <c r="F68" s="588">
        <f t="shared" si="47"/>
        <v>5.6484720341580655E-2</v>
      </c>
      <c r="G68" s="588">
        <f t="shared" si="47"/>
        <v>5.2453207809625015E-2</v>
      </c>
      <c r="H68" s="588">
        <f t="shared" si="47"/>
        <v>6.6334726640603595E-2</v>
      </c>
      <c r="I68" s="588">
        <f t="shared" si="47"/>
        <v>4.4730832607954081E-2</v>
      </c>
      <c r="J68" s="588">
        <f t="shared" si="47"/>
        <v>7.0361700195856303E-2</v>
      </c>
      <c r="K68" s="588">
        <f t="shared" si="47"/>
        <v>7.8279917674650493E-2</v>
      </c>
      <c r="L68" s="588">
        <f t="shared" si="47"/>
        <v>7.1724768999181635E-2</v>
      </c>
      <c r="M68" s="588">
        <f t="shared" si="47"/>
        <v>7.5944187454182702E-2</v>
      </c>
      <c r="N68" s="588">
        <f t="shared" si="47"/>
        <v>8.6742147734617359E-2</v>
      </c>
      <c r="O68" s="588">
        <f t="shared" si="47"/>
        <v>9.6204794183683426E-2</v>
      </c>
      <c r="P68" s="588">
        <f t="shared" si="47"/>
        <v>0.10793161027724618</v>
      </c>
      <c r="Q68" s="588">
        <f t="shared" si="47"/>
        <v>0.12212648549707897</v>
      </c>
      <c r="R68" s="588">
        <f t="shared" si="47"/>
        <v>0.14061263986125219</v>
      </c>
      <c r="S68" s="588">
        <f t="shared" si="47"/>
        <v>0.14270128974424109</v>
      </c>
    </row>
    <row r="69" spans="2:19">
      <c r="B69" s="515" t="s">
        <v>710</v>
      </c>
      <c r="C69" s="509">
        <f>$C35/'Income Statement'!AU498</f>
        <v>14.003044140030443</v>
      </c>
      <c r="D69" s="509">
        <f>$C35/'Income Statement'!AZ498</f>
        <v>13.971858321203301</v>
      </c>
      <c r="E69" s="509">
        <f>$C35/'Income Statement'!BE498</f>
        <v>15.637393767705383</v>
      </c>
      <c r="F69" s="509">
        <f>$C35/'Income Statement'!BJ498</f>
        <v>19.275016744809111</v>
      </c>
      <c r="G69" s="509">
        <f>$C35/'Income Statement'!BO498</f>
        <v>20.88359941944848</v>
      </c>
      <c r="H69" s="509">
        <f>$C35/'Income Statement'!BT498</f>
        <v>22.001223241590214</v>
      </c>
      <c r="I69" s="509">
        <f>$C35/'Income Statement'!BY498</f>
        <v>25.007072802196586</v>
      </c>
      <c r="J69" s="509">
        <f>$C35/'Income Statement'!CD498</f>
        <v>29.009677419354841</v>
      </c>
      <c r="K69" s="509">
        <f>$C35/'Income Statement'!CI498</f>
        <v>20.622196557492455</v>
      </c>
      <c r="L69" s="509">
        <f>$C35/'Income Statement'!CN498</f>
        <v>18.44395776268361</v>
      </c>
      <c r="M69" s="509">
        <f>$C35/'Income Statement'!CQ498</f>
        <v>16.067960438507814</v>
      </c>
      <c r="N69" s="509">
        <f>$C35/'Income Statement'!CR498</f>
        <v>14.9814119774154</v>
      </c>
      <c r="O69" s="509">
        <f>$C35/'Income Statement'!CS498</f>
        <v>14.129014792448471</v>
      </c>
      <c r="P69" s="509">
        <f>$C35/'Income Statement'!CT498</f>
        <v>13.308057179404448</v>
      </c>
      <c r="Q69" s="509">
        <f>$C35/'Income Statement'!CU498</f>
        <v>12.516672744112892</v>
      </c>
      <c r="R69" s="509">
        <f>$C35/'Income Statement'!CV498</f>
        <v>11.848955027566255</v>
      </c>
      <c r="S69" s="509">
        <f>$C35/'Income Statement'!CW498</f>
        <v>11.146378897935266</v>
      </c>
    </row>
    <row r="71" spans="2:19">
      <c r="B71" s="520"/>
    </row>
    <row r="72" spans="2:19">
      <c r="B72" s="515"/>
    </row>
    <row r="73" spans="2:19">
      <c r="B73" s="515"/>
    </row>
    <row r="74" spans="2:19">
      <c r="B74" s="515"/>
    </row>
    <row r="75" spans="2:19">
      <c r="B75" s="5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936C8-CC14-4410-896B-BF08B3B10644}">
  <sheetPr>
    <tabColor theme="0"/>
    <pageSetUpPr fitToPage="1"/>
  </sheetPr>
  <dimension ref="B1:BQ92"/>
  <sheetViews>
    <sheetView zoomScale="85" zoomScaleNormal="85" workbookViewId="0">
      <pane xSplit="3" ySplit="1" topLeftCell="N2" activePane="bottomRight" state="frozen"/>
      <selection activeCell="K14" sqref="K14"/>
      <selection pane="topRight" activeCell="K14" sqref="K14"/>
      <selection pane="bottomLeft" activeCell="K14" sqref="K14"/>
      <selection pane="bottomRight" activeCell="U42" sqref="U42"/>
    </sheetView>
  </sheetViews>
  <sheetFormatPr defaultColWidth="8.54296875" defaultRowHeight="13" outlineLevelCol="1"/>
  <cols>
    <col min="1" max="1" width="3.6328125" style="915" customWidth="1"/>
    <col min="2" max="2" width="38.36328125" style="915" customWidth="1"/>
    <col min="3" max="3" width="10.08984375" style="915" customWidth="1"/>
    <col min="4" max="6" width="11.54296875" style="915" customWidth="1" outlineLevel="1"/>
    <col min="7" max="7" width="10.6328125" style="915" customWidth="1" outlineLevel="1"/>
    <col min="8" max="8" width="10.26953125" style="915" customWidth="1" outlineLevel="1"/>
    <col min="9" max="11" width="10.6328125" style="915" customWidth="1" outlineLevel="1"/>
    <col min="12" max="14" width="9.36328125" style="915" customWidth="1" outlineLevel="1"/>
    <col min="15" max="15" width="9.36328125" style="916" customWidth="1" outlineLevel="1"/>
    <col min="16" max="16" width="9.36328125" style="916" customWidth="1"/>
    <col min="17" max="28" width="9.36328125" style="915" customWidth="1"/>
    <col min="29" max="31" width="8.54296875" style="915"/>
    <col min="32" max="32" width="22.54296875" style="915" customWidth="1"/>
    <col min="33" max="38" width="8.54296875" style="915"/>
    <col min="39" max="39" width="10.6328125" style="915" customWidth="1"/>
    <col min="40" max="59" width="8.54296875" style="915"/>
    <col min="60" max="60" width="22.36328125" style="915" bestFit="1" customWidth="1"/>
    <col min="61" max="16384" width="8.54296875" style="915"/>
  </cols>
  <sheetData>
    <row r="1" spans="2:69">
      <c r="BH1" s="915">
        <v>4.34</v>
      </c>
    </row>
    <row r="2" spans="2:69">
      <c r="B2" s="915" t="s">
        <v>649</v>
      </c>
      <c r="C2" s="917">
        <f>DCF!$C$35</f>
        <v>3.68</v>
      </c>
      <c r="V2" s="918"/>
      <c r="BI2" s="919"/>
      <c r="BJ2" s="919"/>
      <c r="BK2" s="919"/>
      <c r="BL2" s="919"/>
      <c r="BM2" s="919"/>
    </row>
    <row r="3" spans="2:69">
      <c r="BI3" s="919"/>
      <c r="BJ3" s="919"/>
      <c r="BK3" s="919"/>
      <c r="BL3" s="919"/>
      <c r="BM3" s="919"/>
    </row>
    <row r="4" spans="2:69">
      <c r="B4" s="920"/>
      <c r="C4" s="920"/>
      <c r="D4" s="921">
        <v>2008</v>
      </c>
      <c r="E4" s="921">
        <f t="shared" ref="E4:AB4" si="0">D4+1</f>
        <v>2009</v>
      </c>
      <c r="F4" s="921">
        <f t="shared" si="0"/>
        <v>2010</v>
      </c>
      <c r="G4" s="921">
        <f t="shared" si="0"/>
        <v>2011</v>
      </c>
      <c r="H4" s="921">
        <f t="shared" si="0"/>
        <v>2012</v>
      </c>
      <c r="I4" s="921">
        <f t="shared" si="0"/>
        <v>2013</v>
      </c>
      <c r="J4" s="921">
        <f t="shared" si="0"/>
        <v>2014</v>
      </c>
      <c r="K4" s="921">
        <f t="shared" si="0"/>
        <v>2015</v>
      </c>
      <c r="L4" s="921">
        <f t="shared" si="0"/>
        <v>2016</v>
      </c>
      <c r="M4" s="921">
        <f t="shared" si="0"/>
        <v>2017</v>
      </c>
      <c r="N4" s="921">
        <f t="shared" si="0"/>
        <v>2018</v>
      </c>
      <c r="O4" s="921">
        <f t="shared" si="0"/>
        <v>2019</v>
      </c>
      <c r="P4" s="921">
        <f t="shared" si="0"/>
        <v>2020</v>
      </c>
      <c r="Q4" s="921">
        <f t="shared" si="0"/>
        <v>2021</v>
      </c>
      <c r="R4" s="921">
        <f t="shared" si="0"/>
        <v>2022</v>
      </c>
      <c r="S4" s="921">
        <f t="shared" si="0"/>
        <v>2023</v>
      </c>
      <c r="T4" s="921">
        <f t="shared" si="0"/>
        <v>2024</v>
      </c>
      <c r="U4" s="922">
        <f t="shared" si="0"/>
        <v>2025</v>
      </c>
      <c r="V4" s="922">
        <f t="shared" si="0"/>
        <v>2026</v>
      </c>
      <c r="W4" s="922">
        <f t="shared" si="0"/>
        <v>2027</v>
      </c>
      <c r="X4" s="922">
        <f t="shared" si="0"/>
        <v>2028</v>
      </c>
      <c r="Y4" s="922">
        <f t="shared" si="0"/>
        <v>2029</v>
      </c>
      <c r="Z4" s="922">
        <f t="shared" si="0"/>
        <v>2030</v>
      </c>
      <c r="AA4" s="922">
        <f t="shared" si="0"/>
        <v>2031</v>
      </c>
      <c r="AB4" s="922">
        <f t="shared" si="0"/>
        <v>2032</v>
      </c>
      <c r="BH4" s="915" t="s">
        <v>860</v>
      </c>
      <c r="BI4" s="919">
        <v>3.98</v>
      </c>
      <c r="BJ4" s="919">
        <v>3.78</v>
      </c>
      <c r="BK4" s="919">
        <v>3.58</v>
      </c>
      <c r="BL4" s="919">
        <v>3.4</v>
      </c>
      <c r="BM4" s="919">
        <v>3.2</v>
      </c>
      <c r="BN4" s="915">
        <v>2.99</v>
      </c>
      <c r="BO4" s="915">
        <v>2.8</v>
      </c>
      <c r="BP4" s="915">
        <v>2.6</v>
      </c>
      <c r="BQ4" s="915">
        <v>2.4</v>
      </c>
    </row>
    <row r="5" spans="2:69">
      <c r="B5" s="923" t="s">
        <v>649</v>
      </c>
      <c r="C5" s="923"/>
      <c r="D5" s="978">
        <f t="shared" ref="D5:AB5" si="1">$C$2</f>
        <v>3.68</v>
      </c>
      <c r="E5" s="978">
        <f t="shared" si="1"/>
        <v>3.68</v>
      </c>
      <c r="F5" s="978">
        <f t="shared" si="1"/>
        <v>3.68</v>
      </c>
      <c r="G5" s="978">
        <f t="shared" si="1"/>
        <v>3.68</v>
      </c>
      <c r="H5" s="978">
        <f t="shared" si="1"/>
        <v>3.68</v>
      </c>
      <c r="I5" s="978">
        <f t="shared" si="1"/>
        <v>3.68</v>
      </c>
      <c r="J5" s="978">
        <f t="shared" si="1"/>
        <v>3.68</v>
      </c>
      <c r="K5" s="978">
        <f t="shared" si="1"/>
        <v>3.68</v>
      </c>
      <c r="L5" s="978">
        <f t="shared" si="1"/>
        <v>3.68</v>
      </c>
      <c r="M5" s="978">
        <f t="shared" si="1"/>
        <v>3.68</v>
      </c>
      <c r="N5" s="978">
        <f t="shared" si="1"/>
        <v>3.68</v>
      </c>
      <c r="O5" s="978">
        <f t="shared" si="1"/>
        <v>3.68</v>
      </c>
      <c r="P5" s="978">
        <f t="shared" si="1"/>
        <v>3.68</v>
      </c>
      <c r="Q5" s="978">
        <f t="shared" si="1"/>
        <v>3.68</v>
      </c>
      <c r="R5" s="978">
        <f t="shared" si="1"/>
        <v>3.68</v>
      </c>
      <c r="S5" s="978">
        <f t="shared" si="1"/>
        <v>3.68</v>
      </c>
      <c r="T5" s="978">
        <f t="shared" si="1"/>
        <v>3.68</v>
      </c>
      <c r="U5" s="978">
        <f t="shared" si="1"/>
        <v>3.68</v>
      </c>
      <c r="V5" s="978">
        <f t="shared" si="1"/>
        <v>3.68</v>
      </c>
      <c r="W5" s="978">
        <f t="shared" si="1"/>
        <v>3.68</v>
      </c>
      <c r="X5" s="978">
        <f t="shared" si="1"/>
        <v>3.68</v>
      </c>
      <c r="Y5" s="978">
        <f t="shared" si="1"/>
        <v>3.68</v>
      </c>
      <c r="Z5" s="978">
        <f t="shared" si="1"/>
        <v>3.68</v>
      </c>
      <c r="AA5" s="978">
        <f t="shared" si="1"/>
        <v>3.68</v>
      </c>
      <c r="AB5" s="978">
        <f t="shared" si="1"/>
        <v>3.68</v>
      </c>
      <c r="BH5" s="915" t="s">
        <v>861</v>
      </c>
      <c r="BI5" s="924">
        <f t="shared" ref="BI5:BQ5" si="2">BI4/$BH$1-1</f>
        <v>-8.2949308755760343E-2</v>
      </c>
      <c r="BJ5" s="924">
        <f t="shared" si="2"/>
        <v>-0.12903225806451613</v>
      </c>
      <c r="BK5" s="924">
        <f t="shared" si="2"/>
        <v>-0.1751152073732718</v>
      </c>
      <c r="BL5" s="924">
        <f t="shared" si="2"/>
        <v>-0.21658986175115202</v>
      </c>
      <c r="BM5" s="924">
        <f t="shared" si="2"/>
        <v>-0.26267281105990781</v>
      </c>
      <c r="BN5" s="924">
        <f t="shared" si="2"/>
        <v>-0.31105990783410131</v>
      </c>
      <c r="BO5" s="924">
        <f t="shared" si="2"/>
        <v>-0.35483870967741937</v>
      </c>
      <c r="BP5" s="924">
        <f t="shared" si="2"/>
        <v>-0.40092165898617504</v>
      </c>
      <c r="BQ5" s="924">
        <f t="shared" si="2"/>
        <v>-0.44700460829493083</v>
      </c>
    </row>
    <row r="6" spans="2:69">
      <c r="B6" s="923" t="s">
        <v>862</v>
      </c>
      <c r="D6" s="971">
        <f>'Income Statement'!G504</f>
        <v>0</v>
      </c>
      <c r="E6" s="971">
        <f>'Income Statement'!L504</f>
        <v>7500</v>
      </c>
      <c r="F6" s="971">
        <f>'Income Statement'!Q504</f>
        <v>7500</v>
      </c>
      <c r="G6" s="971">
        <f>'Income Statement'!V504</f>
        <v>7500</v>
      </c>
      <c r="H6" s="971">
        <f>'Income Statement'!AA504</f>
        <v>7500</v>
      </c>
      <c r="I6" s="971">
        <f>'Income Statement'!AF504</f>
        <v>7500</v>
      </c>
      <c r="J6" s="971">
        <f>'Income Statement'!AK504</f>
        <v>7500</v>
      </c>
      <c r="K6" s="971">
        <f>'Income Statement'!AP504</f>
        <v>7500</v>
      </c>
      <c r="L6" s="971">
        <f>'Income Statement'!AU504</f>
        <v>7500</v>
      </c>
      <c r="M6" s="971">
        <f>'Income Statement'!AZ504</f>
        <v>7800</v>
      </c>
      <c r="N6" s="971">
        <f>'Income Statement'!BE504</f>
        <v>7810</v>
      </c>
      <c r="O6" s="971">
        <f>'Income Statement'!BJ504</f>
        <v>7820</v>
      </c>
      <c r="P6" s="971">
        <f>'Income Statement'!BO504</f>
        <v>7825</v>
      </c>
      <c r="Q6" s="971">
        <f>'Income Statement'!BT504</f>
        <v>7825</v>
      </c>
      <c r="R6" s="971">
        <f>'Income Statement'!BY504</f>
        <v>7828</v>
      </c>
      <c r="S6" s="971">
        <f>'Income Statement'!CD504</f>
        <v>7832</v>
      </c>
      <c r="T6" s="971">
        <f>'Income Statement'!CI504</f>
        <v>7832</v>
      </c>
      <c r="U6" s="971">
        <f>'Income Statement'!CN504</f>
        <v>7835</v>
      </c>
      <c r="V6" s="971">
        <f>'Income Statement'!CQ504</f>
        <v>7835</v>
      </c>
      <c r="W6" s="971">
        <f>'Income Statement'!CR504</f>
        <v>7835</v>
      </c>
      <c r="X6" s="971">
        <f>'Income Statement'!CS504</f>
        <v>7835</v>
      </c>
      <c r="Y6" s="971">
        <f>'Income Statement'!CT504</f>
        <v>7835</v>
      </c>
      <c r="Z6" s="971">
        <f>'Income Statement'!CU504</f>
        <v>7835</v>
      </c>
      <c r="AA6" s="971">
        <f>'Income Statement'!CV504</f>
        <v>7835</v>
      </c>
      <c r="AB6" s="971">
        <f>'Income Statement'!CW504</f>
        <v>7835</v>
      </c>
    </row>
    <row r="7" spans="2:69">
      <c r="B7" s="926" t="s">
        <v>755</v>
      </c>
      <c r="C7" s="926"/>
      <c r="D7" s="927">
        <f>D5*D6</f>
        <v>0</v>
      </c>
      <c r="E7" s="927">
        <f t="shared" ref="E7:AB7" si="3">E5*E6</f>
        <v>27600</v>
      </c>
      <c r="F7" s="927">
        <f t="shared" si="3"/>
        <v>27600</v>
      </c>
      <c r="G7" s="927">
        <f t="shared" si="3"/>
        <v>27600</v>
      </c>
      <c r="H7" s="927">
        <f t="shared" si="3"/>
        <v>27600</v>
      </c>
      <c r="I7" s="927">
        <f t="shared" si="3"/>
        <v>27600</v>
      </c>
      <c r="J7" s="927">
        <f t="shared" si="3"/>
        <v>27600</v>
      </c>
      <c r="K7" s="927">
        <f t="shared" si="3"/>
        <v>27600</v>
      </c>
      <c r="L7" s="927">
        <f t="shared" si="3"/>
        <v>27600</v>
      </c>
      <c r="M7" s="927">
        <f t="shared" si="3"/>
        <v>28704</v>
      </c>
      <c r="N7" s="927">
        <f t="shared" si="3"/>
        <v>28740.800000000003</v>
      </c>
      <c r="O7" s="927">
        <f t="shared" si="3"/>
        <v>28777.600000000002</v>
      </c>
      <c r="P7" s="927">
        <f t="shared" si="3"/>
        <v>28796</v>
      </c>
      <c r="Q7" s="927">
        <f t="shared" si="3"/>
        <v>28796</v>
      </c>
      <c r="R7" s="927">
        <f t="shared" si="3"/>
        <v>28807.040000000001</v>
      </c>
      <c r="S7" s="927">
        <f t="shared" si="3"/>
        <v>28821.760000000002</v>
      </c>
      <c r="T7" s="927">
        <f t="shared" si="3"/>
        <v>28821.760000000002</v>
      </c>
      <c r="U7" s="927">
        <f t="shared" si="3"/>
        <v>28832.800000000003</v>
      </c>
      <c r="V7" s="927">
        <f t="shared" si="3"/>
        <v>28832.800000000003</v>
      </c>
      <c r="W7" s="927">
        <f t="shared" si="3"/>
        <v>28832.800000000003</v>
      </c>
      <c r="X7" s="927">
        <f t="shared" si="3"/>
        <v>28832.800000000003</v>
      </c>
      <c r="Y7" s="927">
        <f t="shared" si="3"/>
        <v>28832.800000000003</v>
      </c>
      <c r="Z7" s="927">
        <f t="shared" si="3"/>
        <v>28832.800000000003</v>
      </c>
      <c r="AA7" s="927">
        <f t="shared" si="3"/>
        <v>28832.800000000003</v>
      </c>
      <c r="AB7" s="927">
        <f t="shared" si="3"/>
        <v>28832.800000000003</v>
      </c>
      <c r="BH7" s="915" t="s">
        <v>863</v>
      </c>
    </row>
    <row r="8" spans="2:69">
      <c r="B8" s="923" t="s">
        <v>864</v>
      </c>
      <c r="C8" s="923"/>
      <c r="D8" s="928"/>
      <c r="E8" s="928"/>
      <c r="F8" s="928"/>
      <c r="G8" s="928"/>
      <c r="H8" s="928"/>
      <c r="I8" s="928"/>
      <c r="J8" s="928"/>
      <c r="K8" s="928"/>
      <c r="L8" s="928"/>
      <c r="M8" s="928"/>
      <c r="N8" s="928"/>
      <c r="O8" s="928"/>
      <c r="P8" s="928"/>
      <c r="Q8" s="928"/>
      <c r="R8" s="928"/>
      <c r="S8" s="928"/>
      <c r="T8" s="928"/>
      <c r="U8" s="928"/>
      <c r="V8" s="928"/>
      <c r="W8" s="928"/>
      <c r="X8" s="928"/>
      <c r="Y8" s="928"/>
      <c r="Z8" s="928"/>
      <c r="AA8" s="928"/>
      <c r="AB8" s="928"/>
      <c r="AY8" s="915" t="s">
        <v>865</v>
      </c>
      <c r="AZ8" s="915" t="s">
        <v>866</v>
      </c>
      <c r="BA8" s="915" t="s">
        <v>867</v>
      </c>
      <c r="BB8" s="915" t="s">
        <v>868</v>
      </c>
      <c r="BC8" s="915" t="s">
        <v>869</v>
      </c>
      <c r="BD8" s="915" t="s">
        <v>870</v>
      </c>
      <c r="BE8" s="915" t="s">
        <v>871</v>
      </c>
      <c r="BF8" s="915" t="s">
        <v>872</v>
      </c>
      <c r="BH8" s="915" t="s">
        <v>860</v>
      </c>
    </row>
    <row r="9" spans="2:69" ht="13.5" thickBot="1">
      <c r="B9" s="929" t="s">
        <v>873</v>
      </c>
      <c r="C9" s="929"/>
      <c r="D9" s="930">
        <f t="shared" ref="D9:S9" si="4">D7+D8</f>
        <v>0</v>
      </c>
      <c r="E9" s="930">
        <f t="shared" si="4"/>
        <v>27600</v>
      </c>
      <c r="F9" s="930">
        <f t="shared" si="4"/>
        <v>27600</v>
      </c>
      <c r="G9" s="930">
        <f t="shared" si="4"/>
        <v>27600</v>
      </c>
      <c r="H9" s="930">
        <f t="shared" si="4"/>
        <v>27600</v>
      </c>
      <c r="I9" s="930">
        <f t="shared" si="4"/>
        <v>27600</v>
      </c>
      <c r="J9" s="930">
        <f t="shared" si="4"/>
        <v>27600</v>
      </c>
      <c r="K9" s="930">
        <f t="shared" si="4"/>
        <v>27600</v>
      </c>
      <c r="L9" s="930">
        <f t="shared" si="4"/>
        <v>27600</v>
      </c>
      <c r="M9" s="930">
        <f t="shared" si="4"/>
        <v>28704</v>
      </c>
      <c r="N9" s="930">
        <f t="shared" si="4"/>
        <v>28740.800000000003</v>
      </c>
      <c r="O9" s="930">
        <f t="shared" si="4"/>
        <v>28777.600000000002</v>
      </c>
      <c r="P9" s="930">
        <f t="shared" si="4"/>
        <v>28796</v>
      </c>
      <c r="Q9" s="930">
        <f t="shared" si="4"/>
        <v>28796</v>
      </c>
      <c r="R9" s="930">
        <f t="shared" si="4"/>
        <v>28807.040000000001</v>
      </c>
      <c r="S9" s="930">
        <f t="shared" si="4"/>
        <v>28821.760000000002</v>
      </c>
      <c r="T9" s="930">
        <f t="shared" ref="T9:AB9" si="5">T7+T8</f>
        <v>28821.760000000002</v>
      </c>
      <c r="U9" s="930">
        <f t="shared" si="5"/>
        <v>28832.800000000003</v>
      </c>
      <c r="V9" s="930">
        <f t="shared" si="5"/>
        <v>28832.800000000003</v>
      </c>
      <c r="W9" s="930">
        <f t="shared" si="5"/>
        <v>28832.800000000003</v>
      </c>
      <c r="X9" s="930">
        <f t="shared" si="5"/>
        <v>28832.800000000003</v>
      </c>
      <c r="Y9" s="930">
        <f t="shared" si="5"/>
        <v>28832.800000000003</v>
      </c>
      <c r="Z9" s="930">
        <f t="shared" si="5"/>
        <v>28832.800000000003</v>
      </c>
      <c r="AA9" s="930">
        <f t="shared" si="5"/>
        <v>28832.800000000003</v>
      </c>
      <c r="AB9" s="930">
        <f t="shared" si="5"/>
        <v>28832.800000000003</v>
      </c>
      <c r="AF9" s="924"/>
      <c r="AY9" s="915" t="s">
        <v>874</v>
      </c>
      <c r="AZ9" s="915">
        <v>4.38</v>
      </c>
      <c r="BA9" s="915">
        <v>4.18</v>
      </c>
      <c r="BB9" s="915">
        <v>3.98</v>
      </c>
      <c r="BC9" s="915">
        <v>3.78</v>
      </c>
      <c r="BD9" s="915">
        <v>3.58</v>
      </c>
      <c r="BE9" s="915">
        <v>3.4</v>
      </c>
      <c r="BF9" s="915">
        <v>3.2</v>
      </c>
      <c r="BH9" s="915" t="s">
        <v>861</v>
      </c>
    </row>
    <row r="10" spans="2:69" ht="13.5" thickTop="1">
      <c r="B10" s="931" t="s">
        <v>875</v>
      </c>
      <c r="C10" s="923"/>
      <c r="D10" s="925">
        <f>'Balance Sheet and Cflow'!C66</f>
        <v>0</v>
      </c>
      <c r="E10" s="925">
        <f>'Balance Sheet and Cflow'!D66</f>
        <v>3874</v>
      </c>
      <c r="F10" s="925">
        <f>'Balance Sheet and Cflow'!E66</f>
        <v>4557</v>
      </c>
      <c r="G10" s="925">
        <f>'Balance Sheet and Cflow'!F66</f>
        <v>5437</v>
      </c>
      <c r="H10" s="925">
        <f>'Balance Sheet and Cflow'!G66</f>
        <v>6035.4877272727272</v>
      </c>
      <c r="I10" s="925">
        <f>'Balance Sheet and Cflow'!H66</f>
        <v>6715</v>
      </c>
      <c r="J10" s="925">
        <f>'Balance Sheet and Cflow'!I66</f>
        <v>7467.4381259346228</v>
      </c>
      <c r="K10" s="925">
        <f>'Balance Sheet and Cflow'!J66</f>
        <v>8582.4381259346228</v>
      </c>
      <c r="L10" s="925">
        <f>'Balance Sheet and Cflow'!K66</f>
        <v>9182.1881259346228</v>
      </c>
      <c r="M10" s="925">
        <f>'Balance Sheet and Cflow'!L66</f>
        <v>7044.1881259346228</v>
      </c>
      <c r="N10" s="925">
        <f>'Balance Sheet and Cflow'!M66</f>
        <v>7079.9491259346223</v>
      </c>
      <c r="O10" s="925">
        <f>'Balance Sheet and Cflow'!N66</f>
        <v>8365.1881259346228</v>
      </c>
      <c r="P10" s="925">
        <f>'Balance Sheet and Cflow'!O66</f>
        <v>9028.1881259346228</v>
      </c>
      <c r="Q10" s="925">
        <f>'Balance Sheet and Cflow'!P66</f>
        <v>8899.1881259346228</v>
      </c>
      <c r="R10" s="925">
        <f>'Balance Sheet and Cflow'!Q66</f>
        <v>9237.1881259346228</v>
      </c>
      <c r="S10" s="925">
        <f>'Balance Sheet and Cflow'!R66</f>
        <v>9203.1881259346228</v>
      </c>
      <c r="T10" s="925">
        <f>'Balance Sheet and Cflow'!S66</f>
        <v>8825.1881259346228</v>
      </c>
      <c r="U10" s="925">
        <f>'Balance Sheet and Cflow'!T66</f>
        <v>8522.1881259346228</v>
      </c>
      <c r="V10" s="925">
        <f>'Balance Sheet and Cflow'!U66</f>
        <v>7994.3728880745612</v>
      </c>
      <c r="W10" s="925">
        <f>'Balance Sheet and Cflow'!V66</f>
        <v>7371.538076757045</v>
      </c>
      <c r="X10" s="925">
        <f>'Balance Sheet and Cflow'!W66</f>
        <v>6750.5267779453279</v>
      </c>
      <c r="Y10" s="925">
        <f>'Balance Sheet and Cflow'!X66</f>
        <v>6134.7882294221918</v>
      </c>
      <c r="Z10" s="925">
        <f>'Balance Sheet and Cflow'!Y66</f>
        <v>5544.1796376897373</v>
      </c>
      <c r="AA10" s="925">
        <f>'Balance Sheet and Cflow'!Z66</f>
        <v>4966.0278012041254</v>
      </c>
      <c r="AB10" s="925">
        <f>'Balance Sheet and Cflow'!AA66</f>
        <v>4805.1774673003956</v>
      </c>
    </row>
    <row r="11" spans="2:69">
      <c r="B11" s="923" t="s">
        <v>876</v>
      </c>
      <c r="C11" s="923"/>
      <c r="D11" s="932"/>
      <c r="E11" s="932"/>
      <c r="F11" s="932"/>
      <c r="G11" s="932"/>
      <c r="H11" s="932"/>
      <c r="I11" s="932"/>
      <c r="J11" s="932"/>
      <c r="K11" s="932"/>
      <c r="L11" s="932"/>
      <c r="M11" s="932"/>
      <c r="N11" s="932"/>
      <c r="O11" s="932"/>
      <c r="P11" s="932"/>
      <c r="Q11" s="932"/>
      <c r="R11" s="932"/>
      <c r="S11" s="932"/>
      <c r="T11" s="932"/>
      <c r="U11" s="932"/>
      <c r="V11" s="932"/>
      <c r="W11" s="932"/>
      <c r="X11" s="932"/>
      <c r="Y11" s="932"/>
      <c r="Z11" s="932"/>
      <c r="AA11" s="932"/>
      <c r="AB11" s="932"/>
    </row>
    <row r="12" spans="2:69">
      <c r="B12" s="923" t="s">
        <v>877</v>
      </c>
      <c r="C12" s="923"/>
      <c r="D12" s="925"/>
      <c r="E12" s="925"/>
      <c r="F12" s="925"/>
      <c r="G12" s="925"/>
      <c r="H12" s="925"/>
      <c r="I12" s="925"/>
      <c r="J12" s="925"/>
      <c r="K12" s="925"/>
      <c r="L12" s="925"/>
      <c r="M12" s="925"/>
      <c r="N12" s="925"/>
      <c r="O12" s="925"/>
      <c r="P12" s="925"/>
      <c r="Q12" s="925"/>
      <c r="R12" s="925"/>
      <c r="S12" s="925"/>
      <c r="T12" s="925"/>
      <c r="U12" s="925"/>
      <c r="V12" s="925"/>
      <c r="W12" s="925"/>
      <c r="X12" s="925"/>
      <c r="Y12" s="925"/>
      <c r="Z12" s="925"/>
      <c r="AA12" s="925"/>
      <c r="AB12" s="925"/>
      <c r="AZ12" s="915" t="s">
        <v>878</v>
      </c>
    </row>
    <row r="13" spans="2:69">
      <c r="B13" s="931" t="s">
        <v>879</v>
      </c>
      <c r="C13" s="923"/>
      <c r="D13" s="928"/>
      <c r="E13" s="928"/>
      <c r="F13" s="932"/>
      <c r="G13" s="932"/>
      <c r="H13" s="932"/>
      <c r="I13" s="932"/>
      <c r="J13" s="932"/>
      <c r="K13" s="932"/>
      <c r="L13" s="932"/>
      <c r="M13" s="932"/>
      <c r="N13" s="932"/>
      <c r="O13" s="932"/>
      <c r="P13" s="932"/>
      <c r="Q13" s="932"/>
      <c r="R13" s="932"/>
      <c r="S13" s="932"/>
      <c r="T13" s="932"/>
      <c r="U13" s="932"/>
      <c r="V13" s="932"/>
      <c r="W13" s="932"/>
      <c r="X13" s="932"/>
      <c r="Y13" s="932"/>
      <c r="Z13" s="932"/>
      <c r="AA13" s="932"/>
      <c r="AB13" s="932"/>
      <c r="AD13" s="915" t="s">
        <v>880</v>
      </c>
      <c r="AY13" s="915" t="s">
        <v>2</v>
      </c>
      <c r="AZ13" s="915">
        <f>'[6]VIP Summary'!N539</f>
        <v>0</v>
      </c>
      <c r="BA13" s="915">
        <v>508</v>
      </c>
    </row>
    <row r="14" spans="2:69">
      <c r="B14" s="923" t="s">
        <v>881</v>
      </c>
      <c r="C14" s="923"/>
      <c r="D14" s="932"/>
      <c r="E14" s="932"/>
      <c r="F14" s="932"/>
      <c r="G14" s="932"/>
      <c r="H14" s="932"/>
      <c r="I14" s="932"/>
      <c r="J14" s="932"/>
      <c r="K14" s="932"/>
      <c r="L14" s="932"/>
      <c r="M14" s="932"/>
      <c r="N14" s="932"/>
      <c r="O14" s="932"/>
      <c r="P14" s="932"/>
      <c r="Q14" s="932"/>
      <c r="R14" s="932"/>
      <c r="S14" s="932"/>
      <c r="T14" s="932"/>
      <c r="U14" s="932"/>
      <c r="V14" s="932"/>
      <c r="W14" s="932"/>
      <c r="X14" s="932"/>
      <c r="Y14" s="932"/>
      <c r="Z14" s="932"/>
      <c r="AA14" s="932"/>
      <c r="AB14" s="932"/>
      <c r="AY14" s="915" t="s">
        <v>882</v>
      </c>
      <c r="AZ14" s="915">
        <v>10</v>
      </c>
      <c r="BA14" s="915">
        <v>8.4</v>
      </c>
    </row>
    <row r="15" spans="2:69">
      <c r="B15" s="923" t="s">
        <v>883</v>
      </c>
      <c r="C15" s="923"/>
      <c r="D15" s="932"/>
      <c r="E15" s="932"/>
      <c r="F15" s="932"/>
      <c r="G15" s="932"/>
      <c r="H15" s="932"/>
      <c r="I15" s="932"/>
      <c r="J15" s="932"/>
      <c r="K15" s="932"/>
      <c r="L15" s="932"/>
      <c r="M15" s="932"/>
      <c r="N15" s="932"/>
      <c r="O15" s="932"/>
      <c r="P15" s="932"/>
      <c r="Q15" s="932"/>
      <c r="R15" s="932"/>
      <c r="S15" s="932"/>
      <c r="T15" s="974">
        <v>0</v>
      </c>
      <c r="U15" s="925">
        <f>'Balance Sheet and Cflow'!T61</f>
        <v>-1332</v>
      </c>
      <c r="V15" s="925">
        <f>'Balance Sheet and Cflow'!U61</f>
        <v>-1614.9853056527602</v>
      </c>
      <c r="W15" s="925">
        <f>'Balance Sheet and Cflow'!V61</f>
        <v>-1732.1144388205273</v>
      </c>
      <c r="X15" s="925">
        <f>'Balance Sheet and Cflow'!W61</f>
        <v>-1836.6121333434535</v>
      </c>
      <c r="Y15" s="925">
        <f>'Balance Sheet and Cflow'!X61</f>
        <v>-1949.9104677848457</v>
      </c>
      <c r="Z15" s="925">
        <f>'Balance Sheet and Cflow'!Y61</f>
        <v>-2073.1963302472004</v>
      </c>
      <c r="AA15" s="925">
        <f>'Balance Sheet and Cflow'!Z61</f>
        <v>-2190.0260351760289</v>
      </c>
      <c r="AB15" s="925">
        <f>'Balance Sheet and Cflow'!AA61</f>
        <v>-2328.0672797518882</v>
      </c>
      <c r="AY15" s="915" t="s">
        <v>884</v>
      </c>
      <c r="AZ15" s="915">
        <f>AZ13*AZ14</f>
        <v>0</v>
      </c>
      <c r="BA15" s="915">
        <f>BA13*BA14</f>
        <v>4267.2</v>
      </c>
    </row>
    <row r="16" spans="2:69" ht="13.5" thickBot="1">
      <c r="B16" s="929" t="s">
        <v>244</v>
      </c>
      <c r="C16" s="929"/>
      <c r="D16" s="930">
        <f t="shared" ref="D16:AB16" si="6">D7+D10+D11-D12+D13-D15-D14</f>
        <v>0</v>
      </c>
      <c r="E16" s="930">
        <f t="shared" si="6"/>
        <v>31474</v>
      </c>
      <c r="F16" s="930">
        <f t="shared" si="6"/>
        <v>32157</v>
      </c>
      <c r="G16" s="930">
        <f t="shared" si="6"/>
        <v>33037</v>
      </c>
      <c r="H16" s="930">
        <f t="shared" si="6"/>
        <v>33635.487727272724</v>
      </c>
      <c r="I16" s="930">
        <f t="shared" si="6"/>
        <v>34315</v>
      </c>
      <c r="J16" s="930">
        <f t="shared" si="6"/>
        <v>35067.438125934626</v>
      </c>
      <c r="K16" s="930">
        <f t="shared" si="6"/>
        <v>36182.438125934626</v>
      </c>
      <c r="L16" s="930">
        <f t="shared" si="6"/>
        <v>36782.188125934626</v>
      </c>
      <c r="M16" s="930">
        <f t="shared" si="6"/>
        <v>35748.188125934626</v>
      </c>
      <c r="N16" s="930">
        <f t="shared" si="6"/>
        <v>35820.749125934628</v>
      </c>
      <c r="O16" s="930">
        <f t="shared" si="6"/>
        <v>37142.788125934625</v>
      </c>
      <c r="P16" s="930">
        <f t="shared" si="6"/>
        <v>37824.188125934626</v>
      </c>
      <c r="Q16" s="930">
        <f t="shared" si="6"/>
        <v>37695.188125934626</v>
      </c>
      <c r="R16" s="930">
        <f t="shared" si="6"/>
        <v>38044.22812593462</v>
      </c>
      <c r="S16" s="930">
        <f t="shared" si="6"/>
        <v>38024.948125934621</v>
      </c>
      <c r="T16" s="930">
        <f t="shared" si="6"/>
        <v>37646.948125934621</v>
      </c>
      <c r="U16" s="930">
        <f t="shared" si="6"/>
        <v>38686.988125934629</v>
      </c>
      <c r="V16" s="930">
        <f t="shared" si="6"/>
        <v>38442.158193727322</v>
      </c>
      <c r="W16" s="930">
        <f t="shared" si="6"/>
        <v>37936.452515577577</v>
      </c>
      <c r="X16" s="930">
        <f t="shared" si="6"/>
        <v>37419.938911288787</v>
      </c>
      <c r="Y16" s="930">
        <f t="shared" si="6"/>
        <v>36917.49869720704</v>
      </c>
      <c r="Z16" s="930">
        <f t="shared" si="6"/>
        <v>36450.175967936942</v>
      </c>
      <c r="AA16" s="930">
        <f t="shared" si="6"/>
        <v>35988.853836380156</v>
      </c>
      <c r="AB16" s="930">
        <f t="shared" si="6"/>
        <v>35966.044747052285</v>
      </c>
    </row>
    <row r="17" spans="2:53" ht="13.5" thickTop="1">
      <c r="B17" s="923"/>
      <c r="C17" s="923"/>
      <c r="D17" s="933"/>
      <c r="E17" s="933"/>
      <c r="F17" s="933"/>
      <c r="G17" s="933"/>
      <c r="H17" s="933"/>
      <c r="I17" s="933"/>
      <c r="J17" s="933"/>
      <c r="K17" s="933"/>
      <c r="L17" s="933"/>
      <c r="M17" s="933"/>
      <c r="N17" s="933"/>
      <c r="O17" s="933"/>
      <c r="P17" s="933"/>
      <c r="Q17" s="933"/>
      <c r="R17" s="933"/>
      <c r="S17" s="933"/>
      <c r="T17" s="933"/>
      <c r="U17" s="933"/>
      <c r="V17" s="933"/>
      <c r="W17" s="933"/>
      <c r="X17" s="933"/>
      <c r="Y17" s="933"/>
      <c r="Z17" s="933"/>
      <c r="AA17" s="933"/>
      <c r="AB17" s="933"/>
      <c r="AY17" s="915" t="s">
        <v>885</v>
      </c>
      <c r="AZ17" s="934">
        <f>J16</f>
        <v>35067.438125934626</v>
      </c>
      <c r="BA17" s="934">
        <f>AZ17</f>
        <v>35067.438125934626</v>
      </c>
    </row>
    <row r="18" spans="2:53">
      <c r="B18" s="935" t="s">
        <v>873</v>
      </c>
      <c r="C18" s="936"/>
      <c r="D18" s="937">
        <f t="shared" ref="D18:AB18" si="7">D9</f>
        <v>0</v>
      </c>
      <c r="E18" s="937">
        <f t="shared" si="7"/>
        <v>27600</v>
      </c>
      <c r="F18" s="937">
        <f t="shared" si="7"/>
        <v>27600</v>
      </c>
      <c r="G18" s="937">
        <f t="shared" si="7"/>
        <v>27600</v>
      </c>
      <c r="H18" s="937">
        <f t="shared" si="7"/>
        <v>27600</v>
      </c>
      <c r="I18" s="937">
        <f t="shared" si="7"/>
        <v>27600</v>
      </c>
      <c r="J18" s="937">
        <f t="shared" si="7"/>
        <v>27600</v>
      </c>
      <c r="K18" s="937">
        <f t="shared" si="7"/>
        <v>27600</v>
      </c>
      <c r="L18" s="937">
        <f t="shared" si="7"/>
        <v>27600</v>
      </c>
      <c r="M18" s="937">
        <f t="shared" si="7"/>
        <v>28704</v>
      </c>
      <c r="N18" s="937">
        <f t="shared" si="7"/>
        <v>28740.800000000003</v>
      </c>
      <c r="O18" s="937">
        <f t="shared" si="7"/>
        <v>28777.600000000002</v>
      </c>
      <c r="P18" s="937">
        <f t="shared" si="7"/>
        <v>28796</v>
      </c>
      <c r="Q18" s="937">
        <f t="shared" si="7"/>
        <v>28796</v>
      </c>
      <c r="R18" s="937">
        <f t="shared" si="7"/>
        <v>28807.040000000001</v>
      </c>
      <c r="S18" s="937">
        <f t="shared" si="7"/>
        <v>28821.760000000002</v>
      </c>
      <c r="T18" s="937">
        <f t="shared" si="7"/>
        <v>28821.760000000002</v>
      </c>
      <c r="U18" s="937">
        <f t="shared" si="7"/>
        <v>28832.800000000003</v>
      </c>
      <c r="V18" s="937">
        <f t="shared" si="7"/>
        <v>28832.800000000003</v>
      </c>
      <c r="W18" s="937">
        <f t="shared" si="7"/>
        <v>28832.800000000003</v>
      </c>
      <c r="X18" s="937">
        <f t="shared" si="7"/>
        <v>28832.800000000003</v>
      </c>
      <c r="Y18" s="937">
        <f t="shared" si="7"/>
        <v>28832.800000000003</v>
      </c>
      <c r="Z18" s="937">
        <f t="shared" si="7"/>
        <v>28832.800000000003</v>
      </c>
      <c r="AA18" s="937">
        <f t="shared" si="7"/>
        <v>28832.800000000003</v>
      </c>
      <c r="AB18" s="937">
        <f t="shared" si="7"/>
        <v>28832.800000000003</v>
      </c>
    </row>
    <row r="19" spans="2:53">
      <c r="B19" s="938" t="s">
        <v>886</v>
      </c>
      <c r="C19" s="923"/>
      <c r="D19" s="939"/>
      <c r="E19" s="939"/>
      <c r="F19" s="939"/>
      <c r="G19" s="939"/>
      <c r="H19" s="939"/>
      <c r="I19" s="939"/>
      <c r="J19" s="939"/>
      <c r="K19" s="939"/>
      <c r="L19" s="939"/>
      <c r="M19" s="939"/>
      <c r="N19" s="939"/>
      <c r="O19" s="939"/>
      <c r="P19" s="939"/>
      <c r="Q19" s="939"/>
      <c r="R19" s="939"/>
      <c r="S19" s="939"/>
      <c r="T19" s="939"/>
      <c r="U19" s="939"/>
      <c r="V19" s="939"/>
      <c r="W19" s="939"/>
      <c r="X19" s="939"/>
      <c r="Y19" s="939"/>
      <c r="Z19" s="939"/>
      <c r="AA19" s="939"/>
      <c r="AB19" s="939"/>
    </row>
    <row r="20" spans="2:53">
      <c r="B20" s="938" t="s">
        <v>887</v>
      </c>
      <c r="C20" s="923"/>
      <c r="D20" s="939"/>
      <c r="E20" s="939"/>
      <c r="F20" s="939"/>
      <c r="G20" s="939"/>
      <c r="H20" s="939"/>
      <c r="I20" s="939"/>
      <c r="J20" s="939"/>
      <c r="K20" s="939"/>
      <c r="L20" s="939"/>
      <c r="M20" s="939"/>
      <c r="N20" s="939"/>
      <c r="O20" s="939"/>
      <c r="P20" s="939"/>
      <c r="Q20" s="939"/>
      <c r="R20" s="939"/>
      <c r="S20" s="939"/>
      <c r="T20" s="939"/>
      <c r="U20" s="939"/>
      <c r="V20" s="939"/>
      <c r="W20" s="939"/>
      <c r="X20" s="939"/>
      <c r="Y20" s="939"/>
      <c r="Z20" s="939"/>
      <c r="AA20" s="939"/>
      <c r="AB20" s="939"/>
      <c r="AY20" s="915" t="s">
        <v>888</v>
      </c>
      <c r="AZ20" s="934">
        <f>AZ17-AZ15</f>
        <v>35067.438125934626</v>
      </c>
      <c r="BA20" s="934">
        <f>BA17-BA15</f>
        <v>30800.238125934626</v>
      </c>
    </row>
    <row r="21" spans="2:53">
      <c r="B21" s="940" t="s">
        <v>889</v>
      </c>
      <c r="C21" s="941"/>
      <c r="D21" s="942">
        <f t="shared" ref="D21:H21" si="8">SUM(D18:D20)</f>
        <v>0</v>
      </c>
      <c r="E21" s="942">
        <f t="shared" si="8"/>
        <v>27600</v>
      </c>
      <c r="F21" s="942">
        <f t="shared" si="8"/>
        <v>27600</v>
      </c>
      <c r="G21" s="942">
        <f t="shared" si="8"/>
        <v>27600</v>
      </c>
      <c r="H21" s="942">
        <f t="shared" si="8"/>
        <v>27600</v>
      </c>
      <c r="I21" s="942">
        <f t="shared" ref="I21:AB21" si="9">SUM(I18:I20)</f>
        <v>27600</v>
      </c>
      <c r="J21" s="942">
        <f t="shared" si="9"/>
        <v>27600</v>
      </c>
      <c r="K21" s="942">
        <f t="shared" si="9"/>
        <v>27600</v>
      </c>
      <c r="L21" s="942">
        <f t="shared" si="9"/>
        <v>27600</v>
      </c>
      <c r="M21" s="942">
        <f t="shared" si="9"/>
        <v>28704</v>
      </c>
      <c r="N21" s="942">
        <f t="shared" si="9"/>
        <v>28740.800000000003</v>
      </c>
      <c r="O21" s="942">
        <f t="shared" si="9"/>
        <v>28777.600000000002</v>
      </c>
      <c r="P21" s="942">
        <f t="shared" si="9"/>
        <v>28796</v>
      </c>
      <c r="Q21" s="942">
        <f t="shared" si="9"/>
        <v>28796</v>
      </c>
      <c r="R21" s="942">
        <f t="shared" si="9"/>
        <v>28807.040000000001</v>
      </c>
      <c r="S21" s="942">
        <f t="shared" si="9"/>
        <v>28821.760000000002</v>
      </c>
      <c r="T21" s="942">
        <f t="shared" si="9"/>
        <v>28821.760000000002</v>
      </c>
      <c r="U21" s="942">
        <f t="shared" si="9"/>
        <v>28832.800000000003</v>
      </c>
      <c r="V21" s="942">
        <f t="shared" si="9"/>
        <v>28832.800000000003</v>
      </c>
      <c r="W21" s="942">
        <f t="shared" si="9"/>
        <v>28832.800000000003</v>
      </c>
      <c r="X21" s="942">
        <f t="shared" si="9"/>
        <v>28832.800000000003</v>
      </c>
      <c r="Y21" s="942">
        <f t="shared" si="9"/>
        <v>28832.800000000003</v>
      </c>
      <c r="Z21" s="942">
        <f t="shared" si="9"/>
        <v>28832.800000000003</v>
      </c>
      <c r="AA21" s="942">
        <f t="shared" si="9"/>
        <v>28832.800000000003</v>
      </c>
      <c r="AB21" s="942">
        <f t="shared" si="9"/>
        <v>28832.800000000003</v>
      </c>
      <c r="AY21" s="915" t="s">
        <v>890</v>
      </c>
      <c r="AZ21" s="915">
        <f>[6]Master!S30-[6]Master!S23</f>
        <v>5438.0502077511592</v>
      </c>
      <c r="BA21" s="915">
        <f>[6]Master!S30-508</f>
        <v>5316.1672077511594</v>
      </c>
    </row>
    <row r="22" spans="2:53">
      <c r="B22" s="923"/>
      <c r="C22" s="923"/>
      <c r="J22" s="918"/>
      <c r="K22" s="918"/>
      <c r="O22" s="915"/>
      <c r="P22" s="915"/>
      <c r="AY22" s="915" t="s">
        <v>891</v>
      </c>
      <c r="AZ22" s="918">
        <f>AZ20/AZ21</f>
        <v>6.448531511524302</v>
      </c>
      <c r="BA22" s="918">
        <f>BA20/BA21</f>
        <v>5.7936925085852815</v>
      </c>
    </row>
    <row r="23" spans="2:53">
      <c r="B23" s="943" t="s">
        <v>892</v>
      </c>
      <c r="C23" s="944"/>
      <c r="D23" s="945">
        <f t="shared" ref="D23:AB23" si="10">D$4</f>
        <v>2008</v>
      </c>
      <c r="E23" s="945">
        <f t="shared" si="10"/>
        <v>2009</v>
      </c>
      <c r="F23" s="945">
        <f t="shared" si="10"/>
        <v>2010</v>
      </c>
      <c r="G23" s="945">
        <f t="shared" si="10"/>
        <v>2011</v>
      </c>
      <c r="H23" s="945">
        <f t="shared" si="10"/>
        <v>2012</v>
      </c>
      <c r="I23" s="945">
        <f t="shared" si="10"/>
        <v>2013</v>
      </c>
      <c r="J23" s="945">
        <f t="shared" si="10"/>
        <v>2014</v>
      </c>
      <c r="K23" s="945">
        <f t="shared" si="10"/>
        <v>2015</v>
      </c>
      <c r="L23" s="945">
        <f t="shared" si="10"/>
        <v>2016</v>
      </c>
      <c r="M23" s="945">
        <f t="shared" si="10"/>
        <v>2017</v>
      </c>
      <c r="N23" s="945">
        <f t="shared" si="10"/>
        <v>2018</v>
      </c>
      <c r="O23" s="945">
        <f t="shared" si="10"/>
        <v>2019</v>
      </c>
      <c r="P23" s="945">
        <f t="shared" si="10"/>
        <v>2020</v>
      </c>
      <c r="Q23" s="945">
        <f t="shared" si="10"/>
        <v>2021</v>
      </c>
      <c r="R23" s="945">
        <f t="shared" si="10"/>
        <v>2022</v>
      </c>
      <c r="S23" s="945">
        <f t="shared" si="10"/>
        <v>2023</v>
      </c>
      <c r="T23" s="945">
        <f t="shared" si="10"/>
        <v>2024</v>
      </c>
      <c r="U23" s="946">
        <f t="shared" si="10"/>
        <v>2025</v>
      </c>
      <c r="V23" s="946">
        <f t="shared" si="10"/>
        <v>2026</v>
      </c>
      <c r="W23" s="946">
        <f t="shared" si="10"/>
        <v>2027</v>
      </c>
      <c r="X23" s="946">
        <f t="shared" si="10"/>
        <v>2028</v>
      </c>
      <c r="Y23" s="946">
        <f t="shared" si="10"/>
        <v>2029</v>
      </c>
      <c r="Z23" s="946">
        <f t="shared" si="10"/>
        <v>2030</v>
      </c>
      <c r="AA23" s="946">
        <f t="shared" si="10"/>
        <v>2031</v>
      </c>
      <c r="AB23" s="946">
        <f t="shared" si="10"/>
        <v>2032</v>
      </c>
      <c r="AZ23" s="918"/>
      <c r="BA23" s="918"/>
    </row>
    <row r="24" spans="2:53">
      <c r="B24" s="923" t="s">
        <v>893</v>
      </c>
      <c r="C24" s="923"/>
      <c r="D24" s="971">
        <f>'Income Statement'!G432</f>
        <v>8449.9</v>
      </c>
      <c r="E24" s="971">
        <f>'Income Statement'!L432</f>
        <v>8612</v>
      </c>
      <c r="F24" s="971">
        <f>'Income Statement'!Q432</f>
        <v>8869</v>
      </c>
      <c r="G24" s="971">
        <f>'Income Statement'!V432</f>
        <v>8783</v>
      </c>
      <c r="H24" s="971">
        <f>'Income Statement'!AA432</f>
        <v>8880</v>
      </c>
      <c r="I24" s="971">
        <f>'Income Statement'!AF432</f>
        <v>9028.3719999999994</v>
      </c>
      <c r="J24" s="971">
        <f>'Income Statement'!AK432</f>
        <v>8404</v>
      </c>
      <c r="K24" s="971">
        <f>'Income Statement'!AP432</f>
        <v>8601</v>
      </c>
      <c r="L24" s="971">
        <f>'Income Statement'!AU432</f>
        <v>8612</v>
      </c>
      <c r="M24" s="971">
        <f>'Income Statement'!AZ432</f>
        <v>9419</v>
      </c>
      <c r="N24" s="971">
        <f>'Income Statement'!BE432</f>
        <v>9192</v>
      </c>
      <c r="O24" s="971">
        <f>'Income Statement'!BJ432</f>
        <v>9313</v>
      </c>
      <c r="P24" s="971">
        <f>'Income Statement'!BO432</f>
        <v>8966</v>
      </c>
      <c r="Q24" s="971">
        <f>'Income Statement'!BT432</f>
        <v>9241</v>
      </c>
      <c r="R24" s="971">
        <f>'Income Statement'!BY432</f>
        <v>9789</v>
      </c>
      <c r="S24" s="971">
        <f>'Income Statement'!CD432</f>
        <v>10180</v>
      </c>
      <c r="T24" s="971">
        <f>'Income Statement'!CI432</f>
        <v>10536</v>
      </c>
      <c r="U24" s="971">
        <f>'Income Statement'!CN432</f>
        <v>10635</v>
      </c>
      <c r="V24" s="971">
        <f>'Income Statement'!CQ432</f>
        <v>10945.588579795789</v>
      </c>
      <c r="W24" s="971">
        <f>'Income Statement'!CR432</f>
        <v>11217.050358444878</v>
      </c>
      <c r="X24" s="971">
        <f>'Income Statement'!CS432</f>
        <v>11491.634183527703</v>
      </c>
      <c r="Y24" s="971">
        <f>'Income Statement'!CT432</f>
        <v>11781.507149435985</v>
      </c>
      <c r="Z24" s="971">
        <f>'Income Statement'!CU432</f>
        <v>12062.40587606502</v>
      </c>
      <c r="AA24" s="971">
        <f>'Income Statement'!CV432</f>
        <v>12347.340609898634</v>
      </c>
      <c r="AB24" s="971">
        <f>'Income Statement'!CW432</f>
        <v>12636.875847746611</v>
      </c>
      <c r="AZ24" s="918"/>
      <c r="BA24" s="918"/>
    </row>
    <row r="25" spans="2:53">
      <c r="B25" s="923" t="s">
        <v>2</v>
      </c>
      <c r="C25" s="923"/>
      <c r="D25" s="971">
        <f>'Income Statement'!G453</f>
        <v>4402.2000000000007</v>
      </c>
      <c r="E25" s="971">
        <f>'Income Statement'!L453</f>
        <v>4220</v>
      </c>
      <c r="F25" s="971">
        <f>'Income Statement'!Q453</f>
        <v>4416</v>
      </c>
      <c r="G25" s="971">
        <f>'Income Statement'!V453</f>
        <v>4423</v>
      </c>
      <c r="H25" s="971">
        <f>'Income Statement'!AA453</f>
        <v>4359</v>
      </c>
      <c r="I25" s="971">
        <f>'Income Statement'!AF453</f>
        <v>4522</v>
      </c>
      <c r="J25" s="971">
        <f>'Income Statement'!AK453</f>
        <v>4112.3305194230634</v>
      </c>
      <c r="K25" s="971">
        <f>'Income Statement'!AP453</f>
        <v>4426</v>
      </c>
      <c r="L25" s="971">
        <f>'Income Statement'!AU453</f>
        <v>4502</v>
      </c>
      <c r="M25" s="971">
        <f>'Income Statement'!AZ453</f>
        <v>4195</v>
      </c>
      <c r="N25" s="971">
        <f>'Income Statement'!BE453</f>
        <v>3843</v>
      </c>
      <c r="O25" s="971">
        <f>'Income Statement'!BJ453</f>
        <v>3926</v>
      </c>
      <c r="P25" s="971">
        <f>'Income Statement'!BO453</f>
        <v>3814</v>
      </c>
      <c r="Q25" s="971">
        <f>'Income Statement'!BT453</f>
        <v>3876</v>
      </c>
      <c r="R25" s="971">
        <f>'Income Statement'!BY453</f>
        <v>3929</v>
      </c>
      <c r="S25" s="971">
        <f>'Income Statement'!CD453</f>
        <v>3960</v>
      </c>
      <c r="T25" s="971">
        <f>'Income Statement'!CI453</f>
        <v>4122</v>
      </c>
      <c r="U25" s="971">
        <f>'Income Statement'!CN453</f>
        <v>4329</v>
      </c>
      <c r="V25" s="971">
        <f>'Income Statement'!CQ453</f>
        <v>4521.5932718038575</v>
      </c>
      <c r="W25" s="971">
        <f>'Income Statement'!CR453</f>
        <v>4652.7746464653283</v>
      </c>
      <c r="X25" s="971">
        <f>'Income Statement'!CS453</f>
        <v>4782.7277825729407</v>
      </c>
      <c r="Y25" s="971">
        <f>'Income Statement'!CT453</f>
        <v>4920.6127220270864</v>
      </c>
      <c r="Z25" s="971">
        <f>'Income Statement'!CU453</f>
        <v>5055.0552341969897</v>
      </c>
      <c r="AA25" s="971">
        <f>'Income Statement'!CV453</f>
        <v>5192.1232583166502</v>
      </c>
      <c r="AB25" s="971">
        <f>'Income Statement'!CW453</f>
        <v>5332.0710765879776</v>
      </c>
      <c r="AZ25" s="918"/>
      <c r="BA25" s="918"/>
    </row>
    <row r="26" spans="2:53">
      <c r="B26" s="923" t="s">
        <v>75</v>
      </c>
      <c r="C26" s="923"/>
      <c r="D26" s="971">
        <f>'Income Statement'!G471</f>
        <v>3210.0000000000009</v>
      </c>
      <c r="E26" s="971">
        <f>'Income Statement'!L471</f>
        <v>3055</v>
      </c>
      <c r="F26" s="971">
        <f>'Income Statement'!Q471</f>
        <v>3343</v>
      </c>
      <c r="G26" s="971">
        <f>'Income Statement'!V471</f>
        <v>3232</v>
      </c>
      <c r="H26" s="971">
        <f>'Income Statement'!AA471</f>
        <v>2997</v>
      </c>
      <c r="I26" s="971">
        <f>'Income Statement'!AF471</f>
        <v>3156</v>
      </c>
      <c r="J26" s="971">
        <f>'Income Statement'!AK471</f>
        <v>2685.3305194230634</v>
      </c>
      <c r="K26" s="971">
        <f>'Income Statement'!AP471</f>
        <v>3156</v>
      </c>
      <c r="L26" s="971">
        <f>'Income Statement'!AU471</f>
        <v>3109</v>
      </c>
      <c r="M26" s="971">
        <f>'Income Statement'!AZ471</f>
        <v>2775</v>
      </c>
      <c r="N26" s="971">
        <f>'Income Statement'!BE471</f>
        <v>2685</v>
      </c>
      <c r="O26" s="971">
        <f>'Income Statement'!BJ471</f>
        <v>2512</v>
      </c>
      <c r="P26" s="971">
        <f>'Income Statement'!BO471</f>
        <v>2284</v>
      </c>
      <c r="Q26" s="971">
        <f>'Income Statement'!BT471</f>
        <v>2082</v>
      </c>
      <c r="R26" s="971">
        <f>'Income Statement'!BY471</f>
        <v>2209</v>
      </c>
      <c r="S26" s="971">
        <f>'Income Statement'!CD471</f>
        <v>1890</v>
      </c>
      <c r="T26" s="971">
        <f>'Income Statement'!CI471</f>
        <v>2324</v>
      </c>
      <c r="U26" s="971">
        <f>'Income Statement'!CN471</f>
        <v>2521</v>
      </c>
      <c r="V26" s="971">
        <f>'Income Statement'!CQ471</f>
        <v>2808.9732718038576</v>
      </c>
      <c r="W26" s="971">
        <f>'Income Statement'!CR471</f>
        <v>2936.5606269771351</v>
      </c>
      <c r="X26" s="971">
        <f>'Income Statement'!CS471</f>
        <v>3056.3849942727456</v>
      </c>
      <c r="Y26" s="971">
        <f>'Income Statement'!CT471</f>
        <v>3189.161915731187</v>
      </c>
      <c r="Z26" s="971">
        <f>'Income Statement'!CU471</f>
        <v>3336.7783165555588</v>
      </c>
      <c r="AA26" s="971">
        <f>'Income Statement'!CV471</f>
        <v>3476.252114967509</v>
      </c>
      <c r="AB26" s="971">
        <f>'Income Statement'!CW471</f>
        <v>3647.3440844747279</v>
      </c>
      <c r="AZ26" s="918"/>
      <c r="BA26" s="918"/>
    </row>
    <row r="27" spans="2:53">
      <c r="B27" s="923" t="s">
        <v>909</v>
      </c>
      <c r="C27" s="923"/>
      <c r="D27" s="971">
        <f>'Income Statement'!G484</f>
        <v>2400.6000000000013</v>
      </c>
      <c r="E27" s="971">
        <f>'Income Statement'!L484</f>
        <v>2232</v>
      </c>
      <c r="F27" s="971">
        <f>'Income Statement'!Q484</f>
        <v>2295</v>
      </c>
      <c r="G27" s="971">
        <f>'Income Statement'!V484</f>
        <v>2531</v>
      </c>
      <c r="H27" s="971">
        <f>'Income Statement'!AA484</f>
        <v>1993</v>
      </c>
      <c r="I27" s="971">
        <f>'Income Statement'!AF484</f>
        <v>2103</v>
      </c>
      <c r="J27" s="971">
        <f>'Income Statement'!AK484</f>
        <v>1607.561874065377</v>
      </c>
      <c r="K27" s="971">
        <f>'Income Statement'!AP484</f>
        <v>2064.1792126289793</v>
      </c>
      <c r="L27" s="971">
        <f>'Income Statement'!AU484</f>
        <v>1971</v>
      </c>
      <c r="M27" s="971">
        <f>'Income Statement'!AZ484</f>
        <v>2061</v>
      </c>
      <c r="N27" s="971">
        <f>'Income Statement'!BE484</f>
        <v>1765</v>
      </c>
      <c r="O27" s="971">
        <f>'Income Statement'!BJ484</f>
        <v>1527</v>
      </c>
      <c r="P27" s="971">
        <f>'Income Statement'!BO484</f>
        <v>1410</v>
      </c>
      <c r="Q27" s="971">
        <f>'Income Statement'!BT484</f>
        <v>1216</v>
      </c>
      <c r="R27" s="971">
        <f>'Income Statement'!BY484</f>
        <v>1151</v>
      </c>
      <c r="S27" s="971">
        <f>'Income Statement'!CD484</f>
        <v>992</v>
      </c>
      <c r="T27" s="971">
        <f>'Income Statement'!CI484</f>
        <v>1396</v>
      </c>
      <c r="U27" s="971">
        <f>'Income Statement'!CN484</f>
        <v>1583</v>
      </c>
      <c r="V27" s="971">
        <f>'Income Statement'!CQ484</f>
        <v>1794.4281173919558</v>
      </c>
      <c r="W27" s="971">
        <f>'Income Statement'!CR484</f>
        <v>1924.5715986894747</v>
      </c>
      <c r="X27" s="971">
        <f>'Income Statement'!CS484</f>
        <v>2040.680148159393</v>
      </c>
      <c r="Y27" s="971">
        <f>'Income Statement'!CT484</f>
        <v>2166.567186427606</v>
      </c>
      <c r="Z27" s="971">
        <f>'Income Statement'!CU484</f>
        <v>2303.5514780524445</v>
      </c>
      <c r="AA27" s="971">
        <f>'Income Statement'!CV484</f>
        <v>2433.3622613066987</v>
      </c>
      <c r="AB27" s="971">
        <f>'Income Statement'!CW484</f>
        <v>2586.7414219465422</v>
      </c>
      <c r="AZ27" s="918"/>
      <c r="BA27" s="918"/>
    </row>
    <row r="28" spans="2:53">
      <c r="B28" s="923" t="s">
        <v>133</v>
      </c>
      <c r="C28" s="923"/>
      <c r="D28" s="971">
        <f>'Income Statement'!G511</f>
        <v>3599.4000000000005</v>
      </c>
      <c r="E28" s="971">
        <f>'Income Statement'!L511</f>
        <v>3630</v>
      </c>
      <c r="F28" s="971">
        <f>'Income Statement'!Q511</f>
        <v>2972</v>
      </c>
      <c r="G28" s="971">
        <f>'Income Statement'!V511</f>
        <v>3434</v>
      </c>
      <c r="H28" s="971">
        <f>'Income Statement'!AA511</f>
        <v>3369</v>
      </c>
      <c r="I28" s="971">
        <f>'Income Statement'!AF511</f>
        <v>3707</v>
      </c>
      <c r="J28" s="971">
        <f>'Income Statement'!AK511</f>
        <v>2972.3305194230634</v>
      </c>
      <c r="K28" s="971">
        <f>'Income Statement'!AP511</f>
        <v>3122</v>
      </c>
      <c r="L28" s="971">
        <f>'Income Statement'!AU511</f>
        <v>3313</v>
      </c>
      <c r="M28" s="971">
        <f>'Income Statement'!AZ511</f>
        <v>3167</v>
      </c>
      <c r="N28" s="971">
        <f>'Income Statement'!BE511</f>
        <v>2805</v>
      </c>
      <c r="O28" s="971">
        <f>'Income Statement'!BJ511</f>
        <v>2713</v>
      </c>
      <c r="P28" s="971">
        <f>'Income Statement'!BO511</f>
        <v>2569</v>
      </c>
      <c r="Q28" s="971">
        <f>'Income Statement'!BT511</f>
        <v>2689</v>
      </c>
      <c r="R28" s="971">
        <f>'Income Statement'!BY511</f>
        <v>2815</v>
      </c>
      <c r="S28" s="971">
        <f>'Income Statement'!CD511</f>
        <v>3147</v>
      </c>
      <c r="T28" s="971">
        <f>'Income Statement'!CI511</f>
        <v>3448</v>
      </c>
      <c r="U28" s="971">
        <f>'Income Statement'!CN511</f>
        <v>3343</v>
      </c>
      <c r="V28" s="971">
        <f>'Income Statement'!CQ511</f>
        <v>3427.0344138242785</v>
      </c>
      <c r="W28" s="971">
        <f>'Income Statement'!CR511</f>
        <v>3643.2401142052895</v>
      </c>
      <c r="X28" s="971">
        <f>'Income Statement'!CS511</f>
        <v>3748.4807060554476</v>
      </c>
      <c r="Y28" s="971">
        <f>'Income Statement'!CT511</f>
        <v>3860.2770785778475</v>
      </c>
      <c r="Z28" s="971">
        <f>'Income Statement'!CU511</f>
        <v>3969.4387053511377</v>
      </c>
      <c r="AA28" s="971">
        <f>'Income Statement'!CV511</f>
        <v>4080.8626034257732</v>
      </c>
      <c r="AB28" s="971">
        <f>'Income Statement'!CW511</f>
        <v>3815.6459748583843</v>
      </c>
      <c r="AZ28" s="918"/>
      <c r="BA28" s="918"/>
    </row>
    <row r="29" spans="2:53">
      <c r="B29" s="923" t="s">
        <v>242</v>
      </c>
      <c r="C29" s="923"/>
      <c r="D29" s="975">
        <f>D28*(1-0.25)</f>
        <v>2699.55</v>
      </c>
      <c r="E29" s="975">
        <f t="shared" ref="E29:AB29" si="11">E28*(1-0.25)</f>
        <v>2722.5</v>
      </c>
      <c r="F29" s="975">
        <f t="shared" si="11"/>
        <v>2229</v>
      </c>
      <c r="G29" s="975">
        <f t="shared" si="11"/>
        <v>2575.5</v>
      </c>
      <c r="H29" s="975">
        <f t="shared" si="11"/>
        <v>2526.75</v>
      </c>
      <c r="I29" s="975">
        <f t="shared" si="11"/>
        <v>2780.25</v>
      </c>
      <c r="J29" s="975">
        <f t="shared" si="11"/>
        <v>2229.2478895672975</v>
      </c>
      <c r="K29" s="975">
        <f t="shared" si="11"/>
        <v>2341.5</v>
      </c>
      <c r="L29" s="975">
        <f t="shared" si="11"/>
        <v>2484.75</v>
      </c>
      <c r="M29" s="975">
        <f t="shared" si="11"/>
        <v>2375.25</v>
      </c>
      <c r="N29" s="975">
        <f t="shared" si="11"/>
        <v>2103.75</v>
      </c>
      <c r="O29" s="975">
        <f t="shared" si="11"/>
        <v>2034.75</v>
      </c>
      <c r="P29" s="975">
        <f t="shared" si="11"/>
        <v>1926.75</v>
      </c>
      <c r="Q29" s="975">
        <f t="shared" si="11"/>
        <v>2016.75</v>
      </c>
      <c r="R29" s="975">
        <f t="shared" si="11"/>
        <v>2111.25</v>
      </c>
      <c r="S29" s="975">
        <f t="shared" si="11"/>
        <v>2360.25</v>
      </c>
      <c r="T29" s="975">
        <f t="shared" si="11"/>
        <v>2586</v>
      </c>
      <c r="U29" s="975">
        <f t="shared" si="11"/>
        <v>2507.25</v>
      </c>
      <c r="V29" s="975">
        <f t="shared" si="11"/>
        <v>2570.275810368209</v>
      </c>
      <c r="W29" s="975">
        <f t="shared" si="11"/>
        <v>2732.4300856539671</v>
      </c>
      <c r="X29" s="975">
        <f t="shared" si="11"/>
        <v>2811.3605295415855</v>
      </c>
      <c r="Y29" s="975">
        <f t="shared" si="11"/>
        <v>2895.2078089333854</v>
      </c>
      <c r="Z29" s="975">
        <f t="shared" si="11"/>
        <v>2977.0790290133532</v>
      </c>
      <c r="AA29" s="975">
        <f t="shared" si="11"/>
        <v>3060.6469525693301</v>
      </c>
      <c r="AB29" s="975">
        <f t="shared" si="11"/>
        <v>2861.7344811437883</v>
      </c>
      <c r="AD29" s="915" t="s">
        <v>894</v>
      </c>
      <c r="AZ29" s="918"/>
      <c r="BA29" s="918"/>
    </row>
    <row r="30" spans="2:53">
      <c r="B30" s="923" t="s">
        <v>824</v>
      </c>
      <c r="C30" s="923"/>
      <c r="D30" s="976">
        <f>'Balance Sheet and Cflow'!C303</f>
        <v>2906.8000000000006</v>
      </c>
      <c r="E30" s="976">
        <f>'Balance Sheet and Cflow'!D303</f>
        <v>2975</v>
      </c>
      <c r="F30" s="976">
        <f>'Balance Sheet and Cflow'!E303</f>
        <v>1699</v>
      </c>
      <c r="G30" s="976">
        <f>'Balance Sheet and Cflow'!F303</f>
        <v>2564</v>
      </c>
      <c r="H30" s="976">
        <f>'Balance Sheet and Cflow'!G303</f>
        <v>2401.5122727272728</v>
      </c>
      <c r="I30" s="976">
        <f>'Balance Sheet and Cflow'!H303</f>
        <v>2400.4877272727272</v>
      </c>
      <c r="J30" s="976">
        <f>'Balance Sheet and Cflow'!I303</f>
        <v>2442.5618740653772</v>
      </c>
      <c r="K30" s="976">
        <f>'Balance Sheet and Cflow'!J303</f>
        <v>2007</v>
      </c>
      <c r="L30" s="976">
        <f>'Balance Sheet and Cflow'!K303</f>
        <v>1715</v>
      </c>
      <c r="M30" s="976">
        <f>'Balance Sheet and Cflow'!L303</f>
        <v>1774</v>
      </c>
      <c r="N30" s="976">
        <f>'Balance Sheet and Cflow'!M303</f>
        <v>2232.721</v>
      </c>
      <c r="O30" s="976">
        <f>'Balance Sheet and Cflow'!N303</f>
        <v>1818</v>
      </c>
      <c r="P30" s="976">
        <f>'Balance Sheet and Cflow'!O303</f>
        <v>1681</v>
      </c>
      <c r="Q30" s="976">
        <f>'Balance Sheet and Cflow'!P303</f>
        <v>2154</v>
      </c>
      <c r="R30" s="976">
        <f>'Balance Sheet and Cflow'!Q303</f>
        <v>1196</v>
      </c>
      <c r="S30" s="976">
        <f>'Balance Sheet and Cflow'!R303</f>
        <v>1928</v>
      </c>
      <c r="T30" s="976">
        <f>'Balance Sheet and Cflow'!S303</f>
        <v>2313</v>
      </c>
      <c r="U30" s="976">
        <f>'Balance Sheet and Cflow'!T303</f>
        <v>2067</v>
      </c>
      <c r="V30" s="976">
        <f>'Balance Sheet and Cflow'!U303</f>
        <v>2053.001041182044</v>
      </c>
      <c r="W30" s="976">
        <f>'Balance Sheet and Cflow'!V303</f>
        <v>2256.4010553029411</v>
      </c>
      <c r="X30" s="976">
        <f>'Balance Sheet and Cflow'!W303</f>
        <v>2349.636244282694</v>
      </c>
      <c r="Y30" s="976">
        <f>'Balance Sheet and Cflow'!X303</f>
        <v>2447.5348808458639</v>
      </c>
      <c r="Z30" s="976">
        <f>'Balance Sheet and Cflow'!Y303</f>
        <v>2535.9248355726963</v>
      </c>
      <c r="AA30" s="976">
        <f>'Balance Sheet and Cflow'!Z303</f>
        <v>2629.3954004957914</v>
      </c>
      <c r="AB30" s="976">
        <f>'Balance Sheet and Cflow'!AA303</f>
        <v>2338.1209542491965</v>
      </c>
      <c r="AZ30" s="918"/>
      <c r="BA30" s="918"/>
    </row>
    <row r="31" spans="2:53">
      <c r="B31" s="923" t="s">
        <v>895</v>
      </c>
      <c r="C31" s="923"/>
      <c r="D31" s="973">
        <f>'Income Statement'!G499</f>
        <v>0</v>
      </c>
      <c r="E31" s="973">
        <f>'Income Statement'!L499</f>
        <v>0.29759999999999998</v>
      </c>
      <c r="F31" s="973">
        <f>'Income Statement'!Q499</f>
        <v>0.30599999999999999</v>
      </c>
      <c r="G31" s="973">
        <f>'Income Statement'!V499</f>
        <v>0.33693333333333331</v>
      </c>
      <c r="H31" s="973">
        <f>'Income Statement'!AA499</f>
        <v>0.248</v>
      </c>
      <c r="I31" s="973">
        <f>'Income Statement'!AF499</f>
        <v>0.26453333333333334</v>
      </c>
      <c r="J31" s="973">
        <f>'Income Statement'!AK499</f>
        <v>0.23</v>
      </c>
      <c r="K31" s="973">
        <f>'Income Statement'!AP499</f>
        <v>0.23293333333333333</v>
      </c>
      <c r="L31" s="973">
        <f>'Income Statement'!AU499</f>
        <v>0.26840000000000003</v>
      </c>
      <c r="M31" s="973">
        <f>'Income Statement'!AZ499</f>
        <v>0.28000000000000003</v>
      </c>
      <c r="N31" s="973">
        <f>'Income Statement'!BE499</f>
        <v>0.23533333333333334</v>
      </c>
      <c r="O31" s="973">
        <f>'Income Statement'!BJ499</f>
        <v>0.19424552429667519</v>
      </c>
      <c r="P31" s="973">
        <f>'Income Statement'!BO499</f>
        <v>0.17699680511182109</v>
      </c>
      <c r="Q31" s="973">
        <f>'Income Statement'!BT499</f>
        <v>0.15539936102236421</v>
      </c>
      <c r="R31" s="973">
        <f>'Income Statement'!BY499</f>
        <v>0.14715836711911176</v>
      </c>
      <c r="S31" s="973">
        <f>'Income Statement'!CD499</f>
        <v>0.1268542199488491</v>
      </c>
      <c r="T31" s="973">
        <f>'Income Statement'!CI499</f>
        <v>0.1784484979444628</v>
      </c>
      <c r="U31" s="973">
        <f>'Income Statement'!CN499</f>
        <v>0.19952333698385988</v>
      </c>
      <c r="V31" s="973">
        <f>'Income Statement'!CQ499</f>
        <v>0.22902720068818835</v>
      </c>
      <c r="W31" s="973">
        <f>'Income Statement'!CR499</f>
        <v>0.24563772797568281</v>
      </c>
      <c r="X31" s="973">
        <f>'Income Statement'!CS499</f>
        <v>0.26045694296865257</v>
      </c>
      <c r="Y31" s="973">
        <f>'Income Statement'!CT499</f>
        <v>0.27652421013753747</v>
      </c>
      <c r="Z31" s="973">
        <f>'Income Statement'!CU499</f>
        <v>0.29400784659252643</v>
      </c>
      <c r="AA31" s="973">
        <f>'Income Statement'!CV499</f>
        <v>0.31057591082408409</v>
      </c>
      <c r="AB31" s="973">
        <f>'Income Statement'!CW499</f>
        <v>0.3301520640646512</v>
      </c>
      <c r="AZ31" s="918"/>
      <c r="BA31" s="918"/>
    </row>
    <row r="32" spans="2:53" s="948" customFormat="1">
      <c r="B32" s="947" t="s">
        <v>896</v>
      </c>
      <c r="C32" s="947"/>
      <c r="D32" s="977" t="str">
        <f>IFERROR(D30/D6,"")</f>
        <v/>
      </c>
      <c r="E32" s="977">
        <f t="shared" ref="E32:AB32" si="12">IFERROR(E30/E6,"")</f>
        <v>0.39666666666666667</v>
      </c>
      <c r="F32" s="977">
        <f t="shared" si="12"/>
        <v>0.22653333333333334</v>
      </c>
      <c r="G32" s="977">
        <f t="shared" si="12"/>
        <v>0.34186666666666665</v>
      </c>
      <c r="H32" s="977">
        <f t="shared" si="12"/>
        <v>0.32020163636363635</v>
      </c>
      <c r="I32" s="977">
        <f t="shared" si="12"/>
        <v>0.3200650303030303</v>
      </c>
      <c r="J32" s="977">
        <f t="shared" si="12"/>
        <v>0.32567491654205027</v>
      </c>
      <c r="K32" s="977">
        <f t="shared" si="12"/>
        <v>0.2676</v>
      </c>
      <c r="L32" s="977">
        <f t="shared" si="12"/>
        <v>0.22866666666666666</v>
      </c>
      <c r="M32" s="977">
        <f t="shared" si="12"/>
        <v>0.22743589743589743</v>
      </c>
      <c r="N32" s="977">
        <f t="shared" si="12"/>
        <v>0.28587976952624838</v>
      </c>
      <c r="O32" s="977">
        <f t="shared" si="12"/>
        <v>0.23248081841432225</v>
      </c>
      <c r="P32" s="977">
        <f t="shared" si="12"/>
        <v>0.21482428115015975</v>
      </c>
      <c r="Q32" s="977">
        <f t="shared" si="12"/>
        <v>0.27527156549520765</v>
      </c>
      <c r="R32" s="977">
        <f t="shared" si="12"/>
        <v>0.15278487480838018</v>
      </c>
      <c r="S32" s="977">
        <f t="shared" si="12"/>
        <v>0.24616956077630234</v>
      </c>
      <c r="T32" s="977">
        <f t="shared" si="12"/>
        <v>0.29532686414708886</v>
      </c>
      <c r="U32" s="977">
        <f t="shared" si="12"/>
        <v>0.26381620931716654</v>
      </c>
      <c r="V32" s="977">
        <f t="shared" si="12"/>
        <v>0.26202948834486839</v>
      </c>
      <c r="W32" s="977">
        <f t="shared" si="12"/>
        <v>0.287989924097376</v>
      </c>
      <c r="X32" s="977">
        <f t="shared" si="12"/>
        <v>0.29988975676869101</v>
      </c>
      <c r="Y32" s="977">
        <f t="shared" si="12"/>
        <v>0.31238479653425194</v>
      </c>
      <c r="Z32" s="977">
        <f t="shared" si="12"/>
        <v>0.32366622023901676</v>
      </c>
      <c r="AA32" s="977">
        <f t="shared" si="12"/>
        <v>0.33559609451126882</v>
      </c>
      <c r="AB32" s="977">
        <f t="shared" si="12"/>
        <v>0.29842003245043991</v>
      </c>
      <c r="AD32" s="948" t="s">
        <v>897</v>
      </c>
    </row>
    <row r="33" spans="2:53" s="948" customFormat="1">
      <c r="B33" s="947" t="s">
        <v>290</v>
      </c>
      <c r="C33" s="947"/>
      <c r="D33" s="973">
        <f>'Income Statement'!G501</f>
        <v>0</v>
      </c>
      <c r="E33" s="973">
        <f>'Income Statement'!L501</f>
        <v>0.09</v>
      </c>
      <c r="F33" s="973">
        <f>'Income Statement'!Q501</f>
        <v>0.4</v>
      </c>
      <c r="G33" s="973">
        <f>'Income Statement'!V501</f>
        <v>0.4</v>
      </c>
      <c r="H33" s="973">
        <f>'Income Statement'!AA501</f>
        <v>0.4</v>
      </c>
      <c r="I33" s="973">
        <f>'Income Statement'!AF501</f>
        <v>0.4</v>
      </c>
      <c r="J33" s="973">
        <f>'Income Statement'!AK501</f>
        <v>0.4</v>
      </c>
      <c r="K33" s="973">
        <f>'Income Statement'!AP501</f>
        <v>0.2</v>
      </c>
      <c r="L33" s="973">
        <f>'Income Statement'!AU501</f>
        <v>0.2</v>
      </c>
      <c r="M33" s="973">
        <f>'Income Statement'!AZ501</f>
        <v>0.2</v>
      </c>
      <c r="N33" s="973">
        <f>'Income Statement'!BE501</f>
        <v>0.2</v>
      </c>
      <c r="O33" s="973">
        <f>'Income Statement'!BJ501</f>
        <v>0.2</v>
      </c>
      <c r="P33" s="973">
        <f>'Income Statement'!BO501</f>
        <v>0.16999999999999998</v>
      </c>
      <c r="Q33" s="973">
        <f>'Income Statement'!BT501</f>
        <v>0.16999999999999998</v>
      </c>
      <c r="R33" s="973">
        <f>'Income Statement'!BY501</f>
        <v>0.2</v>
      </c>
      <c r="S33" s="973">
        <f>'Income Statement'!CD501</f>
        <v>0.16</v>
      </c>
      <c r="T33" s="973">
        <f>'Income Statement'!CI501</f>
        <v>0.16999999999999998</v>
      </c>
      <c r="U33" s="973">
        <f>'Income Statement'!CN501</f>
        <v>0.17499999999999999</v>
      </c>
      <c r="V33" s="973">
        <f>'Income Statement'!CQ501</f>
        <v>0.20612448061936953</v>
      </c>
      <c r="W33" s="973">
        <f>'Income Statement'!CR501</f>
        <v>0.22107395517811454</v>
      </c>
      <c r="X33" s="973">
        <f>'Income Statement'!CS501</f>
        <v>0.23441124867178731</v>
      </c>
      <c r="Y33" s="973">
        <f>'Income Statement'!CT501</f>
        <v>0.24887178912378374</v>
      </c>
      <c r="Z33" s="973">
        <f>'Income Statement'!CU501</f>
        <v>0.26460706193327382</v>
      </c>
      <c r="AA33" s="973">
        <f>'Income Statement'!CV501</f>
        <v>0.27951831974167568</v>
      </c>
      <c r="AB33" s="973">
        <f>'Income Statement'!CW501</f>
        <v>0.29713685765818609</v>
      </c>
    </row>
    <row r="34" spans="2:53">
      <c r="B34" s="923"/>
      <c r="C34" s="923"/>
      <c r="J34" s="918"/>
      <c r="K34" s="918"/>
      <c r="O34" s="915"/>
      <c r="P34" s="915"/>
      <c r="AZ34" s="918"/>
      <c r="BA34" s="918"/>
    </row>
    <row r="35" spans="2:53">
      <c r="B35" s="949" t="s">
        <v>563</v>
      </c>
      <c r="C35" s="950"/>
      <c r="D35" s="945">
        <f t="shared" ref="D35:AB35" si="13">D$4</f>
        <v>2008</v>
      </c>
      <c r="E35" s="945">
        <f t="shared" si="13"/>
        <v>2009</v>
      </c>
      <c r="F35" s="945">
        <f t="shared" si="13"/>
        <v>2010</v>
      </c>
      <c r="G35" s="945">
        <f t="shared" si="13"/>
        <v>2011</v>
      </c>
      <c r="H35" s="945">
        <f t="shared" si="13"/>
        <v>2012</v>
      </c>
      <c r="I35" s="945">
        <f t="shared" si="13"/>
        <v>2013</v>
      </c>
      <c r="J35" s="945">
        <f t="shared" si="13"/>
        <v>2014</v>
      </c>
      <c r="K35" s="945">
        <f t="shared" si="13"/>
        <v>2015</v>
      </c>
      <c r="L35" s="945">
        <f t="shared" si="13"/>
        <v>2016</v>
      </c>
      <c r="M35" s="945">
        <f t="shared" si="13"/>
        <v>2017</v>
      </c>
      <c r="N35" s="945">
        <f t="shared" si="13"/>
        <v>2018</v>
      </c>
      <c r="O35" s="945">
        <f t="shared" si="13"/>
        <v>2019</v>
      </c>
      <c r="P35" s="945">
        <f t="shared" si="13"/>
        <v>2020</v>
      </c>
      <c r="Q35" s="945">
        <f t="shared" si="13"/>
        <v>2021</v>
      </c>
      <c r="R35" s="945">
        <f t="shared" si="13"/>
        <v>2022</v>
      </c>
      <c r="S35" s="945">
        <f t="shared" si="13"/>
        <v>2023</v>
      </c>
      <c r="T35" s="945">
        <f t="shared" si="13"/>
        <v>2024</v>
      </c>
      <c r="U35" s="946">
        <f t="shared" si="13"/>
        <v>2025</v>
      </c>
      <c r="V35" s="946">
        <f t="shared" si="13"/>
        <v>2026</v>
      </c>
      <c r="W35" s="946">
        <f t="shared" si="13"/>
        <v>2027</v>
      </c>
      <c r="X35" s="946">
        <f t="shared" si="13"/>
        <v>2028</v>
      </c>
      <c r="Y35" s="946">
        <f t="shared" si="13"/>
        <v>2029</v>
      </c>
      <c r="Z35" s="946">
        <f t="shared" si="13"/>
        <v>2030</v>
      </c>
      <c r="AA35" s="946">
        <f t="shared" si="13"/>
        <v>2031</v>
      </c>
      <c r="AB35" s="946">
        <f t="shared" si="13"/>
        <v>2032</v>
      </c>
    </row>
    <row r="36" spans="2:53" s="916" customFormat="1">
      <c r="B36" s="951" t="s">
        <v>898</v>
      </c>
      <c r="C36" s="952"/>
      <c r="D36" s="953"/>
      <c r="E36" s="953">
        <f t="shared" ref="E36:AB36" si="14">E$16/E24</f>
        <v>3.6546679052484903</v>
      </c>
      <c r="F36" s="953">
        <f t="shared" si="14"/>
        <v>3.625775171947232</v>
      </c>
      <c r="G36" s="953">
        <f t="shared" si="14"/>
        <v>3.7614710235682569</v>
      </c>
      <c r="H36" s="953">
        <f t="shared" si="14"/>
        <v>3.7877801494676491</v>
      </c>
      <c r="I36" s="953">
        <f t="shared" si="14"/>
        <v>3.8007959796073978</v>
      </c>
      <c r="J36" s="953">
        <f t="shared" si="14"/>
        <v>4.1727080111773711</v>
      </c>
      <c r="K36" s="953">
        <f t="shared" si="14"/>
        <v>4.2067710877728901</v>
      </c>
      <c r="L36" s="953">
        <f t="shared" si="14"/>
        <v>4.2710390299506065</v>
      </c>
      <c r="M36" s="953">
        <f t="shared" si="14"/>
        <v>3.795327330495236</v>
      </c>
      <c r="N36" s="953">
        <f t="shared" si="14"/>
        <v>3.896948338330573</v>
      </c>
      <c r="O36" s="953">
        <f t="shared" si="14"/>
        <v>3.9882731800638491</v>
      </c>
      <c r="P36" s="953">
        <f t="shared" si="14"/>
        <v>4.2186245957990884</v>
      </c>
      <c r="Q36" s="953">
        <f t="shared" si="14"/>
        <v>4.0791243508207584</v>
      </c>
      <c r="R36" s="953">
        <f t="shared" si="14"/>
        <v>3.8864264098411092</v>
      </c>
      <c r="S36" s="953">
        <f t="shared" si="14"/>
        <v>3.7352601302489803</v>
      </c>
      <c r="T36" s="953">
        <f t="shared" si="14"/>
        <v>3.5731727530310007</v>
      </c>
      <c r="U36" s="953">
        <f t="shared" si="14"/>
        <v>3.6377045722552541</v>
      </c>
      <c r="V36" s="953">
        <f t="shared" si="14"/>
        <v>3.5121143018920717</v>
      </c>
      <c r="W36" s="953">
        <f t="shared" si="14"/>
        <v>3.3820346083243451</v>
      </c>
      <c r="X36" s="953">
        <f t="shared" si="14"/>
        <v>3.2562765498511204</v>
      </c>
      <c r="Y36" s="953">
        <f t="shared" si="14"/>
        <v>3.1335123960752669</v>
      </c>
      <c r="Z36" s="953">
        <f t="shared" si="14"/>
        <v>3.0217998252126188</v>
      </c>
      <c r="AA36" s="953">
        <f t="shared" si="14"/>
        <v>2.9147048723616291</v>
      </c>
      <c r="AB36" s="953">
        <f t="shared" si="14"/>
        <v>2.8461183903666898</v>
      </c>
    </row>
    <row r="37" spans="2:53" s="956" customFormat="1">
      <c r="B37" s="954" t="s">
        <v>899</v>
      </c>
      <c r="C37" s="955"/>
      <c r="D37" s="953"/>
      <c r="E37" s="953">
        <f t="shared" ref="E37:AB37" si="15">E$16/E25</f>
        <v>7.4582938388625593</v>
      </c>
      <c r="F37" s="953">
        <f t="shared" si="15"/>
        <v>7.2819293478260869</v>
      </c>
      <c r="G37" s="953">
        <f t="shared" si="15"/>
        <v>7.4693646846032102</v>
      </c>
      <c r="H37" s="953">
        <f t="shared" si="15"/>
        <v>7.7163312060731188</v>
      </c>
      <c r="I37" s="953">
        <f t="shared" si="15"/>
        <v>7.5884564352056616</v>
      </c>
      <c r="J37" s="953">
        <f t="shared" si="15"/>
        <v>8.5273880492598124</v>
      </c>
      <c r="K37" s="953">
        <f t="shared" si="15"/>
        <v>8.1749747234375576</v>
      </c>
      <c r="L37" s="953">
        <f t="shared" si="15"/>
        <v>8.1701883887016056</v>
      </c>
      <c r="M37" s="953">
        <f t="shared" si="15"/>
        <v>8.5216181468258938</v>
      </c>
      <c r="N37" s="953">
        <f t="shared" si="15"/>
        <v>9.32103802392262</v>
      </c>
      <c r="O37" s="953">
        <f t="shared" si="15"/>
        <v>9.4607203581086665</v>
      </c>
      <c r="P37" s="953">
        <f t="shared" si="15"/>
        <v>9.9171966769624085</v>
      </c>
      <c r="Q37" s="953">
        <f t="shared" si="15"/>
        <v>9.7252807342452599</v>
      </c>
      <c r="R37" s="953">
        <f t="shared" si="15"/>
        <v>9.6829290216173636</v>
      </c>
      <c r="S37" s="953">
        <f t="shared" si="15"/>
        <v>9.6022596277612688</v>
      </c>
      <c r="T37" s="953">
        <f t="shared" si="15"/>
        <v>9.1331751882422658</v>
      </c>
      <c r="U37" s="953">
        <f t="shared" si="15"/>
        <v>8.9367031937940933</v>
      </c>
      <c r="V37" s="953">
        <f t="shared" si="15"/>
        <v>8.5019053866362242</v>
      </c>
      <c r="W37" s="953">
        <f t="shared" si="15"/>
        <v>8.1535116996043566</v>
      </c>
      <c r="X37" s="953">
        <f t="shared" si="15"/>
        <v>7.8239742281878657</v>
      </c>
      <c r="Y37" s="953">
        <f t="shared" si="15"/>
        <v>7.5026222917211367</v>
      </c>
      <c r="Z37" s="953">
        <f t="shared" si="15"/>
        <v>7.2106385151550496</v>
      </c>
      <c r="AA37" s="953">
        <f t="shared" si="15"/>
        <v>6.9314328735809294</v>
      </c>
      <c r="AB37" s="953">
        <f t="shared" si="15"/>
        <v>6.7452298047885666</v>
      </c>
    </row>
    <row r="38" spans="2:53">
      <c r="B38" s="923" t="s">
        <v>900</v>
      </c>
      <c r="C38" s="923"/>
      <c r="D38" s="953"/>
      <c r="E38" s="953">
        <f t="shared" ref="E38:AB39" si="16">E$16/E28</f>
        <v>8.6705234159779607</v>
      </c>
      <c r="F38" s="953">
        <f t="shared" si="16"/>
        <v>10.819986541049799</v>
      </c>
      <c r="G38" s="953">
        <f t="shared" si="16"/>
        <v>9.620559114735002</v>
      </c>
      <c r="H38" s="953">
        <f t="shared" si="16"/>
        <v>9.9838194500661093</v>
      </c>
      <c r="I38" s="953">
        <f t="shared" si="16"/>
        <v>9.2568114378203408</v>
      </c>
      <c r="J38" s="953">
        <f t="shared" si="16"/>
        <v>11.79796052181347</v>
      </c>
      <c r="K38" s="953">
        <f t="shared" si="16"/>
        <v>11.589506126180213</v>
      </c>
      <c r="L38" s="953">
        <f t="shared" si="16"/>
        <v>11.102380961646432</v>
      </c>
      <c r="M38" s="953">
        <f t="shared" si="16"/>
        <v>11.287713333102188</v>
      </c>
      <c r="N38" s="953">
        <f t="shared" si="16"/>
        <v>12.770320544005214</v>
      </c>
      <c r="O38" s="953">
        <f t="shared" si="16"/>
        <v>13.690670153311693</v>
      </c>
      <c r="P38" s="953">
        <f t="shared" si="16"/>
        <v>14.723311843493432</v>
      </c>
      <c r="Q38" s="953">
        <f t="shared" si="16"/>
        <v>14.01829234880425</v>
      </c>
      <c r="R38" s="953">
        <f t="shared" si="16"/>
        <v>13.51482349056292</v>
      </c>
      <c r="S38" s="953">
        <f t="shared" si="16"/>
        <v>12.0829196459913</v>
      </c>
      <c r="T38" s="953">
        <f t="shared" si="16"/>
        <v>10.918488435595888</v>
      </c>
      <c r="U38" s="953">
        <f t="shared" si="16"/>
        <v>11.572536083139285</v>
      </c>
      <c r="V38" s="953">
        <f t="shared" si="16"/>
        <v>11.21732482132537</v>
      </c>
      <c r="W38" s="953">
        <f t="shared" si="16"/>
        <v>10.412833446705932</v>
      </c>
      <c r="X38" s="953">
        <f t="shared" si="16"/>
        <v>9.9826948157527138</v>
      </c>
      <c r="Y38" s="953">
        <f t="shared" si="16"/>
        <v>9.5634323510289843</v>
      </c>
      <c r="Z38" s="953">
        <f t="shared" si="16"/>
        <v>9.1827028135738775</v>
      </c>
      <c r="AA38" s="953">
        <f t="shared" si="16"/>
        <v>8.8189329888657593</v>
      </c>
      <c r="AB38" s="953">
        <f t="shared" si="16"/>
        <v>9.4259386180048175</v>
      </c>
    </row>
    <row r="39" spans="2:53">
      <c r="B39" s="923" t="s">
        <v>901</v>
      </c>
      <c r="C39" s="923"/>
      <c r="D39" s="953"/>
      <c r="E39" s="953">
        <f t="shared" si="16"/>
        <v>11.560697887970615</v>
      </c>
      <c r="F39" s="953">
        <f t="shared" si="16"/>
        <v>14.426648721399731</v>
      </c>
      <c r="G39" s="953">
        <f t="shared" si="16"/>
        <v>12.827412152980004</v>
      </c>
      <c r="H39" s="953">
        <f t="shared" si="16"/>
        <v>13.311759266754814</v>
      </c>
      <c r="I39" s="953">
        <f t="shared" si="16"/>
        <v>12.34241525042712</v>
      </c>
      <c r="J39" s="953">
        <f t="shared" si="16"/>
        <v>15.730614029084625</v>
      </c>
      <c r="K39" s="953">
        <f t="shared" si="16"/>
        <v>15.452674834906951</v>
      </c>
      <c r="L39" s="953">
        <f t="shared" si="16"/>
        <v>14.803174615528574</v>
      </c>
      <c r="M39" s="953">
        <f t="shared" si="16"/>
        <v>15.050284444136249</v>
      </c>
      <c r="N39" s="953">
        <f t="shared" si="16"/>
        <v>17.027094058673619</v>
      </c>
      <c r="O39" s="953">
        <f t="shared" si="16"/>
        <v>18.25422687108226</v>
      </c>
      <c r="P39" s="953">
        <f t="shared" si="16"/>
        <v>19.631082457991244</v>
      </c>
      <c r="Q39" s="953">
        <f t="shared" si="16"/>
        <v>18.691056465072332</v>
      </c>
      <c r="R39" s="953">
        <f t="shared" si="16"/>
        <v>18.019764654083893</v>
      </c>
      <c r="S39" s="953">
        <f t="shared" si="16"/>
        <v>16.1105595279884</v>
      </c>
      <c r="T39" s="953">
        <f t="shared" si="16"/>
        <v>14.557984580794518</v>
      </c>
      <c r="U39" s="953">
        <f t="shared" si="16"/>
        <v>15.430048110852379</v>
      </c>
      <c r="V39" s="953">
        <f t="shared" si="16"/>
        <v>14.956433095100493</v>
      </c>
      <c r="W39" s="953">
        <f t="shared" si="16"/>
        <v>13.883777928941242</v>
      </c>
      <c r="X39" s="953">
        <f t="shared" si="16"/>
        <v>13.310259754336952</v>
      </c>
      <c r="Y39" s="953">
        <f t="shared" si="16"/>
        <v>12.751243134705312</v>
      </c>
      <c r="Z39" s="953">
        <f t="shared" si="16"/>
        <v>12.243603751431838</v>
      </c>
      <c r="AA39" s="953">
        <f t="shared" si="16"/>
        <v>11.758577318487678</v>
      </c>
      <c r="AB39" s="953">
        <f t="shared" si="16"/>
        <v>12.567918157339756</v>
      </c>
    </row>
    <row r="40" spans="2:53">
      <c r="B40" s="923" t="s">
        <v>902</v>
      </c>
      <c r="C40" s="923"/>
      <c r="D40" s="957"/>
      <c r="E40" s="957">
        <f t="shared" ref="E40:AB40" si="17">IF(E9/E27&lt;0,"nm",E9/E27)</f>
        <v>12.365591397849462</v>
      </c>
      <c r="F40" s="957">
        <f t="shared" si="17"/>
        <v>12.026143790849673</v>
      </c>
      <c r="G40" s="957">
        <f t="shared" si="17"/>
        <v>10.904780719083366</v>
      </c>
      <c r="H40" s="957">
        <f t="shared" si="17"/>
        <v>13.848469643753136</v>
      </c>
      <c r="I40" s="957">
        <f t="shared" si="17"/>
        <v>13.12410841654779</v>
      </c>
      <c r="J40" s="957">
        <f t="shared" si="17"/>
        <v>17.168857040757082</v>
      </c>
      <c r="K40" s="957">
        <f t="shared" si="17"/>
        <v>13.370932054319109</v>
      </c>
      <c r="L40" s="957">
        <f t="shared" si="17"/>
        <v>14.003044140030442</v>
      </c>
      <c r="M40" s="957">
        <f t="shared" si="17"/>
        <v>13.927219796215429</v>
      </c>
      <c r="N40" s="957">
        <f t="shared" si="17"/>
        <v>16.283739376770541</v>
      </c>
      <c r="O40" s="957">
        <f t="shared" si="17"/>
        <v>18.845841519318927</v>
      </c>
      <c r="P40" s="957">
        <f t="shared" si="17"/>
        <v>20.422695035460993</v>
      </c>
      <c r="Q40" s="957">
        <f t="shared" si="17"/>
        <v>23.680921052631579</v>
      </c>
      <c r="R40" s="957">
        <f t="shared" si="17"/>
        <v>25.027836663770636</v>
      </c>
      <c r="S40" s="957">
        <f t="shared" si="17"/>
        <v>29.054193548387097</v>
      </c>
      <c r="T40" s="957">
        <f t="shared" si="17"/>
        <v>20.645959885386819</v>
      </c>
      <c r="U40" s="957">
        <f t="shared" si="17"/>
        <v>18.214024005053698</v>
      </c>
      <c r="V40" s="957">
        <f t="shared" si="17"/>
        <v>16.067960438507814</v>
      </c>
      <c r="W40" s="957">
        <f t="shared" si="17"/>
        <v>14.981411977415402</v>
      </c>
      <c r="X40" s="957">
        <f t="shared" si="17"/>
        <v>14.129014792448473</v>
      </c>
      <c r="Y40" s="957">
        <f t="shared" si="17"/>
        <v>13.30805717940445</v>
      </c>
      <c r="Z40" s="957">
        <f t="shared" si="17"/>
        <v>12.516672744112894</v>
      </c>
      <c r="AA40" s="957">
        <f t="shared" si="17"/>
        <v>11.848955027566257</v>
      </c>
      <c r="AB40" s="957">
        <f t="shared" si="17"/>
        <v>11.146378897935266</v>
      </c>
    </row>
    <row r="41" spans="2:53">
      <c r="B41" s="923" t="s">
        <v>903</v>
      </c>
      <c r="C41" s="923"/>
      <c r="D41" s="957"/>
      <c r="E41" s="957">
        <f>IFERROR(IF(E9/E30&lt;0,"nm",E9/E30),"nm")</f>
        <v>9.2773109243697487</v>
      </c>
      <c r="F41" s="957">
        <f t="shared" ref="F41:AB41" si="18">IFERROR(IF(F9/F30&lt;0,"nm",F9/F30),"nm")</f>
        <v>16.244849911712773</v>
      </c>
      <c r="G41" s="957">
        <f t="shared" si="18"/>
        <v>10.76443057722309</v>
      </c>
      <c r="H41" s="957">
        <f t="shared" si="18"/>
        <v>11.492758256303272</v>
      </c>
      <c r="I41" s="957">
        <f t="shared" si="18"/>
        <v>11.497663448318173</v>
      </c>
      <c r="J41" s="957">
        <f t="shared" si="18"/>
        <v>11.299611401066707</v>
      </c>
      <c r="K41" s="957">
        <f t="shared" si="18"/>
        <v>13.751868460388639</v>
      </c>
      <c r="L41" s="957">
        <f t="shared" si="18"/>
        <v>16.093294460641399</v>
      </c>
      <c r="M41" s="957">
        <f t="shared" si="18"/>
        <v>16.180383314543406</v>
      </c>
      <c r="N41" s="957">
        <f t="shared" si="18"/>
        <v>12.872544308043864</v>
      </c>
      <c r="O41" s="957">
        <f t="shared" si="18"/>
        <v>15.82926292629263</v>
      </c>
      <c r="P41" s="957">
        <f t="shared" si="18"/>
        <v>17.130279595478882</v>
      </c>
      <c r="Q41" s="957">
        <f t="shared" si="18"/>
        <v>13.3686165273909</v>
      </c>
      <c r="R41" s="957">
        <f t="shared" si="18"/>
        <v>24.086153846153845</v>
      </c>
      <c r="S41" s="957">
        <f t="shared" si="18"/>
        <v>14.949045643153529</v>
      </c>
      <c r="T41" s="957">
        <f t="shared" si="18"/>
        <v>12.460769563337658</v>
      </c>
      <c r="U41" s="957">
        <f t="shared" si="18"/>
        <v>13.949104983067249</v>
      </c>
      <c r="V41" s="957">
        <f t="shared" si="18"/>
        <v>14.044220836536505</v>
      </c>
      <c r="W41" s="957">
        <f t="shared" si="18"/>
        <v>12.778224833851159</v>
      </c>
      <c r="X41" s="957">
        <f t="shared" si="18"/>
        <v>12.271176046997944</v>
      </c>
      <c r="Y41" s="957">
        <f t="shared" si="18"/>
        <v>11.780342836231791</v>
      </c>
      <c r="Z41" s="957">
        <f t="shared" si="18"/>
        <v>11.369737618224239</v>
      </c>
      <c r="AA41" s="957">
        <f t="shared" si="18"/>
        <v>10.965562651613132</v>
      </c>
      <c r="AB41" s="957">
        <f t="shared" si="18"/>
        <v>12.331611821706897</v>
      </c>
    </row>
    <row r="42" spans="2:53">
      <c r="B42" s="923" t="s">
        <v>904</v>
      </c>
      <c r="C42" s="923"/>
      <c r="D42" s="958"/>
      <c r="E42" s="958">
        <f t="shared" ref="E42:AB42" si="19">IFERROR(IF(E32/$C$2&lt;0,"nm",E32/$C$2),"nm")</f>
        <v>0.10778985507246376</v>
      </c>
      <c r="F42" s="958">
        <f t="shared" si="19"/>
        <v>6.155797101449275E-2</v>
      </c>
      <c r="G42" s="958">
        <f t="shared" si="19"/>
        <v>9.289855072463768E-2</v>
      </c>
      <c r="H42" s="958">
        <f t="shared" si="19"/>
        <v>8.7011314229249001E-2</v>
      </c>
      <c r="I42" s="958">
        <f t="shared" si="19"/>
        <v>8.697419301712779E-2</v>
      </c>
      <c r="J42" s="958">
        <f t="shared" si="19"/>
        <v>8.8498618625557135E-2</v>
      </c>
      <c r="K42" s="958">
        <f t="shared" si="19"/>
        <v>7.2717391304347831E-2</v>
      </c>
      <c r="L42" s="958">
        <f t="shared" si="19"/>
        <v>6.2137681159420283E-2</v>
      </c>
      <c r="M42" s="958">
        <f t="shared" si="19"/>
        <v>6.1803232998885169E-2</v>
      </c>
      <c r="N42" s="958">
        <f t="shared" si="19"/>
        <v>7.7684719979958794E-2</v>
      </c>
      <c r="O42" s="958">
        <f t="shared" si="19"/>
        <v>6.317413543867452E-2</v>
      </c>
      <c r="P42" s="958">
        <f t="shared" si="19"/>
        <v>5.8376163356021672E-2</v>
      </c>
      <c r="Q42" s="958">
        <f t="shared" si="19"/>
        <v>7.4802055841089038E-2</v>
      </c>
      <c r="R42" s="958">
        <f t="shared" si="19"/>
        <v>4.1517629024016352E-2</v>
      </c>
      <c r="S42" s="958">
        <f t="shared" si="19"/>
        <v>6.6893902384864756E-2</v>
      </c>
      <c r="T42" s="958">
        <f t="shared" si="19"/>
        <v>8.0251865257361096E-2</v>
      </c>
      <c r="U42" s="958">
        <f t="shared" si="19"/>
        <v>7.1689187314447428E-2</v>
      </c>
      <c r="V42" s="958">
        <f t="shared" si="19"/>
        <v>7.1203665311105543E-2</v>
      </c>
      <c r="W42" s="958">
        <f t="shared" si="19"/>
        <v>7.8258131548199994E-2</v>
      </c>
      <c r="X42" s="958">
        <f t="shared" si="19"/>
        <v>8.1491781730622548E-2</v>
      </c>
      <c r="Y42" s="958">
        <f t="shared" si="19"/>
        <v>8.4887172971264108E-2</v>
      </c>
      <c r="Z42" s="958">
        <f t="shared" si="19"/>
        <v>8.7952777238863245E-2</v>
      </c>
      <c r="AA42" s="958">
        <f t="shared" si="19"/>
        <v>9.1194590899801309E-2</v>
      </c>
      <c r="AB42" s="958">
        <f t="shared" si="19"/>
        <v>8.1092400122402139E-2</v>
      </c>
    </row>
    <row r="43" spans="2:53">
      <c r="B43" s="923" t="s">
        <v>905</v>
      </c>
      <c r="C43" s="923"/>
      <c r="D43" s="959"/>
      <c r="E43" s="959">
        <f t="shared" ref="E43:AB43" si="20">E33/$C$2</f>
        <v>2.4456521739130432E-2</v>
      </c>
      <c r="F43" s="959">
        <f t="shared" si="20"/>
        <v>0.10869565217391304</v>
      </c>
      <c r="G43" s="959">
        <f t="shared" si="20"/>
        <v>0.10869565217391304</v>
      </c>
      <c r="H43" s="959">
        <f t="shared" si="20"/>
        <v>0.10869565217391304</v>
      </c>
      <c r="I43" s="959">
        <f t="shared" si="20"/>
        <v>0.10869565217391304</v>
      </c>
      <c r="J43" s="959">
        <f t="shared" si="20"/>
        <v>0.10869565217391304</v>
      </c>
      <c r="K43" s="959">
        <f t="shared" si="20"/>
        <v>5.434782608695652E-2</v>
      </c>
      <c r="L43" s="959">
        <f t="shared" si="20"/>
        <v>5.434782608695652E-2</v>
      </c>
      <c r="M43" s="959">
        <f t="shared" si="20"/>
        <v>5.434782608695652E-2</v>
      </c>
      <c r="N43" s="959">
        <f t="shared" si="20"/>
        <v>5.434782608695652E-2</v>
      </c>
      <c r="O43" s="959">
        <f t="shared" si="20"/>
        <v>5.434782608695652E-2</v>
      </c>
      <c r="P43" s="959">
        <f t="shared" si="20"/>
        <v>4.619565217391304E-2</v>
      </c>
      <c r="Q43" s="959">
        <f t="shared" si="20"/>
        <v>4.619565217391304E-2</v>
      </c>
      <c r="R43" s="959">
        <f t="shared" si="20"/>
        <v>5.434782608695652E-2</v>
      </c>
      <c r="S43" s="959">
        <f t="shared" si="20"/>
        <v>4.3478260869565216E-2</v>
      </c>
      <c r="T43" s="959">
        <f t="shared" si="20"/>
        <v>4.619565217391304E-2</v>
      </c>
      <c r="U43" s="959">
        <f t="shared" si="20"/>
        <v>4.7554347826086953E-2</v>
      </c>
      <c r="V43" s="959">
        <f t="shared" si="20"/>
        <v>5.601208712482867E-2</v>
      </c>
      <c r="W43" s="959">
        <f t="shared" si="20"/>
        <v>6.0074444341878946E-2</v>
      </c>
      <c r="X43" s="959">
        <f t="shared" si="20"/>
        <v>6.3698708878203072E-2</v>
      </c>
      <c r="Y43" s="959">
        <f t="shared" si="20"/>
        <v>6.7628203566245576E-2</v>
      </c>
      <c r="Z43" s="959">
        <f t="shared" si="20"/>
        <v>7.1904092916650494E-2</v>
      </c>
      <c r="AA43" s="959">
        <f t="shared" si="20"/>
        <v>7.5956065147194482E-2</v>
      </c>
      <c r="AB43" s="959">
        <f t="shared" si="20"/>
        <v>8.0743711320159256E-2</v>
      </c>
    </row>
    <row r="44" spans="2:53">
      <c r="B44" s="923" t="s">
        <v>908</v>
      </c>
      <c r="C44" s="923"/>
      <c r="D44" s="959"/>
      <c r="E44" s="959">
        <f t="shared" ref="E44:AB44" si="21">IFERROR(E33/E31,"")</f>
        <v>0.30241935483870969</v>
      </c>
      <c r="F44" s="959">
        <f t="shared" si="21"/>
        <v>1.3071895424836601</v>
      </c>
      <c r="G44" s="959">
        <f t="shared" si="21"/>
        <v>1.1871784724970322</v>
      </c>
      <c r="H44" s="959">
        <f t="shared" si="21"/>
        <v>1.6129032258064517</v>
      </c>
      <c r="I44" s="959">
        <f t="shared" si="21"/>
        <v>1.5120967741935485</v>
      </c>
      <c r="J44" s="959">
        <f t="shared" si="21"/>
        <v>1.7391304347826086</v>
      </c>
      <c r="K44" s="959">
        <f t="shared" si="21"/>
        <v>0.85861476817401272</v>
      </c>
      <c r="L44" s="959">
        <f t="shared" si="21"/>
        <v>0.7451564828614009</v>
      </c>
      <c r="M44" s="959">
        <f t="shared" si="21"/>
        <v>0.7142857142857143</v>
      </c>
      <c r="N44" s="959">
        <f t="shared" si="21"/>
        <v>0.84985835694050993</v>
      </c>
      <c r="O44" s="959">
        <f t="shared" si="21"/>
        <v>1.0296247531270573</v>
      </c>
      <c r="P44" s="959">
        <f t="shared" si="21"/>
        <v>0.96046931407942226</v>
      </c>
      <c r="Q44" s="959">
        <f t="shared" si="21"/>
        <v>1.0939555921052631</v>
      </c>
      <c r="R44" s="959">
        <f t="shared" si="21"/>
        <v>1.3590800435976407</v>
      </c>
      <c r="S44" s="959">
        <f t="shared" si="21"/>
        <v>1.2612903225806453</v>
      </c>
      <c r="T44" s="959">
        <f t="shared" si="21"/>
        <v>0.95265581923198828</v>
      </c>
      <c r="U44" s="959">
        <f t="shared" si="21"/>
        <v>0.8770903827363129</v>
      </c>
      <c r="V44" s="959">
        <f t="shared" si="21"/>
        <v>0.9</v>
      </c>
      <c r="W44" s="959">
        <f t="shared" si="21"/>
        <v>0.9</v>
      </c>
      <c r="X44" s="959">
        <f t="shared" si="21"/>
        <v>0.9</v>
      </c>
      <c r="Y44" s="959">
        <f t="shared" si="21"/>
        <v>0.9</v>
      </c>
      <c r="Z44" s="959">
        <f t="shared" si="21"/>
        <v>0.90000000000000013</v>
      </c>
      <c r="AA44" s="959">
        <f t="shared" si="21"/>
        <v>0.9</v>
      </c>
      <c r="AB44" s="959">
        <f t="shared" si="21"/>
        <v>0.9</v>
      </c>
    </row>
    <row r="45" spans="2:53">
      <c r="B45" s="915" t="s">
        <v>823</v>
      </c>
      <c r="D45" s="953"/>
      <c r="E45" s="953">
        <f t="shared" ref="E45:AB45" si="22">E10/E25</f>
        <v>0.91800947867298577</v>
      </c>
      <c r="F45" s="953">
        <f t="shared" si="22"/>
        <v>1.0319293478260869</v>
      </c>
      <c r="G45" s="953">
        <f t="shared" si="22"/>
        <v>1.2292561609767125</v>
      </c>
      <c r="H45" s="953">
        <f t="shared" si="22"/>
        <v>1.384603745646416</v>
      </c>
      <c r="I45" s="953">
        <f t="shared" si="22"/>
        <v>1.4849624060150375</v>
      </c>
      <c r="J45" s="953">
        <f t="shared" si="22"/>
        <v>1.8158652595322669</v>
      </c>
      <c r="K45" s="953">
        <f t="shared" si="22"/>
        <v>1.9390958260132451</v>
      </c>
      <c r="L45" s="953">
        <f t="shared" si="22"/>
        <v>2.0395797703097784</v>
      </c>
      <c r="M45" s="953">
        <f t="shared" si="22"/>
        <v>1.6791866807949041</v>
      </c>
      <c r="N45" s="953">
        <f t="shared" si="22"/>
        <v>1.842297456657461</v>
      </c>
      <c r="O45" s="953">
        <f t="shared" si="22"/>
        <v>2.1307152638651612</v>
      </c>
      <c r="P45" s="953">
        <f t="shared" si="22"/>
        <v>2.3671180193850612</v>
      </c>
      <c r="Q45" s="953">
        <f t="shared" si="22"/>
        <v>2.2959721687137828</v>
      </c>
      <c r="R45" s="953">
        <f t="shared" si="22"/>
        <v>2.3510277744806878</v>
      </c>
      <c r="S45" s="953">
        <f t="shared" si="22"/>
        <v>2.324037405539046</v>
      </c>
      <c r="T45" s="953">
        <f t="shared" si="22"/>
        <v>2.140996634142315</v>
      </c>
      <c r="U45" s="953">
        <f t="shared" si="22"/>
        <v>1.9686274257183236</v>
      </c>
      <c r="V45" s="953">
        <f t="shared" si="22"/>
        <v>1.768043343908565</v>
      </c>
      <c r="W45" s="953">
        <f t="shared" si="22"/>
        <v>1.5843316379737276</v>
      </c>
      <c r="X45" s="953">
        <f t="shared" si="22"/>
        <v>1.4114386360316289</v>
      </c>
      <c r="Y45" s="953">
        <f t="shared" si="22"/>
        <v>1.2467529098479662</v>
      </c>
      <c r="Z45" s="953">
        <f t="shared" si="22"/>
        <v>1.0967594577768143</v>
      </c>
      <c r="AA45" s="953">
        <f t="shared" si="22"/>
        <v>0.95645414296542952</v>
      </c>
      <c r="AB45" s="953">
        <f t="shared" si="22"/>
        <v>0.9011840611800801</v>
      </c>
    </row>
    <row r="46" spans="2:53">
      <c r="B46" s="915" t="s">
        <v>906</v>
      </c>
      <c r="D46" s="953"/>
      <c r="E46" s="953"/>
      <c r="F46" s="953"/>
      <c r="G46" s="953"/>
      <c r="H46" s="953"/>
      <c r="I46" s="953"/>
      <c r="J46" s="953"/>
      <c r="K46" s="953"/>
      <c r="L46" s="953"/>
      <c r="M46" s="953"/>
      <c r="N46" s="953"/>
      <c r="O46" s="953"/>
      <c r="P46" s="953"/>
      <c r="Q46" s="953"/>
      <c r="R46" s="953"/>
      <c r="S46" s="953"/>
      <c r="T46" s="953"/>
      <c r="U46" s="953"/>
      <c r="V46" s="953"/>
      <c r="W46" s="953"/>
      <c r="X46" s="953"/>
      <c r="Y46" s="953"/>
      <c r="Z46" s="953"/>
      <c r="AA46" s="953"/>
      <c r="AB46" s="953"/>
    </row>
    <row r="47" spans="2:53">
      <c r="B47" s="923" t="s">
        <v>219</v>
      </c>
      <c r="C47" s="923"/>
      <c r="D47" s="960"/>
      <c r="E47" s="960">
        <f>'Balance Sheet and Cflow'!D52</f>
        <v>0.1575825309491059</v>
      </c>
      <c r="F47" s="960">
        <f>'Balance Sheet and Cflow'!E52</f>
        <v>0.16810258129399933</v>
      </c>
      <c r="G47" s="960">
        <f>'Balance Sheet and Cflow'!F52</f>
        <v>0.16086004379852678</v>
      </c>
      <c r="H47" s="960">
        <f>'Balance Sheet and Cflow'!G52</f>
        <v>0.15490519975943418</v>
      </c>
      <c r="I47" s="960">
        <f>'Balance Sheet and Cflow'!H52</f>
        <v>0.16235681459633719</v>
      </c>
      <c r="J47" s="960">
        <f>'Balance Sheet and Cflow'!I52</f>
        <v>0.13601660630561879</v>
      </c>
      <c r="K47" s="960">
        <f>'Balance Sheet and Cflow'!J52</f>
        <v>0.15605221518987342</v>
      </c>
      <c r="L47" s="960">
        <f>'Balance Sheet and Cflow'!K52</f>
        <v>0.14807582396646982</v>
      </c>
      <c r="M47" s="960">
        <f>'Balance Sheet and Cflow'!L52</f>
        <v>0.13408604055599402</v>
      </c>
      <c r="N47" s="960">
        <f>'Balance Sheet and Cflow'!M52</f>
        <v>0.13020953729333704</v>
      </c>
      <c r="O47" s="960">
        <f>'Balance Sheet and Cflow'!N52</f>
        <v>0.1119230083764035</v>
      </c>
      <c r="P47" s="960">
        <f>'Balance Sheet and Cflow'!O52</f>
        <v>9.663770732257701E-2</v>
      </c>
      <c r="Q47" s="960">
        <f>'Balance Sheet and Cflow'!P52</f>
        <v>8.5782563313739499E-2</v>
      </c>
      <c r="R47" s="960">
        <f>'Balance Sheet and Cflow'!Q52</f>
        <v>8.7728355837966635E-2</v>
      </c>
      <c r="S47" s="960">
        <f>'Balance Sheet and Cflow'!R52</f>
        <v>7.7816205533596833E-2</v>
      </c>
      <c r="T47" s="960">
        <f>'Balance Sheet and Cflow'!S52</f>
        <v>9.7292771420597265E-2</v>
      </c>
      <c r="U47" s="960">
        <f>'Balance Sheet and Cflow'!T52</f>
        <v>2.5703948844514247E-2</v>
      </c>
      <c r="V47" s="960">
        <f>'Balance Sheet and Cflow'!U52</f>
        <v>0.12043271999624901</v>
      </c>
      <c r="W47" s="960">
        <f>'Balance Sheet and Cflow'!V52</f>
        <v>0.12899025964559799</v>
      </c>
      <c r="X47" s="960">
        <f>'Balance Sheet and Cflow'!W52</f>
        <v>0.13751643965639443</v>
      </c>
      <c r="Y47" s="960">
        <f>'Balance Sheet and Cflow'!X52</f>
        <v>0.14689744136883112</v>
      </c>
      <c r="Z47" s="960">
        <f>'Balance Sheet and Cflow'!Y52</f>
        <v>0.15705532250101883</v>
      </c>
      <c r="AA47" s="960">
        <f>'Balance Sheet and Cflow'!Z52</f>
        <v>0.16700138713236246</v>
      </c>
      <c r="AB47" s="960">
        <f>'Balance Sheet and Cflow'!AA52</f>
        <v>0.17399351383679768</v>
      </c>
      <c r="AZ47" s="918"/>
      <c r="BA47" s="918"/>
    </row>
    <row r="49" spans="2:28">
      <c r="B49" s="949" t="s">
        <v>911</v>
      </c>
      <c r="C49" s="950"/>
      <c r="D49" s="945">
        <f t="shared" ref="D49:AB49" si="23">D$4</f>
        <v>2008</v>
      </c>
      <c r="E49" s="945">
        <f t="shared" si="23"/>
        <v>2009</v>
      </c>
      <c r="F49" s="945">
        <f t="shared" si="23"/>
        <v>2010</v>
      </c>
      <c r="G49" s="945">
        <f t="shared" si="23"/>
        <v>2011</v>
      </c>
      <c r="H49" s="945">
        <f t="shared" si="23"/>
        <v>2012</v>
      </c>
      <c r="I49" s="945">
        <f t="shared" si="23"/>
        <v>2013</v>
      </c>
      <c r="J49" s="945">
        <f t="shared" si="23"/>
        <v>2014</v>
      </c>
      <c r="K49" s="945">
        <f t="shared" si="23"/>
        <v>2015</v>
      </c>
      <c r="L49" s="945">
        <f t="shared" si="23"/>
        <v>2016</v>
      </c>
      <c r="M49" s="945">
        <f t="shared" si="23"/>
        <v>2017</v>
      </c>
      <c r="N49" s="945">
        <f t="shared" si="23"/>
        <v>2018</v>
      </c>
      <c r="O49" s="945">
        <f t="shared" si="23"/>
        <v>2019</v>
      </c>
      <c r="P49" s="945">
        <f t="shared" si="23"/>
        <v>2020</v>
      </c>
      <c r="Q49" s="945">
        <f t="shared" si="23"/>
        <v>2021</v>
      </c>
      <c r="R49" s="945">
        <f t="shared" si="23"/>
        <v>2022</v>
      </c>
      <c r="S49" s="945">
        <f t="shared" si="23"/>
        <v>2023</v>
      </c>
      <c r="T49" s="945">
        <f t="shared" si="23"/>
        <v>2024</v>
      </c>
      <c r="U49" s="946">
        <f t="shared" si="23"/>
        <v>2025</v>
      </c>
      <c r="V49" s="946">
        <f t="shared" si="23"/>
        <v>2026</v>
      </c>
      <c r="W49" s="946">
        <f t="shared" si="23"/>
        <v>2027</v>
      </c>
      <c r="X49" s="946">
        <f t="shared" si="23"/>
        <v>2028</v>
      </c>
      <c r="Y49" s="946">
        <f t="shared" si="23"/>
        <v>2029</v>
      </c>
      <c r="Z49" s="946">
        <f t="shared" si="23"/>
        <v>2030</v>
      </c>
      <c r="AA49" s="946">
        <f t="shared" si="23"/>
        <v>2031</v>
      </c>
      <c r="AB49" s="946">
        <f t="shared" si="23"/>
        <v>2032</v>
      </c>
    </row>
    <row r="50" spans="2:28">
      <c r="B50" s="915" t="s">
        <v>902</v>
      </c>
      <c r="E50" s="957">
        <f>DCF!$D$34/E31</f>
        <v>17.137096774193548</v>
      </c>
      <c r="F50" s="957">
        <f>DCF!$D$34/F31</f>
        <v>16.666666666666664</v>
      </c>
      <c r="G50" s="957">
        <f>DCF!$D$34/G31</f>
        <v>15.136525524337159</v>
      </c>
      <c r="H50" s="957">
        <f>DCF!$D$34/H31</f>
        <v>20.564516129032256</v>
      </c>
      <c r="I50" s="957">
        <f>DCF!$D$34/I31</f>
        <v>19.27923387096774</v>
      </c>
      <c r="J50" s="957">
        <f>DCF!$D$34/J31</f>
        <v>22.173913043478258</v>
      </c>
      <c r="K50" s="957">
        <f>DCF!$D$34/K31</f>
        <v>21.894676588437321</v>
      </c>
      <c r="L50" s="957">
        <f>DCF!$D$34/L31</f>
        <v>19.001490312965718</v>
      </c>
      <c r="M50" s="957">
        <f>DCF!$D$34/M31</f>
        <v>18.214285714285712</v>
      </c>
      <c r="N50" s="957">
        <f>DCF!$D$34/N31</f>
        <v>21.671388101983002</v>
      </c>
      <c r="O50" s="957">
        <f>DCF!$D$34/O31</f>
        <v>26.25543120473996</v>
      </c>
      <c r="P50" s="957">
        <f>DCF!$D$34/P31</f>
        <v>28.814079422382669</v>
      </c>
      <c r="Q50" s="957">
        <f>DCF!$D$34/Q31</f>
        <v>32.818667763157897</v>
      </c>
      <c r="R50" s="957">
        <f>DCF!$D$34/R31</f>
        <v>34.656541111739834</v>
      </c>
      <c r="S50" s="957">
        <f>DCF!$D$34/S31</f>
        <v>40.203629032258064</v>
      </c>
      <c r="T50" s="957">
        <f>DCF!$D$34/T31</f>
        <v>28.579674576959651</v>
      </c>
      <c r="U50" s="957">
        <f>DCF!$D$34/U31</f>
        <v>25.560919725458259</v>
      </c>
      <c r="V50" s="957">
        <f>DCF!$D$34/V31</f>
        <v>22.268097346845067</v>
      </c>
      <c r="W50" s="957">
        <f>DCF!$D$34/W31</f>
        <v>20.762282903483296</v>
      </c>
      <c r="X50" s="957">
        <f>DCF!$D$34/X31</f>
        <v>19.580971587360651</v>
      </c>
      <c r="Y50" s="957">
        <f>DCF!$D$34/Y31</f>
        <v>18.443231417109423</v>
      </c>
      <c r="Z50" s="957">
        <f>DCF!$D$34/Z31</f>
        <v>17.346475813852106</v>
      </c>
      <c r="AA50" s="957">
        <f>DCF!$D$34/AA31</f>
        <v>16.421106152333667</v>
      </c>
      <c r="AB50" s="957">
        <f>DCF!$D$34/AB31</f>
        <v>15.447427277029851</v>
      </c>
    </row>
    <row r="52" spans="2:28">
      <c r="T52" s="918"/>
      <c r="U52" s="918"/>
    </row>
    <row r="57" spans="2:28">
      <c r="D57" s="962"/>
      <c r="E57" s="962"/>
      <c r="F57" s="961"/>
      <c r="G57" s="961"/>
    </row>
    <row r="58" spans="2:28">
      <c r="D58" s="962"/>
      <c r="E58" s="962"/>
      <c r="F58" s="961"/>
      <c r="G58" s="961"/>
    </row>
    <row r="59" spans="2:28">
      <c r="D59" s="962"/>
      <c r="E59" s="962"/>
      <c r="F59" s="961"/>
      <c r="G59" s="961"/>
    </row>
    <row r="60" spans="2:28">
      <c r="D60" s="962"/>
      <c r="E60" s="962"/>
      <c r="F60" s="961"/>
      <c r="G60" s="961"/>
    </row>
    <row r="61" spans="2:28">
      <c r="D61" s="962"/>
      <c r="E61" s="962"/>
      <c r="F61" s="961"/>
      <c r="G61" s="961"/>
    </row>
    <row r="62" spans="2:28">
      <c r="D62" s="962"/>
      <c r="E62" s="962"/>
      <c r="F62" s="961"/>
      <c r="G62" s="961"/>
    </row>
    <row r="63" spans="2:28">
      <c r="D63" s="962"/>
      <c r="E63" s="962"/>
      <c r="F63" s="961"/>
      <c r="G63" s="961"/>
    </row>
    <row r="64" spans="2:28">
      <c r="D64" s="962"/>
      <c r="E64" s="962"/>
      <c r="F64" s="961"/>
      <c r="G64" s="961"/>
    </row>
    <row r="65" spans="4:18">
      <c r="D65" s="962"/>
      <c r="E65" s="962"/>
      <c r="F65" s="961"/>
      <c r="G65" s="961"/>
    </row>
    <row r="66" spans="4:18">
      <c r="D66" s="962"/>
      <c r="E66" s="962"/>
      <c r="F66" s="961"/>
      <c r="G66" s="961"/>
    </row>
    <row r="67" spans="4:18">
      <c r="D67" s="962"/>
      <c r="E67" s="962"/>
      <c r="F67" s="961"/>
      <c r="G67" s="961"/>
    </row>
    <row r="68" spans="4:18">
      <c r="D68" s="962"/>
      <c r="E68" s="962"/>
      <c r="F68" s="961"/>
      <c r="G68" s="961"/>
    </row>
    <row r="69" spans="4:18" ht="13.5" thickBot="1">
      <c r="D69" s="962"/>
      <c r="E69" s="962"/>
      <c r="F69" s="961"/>
      <c r="G69" s="961"/>
    </row>
    <row r="70" spans="4:18" ht="13.5" thickBot="1">
      <c r="F70" s="961"/>
      <c r="G70" s="963"/>
    </row>
    <row r="71" spans="4:18">
      <c r="G71" s="934"/>
    </row>
    <row r="72" spans="4:18">
      <c r="G72" s="924"/>
    </row>
    <row r="79" spans="4:18">
      <c r="F79" s="964"/>
      <c r="G79" s="964"/>
      <c r="H79" s="964"/>
      <c r="I79" s="964"/>
      <c r="J79" s="964"/>
      <c r="K79" s="964"/>
      <c r="L79" s="964"/>
      <c r="M79" s="964"/>
      <c r="N79" s="964"/>
      <c r="O79" s="964"/>
      <c r="P79" s="964"/>
      <c r="Q79" s="964"/>
      <c r="R79" s="964"/>
    </row>
    <row r="81" spans="2:18">
      <c r="B81" s="923"/>
      <c r="C81" s="923"/>
      <c r="M81" s="961"/>
      <c r="N81" s="961"/>
      <c r="O81" s="961"/>
      <c r="P81" s="961"/>
      <c r="Q81" s="961"/>
      <c r="R81" s="961"/>
    </row>
    <row r="82" spans="2:18">
      <c r="M82" s="961"/>
      <c r="N82" s="961"/>
      <c r="O82" s="961"/>
      <c r="P82" s="961"/>
      <c r="Q82" s="961"/>
      <c r="R82" s="961"/>
    </row>
    <row r="83" spans="2:18">
      <c r="M83" s="961"/>
      <c r="N83" s="961"/>
      <c r="O83" s="961"/>
      <c r="P83" s="961"/>
      <c r="Q83" s="961"/>
      <c r="R83" s="961"/>
    </row>
    <row r="84" spans="2:18">
      <c r="M84" s="961"/>
      <c r="N84" s="961"/>
      <c r="O84" s="961"/>
      <c r="P84" s="961"/>
      <c r="Q84" s="961"/>
      <c r="R84" s="961"/>
    </row>
    <row r="85" spans="2:18">
      <c r="M85" s="961"/>
      <c r="N85" s="961"/>
      <c r="O85" s="961"/>
      <c r="P85" s="961"/>
      <c r="Q85" s="961"/>
      <c r="R85" s="961"/>
    </row>
    <row r="86" spans="2:18">
      <c r="M86" s="961"/>
      <c r="N86" s="961"/>
      <c r="O86" s="961"/>
      <c r="P86" s="961"/>
      <c r="Q86" s="961"/>
      <c r="R86" s="961"/>
    </row>
    <row r="87" spans="2:18">
      <c r="M87" s="961"/>
      <c r="N87" s="961"/>
      <c r="O87" s="961"/>
      <c r="P87" s="961"/>
      <c r="Q87" s="961"/>
      <c r="R87" s="961"/>
    </row>
    <row r="88" spans="2:18">
      <c r="M88" s="961"/>
      <c r="N88" s="961"/>
      <c r="O88" s="961"/>
      <c r="P88" s="961"/>
      <c r="Q88" s="961"/>
      <c r="R88" s="961"/>
    </row>
    <row r="89" spans="2:18">
      <c r="M89" s="961"/>
      <c r="N89" s="961"/>
      <c r="O89" s="961"/>
      <c r="P89" s="961"/>
      <c r="Q89" s="961"/>
      <c r="R89" s="961"/>
    </row>
    <row r="92" spans="2:18">
      <c r="B92" s="923"/>
      <c r="C92" s="923"/>
    </row>
  </sheetData>
  <pageMargins left="0.75" right="0.75" top="1" bottom="1" header="0.5" footer="0.5"/>
  <pageSetup scale="1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tabColor theme="0"/>
  </sheetPr>
  <dimension ref="A1:EV559"/>
  <sheetViews>
    <sheetView zoomScale="85" zoomScaleNormal="100" workbookViewId="0">
      <pane xSplit="1" ySplit="2" topLeftCell="BY3" activePane="bottomRight" state="frozen"/>
      <selection activeCell="I312" sqref="I312"/>
      <selection pane="topRight" activeCell="I312" sqref="I312"/>
      <selection pane="bottomLeft" activeCell="I312" sqref="I312"/>
      <selection pane="bottomRight" activeCell="CY6" sqref="CY6"/>
    </sheetView>
  </sheetViews>
  <sheetFormatPr defaultColWidth="9.36328125" defaultRowHeight="13" outlineLevelRow="1" outlineLevelCol="1"/>
  <cols>
    <col min="1" max="1" width="40.6328125" style="163" customWidth="1"/>
    <col min="2" max="2" width="12.6328125" style="163" customWidth="1"/>
    <col min="3" max="6" width="12.6328125" style="163" customWidth="1" outlineLevel="1"/>
    <col min="7" max="7" width="12.6328125" style="163" customWidth="1"/>
    <col min="8" max="11" width="12.6328125" style="163" customWidth="1" outlineLevel="1"/>
    <col min="12" max="12" width="12.6328125" style="163" customWidth="1"/>
    <col min="13" max="16" width="12.6328125" style="163" customWidth="1" outlineLevel="1"/>
    <col min="17" max="17" width="12.6328125" style="163" customWidth="1"/>
    <col min="18" max="21" width="12.6328125" style="163" customWidth="1" outlineLevel="1"/>
    <col min="22" max="22" width="12.6328125" style="163" customWidth="1"/>
    <col min="23" max="26" width="12.6328125" style="163" customWidth="1" outlineLevel="1"/>
    <col min="27" max="27" width="12.6328125" style="163" customWidth="1"/>
    <col min="28" max="31" width="12.6328125" style="163" customWidth="1" outlineLevel="1"/>
    <col min="32" max="32" width="12.6328125" style="163" customWidth="1"/>
    <col min="33" max="36" width="12.6328125" style="163" customWidth="1" outlineLevel="1"/>
    <col min="37" max="37" width="12.6328125" style="163" customWidth="1"/>
    <col min="38" max="41" width="12.6328125" style="163" customWidth="1" outlineLevel="1"/>
    <col min="42" max="42" width="12.6328125" style="163" customWidth="1"/>
    <col min="43" max="46" width="12.6328125" style="163" customWidth="1" outlineLevel="1"/>
    <col min="47" max="47" width="12.6328125" style="163" customWidth="1"/>
    <col min="48" max="51" width="12.6328125" style="163" customWidth="1" outlineLevel="1"/>
    <col min="52" max="52" width="12.54296875" style="163" customWidth="1"/>
    <col min="53" max="56" width="12.54296875" style="163" customWidth="1" outlineLevel="1"/>
    <col min="57" max="57" width="12.54296875" style="163" customWidth="1"/>
    <col min="58" max="61" width="12.54296875" style="163" customWidth="1" outlineLevel="1"/>
    <col min="62" max="62" width="12.54296875" style="163" customWidth="1"/>
    <col min="63" max="66" width="12.54296875" style="163" customWidth="1" outlineLevel="1"/>
    <col min="67" max="67" width="12.54296875" style="163" customWidth="1"/>
    <col min="68" max="71" width="12.54296875" style="163" hidden="1" customWidth="1" outlineLevel="1"/>
    <col min="72" max="72" width="12.54296875" style="163" customWidth="1" collapsed="1"/>
    <col min="73" max="76" width="12.54296875" style="163" hidden="1" customWidth="1" outlineLevel="1"/>
    <col min="77" max="77" width="12.54296875" style="163" customWidth="1" collapsed="1"/>
    <col min="78" max="81" width="12.54296875" style="163" hidden="1" customWidth="1" outlineLevel="1"/>
    <col min="82" max="82" width="12.54296875" style="163" customWidth="1" collapsed="1"/>
    <col min="83" max="86" width="12.54296875" style="163" hidden="1" customWidth="1" outlineLevel="1"/>
    <col min="87" max="87" width="12.54296875" style="163" customWidth="1" collapsed="1"/>
    <col min="88" max="91" width="12.54296875" style="163" hidden="1" customWidth="1" outlineLevel="1"/>
    <col min="92" max="92" width="12.6328125" style="163" customWidth="1" collapsed="1"/>
    <col min="93" max="94" width="12.54296875" style="163" customWidth="1" outlineLevel="1"/>
    <col min="95" max="95" width="12.6328125" style="163" customWidth="1"/>
    <col min="96" max="101" width="12.54296875" style="163" customWidth="1"/>
    <col min="102" max="125" width="9.6328125" style="163" customWidth="1"/>
    <col min="126" max="146" width="9.36328125" style="163"/>
    <col min="147" max="147" width="11.54296875" style="163" bestFit="1" customWidth="1"/>
    <col min="148" max="148" width="9.36328125" style="163" bestFit="1" customWidth="1"/>
    <col min="149" max="150" width="9.36328125" style="163"/>
    <col min="151" max="151" width="13.36328125" style="163" bestFit="1" customWidth="1"/>
    <col min="152" max="152" width="8.6328125" style="163" bestFit="1" customWidth="1"/>
    <col min="153" max="16384" width="9.36328125" style="163"/>
  </cols>
  <sheetData>
    <row r="1" spans="1:121">
      <c r="A1" s="679">
        <f>DCF!C34</f>
        <v>5.7602386508632222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  <c r="AP1" s="159"/>
      <c r="AQ1" s="159"/>
      <c r="AR1" s="159"/>
      <c r="AS1" s="159"/>
      <c r="AT1" s="159"/>
      <c r="AU1" s="159"/>
      <c r="AV1" s="159"/>
      <c r="AW1" s="159"/>
      <c r="AX1" s="159"/>
      <c r="AY1" s="159"/>
      <c r="AZ1" s="159"/>
      <c r="BA1" s="159"/>
      <c r="BB1" s="159"/>
      <c r="BC1" s="159"/>
      <c r="BD1" s="159"/>
      <c r="BE1" s="159"/>
      <c r="BF1" s="159"/>
      <c r="BG1" s="159"/>
      <c r="BH1" s="159"/>
      <c r="BI1" s="159"/>
      <c r="BJ1" s="159"/>
      <c r="BK1" s="159"/>
      <c r="BL1" s="159"/>
      <c r="BM1" s="159"/>
      <c r="BN1" s="159"/>
      <c r="BO1" s="160"/>
      <c r="BP1" s="160"/>
      <c r="BQ1" s="160"/>
      <c r="BR1" s="160"/>
      <c r="BS1" s="160"/>
      <c r="BT1" s="160"/>
      <c r="BU1" s="161"/>
      <c r="BV1" s="161"/>
      <c r="BW1" s="161"/>
      <c r="BX1" s="161"/>
      <c r="BY1" s="160"/>
      <c r="BZ1" s="161"/>
      <c r="CA1" s="161"/>
      <c r="CB1" s="161"/>
      <c r="CC1" s="161"/>
      <c r="CD1" s="160"/>
      <c r="CE1" s="161"/>
      <c r="CF1" s="161"/>
      <c r="CG1" s="161"/>
      <c r="CH1" s="161"/>
      <c r="CI1" s="160"/>
      <c r="CJ1" s="161"/>
      <c r="CK1" s="161"/>
      <c r="CL1" s="161"/>
      <c r="CM1" s="161"/>
      <c r="CN1" s="160"/>
      <c r="CO1" s="161"/>
      <c r="CP1" s="161"/>
      <c r="CQ1" s="750">
        <f>'Balance Sheet and Cflow'!U3</f>
        <v>-0.18812593462280347</v>
      </c>
      <c r="CR1" s="750">
        <f>'Balance Sheet and Cflow'!V3</f>
        <v>-0.18812593462644145</v>
      </c>
      <c r="CS1" s="750">
        <f>'Balance Sheet and Cflow'!W3</f>
        <v>-0.18812593462644145</v>
      </c>
      <c r="CT1" s="750">
        <f>'Balance Sheet and Cflow'!X3</f>
        <v>-0.19339857330851373</v>
      </c>
      <c r="CU1" s="750">
        <f>'Balance Sheet and Cflow'!Y3</f>
        <v>-0.22226877331922879</v>
      </c>
      <c r="CV1" s="750">
        <f>'Balance Sheet and Cflow'!Z3</f>
        <v>-0.3054066638542281</v>
      </c>
      <c r="CW1" s="750">
        <f>'Balance Sheet and Cflow'!AA3</f>
        <v>-0.48240211065422045</v>
      </c>
      <c r="CX1" s="158"/>
      <c r="CY1" s="158"/>
      <c r="CZ1" s="159"/>
      <c r="DA1" s="159"/>
      <c r="DB1" s="159"/>
      <c r="DC1" s="162"/>
      <c r="DD1" s="884"/>
      <c r="DO1" s="159"/>
      <c r="DP1" s="162"/>
      <c r="DQ1" s="884"/>
    </row>
    <row r="2" spans="1:121">
      <c r="A2" s="681" t="s">
        <v>694</v>
      </c>
      <c r="B2" s="682">
        <v>2007</v>
      </c>
      <c r="C2" s="682" t="s">
        <v>557</v>
      </c>
      <c r="D2" s="682" t="s">
        <v>558</v>
      </c>
      <c r="E2" s="682" t="s">
        <v>559</v>
      </c>
      <c r="F2" s="682" t="s">
        <v>560</v>
      </c>
      <c r="G2" s="682">
        <f>B2+1</f>
        <v>2008</v>
      </c>
      <c r="H2" s="682" t="s">
        <v>557</v>
      </c>
      <c r="I2" s="682" t="s">
        <v>558</v>
      </c>
      <c r="J2" s="682" t="s">
        <v>559</v>
      </c>
      <c r="K2" s="682" t="s">
        <v>560</v>
      </c>
      <c r="L2" s="682">
        <f>G2+1</f>
        <v>2009</v>
      </c>
      <c r="M2" s="682" t="s">
        <v>557</v>
      </c>
      <c r="N2" s="682" t="s">
        <v>558</v>
      </c>
      <c r="O2" s="682" t="s">
        <v>559</v>
      </c>
      <c r="P2" s="682" t="s">
        <v>560</v>
      </c>
      <c r="Q2" s="682">
        <f>L2+1</f>
        <v>2010</v>
      </c>
      <c r="R2" s="682" t="s">
        <v>557</v>
      </c>
      <c r="S2" s="682" t="s">
        <v>558</v>
      </c>
      <c r="T2" s="682" t="s">
        <v>559</v>
      </c>
      <c r="U2" s="682" t="s">
        <v>560</v>
      </c>
      <c r="V2" s="682">
        <f>Q2+1</f>
        <v>2011</v>
      </c>
      <c r="W2" s="682" t="s">
        <v>557</v>
      </c>
      <c r="X2" s="682" t="s">
        <v>558</v>
      </c>
      <c r="Y2" s="682" t="s">
        <v>559</v>
      </c>
      <c r="Z2" s="682" t="s">
        <v>560</v>
      </c>
      <c r="AA2" s="682">
        <f>V2+1</f>
        <v>2012</v>
      </c>
      <c r="AB2" s="682" t="s">
        <v>557</v>
      </c>
      <c r="AC2" s="682" t="s">
        <v>558</v>
      </c>
      <c r="AD2" s="682" t="s">
        <v>559</v>
      </c>
      <c r="AE2" s="682" t="s">
        <v>560</v>
      </c>
      <c r="AF2" s="682">
        <f>AA2+1</f>
        <v>2013</v>
      </c>
      <c r="AG2" s="682" t="s">
        <v>557</v>
      </c>
      <c r="AH2" s="682" t="s">
        <v>558</v>
      </c>
      <c r="AI2" s="682" t="s">
        <v>559</v>
      </c>
      <c r="AJ2" s="682" t="s">
        <v>560</v>
      </c>
      <c r="AK2" s="682">
        <f>AF2+1</f>
        <v>2014</v>
      </c>
      <c r="AL2" s="682" t="s">
        <v>557</v>
      </c>
      <c r="AM2" s="682" t="s">
        <v>558</v>
      </c>
      <c r="AN2" s="682" t="s">
        <v>559</v>
      </c>
      <c r="AO2" s="682" t="s">
        <v>560</v>
      </c>
      <c r="AP2" s="682">
        <f>AK2+1</f>
        <v>2015</v>
      </c>
      <c r="AQ2" s="682" t="s">
        <v>557</v>
      </c>
      <c r="AR2" s="682" t="s">
        <v>558</v>
      </c>
      <c r="AS2" s="682" t="s">
        <v>559</v>
      </c>
      <c r="AT2" s="682" t="s">
        <v>560</v>
      </c>
      <c r="AU2" s="682">
        <f>AP2+1</f>
        <v>2016</v>
      </c>
      <c r="AV2" s="682" t="s">
        <v>557</v>
      </c>
      <c r="AW2" s="682" t="s">
        <v>558</v>
      </c>
      <c r="AX2" s="682" t="s">
        <v>559</v>
      </c>
      <c r="AY2" s="682" t="s">
        <v>560</v>
      </c>
      <c r="AZ2" s="682">
        <f>AU2+1</f>
        <v>2017</v>
      </c>
      <c r="BA2" s="682" t="s">
        <v>557</v>
      </c>
      <c r="BB2" s="682" t="s">
        <v>558</v>
      </c>
      <c r="BC2" s="682" t="s">
        <v>559</v>
      </c>
      <c r="BD2" s="682" t="s">
        <v>560</v>
      </c>
      <c r="BE2" s="682">
        <f>AZ2+1</f>
        <v>2018</v>
      </c>
      <c r="BF2" s="682" t="s">
        <v>557</v>
      </c>
      <c r="BG2" s="682" t="s">
        <v>558</v>
      </c>
      <c r="BH2" s="682" t="s">
        <v>559</v>
      </c>
      <c r="BI2" s="682" t="s">
        <v>560</v>
      </c>
      <c r="BJ2" s="682">
        <f>BE2+1</f>
        <v>2019</v>
      </c>
      <c r="BK2" s="682" t="str">
        <f>BF2</f>
        <v>Q1</v>
      </c>
      <c r="BL2" s="682" t="str">
        <f>BG2</f>
        <v>Q2</v>
      </c>
      <c r="BM2" s="682" t="str">
        <f>BH2</f>
        <v>Q3</v>
      </c>
      <c r="BN2" s="682" t="str">
        <f>BI2</f>
        <v>Q4</v>
      </c>
      <c r="BO2" s="682">
        <f>BJ2+1</f>
        <v>2020</v>
      </c>
      <c r="BP2" s="682" t="str">
        <f>BK2</f>
        <v>Q1</v>
      </c>
      <c r="BQ2" s="682" t="str">
        <f>BL2</f>
        <v>Q2</v>
      </c>
      <c r="BR2" s="682" t="str">
        <f>BM2</f>
        <v>Q3</v>
      </c>
      <c r="BS2" s="682" t="str">
        <f>BN2</f>
        <v>Q4</v>
      </c>
      <c r="BT2" s="682">
        <f>BO2+1</f>
        <v>2021</v>
      </c>
      <c r="BU2" s="682" t="str">
        <f>BP2</f>
        <v>Q1</v>
      </c>
      <c r="BV2" s="682" t="str">
        <f>BQ2</f>
        <v>Q2</v>
      </c>
      <c r="BW2" s="682" t="str">
        <f>BR2</f>
        <v>Q3</v>
      </c>
      <c r="BX2" s="682" t="str">
        <f>BS2</f>
        <v>Q4</v>
      </c>
      <c r="BY2" s="682">
        <f>BT2+1</f>
        <v>2022</v>
      </c>
      <c r="BZ2" s="682" t="str">
        <f>BU2</f>
        <v>Q1</v>
      </c>
      <c r="CA2" s="682" t="str">
        <f>BV2</f>
        <v>Q2</v>
      </c>
      <c r="CB2" s="682" t="str">
        <f>BW2</f>
        <v>Q3</v>
      </c>
      <c r="CC2" s="682" t="str">
        <f>BX2</f>
        <v>Q4</v>
      </c>
      <c r="CD2" s="682">
        <f>BY2+1</f>
        <v>2023</v>
      </c>
      <c r="CE2" s="682" t="str">
        <f>BZ2</f>
        <v>Q1</v>
      </c>
      <c r="CF2" s="682" t="str">
        <f>CA2</f>
        <v>Q2</v>
      </c>
      <c r="CG2" s="682" t="str">
        <f>CB2</f>
        <v>Q3</v>
      </c>
      <c r="CH2" s="682" t="str">
        <f>CC2</f>
        <v>Q4</v>
      </c>
      <c r="CI2" s="682">
        <f>CD2+1</f>
        <v>2024</v>
      </c>
      <c r="CJ2" s="682" t="str">
        <f>CE2</f>
        <v>Q1</v>
      </c>
      <c r="CK2" s="682" t="str">
        <f>CF2</f>
        <v>Q2</v>
      </c>
      <c r="CL2" s="682" t="str">
        <f>CG2</f>
        <v>Q3</v>
      </c>
      <c r="CM2" s="682" t="str">
        <f>CH2</f>
        <v>Q4</v>
      </c>
      <c r="CN2" s="682">
        <f>CI2+1</f>
        <v>2025</v>
      </c>
      <c r="CO2" s="682" t="str">
        <f>CJ2</f>
        <v>Q1</v>
      </c>
      <c r="CP2" s="682" t="str">
        <f>CK2</f>
        <v>Q2</v>
      </c>
      <c r="CQ2" s="537">
        <f>CN2+1</f>
        <v>2026</v>
      </c>
      <c r="CR2" s="537">
        <f t="shared" ref="CR2:CS2" si="0">CQ2+1</f>
        <v>2027</v>
      </c>
      <c r="CS2" s="537">
        <f t="shared" si="0"/>
        <v>2028</v>
      </c>
      <c r="CT2" s="537">
        <f t="shared" ref="CT2" si="1">CS2+1</f>
        <v>2029</v>
      </c>
      <c r="CU2" s="537">
        <f t="shared" ref="CU2" si="2">CT2+1</f>
        <v>2030</v>
      </c>
      <c r="CV2" s="537">
        <f t="shared" ref="CV2:CW2" si="3">CU2+1</f>
        <v>2031</v>
      </c>
      <c r="CW2" s="537">
        <f t="shared" si="3"/>
        <v>2032</v>
      </c>
      <c r="CX2" s="159"/>
      <c r="CY2" s="165" t="s">
        <v>613</v>
      </c>
      <c r="CZ2" s="159"/>
      <c r="DA2" s="159"/>
      <c r="DB2" s="159"/>
      <c r="DC2" s="159"/>
      <c r="DD2" s="159"/>
      <c r="DO2" s="159"/>
      <c r="DP2" s="159"/>
      <c r="DQ2" s="159"/>
    </row>
    <row r="3" spans="1:121"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203"/>
      <c r="S3" s="203"/>
      <c r="T3" s="203"/>
      <c r="U3" s="203"/>
      <c r="V3" s="203"/>
      <c r="W3" s="203"/>
      <c r="X3" s="203"/>
      <c r="Y3" s="203"/>
      <c r="Z3" s="203"/>
      <c r="AA3" s="203"/>
      <c r="AB3" s="203"/>
      <c r="AC3" s="203"/>
      <c r="AD3" s="203"/>
      <c r="AE3" s="203"/>
      <c r="AF3" s="203"/>
      <c r="AG3" s="203"/>
      <c r="AH3" s="203"/>
      <c r="AI3" s="203"/>
      <c r="AJ3" s="203"/>
      <c r="AK3" s="203"/>
      <c r="AL3" s="203"/>
      <c r="AM3" s="203"/>
      <c r="AN3" s="203"/>
      <c r="AO3" s="203"/>
      <c r="AP3" s="203"/>
      <c r="AQ3" s="203"/>
      <c r="AR3" s="203"/>
      <c r="AS3" s="203"/>
      <c r="AT3" s="203"/>
      <c r="AU3" s="203"/>
      <c r="AV3" s="203"/>
      <c r="AW3" s="203"/>
      <c r="AX3" s="203"/>
      <c r="AY3" s="203"/>
      <c r="AZ3" s="203"/>
      <c r="BA3" s="203"/>
      <c r="BB3" s="203"/>
      <c r="BC3" s="203"/>
      <c r="BD3" s="203"/>
      <c r="BE3" s="203"/>
      <c r="BF3" s="203"/>
      <c r="BG3" s="203"/>
      <c r="BH3" s="203"/>
      <c r="BI3" s="203"/>
      <c r="BJ3" s="203"/>
      <c r="BK3" s="203"/>
      <c r="BL3" s="203"/>
      <c r="BM3" s="203"/>
      <c r="BN3" s="203"/>
      <c r="BO3" s="203"/>
      <c r="BP3" s="203"/>
      <c r="BQ3" s="203"/>
      <c r="BR3" s="203"/>
      <c r="BS3" s="203"/>
      <c r="BT3" s="203"/>
      <c r="BU3" s="203"/>
      <c r="BV3" s="203"/>
      <c r="BW3" s="203"/>
      <c r="BX3" s="203"/>
      <c r="BY3" s="203"/>
      <c r="BZ3" s="203"/>
      <c r="CA3" s="203"/>
      <c r="CB3" s="203"/>
      <c r="CC3" s="203"/>
      <c r="CD3" s="203"/>
      <c r="CE3" s="203"/>
      <c r="CF3" s="203"/>
      <c r="CG3" s="203"/>
      <c r="CH3" s="203"/>
      <c r="CI3" s="203"/>
      <c r="CJ3" s="203"/>
      <c r="CK3" s="203"/>
      <c r="CL3" s="203"/>
      <c r="CM3" s="203"/>
      <c r="CN3" s="203"/>
      <c r="CO3" s="203"/>
      <c r="CP3" s="203"/>
      <c r="CQ3" s="203"/>
      <c r="CR3" s="203"/>
      <c r="CS3" s="203"/>
      <c r="CT3" s="203"/>
      <c r="CU3" s="203"/>
      <c r="CV3" s="203"/>
      <c r="CW3" s="203"/>
      <c r="CX3" s="159"/>
      <c r="CY3" s="165"/>
      <c r="CZ3" s="159"/>
      <c r="DA3" s="159"/>
      <c r="DB3" s="159"/>
      <c r="DC3" s="159"/>
      <c r="DD3" s="159"/>
      <c r="DO3" s="159"/>
      <c r="DP3" s="159"/>
      <c r="DQ3" s="159"/>
    </row>
    <row r="4" spans="1:121">
      <c r="A4" s="164" t="s">
        <v>693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64"/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164"/>
      <c r="AJ4" s="164"/>
      <c r="AK4" s="164"/>
      <c r="AL4" s="164"/>
      <c r="AM4" s="164"/>
      <c r="AN4" s="164"/>
      <c r="AO4" s="164"/>
      <c r="AP4" s="164"/>
      <c r="AQ4" s="164"/>
      <c r="AR4" s="164"/>
      <c r="AS4" s="164"/>
      <c r="AT4" s="164"/>
      <c r="AU4" s="164"/>
      <c r="AV4" s="164"/>
      <c r="AW4" s="164"/>
      <c r="AX4" s="164"/>
      <c r="AY4" s="164"/>
      <c r="AZ4" s="164"/>
      <c r="BA4" s="164"/>
      <c r="BB4" s="164"/>
      <c r="BC4" s="164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164"/>
      <c r="BQ4" s="164"/>
      <c r="BR4" s="164"/>
      <c r="BS4" s="164"/>
      <c r="BT4" s="164"/>
      <c r="BU4" s="164"/>
      <c r="BV4" s="164"/>
      <c r="BW4" s="164"/>
      <c r="BX4" s="164"/>
      <c r="BY4" s="164"/>
      <c r="BZ4" s="164"/>
      <c r="CA4" s="164"/>
      <c r="CB4" s="164"/>
      <c r="CC4" s="164"/>
      <c r="CD4" s="164"/>
      <c r="CE4" s="164"/>
      <c r="CF4" s="164"/>
      <c r="CG4" s="164"/>
      <c r="CH4" s="164"/>
      <c r="CI4" s="164"/>
      <c r="CJ4" s="164"/>
      <c r="CK4" s="164"/>
      <c r="CL4" s="164"/>
      <c r="CM4" s="164"/>
      <c r="CN4" s="164"/>
      <c r="CO4" s="164"/>
      <c r="CP4" s="164"/>
      <c r="CQ4" s="164"/>
      <c r="CR4" s="164"/>
      <c r="CS4" s="164"/>
      <c r="CT4" s="164"/>
      <c r="CU4" s="164"/>
      <c r="CV4" s="164"/>
      <c r="CW4" s="164"/>
      <c r="CX4" s="159"/>
      <c r="CY4" s="165"/>
      <c r="CZ4" s="159"/>
      <c r="DA4" s="159"/>
      <c r="DB4" s="159"/>
      <c r="DD4" s="159"/>
      <c r="DO4" s="159"/>
      <c r="DP4" s="159"/>
      <c r="DQ4" s="159"/>
    </row>
    <row r="5" spans="1:121">
      <c r="A5" s="203"/>
      <c r="B5" s="203"/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3"/>
      <c r="AV5" s="203"/>
      <c r="AW5" s="203"/>
      <c r="AX5" s="203"/>
      <c r="AY5" s="203"/>
      <c r="AZ5" s="203"/>
      <c r="BA5" s="203"/>
      <c r="BB5" s="203"/>
      <c r="BC5" s="203"/>
      <c r="BD5" s="203"/>
      <c r="BE5" s="203"/>
      <c r="BF5" s="203"/>
      <c r="BG5" s="203"/>
      <c r="BH5" s="203"/>
      <c r="BI5" s="203"/>
      <c r="BJ5" s="203"/>
      <c r="BK5" s="203"/>
      <c r="BL5" s="203"/>
      <c r="BM5" s="203"/>
      <c r="BN5" s="203"/>
      <c r="BO5" s="203"/>
      <c r="BP5" s="203"/>
      <c r="BQ5" s="203"/>
      <c r="BR5" s="203"/>
      <c r="BS5" s="203"/>
      <c r="BT5" s="203"/>
      <c r="BU5" s="203"/>
      <c r="BV5" s="203"/>
      <c r="BW5" s="203"/>
      <c r="BX5" s="203"/>
      <c r="BY5" s="203"/>
      <c r="BZ5" s="203"/>
      <c r="CA5" s="203"/>
      <c r="CB5" s="203"/>
      <c r="CC5" s="203"/>
      <c r="CD5" s="203"/>
      <c r="CE5" s="203"/>
      <c r="CF5" s="203"/>
      <c r="CG5" s="203"/>
      <c r="CH5" s="203"/>
      <c r="CI5" s="203"/>
      <c r="CJ5" s="203"/>
      <c r="CK5" s="203"/>
      <c r="CL5" s="203"/>
      <c r="CM5" s="203"/>
      <c r="CN5" s="203"/>
      <c r="CO5" s="203"/>
      <c r="CP5" s="203"/>
      <c r="CQ5" s="203"/>
      <c r="CR5" s="203"/>
      <c r="CS5" s="203"/>
      <c r="CT5" s="203"/>
      <c r="CU5" s="203"/>
      <c r="CV5" s="203"/>
      <c r="CW5" s="203"/>
      <c r="CX5" s="159"/>
      <c r="CY5" s="165"/>
      <c r="CZ5" s="159"/>
      <c r="DA5" s="159"/>
      <c r="DB5" s="159"/>
      <c r="DD5" s="159"/>
      <c r="DO5" s="159"/>
      <c r="DP5" s="159"/>
      <c r="DQ5" s="159"/>
    </row>
    <row r="6" spans="1:121">
      <c r="A6" s="203" t="s">
        <v>723</v>
      </c>
      <c r="B6" s="686">
        <f>SUM(B7:B9)</f>
        <v>0</v>
      </c>
      <c r="C6" s="686">
        <f t="shared" ref="C6:BN6" si="4">SUM(C7:C9)</f>
        <v>0</v>
      </c>
      <c r="D6" s="686">
        <f t="shared" si="4"/>
        <v>0</v>
      </c>
      <c r="E6" s="686">
        <f t="shared" si="4"/>
        <v>0</v>
      </c>
      <c r="F6" s="686">
        <f t="shared" si="4"/>
        <v>0</v>
      </c>
      <c r="G6" s="686">
        <f t="shared" si="4"/>
        <v>0</v>
      </c>
      <c r="H6" s="686">
        <f t="shared" si="4"/>
        <v>0</v>
      </c>
      <c r="I6" s="686">
        <f t="shared" si="4"/>
        <v>0</v>
      </c>
      <c r="J6" s="686">
        <f t="shared" si="4"/>
        <v>0</v>
      </c>
      <c r="K6" s="686">
        <f t="shared" si="4"/>
        <v>0</v>
      </c>
      <c r="L6" s="686">
        <f t="shared" si="4"/>
        <v>0</v>
      </c>
      <c r="M6" s="686">
        <f t="shared" si="4"/>
        <v>0</v>
      </c>
      <c r="N6" s="686">
        <f t="shared" si="4"/>
        <v>0</v>
      </c>
      <c r="O6" s="686">
        <f t="shared" si="4"/>
        <v>0</v>
      </c>
      <c r="P6" s="686">
        <f t="shared" si="4"/>
        <v>0</v>
      </c>
      <c r="Q6" s="686">
        <f t="shared" si="4"/>
        <v>0</v>
      </c>
      <c r="R6" s="686">
        <f t="shared" si="4"/>
        <v>0</v>
      </c>
      <c r="S6" s="686">
        <f t="shared" si="4"/>
        <v>0</v>
      </c>
      <c r="T6" s="686">
        <f t="shared" si="4"/>
        <v>0</v>
      </c>
      <c r="U6" s="686">
        <f t="shared" si="4"/>
        <v>0</v>
      </c>
      <c r="V6" s="686">
        <f t="shared" si="4"/>
        <v>0</v>
      </c>
      <c r="W6" s="686">
        <f t="shared" si="4"/>
        <v>0</v>
      </c>
      <c r="X6" s="686">
        <f t="shared" si="4"/>
        <v>0</v>
      </c>
      <c r="Y6" s="686">
        <f t="shared" si="4"/>
        <v>0</v>
      </c>
      <c r="Z6" s="686">
        <f t="shared" si="4"/>
        <v>0</v>
      </c>
      <c r="AA6" s="686">
        <f t="shared" si="4"/>
        <v>0</v>
      </c>
      <c r="AB6" s="686">
        <f t="shared" si="4"/>
        <v>0</v>
      </c>
      <c r="AC6" s="686">
        <f t="shared" si="4"/>
        <v>0</v>
      </c>
      <c r="AD6" s="686">
        <f t="shared" si="4"/>
        <v>0</v>
      </c>
      <c r="AE6" s="686">
        <f t="shared" si="4"/>
        <v>0</v>
      </c>
      <c r="AF6" s="686">
        <f t="shared" si="4"/>
        <v>0</v>
      </c>
      <c r="AG6" s="686">
        <f t="shared" si="4"/>
        <v>0</v>
      </c>
      <c r="AH6" s="686">
        <f t="shared" si="4"/>
        <v>0</v>
      </c>
      <c r="AI6" s="686">
        <f t="shared" si="4"/>
        <v>0</v>
      </c>
      <c r="AJ6" s="686">
        <f t="shared" si="4"/>
        <v>0</v>
      </c>
      <c r="AK6" s="686">
        <f t="shared" si="4"/>
        <v>0</v>
      </c>
      <c r="AL6" s="686">
        <f t="shared" si="4"/>
        <v>0</v>
      </c>
      <c r="AM6" s="686">
        <f t="shared" si="4"/>
        <v>0</v>
      </c>
      <c r="AN6" s="686">
        <f t="shared" si="4"/>
        <v>0</v>
      </c>
      <c r="AO6" s="686">
        <f t="shared" si="4"/>
        <v>0</v>
      </c>
      <c r="AP6" s="686">
        <f t="shared" si="4"/>
        <v>0</v>
      </c>
      <c r="AQ6" s="686">
        <f t="shared" si="4"/>
        <v>0</v>
      </c>
      <c r="AR6" s="686">
        <f t="shared" si="4"/>
        <v>0</v>
      </c>
      <c r="AS6" s="686">
        <f t="shared" si="4"/>
        <v>0</v>
      </c>
      <c r="AT6" s="686">
        <f t="shared" si="4"/>
        <v>0</v>
      </c>
      <c r="AU6" s="686">
        <f t="shared" si="4"/>
        <v>0</v>
      </c>
      <c r="AV6" s="686">
        <f t="shared" si="4"/>
        <v>0</v>
      </c>
      <c r="AW6" s="686">
        <f t="shared" si="4"/>
        <v>0</v>
      </c>
      <c r="AX6" s="686">
        <f t="shared" si="4"/>
        <v>0</v>
      </c>
      <c r="AY6" s="686">
        <f t="shared" si="4"/>
        <v>0</v>
      </c>
      <c r="AZ6" s="686">
        <f t="shared" si="4"/>
        <v>0</v>
      </c>
      <c r="BA6" s="686">
        <f t="shared" si="4"/>
        <v>0</v>
      </c>
      <c r="BB6" s="686">
        <f t="shared" si="4"/>
        <v>0</v>
      </c>
      <c r="BC6" s="686">
        <f t="shared" si="4"/>
        <v>0</v>
      </c>
      <c r="BD6" s="686">
        <f t="shared" si="4"/>
        <v>0</v>
      </c>
      <c r="BE6" s="686">
        <f t="shared" si="4"/>
        <v>0</v>
      </c>
      <c r="BF6" s="686">
        <f t="shared" si="4"/>
        <v>0</v>
      </c>
      <c r="BG6" s="686">
        <f t="shared" si="4"/>
        <v>0</v>
      </c>
      <c r="BH6" s="686">
        <f t="shared" si="4"/>
        <v>0</v>
      </c>
      <c r="BI6" s="686">
        <f t="shared" si="4"/>
        <v>0</v>
      </c>
      <c r="BJ6" s="686">
        <f t="shared" si="4"/>
        <v>0</v>
      </c>
      <c r="BK6" s="686">
        <f t="shared" si="4"/>
        <v>0</v>
      </c>
      <c r="BL6" s="686">
        <f t="shared" si="4"/>
        <v>0</v>
      </c>
      <c r="BM6" s="686">
        <f t="shared" si="4"/>
        <v>0</v>
      </c>
      <c r="BN6" s="686">
        <f t="shared" si="4"/>
        <v>0</v>
      </c>
      <c r="BO6" s="686">
        <f t="shared" ref="BO6:CR6" si="5">SUM(BO7:BO9)</f>
        <v>0</v>
      </c>
      <c r="BP6" s="686">
        <f t="shared" si="5"/>
        <v>1603</v>
      </c>
      <c r="BQ6" s="686">
        <f t="shared" si="5"/>
        <v>1626</v>
      </c>
      <c r="BR6" s="686">
        <f t="shared" si="5"/>
        <v>1653</v>
      </c>
      <c r="BS6" s="686">
        <f t="shared" si="5"/>
        <v>1617</v>
      </c>
      <c r="BT6" s="686">
        <f t="shared" si="5"/>
        <v>6499</v>
      </c>
      <c r="BU6" s="686">
        <f t="shared" si="5"/>
        <v>1642</v>
      </c>
      <c r="BV6" s="686">
        <f t="shared" si="5"/>
        <v>1698</v>
      </c>
      <c r="BW6" s="686">
        <f t="shared" si="5"/>
        <v>1721</v>
      </c>
      <c r="BX6" s="686">
        <f t="shared" si="5"/>
        <v>1750</v>
      </c>
      <c r="BY6" s="686">
        <f t="shared" si="5"/>
        <v>6811</v>
      </c>
      <c r="BZ6" s="686">
        <f t="shared" si="5"/>
        <v>1747</v>
      </c>
      <c r="CA6" s="686">
        <f t="shared" si="5"/>
        <v>1751</v>
      </c>
      <c r="CB6" s="686">
        <f t="shared" si="5"/>
        <v>1765</v>
      </c>
      <c r="CC6" s="686">
        <f t="shared" si="5"/>
        <v>1801</v>
      </c>
      <c r="CD6" s="686">
        <f t="shared" si="5"/>
        <v>7064</v>
      </c>
      <c r="CE6" s="686">
        <f t="shared" ref="CE6:CF6" si="6">SUM(CE7:CE9)</f>
        <v>1804</v>
      </c>
      <c r="CF6" s="686">
        <f t="shared" si="6"/>
        <v>1815</v>
      </c>
      <c r="CG6" s="686">
        <f t="shared" ref="CG6:CH6" si="7">SUM(CG7:CG9)</f>
        <v>1817</v>
      </c>
      <c r="CH6" s="686">
        <f t="shared" si="7"/>
        <v>1822</v>
      </c>
      <c r="CI6" s="686">
        <f t="shared" si="5"/>
        <v>7258</v>
      </c>
      <c r="CJ6" s="686">
        <f t="shared" si="5"/>
        <v>1773</v>
      </c>
      <c r="CK6" s="686">
        <f t="shared" ref="CK6:CL6" si="8">SUM(CK7:CK9)</f>
        <v>1797</v>
      </c>
      <c r="CL6" s="686">
        <f t="shared" si="8"/>
        <v>1823</v>
      </c>
      <c r="CM6" s="686">
        <f t="shared" ref="CM6:CP6" si="9">SUM(CM7:CM9)</f>
        <v>1854</v>
      </c>
      <c r="CN6" s="686">
        <f t="shared" si="9"/>
        <v>7247</v>
      </c>
      <c r="CO6" s="686">
        <f t="shared" si="9"/>
        <v>1823</v>
      </c>
      <c r="CP6" s="686">
        <f t="shared" si="9"/>
        <v>1836</v>
      </c>
      <c r="CQ6" s="686">
        <f t="shared" si="5"/>
        <v>7385.2564426887084</v>
      </c>
      <c r="CR6" s="686">
        <f t="shared" si="5"/>
        <v>7506.9911940191487</v>
      </c>
      <c r="CS6" s="686">
        <f t="shared" ref="CS6:CW6" si="10">SUM(CS7:CS9)</f>
        <v>7638.8286630421799</v>
      </c>
      <c r="CT6" s="686">
        <f t="shared" si="10"/>
        <v>7780.6535185038101</v>
      </c>
      <c r="CU6" s="686">
        <f t="shared" si="10"/>
        <v>7907.9243499508866</v>
      </c>
      <c r="CV6" s="686">
        <f t="shared" si="10"/>
        <v>8033.3637155134847</v>
      </c>
      <c r="CW6" s="686">
        <f t="shared" si="10"/>
        <v>8157.2380356165577</v>
      </c>
      <c r="CX6" s="159"/>
      <c r="CY6" s="165"/>
      <c r="CZ6" s="159"/>
      <c r="DA6" s="159"/>
      <c r="DB6" s="159"/>
      <c r="DD6" s="159"/>
      <c r="DO6" s="159"/>
      <c r="DP6" s="159"/>
      <c r="DQ6" s="159"/>
    </row>
    <row r="7" spans="1:121">
      <c r="A7" s="137" t="s">
        <v>642</v>
      </c>
      <c r="B7" s="687">
        <f>B408</f>
        <v>0</v>
      </c>
      <c r="C7" s="687">
        <f t="shared" ref="C7:BN7" si="11">C408</f>
        <v>0</v>
      </c>
      <c r="D7" s="687">
        <f t="shared" si="11"/>
        <v>0</v>
      </c>
      <c r="E7" s="687">
        <f t="shared" si="11"/>
        <v>0</v>
      </c>
      <c r="F7" s="687">
        <f t="shared" si="11"/>
        <v>0</v>
      </c>
      <c r="G7" s="687">
        <f t="shared" si="11"/>
        <v>0</v>
      </c>
      <c r="H7" s="687">
        <f t="shared" si="11"/>
        <v>0</v>
      </c>
      <c r="I7" s="687">
        <f t="shared" si="11"/>
        <v>0</v>
      </c>
      <c r="J7" s="687">
        <f t="shared" si="11"/>
        <v>0</v>
      </c>
      <c r="K7" s="687">
        <f t="shared" si="11"/>
        <v>0</v>
      </c>
      <c r="L7" s="687">
        <f t="shared" si="11"/>
        <v>0</v>
      </c>
      <c r="M7" s="687">
        <f t="shared" si="11"/>
        <v>0</v>
      </c>
      <c r="N7" s="687">
        <f t="shared" si="11"/>
        <v>0</v>
      </c>
      <c r="O7" s="687">
        <f t="shared" si="11"/>
        <v>0</v>
      </c>
      <c r="P7" s="687">
        <f t="shared" si="11"/>
        <v>0</v>
      </c>
      <c r="Q7" s="687">
        <f t="shared" si="11"/>
        <v>0</v>
      </c>
      <c r="R7" s="687">
        <f t="shared" si="11"/>
        <v>0</v>
      </c>
      <c r="S7" s="687">
        <f t="shared" si="11"/>
        <v>0</v>
      </c>
      <c r="T7" s="687">
        <f t="shared" si="11"/>
        <v>0</v>
      </c>
      <c r="U7" s="687">
        <f t="shared" si="11"/>
        <v>0</v>
      </c>
      <c r="V7" s="687">
        <f t="shared" si="11"/>
        <v>0</v>
      </c>
      <c r="W7" s="687">
        <f t="shared" si="11"/>
        <v>0</v>
      </c>
      <c r="X7" s="687">
        <f t="shared" si="11"/>
        <v>0</v>
      </c>
      <c r="Y7" s="687">
        <f t="shared" si="11"/>
        <v>0</v>
      </c>
      <c r="Z7" s="687">
        <f t="shared" si="11"/>
        <v>0</v>
      </c>
      <c r="AA7" s="687">
        <f t="shared" si="11"/>
        <v>0</v>
      </c>
      <c r="AB7" s="687">
        <f t="shared" si="11"/>
        <v>0</v>
      </c>
      <c r="AC7" s="687">
        <f t="shared" si="11"/>
        <v>0</v>
      </c>
      <c r="AD7" s="687">
        <f t="shared" si="11"/>
        <v>0</v>
      </c>
      <c r="AE7" s="687">
        <f t="shared" si="11"/>
        <v>0</v>
      </c>
      <c r="AF7" s="687">
        <f t="shared" si="11"/>
        <v>0</v>
      </c>
      <c r="AG7" s="687">
        <f t="shared" si="11"/>
        <v>0</v>
      </c>
      <c r="AH7" s="687">
        <f t="shared" si="11"/>
        <v>0</v>
      </c>
      <c r="AI7" s="687">
        <f t="shared" si="11"/>
        <v>0</v>
      </c>
      <c r="AJ7" s="687">
        <f t="shared" si="11"/>
        <v>0</v>
      </c>
      <c r="AK7" s="687">
        <f t="shared" si="11"/>
        <v>0</v>
      </c>
      <c r="AL7" s="687">
        <f t="shared" si="11"/>
        <v>0</v>
      </c>
      <c r="AM7" s="687">
        <f t="shared" si="11"/>
        <v>0</v>
      </c>
      <c r="AN7" s="687">
        <f t="shared" si="11"/>
        <v>0</v>
      </c>
      <c r="AO7" s="687">
        <f t="shared" si="11"/>
        <v>0</v>
      </c>
      <c r="AP7" s="687">
        <f t="shared" si="11"/>
        <v>0</v>
      </c>
      <c r="AQ7" s="687">
        <f t="shared" si="11"/>
        <v>0</v>
      </c>
      <c r="AR7" s="687">
        <f t="shared" si="11"/>
        <v>0</v>
      </c>
      <c r="AS7" s="687">
        <f t="shared" si="11"/>
        <v>0</v>
      </c>
      <c r="AT7" s="687">
        <f t="shared" si="11"/>
        <v>0</v>
      </c>
      <c r="AU7" s="687">
        <f t="shared" si="11"/>
        <v>0</v>
      </c>
      <c r="AV7" s="687">
        <f t="shared" si="11"/>
        <v>0</v>
      </c>
      <c r="AW7" s="687">
        <f t="shared" si="11"/>
        <v>0</v>
      </c>
      <c r="AX7" s="687">
        <f t="shared" si="11"/>
        <v>0</v>
      </c>
      <c r="AY7" s="687">
        <f t="shared" si="11"/>
        <v>0</v>
      </c>
      <c r="AZ7" s="687">
        <f t="shared" si="11"/>
        <v>0</v>
      </c>
      <c r="BA7" s="687">
        <f t="shared" si="11"/>
        <v>0</v>
      </c>
      <c r="BB7" s="687">
        <f t="shared" si="11"/>
        <v>0</v>
      </c>
      <c r="BC7" s="687">
        <f t="shared" si="11"/>
        <v>0</v>
      </c>
      <c r="BD7" s="687">
        <f t="shared" si="11"/>
        <v>0</v>
      </c>
      <c r="BE7" s="687">
        <f t="shared" si="11"/>
        <v>0</v>
      </c>
      <c r="BF7" s="687">
        <f t="shared" si="11"/>
        <v>0</v>
      </c>
      <c r="BG7" s="687">
        <f t="shared" si="11"/>
        <v>0</v>
      </c>
      <c r="BH7" s="687">
        <f t="shared" si="11"/>
        <v>0</v>
      </c>
      <c r="BI7" s="687">
        <f t="shared" si="11"/>
        <v>0</v>
      </c>
      <c r="BJ7" s="687">
        <f t="shared" si="11"/>
        <v>0</v>
      </c>
      <c r="BK7" s="687">
        <f t="shared" si="11"/>
        <v>0</v>
      </c>
      <c r="BL7" s="687">
        <f t="shared" si="11"/>
        <v>0</v>
      </c>
      <c r="BM7" s="687">
        <f t="shared" si="11"/>
        <v>0</v>
      </c>
      <c r="BN7" s="687">
        <f t="shared" si="11"/>
        <v>0</v>
      </c>
      <c r="BO7" s="687">
        <f t="shared" ref="BO7:CR7" si="12">BO408</f>
        <v>0</v>
      </c>
      <c r="BP7" s="687">
        <f t="shared" si="12"/>
        <v>748</v>
      </c>
      <c r="BQ7" s="687">
        <f t="shared" si="12"/>
        <v>766</v>
      </c>
      <c r="BR7" s="687">
        <f t="shared" si="12"/>
        <v>783</v>
      </c>
      <c r="BS7" s="687">
        <f t="shared" si="12"/>
        <v>766</v>
      </c>
      <c r="BT7" s="687">
        <f t="shared" si="12"/>
        <v>3063</v>
      </c>
      <c r="BU7" s="687">
        <f t="shared" si="12"/>
        <v>785</v>
      </c>
      <c r="BV7" s="687">
        <f t="shared" si="12"/>
        <v>810</v>
      </c>
      <c r="BW7" s="687">
        <f t="shared" si="12"/>
        <v>830</v>
      </c>
      <c r="BX7" s="687">
        <f t="shared" si="12"/>
        <v>850</v>
      </c>
      <c r="BY7" s="687">
        <f t="shared" si="12"/>
        <v>3275</v>
      </c>
      <c r="BZ7" s="687">
        <f t="shared" si="12"/>
        <v>864</v>
      </c>
      <c r="CA7" s="687">
        <f t="shared" si="12"/>
        <v>871</v>
      </c>
      <c r="CB7" s="687">
        <f t="shared" si="12"/>
        <v>882</v>
      </c>
      <c r="CC7" s="687">
        <f t="shared" si="12"/>
        <v>903</v>
      </c>
      <c r="CD7" s="687">
        <f t="shared" si="12"/>
        <v>3520</v>
      </c>
      <c r="CE7" s="687">
        <f t="shared" ref="CE7:CF7" si="13">CE408</f>
        <v>911</v>
      </c>
      <c r="CF7" s="687">
        <f t="shared" si="13"/>
        <v>916</v>
      </c>
      <c r="CG7" s="687">
        <f t="shared" ref="CG7:CH7" si="14">CG408</f>
        <v>925</v>
      </c>
      <c r="CH7" s="687">
        <f t="shared" si="14"/>
        <v>948</v>
      </c>
      <c r="CI7" s="687">
        <f t="shared" si="12"/>
        <v>3700</v>
      </c>
      <c r="CJ7" s="687">
        <f t="shared" si="12"/>
        <v>924</v>
      </c>
      <c r="CK7" s="687">
        <f t="shared" ref="CK7:CL7" si="15">CK408</f>
        <v>933</v>
      </c>
      <c r="CL7" s="687">
        <f t="shared" si="15"/>
        <v>952</v>
      </c>
      <c r="CM7" s="687">
        <f t="shared" ref="CM7:CP7" si="16">CM408</f>
        <v>976</v>
      </c>
      <c r="CN7" s="687">
        <f t="shared" si="16"/>
        <v>3785</v>
      </c>
      <c r="CO7" s="687">
        <f t="shared" si="16"/>
        <v>963</v>
      </c>
      <c r="CP7" s="687">
        <f t="shared" si="16"/>
        <v>972</v>
      </c>
      <c r="CQ7" s="687">
        <f t="shared" si="12"/>
        <v>3901.2032301220534</v>
      </c>
      <c r="CR7" s="687">
        <f t="shared" si="12"/>
        <v>3963.3333912322096</v>
      </c>
      <c r="CS7" s="687">
        <f t="shared" ref="CS7:CW7" si="17">CS408</f>
        <v>4055.6600080042908</v>
      </c>
      <c r="CT7" s="687">
        <f t="shared" si="17"/>
        <v>4147.1954873964769</v>
      </c>
      <c r="CU7" s="687">
        <f t="shared" si="17"/>
        <v>4238.1030970804968</v>
      </c>
      <c r="CV7" s="687">
        <f t="shared" si="17"/>
        <v>4328.5337489365411</v>
      </c>
      <c r="CW7" s="687">
        <f t="shared" si="17"/>
        <v>4418.6270337668184</v>
      </c>
      <c r="CX7" s="159"/>
      <c r="CY7" s="165"/>
      <c r="CZ7" s="159"/>
      <c r="DA7" s="159"/>
      <c r="DB7" s="159"/>
      <c r="DD7" s="159"/>
      <c r="DO7" s="159"/>
      <c r="DP7" s="159"/>
      <c r="DQ7" s="159"/>
    </row>
    <row r="8" spans="1:121">
      <c r="A8" s="137" t="s">
        <v>534</v>
      </c>
      <c r="B8" s="687">
        <f>B409</f>
        <v>0</v>
      </c>
      <c r="C8" s="687">
        <f t="shared" ref="C8:BN8" si="18">C409</f>
        <v>0</v>
      </c>
      <c r="D8" s="687">
        <f t="shared" si="18"/>
        <v>0</v>
      </c>
      <c r="E8" s="687">
        <f t="shared" si="18"/>
        <v>0</v>
      </c>
      <c r="F8" s="687">
        <f t="shared" si="18"/>
        <v>0</v>
      </c>
      <c r="G8" s="687">
        <f t="shared" si="18"/>
        <v>0</v>
      </c>
      <c r="H8" s="687">
        <f t="shared" si="18"/>
        <v>0</v>
      </c>
      <c r="I8" s="687">
        <f t="shared" si="18"/>
        <v>0</v>
      </c>
      <c r="J8" s="687">
        <f t="shared" si="18"/>
        <v>0</v>
      </c>
      <c r="K8" s="687">
        <f t="shared" si="18"/>
        <v>0</v>
      </c>
      <c r="L8" s="687">
        <f t="shared" si="18"/>
        <v>0</v>
      </c>
      <c r="M8" s="687">
        <f t="shared" si="18"/>
        <v>0</v>
      </c>
      <c r="N8" s="687">
        <f t="shared" si="18"/>
        <v>0</v>
      </c>
      <c r="O8" s="687">
        <f t="shared" si="18"/>
        <v>0</v>
      </c>
      <c r="P8" s="687">
        <f t="shared" si="18"/>
        <v>0</v>
      </c>
      <c r="Q8" s="687">
        <f t="shared" si="18"/>
        <v>0</v>
      </c>
      <c r="R8" s="687">
        <f t="shared" si="18"/>
        <v>0</v>
      </c>
      <c r="S8" s="687">
        <f t="shared" si="18"/>
        <v>0</v>
      </c>
      <c r="T8" s="687">
        <f t="shared" si="18"/>
        <v>0</v>
      </c>
      <c r="U8" s="687">
        <f t="shared" si="18"/>
        <v>0</v>
      </c>
      <c r="V8" s="687">
        <f t="shared" si="18"/>
        <v>0</v>
      </c>
      <c r="W8" s="687">
        <f t="shared" si="18"/>
        <v>0</v>
      </c>
      <c r="X8" s="687">
        <f t="shared" si="18"/>
        <v>0</v>
      </c>
      <c r="Y8" s="687">
        <f t="shared" si="18"/>
        <v>0</v>
      </c>
      <c r="Z8" s="687">
        <f t="shared" si="18"/>
        <v>0</v>
      </c>
      <c r="AA8" s="687">
        <f t="shared" si="18"/>
        <v>0</v>
      </c>
      <c r="AB8" s="687">
        <f t="shared" si="18"/>
        <v>0</v>
      </c>
      <c r="AC8" s="687">
        <f t="shared" si="18"/>
        <v>0</v>
      </c>
      <c r="AD8" s="687">
        <f t="shared" si="18"/>
        <v>0</v>
      </c>
      <c r="AE8" s="687">
        <f t="shared" si="18"/>
        <v>0</v>
      </c>
      <c r="AF8" s="687">
        <f t="shared" si="18"/>
        <v>0</v>
      </c>
      <c r="AG8" s="687">
        <f t="shared" si="18"/>
        <v>0</v>
      </c>
      <c r="AH8" s="687">
        <f t="shared" si="18"/>
        <v>0</v>
      </c>
      <c r="AI8" s="687">
        <f t="shared" si="18"/>
        <v>0</v>
      </c>
      <c r="AJ8" s="687">
        <f t="shared" si="18"/>
        <v>0</v>
      </c>
      <c r="AK8" s="687">
        <f t="shared" si="18"/>
        <v>0</v>
      </c>
      <c r="AL8" s="687">
        <f t="shared" si="18"/>
        <v>0</v>
      </c>
      <c r="AM8" s="687">
        <f t="shared" si="18"/>
        <v>0</v>
      </c>
      <c r="AN8" s="687">
        <f t="shared" si="18"/>
        <v>0</v>
      </c>
      <c r="AO8" s="687">
        <f t="shared" si="18"/>
        <v>0</v>
      </c>
      <c r="AP8" s="687">
        <f t="shared" si="18"/>
        <v>0</v>
      </c>
      <c r="AQ8" s="687">
        <f t="shared" si="18"/>
        <v>0</v>
      </c>
      <c r="AR8" s="687">
        <f t="shared" si="18"/>
        <v>0</v>
      </c>
      <c r="AS8" s="687">
        <f t="shared" si="18"/>
        <v>0</v>
      </c>
      <c r="AT8" s="687">
        <f t="shared" si="18"/>
        <v>0</v>
      </c>
      <c r="AU8" s="687">
        <f t="shared" si="18"/>
        <v>0</v>
      </c>
      <c r="AV8" s="687">
        <f t="shared" si="18"/>
        <v>0</v>
      </c>
      <c r="AW8" s="687">
        <f t="shared" si="18"/>
        <v>0</v>
      </c>
      <c r="AX8" s="687">
        <f t="shared" si="18"/>
        <v>0</v>
      </c>
      <c r="AY8" s="687">
        <f t="shared" si="18"/>
        <v>0</v>
      </c>
      <c r="AZ8" s="687">
        <f t="shared" si="18"/>
        <v>0</v>
      </c>
      <c r="BA8" s="687">
        <f t="shared" si="18"/>
        <v>0</v>
      </c>
      <c r="BB8" s="687">
        <f t="shared" si="18"/>
        <v>0</v>
      </c>
      <c r="BC8" s="687">
        <f t="shared" si="18"/>
        <v>0</v>
      </c>
      <c r="BD8" s="687">
        <f t="shared" si="18"/>
        <v>0</v>
      </c>
      <c r="BE8" s="687">
        <f t="shared" si="18"/>
        <v>0</v>
      </c>
      <c r="BF8" s="687">
        <f t="shared" si="18"/>
        <v>0</v>
      </c>
      <c r="BG8" s="687">
        <f t="shared" si="18"/>
        <v>0</v>
      </c>
      <c r="BH8" s="687">
        <f t="shared" si="18"/>
        <v>0</v>
      </c>
      <c r="BI8" s="687">
        <f t="shared" si="18"/>
        <v>0</v>
      </c>
      <c r="BJ8" s="687">
        <f t="shared" si="18"/>
        <v>0</v>
      </c>
      <c r="BK8" s="687">
        <f t="shared" si="18"/>
        <v>0</v>
      </c>
      <c r="BL8" s="687">
        <f t="shared" si="18"/>
        <v>0</v>
      </c>
      <c r="BM8" s="687">
        <f t="shared" si="18"/>
        <v>0</v>
      </c>
      <c r="BN8" s="687">
        <f t="shared" si="18"/>
        <v>0</v>
      </c>
      <c r="BO8" s="687">
        <f t="shared" ref="BO8:CR8" si="19">BO409</f>
        <v>0</v>
      </c>
      <c r="BP8" s="687">
        <f t="shared" si="19"/>
        <v>690</v>
      </c>
      <c r="BQ8" s="687">
        <f t="shared" si="19"/>
        <v>685</v>
      </c>
      <c r="BR8" s="687">
        <f t="shared" si="19"/>
        <v>685</v>
      </c>
      <c r="BS8" s="687">
        <f t="shared" si="19"/>
        <v>655</v>
      </c>
      <c r="BT8" s="687">
        <f t="shared" si="19"/>
        <v>2715</v>
      </c>
      <c r="BU8" s="687">
        <f t="shared" si="19"/>
        <v>657</v>
      </c>
      <c r="BV8" s="687">
        <f t="shared" si="19"/>
        <v>679</v>
      </c>
      <c r="BW8" s="687">
        <f t="shared" si="19"/>
        <v>676</v>
      </c>
      <c r="BX8" s="687">
        <f t="shared" si="19"/>
        <v>681</v>
      </c>
      <c r="BY8" s="687">
        <f t="shared" si="19"/>
        <v>2693</v>
      </c>
      <c r="BZ8" s="687">
        <f t="shared" si="19"/>
        <v>661</v>
      </c>
      <c r="CA8" s="687">
        <f t="shared" si="19"/>
        <v>651</v>
      </c>
      <c r="CB8" s="687">
        <f t="shared" si="19"/>
        <v>652</v>
      </c>
      <c r="CC8" s="687">
        <f t="shared" si="19"/>
        <v>655</v>
      </c>
      <c r="CD8" s="687">
        <f t="shared" si="19"/>
        <v>2619</v>
      </c>
      <c r="CE8" s="687">
        <f t="shared" ref="CE8:CF8" si="20">CE409</f>
        <v>649</v>
      </c>
      <c r="CF8" s="687">
        <f t="shared" si="20"/>
        <v>648</v>
      </c>
      <c r="CG8" s="687">
        <f t="shared" ref="CG8:CH8" si="21">CG409</f>
        <v>641</v>
      </c>
      <c r="CH8" s="687">
        <f t="shared" si="21"/>
        <v>627</v>
      </c>
      <c r="CI8" s="687">
        <f t="shared" si="19"/>
        <v>2565</v>
      </c>
      <c r="CJ8" s="687">
        <f t="shared" si="19"/>
        <v>595</v>
      </c>
      <c r="CK8" s="687">
        <f t="shared" ref="CK8:CL8" si="22">CK409</f>
        <v>610</v>
      </c>
      <c r="CL8" s="687">
        <f t="shared" si="22"/>
        <v>616</v>
      </c>
      <c r="CM8" s="687">
        <f t="shared" ref="CM8:CP8" si="23">CM409</f>
        <v>624</v>
      </c>
      <c r="CN8" s="687">
        <f t="shared" si="23"/>
        <v>2445</v>
      </c>
      <c r="CO8" s="687">
        <f t="shared" si="23"/>
        <v>609</v>
      </c>
      <c r="CP8" s="687">
        <f t="shared" si="23"/>
        <v>612</v>
      </c>
      <c r="CQ8" s="687">
        <f t="shared" si="19"/>
        <v>2470.115496680211</v>
      </c>
      <c r="CR8" s="687">
        <f t="shared" si="19"/>
        <v>2479.0650826091564</v>
      </c>
      <c r="CS8" s="687">
        <f t="shared" ref="CS8:CW8" si="24">CS409</f>
        <v>2493.714583060676</v>
      </c>
      <c r="CT8" s="687">
        <f t="shared" si="24"/>
        <v>2506.7119314309753</v>
      </c>
      <c r="CU8" s="687">
        <f t="shared" si="24"/>
        <v>2518.2138013946014</v>
      </c>
      <c r="CV8" s="687">
        <f t="shared" si="24"/>
        <v>2528.3611633017244</v>
      </c>
      <c r="CW8" s="687">
        <f t="shared" si="24"/>
        <v>2537.2808467750901</v>
      </c>
      <c r="CX8" s="159"/>
      <c r="CY8" s="165"/>
      <c r="CZ8" s="159"/>
      <c r="DA8" s="159"/>
      <c r="DB8" s="159"/>
      <c r="DD8" s="159"/>
      <c r="DO8" s="159"/>
      <c r="DP8" s="159"/>
      <c r="DQ8" s="159"/>
    </row>
    <row r="9" spans="1:121">
      <c r="A9" s="137" t="s">
        <v>643</v>
      </c>
      <c r="B9" s="687">
        <f>B411</f>
        <v>0</v>
      </c>
      <c r="C9" s="687">
        <f t="shared" ref="C9:BN9" si="25">C411</f>
        <v>0</v>
      </c>
      <c r="D9" s="687">
        <f t="shared" si="25"/>
        <v>0</v>
      </c>
      <c r="E9" s="687">
        <f t="shared" si="25"/>
        <v>0</v>
      </c>
      <c r="F9" s="687">
        <f t="shared" si="25"/>
        <v>0</v>
      </c>
      <c r="G9" s="687">
        <f t="shared" si="25"/>
        <v>0</v>
      </c>
      <c r="H9" s="687">
        <f t="shared" si="25"/>
        <v>0</v>
      </c>
      <c r="I9" s="687">
        <f t="shared" si="25"/>
        <v>0</v>
      </c>
      <c r="J9" s="687">
        <f t="shared" si="25"/>
        <v>0</v>
      </c>
      <c r="K9" s="687">
        <f t="shared" si="25"/>
        <v>0</v>
      </c>
      <c r="L9" s="687">
        <f t="shared" si="25"/>
        <v>0</v>
      </c>
      <c r="M9" s="687">
        <f t="shared" si="25"/>
        <v>0</v>
      </c>
      <c r="N9" s="687">
        <f t="shared" si="25"/>
        <v>0</v>
      </c>
      <c r="O9" s="687">
        <f t="shared" si="25"/>
        <v>0</v>
      </c>
      <c r="P9" s="687">
        <f t="shared" si="25"/>
        <v>0</v>
      </c>
      <c r="Q9" s="687">
        <f t="shared" si="25"/>
        <v>0</v>
      </c>
      <c r="R9" s="687">
        <f t="shared" si="25"/>
        <v>0</v>
      </c>
      <c r="S9" s="687">
        <f t="shared" si="25"/>
        <v>0</v>
      </c>
      <c r="T9" s="687">
        <f t="shared" si="25"/>
        <v>0</v>
      </c>
      <c r="U9" s="687">
        <f t="shared" si="25"/>
        <v>0</v>
      </c>
      <c r="V9" s="687">
        <f t="shared" si="25"/>
        <v>0</v>
      </c>
      <c r="W9" s="687">
        <f t="shared" si="25"/>
        <v>0</v>
      </c>
      <c r="X9" s="687">
        <f t="shared" si="25"/>
        <v>0</v>
      </c>
      <c r="Y9" s="687">
        <f t="shared" si="25"/>
        <v>0</v>
      </c>
      <c r="Z9" s="687">
        <f t="shared" si="25"/>
        <v>0</v>
      </c>
      <c r="AA9" s="687">
        <f t="shared" si="25"/>
        <v>0</v>
      </c>
      <c r="AB9" s="687">
        <f t="shared" si="25"/>
        <v>0</v>
      </c>
      <c r="AC9" s="687">
        <f t="shared" si="25"/>
        <v>0</v>
      </c>
      <c r="AD9" s="687">
        <f t="shared" si="25"/>
        <v>0</v>
      </c>
      <c r="AE9" s="687">
        <f t="shared" si="25"/>
        <v>0</v>
      </c>
      <c r="AF9" s="687">
        <f t="shared" si="25"/>
        <v>0</v>
      </c>
      <c r="AG9" s="687">
        <f t="shared" si="25"/>
        <v>0</v>
      </c>
      <c r="AH9" s="687">
        <f t="shared" si="25"/>
        <v>0</v>
      </c>
      <c r="AI9" s="687">
        <f t="shared" si="25"/>
        <v>0</v>
      </c>
      <c r="AJ9" s="687">
        <f t="shared" si="25"/>
        <v>0</v>
      </c>
      <c r="AK9" s="687">
        <f t="shared" si="25"/>
        <v>0</v>
      </c>
      <c r="AL9" s="687">
        <f t="shared" si="25"/>
        <v>0</v>
      </c>
      <c r="AM9" s="687">
        <f t="shared" si="25"/>
        <v>0</v>
      </c>
      <c r="AN9" s="687">
        <f t="shared" si="25"/>
        <v>0</v>
      </c>
      <c r="AO9" s="687">
        <f t="shared" si="25"/>
        <v>0</v>
      </c>
      <c r="AP9" s="687">
        <f t="shared" si="25"/>
        <v>0</v>
      </c>
      <c r="AQ9" s="687">
        <f t="shared" si="25"/>
        <v>0</v>
      </c>
      <c r="AR9" s="687">
        <f t="shared" si="25"/>
        <v>0</v>
      </c>
      <c r="AS9" s="687">
        <f t="shared" si="25"/>
        <v>0</v>
      </c>
      <c r="AT9" s="687">
        <f t="shared" si="25"/>
        <v>0</v>
      </c>
      <c r="AU9" s="687">
        <f t="shared" si="25"/>
        <v>0</v>
      </c>
      <c r="AV9" s="687">
        <f t="shared" si="25"/>
        <v>0</v>
      </c>
      <c r="AW9" s="687">
        <f t="shared" si="25"/>
        <v>0</v>
      </c>
      <c r="AX9" s="687">
        <f t="shared" si="25"/>
        <v>0</v>
      </c>
      <c r="AY9" s="687">
        <f t="shared" si="25"/>
        <v>0</v>
      </c>
      <c r="AZ9" s="687">
        <f t="shared" si="25"/>
        <v>0</v>
      </c>
      <c r="BA9" s="687">
        <f t="shared" si="25"/>
        <v>0</v>
      </c>
      <c r="BB9" s="687">
        <f t="shared" si="25"/>
        <v>0</v>
      </c>
      <c r="BC9" s="687">
        <f t="shared" si="25"/>
        <v>0</v>
      </c>
      <c r="BD9" s="687">
        <f t="shared" si="25"/>
        <v>0</v>
      </c>
      <c r="BE9" s="687">
        <f t="shared" si="25"/>
        <v>0</v>
      </c>
      <c r="BF9" s="687">
        <f t="shared" si="25"/>
        <v>0</v>
      </c>
      <c r="BG9" s="687">
        <f t="shared" si="25"/>
        <v>0</v>
      </c>
      <c r="BH9" s="687">
        <f t="shared" si="25"/>
        <v>0</v>
      </c>
      <c r="BI9" s="687">
        <f t="shared" si="25"/>
        <v>0</v>
      </c>
      <c r="BJ9" s="687">
        <f t="shared" si="25"/>
        <v>0</v>
      </c>
      <c r="BK9" s="687">
        <f t="shared" si="25"/>
        <v>0</v>
      </c>
      <c r="BL9" s="687">
        <f t="shared" si="25"/>
        <v>0</v>
      </c>
      <c r="BM9" s="687">
        <f t="shared" si="25"/>
        <v>0</v>
      </c>
      <c r="BN9" s="687">
        <f t="shared" si="25"/>
        <v>0</v>
      </c>
      <c r="BO9" s="687">
        <f t="shared" ref="BO9:CR9" si="26">BO411</f>
        <v>0</v>
      </c>
      <c r="BP9" s="687">
        <f t="shared" si="26"/>
        <v>165</v>
      </c>
      <c r="BQ9" s="687">
        <f t="shared" si="26"/>
        <v>175</v>
      </c>
      <c r="BR9" s="687">
        <f t="shared" si="26"/>
        <v>185</v>
      </c>
      <c r="BS9" s="687">
        <f t="shared" si="26"/>
        <v>196</v>
      </c>
      <c r="BT9" s="687">
        <f t="shared" si="26"/>
        <v>721</v>
      </c>
      <c r="BU9" s="687">
        <f t="shared" si="26"/>
        <v>200</v>
      </c>
      <c r="BV9" s="687">
        <f t="shared" si="26"/>
        <v>209</v>
      </c>
      <c r="BW9" s="687">
        <f t="shared" si="26"/>
        <v>215</v>
      </c>
      <c r="BX9" s="687">
        <f t="shared" si="26"/>
        <v>219</v>
      </c>
      <c r="BY9" s="687">
        <f t="shared" si="26"/>
        <v>843</v>
      </c>
      <c r="BZ9" s="687">
        <f t="shared" si="26"/>
        <v>222</v>
      </c>
      <c r="CA9" s="687">
        <f t="shared" si="26"/>
        <v>229</v>
      </c>
      <c r="CB9" s="687">
        <f t="shared" si="26"/>
        <v>231</v>
      </c>
      <c r="CC9" s="687">
        <f t="shared" si="26"/>
        <v>243</v>
      </c>
      <c r="CD9" s="687">
        <f t="shared" si="26"/>
        <v>925</v>
      </c>
      <c r="CE9" s="687">
        <f t="shared" ref="CE9:CF9" si="27">CE411</f>
        <v>244</v>
      </c>
      <c r="CF9" s="687">
        <f t="shared" si="27"/>
        <v>251</v>
      </c>
      <c r="CG9" s="687">
        <f t="shared" ref="CG9:CH9" si="28">CG411</f>
        <v>251</v>
      </c>
      <c r="CH9" s="687">
        <f t="shared" si="28"/>
        <v>247</v>
      </c>
      <c r="CI9" s="687">
        <f t="shared" si="26"/>
        <v>993</v>
      </c>
      <c r="CJ9" s="687">
        <f t="shared" si="26"/>
        <v>254</v>
      </c>
      <c r="CK9" s="687">
        <f t="shared" ref="CK9:CL9" si="29">CK411</f>
        <v>254</v>
      </c>
      <c r="CL9" s="687">
        <f t="shared" si="29"/>
        <v>255</v>
      </c>
      <c r="CM9" s="687">
        <f t="shared" ref="CM9:CP9" si="30">CM411</f>
        <v>254</v>
      </c>
      <c r="CN9" s="687">
        <f t="shared" si="30"/>
        <v>1017</v>
      </c>
      <c r="CO9" s="687">
        <f t="shared" si="30"/>
        <v>251</v>
      </c>
      <c r="CP9" s="687">
        <f t="shared" si="30"/>
        <v>252</v>
      </c>
      <c r="CQ9" s="687">
        <f t="shared" si="26"/>
        <v>1013.9377158864435</v>
      </c>
      <c r="CR9" s="687">
        <f t="shared" si="26"/>
        <v>1064.5927201777827</v>
      </c>
      <c r="CS9" s="687">
        <f t="shared" ref="CS9:CW9" si="31">CS411</f>
        <v>1089.4540719772128</v>
      </c>
      <c r="CT9" s="687">
        <f t="shared" si="31"/>
        <v>1126.7460996763584</v>
      </c>
      <c r="CU9" s="687">
        <f t="shared" si="31"/>
        <v>1151.6074514757888</v>
      </c>
      <c r="CV9" s="687">
        <f t="shared" si="31"/>
        <v>1176.4688032752192</v>
      </c>
      <c r="CW9" s="687">
        <f t="shared" si="31"/>
        <v>1201.3301550746496</v>
      </c>
      <c r="CX9" s="159"/>
      <c r="CY9" s="165"/>
      <c r="CZ9" s="159"/>
      <c r="DA9" s="159"/>
      <c r="DB9" s="159"/>
      <c r="DC9" s="137"/>
      <c r="DD9" s="159"/>
      <c r="DO9" s="159"/>
      <c r="DP9" s="159"/>
      <c r="DQ9" s="159"/>
    </row>
    <row r="10" spans="1:121">
      <c r="A10" s="203" t="s">
        <v>724</v>
      </c>
      <c r="B10" s="686">
        <f>B426</f>
        <v>0</v>
      </c>
      <c r="C10" s="686">
        <f t="shared" ref="C10:BN10" si="32">C426</f>
        <v>0</v>
      </c>
      <c r="D10" s="686">
        <f t="shared" si="32"/>
        <v>0</v>
      </c>
      <c r="E10" s="686">
        <f t="shared" si="32"/>
        <v>0</v>
      </c>
      <c r="F10" s="686">
        <f t="shared" si="32"/>
        <v>0</v>
      </c>
      <c r="G10" s="686">
        <f t="shared" si="32"/>
        <v>0</v>
      </c>
      <c r="H10" s="686">
        <f t="shared" si="32"/>
        <v>0</v>
      </c>
      <c r="I10" s="686">
        <f t="shared" si="32"/>
        <v>0</v>
      </c>
      <c r="J10" s="686">
        <f t="shared" si="32"/>
        <v>0</v>
      </c>
      <c r="K10" s="686">
        <f t="shared" si="32"/>
        <v>0</v>
      </c>
      <c r="L10" s="686">
        <f t="shared" si="32"/>
        <v>0</v>
      </c>
      <c r="M10" s="686">
        <f t="shared" si="32"/>
        <v>0</v>
      </c>
      <c r="N10" s="686">
        <f t="shared" si="32"/>
        <v>0</v>
      </c>
      <c r="O10" s="686">
        <f t="shared" si="32"/>
        <v>0</v>
      </c>
      <c r="P10" s="686">
        <f t="shared" si="32"/>
        <v>0</v>
      </c>
      <c r="Q10" s="686">
        <f t="shared" si="32"/>
        <v>0</v>
      </c>
      <c r="R10" s="686">
        <f t="shared" si="32"/>
        <v>0</v>
      </c>
      <c r="S10" s="686">
        <f t="shared" si="32"/>
        <v>0</v>
      </c>
      <c r="T10" s="686">
        <f t="shared" si="32"/>
        <v>0</v>
      </c>
      <c r="U10" s="686">
        <f t="shared" si="32"/>
        <v>0</v>
      </c>
      <c r="V10" s="686">
        <f t="shared" si="32"/>
        <v>0</v>
      </c>
      <c r="W10" s="686">
        <f t="shared" si="32"/>
        <v>0</v>
      </c>
      <c r="X10" s="686">
        <f t="shared" si="32"/>
        <v>0</v>
      </c>
      <c r="Y10" s="686">
        <f t="shared" si="32"/>
        <v>0</v>
      </c>
      <c r="Z10" s="686">
        <f t="shared" si="32"/>
        <v>0</v>
      </c>
      <c r="AA10" s="686">
        <f t="shared" si="32"/>
        <v>0</v>
      </c>
      <c r="AB10" s="686">
        <f t="shared" si="32"/>
        <v>0</v>
      </c>
      <c r="AC10" s="686">
        <f t="shared" si="32"/>
        <v>0</v>
      </c>
      <c r="AD10" s="686">
        <f t="shared" si="32"/>
        <v>0</v>
      </c>
      <c r="AE10" s="686">
        <f t="shared" si="32"/>
        <v>0</v>
      </c>
      <c r="AF10" s="686">
        <f t="shared" si="32"/>
        <v>0</v>
      </c>
      <c r="AG10" s="686">
        <f t="shared" si="32"/>
        <v>0</v>
      </c>
      <c r="AH10" s="686">
        <f t="shared" si="32"/>
        <v>0</v>
      </c>
      <c r="AI10" s="686">
        <f t="shared" si="32"/>
        <v>0</v>
      </c>
      <c r="AJ10" s="686">
        <f t="shared" si="32"/>
        <v>0</v>
      </c>
      <c r="AK10" s="686">
        <f t="shared" si="32"/>
        <v>0</v>
      </c>
      <c r="AL10" s="686">
        <f t="shared" si="32"/>
        <v>0</v>
      </c>
      <c r="AM10" s="686">
        <f t="shared" si="32"/>
        <v>0</v>
      </c>
      <c r="AN10" s="686">
        <f t="shared" si="32"/>
        <v>0</v>
      </c>
      <c r="AO10" s="686">
        <f t="shared" si="32"/>
        <v>0</v>
      </c>
      <c r="AP10" s="686">
        <f t="shared" si="32"/>
        <v>0</v>
      </c>
      <c r="AQ10" s="686">
        <f t="shared" si="32"/>
        <v>0</v>
      </c>
      <c r="AR10" s="686">
        <f t="shared" si="32"/>
        <v>0</v>
      </c>
      <c r="AS10" s="686">
        <f t="shared" si="32"/>
        <v>0</v>
      </c>
      <c r="AT10" s="686">
        <f t="shared" si="32"/>
        <v>0</v>
      </c>
      <c r="AU10" s="686">
        <f t="shared" si="32"/>
        <v>0</v>
      </c>
      <c r="AV10" s="686">
        <f t="shared" si="32"/>
        <v>0</v>
      </c>
      <c r="AW10" s="686">
        <f t="shared" si="32"/>
        <v>0</v>
      </c>
      <c r="AX10" s="686">
        <f t="shared" si="32"/>
        <v>0</v>
      </c>
      <c r="AY10" s="686">
        <f t="shared" si="32"/>
        <v>0</v>
      </c>
      <c r="AZ10" s="686">
        <f t="shared" si="32"/>
        <v>0</v>
      </c>
      <c r="BA10" s="686">
        <f t="shared" si="32"/>
        <v>0</v>
      </c>
      <c r="BB10" s="686">
        <f t="shared" si="32"/>
        <v>0</v>
      </c>
      <c r="BC10" s="686">
        <f t="shared" si="32"/>
        <v>0</v>
      </c>
      <c r="BD10" s="686">
        <f t="shared" si="32"/>
        <v>0</v>
      </c>
      <c r="BE10" s="686">
        <f t="shared" si="32"/>
        <v>0</v>
      </c>
      <c r="BF10" s="686">
        <f t="shared" si="32"/>
        <v>0</v>
      </c>
      <c r="BG10" s="686">
        <f t="shared" si="32"/>
        <v>0</v>
      </c>
      <c r="BH10" s="686">
        <f t="shared" si="32"/>
        <v>0</v>
      </c>
      <c r="BI10" s="686">
        <f t="shared" si="32"/>
        <v>0</v>
      </c>
      <c r="BJ10" s="686">
        <f t="shared" si="32"/>
        <v>0</v>
      </c>
      <c r="BK10" s="686">
        <f t="shared" si="32"/>
        <v>0</v>
      </c>
      <c r="BL10" s="686">
        <f t="shared" si="32"/>
        <v>0</v>
      </c>
      <c r="BM10" s="686">
        <f t="shared" si="32"/>
        <v>0</v>
      </c>
      <c r="BN10" s="686">
        <f t="shared" si="32"/>
        <v>0</v>
      </c>
      <c r="BO10" s="686">
        <f t="shared" ref="BO10:CR10" si="33">BO426</f>
        <v>0</v>
      </c>
      <c r="BP10" s="686">
        <f t="shared" si="33"/>
        <v>368</v>
      </c>
      <c r="BQ10" s="686">
        <f t="shared" si="33"/>
        <v>371</v>
      </c>
      <c r="BR10" s="686">
        <f t="shared" si="33"/>
        <v>380</v>
      </c>
      <c r="BS10" s="686">
        <f t="shared" si="33"/>
        <v>399</v>
      </c>
      <c r="BT10" s="686">
        <f t="shared" si="33"/>
        <v>1518</v>
      </c>
      <c r="BU10" s="686">
        <f t="shared" si="33"/>
        <v>388</v>
      </c>
      <c r="BV10" s="686">
        <f t="shared" si="33"/>
        <v>386</v>
      </c>
      <c r="BW10" s="686">
        <f t="shared" si="33"/>
        <v>387</v>
      </c>
      <c r="BX10" s="686">
        <f t="shared" si="33"/>
        <v>364</v>
      </c>
      <c r="BY10" s="686">
        <f t="shared" si="33"/>
        <v>1525</v>
      </c>
      <c r="BZ10" s="686">
        <f t="shared" si="33"/>
        <v>365</v>
      </c>
      <c r="CA10" s="686">
        <f t="shared" si="33"/>
        <v>362</v>
      </c>
      <c r="CB10" s="686">
        <f t="shared" si="33"/>
        <v>380</v>
      </c>
      <c r="CC10" s="686">
        <f t="shared" si="33"/>
        <v>401</v>
      </c>
      <c r="CD10" s="686">
        <f t="shared" si="33"/>
        <v>1508</v>
      </c>
      <c r="CE10" s="686">
        <f t="shared" ref="CE10:CF10" si="34">CE426</f>
        <v>387</v>
      </c>
      <c r="CF10" s="686">
        <f t="shared" si="34"/>
        <v>401</v>
      </c>
      <c r="CG10" s="686">
        <f t="shared" ref="CG10:CH10" si="35">CG426</f>
        <v>396</v>
      </c>
      <c r="CH10" s="686">
        <f t="shared" si="35"/>
        <v>426</v>
      </c>
      <c r="CI10" s="686">
        <f t="shared" si="33"/>
        <v>1610</v>
      </c>
      <c r="CJ10" s="686">
        <f t="shared" si="33"/>
        <v>398</v>
      </c>
      <c r="CK10" s="686">
        <f t="shared" ref="CK10:CL10" si="36">CK426</f>
        <v>407</v>
      </c>
      <c r="CL10" s="686">
        <f t="shared" si="36"/>
        <v>418</v>
      </c>
      <c r="CM10" s="686">
        <f t="shared" ref="CM10:CP10" si="37">CM426</f>
        <v>442</v>
      </c>
      <c r="CN10" s="686">
        <f t="shared" si="37"/>
        <v>1665</v>
      </c>
      <c r="CO10" s="686">
        <f t="shared" si="37"/>
        <v>419</v>
      </c>
      <c r="CP10" s="686">
        <f t="shared" si="37"/>
        <v>416</v>
      </c>
      <c r="CQ10" s="686">
        <f t="shared" si="33"/>
        <v>1669.1624999999999</v>
      </c>
      <c r="CR10" s="686">
        <f t="shared" si="33"/>
        <v>1752.620625</v>
      </c>
      <c r="CS10" s="686">
        <f t="shared" ref="CS10:CW10" si="38">CS426</f>
        <v>1840.25165625</v>
      </c>
      <c r="CT10" s="686">
        <f t="shared" si="38"/>
        <v>1932.2642390625001</v>
      </c>
      <c r="CU10" s="686">
        <f t="shared" si="38"/>
        <v>2028.8774510156252</v>
      </c>
      <c r="CV10" s="686">
        <f t="shared" si="38"/>
        <v>2130.3213235664066</v>
      </c>
      <c r="CW10" s="686">
        <f t="shared" si="38"/>
        <v>2236.8373897447268</v>
      </c>
      <c r="CX10" s="159"/>
      <c r="CY10" s="165"/>
      <c r="CZ10" s="159"/>
      <c r="DA10" s="159"/>
      <c r="DB10" s="159"/>
      <c r="DC10" s="137"/>
      <c r="DD10" s="159"/>
      <c r="DO10" s="159"/>
      <c r="DP10" s="159"/>
      <c r="DQ10" s="159"/>
    </row>
    <row r="11" spans="1:121">
      <c r="A11" s="137" t="s">
        <v>646</v>
      </c>
      <c r="B11" s="687">
        <f>B424</f>
        <v>0</v>
      </c>
      <c r="C11" s="687">
        <f t="shared" ref="C11:BN11" si="39">C424</f>
        <v>0</v>
      </c>
      <c r="D11" s="687">
        <f t="shared" si="39"/>
        <v>0</v>
      </c>
      <c r="E11" s="687">
        <f t="shared" si="39"/>
        <v>0</v>
      </c>
      <c r="F11" s="687">
        <f t="shared" si="39"/>
        <v>0</v>
      </c>
      <c r="G11" s="687">
        <f t="shared" si="39"/>
        <v>0</v>
      </c>
      <c r="H11" s="687">
        <f t="shared" si="39"/>
        <v>0</v>
      </c>
      <c r="I11" s="687">
        <f t="shared" si="39"/>
        <v>0</v>
      </c>
      <c r="J11" s="687">
        <f t="shared" si="39"/>
        <v>0</v>
      </c>
      <c r="K11" s="687">
        <f t="shared" si="39"/>
        <v>0</v>
      </c>
      <c r="L11" s="687">
        <f t="shared" si="39"/>
        <v>0</v>
      </c>
      <c r="M11" s="687">
        <f t="shared" si="39"/>
        <v>0</v>
      </c>
      <c r="N11" s="687">
        <f t="shared" si="39"/>
        <v>0</v>
      </c>
      <c r="O11" s="687">
        <f t="shared" si="39"/>
        <v>0</v>
      </c>
      <c r="P11" s="687">
        <f t="shared" si="39"/>
        <v>0</v>
      </c>
      <c r="Q11" s="687">
        <f t="shared" si="39"/>
        <v>0</v>
      </c>
      <c r="R11" s="687">
        <f t="shared" si="39"/>
        <v>0</v>
      </c>
      <c r="S11" s="687">
        <f t="shared" si="39"/>
        <v>0</v>
      </c>
      <c r="T11" s="687">
        <f t="shared" si="39"/>
        <v>0</v>
      </c>
      <c r="U11" s="687">
        <f t="shared" si="39"/>
        <v>0</v>
      </c>
      <c r="V11" s="687">
        <f t="shared" si="39"/>
        <v>0</v>
      </c>
      <c r="W11" s="687">
        <f t="shared" si="39"/>
        <v>0</v>
      </c>
      <c r="X11" s="687">
        <f t="shared" si="39"/>
        <v>0</v>
      </c>
      <c r="Y11" s="687">
        <f t="shared" si="39"/>
        <v>0</v>
      </c>
      <c r="Z11" s="687">
        <f t="shared" si="39"/>
        <v>0</v>
      </c>
      <c r="AA11" s="687">
        <f t="shared" si="39"/>
        <v>0</v>
      </c>
      <c r="AB11" s="687">
        <f t="shared" si="39"/>
        <v>0</v>
      </c>
      <c r="AC11" s="687">
        <f t="shared" si="39"/>
        <v>0</v>
      </c>
      <c r="AD11" s="687">
        <f t="shared" si="39"/>
        <v>0</v>
      </c>
      <c r="AE11" s="687">
        <f t="shared" si="39"/>
        <v>0</v>
      </c>
      <c r="AF11" s="687">
        <f t="shared" si="39"/>
        <v>0</v>
      </c>
      <c r="AG11" s="687">
        <f t="shared" si="39"/>
        <v>0</v>
      </c>
      <c r="AH11" s="687">
        <f t="shared" si="39"/>
        <v>0</v>
      </c>
      <c r="AI11" s="687">
        <f t="shared" si="39"/>
        <v>0</v>
      </c>
      <c r="AJ11" s="687">
        <f t="shared" si="39"/>
        <v>0</v>
      </c>
      <c r="AK11" s="687">
        <f t="shared" si="39"/>
        <v>0</v>
      </c>
      <c r="AL11" s="687">
        <f t="shared" si="39"/>
        <v>0</v>
      </c>
      <c r="AM11" s="687">
        <f t="shared" si="39"/>
        <v>0</v>
      </c>
      <c r="AN11" s="687">
        <f t="shared" si="39"/>
        <v>0</v>
      </c>
      <c r="AO11" s="687">
        <f t="shared" si="39"/>
        <v>0</v>
      </c>
      <c r="AP11" s="687">
        <f t="shared" si="39"/>
        <v>0</v>
      </c>
      <c r="AQ11" s="687">
        <f t="shared" si="39"/>
        <v>0</v>
      </c>
      <c r="AR11" s="687">
        <f t="shared" si="39"/>
        <v>0</v>
      </c>
      <c r="AS11" s="687">
        <f t="shared" si="39"/>
        <v>0</v>
      </c>
      <c r="AT11" s="687">
        <f t="shared" si="39"/>
        <v>0</v>
      </c>
      <c r="AU11" s="687">
        <f t="shared" si="39"/>
        <v>0</v>
      </c>
      <c r="AV11" s="687">
        <f t="shared" si="39"/>
        <v>0</v>
      </c>
      <c r="AW11" s="687">
        <f t="shared" si="39"/>
        <v>0</v>
      </c>
      <c r="AX11" s="687">
        <f t="shared" si="39"/>
        <v>0</v>
      </c>
      <c r="AY11" s="687">
        <f t="shared" si="39"/>
        <v>0</v>
      </c>
      <c r="AZ11" s="687">
        <f t="shared" si="39"/>
        <v>0</v>
      </c>
      <c r="BA11" s="687">
        <f t="shared" si="39"/>
        <v>0</v>
      </c>
      <c r="BB11" s="687">
        <f t="shared" si="39"/>
        <v>0</v>
      </c>
      <c r="BC11" s="687">
        <f t="shared" si="39"/>
        <v>0</v>
      </c>
      <c r="BD11" s="687">
        <f t="shared" si="39"/>
        <v>0</v>
      </c>
      <c r="BE11" s="687">
        <f t="shared" si="39"/>
        <v>0</v>
      </c>
      <c r="BF11" s="687">
        <f t="shared" si="39"/>
        <v>0</v>
      </c>
      <c r="BG11" s="687">
        <f t="shared" si="39"/>
        <v>0</v>
      </c>
      <c r="BH11" s="687">
        <f t="shared" si="39"/>
        <v>0</v>
      </c>
      <c r="BI11" s="687">
        <f t="shared" si="39"/>
        <v>0</v>
      </c>
      <c r="BJ11" s="687">
        <f t="shared" si="39"/>
        <v>0</v>
      </c>
      <c r="BK11" s="687">
        <f t="shared" si="39"/>
        <v>0</v>
      </c>
      <c r="BL11" s="687">
        <f t="shared" si="39"/>
        <v>0</v>
      </c>
      <c r="BM11" s="687">
        <f t="shared" si="39"/>
        <v>0</v>
      </c>
      <c r="BN11" s="687">
        <f t="shared" si="39"/>
        <v>0</v>
      </c>
      <c r="BO11" s="687">
        <f t="shared" ref="BO11:CR11" si="40">BO424</f>
        <v>0</v>
      </c>
      <c r="BP11" s="687">
        <f t="shared" si="40"/>
        <v>180</v>
      </c>
      <c r="BQ11" s="687">
        <f t="shared" si="40"/>
        <v>185</v>
      </c>
      <c r="BR11" s="687">
        <f t="shared" si="40"/>
        <v>186</v>
      </c>
      <c r="BS11" s="687">
        <f t="shared" si="40"/>
        <v>189</v>
      </c>
      <c r="BT11" s="687">
        <f t="shared" si="40"/>
        <v>740</v>
      </c>
      <c r="BU11" s="687">
        <f t="shared" si="40"/>
        <v>185</v>
      </c>
      <c r="BV11" s="687">
        <f t="shared" si="40"/>
        <v>185</v>
      </c>
      <c r="BW11" s="687">
        <f t="shared" si="40"/>
        <v>199</v>
      </c>
      <c r="BX11" s="687">
        <f t="shared" si="40"/>
        <v>207</v>
      </c>
      <c r="BY11" s="687">
        <f t="shared" si="40"/>
        <v>776</v>
      </c>
      <c r="BZ11" s="687">
        <f t="shared" si="40"/>
        <v>200</v>
      </c>
      <c r="CA11" s="687">
        <f t="shared" si="40"/>
        <v>201</v>
      </c>
      <c r="CB11" s="687">
        <f t="shared" si="40"/>
        <v>200</v>
      </c>
      <c r="CC11" s="687">
        <f t="shared" si="40"/>
        <v>205</v>
      </c>
      <c r="CD11" s="687">
        <f t="shared" si="40"/>
        <v>806</v>
      </c>
      <c r="CE11" s="687">
        <f t="shared" ref="CE11:CF11" si="41">CE424</f>
        <v>200</v>
      </c>
      <c r="CF11" s="687">
        <f t="shared" si="41"/>
        <v>202</v>
      </c>
      <c r="CG11" s="687">
        <f t="shared" ref="CG11:CH11" si="42">CG424</f>
        <v>209</v>
      </c>
      <c r="CH11" s="687">
        <f t="shared" si="42"/>
        <v>215</v>
      </c>
      <c r="CI11" s="687">
        <f t="shared" si="40"/>
        <v>826</v>
      </c>
      <c r="CJ11" s="687">
        <f t="shared" si="40"/>
        <v>213</v>
      </c>
      <c r="CK11" s="687">
        <f t="shared" ref="CK11:CL11" si="43">CK424</f>
        <v>207</v>
      </c>
      <c r="CL11" s="687">
        <f t="shared" si="43"/>
        <v>207</v>
      </c>
      <c r="CM11" s="687">
        <f t="shared" ref="CM11:CP11" si="44">CM424</f>
        <v>214</v>
      </c>
      <c r="CN11" s="687">
        <f t="shared" si="44"/>
        <v>841</v>
      </c>
      <c r="CO11" s="687">
        <f t="shared" si="44"/>
        <v>211</v>
      </c>
      <c r="CP11" s="687">
        <f t="shared" si="44"/>
        <v>209</v>
      </c>
      <c r="CQ11" s="687">
        <f t="shared" si="40"/>
        <v>0</v>
      </c>
      <c r="CR11" s="687">
        <f t="shared" si="40"/>
        <v>0</v>
      </c>
      <c r="CS11" s="687">
        <f t="shared" ref="CS11:CW11" si="45">CS424</f>
        <v>0</v>
      </c>
      <c r="CT11" s="687">
        <f t="shared" si="45"/>
        <v>0</v>
      </c>
      <c r="CU11" s="687">
        <f t="shared" si="45"/>
        <v>0</v>
      </c>
      <c r="CV11" s="687">
        <f t="shared" si="45"/>
        <v>0</v>
      </c>
      <c r="CW11" s="687">
        <f t="shared" si="45"/>
        <v>0</v>
      </c>
      <c r="CX11" s="159"/>
      <c r="CY11" s="165"/>
      <c r="CZ11" s="159"/>
      <c r="DA11" s="159"/>
      <c r="DB11" s="159"/>
      <c r="DC11" s="137"/>
      <c r="DD11" s="159"/>
      <c r="DO11" s="159"/>
      <c r="DP11" s="159"/>
      <c r="DQ11" s="159"/>
    </row>
    <row r="12" spans="1:121">
      <c r="A12" s="137" t="s">
        <v>635</v>
      </c>
      <c r="B12" s="687">
        <f>B425</f>
        <v>0</v>
      </c>
      <c r="C12" s="687">
        <f t="shared" ref="C12:BN12" si="46">C425</f>
        <v>0</v>
      </c>
      <c r="D12" s="687">
        <f t="shared" si="46"/>
        <v>0</v>
      </c>
      <c r="E12" s="687">
        <f t="shared" si="46"/>
        <v>0</v>
      </c>
      <c r="F12" s="687">
        <f t="shared" si="46"/>
        <v>0</v>
      </c>
      <c r="G12" s="687">
        <f t="shared" si="46"/>
        <v>0</v>
      </c>
      <c r="H12" s="687">
        <f t="shared" si="46"/>
        <v>0</v>
      </c>
      <c r="I12" s="687">
        <f t="shared" si="46"/>
        <v>0</v>
      </c>
      <c r="J12" s="687">
        <f t="shared" si="46"/>
        <v>0</v>
      </c>
      <c r="K12" s="687">
        <f t="shared" si="46"/>
        <v>0</v>
      </c>
      <c r="L12" s="687">
        <f t="shared" si="46"/>
        <v>0</v>
      </c>
      <c r="M12" s="687">
        <f t="shared" si="46"/>
        <v>0</v>
      </c>
      <c r="N12" s="687">
        <f t="shared" si="46"/>
        <v>0</v>
      </c>
      <c r="O12" s="687">
        <f t="shared" si="46"/>
        <v>0</v>
      </c>
      <c r="P12" s="687">
        <f t="shared" si="46"/>
        <v>0</v>
      </c>
      <c r="Q12" s="687">
        <f t="shared" si="46"/>
        <v>0</v>
      </c>
      <c r="R12" s="687">
        <f t="shared" si="46"/>
        <v>0</v>
      </c>
      <c r="S12" s="687">
        <f t="shared" si="46"/>
        <v>0</v>
      </c>
      <c r="T12" s="687">
        <f t="shared" si="46"/>
        <v>0</v>
      </c>
      <c r="U12" s="687">
        <f t="shared" si="46"/>
        <v>0</v>
      </c>
      <c r="V12" s="687">
        <f t="shared" si="46"/>
        <v>0</v>
      </c>
      <c r="W12" s="687">
        <f t="shared" si="46"/>
        <v>0</v>
      </c>
      <c r="X12" s="687">
        <f t="shared" si="46"/>
        <v>0</v>
      </c>
      <c r="Y12" s="687">
        <f t="shared" si="46"/>
        <v>0</v>
      </c>
      <c r="Z12" s="687">
        <f t="shared" si="46"/>
        <v>0</v>
      </c>
      <c r="AA12" s="687">
        <f t="shared" si="46"/>
        <v>0</v>
      </c>
      <c r="AB12" s="687">
        <f t="shared" si="46"/>
        <v>0</v>
      </c>
      <c r="AC12" s="687">
        <f t="shared" si="46"/>
        <v>0</v>
      </c>
      <c r="AD12" s="687">
        <f t="shared" si="46"/>
        <v>0</v>
      </c>
      <c r="AE12" s="687">
        <f t="shared" si="46"/>
        <v>0</v>
      </c>
      <c r="AF12" s="687">
        <f t="shared" si="46"/>
        <v>0</v>
      </c>
      <c r="AG12" s="687">
        <f t="shared" si="46"/>
        <v>0</v>
      </c>
      <c r="AH12" s="687">
        <f t="shared" si="46"/>
        <v>0</v>
      </c>
      <c r="AI12" s="687">
        <f t="shared" si="46"/>
        <v>0</v>
      </c>
      <c r="AJ12" s="687">
        <f t="shared" si="46"/>
        <v>0</v>
      </c>
      <c r="AK12" s="687">
        <f t="shared" si="46"/>
        <v>0</v>
      </c>
      <c r="AL12" s="687">
        <f t="shared" si="46"/>
        <v>0</v>
      </c>
      <c r="AM12" s="687">
        <f t="shared" si="46"/>
        <v>0</v>
      </c>
      <c r="AN12" s="687">
        <f t="shared" si="46"/>
        <v>0</v>
      </c>
      <c r="AO12" s="687">
        <f t="shared" si="46"/>
        <v>0</v>
      </c>
      <c r="AP12" s="687">
        <f t="shared" si="46"/>
        <v>0</v>
      </c>
      <c r="AQ12" s="687">
        <f t="shared" si="46"/>
        <v>0</v>
      </c>
      <c r="AR12" s="687">
        <f t="shared" si="46"/>
        <v>0</v>
      </c>
      <c r="AS12" s="687">
        <f t="shared" si="46"/>
        <v>0</v>
      </c>
      <c r="AT12" s="687">
        <f t="shared" si="46"/>
        <v>0</v>
      </c>
      <c r="AU12" s="687">
        <f t="shared" si="46"/>
        <v>0</v>
      </c>
      <c r="AV12" s="687">
        <f t="shared" si="46"/>
        <v>0</v>
      </c>
      <c r="AW12" s="687">
        <f t="shared" si="46"/>
        <v>0</v>
      </c>
      <c r="AX12" s="687">
        <f t="shared" si="46"/>
        <v>0</v>
      </c>
      <c r="AY12" s="687">
        <f t="shared" si="46"/>
        <v>0</v>
      </c>
      <c r="AZ12" s="687">
        <f t="shared" si="46"/>
        <v>0</v>
      </c>
      <c r="BA12" s="687">
        <f t="shared" si="46"/>
        <v>0</v>
      </c>
      <c r="BB12" s="687">
        <f t="shared" si="46"/>
        <v>0</v>
      </c>
      <c r="BC12" s="687">
        <f t="shared" si="46"/>
        <v>0</v>
      </c>
      <c r="BD12" s="687">
        <f t="shared" si="46"/>
        <v>0</v>
      </c>
      <c r="BE12" s="687">
        <f t="shared" si="46"/>
        <v>0</v>
      </c>
      <c r="BF12" s="687">
        <f t="shared" si="46"/>
        <v>0</v>
      </c>
      <c r="BG12" s="687">
        <f t="shared" si="46"/>
        <v>0</v>
      </c>
      <c r="BH12" s="687">
        <f t="shared" si="46"/>
        <v>0</v>
      </c>
      <c r="BI12" s="687">
        <f t="shared" si="46"/>
        <v>0</v>
      </c>
      <c r="BJ12" s="687">
        <f t="shared" si="46"/>
        <v>0</v>
      </c>
      <c r="BK12" s="687">
        <f t="shared" si="46"/>
        <v>0</v>
      </c>
      <c r="BL12" s="687">
        <f t="shared" si="46"/>
        <v>0</v>
      </c>
      <c r="BM12" s="687">
        <f t="shared" si="46"/>
        <v>0</v>
      </c>
      <c r="BN12" s="687">
        <f t="shared" si="46"/>
        <v>0</v>
      </c>
      <c r="BO12" s="687">
        <f t="shared" ref="BO12:CR12" si="47">BO425</f>
        <v>0</v>
      </c>
      <c r="BP12" s="687">
        <f t="shared" si="47"/>
        <v>188</v>
      </c>
      <c r="BQ12" s="687">
        <f t="shared" si="47"/>
        <v>186</v>
      </c>
      <c r="BR12" s="687">
        <f t="shared" si="47"/>
        <v>194</v>
      </c>
      <c r="BS12" s="687">
        <f t="shared" si="47"/>
        <v>210</v>
      </c>
      <c r="BT12" s="687">
        <f t="shared" si="47"/>
        <v>778</v>
      </c>
      <c r="BU12" s="687">
        <f t="shared" si="47"/>
        <v>203</v>
      </c>
      <c r="BV12" s="687">
        <f t="shared" si="47"/>
        <v>201</v>
      </c>
      <c r="BW12" s="687">
        <f t="shared" si="47"/>
        <v>188</v>
      </c>
      <c r="BX12" s="687">
        <f t="shared" si="47"/>
        <v>157</v>
      </c>
      <c r="BY12" s="687">
        <f t="shared" si="47"/>
        <v>749</v>
      </c>
      <c r="BZ12" s="687">
        <f t="shared" si="47"/>
        <v>165</v>
      </c>
      <c r="CA12" s="687">
        <f t="shared" si="47"/>
        <v>161</v>
      </c>
      <c r="CB12" s="687">
        <f t="shared" si="47"/>
        <v>180</v>
      </c>
      <c r="CC12" s="687">
        <f t="shared" si="47"/>
        <v>196</v>
      </c>
      <c r="CD12" s="687">
        <f t="shared" si="47"/>
        <v>702</v>
      </c>
      <c r="CE12" s="687">
        <f t="shared" ref="CE12:CF12" si="48">CE425</f>
        <v>187</v>
      </c>
      <c r="CF12" s="687">
        <f t="shared" si="48"/>
        <v>199</v>
      </c>
      <c r="CG12" s="687">
        <f t="shared" ref="CG12:CH12" si="49">CG425</f>
        <v>187</v>
      </c>
      <c r="CH12" s="687">
        <f t="shared" si="49"/>
        <v>211</v>
      </c>
      <c r="CI12" s="687">
        <f t="shared" si="47"/>
        <v>784</v>
      </c>
      <c r="CJ12" s="687">
        <f t="shared" si="47"/>
        <v>185</v>
      </c>
      <c r="CK12" s="687">
        <f t="shared" ref="CK12:CL12" si="50">CK425</f>
        <v>200</v>
      </c>
      <c r="CL12" s="687">
        <f t="shared" si="50"/>
        <v>211</v>
      </c>
      <c r="CM12" s="687">
        <f t="shared" ref="CM12:CP12" si="51">CM425</f>
        <v>228</v>
      </c>
      <c r="CN12" s="687">
        <f t="shared" si="51"/>
        <v>824</v>
      </c>
      <c r="CO12" s="687">
        <f t="shared" si="51"/>
        <v>208</v>
      </c>
      <c r="CP12" s="687">
        <f t="shared" si="51"/>
        <v>207</v>
      </c>
      <c r="CQ12" s="687">
        <f t="shared" si="47"/>
        <v>0</v>
      </c>
      <c r="CR12" s="687">
        <f t="shared" si="47"/>
        <v>0</v>
      </c>
      <c r="CS12" s="687">
        <f t="shared" ref="CS12:CW12" si="52">CS425</f>
        <v>0</v>
      </c>
      <c r="CT12" s="687">
        <f t="shared" si="52"/>
        <v>0</v>
      </c>
      <c r="CU12" s="687">
        <f t="shared" si="52"/>
        <v>0</v>
      </c>
      <c r="CV12" s="687">
        <f t="shared" si="52"/>
        <v>0</v>
      </c>
      <c r="CW12" s="687">
        <f t="shared" si="52"/>
        <v>0</v>
      </c>
      <c r="CX12" s="159"/>
      <c r="CY12" s="165"/>
      <c r="CZ12" s="159"/>
      <c r="DA12" s="159"/>
      <c r="DB12" s="159"/>
      <c r="DC12" s="137"/>
      <c r="DD12" s="159"/>
      <c r="DO12" s="159"/>
      <c r="DP12" s="159"/>
      <c r="DQ12" s="159"/>
    </row>
    <row r="13" spans="1:121" s="221" customFormat="1">
      <c r="A13" s="416" t="s">
        <v>255</v>
      </c>
      <c r="B13" s="688">
        <f t="shared" ref="B13:AG13" si="53">B429</f>
        <v>0</v>
      </c>
      <c r="C13" s="688">
        <f t="shared" si="53"/>
        <v>0</v>
      </c>
      <c r="D13" s="688">
        <f t="shared" si="53"/>
        <v>0</v>
      </c>
      <c r="E13" s="688">
        <f t="shared" si="53"/>
        <v>0</v>
      </c>
      <c r="F13" s="688">
        <f t="shared" si="53"/>
        <v>0</v>
      </c>
      <c r="G13" s="688">
        <f t="shared" si="53"/>
        <v>0</v>
      </c>
      <c r="H13" s="688">
        <f t="shared" si="53"/>
        <v>0</v>
      </c>
      <c r="I13" s="688">
        <f t="shared" si="53"/>
        <v>0</v>
      </c>
      <c r="J13" s="688">
        <f t="shared" si="53"/>
        <v>0</v>
      </c>
      <c r="K13" s="688">
        <f t="shared" si="53"/>
        <v>0</v>
      </c>
      <c r="L13" s="688">
        <f t="shared" si="53"/>
        <v>0</v>
      </c>
      <c r="M13" s="688">
        <f t="shared" si="53"/>
        <v>0</v>
      </c>
      <c r="N13" s="688">
        <f t="shared" si="53"/>
        <v>0</v>
      </c>
      <c r="O13" s="688">
        <f t="shared" si="53"/>
        <v>0</v>
      </c>
      <c r="P13" s="688">
        <f t="shared" si="53"/>
        <v>0</v>
      </c>
      <c r="Q13" s="688">
        <f t="shared" si="53"/>
        <v>0</v>
      </c>
      <c r="R13" s="688">
        <f t="shared" si="53"/>
        <v>0</v>
      </c>
      <c r="S13" s="688">
        <f t="shared" si="53"/>
        <v>0</v>
      </c>
      <c r="T13" s="688">
        <f t="shared" si="53"/>
        <v>0</v>
      </c>
      <c r="U13" s="688">
        <f t="shared" si="53"/>
        <v>0</v>
      </c>
      <c r="V13" s="688">
        <f t="shared" si="53"/>
        <v>0</v>
      </c>
      <c r="W13" s="688">
        <f t="shared" si="53"/>
        <v>2089</v>
      </c>
      <c r="X13" s="688">
        <f t="shared" si="53"/>
        <v>2144</v>
      </c>
      <c r="Y13" s="688">
        <f t="shared" si="53"/>
        <v>2128</v>
      </c>
      <c r="Z13" s="688">
        <f t="shared" si="53"/>
        <v>2177</v>
      </c>
      <c r="AA13" s="688">
        <f t="shared" si="53"/>
        <v>8538</v>
      </c>
      <c r="AB13" s="688">
        <f t="shared" si="53"/>
        <v>2143</v>
      </c>
      <c r="AC13" s="688">
        <f t="shared" si="53"/>
        <v>0</v>
      </c>
      <c r="AD13" s="688">
        <f t="shared" si="53"/>
        <v>0</v>
      </c>
      <c r="AE13" s="688">
        <f t="shared" si="53"/>
        <v>0</v>
      </c>
      <c r="AF13" s="688">
        <f t="shared" si="53"/>
        <v>2143</v>
      </c>
      <c r="AG13" s="688">
        <f t="shared" si="53"/>
        <v>2037</v>
      </c>
      <c r="AH13" s="688">
        <f t="shared" ref="AH13:BM13" si="54">AH429</f>
        <v>2046</v>
      </c>
      <c r="AI13" s="688">
        <f t="shared" si="54"/>
        <v>2041</v>
      </c>
      <c r="AJ13" s="688">
        <f t="shared" si="54"/>
        <v>2090</v>
      </c>
      <c r="AK13" s="688">
        <f t="shared" si="54"/>
        <v>8214</v>
      </c>
      <c r="AL13" s="688">
        <f t="shared" si="54"/>
        <v>2122</v>
      </c>
      <c r="AM13" s="688">
        <f t="shared" si="54"/>
        <v>2089</v>
      </c>
      <c r="AN13" s="688">
        <f t="shared" si="54"/>
        <v>2154</v>
      </c>
      <c r="AO13" s="688">
        <f t="shared" si="54"/>
        <v>2155</v>
      </c>
      <c r="AP13" s="688">
        <f t="shared" si="54"/>
        <v>8520</v>
      </c>
      <c r="AQ13" s="688">
        <f t="shared" si="54"/>
        <v>2122</v>
      </c>
      <c r="AR13" s="688">
        <f t="shared" si="54"/>
        <v>2055</v>
      </c>
      <c r="AS13" s="688">
        <f t="shared" si="54"/>
        <v>2113</v>
      </c>
      <c r="AT13" s="688">
        <f t="shared" si="54"/>
        <v>2165</v>
      </c>
      <c r="AU13" s="688">
        <f t="shared" si="54"/>
        <v>8455</v>
      </c>
      <c r="AV13" s="688">
        <f t="shared" si="54"/>
        <v>2076</v>
      </c>
      <c r="AW13" s="688">
        <f t="shared" si="54"/>
        <v>2069</v>
      </c>
      <c r="AX13" s="689">
        <f t="shared" si="54"/>
        <v>2090</v>
      </c>
      <c r="AY13" s="689">
        <f t="shared" si="54"/>
        <v>2036</v>
      </c>
      <c r="AZ13" s="688">
        <f t="shared" si="54"/>
        <v>8271</v>
      </c>
      <c r="BA13" s="688">
        <f t="shared" si="54"/>
        <v>1980</v>
      </c>
      <c r="BB13" s="688">
        <f t="shared" si="54"/>
        <v>2013</v>
      </c>
      <c r="BC13" s="688">
        <f t="shared" si="54"/>
        <v>2027</v>
      </c>
      <c r="BD13" s="688">
        <f t="shared" si="54"/>
        <v>2048</v>
      </c>
      <c r="BE13" s="688">
        <f t="shared" si="54"/>
        <v>8068</v>
      </c>
      <c r="BF13" s="688">
        <f t="shared" si="54"/>
        <v>1947</v>
      </c>
      <c r="BG13" s="688">
        <f t="shared" si="54"/>
        <v>1918</v>
      </c>
      <c r="BH13" s="688">
        <f t="shared" si="54"/>
        <v>1940</v>
      </c>
      <c r="BI13" s="688">
        <f t="shared" si="54"/>
        <v>1992</v>
      </c>
      <c r="BJ13" s="688">
        <f t="shared" si="54"/>
        <v>7797</v>
      </c>
      <c r="BK13" s="688">
        <f t="shared" si="54"/>
        <v>1940</v>
      </c>
      <c r="BL13" s="688">
        <f t="shared" si="54"/>
        <v>1900</v>
      </c>
      <c r="BM13" s="688">
        <f t="shared" si="54"/>
        <v>1940</v>
      </c>
      <c r="BN13" s="688">
        <f t="shared" ref="BN13:CW13" si="55">BN429</f>
        <v>1945</v>
      </c>
      <c r="BO13" s="688">
        <f t="shared" si="55"/>
        <v>7725</v>
      </c>
      <c r="BP13" s="688">
        <f t="shared" si="55"/>
        <v>1971</v>
      </c>
      <c r="BQ13" s="688">
        <f t="shared" si="55"/>
        <v>1997</v>
      </c>
      <c r="BR13" s="688">
        <f t="shared" si="55"/>
        <v>2033</v>
      </c>
      <c r="BS13" s="688">
        <f t="shared" si="55"/>
        <v>2016</v>
      </c>
      <c r="BT13" s="688">
        <f t="shared" si="55"/>
        <v>8017</v>
      </c>
      <c r="BU13" s="688">
        <f t="shared" si="55"/>
        <v>2030</v>
      </c>
      <c r="BV13" s="688">
        <f t="shared" si="55"/>
        <v>2084</v>
      </c>
      <c r="BW13" s="688">
        <f t="shared" si="55"/>
        <v>2108</v>
      </c>
      <c r="BX13" s="688">
        <f t="shared" si="55"/>
        <v>2114</v>
      </c>
      <c r="BY13" s="688">
        <f t="shared" si="55"/>
        <v>8336</v>
      </c>
      <c r="BZ13" s="688">
        <f t="shared" si="55"/>
        <v>2112</v>
      </c>
      <c r="CA13" s="688">
        <f t="shared" ref="CA13:CB13" si="56">CA429</f>
        <v>2113</v>
      </c>
      <c r="CB13" s="688">
        <f t="shared" si="56"/>
        <v>2145</v>
      </c>
      <c r="CC13" s="688">
        <f t="shared" ref="CC13:CE13" si="57">CC429</f>
        <v>2202</v>
      </c>
      <c r="CD13" s="688">
        <f t="shared" si="55"/>
        <v>8572</v>
      </c>
      <c r="CE13" s="688">
        <f t="shared" si="57"/>
        <v>2191</v>
      </c>
      <c r="CF13" s="688">
        <f t="shared" ref="CF13:CG13" si="58">CF429</f>
        <v>2216</v>
      </c>
      <c r="CG13" s="688">
        <f t="shared" si="58"/>
        <v>2213</v>
      </c>
      <c r="CH13" s="688">
        <f t="shared" ref="CH13" si="59">CH429</f>
        <v>2248</v>
      </c>
      <c r="CI13" s="688">
        <f t="shared" si="55"/>
        <v>8868</v>
      </c>
      <c r="CJ13" s="688">
        <f t="shared" si="55"/>
        <v>2171</v>
      </c>
      <c r="CK13" s="688">
        <f t="shared" ref="CK13:CL13" si="60">CK429</f>
        <v>2204</v>
      </c>
      <c r="CL13" s="688">
        <f t="shared" si="60"/>
        <v>2241</v>
      </c>
      <c r="CM13" s="688">
        <f t="shared" ref="CM13:CP13" si="61">CM429</f>
        <v>2296</v>
      </c>
      <c r="CN13" s="688">
        <f t="shared" si="61"/>
        <v>8912</v>
      </c>
      <c r="CO13" s="688">
        <f t="shared" si="61"/>
        <v>2242</v>
      </c>
      <c r="CP13" s="688">
        <f t="shared" si="61"/>
        <v>2252</v>
      </c>
      <c r="CQ13" s="688">
        <f t="shared" si="55"/>
        <v>9054.4189426887078</v>
      </c>
      <c r="CR13" s="688">
        <f t="shared" si="55"/>
        <v>9259.6118190191482</v>
      </c>
      <c r="CS13" s="688">
        <f t="shared" si="55"/>
        <v>9479.0803192921794</v>
      </c>
      <c r="CT13" s="688">
        <f t="shared" si="55"/>
        <v>9712.9177575663107</v>
      </c>
      <c r="CU13" s="688">
        <f t="shared" si="55"/>
        <v>9936.801800966512</v>
      </c>
      <c r="CV13" s="688">
        <f t="shared" si="55"/>
        <v>10163.685039079892</v>
      </c>
      <c r="CW13" s="688">
        <f t="shared" si="55"/>
        <v>10394.075425361285</v>
      </c>
      <c r="CX13" s="165"/>
      <c r="CY13" s="165"/>
      <c r="CZ13" s="165"/>
      <c r="DA13" s="165"/>
      <c r="DB13" s="165"/>
      <c r="DC13" s="165"/>
      <c r="DD13" s="165"/>
      <c r="DO13" s="165"/>
      <c r="DP13" s="165"/>
      <c r="DQ13" s="165"/>
    </row>
    <row r="14" spans="1:121">
      <c r="A14" s="159" t="s">
        <v>0</v>
      </c>
      <c r="B14" s="203"/>
      <c r="C14" s="203"/>
      <c r="D14" s="203"/>
      <c r="E14" s="203"/>
      <c r="F14" s="203"/>
      <c r="G14" s="170" t="e">
        <f>G13/B13-1</f>
        <v>#DIV/0!</v>
      </c>
      <c r="H14" s="170"/>
      <c r="I14" s="170"/>
      <c r="J14" s="170"/>
      <c r="K14" s="170" t="e">
        <f t="shared" ref="K14" si="62">K13/F13-1</f>
        <v>#DIV/0!</v>
      </c>
      <c r="L14" s="170" t="e">
        <f t="shared" ref="L14" si="63">L13/G13-1</f>
        <v>#DIV/0!</v>
      </c>
      <c r="M14" s="170" t="e">
        <f t="shared" ref="M14" si="64">M13/H13-1</f>
        <v>#DIV/0!</v>
      </c>
      <c r="N14" s="170" t="e">
        <f t="shared" ref="N14" si="65">N13/I13-1</f>
        <v>#DIV/0!</v>
      </c>
      <c r="O14" s="170" t="e">
        <f t="shared" ref="O14" si="66">O13/J13-1</f>
        <v>#DIV/0!</v>
      </c>
      <c r="P14" s="170" t="e">
        <f t="shared" ref="P14" si="67">P13/K13-1</f>
        <v>#DIV/0!</v>
      </c>
      <c r="Q14" s="170" t="e">
        <f t="shared" ref="Q14" si="68">Q13/L13-1</f>
        <v>#DIV/0!</v>
      </c>
      <c r="R14" s="170" t="e">
        <f t="shared" ref="R14" si="69">R13/M13-1</f>
        <v>#DIV/0!</v>
      </c>
      <c r="S14" s="170" t="e">
        <f t="shared" ref="S14" si="70">S13/N13-1</f>
        <v>#DIV/0!</v>
      </c>
      <c r="T14" s="170" t="e">
        <f t="shared" ref="T14" si="71">T13/O13-1</f>
        <v>#DIV/0!</v>
      </c>
      <c r="U14" s="170" t="e">
        <f t="shared" ref="U14" si="72">U13/P13-1</f>
        <v>#DIV/0!</v>
      </c>
      <c r="V14" s="170" t="e">
        <f t="shared" ref="V14" si="73">V13/Q13-1</f>
        <v>#DIV/0!</v>
      </c>
      <c r="W14" s="170" t="e">
        <f t="shared" ref="W14" si="74">W13/R13-1</f>
        <v>#DIV/0!</v>
      </c>
      <c r="X14" s="170" t="e">
        <f t="shared" ref="X14" si="75">X13/S13-1</f>
        <v>#DIV/0!</v>
      </c>
      <c r="Y14" s="170" t="e">
        <f t="shared" ref="Y14" si="76">Y13/T13-1</f>
        <v>#DIV/0!</v>
      </c>
      <c r="Z14" s="170" t="e">
        <f t="shared" ref="Z14" si="77">Z13/U13-1</f>
        <v>#DIV/0!</v>
      </c>
      <c r="AA14" s="170" t="e">
        <f t="shared" ref="AA14" si="78">AA13/V13-1</f>
        <v>#DIV/0!</v>
      </c>
      <c r="AB14" s="170">
        <f t="shared" ref="AB14" si="79">AB13/W13-1</f>
        <v>2.5849688846337981E-2</v>
      </c>
      <c r="AC14" s="170">
        <f t="shared" ref="AC14" si="80">AC13/X13-1</f>
        <v>-1</v>
      </c>
      <c r="AD14" s="170">
        <f t="shared" ref="AD14" si="81">AD13/Y13-1</f>
        <v>-1</v>
      </c>
      <c r="AE14" s="170">
        <f t="shared" ref="AE14" si="82">AE13/Z13-1</f>
        <v>-1</v>
      </c>
      <c r="AF14" s="170">
        <f t="shared" ref="AF14" si="83">AF13/AA13-1</f>
        <v>-0.74900445069102828</v>
      </c>
      <c r="AG14" s="170">
        <f t="shared" ref="AG14" si="84">AG13/AB13-1</f>
        <v>-4.9463369108726063E-2</v>
      </c>
      <c r="AH14" s="170" t="e">
        <f t="shared" ref="AH14" si="85">AH13/AC13-1</f>
        <v>#DIV/0!</v>
      </c>
      <c r="AI14" s="170" t="e">
        <f t="shared" ref="AI14" si="86">AI13/AD13-1</f>
        <v>#DIV/0!</v>
      </c>
      <c r="AJ14" s="170" t="e">
        <f t="shared" ref="AJ14" si="87">AJ13/AE13-1</f>
        <v>#DIV/0!</v>
      </c>
      <c r="AK14" s="170">
        <f t="shared" ref="AK14" si="88">AK13/AF13-1</f>
        <v>2.8329444703686422</v>
      </c>
      <c r="AL14" s="170">
        <f t="shared" ref="AL14" si="89">AL13/AG13-1</f>
        <v>4.1728031418753142E-2</v>
      </c>
      <c r="AM14" s="170">
        <f t="shared" ref="AM14" si="90">AM13/AH13-1</f>
        <v>2.1016617790811321E-2</v>
      </c>
      <c r="AN14" s="170">
        <f t="shared" ref="AN14" si="91">AN13/AI13-1</f>
        <v>5.5365017148456541E-2</v>
      </c>
      <c r="AO14" s="170">
        <f t="shared" ref="AO14" si="92">AO13/AJ13-1</f>
        <v>3.1100478468899517E-2</v>
      </c>
      <c r="AP14" s="170">
        <f t="shared" ref="AP14" si="93">AP13/AK13-1</f>
        <v>3.7253469685902152E-2</v>
      </c>
      <c r="AQ14" s="170">
        <f t="shared" ref="AQ14" si="94">AQ13/AL13-1</f>
        <v>0</v>
      </c>
      <c r="AR14" s="170">
        <f t="shared" ref="AR14" si="95">AR13/AM13-1</f>
        <v>-1.627573001436089E-2</v>
      </c>
      <c r="AS14" s="170">
        <f t="shared" ref="AS14" si="96">AS13/AN13-1</f>
        <v>-1.9034354688950761E-2</v>
      </c>
      <c r="AT14" s="170">
        <f t="shared" ref="AT14" si="97">AT13/AO13-1</f>
        <v>4.6403712296982924E-3</v>
      </c>
      <c r="AU14" s="170">
        <f t="shared" ref="AU14" si="98">AU13/AP13-1</f>
        <v>-7.6291079812206286E-3</v>
      </c>
      <c r="AV14" s="170">
        <f t="shared" ref="AV14" si="99">AV13/AQ13-1</f>
        <v>-2.1677662582469392E-2</v>
      </c>
      <c r="AW14" s="170">
        <f t="shared" ref="AW14" si="100">AW13/AR13-1</f>
        <v>6.8126520681264235E-3</v>
      </c>
      <c r="AX14" s="170">
        <f t="shared" ref="AX14" si="101">AX13/AS13-1</f>
        <v>-1.0884997633696214E-2</v>
      </c>
      <c r="AY14" s="170">
        <f t="shared" ref="AY14" si="102">AY13/AT13-1</f>
        <v>-5.9584295612009286E-2</v>
      </c>
      <c r="AZ14" s="170">
        <f t="shared" ref="AZ14" si="103">AZ13/AU13-1</f>
        <v>-2.1762270845653409E-2</v>
      </c>
      <c r="BA14" s="170">
        <f t="shared" ref="BA14" si="104">BA13/AV13-1</f>
        <v>-4.6242774566473965E-2</v>
      </c>
      <c r="BB14" s="170">
        <f t="shared" ref="BB14" si="105">BB13/AW13-1</f>
        <v>-2.7066215563073981E-2</v>
      </c>
      <c r="BC14" s="170">
        <f t="shared" ref="BC14" si="106">BC13/AX13-1</f>
        <v>-3.0143540669856472E-2</v>
      </c>
      <c r="BD14" s="170">
        <f t="shared" ref="BD14" si="107">BD13/AY13-1</f>
        <v>5.893909626718985E-3</v>
      </c>
      <c r="BE14" s="170">
        <f t="shared" ref="BE14" si="108">BE13/AZ13-1</f>
        <v>-2.454358602345541E-2</v>
      </c>
      <c r="BF14" s="170">
        <f t="shared" ref="BF14" si="109">BF13/BA13-1</f>
        <v>-1.6666666666666718E-2</v>
      </c>
      <c r="BG14" s="170">
        <f t="shared" ref="BG14" si="110">BG13/BB13-1</f>
        <v>-4.7193243914555372E-2</v>
      </c>
      <c r="BH14" s="170">
        <f t="shared" ref="BH14" si="111">BH13/BC13-1</f>
        <v>-4.292057227429702E-2</v>
      </c>
      <c r="BI14" s="170">
        <f t="shared" ref="BI14" si="112">BI13/BD13-1</f>
        <v>-2.734375E-2</v>
      </c>
      <c r="BJ14" s="170">
        <f>BJ13/BE13-1</f>
        <v>-3.3589489340604906E-2</v>
      </c>
      <c r="BK14" s="170">
        <f t="shared" ref="BK14" si="113">BK13/BF13-1</f>
        <v>-3.5952747817155073E-3</v>
      </c>
      <c r="BL14" s="170">
        <f t="shared" ref="BL14" si="114">BL13/BG13-1</f>
        <v>-9.3847758081334609E-3</v>
      </c>
      <c r="BM14" s="170">
        <f t="shared" ref="BM14" si="115">BM13/BH13-1</f>
        <v>0</v>
      </c>
      <c r="BN14" s="170">
        <f t="shared" ref="BN14" si="116">BN13/BI13-1</f>
        <v>-2.3594377510040121E-2</v>
      </c>
      <c r="BO14" s="170">
        <f>BO13/BJ13-1</f>
        <v>-9.2343208926509712E-3</v>
      </c>
      <c r="BP14" s="170">
        <f t="shared" ref="BP14" si="117">BP13/BK13-1</f>
        <v>1.5979381443298912E-2</v>
      </c>
      <c r="BQ14" s="170">
        <f t="shared" ref="BQ14" si="118">BQ13/BL13-1</f>
        <v>5.1052631578947461E-2</v>
      </c>
      <c r="BR14" s="170">
        <f t="shared" ref="BR14" si="119">BR13/BM13-1</f>
        <v>4.7938144329896959E-2</v>
      </c>
      <c r="BS14" s="170">
        <f t="shared" ref="BS14" si="120">BS13/BN13-1</f>
        <v>3.6503856041131044E-2</v>
      </c>
      <c r="BT14" s="170">
        <f>BT13/BO13-1</f>
        <v>3.7799352750809145E-2</v>
      </c>
      <c r="BU14" s="170">
        <f t="shared" ref="BU14" si="121">BU13/BP13-1</f>
        <v>2.9934043632673824E-2</v>
      </c>
      <c r="BV14" s="170">
        <f t="shared" ref="BV14" si="122">BV13/BQ13-1</f>
        <v>4.3565348022033046E-2</v>
      </c>
      <c r="BW14" s="170">
        <f t="shared" ref="BW14" si="123">BW13/BR13-1</f>
        <v>3.6891293654697455E-2</v>
      </c>
      <c r="BX14" s="170">
        <f t="shared" ref="BX14" si="124">BX13/BS13-1</f>
        <v>4.861111111111116E-2</v>
      </c>
      <c r="BY14" s="170">
        <f>BY13/BT13-1</f>
        <v>3.979044530372966E-2</v>
      </c>
      <c r="BZ14" s="170">
        <f t="shared" ref="BZ14:CP14" si="125">BZ13/BU13-1</f>
        <v>4.0394088669950756E-2</v>
      </c>
      <c r="CA14" s="170">
        <f t="shared" si="125"/>
        <v>1.3915547024952124E-2</v>
      </c>
      <c r="CB14" s="170">
        <f t="shared" si="125"/>
        <v>1.7552182163187879E-2</v>
      </c>
      <c r="CC14" s="170">
        <f t="shared" si="125"/>
        <v>4.1627246925260097E-2</v>
      </c>
      <c r="CD14" s="170">
        <f>CD13/BY13-1</f>
        <v>2.831094049904026E-2</v>
      </c>
      <c r="CE14" s="170">
        <f t="shared" si="125"/>
        <v>3.7405303030302983E-2</v>
      </c>
      <c r="CF14" s="170">
        <f t="shared" si="125"/>
        <v>4.8745858968291422E-2</v>
      </c>
      <c r="CG14" s="170">
        <f t="shared" si="125"/>
        <v>3.170163170163165E-2</v>
      </c>
      <c r="CH14" s="170">
        <f t="shared" si="125"/>
        <v>2.0890099909173454E-2</v>
      </c>
      <c r="CI14" s="170">
        <f t="shared" ref="CI14" si="126">CI13/CD13-1</f>
        <v>3.4531031264582346E-2</v>
      </c>
      <c r="CJ14" s="170">
        <f t="shared" si="125"/>
        <v>-9.1282519397535289E-3</v>
      </c>
      <c r="CK14" s="170">
        <f t="shared" si="125"/>
        <v>-5.4151624548736121E-3</v>
      </c>
      <c r="CL14" s="170">
        <f t="shared" si="125"/>
        <v>1.2652507907817467E-2</v>
      </c>
      <c r="CM14" s="170">
        <f t="shared" si="125"/>
        <v>2.1352313167259718E-2</v>
      </c>
      <c r="CN14" s="170">
        <f t="shared" si="125"/>
        <v>4.9616599007669127E-3</v>
      </c>
      <c r="CO14" s="170">
        <f t="shared" si="125"/>
        <v>3.270382312298481E-2</v>
      </c>
      <c r="CP14" s="170">
        <f t="shared" si="125"/>
        <v>2.1778584392014411E-2</v>
      </c>
      <c r="CQ14" s="170">
        <f>CQ13/CN13-1</f>
        <v>1.5980581540474326E-2</v>
      </c>
      <c r="CR14" s="170">
        <f t="shared" ref="CR14" si="127">CR13/CQ13-1</f>
        <v>2.2662180492115436E-2</v>
      </c>
      <c r="CS14" s="170">
        <f t="shared" ref="CS14" si="128">CS13/CR13-1</f>
        <v>2.3701695552965418E-2</v>
      </c>
      <c r="CT14" s="170">
        <f t="shared" ref="CT14" si="129">CT13/CS13-1</f>
        <v>2.4668789629118004E-2</v>
      </c>
      <c r="CU14" s="170">
        <f t="shared" ref="CU14" si="130">CU13/CT13-1</f>
        <v>2.3050132718955396E-2</v>
      </c>
      <c r="CV14" s="170">
        <f t="shared" ref="CV14" si="131">CV13/CU13-1</f>
        <v>2.2832621869474323E-2</v>
      </c>
      <c r="CW14" s="170">
        <f t="shared" ref="CW14" si="132">CW13/CV13-1</f>
        <v>2.2667997423722719E-2</v>
      </c>
      <c r="CX14" s="159"/>
      <c r="CY14" s="165"/>
      <c r="CZ14" s="159"/>
      <c r="DA14" s="159"/>
      <c r="DB14" s="159"/>
      <c r="DC14" s="159"/>
      <c r="DD14" s="159"/>
      <c r="DO14" s="159"/>
      <c r="DP14" s="159"/>
      <c r="DQ14" s="159"/>
    </row>
    <row r="15" spans="1:121">
      <c r="A15" s="288" t="s">
        <v>129</v>
      </c>
      <c r="B15" s="417"/>
      <c r="C15" s="417"/>
      <c r="D15" s="417"/>
      <c r="E15" s="417"/>
      <c r="F15" s="417"/>
      <c r="G15" s="417"/>
      <c r="H15" s="417"/>
      <c r="I15" s="417"/>
      <c r="J15" s="417"/>
      <c r="K15" s="417"/>
      <c r="L15" s="417"/>
      <c r="M15" s="417"/>
      <c r="N15" s="417"/>
      <c r="O15" s="417"/>
      <c r="P15" s="417"/>
      <c r="Q15" s="417"/>
      <c r="R15" s="417"/>
      <c r="S15" s="417"/>
      <c r="T15" s="417"/>
      <c r="U15" s="417"/>
      <c r="V15" s="417"/>
      <c r="W15" s="417"/>
      <c r="X15" s="417"/>
      <c r="Y15" s="417"/>
      <c r="Z15" s="417"/>
      <c r="AA15" s="417"/>
      <c r="AB15" s="417"/>
      <c r="AC15" s="417"/>
      <c r="AD15" s="417"/>
      <c r="AE15" s="417"/>
      <c r="AF15" s="417"/>
      <c r="AG15" s="417"/>
      <c r="AH15" s="417"/>
      <c r="AI15" s="417"/>
      <c r="AJ15" s="417"/>
      <c r="AK15" s="417"/>
      <c r="AL15" s="417"/>
      <c r="AM15" s="417"/>
      <c r="AN15" s="417"/>
      <c r="AO15" s="417"/>
      <c r="AP15" s="417"/>
      <c r="AQ15" s="417"/>
      <c r="AR15" s="417"/>
      <c r="AS15" s="417"/>
      <c r="AT15" s="417"/>
      <c r="AU15" s="417"/>
      <c r="AV15" s="417"/>
      <c r="AW15" s="417"/>
      <c r="AX15" s="417"/>
      <c r="AY15" s="417"/>
      <c r="AZ15" s="417"/>
      <c r="BA15" s="417"/>
      <c r="BB15" s="417"/>
      <c r="BC15" s="417"/>
      <c r="BD15" s="417"/>
      <c r="BE15" s="417"/>
      <c r="BF15" s="417"/>
      <c r="BG15" s="417"/>
      <c r="BH15" s="417"/>
      <c r="BI15" s="417"/>
      <c r="BJ15" s="417"/>
      <c r="BK15" s="417"/>
      <c r="BL15" s="417"/>
      <c r="BM15" s="417"/>
      <c r="BN15" s="417"/>
      <c r="BO15" s="417"/>
      <c r="BP15" s="417">
        <f t="shared" ref="BP15:CW15" si="133">ROUND(BP13-BP10-BP6,0)</f>
        <v>0</v>
      </c>
      <c r="BQ15" s="417">
        <f t="shared" si="133"/>
        <v>0</v>
      </c>
      <c r="BR15" s="417">
        <f t="shared" si="133"/>
        <v>0</v>
      </c>
      <c r="BS15" s="417">
        <f t="shared" si="133"/>
        <v>0</v>
      </c>
      <c r="BT15" s="417">
        <f t="shared" si="133"/>
        <v>0</v>
      </c>
      <c r="BU15" s="417">
        <f t="shared" si="133"/>
        <v>0</v>
      </c>
      <c r="BV15" s="417">
        <f t="shared" si="133"/>
        <v>0</v>
      </c>
      <c r="BW15" s="417">
        <f t="shared" si="133"/>
        <v>0</v>
      </c>
      <c r="BX15" s="417">
        <f t="shared" si="133"/>
        <v>0</v>
      </c>
      <c r="BY15" s="417">
        <f t="shared" si="133"/>
        <v>0</v>
      </c>
      <c r="BZ15" s="417">
        <f t="shared" si="133"/>
        <v>0</v>
      </c>
      <c r="CA15" s="417">
        <f t="shared" si="133"/>
        <v>0</v>
      </c>
      <c r="CB15" s="417">
        <f t="shared" si="133"/>
        <v>0</v>
      </c>
      <c r="CC15" s="417">
        <f t="shared" si="133"/>
        <v>0</v>
      </c>
      <c r="CD15" s="417">
        <f t="shared" si="133"/>
        <v>0</v>
      </c>
      <c r="CE15" s="417">
        <f t="shared" ref="CE15:CF15" si="134">ROUND(CE13-CE10-CE6,0)</f>
        <v>0</v>
      </c>
      <c r="CF15" s="417">
        <f t="shared" si="134"/>
        <v>0</v>
      </c>
      <c r="CG15" s="417">
        <f t="shared" ref="CG15:CH15" si="135">ROUND(CG13-CG10-CG6,0)</f>
        <v>0</v>
      </c>
      <c r="CH15" s="417">
        <f t="shared" si="135"/>
        <v>0</v>
      </c>
      <c r="CI15" s="417">
        <f t="shared" si="133"/>
        <v>0</v>
      </c>
      <c r="CJ15" s="417">
        <f t="shared" si="133"/>
        <v>0</v>
      </c>
      <c r="CK15" s="417">
        <f t="shared" ref="CK15:CL15" si="136">ROUND(CK13-CK10-CK6,0)</f>
        <v>0</v>
      </c>
      <c r="CL15" s="417">
        <f t="shared" si="136"/>
        <v>0</v>
      </c>
      <c r="CM15" s="417">
        <f t="shared" ref="CM15:CP15" si="137">ROUND(CM13-CM10-CM6,0)</f>
        <v>0</v>
      </c>
      <c r="CN15" s="417">
        <f t="shared" si="137"/>
        <v>0</v>
      </c>
      <c r="CO15" s="417">
        <f t="shared" si="137"/>
        <v>0</v>
      </c>
      <c r="CP15" s="417">
        <f t="shared" si="137"/>
        <v>0</v>
      </c>
      <c r="CQ15" s="417">
        <f t="shared" si="133"/>
        <v>0</v>
      </c>
      <c r="CR15" s="417">
        <f t="shared" si="133"/>
        <v>0</v>
      </c>
      <c r="CS15" s="417">
        <f t="shared" si="133"/>
        <v>0</v>
      </c>
      <c r="CT15" s="417">
        <f t="shared" si="133"/>
        <v>0</v>
      </c>
      <c r="CU15" s="417">
        <f t="shared" si="133"/>
        <v>0</v>
      </c>
      <c r="CV15" s="417">
        <f t="shared" si="133"/>
        <v>0</v>
      </c>
      <c r="CW15" s="417">
        <f t="shared" si="133"/>
        <v>0</v>
      </c>
      <c r="CX15" s="159"/>
      <c r="CY15" s="165"/>
      <c r="CZ15" s="159"/>
      <c r="DA15" s="159"/>
      <c r="DB15" s="159"/>
      <c r="DC15" s="159"/>
      <c r="DD15" s="159"/>
      <c r="DO15" s="159"/>
      <c r="DP15" s="159"/>
      <c r="DQ15" s="159"/>
    </row>
    <row r="16" spans="1:121" s="887" customFormat="1">
      <c r="A16" s="171" t="s">
        <v>682</v>
      </c>
      <c r="B16" s="683"/>
      <c r="C16" s="683"/>
      <c r="D16" s="683"/>
      <c r="E16" s="683"/>
      <c r="F16" s="683"/>
      <c r="G16" s="683"/>
      <c r="H16" s="683"/>
      <c r="I16" s="683"/>
      <c r="J16" s="683"/>
      <c r="K16" s="683"/>
      <c r="L16" s="683"/>
      <c r="M16" s="683"/>
      <c r="N16" s="683"/>
      <c r="O16" s="683"/>
      <c r="P16" s="683"/>
      <c r="Q16" s="683"/>
      <c r="R16" s="683"/>
      <c r="S16" s="683"/>
      <c r="T16" s="683"/>
      <c r="U16" s="683"/>
      <c r="V16" s="683"/>
      <c r="W16" s="683"/>
      <c r="X16" s="683"/>
      <c r="Y16" s="683"/>
      <c r="Z16" s="683"/>
      <c r="AA16" s="683"/>
      <c r="AB16" s="683"/>
      <c r="AC16" s="683"/>
      <c r="AD16" s="683"/>
      <c r="AE16" s="683"/>
      <c r="AF16" s="684"/>
      <c r="AG16" s="684"/>
      <c r="AH16" s="684"/>
      <c r="AI16" s="684"/>
      <c r="AJ16" s="684"/>
      <c r="AK16" s="684"/>
      <c r="AL16" s="684"/>
      <c r="AM16" s="684"/>
      <c r="AN16" s="684"/>
      <c r="AO16" s="684"/>
      <c r="AP16" s="684"/>
      <c r="AQ16" s="684"/>
      <c r="AR16" s="684"/>
      <c r="AS16" s="684"/>
      <c r="AT16" s="684"/>
      <c r="AU16" s="354"/>
      <c r="AV16" s="354"/>
      <c r="AW16" s="354"/>
      <c r="AX16" s="354"/>
      <c r="AY16" s="354"/>
      <c r="AZ16" s="354"/>
      <c r="BA16" s="354"/>
      <c r="BB16" s="354"/>
      <c r="BC16" s="354"/>
      <c r="BD16" s="354"/>
      <c r="BE16" s="354"/>
      <c r="BF16" s="354"/>
      <c r="BG16" s="354"/>
      <c r="BH16" s="354"/>
      <c r="BI16" s="354"/>
      <c r="BJ16" s="354"/>
      <c r="BK16" s="354"/>
      <c r="BL16" s="354"/>
      <c r="BM16" s="354"/>
      <c r="BN16" s="354"/>
      <c r="BO16" s="354"/>
      <c r="BP16" s="354"/>
      <c r="BQ16" s="354"/>
      <c r="BR16" s="354"/>
      <c r="BS16" s="354"/>
      <c r="BT16" s="354"/>
      <c r="BU16" s="355"/>
      <c r="BV16" s="355"/>
      <c r="BW16" s="355"/>
      <c r="BX16" s="355"/>
      <c r="BY16" s="1011"/>
      <c r="BZ16" s="1012"/>
      <c r="CA16" s="1012"/>
      <c r="CB16" s="1012"/>
      <c r="CC16" s="1012"/>
      <c r="CD16" s="1013" t="s">
        <v>683</v>
      </c>
      <c r="CE16" s="1014"/>
      <c r="CF16" s="1014"/>
      <c r="CG16" s="1014"/>
      <c r="CH16" s="1014"/>
      <c r="CI16" s="1013" t="s">
        <v>719</v>
      </c>
      <c r="CJ16" s="1014"/>
      <c r="CK16" s="1014"/>
      <c r="CL16" s="1014"/>
      <c r="CM16" s="1014"/>
      <c r="CN16" s="1013" t="s">
        <v>719</v>
      </c>
      <c r="CO16" s="1014"/>
      <c r="CP16" s="1014"/>
      <c r="CQ16" s="1013" t="s">
        <v>795</v>
      </c>
      <c r="CR16" s="354"/>
      <c r="CS16" s="354"/>
      <c r="CT16" s="354"/>
      <c r="CU16" s="354"/>
      <c r="CV16" s="354"/>
      <c r="CW16" s="354"/>
      <c r="CX16" s="885"/>
      <c r="CY16" s="886"/>
      <c r="CZ16" s="885"/>
      <c r="DA16" s="885"/>
      <c r="DB16" s="885"/>
      <c r="DC16" s="885"/>
      <c r="DD16" s="885"/>
      <c r="DO16" s="885"/>
      <c r="DP16" s="885"/>
      <c r="DQ16" s="885"/>
    </row>
    <row r="17" spans="1:121">
      <c r="A17" s="171" t="s">
        <v>1</v>
      </c>
      <c r="B17" s="171"/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1"/>
      <c r="N17" s="171"/>
      <c r="O17" s="171"/>
      <c r="P17" s="171"/>
      <c r="Q17" s="171"/>
      <c r="R17" s="171"/>
      <c r="S17" s="171"/>
      <c r="T17" s="171"/>
      <c r="U17" s="171"/>
      <c r="V17" s="171"/>
      <c r="W17" s="171"/>
      <c r="X17" s="171"/>
      <c r="Y17" s="171"/>
      <c r="Z17" s="171"/>
      <c r="AA17" s="171"/>
      <c r="AB17" s="171"/>
      <c r="AC17" s="171"/>
      <c r="AD17" s="171"/>
      <c r="AE17" s="171"/>
      <c r="AF17" s="172"/>
      <c r="AG17" s="172"/>
      <c r="AH17" s="172"/>
      <c r="AI17" s="172"/>
      <c r="AJ17" s="172"/>
      <c r="AK17" s="172"/>
      <c r="AL17" s="172"/>
      <c r="AM17" s="172"/>
      <c r="AN17" s="172"/>
      <c r="AO17" s="172"/>
      <c r="AP17" s="172"/>
      <c r="AQ17" s="172"/>
      <c r="AR17" s="172"/>
      <c r="AS17" s="172"/>
      <c r="AT17" s="172"/>
      <c r="AU17" s="173"/>
      <c r="AV17" s="173"/>
      <c r="AW17" s="173"/>
      <c r="AX17" s="173"/>
      <c r="AY17" s="173"/>
      <c r="AZ17" s="173"/>
      <c r="BA17" s="173"/>
      <c r="BB17" s="173"/>
      <c r="BC17" s="173"/>
      <c r="BD17" s="173"/>
      <c r="BE17" s="173"/>
      <c r="BF17" s="173"/>
      <c r="BG17" s="173"/>
      <c r="BH17" s="173"/>
      <c r="BI17" s="173"/>
      <c r="BJ17" s="173"/>
      <c r="BK17" s="173"/>
      <c r="BL17" s="173"/>
      <c r="BM17" s="173"/>
      <c r="BN17" s="173"/>
      <c r="BO17" s="173"/>
      <c r="BP17" s="173"/>
      <c r="BQ17" s="173"/>
      <c r="BR17" s="173"/>
      <c r="BS17" s="173"/>
      <c r="BT17" s="173"/>
      <c r="BU17" s="174"/>
      <c r="BV17" s="174"/>
      <c r="BW17" s="174"/>
      <c r="BX17" s="174"/>
      <c r="BY17" s="173"/>
      <c r="BZ17" s="174"/>
      <c r="CA17" s="174"/>
      <c r="CB17" s="174"/>
      <c r="CC17" s="174"/>
      <c r="CD17" s="173">
        <f>CD13</f>
        <v>8572</v>
      </c>
      <c r="CE17" s="174"/>
      <c r="CF17" s="174"/>
      <c r="CG17" s="174"/>
      <c r="CH17" s="174"/>
      <c r="CI17" s="385">
        <f>CI13</f>
        <v>8868</v>
      </c>
      <c r="CJ17" s="174"/>
      <c r="CK17" s="174"/>
      <c r="CL17" s="174"/>
      <c r="CM17" s="174"/>
      <c r="CN17" s="385">
        <f>CN13</f>
        <v>8912</v>
      </c>
      <c r="CO17" s="174"/>
      <c r="CP17" s="174"/>
      <c r="CQ17" s="385" cm="1">
        <f t="array" ref="CQ17">_xll.VAData("MXSC_MY", "FY-"&amp;CQ$2, "Service revenue", "Consensus", "CD", "IMPL","","")</f>
        <v>9151.2201344850291</v>
      </c>
      <c r="CR17" s="385" cm="1">
        <f t="array" ref="CR17">_xll.VAData("MXSC_MY", "FY-"&amp;CR$2, "Service revenue", "Consensus", "CD", "IMPL","","")</f>
        <v>9376.3743680768875</v>
      </c>
      <c r="CS17" s="385" cm="1">
        <f t="array" ref="CS17">_xll.VAData("MXSC_MY", "FY-"&amp;CS$2, "Service revenue", "Consensus", "CD", "IMPL","","")</f>
        <v>9603.7866105323246</v>
      </c>
      <c r="CT17" s="385" cm="1">
        <f t="array" ref="CT17">_xll.VAData("MXSC_MY", "FY-"&amp;CT$2, "Service revenue", "Consensus", "CD", "IMPL","","")</f>
        <v>9707.7286432659475</v>
      </c>
      <c r="CU17" s="385" cm="1">
        <f t="array" ref="CU17">_xll.VAData("MXSC_MY", "FY-"&amp;CU$2, "Service revenue", "Consensus", "CD", "IMPL","","")</f>
        <v>9915.0175429440587</v>
      </c>
      <c r="CV17" s="385" cm="1">
        <f t="array" ref="CV17">_xll.VAData("MXSC_MY", "FY-"&amp;CV$2, "Service revenue", "Consensus", "CD", "IMPL","","")</f>
        <v>10131.996129631891</v>
      </c>
      <c r="CW17" s="385" cm="1">
        <f t="array" ref="CW17">_xll.VAData("MXSC_MY", "FY-"&amp;CW$2, "Service revenue", "Consensus", "CD", "IMPL","","")</f>
        <v>10210.502370938169</v>
      </c>
      <c r="CX17" s="159"/>
      <c r="CY17" s="165"/>
      <c r="CZ17" s="159"/>
      <c r="DA17" s="159"/>
      <c r="DB17" s="159"/>
      <c r="DC17" s="159"/>
      <c r="DD17" s="159"/>
      <c r="DO17" s="159"/>
      <c r="DP17" s="159"/>
      <c r="DQ17" s="159"/>
    </row>
    <row r="18" spans="1:121">
      <c r="A18" s="171" t="s">
        <v>753</v>
      </c>
      <c r="B18" s="171"/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1"/>
      <c r="N18" s="171"/>
      <c r="O18" s="171"/>
      <c r="P18" s="171"/>
      <c r="Q18" s="171"/>
      <c r="R18" s="171"/>
      <c r="S18" s="171"/>
      <c r="T18" s="171"/>
      <c r="U18" s="171"/>
      <c r="V18" s="171"/>
      <c r="W18" s="171"/>
      <c r="X18" s="171"/>
      <c r="Y18" s="171"/>
      <c r="Z18" s="171"/>
      <c r="AA18" s="171"/>
      <c r="AB18" s="171"/>
      <c r="AC18" s="171"/>
      <c r="AD18" s="171"/>
      <c r="AE18" s="171"/>
      <c r="AF18" s="172"/>
      <c r="AG18" s="172"/>
      <c r="AH18" s="172"/>
      <c r="AI18" s="172"/>
      <c r="AJ18" s="172"/>
      <c r="AK18" s="172"/>
      <c r="AL18" s="172"/>
      <c r="AM18" s="172"/>
      <c r="AN18" s="172"/>
      <c r="AO18" s="172"/>
      <c r="AP18" s="172"/>
      <c r="AQ18" s="172"/>
      <c r="AR18" s="172"/>
      <c r="AS18" s="172"/>
      <c r="AT18" s="172"/>
      <c r="AU18" s="173"/>
      <c r="AV18" s="173"/>
      <c r="AW18" s="173"/>
      <c r="AX18" s="173"/>
      <c r="AY18" s="173"/>
      <c r="AZ18" s="173"/>
      <c r="BA18" s="173"/>
      <c r="BB18" s="173"/>
      <c r="BC18" s="173"/>
      <c r="BD18" s="173"/>
      <c r="BE18" s="173"/>
      <c r="BF18" s="173"/>
      <c r="BG18" s="173"/>
      <c r="BH18" s="173"/>
      <c r="BI18" s="173"/>
      <c r="BJ18" s="173"/>
      <c r="BK18" s="173"/>
      <c r="BL18" s="173"/>
      <c r="BM18" s="173"/>
      <c r="BN18" s="173"/>
      <c r="BO18" s="173"/>
      <c r="BP18" s="173"/>
      <c r="BQ18" s="173"/>
      <c r="BR18" s="173"/>
      <c r="BS18" s="173"/>
      <c r="BT18" s="173"/>
      <c r="BU18" s="174"/>
      <c r="BV18" s="174"/>
      <c r="BW18" s="174"/>
      <c r="BX18" s="174"/>
      <c r="BY18" s="173"/>
      <c r="BZ18" s="174"/>
      <c r="CA18" s="174"/>
      <c r="CB18" s="174"/>
      <c r="CC18" s="174"/>
      <c r="CD18" s="385"/>
      <c r="CE18" s="174"/>
      <c r="CF18" s="174"/>
      <c r="CG18" s="174"/>
      <c r="CH18" s="174"/>
      <c r="CI18" s="175">
        <f>CI17/CD17-1</f>
        <v>3.4531031264582346E-2</v>
      </c>
      <c r="CJ18" s="174"/>
      <c r="CK18" s="174"/>
      <c r="CL18" s="174"/>
      <c r="CM18" s="174"/>
      <c r="CN18" s="175">
        <f>CN17/CI17-1</f>
        <v>4.9616599007669127E-3</v>
      </c>
      <c r="CO18" s="174"/>
      <c r="CP18" s="174"/>
      <c r="CQ18" s="175">
        <f>CQ17/CN17-1</f>
        <v>2.6842474695357943E-2</v>
      </c>
      <c r="CR18" s="385"/>
      <c r="CS18" s="385"/>
      <c r="CT18" s="385"/>
      <c r="CU18" s="385"/>
      <c r="CV18" s="385"/>
      <c r="CW18" s="385"/>
      <c r="CX18" s="159"/>
      <c r="CY18" s="165"/>
      <c r="CZ18" s="159"/>
      <c r="DA18" s="159"/>
      <c r="DB18" s="159"/>
      <c r="DC18" s="159"/>
      <c r="DD18" s="159"/>
      <c r="DO18" s="159"/>
      <c r="DP18" s="159"/>
      <c r="DQ18" s="159"/>
    </row>
    <row r="19" spans="1:121">
      <c r="A19" s="171" t="s">
        <v>554</v>
      </c>
      <c r="B19" s="171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71"/>
      <c r="AA19" s="171"/>
      <c r="AB19" s="171"/>
      <c r="AC19" s="171"/>
      <c r="AD19" s="171"/>
      <c r="AE19" s="171"/>
      <c r="AF19" s="172"/>
      <c r="AG19" s="172"/>
      <c r="AH19" s="172"/>
      <c r="AI19" s="172"/>
      <c r="AJ19" s="172"/>
      <c r="AK19" s="172"/>
      <c r="AL19" s="172"/>
      <c r="AM19" s="172"/>
      <c r="AN19" s="172"/>
      <c r="AO19" s="172"/>
      <c r="AP19" s="172"/>
      <c r="AQ19" s="172"/>
      <c r="AR19" s="172"/>
      <c r="AS19" s="172"/>
      <c r="AT19" s="172"/>
      <c r="AU19" s="173"/>
      <c r="AV19" s="173"/>
      <c r="AW19" s="173"/>
      <c r="AX19" s="173"/>
      <c r="AY19" s="173"/>
      <c r="AZ19" s="173"/>
      <c r="BA19" s="173"/>
      <c r="BB19" s="173"/>
      <c r="BC19" s="173"/>
      <c r="BD19" s="173"/>
      <c r="BE19" s="173"/>
      <c r="BF19" s="173"/>
      <c r="BG19" s="173"/>
      <c r="BH19" s="173"/>
      <c r="BI19" s="173"/>
      <c r="BJ19" s="173"/>
      <c r="BK19" s="173"/>
      <c r="BL19" s="173"/>
      <c r="BM19" s="173"/>
      <c r="BN19" s="173"/>
      <c r="BO19" s="173"/>
      <c r="BP19" s="173"/>
      <c r="BQ19" s="173"/>
      <c r="BR19" s="173"/>
      <c r="BS19" s="173"/>
      <c r="BT19" s="173"/>
      <c r="BU19" s="174"/>
      <c r="BV19" s="174"/>
      <c r="BW19" s="174"/>
      <c r="BX19" s="174"/>
      <c r="BY19" s="173"/>
      <c r="BZ19" s="174"/>
      <c r="CA19" s="174"/>
      <c r="CB19" s="174"/>
      <c r="CC19" s="174"/>
      <c r="CD19" s="175">
        <f>CD13/CD17-1</f>
        <v>0</v>
      </c>
      <c r="CE19" s="174"/>
      <c r="CF19" s="174"/>
      <c r="CG19" s="174"/>
      <c r="CH19" s="174"/>
      <c r="CI19" s="175">
        <f t="shared" ref="CI19:CW19" si="138">CI13/CI17-1</f>
        <v>0</v>
      </c>
      <c r="CJ19" s="174"/>
      <c r="CK19" s="174"/>
      <c r="CL19" s="174"/>
      <c r="CM19" s="174"/>
      <c r="CN19" s="175">
        <f t="shared" ref="CN19" si="139">CN13/CN17-1</f>
        <v>0</v>
      </c>
      <c r="CO19" s="174"/>
      <c r="CP19" s="174"/>
      <c r="CQ19" s="175">
        <f t="shared" si="138"/>
        <v>-1.0577954674212298E-2</v>
      </c>
      <c r="CR19" s="175">
        <f t="shared" si="138"/>
        <v>-1.2452846321417521E-2</v>
      </c>
      <c r="CS19" s="175">
        <f t="shared" si="138"/>
        <v>-1.2985116839578814E-2</v>
      </c>
      <c r="CT19" s="175">
        <f t="shared" si="138"/>
        <v>5.3453433764483194E-4</v>
      </c>
      <c r="CU19" s="175">
        <f t="shared" si="138"/>
        <v>2.1970972747249462E-3</v>
      </c>
      <c r="CV19" s="175">
        <f t="shared" si="138"/>
        <v>3.1276077332209606E-3</v>
      </c>
      <c r="CW19" s="175">
        <f t="shared" si="138"/>
        <v>1.7978846461621067E-2</v>
      </c>
      <c r="CX19" s="159"/>
      <c r="CY19" s="165"/>
      <c r="CZ19" s="159"/>
      <c r="DA19" s="159"/>
      <c r="DB19" s="159"/>
      <c r="DC19" s="159"/>
      <c r="DD19" s="159"/>
      <c r="DO19" s="159"/>
      <c r="DP19" s="159"/>
      <c r="DQ19" s="159"/>
    </row>
    <row r="20" spans="1:121">
      <c r="A20" s="159"/>
      <c r="B20" s="203"/>
      <c r="C20" s="203"/>
      <c r="D20" s="203"/>
      <c r="E20" s="203"/>
      <c r="F20" s="203"/>
      <c r="G20" s="203"/>
      <c r="H20" s="203"/>
      <c r="I20" s="203"/>
      <c r="J20" s="203"/>
      <c r="K20" s="203"/>
      <c r="L20" s="203"/>
      <c r="M20" s="203"/>
      <c r="N20" s="203"/>
      <c r="O20" s="203"/>
      <c r="P20" s="203"/>
      <c r="Q20" s="203"/>
      <c r="R20" s="203"/>
      <c r="S20" s="203"/>
      <c r="T20" s="203"/>
      <c r="U20" s="203"/>
      <c r="V20" s="203"/>
      <c r="W20" s="203"/>
      <c r="X20" s="203"/>
      <c r="Y20" s="203"/>
      <c r="Z20" s="203"/>
      <c r="AA20" s="203"/>
      <c r="AB20" s="203"/>
      <c r="AC20" s="203"/>
      <c r="AD20" s="203"/>
      <c r="AE20" s="203"/>
      <c r="AF20" s="203"/>
      <c r="AG20" s="203"/>
      <c r="AH20" s="203"/>
      <c r="AI20" s="203"/>
      <c r="AJ20" s="203"/>
      <c r="AK20" s="203"/>
      <c r="AL20" s="203"/>
      <c r="AM20" s="203"/>
      <c r="AN20" s="203"/>
      <c r="AO20" s="203"/>
      <c r="AP20" s="203"/>
      <c r="AQ20" s="203"/>
      <c r="AR20" s="203"/>
      <c r="AS20" s="203"/>
      <c r="AT20" s="203"/>
      <c r="AU20" s="203"/>
      <c r="AV20" s="203"/>
      <c r="AW20" s="203"/>
      <c r="AX20" s="203"/>
      <c r="AY20" s="203"/>
      <c r="AZ20" s="203"/>
      <c r="BA20" s="203"/>
      <c r="BB20" s="203"/>
      <c r="BC20" s="203"/>
      <c r="BD20" s="203"/>
      <c r="BE20" s="203"/>
      <c r="BF20" s="203"/>
      <c r="BG20" s="203"/>
      <c r="BH20" s="203"/>
      <c r="BI20" s="203"/>
      <c r="BJ20" s="203"/>
      <c r="BK20" s="203"/>
      <c r="BL20" s="203"/>
      <c r="BM20" s="203"/>
      <c r="BN20" s="203"/>
      <c r="BO20" s="203"/>
      <c r="BP20" s="203"/>
      <c r="BQ20" s="203"/>
      <c r="BR20" s="203"/>
      <c r="BS20" s="203"/>
      <c r="BT20" s="203"/>
      <c r="BU20" s="203"/>
      <c r="BV20" s="203"/>
      <c r="BW20" s="203"/>
      <c r="BX20" s="203"/>
      <c r="BY20" s="203"/>
      <c r="BZ20" s="203"/>
      <c r="CA20" s="203"/>
      <c r="CB20" s="203"/>
      <c r="CC20" s="203"/>
      <c r="CD20" s="203"/>
      <c r="CE20" s="203"/>
      <c r="CF20" s="203"/>
      <c r="CG20" s="203"/>
      <c r="CH20" s="203"/>
      <c r="CI20" s="203"/>
      <c r="CJ20" s="203"/>
      <c r="CK20" s="203"/>
      <c r="CL20" s="203"/>
      <c r="CM20" s="203"/>
      <c r="CN20" s="203"/>
      <c r="CO20" s="203"/>
      <c r="CP20" s="203"/>
      <c r="CQ20" s="203"/>
      <c r="CR20" s="203"/>
      <c r="CS20" s="203"/>
      <c r="CT20" s="203"/>
      <c r="CU20" s="203"/>
      <c r="CV20" s="203"/>
      <c r="CW20" s="203"/>
      <c r="CX20" s="159"/>
      <c r="CY20" s="165"/>
      <c r="CZ20" s="159"/>
      <c r="DA20" s="159"/>
      <c r="DB20" s="159"/>
      <c r="DC20" s="159"/>
      <c r="DD20" s="159"/>
      <c r="DO20" s="159"/>
      <c r="DP20" s="159"/>
      <c r="DQ20" s="159"/>
    </row>
    <row r="21" spans="1:121">
      <c r="A21" s="159" t="s">
        <v>0</v>
      </c>
      <c r="B21" s="203"/>
      <c r="C21" s="203"/>
      <c r="D21" s="203"/>
      <c r="E21" s="203"/>
      <c r="F21" s="203"/>
      <c r="G21" s="203"/>
      <c r="H21" s="203"/>
      <c r="I21" s="203"/>
      <c r="J21" s="203"/>
      <c r="K21" s="203"/>
      <c r="L21" s="203"/>
      <c r="M21" s="203"/>
      <c r="N21" s="203"/>
      <c r="O21" s="203"/>
      <c r="P21" s="203"/>
      <c r="Q21" s="203"/>
      <c r="R21" s="203"/>
      <c r="S21" s="203"/>
      <c r="T21" s="203"/>
      <c r="U21" s="203"/>
      <c r="V21" s="203"/>
      <c r="W21" s="203"/>
      <c r="X21" s="203"/>
      <c r="Y21" s="203"/>
      <c r="Z21" s="203"/>
      <c r="AA21" s="203"/>
      <c r="AB21" s="203"/>
      <c r="AC21" s="203"/>
      <c r="AD21" s="203"/>
      <c r="AE21" s="203"/>
      <c r="AF21" s="203"/>
      <c r="AG21" s="203"/>
      <c r="AH21" s="203"/>
      <c r="AI21" s="203"/>
      <c r="AJ21" s="203"/>
      <c r="AK21" s="203"/>
      <c r="AL21" s="203"/>
      <c r="AM21" s="203"/>
      <c r="AN21" s="203"/>
      <c r="AO21" s="203"/>
      <c r="AP21" s="203"/>
      <c r="AQ21" s="203"/>
      <c r="AR21" s="203"/>
      <c r="AS21" s="203"/>
      <c r="AT21" s="203"/>
      <c r="AU21" s="203"/>
      <c r="AV21" s="203"/>
      <c r="AW21" s="203"/>
      <c r="AX21" s="203"/>
      <c r="AY21" s="203"/>
      <c r="AZ21" s="203"/>
      <c r="BA21" s="203"/>
      <c r="BB21" s="203"/>
      <c r="BC21" s="203"/>
      <c r="BD21" s="203"/>
      <c r="BE21" s="203"/>
      <c r="BF21" s="203"/>
      <c r="BG21" s="203"/>
      <c r="BH21" s="203"/>
      <c r="BI21" s="203"/>
      <c r="BJ21" s="203"/>
      <c r="BK21" s="203"/>
      <c r="BL21" s="203"/>
      <c r="BM21" s="203"/>
      <c r="BN21" s="203"/>
      <c r="BO21" s="203"/>
      <c r="BP21" s="203"/>
      <c r="BQ21" s="203"/>
      <c r="BR21" s="203"/>
      <c r="BS21" s="203"/>
      <c r="BT21" s="203"/>
      <c r="BU21" s="203"/>
      <c r="BV21" s="203"/>
      <c r="BW21" s="203"/>
      <c r="BX21" s="203"/>
      <c r="BY21" s="203"/>
      <c r="BZ21" s="203"/>
      <c r="CA21" s="203"/>
      <c r="CB21" s="203"/>
      <c r="CC21" s="203"/>
      <c r="CD21" s="203"/>
      <c r="CE21" s="203"/>
      <c r="CF21" s="203"/>
      <c r="CG21" s="203"/>
      <c r="CH21" s="203"/>
      <c r="CI21" s="203"/>
      <c r="CJ21" s="203"/>
      <c r="CK21" s="203"/>
      <c r="CL21" s="203"/>
      <c r="CM21" s="203"/>
      <c r="CN21" s="203"/>
      <c r="CO21" s="203"/>
      <c r="CP21" s="203"/>
      <c r="CQ21" s="203"/>
      <c r="CR21" s="203"/>
      <c r="CS21" s="203"/>
      <c r="CT21" s="203"/>
      <c r="CU21" s="203"/>
      <c r="CV21" s="203"/>
      <c r="CW21" s="203"/>
      <c r="CX21" s="159"/>
      <c r="CY21" s="165"/>
      <c r="CZ21" s="159"/>
      <c r="DA21" s="159"/>
      <c r="DB21" s="159"/>
      <c r="DC21" s="159"/>
      <c r="DD21" s="159"/>
      <c r="DO21" s="159"/>
      <c r="DP21" s="159"/>
      <c r="DQ21" s="159"/>
    </row>
    <row r="22" spans="1:121" s="221" customFormat="1">
      <c r="A22" s="203" t="s">
        <v>723</v>
      </c>
      <c r="B22" s="203"/>
      <c r="C22" s="203"/>
      <c r="D22" s="203"/>
      <c r="E22" s="203"/>
      <c r="F22" s="203"/>
      <c r="G22" s="205" t="e">
        <f t="shared" ref="G22:G28" si="140">G6/B6-1</f>
        <v>#DIV/0!</v>
      </c>
      <c r="H22" s="205"/>
      <c r="I22" s="205"/>
      <c r="J22" s="205"/>
      <c r="K22" s="205" t="e">
        <f t="shared" ref="K22:AP22" si="141">K6/F6-1</f>
        <v>#DIV/0!</v>
      </c>
      <c r="L22" s="205" t="e">
        <f t="shared" si="141"/>
        <v>#DIV/0!</v>
      </c>
      <c r="M22" s="205" t="e">
        <f t="shared" si="141"/>
        <v>#DIV/0!</v>
      </c>
      <c r="N22" s="205" t="e">
        <f t="shared" si="141"/>
        <v>#DIV/0!</v>
      </c>
      <c r="O22" s="205" t="e">
        <f t="shared" si="141"/>
        <v>#DIV/0!</v>
      </c>
      <c r="P22" s="205" t="e">
        <f t="shared" si="141"/>
        <v>#DIV/0!</v>
      </c>
      <c r="Q22" s="205" t="e">
        <f t="shared" si="141"/>
        <v>#DIV/0!</v>
      </c>
      <c r="R22" s="205" t="e">
        <f t="shared" si="141"/>
        <v>#DIV/0!</v>
      </c>
      <c r="S22" s="205" t="e">
        <f t="shared" si="141"/>
        <v>#DIV/0!</v>
      </c>
      <c r="T22" s="205" t="e">
        <f t="shared" si="141"/>
        <v>#DIV/0!</v>
      </c>
      <c r="U22" s="205" t="e">
        <f t="shared" si="141"/>
        <v>#DIV/0!</v>
      </c>
      <c r="V22" s="205" t="e">
        <f t="shared" si="141"/>
        <v>#DIV/0!</v>
      </c>
      <c r="W22" s="205" t="e">
        <f t="shared" si="141"/>
        <v>#DIV/0!</v>
      </c>
      <c r="X22" s="205" t="e">
        <f t="shared" si="141"/>
        <v>#DIV/0!</v>
      </c>
      <c r="Y22" s="205" t="e">
        <f t="shared" si="141"/>
        <v>#DIV/0!</v>
      </c>
      <c r="Z22" s="205" t="e">
        <f t="shared" si="141"/>
        <v>#DIV/0!</v>
      </c>
      <c r="AA22" s="205" t="e">
        <f t="shared" si="141"/>
        <v>#DIV/0!</v>
      </c>
      <c r="AB22" s="205" t="e">
        <f t="shared" si="141"/>
        <v>#DIV/0!</v>
      </c>
      <c r="AC22" s="205" t="e">
        <f t="shared" si="141"/>
        <v>#DIV/0!</v>
      </c>
      <c r="AD22" s="205" t="e">
        <f t="shared" si="141"/>
        <v>#DIV/0!</v>
      </c>
      <c r="AE22" s="205" t="e">
        <f t="shared" si="141"/>
        <v>#DIV/0!</v>
      </c>
      <c r="AF22" s="205" t="e">
        <f t="shared" si="141"/>
        <v>#DIV/0!</v>
      </c>
      <c r="AG22" s="205" t="e">
        <f t="shared" si="141"/>
        <v>#DIV/0!</v>
      </c>
      <c r="AH22" s="205" t="e">
        <f t="shared" si="141"/>
        <v>#DIV/0!</v>
      </c>
      <c r="AI22" s="205" t="e">
        <f t="shared" si="141"/>
        <v>#DIV/0!</v>
      </c>
      <c r="AJ22" s="205" t="e">
        <f t="shared" si="141"/>
        <v>#DIV/0!</v>
      </c>
      <c r="AK22" s="205" t="e">
        <f t="shared" si="141"/>
        <v>#DIV/0!</v>
      </c>
      <c r="AL22" s="205" t="e">
        <f t="shared" si="141"/>
        <v>#DIV/0!</v>
      </c>
      <c r="AM22" s="205" t="e">
        <f t="shared" si="141"/>
        <v>#DIV/0!</v>
      </c>
      <c r="AN22" s="205" t="e">
        <f t="shared" si="141"/>
        <v>#DIV/0!</v>
      </c>
      <c r="AO22" s="205" t="e">
        <f t="shared" si="141"/>
        <v>#DIV/0!</v>
      </c>
      <c r="AP22" s="205" t="e">
        <f t="shared" si="141"/>
        <v>#DIV/0!</v>
      </c>
      <c r="AQ22" s="205" t="e">
        <f t="shared" ref="AQ22:BV22" si="142">AQ6/AL6-1</f>
        <v>#DIV/0!</v>
      </c>
      <c r="AR22" s="205" t="e">
        <f t="shared" si="142"/>
        <v>#DIV/0!</v>
      </c>
      <c r="AS22" s="205" t="e">
        <f t="shared" si="142"/>
        <v>#DIV/0!</v>
      </c>
      <c r="AT22" s="205" t="e">
        <f t="shared" si="142"/>
        <v>#DIV/0!</v>
      </c>
      <c r="AU22" s="205" t="e">
        <f t="shared" si="142"/>
        <v>#DIV/0!</v>
      </c>
      <c r="AV22" s="205" t="e">
        <f t="shared" si="142"/>
        <v>#DIV/0!</v>
      </c>
      <c r="AW22" s="205" t="e">
        <f t="shared" si="142"/>
        <v>#DIV/0!</v>
      </c>
      <c r="AX22" s="205" t="e">
        <f t="shared" si="142"/>
        <v>#DIV/0!</v>
      </c>
      <c r="AY22" s="205" t="e">
        <f t="shared" si="142"/>
        <v>#DIV/0!</v>
      </c>
      <c r="AZ22" s="205" t="e">
        <f t="shared" si="142"/>
        <v>#DIV/0!</v>
      </c>
      <c r="BA22" s="205" t="e">
        <f t="shared" si="142"/>
        <v>#DIV/0!</v>
      </c>
      <c r="BB22" s="205" t="e">
        <f t="shared" si="142"/>
        <v>#DIV/0!</v>
      </c>
      <c r="BC22" s="205" t="e">
        <f t="shared" si="142"/>
        <v>#DIV/0!</v>
      </c>
      <c r="BD22" s="205" t="e">
        <f t="shared" si="142"/>
        <v>#DIV/0!</v>
      </c>
      <c r="BE22" s="205" t="e">
        <f t="shared" si="142"/>
        <v>#DIV/0!</v>
      </c>
      <c r="BF22" s="205" t="e">
        <f t="shared" si="142"/>
        <v>#DIV/0!</v>
      </c>
      <c r="BG22" s="205" t="e">
        <f t="shared" si="142"/>
        <v>#DIV/0!</v>
      </c>
      <c r="BH22" s="205" t="e">
        <f t="shared" si="142"/>
        <v>#DIV/0!</v>
      </c>
      <c r="BI22" s="205" t="e">
        <f t="shared" si="142"/>
        <v>#DIV/0!</v>
      </c>
      <c r="BJ22" s="205" t="e">
        <f t="shared" si="142"/>
        <v>#DIV/0!</v>
      </c>
      <c r="BK22" s="205" t="e">
        <f t="shared" si="142"/>
        <v>#DIV/0!</v>
      </c>
      <c r="BL22" s="205" t="e">
        <f t="shared" si="142"/>
        <v>#DIV/0!</v>
      </c>
      <c r="BM22" s="205" t="e">
        <f t="shared" si="142"/>
        <v>#DIV/0!</v>
      </c>
      <c r="BN22" s="205" t="e">
        <f t="shared" si="142"/>
        <v>#DIV/0!</v>
      </c>
      <c r="BO22" s="205" t="e">
        <f t="shared" si="142"/>
        <v>#DIV/0!</v>
      </c>
      <c r="BP22" s="205" t="e">
        <f t="shared" si="142"/>
        <v>#DIV/0!</v>
      </c>
      <c r="BQ22" s="205" t="e">
        <f t="shared" si="142"/>
        <v>#DIV/0!</v>
      </c>
      <c r="BR22" s="205" t="e">
        <f t="shared" si="142"/>
        <v>#DIV/0!</v>
      </c>
      <c r="BS22" s="205" t="e">
        <f t="shared" si="142"/>
        <v>#DIV/0!</v>
      </c>
      <c r="BT22" s="205" t="e">
        <f t="shared" si="142"/>
        <v>#DIV/0!</v>
      </c>
      <c r="BU22" s="205">
        <f t="shared" si="142"/>
        <v>2.4329382407985101E-2</v>
      </c>
      <c r="BV22" s="205">
        <f t="shared" si="142"/>
        <v>4.4280442804428111E-2</v>
      </c>
      <c r="BW22" s="205">
        <f t="shared" ref="BW22:CP22" si="143">BW6/BR6-1</f>
        <v>4.1137326073805269E-2</v>
      </c>
      <c r="BX22" s="205">
        <f t="shared" si="143"/>
        <v>8.2251082251082241E-2</v>
      </c>
      <c r="BY22" s="205">
        <f t="shared" si="143"/>
        <v>4.8007385751654086E-2</v>
      </c>
      <c r="BZ22" s="205">
        <f t="shared" si="143"/>
        <v>6.3946406820950097E-2</v>
      </c>
      <c r="CA22" s="205">
        <f t="shared" si="143"/>
        <v>3.1213191990577149E-2</v>
      </c>
      <c r="CB22" s="205">
        <f t="shared" si="143"/>
        <v>2.5566531086577582E-2</v>
      </c>
      <c r="CC22" s="205">
        <f t="shared" si="143"/>
        <v>2.9142857142857137E-2</v>
      </c>
      <c r="CD22" s="205">
        <f t="shared" si="143"/>
        <v>3.7145793569226315E-2</v>
      </c>
      <c r="CE22" s="205">
        <f t="shared" si="143"/>
        <v>3.2627361190612492E-2</v>
      </c>
      <c r="CF22" s="205">
        <f t="shared" si="143"/>
        <v>3.6550542547115983E-2</v>
      </c>
      <c r="CG22" s="205">
        <f t="shared" si="143"/>
        <v>2.9461756373937664E-2</v>
      </c>
      <c r="CH22" s="205">
        <f t="shared" si="143"/>
        <v>1.1660188784008874E-2</v>
      </c>
      <c r="CI22" s="205">
        <f>CI6/CD6-1</f>
        <v>2.7463193657984108E-2</v>
      </c>
      <c r="CJ22" s="205">
        <f t="shared" si="143"/>
        <v>-1.7184035476718429E-2</v>
      </c>
      <c r="CK22" s="205">
        <f t="shared" si="143"/>
        <v>-9.91735537190086E-3</v>
      </c>
      <c r="CL22" s="205">
        <f t="shared" si="143"/>
        <v>3.302146395156802E-3</v>
      </c>
      <c r="CM22" s="205">
        <f t="shared" si="143"/>
        <v>1.7563117453347932E-2</v>
      </c>
      <c r="CN22" s="205">
        <f>CN6/CI6-1</f>
        <v>-1.515569027280228E-3</v>
      </c>
      <c r="CO22" s="205">
        <f t="shared" si="143"/>
        <v>2.8200789622109479E-2</v>
      </c>
      <c r="CP22" s="205">
        <f t="shared" si="143"/>
        <v>2.1702838063438978E-2</v>
      </c>
      <c r="CQ22" s="205">
        <f>CQ6/CN6-1</f>
        <v>1.9077748404678907E-2</v>
      </c>
      <c r="CR22" s="205">
        <f t="shared" ref="CR22:CW22" si="144">CR6/CQ6-1</f>
        <v>1.6483483312343949E-2</v>
      </c>
      <c r="CS22" s="205">
        <f t="shared" si="144"/>
        <v>1.7561958661689525E-2</v>
      </c>
      <c r="CT22" s="205">
        <f t="shared" si="144"/>
        <v>1.8566309275635406E-2</v>
      </c>
      <c r="CU22" s="205">
        <f t="shared" si="144"/>
        <v>1.6357344681189545E-2</v>
      </c>
      <c r="CV22" s="205">
        <f t="shared" si="144"/>
        <v>1.5862489322293172E-2</v>
      </c>
      <c r="CW22" s="205">
        <f t="shared" si="144"/>
        <v>1.5419981528267623E-2</v>
      </c>
      <c r="CX22" s="165"/>
      <c r="CY22" s="165"/>
      <c r="CZ22" s="165"/>
      <c r="DA22" s="165"/>
      <c r="DB22" s="165"/>
      <c r="DC22" s="165"/>
      <c r="DD22" s="165"/>
      <c r="DO22" s="165"/>
      <c r="DP22" s="165"/>
      <c r="DQ22" s="165"/>
    </row>
    <row r="23" spans="1:121">
      <c r="A23" s="137" t="s">
        <v>642</v>
      </c>
      <c r="B23" s="203"/>
      <c r="C23" s="203"/>
      <c r="D23" s="203"/>
      <c r="E23" s="203"/>
      <c r="F23" s="203"/>
      <c r="G23" s="170" t="e">
        <f t="shared" si="140"/>
        <v>#DIV/0!</v>
      </c>
      <c r="H23" s="170"/>
      <c r="I23" s="170"/>
      <c r="J23" s="170"/>
      <c r="K23" s="170" t="e">
        <f t="shared" ref="K23:BV23" si="145">K7/F7-1</f>
        <v>#DIV/0!</v>
      </c>
      <c r="L23" s="170" t="e">
        <f t="shared" si="145"/>
        <v>#DIV/0!</v>
      </c>
      <c r="M23" s="170" t="e">
        <f t="shared" si="145"/>
        <v>#DIV/0!</v>
      </c>
      <c r="N23" s="170" t="e">
        <f t="shared" si="145"/>
        <v>#DIV/0!</v>
      </c>
      <c r="O23" s="170" t="e">
        <f t="shared" si="145"/>
        <v>#DIV/0!</v>
      </c>
      <c r="P23" s="170" t="e">
        <f t="shared" si="145"/>
        <v>#DIV/0!</v>
      </c>
      <c r="Q23" s="170" t="e">
        <f t="shared" si="145"/>
        <v>#DIV/0!</v>
      </c>
      <c r="R23" s="170" t="e">
        <f t="shared" si="145"/>
        <v>#DIV/0!</v>
      </c>
      <c r="S23" s="170" t="e">
        <f t="shared" si="145"/>
        <v>#DIV/0!</v>
      </c>
      <c r="T23" s="170" t="e">
        <f t="shared" si="145"/>
        <v>#DIV/0!</v>
      </c>
      <c r="U23" s="170" t="e">
        <f t="shared" si="145"/>
        <v>#DIV/0!</v>
      </c>
      <c r="V23" s="170" t="e">
        <f t="shared" si="145"/>
        <v>#DIV/0!</v>
      </c>
      <c r="W23" s="170" t="e">
        <f t="shared" si="145"/>
        <v>#DIV/0!</v>
      </c>
      <c r="X23" s="170" t="e">
        <f t="shared" si="145"/>
        <v>#DIV/0!</v>
      </c>
      <c r="Y23" s="170" t="e">
        <f t="shared" si="145"/>
        <v>#DIV/0!</v>
      </c>
      <c r="Z23" s="170" t="e">
        <f t="shared" si="145"/>
        <v>#DIV/0!</v>
      </c>
      <c r="AA23" s="170" t="e">
        <f t="shared" si="145"/>
        <v>#DIV/0!</v>
      </c>
      <c r="AB23" s="170" t="e">
        <f t="shared" si="145"/>
        <v>#DIV/0!</v>
      </c>
      <c r="AC23" s="170" t="e">
        <f t="shared" si="145"/>
        <v>#DIV/0!</v>
      </c>
      <c r="AD23" s="170" t="e">
        <f t="shared" si="145"/>
        <v>#DIV/0!</v>
      </c>
      <c r="AE23" s="170" t="e">
        <f t="shared" si="145"/>
        <v>#DIV/0!</v>
      </c>
      <c r="AF23" s="170" t="e">
        <f t="shared" si="145"/>
        <v>#DIV/0!</v>
      </c>
      <c r="AG23" s="170" t="e">
        <f t="shared" si="145"/>
        <v>#DIV/0!</v>
      </c>
      <c r="AH23" s="170" t="e">
        <f t="shared" si="145"/>
        <v>#DIV/0!</v>
      </c>
      <c r="AI23" s="170" t="e">
        <f t="shared" si="145"/>
        <v>#DIV/0!</v>
      </c>
      <c r="AJ23" s="170" t="e">
        <f t="shared" si="145"/>
        <v>#DIV/0!</v>
      </c>
      <c r="AK23" s="170" t="e">
        <f t="shared" si="145"/>
        <v>#DIV/0!</v>
      </c>
      <c r="AL23" s="170" t="e">
        <f t="shared" si="145"/>
        <v>#DIV/0!</v>
      </c>
      <c r="AM23" s="170" t="e">
        <f t="shared" si="145"/>
        <v>#DIV/0!</v>
      </c>
      <c r="AN23" s="170" t="e">
        <f t="shared" si="145"/>
        <v>#DIV/0!</v>
      </c>
      <c r="AO23" s="170" t="e">
        <f t="shared" si="145"/>
        <v>#DIV/0!</v>
      </c>
      <c r="AP23" s="170" t="e">
        <f t="shared" si="145"/>
        <v>#DIV/0!</v>
      </c>
      <c r="AQ23" s="170" t="e">
        <f t="shared" si="145"/>
        <v>#DIV/0!</v>
      </c>
      <c r="AR23" s="170" t="e">
        <f t="shared" si="145"/>
        <v>#DIV/0!</v>
      </c>
      <c r="AS23" s="170" t="e">
        <f t="shared" si="145"/>
        <v>#DIV/0!</v>
      </c>
      <c r="AT23" s="170" t="e">
        <f t="shared" si="145"/>
        <v>#DIV/0!</v>
      </c>
      <c r="AU23" s="170" t="e">
        <f t="shared" si="145"/>
        <v>#DIV/0!</v>
      </c>
      <c r="AV23" s="170" t="e">
        <f t="shared" si="145"/>
        <v>#DIV/0!</v>
      </c>
      <c r="AW23" s="170" t="e">
        <f t="shared" si="145"/>
        <v>#DIV/0!</v>
      </c>
      <c r="AX23" s="170" t="e">
        <f t="shared" si="145"/>
        <v>#DIV/0!</v>
      </c>
      <c r="AY23" s="170" t="e">
        <f t="shared" si="145"/>
        <v>#DIV/0!</v>
      </c>
      <c r="AZ23" s="170" t="e">
        <f t="shared" si="145"/>
        <v>#DIV/0!</v>
      </c>
      <c r="BA23" s="170" t="e">
        <f t="shared" si="145"/>
        <v>#DIV/0!</v>
      </c>
      <c r="BB23" s="170" t="e">
        <f t="shared" si="145"/>
        <v>#DIV/0!</v>
      </c>
      <c r="BC23" s="170" t="e">
        <f t="shared" si="145"/>
        <v>#DIV/0!</v>
      </c>
      <c r="BD23" s="170" t="e">
        <f t="shared" si="145"/>
        <v>#DIV/0!</v>
      </c>
      <c r="BE23" s="170" t="e">
        <f t="shared" si="145"/>
        <v>#DIV/0!</v>
      </c>
      <c r="BF23" s="170" t="e">
        <f t="shared" si="145"/>
        <v>#DIV/0!</v>
      </c>
      <c r="BG23" s="170" t="e">
        <f t="shared" si="145"/>
        <v>#DIV/0!</v>
      </c>
      <c r="BH23" s="170" t="e">
        <f t="shared" si="145"/>
        <v>#DIV/0!</v>
      </c>
      <c r="BI23" s="170" t="e">
        <f t="shared" si="145"/>
        <v>#DIV/0!</v>
      </c>
      <c r="BJ23" s="170" t="e">
        <f t="shared" si="145"/>
        <v>#DIV/0!</v>
      </c>
      <c r="BK23" s="170" t="e">
        <f t="shared" si="145"/>
        <v>#DIV/0!</v>
      </c>
      <c r="BL23" s="170" t="e">
        <f t="shared" si="145"/>
        <v>#DIV/0!</v>
      </c>
      <c r="BM23" s="170" t="e">
        <f t="shared" si="145"/>
        <v>#DIV/0!</v>
      </c>
      <c r="BN23" s="170" t="e">
        <f t="shared" si="145"/>
        <v>#DIV/0!</v>
      </c>
      <c r="BO23" s="170" t="e">
        <f t="shared" si="145"/>
        <v>#DIV/0!</v>
      </c>
      <c r="BP23" s="170" t="e">
        <f t="shared" si="145"/>
        <v>#DIV/0!</v>
      </c>
      <c r="BQ23" s="170" t="e">
        <f t="shared" si="145"/>
        <v>#DIV/0!</v>
      </c>
      <c r="BR23" s="170" t="e">
        <f t="shared" si="145"/>
        <v>#DIV/0!</v>
      </c>
      <c r="BS23" s="170" t="e">
        <f t="shared" si="145"/>
        <v>#DIV/0!</v>
      </c>
      <c r="BT23" s="170" t="e">
        <f t="shared" si="145"/>
        <v>#DIV/0!</v>
      </c>
      <c r="BU23" s="170">
        <f t="shared" si="145"/>
        <v>4.9465240641711317E-2</v>
      </c>
      <c r="BV23" s="170">
        <f t="shared" si="145"/>
        <v>5.7441253263707637E-2</v>
      </c>
      <c r="BW23" s="170">
        <f t="shared" ref="BW23:CP23" si="146">BW7/BR7-1</f>
        <v>6.0025542784163388E-2</v>
      </c>
      <c r="BX23" s="170">
        <f t="shared" si="146"/>
        <v>0.10966057441253274</v>
      </c>
      <c r="BY23" s="170">
        <f t="shared" si="146"/>
        <v>6.9213189683317022E-2</v>
      </c>
      <c r="BZ23" s="170">
        <f t="shared" si="146"/>
        <v>0.10063694267515921</v>
      </c>
      <c r="CA23" s="170">
        <f t="shared" si="146"/>
        <v>7.5308641975308621E-2</v>
      </c>
      <c r="CB23" s="170">
        <f t="shared" si="146"/>
        <v>6.2650602409638489E-2</v>
      </c>
      <c r="CC23" s="170">
        <f t="shared" si="146"/>
        <v>6.23529411764705E-2</v>
      </c>
      <c r="CD23" s="170">
        <f t="shared" si="146"/>
        <v>7.4809160305343569E-2</v>
      </c>
      <c r="CE23" s="170">
        <f t="shared" si="146"/>
        <v>5.439814814814814E-2</v>
      </c>
      <c r="CF23" s="170">
        <f t="shared" si="146"/>
        <v>5.1664753157290466E-2</v>
      </c>
      <c r="CG23" s="170">
        <f t="shared" si="146"/>
        <v>4.8752834467120199E-2</v>
      </c>
      <c r="CH23" s="170">
        <f t="shared" si="146"/>
        <v>4.9833887043189362E-2</v>
      </c>
      <c r="CI23" s="170">
        <f>CI7/CD7-1</f>
        <v>5.1136363636363535E-2</v>
      </c>
      <c r="CJ23" s="170">
        <f t="shared" si="146"/>
        <v>1.4270032930845167E-2</v>
      </c>
      <c r="CK23" s="170">
        <f t="shared" si="146"/>
        <v>1.8558951965065518E-2</v>
      </c>
      <c r="CL23" s="170">
        <f t="shared" si="146"/>
        <v>2.9189189189189113E-2</v>
      </c>
      <c r="CM23" s="170">
        <f t="shared" si="146"/>
        <v>2.9535864978903037E-2</v>
      </c>
      <c r="CN23" s="170">
        <f>CN7/CI7-1</f>
        <v>2.2972972972973071E-2</v>
      </c>
      <c r="CO23" s="170">
        <f t="shared" si="146"/>
        <v>4.2207792207792139E-2</v>
      </c>
      <c r="CP23" s="170">
        <f t="shared" si="146"/>
        <v>4.1800643086816747E-2</v>
      </c>
      <c r="CQ23" s="170">
        <f>CQ7/CN7-1</f>
        <v>3.0700985501203037E-2</v>
      </c>
      <c r="CR23" s="170">
        <f t="shared" ref="CR23:CW23" si="147">CR7/CQ7-1</f>
        <v>1.5925897074634765E-2</v>
      </c>
      <c r="CS23" s="170">
        <f t="shared" si="147"/>
        <v>2.3295193126152025E-2</v>
      </c>
      <c r="CT23" s="170">
        <f t="shared" si="147"/>
        <v>2.2569810884425889E-2</v>
      </c>
      <c r="CU23" s="170">
        <f t="shared" si="147"/>
        <v>2.1920261526203078E-2</v>
      </c>
      <c r="CV23" s="170">
        <f t="shared" si="147"/>
        <v>2.1337529971448665E-2</v>
      </c>
      <c r="CW23" s="170">
        <f t="shared" si="147"/>
        <v>2.081381134025162E-2</v>
      </c>
      <c r="CX23" s="159"/>
      <c r="CY23" s="165"/>
      <c r="CZ23" s="159"/>
      <c r="DA23" s="159"/>
      <c r="DB23" s="159"/>
      <c r="DC23" s="159"/>
      <c r="DD23" s="159"/>
      <c r="DO23" s="159"/>
      <c r="DP23" s="159"/>
      <c r="DQ23" s="159"/>
    </row>
    <row r="24" spans="1:121">
      <c r="A24" s="137" t="s">
        <v>534</v>
      </c>
      <c r="B24" s="203"/>
      <c r="C24" s="203"/>
      <c r="D24" s="203"/>
      <c r="E24" s="203"/>
      <c r="F24" s="203"/>
      <c r="G24" s="170" t="e">
        <f t="shared" si="140"/>
        <v>#DIV/0!</v>
      </c>
      <c r="H24" s="170"/>
      <c r="I24" s="170"/>
      <c r="J24" s="170"/>
      <c r="K24" s="170" t="e">
        <f t="shared" ref="K24:BV24" si="148">K8/F8-1</f>
        <v>#DIV/0!</v>
      </c>
      <c r="L24" s="170" t="e">
        <f t="shared" si="148"/>
        <v>#DIV/0!</v>
      </c>
      <c r="M24" s="170" t="e">
        <f t="shared" si="148"/>
        <v>#DIV/0!</v>
      </c>
      <c r="N24" s="170" t="e">
        <f t="shared" si="148"/>
        <v>#DIV/0!</v>
      </c>
      <c r="O24" s="170" t="e">
        <f t="shared" si="148"/>
        <v>#DIV/0!</v>
      </c>
      <c r="P24" s="170" t="e">
        <f t="shared" si="148"/>
        <v>#DIV/0!</v>
      </c>
      <c r="Q24" s="170" t="e">
        <f t="shared" si="148"/>
        <v>#DIV/0!</v>
      </c>
      <c r="R24" s="170" t="e">
        <f t="shared" si="148"/>
        <v>#DIV/0!</v>
      </c>
      <c r="S24" s="170" t="e">
        <f t="shared" si="148"/>
        <v>#DIV/0!</v>
      </c>
      <c r="T24" s="170" t="e">
        <f t="shared" si="148"/>
        <v>#DIV/0!</v>
      </c>
      <c r="U24" s="170" t="e">
        <f t="shared" si="148"/>
        <v>#DIV/0!</v>
      </c>
      <c r="V24" s="170" t="e">
        <f t="shared" si="148"/>
        <v>#DIV/0!</v>
      </c>
      <c r="W24" s="170" t="e">
        <f t="shared" si="148"/>
        <v>#DIV/0!</v>
      </c>
      <c r="X24" s="170" t="e">
        <f t="shared" si="148"/>
        <v>#DIV/0!</v>
      </c>
      <c r="Y24" s="170" t="e">
        <f t="shared" si="148"/>
        <v>#DIV/0!</v>
      </c>
      <c r="Z24" s="170" t="e">
        <f t="shared" si="148"/>
        <v>#DIV/0!</v>
      </c>
      <c r="AA24" s="170" t="e">
        <f t="shared" si="148"/>
        <v>#DIV/0!</v>
      </c>
      <c r="AB24" s="170" t="e">
        <f t="shared" si="148"/>
        <v>#DIV/0!</v>
      </c>
      <c r="AC24" s="170" t="e">
        <f t="shared" si="148"/>
        <v>#DIV/0!</v>
      </c>
      <c r="AD24" s="170" t="e">
        <f t="shared" si="148"/>
        <v>#DIV/0!</v>
      </c>
      <c r="AE24" s="170" t="e">
        <f t="shared" si="148"/>
        <v>#DIV/0!</v>
      </c>
      <c r="AF24" s="170" t="e">
        <f t="shared" si="148"/>
        <v>#DIV/0!</v>
      </c>
      <c r="AG24" s="170" t="e">
        <f t="shared" si="148"/>
        <v>#DIV/0!</v>
      </c>
      <c r="AH24" s="170" t="e">
        <f t="shared" si="148"/>
        <v>#DIV/0!</v>
      </c>
      <c r="AI24" s="170" t="e">
        <f t="shared" si="148"/>
        <v>#DIV/0!</v>
      </c>
      <c r="AJ24" s="170" t="e">
        <f t="shared" si="148"/>
        <v>#DIV/0!</v>
      </c>
      <c r="AK24" s="170" t="e">
        <f t="shared" si="148"/>
        <v>#DIV/0!</v>
      </c>
      <c r="AL24" s="170" t="e">
        <f t="shared" si="148"/>
        <v>#DIV/0!</v>
      </c>
      <c r="AM24" s="170" t="e">
        <f t="shared" si="148"/>
        <v>#DIV/0!</v>
      </c>
      <c r="AN24" s="170" t="e">
        <f t="shared" si="148"/>
        <v>#DIV/0!</v>
      </c>
      <c r="AO24" s="170" t="e">
        <f t="shared" si="148"/>
        <v>#DIV/0!</v>
      </c>
      <c r="AP24" s="170" t="e">
        <f t="shared" si="148"/>
        <v>#DIV/0!</v>
      </c>
      <c r="AQ24" s="170" t="e">
        <f t="shared" si="148"/>
        <v>#DIV/0!</v>
      </c>
      <c r="AR24" s="170" t="e">
        <f t="shared" si="148"/>
        <v>#DIV/0!</v>
      </c>
      <c r="AS24" s="170" t="e">
        <f t="shared" si="148"/>
        <v>#DIV/0!</v>
      </c>
      <c r="AT24" s="170" t="e">
        <f t="shared" si="148"/>
        <v>#DIV/0!</v>
      </c>
      <c r="AU24" s="170" t="e">
        <f t="shared" si="148"/>
        <v>#DIV/0!</v>
      </c>
      <c r="AV24" s="170" t="e">
        <f t="shared" si="148"/>
        <v>#DIV/0!</v>
      </c>
      <c r="AW24" s="170" t="e">
        <f t="shared" si="148"/>
        <v>#DIV/0!</v>
      </c>
      <c r="AX24" s="170" t="e">
        <f t="shared" si="148"/>
        <v>#DIV/0!</v>
      </c>
      <c r="AY24" s="170" t="e">
        <f t="shared" si="148"/>
        <v>#DIV/0!</v>
      </c>
      <c r="AZ24" s="170" t="e">
        <f t="shared" si="148"/>
        <v>#DIV/0!</v>
      </c>
      <c r="BA24" s="170" t="e">
        <f t="shared" si="148"/>
        <v>#DIV/0!</v>
      </c>
      <c r="BB24" s="170" t="e">
        <f t="shared" si="148"/>
        <v>#DIV/0!</v>
      </c>
      <c r="BC24" s="170" t="e">
        <f t="shared" si="148"/>
        <v>#DIV/0!</v>
      </c>
      <c r="BD24" s="170" t="e">
        <f t="shared" si="148"/>
        <v>#DIV/0!</v>
      </c>
      <c r="BE24" s="170" t="e">
        <f t="shared" si="148"/>
        <v>#DIV/0!</v>
      </c>
      <c r="BF24" s="170" t="e">
        <f t="shared" si="148"/>
        <v>#DIV/0!</v>
      </c>
      <c r="BG24" s="170" t="e">
        <f t="shared" si="148"/>
        <v>#DIV/0!</v>
      </c>
      <c r="BH24" s="170" t="e">
        <f t="shared" si="148"/>
        <v>#DIV/0!</v>
      </c>
      <c r="BI24" s="170" t="e">
        <f t="shared" si="148"/>
        <v>#DIV/0!</v>
      </c>
      <c r="BJ24" s="170" t="e">
        <f t="shared" si="148"/>
        <v>#DIV/0!</v>
      </c>
      <c r="BK24" s="170" t="e">
        <f t="shared" si="148"/>
        <v>#DIV/0!</v>
      </c>
      <c r="BL24" s="170" t="e">
        <f t="shared" si="148"/>
        <v>#DIV/0!</v>
      </c>
      <c r="BM24" s="170" t="e">
        <f t="shared" si="148"/>
        <v>#DIV/0!</v>
      </c>
      <c r="BN24" s="170" t="e">
        <f t="shared" si="148"/>
        <v>#DIV/0!</v>
      </c>
      <c r="BO24" s="170" t="e">
        <f t="shared" si="148"/>
        <v>#DIV/0!</v>
      </c>
      <c r="BP24" s="170" t="e">
        <f t="shared" si="148"/>
        <v>#DIV/0!</v>
      </c>
      <c r="BQ24" s="170" t="e">
        <f t="shared" si="148"/>
        <v>#DIV/0!</v>
      </c>
      <c r="BR24" s="170" t="e">
        <f t="shared" si="148"/>
        <v>#DIV/0!</v>
      </c>
      <c r="BS24" s="170" t="e">
        <f t="shared" si="148"/>
        <v>#DIV/0!</v>
      </c>
      <c r="BT24" s="170" t="e">
        <f t="shared" si="148"/>
        <v>#DIV/0!</v>
      </c>
      <c r="BU24" s="170">
        <f t="shared" si="148"/>
        <v>-4.7826086956521685E-2</v>
      </c>
      <c r="BV24" s="170">
        <f t="shared" si="148"/>
        <v>-8.7591240875912746E-3</v>
      </c>
      <c r="BW24" s="170">
        <f t="shared" ref="BW24:CP24" si="149">BW8/BR8-1</f>
        <v>-1.3138686131386912E-2</v>
      </c>
      <c r="BX24" s="170">
        <f t="shared" si="149"/>
        <v>3.969465648854964E-2</v>
      </c>
      <c r="BY24" s="170">
        <f t="shared" si="149"/>
        <v>-8.1031307550644138E-3</v>
      </c>
      <c r="BZ24" s="170">
        <f t="shared" si="149"/>
        <v>6.0882800608828003E-3</v>
      </c>
      <c r="CA24" s="170">
        <f t="shared" si="149"/>
        <v>-4.123711340206182E-2</v>
      </c>
      <c r="CB24" s="170">
        <f t="shared" si="149"/>
        <v>-3.5502958579881616E-2</v>
      </c>
      <c r="CC24" s="170">
        <f t="shared" si="149"/>
        <v>-3.8179148311306865E-2</v>
      </c>
      <c r="CD24" s="170">
        <f t="shared" si="149"/>
        <v>-2.7478648347567747E-2</v>
      </c>
      <c r="CE24" s="170">
        <f t="shared" si="149"/>
        <v>-1.8154311649016597E-2</v>
      </c>
      <c r="CF24" s="170">
        <f t="shared" si="149"/>
        <v>-4.6082949308755561E-3</v>
      </c>
      <c r="CG24" s="170">
        <f t="shared" si="149"/>
        <v>-1.6871165644171793E-2</v>
      </c>
      <c r="CH24" s="170">
        <f t="shared" si="149"/>
        <v>-4.2748091603053484E-2</v>
      </c>
      <c r="CI24" s="170">
        <f>CI8/CD8-1</f>
        <v>-2.0618556701030966E-2</v>
      </c>
      <c r="CJ24" s="170">
        <f t="shared" si="149"/>
        <v>-8.3204930662557741E-2</v>
      </c>
      <c r="CK24" s="170">
        <f t="shared" si="149"/>
        <v>-5.8641975308642014E-2</v>
      </c>
      <c r="CL24" s="170">
        <f t="shared" si="149"/>
        <v>-3.9001560062402518E-2</v>
      </c>
      <c r="CM24" s="170">
        <f t="shared" si="149"/>
        <v>-4.784688995215336E-3</v>
      </c>
      <c r="CN24" s="170">
        <f>CN8/CI8-1</f>
        <v>-4.6783625730994149E-2</v>
      </c>
      <c r="CO24" s="170">
        <f t="shared" si="149"/>
        <v>2.3529411764705799E-2</v>
      </c>
      <c r="CP24" s="170">
        <f t="shared" si="149"/>
        <v>3.2786885245901232E-3</v>
      </c>
      <c r="CQ24" s="170">
        <f>CQ8/CN8-1</f>
        <v>1.0272186781272286E-2</v>
      </c>
      <c r="CR24" s="170">
        <f t="shared" ref="CR24:CW24" si="150">CR8/CQ8-1</f>
        <v>3.6231447237886627E-3</v>
      </c>
      <c r="CS24" s="170">
        <f t="shared" si="150"/>
        <v>5.9092843323425015E-3</v>
      </c>
      <c r="CT24" s="170">
        <f t="shared" si="150"/>
        <v>5.212043294203772E-3</v>
      </c>
      <c r="CU24" s="170">
        <f t="shared" si="150"/>
        <v>4.5884290968609687E-3</v>
      </c>
      <c r="CV24" s="170">
        <f t="shared" si="150"/>
        <v>4.0295871230247027E-3</v>
      </c>
      <c r="CW24" s="170">
        <f t="shared" si="150"/>
        <v>3.5278517969790091E-3</v>
      </c>
      <c r="CX24" s="159"/>
      <c r="CY24" s="165"/>
      <c r="CZ24" s="159"/>
      <c r="DA24" s="159"/>
      <c r="DB24" s="159"/>
      <c r="DC24" s="159"/>
      <c r="DD24" s="159"/>
      <c r="DO24" s="159"/>
      <c r="DP24" s="159"/>
      <c r="DQ24" s="159"/>
    </row>
    <row r="25" spans="1:121">
      <c r="A25" s="137" t="s">
        <v>643</v>
      </c>
      <c r="B25" s="203"/>
      <c r="C25" s="203"/>
      <c r="D25" s="203"/>
      <c r="E25" s="203"/>
      <c r="F25" s="203"/>
      <c r="G25" s="170" t="e">
        <f t="shared" si="140"/>
        <v>#DIV/0!</v>
      </c>
      <c r="H25" s="170"/>
      <c r="I25" s="170"/>
      <c r="J25" s="170"/>
      <c r="K25" s="170" t="e">
        <f t="shared" ref="K25:BV25" si="151">K9/F9-1</f>
        <v>#DIV/0!</v>
      </c>
      <c r="L25" s="170" t="e">
        <f t="shared" si="151"/>
        <v>#DIV/0!</v>
      </c>
      <c r="M25" s="170" t="e">
        <f t="shared" si="151"/>
        <v>#DIV/0!</v>
      </c>
      <c r="N25" s="170" t="e">
        <f t="shared" si="151"/>
        <v>#DIV/0!</v>
      </c>
      <c r="O25" s="170" t="e">
        <f t="shared" si="151"/>
        <v>#DIV/0!</v>
      </c>
      <c r="P25" s="170" t="e">
        <f t="shared" si="151"/>
        <v>#DIV/0!</v>
      </c>
      <c r="Q25" s="170" t="e">
        <f t="shared" si="151"/>
        <v>#DIV/0!</v>
      </c>
      <c r="R25" s="170" t="e">
        <f t="shared" si="151"/>
        <v>#DIV/0!</v>
      </c>
      <c r="S25" s="170" t="e">
        <f t="shared" si="151"/>
        <v>#DIV/0!</v>
      </c>
      <c r="T25" s="170" t="e">
        <f t="shared" si="151"/>
        <v>#DIV/0!</v>
      </c>
      <c r="U25" s="170" t="e">
        <f t="shared" si="151"/>
        <v>#DIV/0!</v>
      </c>
      <c r="V25" s="170" t="e">
        <f t="shared" si="151"/>
        <v>#DIV/0!</v>
      </c>
      <c r="W25" s="170" t="e">
        <f t="shared" si="151"/>
        <v>#DIV/0!</v>
      </c>
      <c r="X25" s="170" t="e">
        <f t="shared" si="151"/>
        <v>#DIV/0!</v>
      </c>
      <c r="Y25" s="170" t="e">
        <f t="shared" si="151"/>
        <v>#DIV/0!</v>
      </c>
      <c r="Z25" s="170" t="e">
        <f t="shared" si="151"/>
        <v>#DIV/0!</v>
      </c>
      <c r="AA25" s="170" t="e">
        <f t="shared" si="151"/>
        <v>#DIV/0!</v>
      </c>
      <c r="AB25" s="170" t="e">
        <f t="shared" si="151"/>
        <v>#DIV/0!</v>
      </c>
      <c r="AC25" s="170" t="e">
        <f t="shared" si="151"/>
        <v>#DIV/0!</v>
      </c>
      <c r="AD25" s="170" t="e">
        <f t="shared" si="151"/>
        <v>#DIV/0!</v>
      </c>
      <c r="AE25" s="170" t="e">
        <f t="shared" si="151"/>
        <v>#DIV/0!</v>
      </c>
      <c r="AF25" s="170" t="e">
        <f t="shared" si="151"/>
        <v>#DIV/0!</v>
      </c>
      <c r="AG25" s="170" t="e">
        <f t="shared" si="151"/>
        <v>#DIV/0!</v>
      </c>
      <c r="AH25" s="170" t="e">
        <f t="shared" si="151"/>
        <v>#DIV/0!</v>
      </c>
      <c r="AI25" s="170" t="e">
        <f t="shared" si="151"/>
        <v>#DIV/0!</v>
      </c>
      <c r="AJ25" s="170" t="e">
        <f t="shared" si="151"/>
        <v>#DIV/0!</v>
      </c>
      <c r="AK25" s="170" t="e">
        <f t="shared" si="151"/>
        <v>#DIV/0!</v>
      </c>
      <c r="AL25" s="170" t="e">
        <f t="shared" si="151"/>
        <v>#DIV/0!</v>
      </c>
      <c r="AM25" s="170" t="e">
        <f t="shared" si="151"/>
        <v>#DIV/0!</v>
      </c>
      <c r="AN25" s="170" t="e">
        <f t="shared" si="151"/>
        <v>#DIV/0!</v>
      </c>
      <c r="AO25" s="170" t="e">
        <f t="shared" si="151"/>
        <v>#DIV/0!</v>
      </c>
      <c r="AP25" s="170" t="e">
        <f t="shared" si="151"/>
        <v>#DIV/0!</v>
      </c>
      <c r="AQ25" s="170" t="e">
        <f t="shared" si="151"/>
        <v>#DIV/0!</v>
      </c>
      <c r="AR25" s="170" t="e">
        <f t="shared" si="151"/>
        <v>#DIV/0!</v>
      </c>
      <c r="AS25" s="170" t="e">
        <f t="shared" si="151"/>
        <v>#DIV/0!</v>
      </c>
      <c r="AT25" s="170" t="e">
        <f t="shared" si="151"/>
        <v>#DIV/0!</v>
      </c>
      <c r="AU25" s="170" t="e">
        <f t="shared" si="151"/>
        <v>#DIV/0!</v>
      </c>
      <c r="AV25" s="170" t="e">
        <f t="shared" si="151"/>
        <v>#DIV/0!</v>
      </c>
      <c r="AW25" s="170" t="e">
        <f t="shared" si="151"/>
        <v>#DIV/0!</v>
      </c>
      <c r="AX25" s="170" t="e">
        <f t="shared" si="151"/>
        <v>#DIV/0!</v>
      </c>
      <c r="AY25" s="170" t="e">
        <f t="shared" si="151"/>
        <v>#DIV/0!</v>
      </c>
      <c r="AZ25" s="170" t="e">
        <f t="shared" si="151"/>
        <v>#DIV/0!</v>
      </c>
      <c r="BA25" s="170" t="e">
        <f t="shared" si="151"/>
        <v>#DIV/0!</v>
      </c>
      <c r="BB25" s="170" t="e">
        <f t="shared" si="151"/>
        <v>#DIV/0!</v>
      </c>
      <c r="BC25" s="170" t="e">
        <f t="shared" si="151"/>
        <v>#DIV/0!</v>
      </c>
      <c r="BD25" s="170" t="e">
        <f t="shared" si="151"/>
        <v>#DIV/0!</v>
      </c>
      <c r="BE25" s="170" t="e">
        <f t="shared" si="151"/>
        <v>#DIV/0!</v>
      </c>
      <c r="BF25" s="170" t="e">
        <f t="shared" si="151"/>
        <v>#DIV/0!</v>
      </c>
      <c r="BG25" s="170" t="e">
        <f t="shared" si="151"/>
        <v>#DIV/0!</v>
      </c>
      <c r="BH25" s="170" t="e">
        <f t="shared" si="151"/>
        <v>#DIV/0!</v>
      </c>
      <c r="BI25" s="170" t="e">
        <f t="shared" si="151"/>
        <v>#DIV/0!</v>
      </c>
      <c r="BJ25" s="170" t="e">
        <f t="shared" si="151"/>
        <v>#DIV/0!</v>
      </c>
      <c r="BK25" s="170" t="e">
        <f t="shared" si="151"/>
        <v>#DIV/0!</v>
      </c>
      <c r="BL25" s="170" t="e">
        <f t="shared" si="151"/>
        <v>#DIV/0!</v>
      </c>
      <c r="BM25" s="170" t="e">
        <f t="shared" si="151"/>
        <v>#DIV/0!</v>
      </c>
      <c r="BN25" s="170" t="e">
        <f t="shared" si="151"/>
        <v>#DIV/0!</v>
      </c>
      <c r="BO25" s="170" t="e">
        <f t="shared" si="151"/>
        <v>#DIV/0!</v>
      </c>
      <c r="BP25" s="170" t="e">
        <f t="shared" si="151"/>
        <v>#DIV/0!</v>
      </c>
      <c r="BQ25" s="170" t="e">
        <f t="shared" si="151"/>
        <v>#DIV/0!</v>
      </c>
      <c r="BR25" s="170" t="e">
        <f t="shared" si="151"/>
        <v>#DIV/0!</v>
      </c>
      <c r="BS25" s="170" t="e">
        <f t="shared" si="151"/>
        <v>#DIV/0!</v>
      </c>
      <c r="BT25" s="170" t="e">
        <f t="shared" si="151"/>
        <v>#DIV/0!</v>
      </c>
      <c r="BU25" s="170">
        <f t="shared" si="151"/>
        <v>0.21212121212121215</v>
      </c>
      <c r="BV25" s="170">
        <f t="shared" si="151"/>
        <v>0.19428571428571439</v>
      </c>
      <c r="BW25" s="170">
        <f t="shared" ref="BW25:CP25" si="152">BW9/BR9-1</f>
        <v>0.16216216216216206</v>
      </c>
      <c r="BX25" s="170">
        <f t="shared" si="152"/>
        <v>0.11734693877551017</v>
      </c>
      <c r="BY25" s="170">
        <f t="shared" si="152"/>
        <v>0.1692094313453536</v>
      </c>
      <c r="BZ25" s="170">
        <f t="shared" si="152"/>
        <v>0.1100000000000001</v>
      </c>
      <c r="CA25" s="170">
        <f t="shared" si="152"/>
        <v>9.5693779904306275E-2</v>
      </c>
      <c r="CB25" s="170">
        <f t="shared" si="152"/>
        <v>7.441860465116279E-2</v>
      </c>
      <c r="CC25" s="170">
        <f t="shared" si="152"/>
        <v>0.1095890410958904</v>
      </c>
      <c r="CD25" s="170">
        <f t="shared" si="152"/>
        <v>9.7271648873072269E-2</v>
      </c>
      <c r="CE25" s="170">
        <f t="shared" si="152"/>
        <v>9.9099099099099197E-2</v>
      </c>
      <c r="CF25" s="170">
        <f t="shared" si="152"/>
        <v>9.606986899563319E-2</v>
      </c>
      <c r="CG25" s="170">
        <f t="shared" si="152"/>
        <v>8.6580086580086535E-2</v>
      </c>
      <c r="CH25" s="170">
        <f t="shared" si="152"/>
        <v>1.6460905349794164E-2</v>
      </c>
      <c r="CI25" s="170">
        <f>CI9/CD9-1</f>
        <v>7.3513513513513429E-2</v>
      </c>
      <c r="CJ25" s="170">
        <f t="shared" si="152"/>
        <v>4.0983606557376984E-2</v>
      </c>
      <c r="CK25" s="170">
        <f t="shared" si="152"/>
        <v>1.195219123505975E-2</v>
      </c>
      <c r="CL25" s="170">
        <f t="shared" si="152"/>
        <v>1.5936254980079667E-2</v>
      </c>
      <c r="CM25" s="170">
        <f t="shared" si="152"/>
        <v>2.8340080971659853E-2</v>
      </c>
      <c r="CN25" s="170">
        <f>CN9/CI9-1</f>
        <v>2.4169184290030232E-2</v>
      </c>
      <c r="CO25" s="170">
        <f t="shared" si="152"/>
        <v>-1.1811023622047223E-2</v>
      </c>
      <c r="CP25" s="170">
        <f t="shared" si="152"/>
        <v>-7.8740157480314821E-3</v>
      </c>
      <c r="CQ25" s="170">
        <f>CQ9/CN9-1</f>
        <v>-3.0110954902227149E-3</v>
      </c>
      <c r="CR25" s="170">
        <f t="shared" ref="CR25:CW25" si="153">CR9/CQ9-1</f>
        <v>4.9958694205445964E-2</v>
      </c>
      <c r="CS25" s="170">
        <f t="shared" si="153"/>
        <v>2.3352922980046653E-2</v>
      </c>
      <c r="CT25" s="170">
        <f t="shared" si="153"/>
        <v>3.4230013598889553E-2</v>
      </c>
      <c r="CU25" s="170">
        <f t="shared" si="153"/>
        <v>2.206473295676048E-2</v>
      </c>
      <c r="CV25" s="170">
        <f t="shared" si="153"/>
        <v>2.1588390877091301E-2</v>
      </c>
      <c r="CW25" s="170">
        <f t="shared" si="153"/>
        <v>2.1132181091600533E-2</v>
      </c>
      <c r="CX25" s="159"/>
      <c r="CY25" s="165"/>
      <c r="CZ25" s="159"/>
      <c r="DA25" s="159"/>
      <c r="DB25" s="159"/>
      <c r="DC25" s="159"/>
      <c r="DD25" s="159"/>
      <c r="DO25" s="159"/>
      <c r="DP25" s="159"/>
      <c r="DQ25" s="159"/>
    </row>
    <row r="26" spans="1:121" s="221" customFormat="1">
      <c r="A26" s="203" t="s">
        <v>724</v>
      </c>
      <c r="B26" s="203"/>
      <c r="C26" s="203"/>
      <c r="D26" s="203"/>
      <c r="E26" s="203"/>
      <c r="F26" s="203"/>
      <c r="G26" s="205" t="e">
        <f t="shared" si="140"/>
        <v>#DIV/0!</v>
      </c>
      <c r="H26" s="205"/>
      <c r="I26" s="205"/>
      <c r="J26" s="205"/>
      <c r="K26" s="205" t="e">
        <f t="shared" ref="K26:BV26" si="154">K10/F10-1</f>
        <v>#DIV/0!</v>
      </c>
      <c r="L26" s="205" t="e">
        <f t="shared" si="154"/>
        <v>#DIV/0!</v>
      </c>
      <c r="M26" s="205" t="e">
        <f t="shared" si="154"/>
        <v>#DIV/0!</v>
      </c>
      <c r="N26" s="205" t="e">
        <f t="shared" si="154"/>
        <v>#DIV/0!</v>
      </c>
      <c r="O26" s="205" t="e">
        <f t="shared" si="154"/>
        <v>#DIV/0!</v>
      </c>
      <c r="P26" s="205" t="e">
        <f t="shared" si="154"/>
        <v>#DIV/0!</v>
      </c>
      <c r="Q26" s="205" t="e">
        <f t="shared" si="154"/>
        <v>#DIV/0!</v>
      </c>
      <c r="R26" s="205" t="e">
        <f t="shared" si="154"/>
        <v>#DIV/0!</v>
      </c>
      <c r="S26" s="205" t="e">
        <f t="shared" si="154"/>
        <v>#DIV/0!</v>
      </c>
      <c r="T26" s="205" t="e">
        <f t="shared" si="154"/>
        <v>#DIV/0!</v>
      </c>
      <c r="U26" s="205" t="e">
        <f t="shared" si="154"/>
        <v>#DIV/0!</v>
      </c>
      <c r="V26" s="205" t="e">
        <f t="shared" si="154"/>
        <v>#DIV/0!</v>
      </c>
      <c r="W26" s="205" t="e">
        <f t="shared" si="154"/>
        <v>#DIV/0!</v>
      </c>
      <c r="X26" s="205" t="e">
        <f t="shared" si="154"/>
        <v>#DIV/0!</v>
      </c>
      <c r="Y26" s="205" t="e">
        <f t="shared" si="154"/>
        <v>#DIV/0!</v>
      </c>
      <c r="Z26" s="205" t="e">
        <f t="shared" si="154"/>
        <v>#DIV/0!</v>
      </c>
      <c r="AA26" s="205" t="e">
        <f t="shared" si="154"/>
        <v>#DIV/0!</v>
      </c>
      <c r="AB26" s="205" t="e">
        <f t="shared" si="154"/>
        <v>#DIV/0!</v>
      </c>
      <c r="AC26" s="205" t="e">
        <f t="shared" si="154"/>
        <v>#DIV/0!</v>
      </c>
      <c r="AD26" s="205" t="e">
        <f t="shared" si="154"/>
        <v>#DIV/0!</v>
      </c>
      <c r="AE26" s="205" t="e">
        <f t="shared" si="154"/>
        <v>#DIV/0!</v>
      </c>
      <c r="AF26" s="205" t="e">
        <f t="shared" si="154"/>
        <v>#DIV/0!</v>
      </c>
      <c r="AG26" s="205" t="e">
        <f t="shared" si="154"/>
        <v>#DIV/0!</v>
      </c>
      <c r="AH26" s="205" t="e">
        <f t="shared" si="154"/>
        <v>#DIV/0!</v>
      </c>
      <c r="AI26" s="205" t="e">
        <f t="shared" si="154"/>
        <v>#DIV/0!</v>
      </c>
      <c r="AJ26" s="205" t="e">
        <f t="shared" si="154"/>
        <v>#DIV/0!</v>
      </c>
      <c r="AK26" s="205" t="e">
        <f t="shared" si="154"/>
        <v>#DIV/0!</v>
      </c>
      <c r="AL26" s="205" t="e">
        <f t="shared" si="154"/>
        <v>#DIV/0!</v>
      </c>
      <c r="AM26" s="205" t="e">
        <f t="shared" si="154"/>
        <v>#DIV/0!</v>
      </c>
      <c r="AN26" s="205" t="e">
        <f t="shared" si="154"/>
        <v>#DIV/0!</v>
      </c>
      <c r="AO26" s="205" t="e">
        <f t="shared" si="154"/>
        <v>#DIV/0!</v>
      </c>
      <c r="AP26" s="205" t="e">
        <f t="shared" si="154"/>
        <v>#DIV/0!</v>
      </c>
      <c r="AQ26" s="205" t="e">
        <f t="shared" si="154"/>
        <v>#DIV/0!</v>
      </c>
      <c r="AR26" s="205" t="e">
        <f t="shared" si="154"/>
        <v>#DIV/0!</v>
      </c>
      <c r="AS26" s="205" t="e">
        <f t="shared" si="154"/>
        <v>#DIV/0!</v>
      </c>
      <c r="AT26" s="205" t="e">
        <f t="shared" si="154"/>
        <v>#DIV/0!</v>
      </c>
      <c r="AU26" s="205" t="e">
        <f t="shared" si="154"/>
        <v>#DIV/0!</v>
      </c>
      <c r="AV26" s="205" t="e">
        <f t="shared" si="154"/>
        <v>#DIV/0!</v>
      </c>
      <c r="AW26" s="205" t="e">
        <f t="shared" si="154"/>
        <v>#DIV/0!</v>
      </c>
      <c r="AX26" s="205" t="e">
        <f t="shared" si="154"/>
        <v>#DIV/0!</v>
      </c>
      <c r="AY26" s="205" t="e">
        <f t="shared" si="154"/>
        <v>#DIV/0!</v>
      </c>
      <c r="AZ26" s="205" t="e">
        <f t="shared" si="154"/>
        <v>#DIV/0!</v>
      </c>
      <c r="BA26" s="205" t="e">
        <f t="shared" si="154"/>
        <v>#DIV/0!</v>
      </c>
      <c r="BB26" s="205" t="e">
        <f t="shared" si="154"/>
        <v>#DIV/0!</v>
      </c>
      <c r="BC26" s="205" t="e">
        <f t="shared" si="154"/>
        <v>#DIV/0!</v>
      </c>
      <c r="BD26" s="205" t="e">
        <f t="shared" si="154"/>
        <v>#DIV/0!</v>
      </c>
      <c r="BE26" s="205" t="e">
        <f t="shared" si="154"/>
        <v>#DIV/0!</v>
      </c>
      <c r="BF26" s="205" t="e">
        <f t="shared" si="154"/>
        <v>#DIV/0!</v>
      </c>
      <c r="BG26" s="205" t="e">
        <f t="shared" si="154"/>
        <v>#DIV/0!</v>
      </c>
      <c r="BH26" s="205" t="e">
        <f t="shared" si="154"/>
        <v>#DIV/0!</v>
      </c>
      <c r="BI26" s="205" t="e">
        <f t="shared" si="154"/>
        <v>#DIV/0!</v>
      </c>
      <c r="BJ26" s="205" t="e">
        <f t="shared" si="154"/>
        <v>#DIV/0!</v>
      </c>
      <c r="BK26" s="205" t="e">
        <f t="shared" si="154"/>
        <v>#DIV/0!</v>
      </c>
      <c r="BL26" s="205" t="e">
        <f t="shared" si="154"/>
        <v>#DIV/0!</v>
      </c>
      <c r="BM26" s="205" t="e">
        <f t="shared" si="154"/>
        <v>#DIV/0!</v>
      </c>
      <c r="BN26" s="205" t="e">
        <f t="shared" si="154"/>
        <v>#DIV/0!</v>
      </c>
      <c r="BO26" s="205" t="e">
        <f t="shared" si="154"/>
        <v>#DIV/0!</v>
      </c>
      <c r="BP26" s="205" t="e">
        <f t="shared" si="154"/>
        <v>#DIV/0!</v>
      </c>
      <c r="BQ26" s="205" t="e">
        <f t="shared" si="154"/>
        <v>#DIV/0!</v>
      </c>
      <c r="BR26" s="205" t="e">
        <f t="shared" si="154"/>
        <v>#DIV/0!</v>
      </c>
      <c r="BS26" s="205" t="e">
        <f t="shared" si="154"/>
        <v>#DIV/0!</v>
      </c>
      <c r="BT26" s="205" t="e">
        <f t="shared" si="154"/>
        <v>#DIV/0!</v>
      </c>
      <c r="BU26" s="205">
        <f t="shared" si="154"/>
        <v>5.4347826086956541E-2</v>
      </c>
      <c r="BV26" s="205">
        <f t="shared" si="154"/>
        <v>4.0431266846361114E-2</v>
      </c>
      <c r="BW26" s="205">
        <f t="shared" ref="BW26:CP26" si="155">BW10/BR10-1</f>
        <v>1.8421052631578894E-2</v>
      </c>
      <c r="BX26" s="205">
        <f t="shared" si="155"/>
        <v>-8.7719298245614086E-2</v>
      </c>
      <c r="BY26" s="205">
        <f t="shared" si="155"/>
        <v>4.6113306982871194E-3</v>
      </c>
      <c r="BZ26" s="205">
        <f t="shared" si="155"/>
        <v>-5.9278350515463929E-2</v>
      </c>
      <c r="CA26" s="205">
        <f t="shared" si="155"/>
        <v>-6.2176165803108807E-2</v>
      </c>
      <c r="CB26" s="205">
        <f t="shared" si="155"/>
        <v>-1.8087855297157618E-2</v>
      </c>
      <c r="CC26" s="205">
        <f t="shared" si="155"/>
        <v>0.10164835164835173</v>
      </c>
      <c r="CD26" s="205">
        <f t="shared" si="155"/>
        <v>-1.1147540983606596E-2</v>
      </c>
      <c r="CE26" s="205">
        <f t="shared" si="155"/>
        <v>6.02739726027397E-2</v>
      </c>
      <c r="CF26" s="205">
        <f t="shared" si="155"/>
        <v>0.10773480662983426</v>
      </c>
      <c r="CG26" s="205">
        <f t="shared" si="155"/>
        <v>4.2105263157894646E-2</v>
      </c>
      <c r="CH26" s="205">
        <f t="shared" si="155"/>
        <v>6.2344139650872821E-2</v>
      </c>
      <c r="CI26" s="205">
        <f>CI10/CD10-1</f>
        <v>6.7639257294429767E-2</v>
      </c>
      <c r="CJ26" s="205">
        <f t="shared" si="155"/>
        <v>2.8423772609819098E-2</v>
      </c>
      <c r="CK26" s="205">
        <f t="shared" si="155"/>
        <v>1.4962593516209433E-2</v>
      </c>
      <c r="CL26" s="205">
        <f t="shared" si="155"/>
        <v>5.555555555555558E-2</v>
      </c>
      <c r="CM26" s="205">
        <f t="shared" si="155"/>
        <v>3.7558685446009488E-2</v>
      </c>
      <c r="CN26" s="205">
        <f>CN10/CI10-1</f>
        <v>3.4161490683229712E-2</v>
      </c>
      <c r="CO26" s="205">
        <f t="shared" si="155"/>
        <v>5.2763819095477338E-2</v>
      </c>
      <c r="CP26" s="205">
        <f t="shared" si="155"/>
        <v>2.2113022113022129E-2</v>
      </c>
      <c r="CQ26" s="205">
        <f>CQ10/CN10-1</f>
        <v>2.4999999999999467E-3</v>
      </c>
      <c r="CR26" s="205">
        <f t="shared" ref="CR26:CW26" si="156">CR10/CQ10-1</f>
        <v>5.0000000000000044E-2</v>
      </c>
      <c r="CS26" s="205">
        <f t="shared" si="156"/>
        <v>5.0000000000000044E-2</v>
      </c>
      <c r="CT26" s="205">
        <f t="shared" si="156"/>
        <v>5.0000000000000044E-2</v>
      </c>
      <c r="CU26" s="205">
        <f t="shared" si="156"/>
        <v>5.0000000000000044E-2</v>
      </c>
      <c r="CV26" s="205">
        <f t="shared" si="156"/>
        <v>5.0000000000000044E-2</v>
      </c>
      <c r="CW26" s="205">
        <f t="shared" si="156"/>
        <v>5.0000000000000044E-2</v>
      </c>
      <c r="CX26" s="165"/>
      <c r="CY26" s="165"/>
      <c r="CZ26" s="165"/>
      <c r="DA26" s="165"/>
      <c r="DB26" s="165"/>
      <c r="DC26" s="165"/>
      <c r="DD26" s="165"/>
      <c r="DO26" s="165"/>
      <c r="DP26" s="165"/>
      <c r="DQ26" s="165"/>
    </row>
    <row r="27" spans="1:121">
      <c r="A27" s="137" t="s">
        <v>646</v>
      </c>
      <c r="B27" s="203"/>
      <c r="C27" s="203"/>
      <c r="D27" s="203"/>
      <c r="E27" s="203"/>
      <c r="F27" s="203"/>
      <c r="G27" s="170" t="e">
        <f t="shared" si="140"/>
        <v>#DIV/0!</v>
      </c>
      <c r="H27" s="170"/>
      <c r="I27" s="170"/>
      <c r="J27" s="170"/>
      <c r="K27" s="170" t="e">
        <f t="shared" ref="K27:BV27" si="157">K11/F11-1</f>
        <v>#DIV/0!</v>
      </c>
      <c r="L27" s="170" t="e">
        <f t="shared" si="157"/>
        <v>#DIV/0!</v>
      </c>
      <c r="M27" s="170" t="e">
        <f t="shared" si="157"/>
        <v>#DIV/0!</v>
      </c>
      <c r="N27" s="170" t="e">
        <f t="shared" si="157"/>
        <v>#DIV/0!</v>
      </c>
      <c r="O27" s="170" t="e">
        <f t="shared" si="157"/>
        <v>#DIV/0!</v>
      </c>
      <c r="P27" s="170" t="e">
        <f t="shared" si="157"/>
        <v>#DIV/0!</v>
      </c>
      <c r="Q27" s="170" t="e">
        <f t="shared" si="157"/>
        <v>#DIV/0!</v>
      </c>
      <c r="R27" s="170" t="e">
        <f t="shared" si="157"/>
        <v>#DIV/0!</v>
      </c>
      <c r="S27" s="170" t="e">
        <f t="shared" si="157"/>
        <v>#DIV/0!</v>
      </c>
      <c r="T27" s="170" t="e">
        <f t="shared" si="157"/>
        <v>#DIV/0!</v>
      </c>
      <c r="U27" s="170" t="e">
        <f t="shared" si="157"/>
        <v>#DIV/0!</v>
      </c>
      <c r="V27" s="170" t="e">
        <f t="shared" si="157"/>
        <v>#DIV/0!</v>
      </c>
      <c r="W27" s="170" t="e">
        <f t="shared" si="157"/>
        <v>#DIV/0!</v>
      </c>
      <c r="X27" s="170" t="e">
        <f t="shared" si="157"/>
        <v>#DIV/0!</v>
      </c>
      <c r="Y27" s="170" t="e">
        <f t="shared" si="157"/>
        <v>#DIV/0!</v>
      </c>
      <c r="Z27" s="170" t="e">
        <f t="shared" si="157"/>
        <v>#DIV/0!</v>
      </c>
      <c r="AA27" s="170" t="e">
        <f t="shared" si="157"/>
        <v>#DIV/0!</v>
      </c>
      <c r="AB27" s="170" t="e">
        <f t="shared" si="157"/>
        <v>#DIV/0!</v>
      </c>
      <c r="AC27" s="170" t="e">
        <f t="shared" si="157"/>
        <v>#DIV/0!</v>
      </c>
      <c r="AD27" s="170" t="e">
        <f t="shared" si="157"/>
        <v>#DIV/0!</v>
      </c>
      <c r="AE27" s="170" t="e">
        <f t="shared" si="157"/>
        <v>#DIV/0!</v>
      </c>
      <c r="AF27" s="170" t="e">
        <f t="shared" si="157"/>
        <v>#DIV/0!</v>
      </c>
      <c r="AG27" s="170" t="e">
        <f t="shared" si="157"/>
        <v>#DIV/0!</v>
      </c>
      <c r="AH27" s="170" t="e">
        <f t="shared" si="157"/>
        <v>#DIV/0!</v>
      </c>
      <c r="AI27" s="170" t="e">
        <f t="shared" si="157"/>
        <v>#DIV/0!</v>
      </c>
      <c r="AJ27" s="170" t="e">
        <f t="shared" si="157"/>
        <v>#DIV/0!</v>
      </c>
      <c r="AK27" s="170" t="e">
        <f t="shared" si="157"/>
        <v>#DIV/0!</v>
      </c>
      <c r="AL27" s="170" t="e">
        <f t="shared" si="157"/>
        <v>#DIV/0!</v>
      </c>
      <c r="AM27" s="170" t="e">
        <f t="shared" si="157"/>
        <v>#DIV/0!</v>
      </c>
      <c r="AN27" s="170" t="e">
        <f t="shared" si="157"/>
        <v>#DIV/0!</v>
      </c>
      <c r="AO27" s="170" t="e">
        <f t="shared" si="157"/>
        <v>#DIV/0!</v>
      </c>
      <c r="AP27" s="170" t="e">
        <f t="shared" si="157"/>
        <v>#DIV/0!</v>
      </c>
      <c r="AQ27" s="170" t="e">
        <f t="shared" si="157"/>
        <v>#DIV/0!</v>
      </c>
      <c r="AR27" s="170" t="e">
        <f t="shared" si="157"/>
        <v>#DIV/0!</v>
      </c>
      <c r="AS27" s="170" t="e">
        <f t="shared" si="157"/>
        <v>#DIV/0!</v>
      </c>
      <c r="AT27" s="170" t="e">
        <f t="shared" si="157"/>
        <v>#DIV/0!</v>
      </c>
      <c r="AU27" s="170" t="e">
        <f t="shared" si="157"/>
        <v>#DIV/0!</v>
      </c>
      <c r="AV27" s="170" t="e">
        <f t="shared" si="157"/>
        <v>#DIV/0!</v>
      </c>
      <c r="AW27" s="170" t="e">
        <f t="shared" si="157"/>
        <v>#DIV/0!</v>
      </c>
      <c r="AX27" s="170" t="e">
        <f t="shared" si="157"/>
        <v>#DIV/0!</v>
      </c>
      <c r="AY27" s="170" t="e">
        <f t="shared" si="157"/>
        <v>#DIV/0!</v>
      </c>
      <c r="AZ27" s="170" t="e">
        <f t="shared" si="157"/>
        <v>#DIV/0!</v>
      </c>
      <c r="BA27" s="170" t="e">
        <f t="shared" si="157"/>
        <v>#DIV/0!</v>
      </c>
      <c r="BB27" s="170" t="e">
        <f t="shared" si="157"/>
        <v>#DIV/0!</v>
      </c>
      <c r="BC27" s="170" t="e">
        <f t="shared" si="157"/>
        <v>#DIV/0!</v>
      </c>
      <c r="BD27" s="170" t="e">
        <f t="shared" si="157"/>
        <v>#DIV/0!</v>
      </c>
      <c r="BE27" s="170" t="e">
        <f t="shared" si="157"/>
        <v>#DIV/0!</v>
      </c>
      <c r="BF27" s="170" t="e">
        <f t="shared" si="157"/>
        <v>#DIV/0!</v>
      </c>
      <c r="BG27" s="170" t="e">
        <f t="shared" si="157"/>
        <v>#DIV/0!</v>
      </c>
      <c r="BH27" s="170" t="e">
        <f t="shared" si="157"/>
        <v>#DIV/0!</v>
      </c>
      <c r="BI27" s="170" t="e">
        <f t="shared" si="157"/>
        <v>#DIV/0!</v>
      </c>
      <c r="BJ27" s="170" t="e">
        <f t="shared" si="157"/>
        <v>#DIV/0!</v>
      </c>
      <c r="BK27" s="170" t="e">
        <f t="shared" si="157"/>
        <v>#DIV/0!</v>
      </c>
      <c r="BL27" s="170" t="e">
        <f t="shared" si="157"/>
        <v>#DIV/0!</v>
      </c>
      <c r="BM27" s="170" t="e">
        <f t="shared" si="157"/>
        <v>#DIV/0!</v>
      </c>
      <c r="BN27" s="170" t="e">
        <f t="shared" si="157"/>
        <v>#DIV/0!</v>
      </c>
      <c r="BO27" s="170" t="e">
        <f t="shared" si="157"/>
        <v>#DIV/0!</v>
      </c>
      <c r="BP27" s="170" t="e">
        <f t="shared" si="157"/>
        <v>#DIV/0!</v>
      </c>
      <c r="BQ27" s="170" t="e">
        <f t="shared" si="157"/>
        <v>#DIV/0!</v>
      </c>
      <c r="BR27" s="170" t="e">
        <f t="shared" si="157"/>
        <v>#DIV/0!</v>
      </c>
      <c r="BS27" s="170" t="e">
        <f t="shared" si="157"/>
        <v>#DIV/0!</v>
      </c>
      <c r="BT27" s="170" t="e">
        <f t="shared" si="157"/>
        <v>#DIV/0!</v>
      </c>
      <c r="BU27" s="170">
        <f t="shared" si="157"/>
        <v>2.7777777777777679E-2</v>
      </c>
      <c r="BV27" s="170">
        <f t="shared" si="157"/>
        <v>0</v>
      </c>
      <c r="BW27" s="170">
        <f t="shared" ref="BW27:CP27" si="158">BW11/BR11-1</f>
        <v>6.9892473118279508E-2</v>
      </c>
      <c r="BX27" s="170">
        <f t="shared" si="158"/>
        <v>9.5238095238095344E-2</v>
      </c>
      <c r="BY27" s="170">
        <f t="shared" si="158"/>
        <v>4.8648648648648596E-2</v>
      </c>
      <c r="BZ27" s="170">
        <f t="shared" si="158"/>
        <v>8.1081081081081141E-2</v>
      </c>
      <c r="CA27" s="170">
        <f t="shared" si="158"/>
        <v>8.6486486486486491E-2</v>
      </c>
      <c r="CB27" s="170">
        <f t="shared" si="158"/>
        <v>5.0251256281406143E-3</v>
      </c>
      <c r="CC27" s="170">
        <f t="shared" si="158"/>
        <v>-9.6618357487923134E-3</v>
      </c>
      <c r="CD27" s="170">
        <f t="shared" si="158"/>
        <v>3.8659793814433074E-2</v>
      </c>
      <c r="CE27" s="170">
        <f t="shared" si="158"/>
        <v>0</v>
      </c>
      <c r="CF27" s="170">
        <f t="shared" si="158"/>
        <v>4.9751243781095411E-3</v>
      </c>
      <c r="CG27" s="170">
        <f t="shared" si="158"/>
        <v>4.4999999999999929E-2</v>
      </c>
      <c r="CH27" s="170">
        <f t="shared" si="158"/>
        <v>4.8780487804878092E-2</v>
      </c>
      <c r="CI27" s="170"/>
      <c r="CJ27" s="170">
        <f t="shared" si="158"/>
        <v>6.4999999999999947E-2</v>
      </c>
      <c r="CK27" s="170">
        <f t="shared" si="158"/>
        <v>2.4752475247524774E-2</v>
      </c>
      <c r="CL27" s="170">
        <f t="shared" si="158"/>
        <v>-9.5693779904306719E-3</v>
      </c>
      <c r="CM27" s="170">
        <f t="shared" si="158"/>
        <v>-4.6511627906976605E-3</v>
      </c>
      <c r="CN27" s="170"/>
      <c r="CO27" s="170">
        <f t="shared" si="158"/>
        <v>-9.3896713615023719E-3</v>
      </c>
      <c r="CP27" s="170">
        <f t="shared" si="158"/>
        <v>9.6618357487923134E-3</v>
      </c>
      <c r="CQ27" s="170"/>
      <c r="CR27" s="170"/>
      <c r="CS27" s="170"/>
      <c r="CT27" s="170"/>
      <c r="CU27" s="170"/>
      <c r="CV27" s="170"/>
      <c r="CW27" s="170"/>
      <c r="CX27" s="159"/>
      <c r="CY27" s="165"/>
      <c r="CZ27" s="159"/>
      <c r="DA27" s="159"/>
      <c r="DB27" s="159"/>
      <c r="DC27" s="159"/>
      <c r="DD27" s="159"/>
      <c r="DO27" s="159"/>
      <c r="DP27" s="159"/>
      <c r="DQ27" s="159"/>
    </row>
    <row r="28" spans="1:121">
      <c r="A28" s="137" t="s">
        <v>635</v>
      </c>
      <c r="B28" s="203"/>
      <c r="C28" s="203"/>
      <c r="D28" s="203"/>
      <c r="E28" s="203"/>
      <c r="F28" s="203"/>
      <c r="G28" s="170" t="e">
        <f t="shared" si="140"/>
        <v>#DIV/0!</v>
      </c>
      <c r="H28" s="170"/>
      <c r="I28" s="170"/>
      <c r="J28" s="170"/>
      <c r="K28" s="170" t="e">
        <f t="shared" ref="K28:BV28" si="159">K12/F12-1</f>
        <v>#DIV/0!</v>
      </c>
      <c r="L28" s="170" t="e">
        <f t="shared" si="159"/>
        <v>#DIV/0!</v>
      </c>
      <c r="M28" s="170" t="e">
        <f t="shared" si="159"/>
        <v>#DIV/0!</v>
      </c>
      <c r="N28" s="170" t="e">
        <f t="shared" si="159"/>
        <v>#DIV/0!</v>
      </c>
      <c r="O28" s="170" t="e">
        <f t="shared" si="159"/>
        <v>#DIV/0!</v>
      </c>
      <c r="P28" s="170" t="e">
        <f t="shared" si="159"/>
        <v>#DIV/0!</v>
      </c>
      <c r="Q28" s="170" t="e">
        <f t="shared" si="159"/>
        <v>#DIV/0!</v>
      </c>
      <c r="R28" s="170" t="e">
        <f t="shared" si="159"/>
        <v>#DIV/0!</v>
      </c>
      <c r="S28" s="170" t="e">
        <f t="shared" si="159"/>
        <v>#DIV/0!</v>
      </c>
      <c r="T28" s="170" t="e">
        <f t="shared" si="159"/>
        <v>#DIV/0!</v>
      </c>
      <c r="U28" s="170" t="e">
        <f t="shared" si="159"/>
        <v>#DIV/0!</v>
      </c>
      <c r="V28" s="170" t="e">
        <f t="shared" si="159"/>
        <v>#DIV/0!</v>
      </c>
      <c r="W28" s="170" t="e">
        <f t="shared" si="159"/>
        <v>#DIV/0!</v>
      </c>
      <c r="X28" s="170" t="e">
        <f t="shared" si="159"/>
        <v>#DIV/0!</v>
      </c>
      <c r="Y28" s="170" t="e">
        <f t="shared" si="159"/>
        <v>#DIV/0!</v>
      </c>
      <c r="Z28" s="170" t="e">
        <f t="shared" si="159"/>
        <v>#DIV/0!</v>
      </c>
      <c r="AA28" s="170" t="e">
        <f t="shared" si="159"/>
        <v>#DIV/0!</v>
      </c>
      <c r="AB28" s="170" t="e">
        <f t="shared" si="159"/>
        <v>#DIV/0!</v>
      </c>
      <c r="AC28" s="170" t="e">
        <f t="shared" si="159"/>
        <v>#DIV/0!</v>
      </c>
      <c r="AD28" s="170" t="e">
        <f t="shared" si="159"/>
        <v>#DIV/0!</v>
      </c>
      <c r="AE28" s="170" t="e">
        <f t="shared" si="159"/>
        <v>#DIV/0!</v>
      </c>
      <c r="AF28" s="170" t="e">
        <f t="shared" si="159"/>
        <v>#DIV/0!</v>
      </c>
      <c r="AG28" s="170" t="e">
        <f t="shared" si="159"/>
        <v>#DIV/0!</v>
      </c>
      <c r="AH28" s="170" t="e">
        <f t="shared" si="159"/>
        <v>#DIV/0!</v>
      </c>
      <c r="AI28" s="170" t="e">
        <f t="shared" si="159"/>
        <v>#DIV/0!</v>
      </c>
      <c r="AJ28" s="170" t="e">
        <f t="shared" si="159"/>
        <v>#DIV/0!</v>
      </c>
      <c r="AK28" s="170" t="e">
        <f t="shared" si="159"/>
        <v>#DIV/0!</v>
      </c>
      <c r="AL28" s="170" t="e">
        <f t="shared" si="159"/>
        <v>#DIV/0!</v>
      </c>
      <c r="AM28" s="170" t="e">
        <f t="shared" si="159"/>
        <v>#DIV/0!</v>
      </c>
      <c r="AN28" s="170" t="e">
        <f t="shared" si="159"/>
        <v>#DIV/0!</v>
      </c>
      <c r="AO28" s="170" t="e">
        <f t="shared" si="159"/>
        <v>#DIV/0!</v>
      </c>
      <c r="AP28" s="170" t="e">
        <f t="shared" si="159"/>
        <v>#DIV/0!</v>
      </c>
      <c r="AQ28" s="170" t="e">
        <f t="shared" si="159"/>
        <v>#DIV/0!</v>
      </c>
      <c r="AR28" s="170" t="e">
        <f t="shared" si="159"/>
        <v>#DIV/0!</v>
      </c>
      <c r="AS28" s="170" t="e">
        <f t="shared" si="159"/>
        <v>#DIV/0!</v>
      </c>
      <c r="AT28" s="170" t="e">
        <f t="shared" si="159"/>
        <v>#DIV/0!</v>
      </c>
      <c r="AU28" s="170" t="e">
        <f t="shared" si="159"/>
        <v>#DIV/0!</v>
      </c>
      <c r="AV28" s="170" t="e">
        <f t="shared" si="159"/>
        <v>#DIV/0!</v>
      </c>
      <c r="AW28" s="170" t="e">
        <f t="shared" si="159"/>
        <v>#DIV/0!</v>
      </c>
      <c r="AX28" s="170" t="e">
        <f t="shared" si="159"/>
        <v>#DIV/0!</v>
      </c>
      <c r="AY28" s="170" t="e">
        <f t="shared" si="159"/>
        <v>#DIV/0!</v>
      </c>
      <c r="AZ28" s="170" t="e">
        <f t="shared" si="159"/>
        <v>#DIV/0!</v>
      </c>
      <c r="BA28" s="170" t="e">
        <f t="shared" si="159"/>
        <v>#DIV/0!</v>
      </c>
      <c r="BB28" s="170" t="e">
        <f t="shared" si="159"/>
        <v>#DIV/0!</v>
      </c>
      <c r="BC28" s="170" t="e">
        <f t="shared" si="159"/>
        <v>#DIV/0!</v>
      </c>
      <c r="BD28" s="170" t="e">
        <f t="shared" si="159"/>
        <v>#DIV/0!</v>
      </c>
      <c r="BE28" s="170" t="e">
        <f t="shared" si="159"/>
        <v>#DIV/0!</v>
      </c>
      <c r="BF28" s="170" t="e">
        <f t="shared" si="159"/>
        <v>#DIV/0!</v>
      </c>
      <c r="BG28" s="170" t="e">
        <f t="shared" si="159"/>
        <v>#DIV/0!</v>
      </c>
      <c r="BH28" s="170" t="e">
        <f t="shared" si="159"/>
        <v>#DIV/0!</v>
      </c>
      <c r="BI28" s="170" t="e">
        <f t="shared" si="159"/>
        <v>#DIV/0!</v>
      </c>
      <c r="BJ28" s="170" t="e">
        <f t="shared" si="159"/>
        <v>#DIV/0!</v>
      </c>
      <c r="BK28" s="170" t="e">
        <f t="shared" si="159"/>
        <v>#DIV/0!</v>
      </c>
      <c r="BL28" s="170" t="e">
        <f t="shared" si="159"/>
        <v>#DIV/0!</v>
      </c>
      <c r="BM28" s="170" t="e">
        <f t="shared" si="159"/>
        <v>#DIV/0!</v>
      </c>
      <c r="BN28" s="170" t="e">
        <f t="shared" si="159"/>
        <v>#DIV/0!</v>
      </c>
      <c r="BO28" s="170" t="e">
        <f t="shared" si="159"/>
        <v>#DIV/0!</v>
      </c>
      <c r="BP28" s="170" t="e">
        <f t="shared" si="159"/>
        <v>#DIV/0!</v>
      </c>
      <c r="BQ28" s="170" t="e">
        <f t="shared" si="159"/>
        <v>#DIV/0!</v>
      </c>
      <c r="BR28" s="170" t="e">
        <f t="shared" si="159"/>
        <v>#DIV/0!</v>
      </c>
      <c r="BS28" s="170" t="e">
        <f t="shared" si="159"/>
        <v>#DIV/0!</v>
      </c>
      <c r="BT28" s="170" t="e">
        <f t="shared" si="159"/>
        <v>#DIV/0!</v>
      </c>
      <c r="BU28" s="170">
        <f t="shared" si="159"/>
        <v>7.9787234042553168E-2</v>
      </c>
      <c r="BV28" s="170">
        <f t="shared" si="159"/>
        <v>8.0645161290322509E-2</v>
      </c>
      <c r="BW28" s="170">
        <f t="shared" ref="BW28:CP28" si="160">BW12/BR12-1</f>
        <v>-3.0927835051546393E-2</v>
      </c>
      <c r="BX28" s="170">
        <f t="shared" si="160"/>
        <v>-0.25238095238095237</v>
      </c>
      <c r="BY28" s="170">
        <f t="shared" si="160"/>
        <v>-3.7275064267352165E-2</v>
      </c>
      <c r="BZ28" s="170">
        <f t="shared" si="160"/>
        <v>-0.18719211822660098</v>
      </c>
      <c r="CA28" s="170">
        <f t="shared" si="160"/>
        <v>-0.19900497512437809</v>
      </c>
      <c r="CB28" s="170">
        <f t="shared" si="160"/>
        <v>-4.2553191489361653E-2</v>
      </c>
      <c r="CC28" s="170">
        <f t="shared" si="160"/>
        <v>0.24840764331210186</v>
      </c>
      <c r="CD28" s="170">
        <f t="shared" si="160"/>
        <v>-6.2750333778371137E-2</v>
      </c>
      <c r="CE28" s="170">
        <f t="shared" si="160"/>
        <v>0.1333333333333333</v>
      </c>
      <c r="CF28" s="170">
        <f t="shared" si="160"/>
        <v>0.2360248447204969</v>
      </c>
      <c r="CG28" s="170">
        <f t="shared" si="160"/>
        <v>3.8888888888888973E-2</v>
      </c>
      <c r="CH28" s="170">
        <f t="shared" si="160"/>
        <v>7.6530612244897878E-2</v>
      </c>
      <c r="CI28" s="170"/>
      <c r="CJ28" s="170">
        <f t="shared" si="160"/>
        <v>-1.0695187165775444E-2</v>
      </c>
      <c r="CK28" s="170">
        <f t="shared" si="160"/>
        <v>5.0251256281406143E-3</v>
      </c>
      <c r="CL28" s="170">
        <f t="shared" si="160"/>
        <v>0.12834224598930488</v>
      </c>
      <c r="CM28" s="170">
        <f t="shared" si="160"/>
        <v>8.0568720379146974E-2</v>
      </c>
      <c r="CN28" s="170"/>
      <c r="CO28" s="170">
        <f t="shared" si="160"/>
        <v>0.12432432432432439</v>
      </c>
      <c r="CP28" s="170">
        <f t="shared" si="160"/>
        <v>3.499999999999992E-2</v>
      </c>
      <c r="CQ28" s="170"/>
      <c r="CR28" s="170"/>
      <c r="CS28" s="170"/>
      <c r="CT28" s="170"/>
      <c r="CU28" s="170"/>
      <c r="CV28" s="170"/>
      <c r="CW28" s="170"/>
      <c r="CX28" s="159"/>
      <c r="CY28" s="165"/>
      <c r="CZ28" s="159"/>
      <c r="DA28" s="159"/>
      <c r="DB28" s="159"/>
      <c r="DC28" s="159"/>
      <c r="DD28" s="159"/>
      <c r="DO28" s="159"/>
      <c r="DP28" s="159"/>
      <c r="DQ28" s="159"/>
    </row>
    <row r="29" spans="1:121">
      <c r="A29" s="159"/>
      <c r="B29" s="203"/>
      <c r="C29" s="203"/>
      <c r="D29" s="203"/>
      <c r="E29" s="203"/>
      <c r="F29" s="203"/>
      <c r="G29" s="203"/>
      <c r="H29" s="203"/>
      <c r="I29" s="203"/>
      <c r="J29" s="203"/>
      <c r="K29" s="203"/>
      <c r="L29" s="203"/>
      <c r="M29" s="203"/>
      <c r="N29" s="203"/>
      <c r="O29" s="203"/>
      <c r="P29" s="203"/>
      <c r="Q29" s="203"/>
      <c r="R29" s="203"/>
      <c r="S29" s="203"/>
      <c r="T29" s="203"/>
      <c r="U29" s="203"/>
      <c r="V29" s="203"/>
      <c r="W29" s="203"/>
      <c r="X29" s="203"/>
      <c r="Y29" s="203"/>
      <c r="Z29" s="203"/>
      <c r="AA29" s="203"/>
      <c r="AB29" s="203"/>
      <c r="AC29" s="203"/>
      <c r="AD29" s="203"/>
      <c r="AE29" s="203"/>
      <c r="AF29" s="203"/>
      <c r="AG29" s="203"/>
      <c r="AH29" s="203"/>
      <c r="AI29" s="203"/>
      <c r="AJ29" s="203"/>
      <c r="AK29" s="203"/>
      <c r="AL29" s="203"/>
      <c r="AM29" s="203"/>
      <c r="AN29" s="203"/>
      <c r="AO29" s="203"/>
      <c r="AP29" s="203"/>
      <c r="AQ29" s="203"/>
      <c r="AR29" s="203"/>
      <c r="AS29" s="203"/>
      <c r="AT29" s="203"/>
      <c r="AU29" s="203"/>
      <c r="AV29" s="203"/>
      <c r="AW29" s="203"/>
      <c r="AX29" s="203"/>
      <c r="AY29" s="203"/>
      <c r="AZ29" s="203"/>
      <c r="BA29" s="203"/>
      <c r="BB29" s="203"/>
      <c r="BC29" s="203"/>
      <c r="BD29" s="203"/>
      <c r="BE29" s="203"/>
      <c r="BF29" s="203"/>
      <c r="BG29" s="203"/>
      <c r="BH29" s="203"/>
      <c r="BI29" s="203"/>
      <c r="BJ29" s="203"/>
      <c r="BK29" s="203"/>
      <c r="BL29" s="203"/>
      <c r="BM29" s="203"/>
      <c r="BN29" s="203"/>
      <c r="BO29" s="203"/>
      <c r="BP29" s="203"/>
      <c r="BQ29" s="203"/>
      <c r="BR29" s="203"/>
      <c r="BS29" s="203"/>
      <c r="BT29" s="203"/>
      <c r="BU29" s="203"/>
      <c r="BV29" s="203"/>
      <c r="BW29" s="203"/>
      <c r="BX29" s="203"/>
      <c r="BY29" s="203"/>
      <c r="BZ29" s="203"/>
      <c r="CA29" s="203"/>
      <c r="CB29" s="203"/>
      <c r="CC29" s="203"/>
      <c r="CD29" s="203"/>
      <c r="CE29" s="203"/>
      <c r="CF29" s="203"/>
      <c r="CG29" s="203"/>
      <c r="CH29" s="203"/>
      <c r="CI29" s="203"/>
      <c r="CJ29" s="203"/>
      <c r="CK29" s="203"/>
      <c r="CL29" s="203"/>
      <c r="CM29" s="203"/>
      <c r="CN29" s="203"/>
      <c r="CO29" s="203"/>
      <c r="CP29" s="203"/>
      <c r="CQ29" s="203"/>
      <c r="CR29" s="203"/>
      <c r="CS29" s="203"/>
      <c r="CT29" s="203"/>
      <c r="CU29" s="203"/>
      <c r="CV29" s="203"/>
      <c r="CW29" s="203"/>
      <c r="CX29" s="159"/>
      <c r="CY29" s="165"/>
      <c r="CZ29" s="159"/>
      <c r="DA29" s="159"/>
      <c r="DB29" s="159"/>
      <c r="DC29" s="159"/>
      <c r="DD29" s="159"/>
      <c r="DO29" s="159"/>
      <c r="DP29" s="159"/>
      <c r="DQ29" s="159"/>
    </row>
    <row r="30" spans="1:121">
      <c r="A30" s="159" t="s">
        <v>256</v>
      </c>
      <c r="B30" s="690">
        <f t="shared" ref="B30:AG30" si="161">B515</f>
        <v>7690</v>
      </c>
      <c r="C30" s="690">
        <f t="shared" si="161"/>
        <v>0</v>
      </c>
      <c r="D30" s="690">
        <f t="shared" si="161"/>
        <v>0</v>
      </c>
      <c r="E30" s="690">
        <f t="shared" si="161"/>
        <v>0</v>
      </c>
      <c r="F30" s="690">
        <f t="shared" si="161"/>
        <v>2204</v>
      </c>
      <c r="G30" s="690">
        <f t="shared" si="161"/>
        <v>8449.9</v>
      </c>
      <c r="H30" s="690">
        <f t="shared" si="161"/>
        <v>2129</v>
      </c>
      <c r="I30" s="690">
        <f t="shared" si="161"/>
        <v>2116</v>
      </c>
      <c r="J30" s="690">
        <f t="shared" si="161"/>
        <v>2156</v>
      </c>
      <c r="K30" s="690">
        <f t="shared" si="161"/>
        <v>2211</v>
      </c>
      <c r="L30" s="690">
        <f t="shared" si="161"/>
        <v>8612</v>
      </c>
      <c r="M30" s="690">
        <f t="shared" si="161"/>
        <v>2152</v>
      </c>
      <c r="N30" s="690">
        <f t="shared" si="161"/>
        <v>2191</v>
      </c>
      <c r="O30" s="690">
        <f t="shared" si="161"/>
        <v>2216</v>
      </c>
      <c r="P30" s="690">
        <f t="shared" si="161"/>
        <v>2310</v>
      </c>
      <c r="Q30" s="690">
        <f t="shared" si="161"/>
        <v>8869</v>
      </c>
      <c r="R30" s="690">
        <f t="shared" si="161"/>
        <v>2133</v>
      </c>
      <c r="S30" s="690">
        <f t="shared" si="161"/>
        <v>2158</v>
      </c>
      <c r="T30" s="690">
        <f t="shared" si="161"/>
        <v>2244</v>
      </c>
      <c r="U30" s="690">
        <f t="shared" si="161"/>
        <v>2248</v>
      </c>
      <c r="V30" s="690">
        <f t="shared" si="161"/>
        <v>8783</v>
      </c>
      <c r="W30" s="690">
        <f t="shared" si="161"/>
        <v>2135</v>
      </c>
      <c r="X30" s="690">
        <f t="shared" si="161"/>
        <v>2223</v>
      </c>
      <c r="Y30" s="690">
        <f t="shared" si="161"/>
        <v>2216</v>
      </c>
      <c r="Z30" s="690">
        <f t="shared" si="161"/>
        <v>2306</v>
      </c>
      <c r="AA30" s="690">
        <f t="shared" si="161"/>
        <v>8880</v>
      </c>
      <c r="AB30" s="690">
        <f t="shared" si="161"/>
        <v>2327</v>
      </c>
      <c r="AC30" s="690">
        <f t="shared" si="161"/>
        <v>2295</v>
      </c>
      <c r="AD30" s="690">
        <f t="shared" si="161"/>
        <v>2239</v>
      </c>
      <c r="AE30" s="690">
        <f t="shared" si="161"/>
        <v>2224</v>
      </c>
      <c r="AF30" s="690">
        <f t="shared" si="161"/>
        <v>9028.3719999999994</v>
      </c>
      <c r="AG30" s="690">
        <f t="shared" si="161"/>
        <v>2119</v>
      </c>
      <c r="AH30" s="690">
        <f t="shared" ref="AH30:BU30" si="162">AH515</f>
        <v>2082</v>
      </c>
      <c r="AI30" s="690">
        <f t="shared" si="162"/>
        <v>2065</v>
      </c>
      <c r="AJ30" s="690">
        <f t="shared" si="162"/>
        <v>2123</v>
      </c>
      <c r="AK30" s="690">
        <f t="shared" si="162"/>
        <v>8404</v>
      </c>
      <c r="AL30" s="690">
        <f t="shared" si="162"/>
        <v>2149</v>
      </c>
      <c r="AM30" s="690">
        <f t="shared" si="162"/>
        <v>2110</v>
      </c>
      <c r="AN30" s="690">
        <f t="shared" si="162"/>
        <v>2166</v>
      </c>
      <c r="AO30" s="690">
        <f t="shared" si="162"/>
        <v>2176</v>
      </c>
      <c r="AP30" s="690">
        <f t="shared" si="162"/>
        <v>8601</v>
      </c>
      <c r="AQ30" s="690">
        <f t="shared" si="162"/>
        <v>2140</v>
      </c>
      <c r="AR30" s="690">
        <f t="shared" si="162"/>
        <v>2102</v>
      </c>
      <c r="AS30" s="690">
        <f t="shared" si="162"/>
        <v>2156</v>
      </c>
      <c r="AT30" s="690">
        <f t="shared" si="162"/>
        <v>2214</v>
      </c>
      <c r="AU30" s="690">
        <f t="shared" si="162"/>
        <v>8612</v>
      </c>
      <c r="AV30" s="690">
        <f t="shared" si="162"/>
        <v>2375</v>
      </c>
      <c r="AW30" s="690">
        <f t="shared" si="162"/>
        <v>2335</v>
      </c>
      <c r="AX30" s="691">
        <f t="shared" si="162"/>
        <v>2333</v>
      </c>
      <c r="AY30" s="691">
        <f t="shared" si="162"/>
        <v>2376</v>
      </c>
      <c r="AZ30" s="690">
        <f t="shared" si="162"/>
        <v>9419</v>
      </c>
      <c r="BA30" s="690">
        <f t="shared" si="162"/>
        <v>2237</v>
      </c>
      <c r="BB30" s="690">
        <f t="shared" si="162"/>
        <v>2246</v>
      </c>
      <c r="BC30" s="690">
        <f t="shared" si="162"/>
        <v>2264</v>
      </c>
      <c r="BD30" s="690">
        <f t="shared" si="162"/>
        <v>2445</v>
      </c>
      <c r="BE30" s="690">
        <f t="shared" si="162"/>
        <v>9192</v>
      </c>
      <c r="BF30" s="690">
        <f t="shared" si="162"/>
        <v>2232</v>
      </c>
      <c r="BG30" s="690">
        <f t="shared" si="162"/>
        <v>2206</v>
      </c>
      <c r="BH30" s="690">
        <f t="shared" si="162"/>
        <v>2285</v>
      </c>
      <c r="BI30" s="690">
        <f t="shared" si="162"/>
        <v>2590</v>
      </c>
      <c r="BJ30" s="690">
        <f t="shared" si="162"/>
        <v>9313</v>
      </c>
      <c r="BK30" s="690">
        <f t="shared" si="162"/>
        <v>2341</v>
      </c>
      <c r="BL30" s="690">
        <f t="shared" si="162"/>
        <v>2151</v>
      </c>
      <c r="BM30" s="690">
        <f t="shared" si="162"/>
        <v>2213</v>
      </c>
      <c r="BN30" s="690">
        <f t="shared" si="162"/>
        <v>2261</v>
      </c>
      <c r="BO30" s="690">
        <f t="shared" si="162"/>
        <v>8966</v>
      </c>
      <c r="BP30" s="690">
        <f t="shared" si="162"/>
        <v>2240</v>
      </c>
      <c r="BQ30" s="690">
        <f t="shared" si="162"/>
        <v>2274</v>
      </c>
      <c r="BR30" s="690">
        <f t="shared" si="162"/>
        <v>2271</v>
      </c>
      <c r="BS30" s="690">
        <f t="shared" si="162"/>
        <v>2456</v>
      </c>
      <c r="BT30" s="690">
        <f t="shared" si="162"/>
        <v>9241</v>
      </c>
      <c r="BU30" s="692">
        <f t="shared" si="162"/>
        <v>2406</v>
      </c>
      <c r="BV30" s="692">
        <f>BV515</f>
        <v>2424</v>
      </c>
      <c r="BW30" s="692">
        <f>BW515</f>
        <v>2405</v>
      </c>
      <c r="BX30" s="692">
        <f>BX515</f>
        <v>2554</v>
      </c>
      <c r="BY30" s="690">
        <f t="shared" ref="BY30:BZ30" si="163">BY515</f>
        <v>9789</v>
      </c>
      <c r="BZ30" s="692">
        <f t="shared" si="163"/>
        <v>2526</v>
      </c>
      <c r="CA30" s="692">
        <f t="shared" ref="CA30:CB30" si="164">CA515</f>
        <v>2470</v>
      </c>
      <c r="CB30" s="692">
        <f t="shared" si="164"/>
        <v>2442</v>
      </c>
      <c r="CC30" s="692">
        <f t="shared" ref="CC30:CE30" si="165">CC515</f>
        <v>2742</v>
      </c>
      <c r="CD30" s="690">
        <f t="shared" ref="CD30:CS30" si="166">CD515</f>
        <v>10180</v>
      </c>
      <c r="CE30" s="692">
        <f t="shared" si="165"/>
        <v>2603</v>
      </c>
      <c r="CF30" s="692">
        <f t="shared" ref="CF30:CG30" si="167">CF515</f>
        <v>2586</v>
      </c>
      <c r="CG30" s="692">
        <f t="shared" si="167"/>
        <v>2576</v>
      </c>
      <c r="CH30" s="692">
        <f t="shared" ref="CH30" si="168">CH515</f>
        <v>2771</v>
      </c>
      <c r="CI30" s="690">
        <f t="shared" si="166"/>
        <v>10536</v>
      </c>
      <c r="CJ30" s="692">
        <f t="shared" si="166"/>
        <v>2608</v>
      </c>
      <c r="CK30" s="692">
        <f t="shared" ref="CK30:CL30" si="169">CK515</f>
        <v>2562</v>
      </c>
      <c r="CL30" s="692">
        <f t="shared" si="169"/>
        <v>2589</v>
      </c>
      <c r="CM30" s="692">
        <f t="shared" ref="CM30:CP30" si="170">CM515</f>
        <v>2876</v>
      </c>
      <c r="CN30" s="690">
        <f t="shared" si="170"/>
        <v>10635</v>
      </c>
      <c r="CO30" s="692">
        <f t="shared" si="170"/>
        <v>2731</v>
      </c>
      <c r="CP30" s="692">
        <f t="shared" si="170"/>
        <v>2656</v>
      </c>
      <c r="CQ30" s="690">
        <f t="shared" si="166"/>
        <v>10945.588579795789</v>
      </c>
      <c r="CR30" s="690">
        <f t="shared" si="166"/>
        <v>11217.050358444878</v>
      </c>
      <c r="CS30" s="690">
        <f t="shared" si="166"/>
        <v>11491.634183527703</v>
      </c>
      <c r="CT30" s="690">
        <f t="shared" ref="CT30:CV30" si="171">CT515</f>
        <v>11781.507149435985</v>
      </c>
      <c r="CU30" s="690">
        <f t="shared" si="171"/>
        <v>12062.40587606502</v>
      </c>
      <c r="CV30" s="690">
        <f t="shared" si="171"/>
        <v>12347.340609898634</v>
      </c>
      <c r="CW30" s="690">
        <f t="shared" ref="CW30" si="172">CW515</f>
        <v>12636.875847746611</v>
      </c>
      <c r="CX30" s="159"/>
      <c r="CY30" s="159"/>
      <c r="CZ30" s="159"/>
      <c r="DA30" s="159"/>
      <c r="DB30" s="159"/>
      <c r="DC30" s="159"/>
      <c r="DD30" s="159"/>
      <c r="DO30" s="159"/>
      <c r="DP30" s="159"/>
      <c r="DQ30" s="159"/>
    </row>
    <row r="31" spans="1:121">
      <c r="A31" s="165" t="s">
        <v>4</v>
      </c>
      <c r="B31" s="693">
        <f t="shared" ref="B31:AG31" si="173">B515</f>
        <v>7690</v>
      </c>
      <c r="C31" s="693">
        <f t="shared" si="173"/>
        <v>0</v>
      </c>
      <c r="D31" s="693">
        <f t="shared" si="173"/>
        <v>0</v>
      </c>
      <c r="E31" s="693">
        <f t="shared" si="173"/>
        <v>0</v>
      </c>
      <c r="F31" s="693">
        <f t="shared" si="173"/>
        <v>2204</v>
      </c>
      <c r="G31" s="693">
        <f t="shared" si="173"/>
        <v>8449.9</v>
      </c>
      <c r="H31" s="693">
        <f t="shared" si="173"/>
        <v>2129</v>
      </c>
      <c r="I31" s="693">
        <f t="shared" si="173"/>
        <v>2116</v>
      </c>
      <c r="J31" s="693">
        <f t="shared" si="173"/>
        <v>2156</v>
      </c>
      <c r="K31" s="693">
        <f t="shared" si="173"/>
        <v>2211</v>
      </c>
      <c r="L31" s="693">
        <f t="shared" si="173"/>
        <v>8612</v>
      </c>
      <c r="M31" s="693">
        <f t="shared" si="173"/>
        <v>2152</v>
      </c>
      <c r="N31" s="693">
        <f t="shared" si="173"/>
        <v>2191</v>
      </c>
      <c r="O31" s="693">
        <f t="shared" si="173"/>
        <v>2216</v>
      </c>
      <c r="P31" s="693">
        <f t="shared" si="173"/>
        <v>2310</v>
      </c>
      <c r="Q31" s="693">
        <f t="shared" si="173"/>
        <v>8869</v>
      </c>
      <c r="R31" s="693">
        <f t="shared" si="173"/>
        <v>2133</v>
      </c>
      <c r="S31" s="693">
        <f t="shared" si="173"/>
        <v>2158</v>
      </c>
      <c r="T31" s="693">
        <f t="shared" si="173"/>
        <v>2244</v>
      </c>
      <c r="U31" s="693">
        <f t="shared" si="173"/>
        <v>2248</v>
      </c>
      <c r="V31" s="693">
        <f t="shared" si="173"/>
        <v>8783</v>
      </c>
      <c r="W31" s="693">
        <f t="shared" si="173"/>
        <v>2135</v>
      </c>
      <c r="X31" s="693">
        <f t="shared" si="173"/>
        <v>2223</v>
      </c>
      <c r="Y31" s="693">
        <f t="shared" si="173"/>
        <v>2216</v>
      </c>
      <c r="Z31" s="693">
        <f t="shared" si="173"/>
        <v>2306</v>
      </c>
      <c r="AA31" s="693">
        <f t="shared" si="173"/>
        <v>8880</v>
      </c>
      <c r="AB31" s="693">
        <f t="shared" si="173"/>
        <v>2327</v>
      </c>
      <c r="AC31" s="693">
        <f t="shared" si="173"/>
        <v>2295</v>
      </c>
      <c r="AD31" s="693">
        <f t="shared" si="173"/>
        <v>2239</v>
      </c>
      <c r="AE31" s="693">
        <f t="shared" si="173"/>
        <v>2224</v>
      </c>
      <c r="AF31" s="693">
        <f t="shared" si="173"/>
        <v>9028.3719999999994</v>
      </c>
      <c r="AG31" s="693">
        <f t="shared" si="173"/>
        <v>2119</v>
      </c>
      <c r="AH31" s="693">
        <f t="shared" ref="AH31:BI31" si="174">AH515</f>
        <v>2082</v>
      </c>
      <c r="AI31" s="693">
        <f t="shared" si="174"/>
        <v>2065</v>
      </c>
      <c r="AJ31" s="693">
        <f t="shared" si="174"/>
        <v>2123</v>
      </c>
      <c r="AK31" s="693">
        <f t="shared" si="174"/>
        <v>8404</v>
      </c>
      <c r="AL31" s="693">
        <f t="shared" si="174"/>
        <v>2149</v>
      </c>
      <c r="AM31" s="693">
        <f t="shared" si="174"/>
        <v>2110</v>
      </c>
      <c r="AN31" s="693">
        <f t="shared" si="174"/>
        <v>2166</v>
      </c>
      <c r="AO31" s="693">
        <f t="shared" si="174"/>
        <v>2176</v>
      </c>
      <c r="AP31" s="693">
        <f t="shared" si="174"/>
        <v>8601</v>
      </c>
      <c r="AQ31" s="693">
        <f t="shared" si="174"/>
        <v>2140</v>
      </c>
      <c r="AR31" s="693">
        <f t="shared" si="174"/>
        <v>2102</v>
      </c>
      <c r="AS31" s="693">
        <f t="shared" si="174"/>
        <v>2156</v>
      </c>
      <c r="AT31" s="693">
        <f t="shared" si="174"/>
        <v>2214</v>
      </c>
      <c r="AU31" s="693">
        <f t="shared" si="174"/>
        <v>8612</v>
      </c>
      <c r="AV31" s="693">
        <f t="shared" si="174"/>
        <v>2375</v>
      </c>
      <c r="AW31" s="693">
        <f t="shared" si="174"/>
        <v>2335</v>
      </c>
      <c r="AX31" s="693">
        <f t="shared" si="174"/>
        <v>2333</v>
      </c>
      <c r="AY31" s="693">
        <f t="shared" si="174"/>
        <v>2376</v>
      </c>
      <c r="AZ31" s="693">
        <f t="shared" si="174"/>
        <v>9419</v>
      </c>
      <c r="BA31" s="693">
        <f t="shared" si="174"/>
        <v>2237</v>
      </c>
      <c r="BB31" s="693">
        <f t="shared" si="174"/>
        <v>2246</v>
      </c>
      <c r="BC31" s="693">
        <f t="shared" si="174"/>
        <v>2264</v>
      </c>
      <c r="BD31" s="693">
        <f t="shared" si="174"/>
        <v>2445</v>
      </c>
      <c r="BE31" s="693">
        <f t="shared" si="174"/>
        <v>9192</v>
      </c>
      <c r="BF31" s="693">
        <f t="shared" si="174"/>
        <v>2232</v>
      </c>
      <c r="BG31" s="693">
        <f t="shared" si="174"/>
        <v>2206</v>
      </c>
      <c r="BH31" s="693">
        <f t="shared" si="174"/>
        <v>2285</v>
      </c>
      <c r="BI31" s="693">
        <f t="shared" si="174"/>
        <v>2590</v>
      </c>
      <c r="BJ31" s="693">
        <f>BJ432</f>
        <v>9313</v>
      </c>
      <c r="BK31" s="693">
        <f>BK515</f>
        <v>2341</v>
      </c>
      <c r="BL31" s="693">
        <f>BL515</f>
        <v>2151</v>
      </c>
      <c r="BM31" s="693">
        <f>BM515</f>
        <v>2213</v>
      </c>
      <c r="BN31" s="693">
        <f>BN515</f>
        <v>2261</v>
      </c>
      <c r="BO31" s="693">
        <f>BO432</f>
        <v>8966</v>
      </c>
      <c r="BP31" s="693">
        <f>BP515</f>
        <v>2240</v>
      </c>
      <c r="BQ31" s="693">
        <f>BQ515</f>
        <v>2274</v>
      </c>
      <c r="BR31" s="693">
        <f>BR515</f>
        <v>2271</v>
      </c>
      <c r="BS31" s="693">
        <f>BS515</f>
        <v>2456</v>
      </c>
      <c r="BT31" s="693">
        <f>BT432</f>
        <v>9241</v>
      </c>
      <c r="BU31" s="693">
        <f>BU515</f>
        <v>2406</v>
      </c>
      <c r="BV31" s="693">
        <f>BV515</f>
        <v>2424</v>
      </c>
      <c r="BW31" s="693">
        <f>BW515</f>
        <v>2405</v>
      </c>
      <c r="BX31" s="693">
        <f>BX515</f>
        <v>2554</v>
      </c>
      <c r="BY31" s="693">
        <f>BY432</f>
        <v>9789</v>
      </c>
      <c r="BZ31" s="693">
        <f>BZ515</f>
        <v>2526</v>
      </c>
      <c r="CA31" s="693">
        <f>CA515</f>
        <v>2470</v>
      </c>
      <c r="CB31" s="693">
        <f>CB515</f>
        <v>2442</v>
      </c>
      <c r="CC31" s="693">
        <f>CC515</f>
        <v>2742</v>
      </c>
      <c r="CD31" s="693">
        <f t="shared" ref="CD31:CS31" si="175">CD432</f>
        <v>10180</v>
      </c>
      <c r="CE31" s="693">
        <f>CE515</f>
        <v>2603</v>
      </c>
      <c r="CF31" s="693">
        <f>CF515</f>
        <v>2586</v>
      </c>
      <c r="CG31" s="693">
        <f>CG515</f>
        <v>2576</v>
      </c>
      <c r="CH31" s="693">
        <f>CH515</f>
        <v>2771</v>
      </c>
      <c r="CI31" s="693">
        <f t="shared" si="175"/>
        <v>10536</v>
      </c>
      <c r="CJ31" s="693">
        <f>CJ515</f>
        <v>2608</v>
      </c>
      <c r="CK31" s="693">
        <f>CK515</f>
        <v>2562</v>
      </c>
      <c r="CL31" s="693">
        <f>CL515</f>
        <v>2589</v>
      </c>
      <c r="CM31" s="693">
        <f>CM515</f>
        <v>2876</v>
      </c>
      <c r="CN31" s="693">
        <f t="shared" ref="CN31" si="176">CN432</f>
        <v>10635</v>
      </c>
      <c r="CO31" s="693">
        <f>CO515</f>
        <v>2731</v>
      </c>
      <c r="CP31" s="693">
        <f>CP515</f>
        <v>2656</v>
      </c>
      <c r="CQ31" s="693">
        <f t="shared" si="175"/>
        <v>10945.588579795789</v>
      </c>
      <c r="CR31" s="693">
        <f t="shared" si="175"/>
        <v>11217.050358444878</v>
      </c>
      <c r="CS31" s="693">
        <f t="shared" si="175"/>
        <v>11491.634183527703</v>
      </c>
      <c r="CT31" s="693">
        <f t="shared" ref="CT31:CV31" si="177">CT432</f>
        <v>11781.507149435985</v>
      </c>
      <c r="CU31" s="693">
        <f t="shared" si="177"/>
        <v>12062.40587606502</v>
      </c>
      <c r="CV31" s="693">
        <f t="shared" si="177"/>
        <v>12347.340609898634</v>
      </c>
      <c r="CW31" s="693">
        <f t="shared" ref="CW31" si="178">CW432</f>
        <v>12636.875847746611</v>
      </c>
      <c r="CX31" s="159"/>
      <c r="CY31" s="159"/>
      <c r="CZ31" s="159"/>
      <c r="DA31" s="159"/>
      <c r="DB31" s="159"/>
      <c r="DC31" s="159"/>
      <c r="DD31" s="159"/>
      <c r="DO31" s="159"/>
      <c r="DP31" s="159"/>
      <c r="DQ31" s="159"/>
    </row>
    <row r="32" spans="1:121">
      <c r="A32" s="159" t="s">
        <v>0</v>
      </c>
      <c r="B32" s="170"/>
      <c r="C32" s="170"/>
      <c r="D32" s="170"/>
      <c r="E32" s="170"/>
      <c r="F32" s="170"/>
      <c r="G32" s="170">
        <f>G31/B31-1</f>
        <v>9.881664499349796E-2</v>
      </c>
      <c r="H32" s="170"/>
      <c r="I32" s="170"/>
      <c r="J32" s="170"/>
      <c r="K32" s="170">
        <f t="shared" ref="K32:AZ32" si="179">K31/F31-1</f>
        <v>3.1760435571688284E-3</v>
      </c>
      <c r="L32" s="170">
        <f t="shared" si="179"/>
        <v>1.9183658978212836E-2</v>
      </c>
      <c r="M32" s="170">
        <f t="shared" si="179"/>
        <v>1.0803193987787729E-2</v>
      </c>
      <c r="N32" s="170">
        <f t="shared" si="179"/>
        <v>3.5444234404536923E-2</v>
      </c>
      <c r="O32" s="170">
        <f t="shared" si="179"/>
        <v>2.7829313543599188E-2</v>
      </c>
      <c r="P32" s="170">
        <f t="shared" si="179"/>
        <v>4.4776119402984982E-2</v>
      </c>
      <c r="Q32" s="170">
        <f t="shared" si="179"/>
        <v>2.9842080817463978E-2</v>
      </c>
      <c r="R32" s="170">
        <f t="shared" si="179"/>
        <v>-8.8289962825278678E-3</v>
      </c>
      <c r="S32" s="170">
        <f t="shared" si="179"/>
        <v>-1.5061615700593389E-2</v>
      </c>
      <c r="T32" s="170">
        <f t="shared" si="179"/>
        <v>1.2635379061371799E-2</v>
      </c>
      <c r="U32" s="170">
        <f t="shared" si="179"/>
        <v>-2.6839826839826886E-2</v>
      </c>
      <c r="V32" s="170">
        <f t="shared" si="179"/>
        <v>-9.69669635810122E-3</v>
      </c>
      <c r="W32" s="170">
        <f t="shared" si="179"/>
        <v>9.3764650726679832E-4</v>
      </c>
      <c r="X32" s="170">
        <f t="shared" si="179"/>
        <v>3.0120481927710774E-2</v>
      </c>
      <c r="Y32" s="170">
        <f t="shared" si="179"/>
        <v>-1.2477718360071277E-2</v>
      </c>
      <c r="Z32" s="170">
        <f t="shared" si="179"/>
        <v>2.5800711743772187E-2</v>
      </c>
      <c r="AA32" s="170">
        <f t="shared" si="179"/>
        <v>1.1044062393259724E-2</v>
      </c>
      <c r="AB32" s="170">
        <f t="shared" si="179"/>
        <v>8.9929742388758838E-2</v>
      </c>
      <c r="AC32" s="170">
        <f t="shared" si="179"/>
        <v>3.238866396761142E-2</v>
      </c>
      <c r="AD32" s="170">
        <f t="shared" si="179"/>
        <v>1.0379061371841081E-2</v>
      </c>
      <c r="AE32" s="170">
        <f t="shared" si="179"/>
        <v>-3.5559410234171751E-2</v>
      </c>
      <c r="AF32" s="170">
        <f t="shared" si="179"/>
        <v>1.6708558558558462E-2</v>
      </c>
      <c r="AG32" s="170">
        <f t="shared" si="179"/>
        <v>-8.9385474860335212E-2</v>
      </c>
      <c r="AH32" s="170">
        <f t="shared" si="179"/>
        <v>-9.2810457516339873E-2</v>
      </c>
      <c r="AI32" s="170">
        <f t="shared" si="179"/>
        <v>-7.771326485037966E-2</v>
      </c>
      <c r="AJ32" s="170">
        <f t="shared" si="179"/>
        <v>-4.5413669064748197E-2</v>
      </c>
      <c r="AK32" s="170">
        <f t="shared" si="179"/>
        <v>-6.9156654156474651E-2</v>
      </c>
      <c r="AL32" s="170">
        <f t="shared" si="179"/>
        <v>1.4157621519584662E-2</v>
      </c>
      <c r="AM32" s="170">
        <f t="shared" si="179"/>
        <v>1.344860710854956E-2</v>
      </c>
      <c r="AN32" s="170">
        <f t="shared" si="179"/>
        <v>4.8910411622276051E-2</v>
      </c>
      <c r="AO32" s="170">
        <f t="shared" si="179"/>
        <v>2.4964672633066343E-2</v>
      </c>
      <c r="AP32" s="170">
        <f t="shared" si="179"/>
        <v>2.3441218467396441E-2</v>
      </c>
      <c r="AQ32" s="170">
        <f t="shared" si="179"/>
        <v>-4.1879944160074789E-3</v>
      </c>
      <c r="AR32" s="170">
        <f t="shared" si="179"/>
        <v>-3.7914691943128354E-3</v>
      </c>
      <c r="AS32" s="170">
        <f t="shared" si="179"/>
        <v>-4.6168051708217472E-3</v>
      </c>
      <c r="AT32" s="170">
        <f t="shared" si="179"/>
        <v>1.7463235294117752E-2</v>
      </c>
      <c r="AU32" s="170">
        <f t="shared" si="179"/>
        <v>1.2789210556911623E-3</v>
      </c>
      <c r="AV32" s="170">
        <f t="shared" si="179"/>
        <v>0.10981308411214963</v>
      </c>
      <c r="AW32" s="170">
        <f t="shared" si="179"/>
        <v>0.11084681255946727</v>
      </c>
      <c r="AX32" s="170">
        <f t="shared" si="179"/>
        <v>8.2096474953617715E-2</v>
      </c>
      <c r="AY32" s="170">
        <f t="shared" si="179"/>
        <v>7.3170731707317138E-2</v>
      </c>
      <c r="AZ32" s="170">
        <f t="shared" si="179"/>
        <v>9.3706456107756519E-2</v>
      </c>
      <c r="BA32" s="170">
        <f t="shared" ref="BA32:CP32" si="180">BA31/AV31-1</f>
        <v>-5.8105263157894771E-2</v>
      </c>
      <c r="BB32" s="170">
        <f t="shared" si="180"/>
        <v>-3.8115631691648777E-2</v>
      </c>
      <c r="BC32" s="170">
        <f t="shared" si="180"/>
        <v>-2.9575653664809298E-2</v>
      </c>
      <c r="BD32" s="170">
        <f t="shared" si="180"/>
        <v>2.9040404040403978E-2</v>
      </c>
      <c r="BE32" s="170">
        <f t="shared" si="180"/>
        <v>-2.4100222953604367E-2</v>
      </c>
      <c r="BF32" s="170">
        <f t="shared" si="180"/>
        <v>-2.2351363433169569E-3</v>
      </c>
      <c r="BG32" s="170">
        <f t="shared" si="180"/>
        <v>-1.7809439002671401E-2</v>
      </c>
      <c r="BH32" s="170">
        <f t="shared" si="180"/>
        <v>9.2756183745583698E-3</v>
      </c>
      <c r="BI32" s="170">
        <f t="shared" si="180"/>
        <v>5.9304703476482645E-2</v>
      </c>
      <c r="BJ32" s="170">
        <f>BJ31/BE31-1</f>
        <v>1.3163620539599741E-2</v>
      </c>
      <c r="BK32" s="170">
        <f t="shared" si="180"/>
        <v>4.8835125448028593E-2</v>
      </c>
      <c r="BL32" s="170">
        <f t="shared" si="180"/>
        <v>-2.4932003626473298E-2</v>
      </c>
      <c r="BM32" s="170">
        <f t="shared" si="180"/>
        <v>-3.1509846827133425E-2</v>
      </c>
      <c r="BN32" s="170">
        <f t="shared" si="180"/>
        <v>-0.12702702702702706</v>
      </c>
      <c r="BO32" s="170">
        <f>BO31/BJ31-1</f>
        <v>-3.7259744443251419E-2</v>
      </c>
      <c r="BP32" s="170">
        <f t="shared" si="180"/>
        <v>-4.314395557454076E-2</v>
      </c>
      <c r="BQ32" s="170">
        <f t="shared" si="180"/>
        <v>5.7182705718270554E-2</v>
      </c>
      <c r="BR32" s="170">
        <f t="shared" si="180"/>
        <v>2.6208766380479087E-2</v>
      </c>
      <c r="BS32" s="170">
        <f t="shared" si="180"/>
        <v>8.6245024325519726E-2</v>
      </c>
      <c r="BT32" s="170">
        <f>BT31/BO31-1</f>
        <v>3.0671425384787065E-2</v>
      </c>
      <c r="BU32" s="170">
        <f t="shared" si="180"/>
        <v>7.4107142857142927E-2</v>
      </c>
      <c r="BV32" s="170">
        <f t="shared" si="180"/>
        <v>6.5963060686015762E-2</v>
      </c>
      <c r="BW32" s="170">
        <f t="shared" si="180"/>
        <v>5.9004843681197627E-2</v>
      </c>
      <c r="BX32" s="170">
        <f t="shared" si="180"/>
        <v>3.9902280130293066E-2</v>
      </c>
      <c r="BY32" s="170">
        <f>BY31/BT31-1</f>
        <v>5.9300941456552403E-2</v>
      </c>
      <c r="BZ32" s="170">
        <f t="shared" si="180"/>
        <v>4.9875311720698257E-2</v>
      </c>
      <c r="CA32" s="170">
        <f t="shared" si="180"/>
        <v>1.8976897689769068E-2</v>
      </c>
      <c r="CB32" s="170">
        <f t="shared" si="180"/>
        <v>1.538461538461533E-2</v>
      </c>
      <c r="CC32" s="170">
        <f t="shared" si="180"/>
        <v>7.3610023492560739E-2</v>
      </c>
      <c r="CD32" s="170">
        <f>CD31/BY31-1</f>
        <v>3.9942792930840687E-2</v>
      </c>
      <c r="CE32" s="170">
        <f t="shared" si="180"/>
        <v>3.0482977038796433E-2</v>
      </c>
      <c r="CF32" s="170">
        <f t="shared" si="180"/>
        <v>4.6963562753036481E-2</v>
      </c>
      <c r="CG32" s="170">
        <f t="shared" si="180"/>
        <v>5.4873054873054938E-2</v>
      </c>
      <c r="CH32" s="170">
        <f t="shared" si="180"/>
        <v>1.0576221735959068E-2</v>
      </c>
      <c r="CI32" s="170">
        <f>CI31/CD31-1</f>
        <v>3.4970530451866377E-2</v>
      </c>
      <c r="CJ32" s="170">
        <f t="shared" si="180"/>
        <v>1.9208605455243166E-3</v>
      </c>
      <c r="CK32" s="170">
        <f t="shared" si="180"/>
        <v>-9.2807424593968069E-3</v>
      </c>
      <c r="CL32" s="170">
        <f t="shared" si="180"/>
        <v>5.0465838509317074E-3</v>
      </c>
      <c r="CM32" s="170">
        <f t="shared" si="180"/>
        <v>3.7892457596535589E-2</v>
      </c>
      <c r="CN32" s="170">
        <f>CN31/CI31-1</f>
        <v>9.3963553530751476E-3</v>
      </c>
      <c r="CO32" s="170">
        <f t="shared" si="180"/>
        <v>4.7162576687116653E-2</v>
      </c>
      <c r="CP32" s="170">
        <f t="shared" si="180"/>
        <v>3.669008587041378E-2</v>
      </c>
      <c r="CQ32" s="170">
        <f>CQ31/CN31-1</f>
        <v>2.9204379858560392E-2</v>
      </c>
      <c r="CR32" s="170">
        <f t="shared" ref="CR32:CS32" si="181">CR31/CQ31-1</f>
        <v>2.4801021586922545E-2</v>
      </c>
      <c r="CS32" s="170">
        <f t="shared" si="181"/>
        <v>2.4479147040300298E-2</v>
      </c>
      <c r="CT32" s="170">
        <f t="shared" ref="CT32" si="182">CT31/CS31-1</f>
        <v>2.5224694876190057E-2</v>
      </c>
      <c r="CU32" s="170">
        <f t="shared" ref="CU32" si="183">CU31/CT31-1</f>
        <v>2.3842342330750332E-2</v>
      </c>
      <c r="CV32" s="170">
        <f t="shared" ref="CV32:CW32" si="184">CV31/CU31-1</f>
        <v>2.3621716659277592E-2</v>
      </c>
      <c r="CW32" s="170">
        <f t="shared" si="184"/>
        <v>2.3449198252120995E-2</v>
      </c>
      <c r="CX32" s="159"/>
      <c r="CY32" s="159"/>
      <c r="CZ32" s="159"/>
      <c r="DA32" s="159"/>
      <c r="DB32" s="159"/>
      <c r="DC32" s="159"/>
      <c r="DD32" s="159"/>
      <c r="DO32" s="159"/>
      <c r="DP32" s="159"/>
      <c r="DQ32" s="159"/>
    </row>
    <row r="33" spans="1:124">
      <c r="A33" s="171" t="s">
        <v>1</v>
      </c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172"/>
      <c r="AG33" s="172"/>
      <c r="AH33" s="172"/>
      <c r="AI33" s="172"/>
      <c r="AJ33" s="172"/>
      <c r="AK33" s="172"/>
      <c r="AL33" s="172"/>
      <c r="AM33" s="172"/>
      <c r="AN33" s="172"/>
      <c r="AO33" s="172"/>
      <c r="AP33" s="172"/>
      <c r="AQ33" s="172"/>
      <c r="AR33" s="172"/>
      <c r="AS33" s="172"/>
      <c r="AT33" s="172"/>
      <c r="AU33" s="173"/>
      <c r="AV33" s="173"/>
      <c r="AW33" s="173"/>
      <c r="AX33" s="173"/>
      <c r="AY33" s="173"/>
      <c r="AZ33" s="173"/>
      <c r="BA33" s="173"/>
      <c r="BB33" s="173"/>
      <c r="BC33" s="173"/>
      <c r="BD33" s="173"/>
      <c r="BE33" s="173"/>
      <c r="BF33" s="173"/>
      <c r="BG33" s="173"/>
      <c r="BH33" s="173"/>
      <c r="BI33" s="173"/>
      <c r="BJ33" s="173"/>
      <c r="BK33" s="173"/>
      <c r="BL33" s="173"/>
      <c r="BM33" s="173"/>
      <c r="BN33" s="173"/>
      <c r="BO33" s="173"/>
      <c r="BP33" s="173"/>
      <c r="BQ33" s="173"/>
      <c r="BR33" s="173"/>
      <c r="BS33" s="173"/>
      <c r="BT33" s="173"/>
      <c r="BU33" s="174"/>
      <c r="BV33" s="174"/>
      <c r="BW33" s="174"/>
      <c r="BX33" s="174"/>
      <c r="BY33" s="173"/>
      <c r="BZ33" s="174"/>
      <c r="CA33" s="174"/>
      <c r="CB33" s="174"/>
      <c r="CC33" s="174"/>
      <c r="CD33" s="385" cm="1">
        <f t="array" ref="CD33">_xll.VAData("MXSC_MY", "FY-"&amp;CD$2, "Revenue", "Consensus", "CD", "IMPL","","")</f>
        <v>10180.25</v>
      </c>
      <c r="CE33" s="174"/>
      <c r="CF33" s="174"/>
      <c r="CG33" s="174"/>
      <c r="CH33" s="174"/>
      <c r="CI33" s="385" cm="1">
        <f t="array" ref="CI33">_xll.VAData("MXSC_MY", "FY-"&amp;CI$2, "Revenue", "Consensus", "CD", "IMPL","","")</f>
        <v>10543.154615000434</v>
      </c>
      <c r="CJ33" s="174"/>
      <c r="CK33" s="174"/>
      <c r="CL33" s="174"/>
      <c r="CM33" s="174"/>
      <c r="CN33" s="385" cm="1">
        <f t="array" ref="CN33">_xll.VAData("MXSC_MY", "FY-"&amp;CN$2, "Revenue", "Consensus", "CD", "IMPL","","")</f>
        <v>10635</v>
      </c>
      <c r="CO33" s="174"/>
      <c r="CP33" s="174"/>
      <c r="CQ33" s="385" cm="1">
        <f t="array" ref="CQ33">_xll.VAData("MXSC_MY", "FY-"&amp;CQ$2, "Revenue", "Consensus", "CD", "IMPL","","")</f>
        <v>10911.649129963815</v>
      </c>
      <c r="CR33" s="385" cm="1">
        <f t="array" ref="CR33">_xll.VAData("MXSC_MY", "FY-"&amp;CR$2, "Revenue", "Consensus", "CD", "IMPL","","")</f>
        <v>11162.806386844657</v>
      </c>
      <c r="CS33" s="385" cm="1">
        <f t="array" ref="CS33">_xll.VAData("MXSC_MY", "FY-"&amp;CS$2, "Revenue", "Consensus", "CD", "IMPL","","")</f>
        <v>11418.100707559386</v>
      </c>
      <c r="CT33" s="385" cm="1">
        <f t="array" ref="CT33">_xll.VAData("MXSC_MY", "FY-"&amp;CT$2, "Revenue", "Consensus", "CD", "IMPL","","")</f>
        <v>11633.102788116341</v>
      </c>
      <c r="CU33" s="385" cm="1">
        <f t="array" ref="CU33">_xll.VAData("MXSC_MY", "FY-"&amp;CU$2, "Revenue", "Consensus", "CD", "IMPL","","")</f>
        <v>11887.751679668119</v>
      </c>
      <c r="CV33" s="385" cm="1">
        <f t="array" ref="CV33">_xll.VAData("MXSC_MY", "FY-"&amp;CV$2, "Revenue", "Consensus", "CD", "IMPL","","")</f>
        <v>12154.088265828241</v>
      </c>
      <c r="CW33" s="385" cm="1">
        <f t="array" ref="CW33">_xll.VAData("MXSC_MY", "FY-"&amp;CW$2, "Revenue", "Consensus", "CD", "IMPL","","")</f>
        <v>12215.869015327575</v>
      </c>
      <c r="CX33" s="159"/>
      <c r="CY33" s="159"/>
      <c r="CZ33" s="159"/>
      <c r="DA33" s="159"/>
      <c r="DB33" s="159"/>
      <c r="DC33" s="159"/>
      <c r="DD33" s="159"/>
      <c r="DO33" s="159"/>
      <c r="DP33" s="159"/>
      <c r="DQ33" s="159"/>
    </row>
    <row r="34" spans="1:124">
      <c r="A34" s="171" t="s">
        <v>554</v>
      </c>
      <c r="B34" s="171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71"/>
      <c r="U34" s="171"/>
      <c r="V34" s="171"/>
      <c r="W34" s="171"/>
      <c r="X34" s="171"/>
      <c r="Y34" s="171"/>
      <c r="Z34" s="171"/>
      <c r="AA34" s="171"/>
      <c r="AB34" s="171"/>
      <c r="AC34" s="171"/>
      <c r="AD34" s="171"/>
      <c r="AE34" s="171"/>
      <c r="AF34" s="172"/>
      <c r="AG34" s="172"/>
      <c r="AH34" s="172"/>
      <c r="AI34" s="172"/>
      <c r="AJ34" s="172"/>
      <c r="AK34" s="172"/>
      <c r="AL34" s="172"/>
      <c r="AM34" s="172"/>
      <c r="AN34" s="172"/>
      <c r="AO34" s="172"/>
      <c r="AP34" s="172"/>
      <c r="AQ34" s="172"/>
      <c r="AR34" s="172"/>
      <c r="AS34" s="172"/>
      <c r="AT34" s="172"/>
      <c r="AU34" s="175"/>
      <c r="AV34" s="175"/>
      <c r="AW34" s="175"/>
      <c r="AX34" s="175"/>
      <c r="AY34" s="175"/>
      <c r="AZ34" s="175"/>
      <c r="BA34" s="175"/>
      <c r="BB34" s="175"/>
      <c r="BC34" s="175"/>
      <c r="BD34" s="175"/>
      <c r="BE34" s="175"/>
      <c r="BF34" s="175"/>
      <c r="BG34" s="175"/>
      <c r="BH34" s="175"/>
      <c r="BI34" s="175"/>
      <c r="BJ34" s="175"/>
      <c r="BK34" s="175"/>
      <c r="BL34" s="175"/>
      <c r="BM34" s="175"/>
      <c r="BN34" s="175"/>
      <c r="BO34" s="175"/>
      <c r="BP34" s="175"/>
      <c r="BQ34" s="175"/>
      <c r="BR34" s="175"/>
      <c r="BS34" s="175"/>
      <c r="BT34" s="175"/>
      <c r="BU34" s="176"/>
      <c r="BV34" s="176"/>
      <c r="BW34" s="176"/>
      <c r="BX34" s="176"/>
      <c r="BY34" s="175"/>
      <c r="BZ34" s="176"/>
      <c r="CA34" s="176"/>
      <c r="CB34" s="176"/>
      <c r="CC34" s="176"/>
      <c r="CD34" s="175">
        <f t="shared" ref="CD34:CS34" si="185">CD31/CD33-1</f>
        <v>-2.4557353699550255E-5</v>
      </c>
      <c r="CE34" s="176"/>
      <c r="CF34" s="176"/>
      <c r="CG34" s="176"/>
      <c r="CH34" s="176"/>
      <c r="CI34" s="175">
        <f t="shared" si="185"/>
        <v>-6.7860287188192814E-4</v>
      </c>
      <c r="CJ34" s="176"/>
      <c r="CK34" s="176"/>
      <c r="CL34" s="176"/>
      <c r="CM34" s="176"/>
      <c r="CN34" s="175">
        <f t="shared" ref="CN34" si="186">CN31/CN33-1</f>
        <v>0</v>
      </c>
      <c r="CO34" s="176"/>
      <c r="CP34" s="176"/>
      <c r="CQ34" s="175">
        <f t="shared" si="185"/>
        <v>3.1103868377488908E-3</v>
      </c>
      <c r="CR34" s="175">
        <f t="shared" si="185"/>
        <v>4.8593489594290773E-3</v>
      </c>
      <c r="CS34" s="175">
        <f t="shared" si="185"/>
        <v>6.4400794713286302E-3</v>
      </c>
      <c r="CT34" s="175">
        <f t="shared" ref="CT34:CV34" si="187">CT31/CT33-1</f>
        <v>1.2757074705060267E-2</v>
      </c>
      <c r="CU34" s="175">
        <f t="shared" si="187"/>
        <v>1.4691945214132973E-2</v>
      </c>
      <c r="CV34" s="175">
        <f t="shared" si="187"/>
        <v>1.590019258077402E-2</v>
      </c>
      <c r="CW34" s="175">
        <f t="shared" ref="CW34" si="188">CW31/CW33-1</f>
        <v>3.4463928181514447E-2</v>
      </c>
      <c r="CX34" s="159"/>
      <c r="CY34" s="159"/>
      <c r="CZ34" s="159"/>
      <c r="DA34" s="159"/>
      <c r="DB34" s="159"/>
      <c r="DC34" s="159"/>
      <c r="DD34" s="159"/>
      <c r="DO34" s="159"/>
      <c r="DP34" s="159"/>
      <c r="DQ34" s="159"/>
    </row>
    <row r="35" spans="1:124">
      <c r="A35" s="159"/>
      <c r="B35" s="159"/>
      <c r="C35" s="159"/>
      <c r="D35" s="159"/>
      <c r="E35" s="159"/>
      <c r="F35" s="159"/>
      <c r="G35" s="159"/>
      <c r="H35" s="159"/>
      <c r="I35" s="159"/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159"/>
      <c r="AC35" s="159"/>
      <c r="AD35" s="159"/>
      <c r="AE35" s="159"/>
      <c r="AF35" s="177"/>
      <c r="AG35" s="177"/>
      <c r="AH35" s="177"/>
      <c r="AI35" s="177"/>
      <c r="AJ35" s="177"/>
      <c r="AK35" s="177"/>
      <c r="AL35" s="177"/>
      <c r="AM35" s="177"/>
      <c r="AN35" s="177"/>
      <c r="AO35" s="177"/>
      <c r="AP35" s="177"/>
      <c r="AQ35" s="177"/>
      <c r="AR35" s="177"/>
      <c r="AS35" s="177"/>
      <c r="AT35" s="177"/>
      <c r="AU35" s="177"/>
      <c r="AV35" s="177"/>
      <c r="AW35" s="177"/>
      <c r="AX35" s="177"/>
      <c r="AY35" s="177"/>
      <c r="AZ35" s="177"/>
      <c r="BA35" s="177"/>
      <c r="BB35" s="177"/>
      <c r="BC35" s="177"/>
      <c r="BD35" s="177"/>
      <c r="BE35" s="177"/>
      <c r="BF35" s="177"/>
      <c r="BG35" s="177"/>
      <c r="BH35" s="177"/>
      <c r="BI35" s="177"/>
      <c r="BJ35" s="177"/>
      <c r="BK35" s="177"/>
      <c r="BL35" s="177"/>
      <c r="BM35" s="177"/>
      <c r="BN35" s="177"/>
      <c r="BO35" s="177"/>
      <c r="BP35" s="177"/>
      <c r="BQ35" s="177"/>
      <c r="BR35" s="177"/>
      <c r="BS35" s="177"/>
      <c r="BT35" s="177"/>
      <c r="BU35" s="178"/>
      <c r="BV35" s="178"/>
      <c r="BW35" s="178"/>
      <c r="BX35" s="178"/>
      <c r="BY35" s="177"/>
      <c r="BZ35" s="178"/>
      <c r="CA35" s="178"/>
      <c r="CB35" s="178"/>
      <c r="CC35" s="178"/>
      <c r="CD35" s="177"/>
      <c r="CE35" s="178"/>
      <c r="CF35" s="178"/>
      <c r="CG35" s="178"/>
      <c r="CH35" s="178"/>
      <c r="CI35" s="177"/>
      <c r="CJ35" s="178"/>
      <c r="CK35" s="178"/>
      <c r="CL35" s="178"/>
      <c r="CM35" s="178"/>
      <c r="CN35" s="177"/>
      <c r="CO35" s="178"/>
      <c r="CP35" s="178"/>
      <c r="CQ35" s="177"/>
      <c r="CR35" s="177"/>
      <c r="CS35" s="177"/>
      <c r="CT35" s="177"/>
      <c r="CU35" s="177"/>
      <c r="CV35" s="177"/>
      <c r="CW35" s="177"/>
      <c r="CX35" s="159"/>
      <c r="CY35" s="159"/>
      <c r="CZ35" s="159"/>
      <c r="DA35" s="159"/>
      <c r="DB35" s="159"/>
      <c r="DC35" s="159"/>
      <c r="DD35" s="159"/>
      <c r="DO35" s="159"/>
      <c r="DP35" s="159"/>
      <c r="DQ35" s="159"/>
    </row>
    <row r="36" spans="1:124">
      <c r="A36" s="159"/>
      <c r="B36" s="159"/>
      <c r="C36" s="159"/>
      <c r="D36" s="159"/>
      <c r="E36" s="159"/>
      <c r="F36" s="159"/>
      <c r="G36" s="159"/>
      <c r="H36" s="159"/>
      <c r="I36" s="159"/>
      <c r="J36" s="159"/>
      <c r="K36" s="159"/>
      <c r="L36" s="159"/>
      <c r="M36" s="159"/>
      <c r="N36" s="159"/>
      <c r="O36" s="159"/>
      <c r="P36" s="159"/>
      <c r="Q36" s="159"/>
      <c r="R36" s="159"/>
      <c r="S36" s="159"/>
      <c r="T36" s="159"/>
      <c r="U36" s="159"/>
      <c r="V36" s="159"/>
      <c r="W36" s="159"/>
      <c r="X36" s="159"/>
      <c r="Y36" s="159"/>
      <c r="Z36" s="159"/>
      <c r="AA36" s="159"/>
      <c r="AB36" s="159"/>
      <c r="AC36" s="159"/>
      <c r="AD36" s="159"/>
      <c r="AE36" s="159"/>
      <c r="AF36" s="177"/>
      <c r="AG36" s="177"/>
      <c r="AH36" s="177"/>
      <c r="AI36" s="177"/>
      <c r="AJ36" s="177"/>
      <c r="AK36" s="177"/>
      <c r="AL36" s="177"/>
      <c r="AM36" s="177"/>
      <c r="AN36" s="177"/>
      <c r="AO36" s="177"/>
      <c r="AP36" s="177"/>
      <c r="AQ36" s="177"/>
      <c r="AR36" s="177"/>
      <c r="AS36" s="177"/>
      <c r="AT36" s="177"/>
      <c r="AU36" s="177"/>
      <c r="AV36" s="177"/>
      <c r="AW36" s="177"/>
      <c r="AX36" s="177"/>
      <c r="AY36" s="177"/>
      <c r="AZ36" s="177"/>
      <c r="BA36" s="177"/>
      <c r="BB36" s="177"/>
      <c r="BC36" s="177"/>
      <c r="BD36" s="177"/>
      <c r="BE36" s="177"/>
      <c r="BF36" s="177"/>
      <c r="BG36" s="177"/>
      <c r="BH36" s="177"/>
      <c r="BI36" s="177"/>
      <c r="BJ36" s="177"/>
      <c r="BK36" s="177"/>
      <c r="BL36" s="177"/>
      <c r="BM36" s="177"/>
      <c r="BN36" s="177"/>
      <c r="BO36" s="177"/>
      <c r="BP36" s="177"/>
      <c r="BQ36" s="177"/>
      <c r="BR36" s="177"/>
      <c r="BS36" s="177"/>
      <c r="BT36" s="177"/>
      <c r="BU36" s="178"/>
      <c r="BV36" s="178"/>
      <c r="BW36" s="178"/>
      <c r="BX36" s="178"/>
      <c r="BY36" s="177"/>
      <c r="BZ36" s="178"/>
      <c r="CA36" s="178"/>
      <c r="CB36" s="178"/>
      <c r="CC36" s="178"/>
      <c r="CD36" s="177"/>
      <c r="CE36" s="178"/>
      <c r="CF36" s="178"/>
      <c r="CG36" s="178"/>
      <c r="CH36" s="178"/>
      <c r="CI36" s="177"/>
      <c r="CJ36" s="178"/>
      <c r="CK36" s="178"/>
      <c r="CL36" s="178"/>
      <c r="CM36" s="178"/>
      <c r="CN36" s="177"/>
      <c r="CO36" s="178"/>
      <c r="CP36" s="178"/>
      <c r="CQ36" s="177"/>
      <c r="CR36" s="177"/>
      <c r="CS36" s="177"/>
      <c r="CT36" s="177"/>
      <c r="CU36" s="177"/>
      <c r="CV36" s="177"/>
      <c r="CW36" s="177"/>
      <c r="CX36" s="159"/>
      <c r="CY36" s="159"/>
      <c r="CZ36" s="159"/>
      <c r="DA36" s="159"/>
      <c r="DB36" s="159"/>
      <c r="DC36" s="159"/>
      <c r="DD36" s="159"/>
      <c r="DO36" s="159"/>
      <c r="DP36" s="159"/>
      <c r="DQ36" s="159"/>
    </row>
    <row r="37" spans="1:124">
      <c r="A37" s="159" t="s">
        <v>2</v>
      </c>
      <c r="B37" s="690">
        <f t="shared" ref="B37:AG37" si="189">B451</f>
        <v>0</v>
      </c>
      <c r="C37" s="690">
        <f t="shared" si="189"/>
        <v>0</v>
      </c>
      <c r="D37" s="690">
        <f t="shared" si="189"/>
        <v>0</v>
      </c>
      <c r="E37" s="690">
        <f t="shared" si="189"/>
        <v>1185</v>
      </c>
      <c r="F37" s="690">
        <f t="shared" si="189"/>
        <v>1144</v>
      </c>
      <c r="G37" s="690">
        <f t="shared" si="189"/>
        <v>4402.2000000000007</v>
      </c>
      <c r="H37" s="690">
        <f t="shared" si="189"/>
        <v>1071</v>
      </c>
      <c r="I37" s="690">
        <f t="shared" si="189"/>
        <v>1075.2475247524753</v>
      </c>
      <c r="J37" s="690">
        <f t="shared" si="189"/>
        <v>1086</v>
      </c>
      <c r="K37" s="690">
        <f t="shared" si="189"/>
        <v>1106</v>
      </c>
      <c r="L37" s="690">
        <f t="shared" si="189"/>
        <v>4220</v>
      </c>
      <c r="M37" s="690">
        <f t="shared" si="189"/>
        <v>1082</v>
      </c>
      <c r="N37" s="690">
        <f t="shared" si="189"/>
        <v>1028</v>
      </c>
      <c r="O37" s="690">
        <f t="shared" si="189"/>
        <v>1140</v>
      </c>
      <c r="P37" s="690">
        <f t="shared" si="189"/>
        <v>1166</v>
      </c>
      <c r="Q37" s="690">
        <f t="shared" si="189"/>
        <v>4416</v>
      </c>
      <c r="R37" s="690">
        <f t="shared" si="189"/>
        <v>1090</v>
      </c>
      <c r="S37" s="690">
        <f t="shared" si="189"/>
        <v>1106</v>
      </c>
      <c r="T37" s="690">
        <f t="shared" si="189"/>
        <v>1123</v>
      </c>
      <c r="U37" s="690">
        <f t="shared" si="189"/>
        <v>1104</v>
      </c>
      <c r="V37" s="690">
        <f t="shared" si="189"/>
        <v>4423</v>
      </c>
      <c r="W37" s="690">
        <f t="shared" si="189"/>
        <v>1133</v>
      </c>
      <c r="X37" s="690">
        <f t="shared" si="189"/>
        <v>1106</v>
      </c>
      <c r="Y37" s="690">
        <f t="shared" si="189"/>
        <v>1060</v>
      </c>
      <c r="Z37" s="690">
        <f t="shared" si="189"/>
        <v>1065</v>
      </c>
      <c r="AA37" s="690">
        <f t="shared" si="189"/>
        <v>4359</v>
      </c>
      <c r="AB37" s="690">
        <f t="shared" si="189"/>
        <v>1133</v>
      </c>
      <c r="AC37" s="690">
        <f t="shared" si="189"/>
        <v>1106</v>
      </c>
      <c r="AD37" s="690">
        <f t="shared" si="189"/>
        <v>1060</v>
      </c>
      <c r="AE37" s="690">
        <f t="shared" si="189"/>
        <v>1065</v>
      </c>
      <c r="AF37" s="690">
        <f t="shared" si="189"/>
        <v>4364</v>
      </c>
      <c r="AG37" s="690">
        <f t="shared" si="189"/>
        <v>1073</v>
      </c>
      <c r="AH37" s="690">
        <f t="shared" ref="AH37:BF37" si="190">AH451</f>
        <v>1086</v>
      </c>
      <c r="AI37" s="690">
        <f t="shared" si="190"/>
        <v>1079</v>
      </c>
      <c r="AJ37" s="690">
        <f t="shared" si="190"/>
        <v>1034</v>
      </c>
      <c r="AK37" s="690">
        <f t="shared" si="190"/>
        <v>4272</v>
      </c>
      <c r="AL37" s="690">
        <f t="shared" si="190"/>
        <v>1047</v>
      </c>
      <c r="AM37" s="690">
        <f t="shared" si="190"/>
        <v>1101</v>
      </c>
      <c r="AN37" s="690">
        <f t="shared" si="190"/>
        <v>1021</v>
      </c>
      <c r="AO37" s="690">
        <f t="shared" si="190"/>
        <v>1162</v>
      </c>
      <c r="AP37" s="690">
        <f t="shared" si="190"/>
        <v>4331</v>
      </c>
      <c r="AQ37" s="690">
        <f t="shared" si="190"/>
        <v>1213</v>
      </c>
      <c r="AR37" s="690">
        <f t="shared" si="190"/>
        <v>1050</v>
      </c>
      <c r="AS37" s="690">
        <f t="shared" si="190"/>
        <v>1130</v>
      </c>
      <c r="AT37" s="690">
        <f t="shared" si="190"/>
        <v>1158</v>
      </c>
      <c r="AU37" s="690">
        <f t="shared" si="190"/>
        <v>4551</v>
      </c>
      <c r="AV37" s="690">
        <f t="shared" si="190"/>
        <v>1013</v>
      </c>
      <c r="AW37" s="690">
        <f t="shared" si="190"/>
        <v>1125</v>
      </c>
      <c r="AX37" s="691">
        <f t="shared" si="190"/>
        <v>1109</v>
      </c>
      <c r="AY37" s="691">
        <f t="shared" si="190"/>
        <v>1061</v>
      </c>
      <c r="AZ37" s="690">
        <f t="shared" si="190"/>
        <v>4308</v>
      </c>
      <c r="BA37" s="690">
        <f t="shared" si="190"/>
        <v>1023</v>
      </c>
      <c r="BB37" s="690">
        <f t="shared" si="190"/>
        <v>1007</v>
      </c>
      <c r="BC37" s="690">
        <f t="shared" si="190"/>
        <v>1025</v>
      </c>
      <c r="BD37" s="690">
        <f t="shared" si="190"/>
        <v>762</v>
      </c>
      <c r="BE37" s="690">
        <f t="shared" si="190"/>
        <v>3817</v>
      </c>
      <c r="BF37" s="690">
        <f t="shared" si="190"/>
        <v>982</v>
      </c>
      <c r="BG37" s="690">
        <f t="shared" ref="BG37:CS37" si="191">BG451</f>
        <v>978</v>
      </c>
      <c r="BH37" s="690">
        <f t="shared" si="191"/>
        <v>986</v>
      </c>
      <c r="BI37" s="690">
        <f t="shared" si="191"/>
        <v>945</v>
      </c>
      <c r="BJ37" s="690">
        <f t="shared" si="191"/>
        <v>3891</v>
      </c>
      <c r="BK37" s="690">
        <f t="shared" si="191"/>
        <v>944</v>
      </c>
      <c r="BL37" s="690">
        <f t="shared" si="191"/>
        <v>938</v>
      </c>
      <c r="BM37" s="690">
        <f t="shared" si="191"/>
        <v>953</v>
      </c>
      <c r="BN37" s="690">
        <f t="shared" si="191"/>
        <v>924</v>
      </c>
      <c r="BO37" s="690">
        <f t="shared" si="191"/>
        <v>3759</v>
      </c>
      <c r="BP37" s="690">
        <f t="shared" si="191"/>
        <v>961</v>
      </c>
      <c r="BQ37" s="690">
        <f t="shared" si="191"/>
        <v>996</v>
      </c>
      <c r="BR37" s="690">
        <f t="shared" si="191"/>
        <v>969</v>
      </c>
      <c r="BS37" s="690">
        <f t="shared" si="191"/>
        <v>932</v>
      </c>
      <c r="BT37" s="690">
        <f t="shared" si="191"/>
        <v>3858</v>
      </c>
      <c r="BU37" s="692">
        <f t="shared" si="191"/>
        <v>927</v>
      </c>
      <c r="BV37" s="692">
        <f t="shared" si="191"/>
        <v>1012</v>
      </c>
      <c r="BW37" s="692">
        <f t="shared" ref="BW37:BZ37" si="192">BW451</f>
        <v>1004</v>
      </c>
      <c r="BX37" s="692">
        <f t="shared" si="192"/>
        <v>986</v>
      </c>
      <c r="BY37" s="690">
        <f t="shared" si="192"/>
        <v>3929</v>
      </c>
      <c r="BZ37" s="692">
        <f t="shared" si="192"/>
        <v>972</v>
      </c>
      <c r="CA37" s="692">
        <f t="shared" ref="CA37:CB37" si="193">CA451</f>
        <v>1002</v>
      </c>
      <c r="CB37" s="692">
        <f t="shared" si="193"/>
        <v>929</v>
      </c>
      <c r="CC37" s="692">
        <f t="shared" ref="CC37:CE37" si="194">CC451</f>
        <v>1057</v>
      </c>
      <c r="CD37" s="690">
        <f t="shared" si="191"/>
        <v>3960</v>
      </c>
      <c r="CE37" s="692">
        <f t="shared" si="194"/>
        <v>1044</v>
      </c>
      <c r="CF37" s="692">
        <f t="shared" ref="CF37:CG37" si="195">CF451</f>
        <v>1046</v>
      </c>
      <c r="CG37" s="692">
        <f t="shared" si="195"/>
        <v>1048</v>
      </c>
      <c r="CH37" s="692">
        <f t="shared" ref="CH37" si="196">CH451</f>
        <v>984</v>
      </c>
      <c r="CI37" s="690">
        <f t="shared" si="191"/>
        <v>4122</v>
      </c>
      <c r="CJ37" s="692">
        <f t="shared" si="191"/>
        <v>1055</v>
      </c>
      <c r="CK37" s="692">
        <f t="shared" ref="CK37:CL37" si="197">CK451</f>
        <v>1094</v>
      </c>
      <c r="CL37" s="692">
        <f t="shared" si="197"/>
        <v>1102</v>
      </c>
      <c r="CM37" s="692">
        <f t="shared" ref="CM37:CP37" si="198">CM451</f>
        <v>1078</v>
      </c>
      <c r="CN37" s="690">
        <f t="shared" si="198"/>
        <v>4329</v>
      </c>
      <c r="CO37" s="692">
        <f t="shared" si="198"/>
        <v>1099</v>
      </c>
      <c r="CP37" s="692">
        <f t="shared" si="198"/>
        <v>1124</v>
      </c>
      <c r="CQ37" s="690">
        <f t="shared" si="191"/>
        <v>4521.5932718038575</v>
      </c>
      <c r="CR37" s="690">
        <f t="shared" si="191"/>
        <v>4652.7746464653283</v>
      </c>
      <c r="CS37" s="690">
        <f t="shared" si="191"/>
        <v>4782.7277825729407</v>
      </c>
      <c r="CT37" s="690">
        <f t="shared" ref="CT37:CV37" si="199">CT451</f>
        <v>4920.6127220270864</v>
      </c>
      <c r="CU37" s="690">
        <f t="shared" si="199"/>
        <v>5055.0552341969897</v>
      </c>
      <c r="CV37" s="690">
        <f t="shared" si="199"/>
        <v>5192.1232583166502</v>
      </c>
      <c r="CW37" s="690">
        <f t="shared" ref="CW37" si="200">CW451</f>
        <v>5332.0710765879776</v>
      </c>
      <c r="CX37" s="159"/>
      <c r="CY37" s="159"/>
      <c r="CZ37" s="159"/>
      <c r="DA37" s="159"/>
      <c r="DB37" s="159"/>
      <c r="DC37" s="159"/>
      <c r="DD37" s="159"/>
      <c r="DO37" s="159"/>
      <c r="DP37" s="159"/>
      <c r="DQ37" s="159"/>
    </row>
    <row r="38" spans="1:124" s="221" customFormat="1">
      <c r="A38" s="165" t="s">
        <v>2</v>
      </c>
      <c r="B38" s="694">
        <f>B451</f>
        <v>0</v>
      </c>
      <c r="C38" s="694">
        <f t="shared" ref="C38:CD38" si="201">C451</f>
        <v>0</v>
      </c>
      <c r="D38" s="694">
        <f t="shared" si="201"/>
        <v>0</v>
      </c>
      <c r="E38" s="694">
        <f t="shared" si="201"/>
        <v>1185</v>
      </c>
      <c r="F38" s="694">
        <f t="shared" si="201"/>
        <v>1144</v>
      </c>
      <c r="G38" s="694">
        <f t="shared" si="201"/>
        <v>4402.2000000000007</v>
      </c>
      <c r="H38" s="694">
        <f t="shared" si="201"/>
        <v>1071</v>
      </c>
      <c r="I38" s="694">
        <f t="shared" si="201"/>
        <v>1075.2475247524753</v>
      </c>
      <c r="J38" s="694">
        <f t="shared" si="201"/>
        <v>1086</v>
      </c>
      <c r="K38" s="694">
        <f t="shared" si="201"/>
        <v>1106</v>
      </c>
      <c r="L38" s="694">
        <f t="shared" si="201"/>
        <v>4220</v>
      </c>
      <c r="M38" s="694">
        <f t="shared" si="201"/>
        <v>1082</v>
      </c>
      <c r="N38" s="694">
        <f t="shared" si="201"/>
        <v>1028</v>
      </c>
      <c r="O38" s="694">
        <f t="shared" si="201"/>
        <v>1140</v>
      </c>
      <c r="P38" s="694">
        <f t="shared" si="201"/>
        <v>1166</v>
      </c>
      <c r="Q38" s="694">
        <f t="shared" si="201"/>
        <v>4416</v>
      </c>
      <c r="R38" s="694">
        <f t="shared" si="201"/>
        <v>1090</v>
      </c>
      <c r="S38" s="694">
        <f t="shared" si="201"/>
        <v>1106</v>
      </c>
      <c r="T38" s="694">
        <f t="shared" si="201"/>
        <v>1123</v>
      </c>
      <c r="U38" s="694">
        <f t="shared" si="201"/>
        <v>1104</v>
      </c>
      <c r="V38" s="694">
        <f t="shared" si="201"/>
        <v>4423</v>
      </c>
      <c r="W38" s="694">
        <f t="shared" si="201"/>
        <v>1133</v>
      </c>
      <c r="X38" s="694">
        <f t="shared" si="201"/>
        <v>1106</v>
      </c>
      <c r="Y38" s="694">
        <f t="shared" si="201"/>
        <v>1060</v>
      </c>
      <c r="Z38" s="694">
        <f t="shared" si="201"/>
        <v>1065</v>
      </c>
      <c r="AA38" s="694">
        <f t="shared" si="201"/>
        <v>4359</v>
      </c>
      <c r="AB38" s="694">
        <f t="shared" si="201"/>
        <v>1133</v>
      </c>
      <c r="AC38" s="694">
        <f t="shared" si="201"/>
        <v>1106</v>
      </c>
      <c r="AD38" s="694">
        <f t="shared" si="201"/>
        <v>1060</v>
      </c>
      <c r="AE38" s="694">
        <f t="shared" si="201"/>
        <v>1065</v>
      </c>
      <c r="AF38" s="694">
        <f t="shared" si="201"/>
        <v>4364</v>
      </c>
      <c r="AG38" s="694">
        <f t="shared" si="201"/>
        <v>1073</v>
      </c>
      <c r="AH38" s="694">
        <f t="shared" si="201"/>
        <v>1086</v>
      </c>
      <c r="AI38" s="694">
        <f t="shared" si="201"/>
        <v>1079</v>
      </c>
      <c r="AJ38" s="694">
        <f t="shared" si="201"/>
        <v>1034</v>
      </c>
      <c r="AK38" s="694">
        <f t="shared" si="201"/>
        <v>4272</v>
      </c>
      <c r="AL38" s="694">
        <f t="shared" si="201"/>
        <v>1047</v>
      </c>
      <c r="AM38" s="694">
        <f t="shared" si="201"/>
        <v>1101</v>
      </c>
      <c r="AN38" s="694">
        <f t="shared" si="201"/>
        <v>1021</v>
      </c>
      <c r="AO38" s="694">
        <f t="shared" si="201"/>
        <v>1162</v>
      </c>
      <c r="AP38" s="694">
        <f t="shared" si="201"/>
        <v>4331</v>
      </c>
      <c r="AQ38" s="694">
        <f t="shared" si="201"/>
        <v>1213</v>
      </c>
      <c r="AR38" s="694">
        <f t="shared" si="201"/>
        <v>1050</v>
      </c>
      <c r="AS38" s="694">
        <f t="shared" si="201"/>
        <v>1130</v>
      </c>
      <c r="AT38" s="694">
        <f t="shared" si="201"/>
        <v>1158</v>
      </c>
      <c r="AU38" s="694">
        <f t="shared" si="201"/>
        <v>4551</v>
      </c>
      <c r="AV38" s="694">
        <f t="shared" si="201"/>
        <v>1013</v>
      </c>
      <c r="AW38" s="694">
        <f t="shared" si="201"/>
        <v>1125</v>
      </c>
      <c r="AX38" s="694">
        <f t="shared" si="201"/>
        <v>1109</v>
      </c>
      <c r="AY38" s="694">
        <f t="shared" si="201"/>
        <v>1061</v>
      </c>
      <c r="AZ38" s="694">
        <f t="shared" si="201"/>
        <v>4308</v>
      </c>
      <c r="BA38" s="694">
        <f t="shared" si="201"/>
        <v>1023</v>
      </c>
      <c r="BB38" s="694">
        <f t="shared" si="201"/>
        <v>1007</v>
      </c>
      <c r="BC38" s="694">
        <f t="shared" si="201"/>
        <v>1025</v>
      </c>
      <c r="BD38" s="694">
        <f t="shared" si="201"/>
        <v>762</v>
      </c>
      <c r="BE38" s="694">
        <f t="shared" si="201"/>
        <v>3817</v>
      </c>
      <c r="BF38" s="694">
        <f t="shared" si="201"/>
        <v>982</v>
      </c>
      <c r="BG38" s="694">
        <f t="shared" si="201"/>
        <v>978</v>
      </c>
      <c r="BH38" s="694">
        <f t="shared" si="201"/>
        <v>986</v>
      </c>
      <c r="BI38" s="694">
        <f t="shared" si="201"/>
        <v>945</v>
      </c>
      <c r="BJ38" s="694">
        <f t="shared" si="201"/>
        <v>3891</v>
      </c>
      <c r="BK38" s="694">
        <f t="shared" ref="BK38:BV38" si="202">BK451</f>
        <v>944</v>
      </c>
      <c r="BL38" s="694">
        <f t="shared" si="202"/>
        <v>938</v>
      </c>
      <c r="BM38" s="694">
        <f t="shared" si="202"/>
        <v>953</v>
      </c>
      <c r="BN38" s="694">
        <f t="shared" si="202"/>
        <v>924</v>
      </c>
      <c r="BO38" s="694">
        <f t="shared" si="202"/>
        <v>3759</v>
      </c>
      <c r="BP38" s="694">
        <f t="shared" si="202"/>
        <v>961</v>
      </c>
      <c r="BQ38" s="694">
        <f t="shared" si="202"/>
        <v>996</v>
      </c>
      <c r="BR38" s="694">
        <f t="shared" si="202"/>
        <v>969</v>
      </c>
      <c r="BS38" s="694">
        <f t="shared" si="202"/>
        <v>932</v>
      </c>
      <c r="BT38" s="694">
        <f t="shared" si="202"/>
        <v>3858</v>
      </c>
      <c r="BU38" s="694">
        <f t="shared" si="202"/>
        <v>927</v>
      </c>
      <c r="BV38" s="694">
        <f t="shared" si="202"/>
        <v>1012</v>
      </c>
      <c r="BW38" s="694">
        <f t="shared" ref="BW38:BZ38" si="203">BW451</f>
        <v>1004</v>
      </c>
      <c r="BX38" s="694">
        <f t="shared" si="203"/>
        <v>986</v>
      </c>
      <c r="BY38" s="694">
        <f t="shared" si="203"/>
        <v>3929</v>
      </c>
      <c r="BZ38" s="694">
        <f t="shared" si="203"/>
        <v>972</v>
      </c>
      <c r="CA38" s="694">
        <f t="shared" ref="CA38:CB38" si="204">CA451</f>
        <v>1002</v>
      </c>
      <c r="CB38" s="694">
        <f t="shared" si="204"/>
        <v>929</v>
      </c>
      <c r="CC38" s="694">
        <f t="shared" ref="CC38:CE38" si="205">CC451</f>
        <v>1057</v>
      </c>
      <c r="CD38" s="694">
        <f t="shared" si="201"/>
        <v>3960</v>
      </c>
      <c r="CE38" s="694">
        <f t="shared" si="205"/>
        <v>1044</v>
      </c>
      <c r="CF38" s="694">
        <f t="shared" ref="CF38:CG38" si="206">CF451</f>
        <v>1046</v>
      </c>
      <c r="CG38" s="694">
        <f t="shared" si="206"/>
        <v>1048</v>
      </c>
      <c r="CH38" s="694">
        <f t="shared" ref="CH38" si="207">CH451</f>
        <v>984</v>
      </c>
      <c r="CI38" s="694">
        <f>CI451</f>
        <v>4122</v>
      </c>
      <c r="CJ38" s="694">
        <f t="shared" ref="CJ38:CK38" si="208">CJ451</f>
        <v>1055</v>
      </c>
      <c r="CK38" s="694">
        <f t="shared" si="208"/>
        <v>1094</v>
      </c>
      <c r="CL38" s="694">
        <f t="shared" ref="CL38:CM38" si="209">CL451</f>
        <v>1102</v>
      </c>
      <c r="CM38" s="694">
        <f t="shared" si="209"/>
        <v>1078</v>
      </c>
      <c r="CN38" s="694">
        <f>CN451</f>
        <v>4329</v>
      </c>
      <c r="CO38" s="694">
        <f t="shared" ref="CO38:CP38" si="210">CO451</f>
        <v>1099</v>
      </c>
      <c r="CP38" s="694">
        <f t="shared" si="210"/>
        <v>1124</v>
      </c>
      <c r="CQ38" s="694">
        <f>CQ451</f>
        <v>4521.5932718038575</v>
      </c>
      <c r="CR38" s="694">
        <f>CR451</f>
        <v>4652.7746464653283</v>
      </c>
      <c r="CS38" s="694">
        <f>CS451</f>
        <v>4782.7277825729407</v>
      </c>
      <c r="CT38" s="694">
        <f t="shared" ref="CT38:CV38" si="211">CT451</f>
        <v>4920.6127220270864</v>
      </c>
      <c r="CU38" s="694">
        <f t="shared" si="211"/>
        <v>5055.0552341969897</v>
      </c>
      <c r="CV38" s="694">
        <f t="shared" si="211"/>
        <v>5192.1232583166502</v>
      </c>
      <c r="CW38" s="694">
        <f t="shared" ref="CW38" si="212">CW451</f>
        <v>5332.0710765879776</v>
      </c>
      <c r="CX38" s="165"/>
      <c r="CY38" s="165"/>
      <c r="CZ38" s="165"/>
      <c r="DA38" s="165"/>
      <c r="DB38" s="165"/>
      <c r="DC38" s="165"/>
      <c r="DD38" s="165"/>
    </row>
    <row r="39" spans="1:124">
      <c r="A39" s="159" t="s">
        <v>0</v>
      </c>
      <c r="B39" s="170"/>
      <c r="C39" s="170"/>
      <c r="D39" s="170"/>
      <c r="E39" s="170"/>
      <c r="F39" s="170"/>
      <c r="G39" s="179"/>
      <c r="H39" s="179"/>
      <c r="I39" s="179"/>
      <c r="J39" s="170">
        <f>J38/E38-1</f>
        <v>-8.3544303797468356E-2</v>
      </c>
      <c r="K39" s="170">
        <f t="shared" ref="K39:AA39" si="213">K38/F38-1</f>
        <v>-3.321678321678323E-2</v>
      </c>
      <c r="L39" s="170">
        <f t="shared" si="213"/>
        <v>-4.1388396710735686E-2</v>
      </c>
      <c r="M39" s="170">
        <f t="shared" si="213"/>
        <v>1.0270774976657293E-2</v>
      </c>
      <c r="N39" s="170">
        <f t="shared" si="213"/>
        <v>-4.3941068139963235E-2</v>
      </c>
      <c r="O39" s="170">
        <f t="shared" si="213"/>
        <v>4.9723756906077332E-2</v>
      </c>
      <c r="P39" s="170">
        <f t="shared" si="213"/>
        <v>5.4249547920433905E-2</v>
      </c>
      <c r="Q39" s="170">
        <f t="shared" si="213"/>
        <v>4.6445497630331678E-2</v>
      </c>
      <c r="R39" s="170">
        <f t="shared" si="213"/>
        <v>7.3937153419594281E-3</v>
      </c>
      <c r="S39" s="170">
        <f t="shared" si="213"/>
        <v>7.587548638132291E-2</v>
      </c>
      <c r="T39" s="170">
        <f t="shared" si="213"/>
        <v>-1.4912280701754432E-2</v>
      </c>
      <c r="U39" s="170">
        <f t="shared" si="213"/>
        <v>-5.3173241852487174E-2</v>
      </c>
      <c r="V39" s="170">
        <f t="shared" si="213"/>
        <v>1.5851449275361418E-3</v>
      </c>
      <c r="W39" s="170">
        <f t="shared" si="213"/>
        <v>3.9449541284403589E-2</v>
      </c>
      <c r="X39" s="170">
        <f t="shared" si="213"/>
        <v>0</v>
      </c>
      <c r="Y39" s="170">
        <f t="shared" si="213"/>
        <v>-5.6099732858414963E-2</v>
      </c>
      <c r="Z39" s="170">
        <f t="shared" si="213"/>
        <v>-3.5326086956521729E-2</v>
      </c>
      <c r="AA39" s="170">
        <f t="shared" si="213"/>
        <v>-1.446981686638027E-2</v>
      </c>
      <c r="AB39" s="170">
        <f t="shared" ref="AB39:BJ39" si="214">AB38/W38-1</f>
        <v>0</v>
      </c>
      <c r="AC39" s="170">
        <f t="shared" si="214"/>
        <v>0</v>
      </c>
      <c r="AD39" s="170">
        <f t="shared" si="214"/>
        <v>0</v>
      </c>
      <c r="AE39" s="170">
        <f t="shared" si="214"/>
        <v>0</v>
      </c>
      <c r="AF39" s="170">
        <f t="shared" si="214"/>
        <v>1.1470520761642788E-3</v>
      </c>
      <c r="AG39" s="170">
        <f t="shared" si="214"/>
        <v>-5.2956751985878237E-2</v>
      </c>
      <c r="AH39" s="170">
        <f t="shared" si="214"/>
        <v>-1.8083182640144635E-2</v>
      </c>
      <c r="AI39" s="170">
        <f t="shared" si="214"/>
        <v>1.7924528301886733E-2</v>
      </c>
      <c r="AJ39" s="170">
        <f t="shared" si="214"/>
        <v>-2.9107981220657275E-2</v>
      </c>
      <c r="AK39" s="170">
        <f t="shared" si="214"/>
        <v>-2.1081576535288749E-2</v>
      </c>
      <c r="AL39" s="170">
        <f t="shared" si="214"/>
        <v>-2.4231127679403497E-2</v>
      </c>
      <c r="AM39" s="170">
        <f t="shared" si="214"/>
        <v>1.3812154696132506E-2</v>
      </c>
      <c r="AN39" s="170">
        <f t="shared" si="214"/>
        <v>-5.3753475440222465E-2</v>
      </c>
      <c r="AO39" s="170">
        <f t="shared" si="214"/>
        <v>0.12379110251450687</v>
      </c>
      <c r="AP39" s="170">
        <f t="shared" si="214"/>
        <v>1.3810861423221077E-2</v>
      </c>
      <c r="AQ39" s="170">
        <f t="shared" si="214"/>
        <v>0.15854823304680044</v>
      </c>
      <c r="AR39" s="170">
        <f t="shared" si="214"/>
        <v>-4.6321525885558601E-2</v>
      </c>
      <c r="AS39" s="170">
        <f t="shared" si="214"/>
        <v>0.10675808031341827</v>
      </c>
      <c r="AT39" s="170">
        <f t="shared" si="214"/>
        <v>-3.4423407917383297E-3</v>
      </c>
      <c r="AU39" s="170">
        <f t="shared" si="214"/>
        <v>5.0796582775340493E-2</v>
      </c>
      <c r="AV39" s="170">
        <f t="shared" si="214"/>
        <v>-0.16488046166529269</v>
      </c>
      <c r="AW39" s="170">
        <f t="shared" si="214"/>
        <v>7.1428571428571397E-2</v>
      </c>
      <c r="AX39" s="170">
        <f t="shared" si="214"/>
        <v>-1.8584070796460184E-2</v>
      </c>
      <c r="AY39" s="170">
        <f t="shared" si="214"/>
        <v>-8.376511226252159E-2</v>
      </c>
      <c r="AZ39" s="170">
        <f t="shared" si="214"/>
        <v>-5.339485827290702E-2</v>
      </c>
      <c r="BA39" s="170">
        <f t="shared" si="214"/>
        <v>9.8716683119446369E-3</v>
      </c>
      <c r="BB39" s="170">
        <f t="shared" si="214"/>
        <v>-0.10488888888888892</v>
      </c>
      <c r="BC39" s="170">
        <f t="shared" si="214"/>
        <v>-7.5743913435527555E-2</v>
      </c>
      <c r="BD39" s="170">
        <f t="shared" si="214"/>
        <v>-0.28180961357210177</v>
      </c>
      <c r="BE39" s="170">
        <f t="shared" si="214"/>
        <v>-0.11397400185701023</v>
      </c>
      <c r="BF39" s="170">
        <f t="shared" si="214"/>
        <v>-4.0078201368523914E-2</v>
      </c>
      <c r="BG39" s="170">
        <f t="shared" si="214"/>
        <v>-2.8798411122144985E-2</v>
      </c>
      <c r="BH39" s="170">
        <f t="shared" si="214"/>
        <v>-3.8048780487804912E-2</v>
      </c>
      <c r="BI39" s="170">
        <f t="shared" si="214"/>
        <v>0.24015748031496065</v>
      </c>
      <c r="BJ39" s="170">
        <f t="shared" si="214"/>
        <v>1.9386953104532312E-2</v>
      </c>
      <c r="BK39" s="170">
        <f t="shared" ref="BK39:CP39" si="215">BK38/BF38-1</f>
        <v>-3.8696537678207688E-2</v>
      </c>
      <c r="BL39" s="170">
        <f t="shared" si="215"/>
        <v>-4.0899795501022518E-2</v>
      </c>
      <c r="BM39" s="170">
        <f t="shared" si="215"/>
        <v>-3.3468559837728229E-2</v>
      </c>
      <c r="BN39" s="170">
        <f t="shared" si="215"/>
        <v>-2.2222222222222254E-2</v>
      </c>
      <c r="BO39" s="170">
        <f>BO38/BJ38-1</f>
        <v>-3.3924441017733176E-2</v>
      </c>
      <c r="BP39" s="170">
        <f t="shared" si="215"/>
        <v>1.8008474576271194E-2</v>
      </c>
      <c r="BQ39" s="170">
        <f t="shared" si="215"/>
        <v>6.1833688699360234E-2</v>
      </c>
      <c r="BR39" s="170">
        <f t="shared" si="215"/>
        <v>1.6789087093389332E-2</v>
      </c>
      <c r="BS39" s="170">
        <f t="shared" si="215"/>
        <v>8.6580086580085869E-3</v>
      </c>
      <c r="BT39" s="170">
        <f>BT38/BO38-1</f>
        <v>2.6336791699920203E-2</v>
      </c>
      <c r="BU39" s="170">
        <f t="shared" si="215"/>
        <v>-3.5379812695109258E-2</v>
      </c>
      <c r="BV39" s="170">
        <f t="shared" si="215"/>
        <v>1.6064257028112428E-2</v>
      </c>
      <c r="BW39" s="170">
        <f t="shared" si="215"/>
        <v>3.6119711042311708E-2</v>
      </c>
      <c r="BX39" s="170">
        <f t="shared" si="215"/>
        <v>5.7939914163090078E-2</v>
      </c>
      <c r="BY39" s="170">
        <f>BY38/BT38-1</f>
        <v>1.8403317781233719E-2</v>
      </c>
      <c r="BZ39" s="170">
        <f t="shared" si="215"/>
        <v>4.8543689320388328E-2</v>
      </c>
      <c r="CA39" s="170">
        <f t="shared" si="215"/>
        <v>-9.8814229249012397E-3</v>
      </c>
      <c r="CB39" s="170">
        <f t="shared" si="215"/>
        <v>-7.4701195219123551E-2</v>
      </c>
      <c r="CC39" s="170">
        <f t="shared" si="215"/>
        <v>7.2008113590263712E-2</v>
      </c>
      <c r="CD39" s="170">
        <f>CD38/BY38-1</f>
        <v>7.8900483583608239E-3</v>
      </c>
      <c r="CE39" s="170">
        <f t="shared" si="215"/>
        <v>7.4074074074074181E-2</v>
      </c>
      <c r="CF39" s="170">
        <f t="shared" si="215"/>
        <v>4.3912175648702645E-2</v>
      </c>
      <c r="CG39" s="170">
        <f t="shared" si="215"/>
        <v>0.12809472551130252</v>
      </c>
      <c r="CH39" s="170">
        <f t="shared" si="215"/>
        <v>-6.9063386944181682E-2</v>
      </c>
      <c r="CI39" s="170">
        <f>CI38/CD38-1</f>
        <v>4.0909090909091006E-2</v>
      </c>
      <c r="CJ39" s="170">
        <f t="shared" si="215"/>
        <v>1.0536398467432928E-2</v>
      </c>
      <c r="CK39" s="170">
        <f t="shared" si="215"/>
        <v>4.5889101338432159E-2</v>
      </c>
      <c r="CL39" s="170">
        <f t="shared" si="215"/>
        <v>5.15267175572518E-2</v>
      </c>
      <c r="CM39" s="170">
        <f t="shared" si="215"/>
        <v>9.5528455284552782E-2</v>
      </c>
      <c r="CN39" s="170">
        <f>CN38/CI38-1</f>
        <v>5.0218340611353662E-2</v>
      </c>
      <c r="CO39" s="170">
        <f t="shared" si="215"/>
        <v>4.1706161137440745E-2</v>
      </c>
      <c r="CP39" s="170">
        <f t="shared" si="215"/>
        <v>2.7422303473491727E-2</v>
      </c>
      <c r="CQ39" s="170">
        <f>CQ38/CN38-1</f>
        <v>4.4489090275781296E-2</v>
      </c>
      <c r="CR39" s="170">
        <f t="shared" ref="CR39:CS39" si="216">CR38/CQ38-1</f>
        <v>2.9012201402435434E-2</v>
      </c>
      <c r="CS39" s="170">
        <f t="shared" si="216"/>
        <v>2.7930245064917703E-2</v>
      </c>
      <c r="CT39" s="170">
        <f t="shared" ref="CT39" si="217">CT38/CS38-1</f>
        <v>2.8829769479367773E-2</v>
      </c>
      <c r="CU39" s="170">
        <f t="shared" ref="CU39" si="218">CU38/CT38-1</f>
        <v>2.7322311217071071E-2</v>
      </c>
      <c r="CV39" s="170">
        <f t="shared" ref="CV39:CW39" si="219">CV38/CU38-1</f>
        <v>2.7115039850090561E-2</v>
      </c>
      <c r="CW39" s="170">
        <f t="shared" si="219"/>
        <v>2.6953870566759353E-2</v>
      </c>
      <c r="CX39" s="159"/>
      <c r="CY39" s="159"/>
      <c r="CZ39" s="159"/>
      <c r="DA39" s="159"/>
      <c r="DB39" s="159"/>
      <c r="DC39" s="162"/>
      <c r="DD39" s="162"/>
      <c r="DO39" s="159"/>
      <c r="DP39" s="162"/>
      <c r="DQ39" s="162"/>
    </row>
    <row r="40" spans="1:124">
      <c r="A40" s="159" t="s">
        <v>3</v>
      </c>
      <c r="B40" s="170">
        <f>B38/B31</f>
        <v>0</v>
      </c>
      <c r="C40" s="170"/>
      <c r="D40" s="170"/>
      <c r="E40" s="170"/>
      <c r="F40" s="170">
        <f>F38/F31</f>
        <v>0.51905626134301275</v>
      </c>
      <c r="G40" s="170">
        <f>G38/G31</f>
        <v>0.52097657960449251</v>
      </c>
      <c r="H40" s="170">
        <f t="shared" ref="H40:AY40" si="220">H38/H31</f>
        <v>0.50305307656176612</v>
      </c>
      <c r="I40" s="170">
        <f t="shared" si="220"/>
        <v>0.50815100413633052</v>
      </c>
      <c r="J40" s="170">
        <f t="shared" si="220"/>
        <v>0.50371057513914652</v>
      </c>
      <c r="K40" s="170">
        <f t="shared" si="220"/>
        <v>0.50022614201718685</v>
      </c>
      <c r="L40" s="170">
        <f t="shared" si="220"/>
        <v>0.49001393404551791</v>
      </c>
      <c r="M40" s="170">
        <f t="shared" si="220"/>
        <v>0.50278810408921937</v>
      </c>
      <c r="N40" s="170">
        <f t="shared" si="220"/>
        <v>0.46919214970333178</v>
      </c>
      <c r="O40" s="170">
        <f t="shared" si="220"/>
        <v>0.51444043321299637</v>
      </c>
      <c r="P40" s="170">
        <f t="shared" si="220"/>
        <v>0.50476190476190474</v>
      </c>
      <c r="Q40" s="170">
        <f t="shared" si="220"/>
        <v>0.4979140827601759</v>
      </c>
      <c r="R40" s="170">
        <f t="shared" si="220"/>
        <v>0.51101734646038444</v>
      </c>
      <c r="S40" s="170">
        <f t="shared" si="220"/>
        <v>0.51251158480074144</v>
      </c>
      <c r="T40" s="170">
        <f t="shared" si="220"/>
        <v>0.50044563279857401</v>
      </c>
      <c r="U40" s="170">
        <f t="shared" si="220"/>
        <v>0.49110320284697506</v>
      </c>
      <c r="V40" s="170">
        <f t="shared" si="220"/>
        <v>0.50358647386997613</v>
      </c>
      <c r="W40" s="170">
        <f t="shared" si="220"/>
        <v>0.53067915690866507</v>
      </c>
      <c r="X40" s="170">
        <f t="shared" si="220"/>
        <v>0.49752586594691856</v>
      </c>
      <c r="Y40" s="170">
        <f t="shared" si="220"/>
        <v>0.47833935018050544</v>
      </c>
      <c r="Z40" s="170">
        <f t="shared" si="220"/>
        <v>0.46183868169991327</v>
      </c>
      <c r="AA40" s="170">
        <f t="shared" si="220"/>
        <v>0.49087837837837839</v>
      </c>
      <c r="AB40" s="170">
        <f t="shared" si="220"/>
        <v>0.48689299527288354</v>
      </c>
      <c r="AC40" s="170">
        <f t="shared" si="220"/>
        <v>0.48191721132897603</v>
      </c>
      <c r="AD40" s="170">
        <f t="shared" si="220"/>
        <v>0.47342563644484142</v>
      </c>
      <c r="AE40" s="170">
        <f t="shared" si="220"/>
        <v>0.47886690647482016</v>
      </c>
      <c r="AF40" s="170">
        <f t="shared" si="220"/>
        <v>0.48336510724192583</v>
      </c>
      <c r="AG40" s="170">
        <f t="shared" si="220"/>
        <v>0.50637092968381314</v>
      </c>
      <c r="AH40" s="170">
        <f t="shared" si="220"/>
        <v>0.52161383285302598</v>
      </c>
      <c r="AI40" s="170">
        <f t="shared" si="220"/>
        <v>0.52251815980629535</v>
      </c>
      <c r="AJ40" s="170">
        <f t="shared" si="220"/>
        <v>0.48704663212435234</v>
      </c>
      <c r="AK40" s="170">
        <f t="shared" si="220"/>
        <v>0.50832936696811037</v>
      </c>
      <c r="AL40" s="170">
        <f t="shared" si="220"/>
        <v>0.48720335039553281</v>
      </c>
      <c r="AM40" s="170">
        <f t="shared" si="220"/>
        <v>0.52180094786729858</v>
      </c>
      <c r="AN40" s="170">
        <f t="shared" si="220"/>
        <v>0.47137580794090489</v>
      </c>
      <c r="AO40" s="170">
        <f t="shared" si="220"/>
        <v>0.53400735294117652</v>
      </c>
      <c r="AP40" s="170">
        <f t="shared" si="220"/>
        <v>0.50354609929078009</v>
      </c>
      <c r="AQ40" s="170">
        <f t="shared" si="220"/>
        <v>0.56682242990654208</v>
      </c>
      <c r="AR40" s="170">
        <f t="shared" si="220"/>
        <v>0.49952426260704091</v>
      </c>
      <c r="AS40" s="170">
        <f t="shared" si="220"/>
        <v>0.52411873840445267</v>
      </c>
      <c r="AT40" s="170">
        <f t="shared" si="220"/>
        <v>0.52303523035230348</v>
      </c>
      <c r="AU40" s="170">
        <f t="shared" si="220"/>
        <v>0.52844867626567582</v>
      </c>
      <c r="AV40" s="170">
        <f t="shared" si="220"/>
        <v>0.4265263157894737</v>
      </c>
      <c r="AW40" s="170">
        <f t="shared" si="220"/>
        <v>0.4817987152034261</v>
      </c>
      <c r="AX40" s="170">
        <f t="shared" si="220"/>
        <v>0.47535362194599229</v>
      </c>
      <c r="AY40" s="170">
        <f t="shared" si="220"/>
        <v>0.44654882154882153</v>
      </c>
      <c r="AZ40" s="170">
        <f>AZ38/AZ31</f>
        <v>0.45737339420320627</v>
      </c>
      <c r="BA40" s="170">
        <f t="shared" ref="BA40:BI40" si="221">BA38/BA31</f>
        <v>0.45730889584264639</v>
      </c>
      <c r="BB40" s="170">
        <f t="shared" si="221"/>
        <v>0.44835262689225291</v>
      </c>
      <c r="BC40" s="170">
        <f t="shared" si="221"/>
        <v>0.45273851590106007</v>
      </c>
      <c r="BD40" s="170">
        <f t="shared" si="221"/>
        <v>0.31165644171779139</v>
      </c>
      <c r="BE40" s="170">
        <f t="shared" si="221"/>
        <v>0.41525239338555264</v>
      </c>
      <c r="BF40" s="170">
        <f t="shared" si="221"/>
        <v>0.43996415770609321</v>
      </c>
      <c r="BG40" s="170">
        <f t="shared" si="221"/>
        <v>0.44333635539437899</v>
      </c>
      <c r="BH40" s="170">
        <f t="shared" si="221"/>
        <v>0.4315098468271335</v>
      </c>
      <c r="BI40" s="170">
        <f t="shared" si="221"/>
        <v>0.36486486486486486</v>
      </c>
      <c r="BJ40" s="170">
        <f t="shared" ref="BJ40:CS40" si="222">BJ38/BJ31</f>
        <v>0.41780307097605496</v>
      </c>
      <c r="BK40" s="170">
        <f t="shared" si="222"/>
        <v>0.40324647586501494</v>
      </c>
      <c r="BL40" s="170">
        <f t="shared" si="222"/>
        <v>0.43607624360762437</v>
      </c>
      <c r="BM40" s="170">
        <f t="shared" si="222"/>
        <v>0.43063714414821508</v>
      </c>
      <c r="BN40" s="170">
        <f t="shared" si="222"/>
        <v>0.4086687306501548</v>
      </c>
      <c r="BO40" s="170">
        <f t="shared" si="222"/>
        <v>0.41925050189605173</v>
      </c>
      <c r="BP40" s="170">
        <f t="shared" si="222"/>
        <v>0.42901785714285712</v>
      </c>
      <c r="BQ40" s="170">
        <f t="shared" si="222"/>
        <v>0.43799472295514513</v>
      </c>
      <c r="BR40" s="170">
        <f t="shared" si="222"/>
        <v>0.42668428005284015</v>
      </c>
      <c r="BS40" s="170">
        <f t="shared" si="222"/>
        <v>0.37947882736156352</v>
      </c>
      <c r="BT40" s="170">
        <f t="shared" si="222"/>
        <v>0.41748728492587384</v>
      </c>
      <c r="BU40" s="170">
        <f t="shared" si="222"/>
        <v>0.385286783042394</v>
      </c>
      <c r="BV40" s="170">
        <f t="shared" si="222"/>
        <v>0.41749174917491749</v>
      </c>
      <c r="BW40" s="170">
        <f t="shared" ref="BW40:BZ40" si="223">BW38/BW31</f>
        <v>0.41746361746361749</v>
      </c>
      <c r="BX40" s="170">
        <f t="shared" si="223"/>
        <v>0.38606108065779171</v>
      </c>
      <c r="BY40" s="170">
        <f t="shared" si="223"/>
        <v>0.40136888344059657</v>
      </c>
      <c r="BZ40" s="170">
        <f t="shared" si="223"/>
        <v>0.38479809976247031</v>
      </c>
      <c r="CA40" s="170">
        <f t="shared" ref="CA40:CB40" si="224">CA38/CA31</f>
        <v>0.40566801619433196</v>
      </c>
      <c r="CB40" s="170">
        <f t="shared" si="224"/>
        <v>0.38042588042588044</v>
      </c>
      <c r="CC40" s="170">
        <f t="shared" ref="CC40:CE40" si="225">CC38/CC31</f>
        <v>0.38548504741064915</v>
      </c>
      <c r="CD40" s="170">
        <f t="shared" si="222"/>
        <v>0.38899803536345778</v>
      </c>
      <c r="CE40" s="170">
        <f t="shared" si="225"/>
        <v>0.40107568190549364</v>
      </c>
      <c r="CF40" s="170">
        <f t="shared" ref="CF40:CG40" si="226">CF38/CF31</f>
        <v>0.40448569218870845</v>
      </c>
      <c r="CG40" s="170">
        <f t="shared" si="226"/>
        <v>0.40683229813664595</v>
      </c>
      <c r="CH40" s="170">
        <f t="shared" ref="CH40" si="227">CH38/CH31</f>
        <v>0.35510645976181882</v>
      </c>
      <c r="CI40" s="170">
        <f t="shared" si="222"/>
        <v>0.39123006833712987</v>
      </c>
      <c r="CJ40" s="170">
        <f t="shared" si="222"/>
        <v>0.40452453987730064</v>
      </c>
      <c r="CK40" s="170">
        <f t="shared" ref="CK40:CL40" si="228">CK38/CK31</f>
        <v>0.42701014832162371</v>
      </c>
      <c r="CL40" s="170">
        <f t="shared" si="228"/>
        <v>0.42564696794129009</v>
      </c>
      <c r="CM40" s="170">
        <f t="shared" ref="CM40:CP40" si="229">CM38/CM31</f>
        <v>0.37482614742698189</v>
      </c>
      <c r="CN40" s="170">
        <f t="shared" si="229"/>
        <v>0.4070521861777151</v>
      </c>
      <c r="CO40" s="170">
        <f t="shared" si="229"/>
        <v>0.40241669718051998</v>
      </c>
      <c r="CP40" s="170">
        <f t="shared" si="229"/>
        <v>0.42319277108433734</v>
      </c>
      <c r="CQ40" s="170">
        <f t="shared" si="222"/>
        <v>0.41309731668063632</v>
      </c>
      <c r="CR40" s="170">
        <f t="shared" si="222"/>
        <v>0.4147948433665038</v>
      </c>
      <c r="CS40" s="170">
        <f t="shared" si="222"/>
        <v>0.41619213648730491</v>
      </c>
      <c r="CT40" s="170">
        <f t="shared" ref="CT40:CV40" si="230">CT38/CT31</f>
        <v>0.41765562415863322</v>
      </c>
      <c r="CU40" s="170">
        <f t="shared" si="230"/>
        <v>0.41907520656617486</v>
      </c>
      <c r="CV40" s="170">
        <f t="shared" si="230"/>
        <v>0.42050538835498075</v>
      </c>
      <c r="CW40" s="170">
        <f t="shared" ref="CW40" si="231">CW38/CW31</f>
        <v>0.42194535586410659</v>
      </c>
      <c r="CX40" s="159"/>
      <c r="CY40" s="159"/>
      <c r="CZ40" s="159"/>
      <c r="DA40" s="159"/>
      <c r="DB40" s="159"/>
      <c r="DC40" s="161"/>
      <c r="DD40" s="161"/>
      <c r="DE40" s="161"/>
      <c r="DF40" s="161"/>
      <c r="DO40" s="159"/>
      <c r="DP40" s="161"/>
      <c r="DQ40" s="161"/>
      <c r="DR40" s="161"/>
      <c r="DS40" s="161"/>
      <c r="DT40" s="170"/>
    </row>
    <row r="41" spans="1:124">
      <c r="A41" s="171" t="s">
        <v>682</v>
      </c>
      <c r="B41" s="171"/>
      <c r="C41" s="171"/>
      <c r="D41" s="171"/>
      <c r="E41" s="171"/>
      <c r="F41" s="171"/>
      <c r="G41" s="171"/>
      <c r="H41" s="171"/>
      <c r="I41" s="171"/>
      <c r="J41" s="171"/>
      <c r="K41" s="171"/>
      <c r="L41" s="171"/>
      <c r="M41" s="171"/>
      <c r="N41" s="171"/>
      <c r="O41" s="171"/>
      <c r="P41" s="171"/>
      <c r="Q41" s="171"/>
      <c r="R41" s="171"/>
      <c r="S41" s="171"/>
      <c r="T41" s="171"/>
      <c r="U41" s="171"/>
      <c r="V41" s="171"/>
      <c r="W41" s="171"/>
      <c r="X41" s="171"/>
      <c r="Y41" s="171"/>
      <c r="Z41" s="171"/>
      <c r="AA41" s="171"/>
      <c r="AB41" s="171"/>
      <c r="AC41" s="171"/>
      <c r="AD41" s="171"/>
      <c r="AE41" s="171"/>
      <c r="AF41" s="180"/>
      <c r="AG41" s="180"/>
      <c r="AH41" s="180"/>
      <c r="AI41" s="180"/>
      <c r="AJ41" s="180"/>
      <c r="AK41" s="180"/>
      <c r="AL41" s="180"/>
      <c r="AM41" s="180"/>
      <c r="AN41" s="180"/>
      <c r="AO41" s="180"/>
      <c r="AP41" s="180"/>
      <c r="AQ41" s="180"/>
      <c r="AR41" s="180"/>
      <c r="AS41" s="180"/>
      <c r="AT41" s="180"/>
      <c r="AU41" s="173"/>
      <c r="AV41" s="180"/>
      <c r="AW41" s="180"/>
      <c r="AX41" s="180"/>
      <c r="AY41" s="180"/>
      <c r="AZ41" s="173"/>
      <c r="BA41" s="180"/>
      <c r="BB41" s="180"/>
      <c r="BC41" s="180"/>
      <c r="BD41" s="180"/>
      <c r="BE41" s="173"/>
      <c r="BF41" s="180"/>
      <c r="BG41" s="180"/>
      <c r="BH41" s="173"/>
      <c r="BI41" s="173"/>
      <c r="BJ41" s="173"/>
      <c r="BK41" s="180"/>
      <c r="BL41" s="180"/>
      <c r="BM41" s="180"/>
      <c r="BN41" s="180"/>
      <c r="BO41" s="173"/>
      <c r="BP41" s="180"/>
      <c r="BQ41" s="180"/>
      <c r="BR41" s="180"/>
      <c r="BS41" s="180"/>
      <c r="BT41" s="173"/>
      <c r="BU41" s="181"/>
      <c r="BV41" s="181"/>
      <c r="BW41" s="181"/>
      <c r="BX41" s="181"/>
      <c r="BY41" s="173"/>
      <c r="BZ41" s="181"/>
      <c r="CA41" s="181"/>
      <c r="CB41" s="181"/>
      <c r="CC41" s="181"/>
      <c r="CD41" s="1013" t="s">
        <v>684</v>
      </c>
      <c r="CE41" s="1015"/>
      <c r="CF41" s="1015"/>
      <c r="CG41" s="1015"/>
      <c r="CH41" s="1015"/>
      <c r="CI41" s="385" t="s">
        <v>752</v>
      </c>
      <c r="CJ41" s="1015"/>
      <c r="CK41" s="1015"/>
      <c r="CL41" s="1015"/>
      <c r="CM41" s="1015"/>
      <c r="CN41" s="385" t="s">
        <v>752</v>
      </c>
      <c r="CO41" s="1015"/>
      <c r="CP41" s="1015"/>
      <c r="CQ41" s="385" t="s">
        <v>795</v>
      </c>
      <c r="CR41" s="173"/>
      <c r="CS41" s="173"/>
      <c r="CT41" s="173"/>
      <c r="CU41" s="173"/>
      <c r="CV41" s="173"/>
      <c r="CW41" s="173"/>
      <c r="CX41" s="159"/>
      <c r="CY41" s="159"/>
      <c r="CZ41" s="159"/>
      <c r="DA41" s="159"/>
      <c r="DB41" s="159"/>
      <c r="DC41" s="161"/>
      <c r="DD41" s="161"/>
      <c r="DE41" s="161"/>
      <c r="DF41" s="161"/>
      <c r="DO41" s="159"/>
      <c r="DP41" s="161"/>
      <c r="DQ41" s="161"/>
      <c r="DR41" s="161"/>
      <c r="DS41" s="161"/>
      <c r="DT41" s="170"/>
    </row>
    <row r="42" spans="1:124">
      <c r="A42" s="171" t="s">
        <v>1</v>
      </c>
      <c r="B42" s="171"/>
      <c r="C42" s="171"/>
      <c r="D42" s="171"/>
      <c r="E42" s="171"/>
      <c r="F42" s="171"/>
      <c r="G42" s="171"/>
      <c r="H42" s="171"/>
      <c r="I42" s="171"/>
      <c r="J42" s="171"/>
      <c r="K42" s="171"/>
      <c r="L42" s="171"/>
      <c r="M42" s="171"/>
      <c r="N42" s="171"/>
      <c r="O42" s="171"/>
      <c r="P42" s="171"/>
      <c r="Q42" s="171"/>
      <c r="R42" s="171"/>
      <c r="S42" s="171"/>
      <c r="T42" s="171"/>
      <c r="U42" s="171"/>
      <c r="V42" s="171"/>
      <c r="W42" s="171"/>
      <c r="X42" s="171"/>
      <c r="Y42" s="171"/>
      <c r="Z42" s="171"/>
      <c r="AA42" s="171"/>
      <c r="AB42" s="171"/>
      <c r="AC42" s="171"/>
      <c r="AD42" s="171"/>
      <c r="AE42" s="171"/>
      <c r="AF42" s="180"/>
      <c r="AG42" s="180"/>
      <c r="AH42" s="180"/>
      <c r="AI42" s="180"/>
      <c r="AJ42" s="180"/>
      <c r="AK42" s="180"/>
      <c r="AL42" s="180"/>
      <c r="AM42" s="180"/>
      <c r="AN42" s="180"/>
      <c r="AO42" s="180"/>
      <c r="AP42" s="180"/>
      <c r="AQ42" s="180"/>
      <c r="AR42" s="180"/>
      <c r="AS42" s="180"/>
      <c r="AT42" s="180"/>
      <c r="AU42" s="173"/>
      <c r="AV42" s="180"/>
      <c r="AW42" s="180"/>
      <c r="AX42" s="180"/>
      <c r="AY42" s="180"/>
      <c r="AZ42" s="173"/>
      <c r="BA42" s="180"/>
      <c r="BB42" s="180"/>
      <c r="BC42" s="180"/>
      <c r="BD42" s="180"/>
      <c r="BE42" s="173"/>
      <c r="BF42" s="180"/>
      <c r="BG42" s="180"/>
      <c r="BH42" s="173"/>
      <c r="BI42" s="173"/>
      <c r="BJ42" s="173"/>
      <c r="BK42" s="180"/>
      <c r="BL42" s="180"/>
      <c r="BM42" s="180"/>
      <c r="BN42" s="180"/>
      <c r="BO42" s="173"/>
      <c r="BP42" s="180"/>
      <c r="BQ42" s="180"/>
      <c r="BR42" s="180"/>
      <c r="BS42" s="180"/>
      <c r="BT42" s="173"/>
      <c r="BU42" s="181"/>
      <c r="BV42" s="181"/>
      <c r="BW42" s="181"/>
      <c r="BX42" s="181"/>
      <c r="BY42" s="173"/>
      <c r="BZ42" s="181"/>
      <c r="CA42" s="181"/>
      <c r="CB42" s="181"/>
      <c r="CC42" s="181"/>
      <c r="CD42" s="385">
        <f>CD38</f>
        <v>3960</v>
      </c>
      <c r="CE42" s="181"/>
      <c r="CF42" s="181"/>
      <c r="CG42" s="181"/>
      <c r="CH42" s="181"/>
      <c r="CI42" s="385">
        <f>CI38</f>
        <v>4122</v>
      </c>
      <c r="CJ42" s="181"/>
      <c r="CK42" s="181"/>
      <c r="CL42" s="181"/>
      <c r="CM42" s="181"/>
      <c r="CN42" s="385">
        <f>CN38</f>
        <v>4329</v>
      </c>
      <c r="CO42" s="181"/>
      <c r="CP42" s="181"/>
      <c r="CQ42" s="385" cm="1">
        <f t="array" ref="CQ42">_xll.VAData("MXSC_MY", "FY-"&amp;CQ$2, "EBITDA", "Consensus", "CD", "IMPL","","")</f>
        <v>4437.0575774980398</v>
      </c>
      <c r="CR42" s="385" cm="1">
        <f t="array" ref="CR42">_xll.VAData("MXSC_MY", "FY-"&amp;CR$2, "EBITDA", "Consensus", "CD", "IMPL","","")</f>
        <v>4493.3138470381155</v>
      </c>
      <c r="CS42" s="385" cm="1">
        <f t="array" ref="CS42">_xll.VAData("MXSC_MY", "FY-"&amp;CS$2, "EBITDA", "Consensus", "CD", "IMPL","","")</f>
        <v>4570.1480438309072</v>
      </c>
      <c r="CT42" s="385" cm="1">
        <f t="array" ref="CT42">_xll.VAData("MXSC_MY", "FY-"&amp;CT$2, "EBITDA", "Consensus", "CD", "IMPL","","")</f>
        <v>4636.4906309505704</v>
      </c>
      <c r="CU42" s="385" cm="1">
        <f t="array" ref="CU42">_xll.VAData("MXSC_MY", "FY-"&amp;CU$2, "EBITDA", "Consensus", "CD", "IMPL","","")</f>
        <v>4723.2378259795641</v>
      </c>
      <c r="CV42" s="385" cm="1">
        <f t="array" ref="CV42">_xll.VAData("MXSC_MY", "FY-"&amp;CV$2, "EBITDA", "Consensus", "CD", "IMPL","","")</f>
        <v>4818.6238618239477</v>
      </c>
      <c r="CW42" s="385" cm="1">
        <f t="array" ref="CW42">_xll.VAData("MXSC_MY", "FY-"&amp;CW$2, "EBITDA", "Consensus", "CD", "IMPL","","")</f>
        <v>4880.9811578284825</v>
      </c>
      <c r="CX42" s="159"/>
      <c r="CY42" s="159"/>
      <c r="CZ42" s="159"/>
      <c r="DA42" s="159"/>
      <c r="DB42" s="159"/>
      <c r="DC42" s="161"/>
      <c r="DD42" s="161"/>
      <c r="DE42" s="161"/>
      <c r="DF42" s="161"/>
      <c r="DO42" s="159"/>
      <c r="DP42" s="161"/>
      <c r="DQ42" s="161"/>
      <c r="DR42" s="161"/>
      <c r="DS42" s="161"/>
      <c r="DT42" s="170"/>
    </row>
    <row r="43" spans="1:124">
      <c r="A43" s="171" t="s">
        <v>725</v>
      </c>
      <c r="B43" s="171"/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1"/>
      <c r="Q43" s="171"/>
      <c r="R43" s="171"/>
      <c r="S43" s="171"/>
      <c r="T43" s="171"/>
      <c r="U43" s="171"/>
      <c r="V43" s="171"/>
      <c r="W43" s="171"/>
      <c r="X43" s="171"/>
      <c r="Y43" s="171"/>
      <c r="Z43" s="171"/>
      <c r="AA43" s="171"/>
      <c r="AB43" s="171"/>
      <c r="AC43" s="171"/>
      <c r="AD43" s="171"/>
      <c r="AE43" s="171"/>
      <c r="AF43" s="180"/>
      <c r="AG43" s="180"/>
      <c r="AH43" s="180"/>
      <c r="AI43" s="180"/>
      <c r="AJ43" s="180"/>
      <c r="AK43" s="180"/>
      <c r="AL43" s="180"/>
      <c r="AM43" s="180"/>
      <c r="AN43" s="180"/>
      <c r="AO43" s="180"/>
      <c r="AP43" s="180"/>
      <c r="AQ43" s="180"/>
      <c r="AR43" s="180"/>
      <c r="AS43" s="180"/>
      <c r="AT43" s="180"/>
      <c r="AU43" s="173"/>
      <c r="AV43" s="180"/>
      <c r="AW43" s="180"/>
      <c r="AX43" s="180"/>
      <c r="AY43" s="180"/>
      <c r="AZ43" s="173"/>
      <c r="BA43" s="180"/>
      <c r="BB43" s="180"/>
      <c r="BC43" s="180"/>
      <c r="BD43" s="180"/>
      <c r="BE43" s="173"/>
      <c r="BF43" s="180"/>
      <c r="BG43" s="180"/>
      <c r="BH43" s="173"/>
      <c r="BI43" s="173"/>
      <c r="BJ43" s="173"/>
      <c r="BK43" s="180"/>
      <c r="BL43" s="180"/>
      <c r="BM43" s="180"/>
      <c r="BN43" s="180"/>
      <c r="BO43" s="173"/>
      <c r="BP43" s="180"/>
      <c r="BQ43" s="180"/>
      <c r="BR43" s="180"/>
      <c r="BS43" s="180"/>
      <c r="BT43" s="173"/>
      <c r="BU43" s="181"/>
      <c r="BV43" s="181"/>
      <c r="BW43" s="181"/>
      <c r="BX43" s="181"/>
      <c r="BY43" s="173"/>
      <c r="BZ43" s="181"/>
      <c r="CA43" s="181"/>
      <c r="CB43" s="181"/>
      <c r="CC43" s="181"/>
      <c r="CD43" s="385"/>
      <c r="CE43" s="181"/>
      <c r="CF43" s="181"/>
      <c r="CG43" s="181"/>
      <c r="CH43" s="181"/>
      <c r="CI43" s="175">
        <f>CI42/CD42-1</f>
        <v>4.0909090909091006E-2</v>
      </c>
      <c r="CJ43" s="181"/>
      <c r="CK43" s="181"/>
      <c r="CL43" s="181"/>
      <c r="CM43" s="181"/>
      <c r="CN43" s="175">
        <f>CN42/CI42-1</f>
        <v>5.0218340611353662E-2</v>
      </c>
      <c r="CO43" s="181"/>
      <c r="CP43" s="181"/>
      <c r="CQ43" s="175">
        <f>CQ42/CN42-1</f>
        <v>2.4961325363372477E-2</v>
      </c>
      <c r="CR43" s="175">
        <f t="shared" ref="CR43:CU43" si="232">CR42/CQ42-1</f>
        <v>1.2678733272557086E-2</v>
      </c>
      <c r="CS43" s="175">
        <f t="shared" si="232"/>
        <v>1.709967284912417E-2</v>
      </c>
      <c r="CT43" s="175">
        <f t="shared" si="232"/>
        <v>1.4516507229829667E-2</v>
      </c>
      <c r="CU43" s="175">
        <f t="shared" si="232"/>
        <v>1.8709666843693906E-2</v>
      </c>
      <c r="CV43" s="385"/>
      <c r="CW43" s="385"/>
      <c r="CX43" s="159"/>
      <c r="CY43" s="159"/>
      <c r="CZ43" s="159"/>
      <c r="DA43" s="159"/>
      <c r="DB43" s="159"/>
      <c r="DC43" s="161"/>
      <c r="DD43" s="161"/>
      <c r="DE43" s="161"/>
      <c r="DF43" s="161"/>
      <c r="DO43" s="159"/>
      <c r="DP43" s="161"/>
      <c r="DQ43" s="161"/>
      <c r="DR43" s="161"/>
      <c r="DS43" s="161"/>
      <c r="DT43" s="170"/>
    </row>
    <row r="44" spans="1:124">
      <c r="A44" s="171" t="s">
        <v>726</v>
      </c>
      <c r="B44" s="171"/>
      <c r="C44" s="171"/>
      <c r="D44" s="171"/>
      <c r="E44" s="171"/>
      <c r="F44" s="171"/>
      <c r="G44" s="171"/>
      <c r="H44" s="171"/>
      <c r="I44" s="171"/>
      <c r="J44" s="171"/>
      <c r="K44" s="171"/>
      <c r="L44" s="171"/>
      <c r="M44" s="171"/>
      <c r="N44" s="171"/>
      <c r="O44" s="171"/>
      <c r="P44" s="171"/>
      <c r="Q44" s="171"/>
      <c r="R44" s="171"/>
      <c r="S44" s="171"/>
      <c r="T44" s="171"/>
      <c r="U44" s="171"/>
      <c r="V44" s="171"/>
      <c r="W44" s="171"/>
      <c r="X44" s="171"/>
      <c r="Y44" s="171"/>
      <c r="Z44" s="171"/>
      <c r="AA44" s="171"/>
      <c r="AB44" s="171"/>
      <c r="AC44" s="171"/>
      <c r="AD44" s="171"/>
      <c r="AE44" s="171"/>
      <c r="AF44" s="180"/>
      <c r="AG44" s="180"/>
      <c r="AH44" s="180"/>
      <c r="AI44" s="180"/>
      <c r="AJ44" s="180"/>
      <c r="AK44" s="180"/>
      <c r="AL44" s="180"/>
      <c r="AM44" s="180"/>
      <c r="AN44" s="180"/>
      <c r="AO44" s="180"/>
      <c r="AP44" s="180"/>
      <c r="AQ44" s="180"/>
      <c r="AR44" s="180"/>
      <c r="AS44" s="180"/>
      <c r="AT44" s="180"/>
      <c r="AU44" s="173"/>
      <c r="AV44" s="180"/>
      <c r="AW44" s="180"/>
      <c r="AX44" s="180"/>
      <c r="AY44" s="180"/>
      <c r="AZ44" s="173"/>
      <c r="BA44" s="180"/>
      <c r="BB44" s="180"/>
      <c r="BC44" s="180"/>
      <c r="BD44" s="180"/>
      <c r="BE44" s="173"/>
      <c r="BF44" s="180"/>
      <c r="BG44" s="180"/>
      <c r="BH44" s="173"/>
      <c r="BI44" s="173"/>
      <c r="BJ44" s="173"/>
      <c r="BK44" s="180"/>
      <c r="BL44" s="180"/>
      <c r="BM44" s="180"/>
      <c r="BN44" s="180"/>
      <c r="BO44" s="173"/>
      <c r="BP44" s="180"/>
      <c r="BQ44" s="180"/>
      <c r="BR44" s="180"/>
      <c r="BS44" s="180"/>
      <c r="BT44" s="173"/>
      <c r="BU44" s="181"/>
      <c r="BV44" s="181"/>
      <c r="BW44" s="181"/>
      <c r="BX44" s="181"/>
      <c r="BY44" s="173"/>
      <c r="BZ44" s="181"/>
      <c r="CA44" s="181"/>
      <c r="CB44" s="181"/>
      <c r="CC44" s="181"/>
      <c r="CD44" s="175">
        <f>IFERROR(CD42/CD33,"")</f>
        <v>0.3889884826011149</v>
      </c>
      <c r="CE44" s="181"/>
      <c r="CF44" s="181"/>
      <c r="CG44" s="181"/>
      <c r="CH44" s="181"/>
      <c r="CI44" s="175">
        <f>IFERROR(CI42/CI33,"")</f>
        <v>0.3909645784891897</v>
      </c>
      <c r="CJ44" s="181"/>
      <c r="CK44" s="181"/>
      <c r="CL44" s="181"/>
      <c r="CM44" s="181"/>
      <c r="CN44" s="175">
        <f>IFERROR(CN42/CN33,"")</f>
        <v>0.4070521861777151</v>
      </c>
      <c r="CO44" s="181"/>
      <c r="CP44" s="181"/>
      <c r="CQ44" s="175">
        <f t="shared" ref="CQ44:CU44" si="233">IFERROR(CQ42/CQ33,"")</f>
        <v>0.40663492059268169</v>
      </c>
      <c r="CR44" s="175">
        <f t="shared" si="233"/>
        <v>0.40252546638571784</v>
      </c>
      <c r="CS44" s="175">
        <f t="shared" si="233"/>
        <v>0.40025466238927354</v>
      </c>
      <c r="CT44" s="175">
        <f t="shared" si="233"/>
        <v>0.39856010175435935</v>
      </c>
      <c r="CU44" s="175">
        <f t="shared" si="233"/>
        <v>0.39731969116227595</v>
      </c>
      <c r="CV44" s="385"/>
      <c r="CW44" s="385"/>
      <c r="CX44" s="159"/>
      <c r="CY44" s="159"/>
      <c r="CZ44" s="159"/>
      <c r="DA44" s="159"/>
      <c r="DB44" s="159"/>
      <c r="DC44" s="161"/>
      <c r="DD44" s="161"/>
      <c r="DE44" s="161"/>
      <c r="DF44" s="161"/>
      <c r="DO44" s="159"/>
      <c r="DP44" s="161"/>
      <c r="DQ44" s="161"/>
      <c r="DR44" s="161"/>
      <c r="DS44" s="161"/>
      <c r="DT44" s="170"/>
    </row>
    <row r="45" spans="1:124">
      <c r="A45" s="171" t="s">
        <v>554</v>
      </c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  <c r="Q45" s="171"/>
      <c r="R45" s="171"/>
      <c r="S45" s="171"/>
      <c r="T45" s="171"/>
      <c r="U45" s="171"/>
      <c r="V45" s="171"/>
      <c r="W45" s="171"/>
      <c r="X45" s="171"/>
      <c r="Y45" s="171"/>
      <c r="Z45" s="171"/>
      <c r="AA45" s="171"/>
      <c r="AB45" s="171"/>
      <c r="AC45" s="171"/>
      <c r="AD45" s="171"/>
      <c r="AE45" s="171"/>
      <c r="AF45" s="180"/>
      <c r="AG45" s="180"/>
      <c r="AH45" s="180"/>
      <c r="AI45" s="180"/>
      <c r="AJ45" s="180"/>
      <c r="AK45" s="180"/>
      <c r="AL45" s="180"/>
      <c r="AM45" s="180"/>
      <c r="AN45" s="180"/>
      <c r="AO45" s="180"/>
      <c r="AP45" s="180"/>
      <c r="AQ45" s="180"/>
      <c r="AR45" s="180"/>
      <c r="AS45" s="180"/>
      <c r="AT45" s="180"/>
      <c r="AU45" s="175"/>
      <c r="AV45" s="180"/>
      <c r="AW45" s="180"/>
      <c r="AX45" s="180"/>
      <c r="AY45" s="180"/>
      <c r="AZ45" s="175"/>
      <c r="BA45" s="175"/>
      <c r="BB45" s="175"/>
      <c r="BC45" s="175"/>
      <c r="BD45" s="175"/>
      <c r="BE45" s="175"/>
      <c r="BF45" s="175"/>
      <c r="BG45" s="175"/>
      <c r="BH45" s="175"/>
      <c r="BI45" s="175"/>
      <c r="BJ45" s="175"/>
      <c r="BK45" s="175"/>
      <c r="BL45" s="175"/>
      <c r="BM45" s="175"/>
      <c r="BN45" s="175"/>
      <c r="BO45" s="175"/>
      <c r="BP45" s="175"/>
      <c r="BQ45" s="175"/>
      <c r="BR45" s="175"/>
      <c r="BS45" s="175"/>
      <c r="BT45" s="175"/>
      <c r="BU45" s="176"/>
      <c r="BV45" s="176"/>
      <c r="BW45" s="176"/>
      <c r="BX45" s="176"/>
      <c r="BY45" s="175"/>
      <c r="BZ45" s="176"/>
      <c r="CA45" s="176"/>
      <c r="CB45" s="176"/>
      <c r="CC45" s="176"/>
      <c r="CD45" s="175">
        <f t="shared" ref="CD45:CS45" si="234">CD38/CD42-1</f>
        <v>0</v>
      </c>
      <c r="CE45" s="176"/>
      <c r="CF45" s="176"/>
      <c r="CG45" s="176"/>
      <c r="CH45" s="176"/>
      <c r="CI45" s="175">
        <f t="shared" si="234"/>
        <v>0</v>
      </c>
      <c r="CJ45" s="176"/>
      <c r="CK45" s="176"/>
      <c r="CL45" s="176"/>
      <c r="CM45" s="176"/>
      <c r="CN45" s="175">
        <f t="shared" ref="CN45" si="235">CN38/CN42-1</f>
        <v>0</v>
      </c>
      <c r="CO45" s="176"/>
      <c r="CP45" s="176"/>
      <c r="CQ45" s="175">
        <f t="shared" si="234"/>
        <v>1.9052196828486023E-2</v>
      </c>
      <c r="CR45" s="175">
        <f t="shared" si="234"/>
        <v>3.5488462381127794E-2</v>
      </c>
      <c r="CS45" s="175">
        <f t="shared" si="234"/>
        <v>4.651484737545597E-2</v>
      </c>
      <c r="CT45" s="175">
        <f t="shared" ref="CT45:CV45" si="236">CT38/CT42-1</f>
        <v>6.127955682254127E-2</v>
      </c>
      <c r="CU45" s="175">
        <f t="shared" si="236"/>
        <v>7.0252106805273717E-2</v>
      </c>
      <c r="CV45" s="175">
        <f t="shared" si="236"/>
        <v>7.7511631370896339E-2</v>
      </c>
      <c r="CW45" s="175">
        <f t="shared" ref="CW45" si="237">CW38/CW42-1</f>
        <v>9.2417877507271928E-2</v>
      </c>
      <c r="CX45" s="159"/>
      <c r="CY45" s="159"/>
      <c r="CZ45" s="159"/>
      <c r="DA45" s="159"/>
      <c r="DB45" s="159"/>
      <c r="DC45" s="161"/>
      <c r="DD45" s="161"/>
      <c r="DE45" s="161"/>
      <c r="DF45" s="161"/>
      <c r="DO45" s="159"/>
      <c r="DP45" s="161"/>
      <c r="DQ45" s="161"/>
      <c r="DR45" s="161"/>
      <c r="DS45" s="161"/>
      <c r="DT45" s="170"/>
    </row>
    <row r="46" spans="1:124">
      <c r="A46" s="159"/>
      <c r="B46" s="159"/>
      <c r="C46" s="159"/>
      <c r="D46" s="159"/>
      <c r="E46" s="159"/>
      <c r="F46" s="159"/>
      <c r="G46" s="159"/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/>
      <c r="S46" s="159"/>
      <c r="T46" s="159"/>
      <c r="U46" s="159"/>
      <c r="V46" s="159"/>
      <c r="W46" s="159"/>
      <c r="X46" s="159"/>
      <c r="Y46" s="159"/>
      <c r="Z46" s="159"/>
      <c r="AA46" s="159"/>
      <c r="AB46" s="159"/>
      <c r="AC46" s="159"/>
      <c r="AD46" s="159"/>
      <c r="AE46" s="159"/>
      <c r="AF46" s="159"/>
      <c r="AG46" s="159"/>
      <c r="AH46" s="159"/>
      <c r="AI46" s="159"/>
      <c r="AJ46" s="159"/>
      <c r="AK46" s="159"/>
      <c r="AL46" s="159"/>
      <c r="AM46" s="159"/>
      <c r="AN46" s="159"/>
      <c r="AO46" s="159"/>
      <c r="AP46" s="159"/>
      <c r="AQ46" s="159"/>
      <c r="AR46" s="159"/>
      <c r="AS46" s="159"/>
      <c r="AT46" s="182"/>
      <c r="AU46" s="182"/>
      <c r="AV46" s="159"/>
      <c r="AW46" s="159"/>
      <c r="AX46" s="159"/>
      <c r="AY46" s="182"/>
      <c r="AZ46" s="183"/>
      <c r="BA46" s="183"/>
      <c r="BB46" s="183"/>
      <c r="BC46" s="183"/>
      <c r="BD46" s="183"/>
      <c r="BE46" s="183"/>
      <c r="BF46" s="183"/>
      <c r="BG46" s="183"/>
      <c r="BH46" s="183"/>
      <c r="BI46" s="183"/>
      <c r="BJ46" s="182"/>
      <c r="BK46" s="183"/>
      <c r="BL46" s="183"/>
      <c r="BM46" s="183"/>
      <c r="BN46" s="183"/>
      <c r="BO46" s="182"/>
      <c r="BP46" s="183"/>
      <c r="BQ46" s="183"/>
      <c r="BR46" s="183"/>
      <c r="BS46" s="183"/>
      <c r="BT46" s="182"/>
      <c r="BU46" s="184"/>
      <c r="BV46" s="184"/>
      <c r="BW46" s="184"/>
      <c r="BX46" s="184"/>
      <c r="BY46" s="182"/>
      <c r="BZ46" s="184"/>
      <c r="CA46" s="184"/>
      <c r="CB46" s="184"/>
      <c r="CC46" s="184"/>
      <c r="CD46" s="182"/>
      <c r="CE46" s="184"/>
      <c r="CF46" s="184"/>
      <c r="CG46" s="184"/>
      <c r="CH46" s="184"/>
      <c r="CI46" s="182"/>
      <c r="CJ46" s="184"/>
      <c r="CK46" s="184"/>
      <c r="CL46" s="184"/>
      <c r="CM46" s="184"/>
      <c r="CN46" s="182"/>
      <c r="CO46" s="184"/>
      <c r="CP46" s="184"/>
      <c r="CQ46" s="182"/>
      <c r="CR46" s="182"/>
      <c r="CS46" s="182"/>
      <c r="CT46" s="182"/>
      <c r="CU46" s="182"/>
      <c r="CV46" s="182"/>
      <c r="CW46" s="182"/>
      <c r="CX46" s="159"/>
      <c r="CY46" s="159"/>
      <c r="CZ46" s="159"/>
      <c r="DA46" s="159"/>
      <c r="DB46" s="159"/>
      <c r="DC46" s="161"/>
      <c r="DD46" s="161"/>
      <c r="DE46" s="161"/>
      <c r="DF46" s="161"/>
      <c r="DO46" s="159"/>
      <c r="DP46" s="161"/>
      <c r="DQ46" s="161"/>
      <c r="DR46" s="161"/>
      <c r="DS46" s="161"/>
      <c r="DT46" s="170"/>
    </row>
    <row r="47" spans="1:124">
      <c r="A47" s="159"/>
      <c r="B47" s="159"/>
      <c r="C47" s="159"/>
      <c r="D47" s="159"/>
      <c r="E47" s="159"/>
      <c r="F47" s="159"/>
      <c r="G47" s="159"/>
      <c r="H47" s="159"/>
      <c r="I47" s="159"/>
      <c r="J47" s="159"/>
      <c r="K47" s="159"/>
      <c r="L47" s="159"/>
      <c r="M47" s="159"/>
      <c r="N47" s="159"/>
      <c r="O47" s="159"/>
      <c r="P47" s="159"/>
      <c r="Q47" s="159"/>
      <c r="R47" s="159"/>
      <c r="S47" s="159"/>
      <c r="T47" s="159"/>
      <c r="U47" s="159"/>
      <c r="V47" s="159"/>
      <c r="W47" s="159"/>
      <c r="X47" s="159"/>
      <c r="Y47" s="159"/>
      <c r="Z47" s="159"/>
      <c r="AA47" s="159"/>
      <c r="AB47" s="159"/>
      <c r="AC47" s="159"/>
      <c r="AD47" s="159"/>
      <c r="AE47" s="159"/>
      <c r="AF47" s="159"/>
      <c r="AG47" s="159"/>
      <c r="AH47" s="159"/>
      <c r="AI47" s="159"/>
      <c r="AJ47" s="159"/>
      <c r="AK47" s="159"/>
      <c r="AL47" s="159"/>
      <c r="AM47" s="159"/>
      <c r="AN47" s="159"/>
      <c r="AO47" s="159"/>
      <c r="AP47" s="159"/>
      <c r="AQ47" s="159"/>
      <c r="AR47" s="159"/>
      <c r="AS47" s="159"/>
      <c r="AT47" s="182"/>
      <c r="AU47" s="182"/>
      <c r="AV47" s="160"/>
      <c r="AW47" s="159"/>
      <c r="AX47" s="159"/>
      <c r="AY47" s="182"/>
      <c r="AZ47" s="183"/>
      <c r="BA47" s="183"/>
      <c r="BB47" s="183"/>
      <c r="BC47" s="183"/>
      <c r="BD47" s="183"/>
      <c r="BE47" s="183"/>
      <c r="BF47" s="183"/>
      <c r="BG47" s="183"/>
      <c r="BH47" s="183"/>
      <c r="BI47" s="183"/>
      <c r="BJ47" s="182"/>
      <c r="BK47" s="183"/>
      <c r="BL47" s="183"/>
      <c r="BM47" s="183"/>
      <c r="BN47" s="183"/>
      <c r="BO47" s="182"/>
      <c r="BP47" s="183"/>
      <c r="BQ47" s="183"/>
      <c r="BR47" s="183"/>
      <c r="BS47" s="183"/>
      <c r="BT47" s="182"/>
      <c r="BU47" s="184"/>
      <c r="BV47" s="184"/>
      <c r="BW47" s="184"/>
      <c r="BX47" s="184"/>
      <c r="BY47" s="182"/>
      <c r="BZ47" s="184"/>
      <c r="CA47" s="184"/>
      <c r="CB47" s="184"/>
      <c r="CC47" s="184"/>
      <c r="CD47" s="182"/>
      <c r="CE47" s="184"/>
      <c r="CF47" s="184"/>
      <c r="CG47" s="184"/>
      <c r="CH47" s="184"/>
      <c r="CI47" s="182"/>
      <c r="CJ47" s="184"/>
      <c r="CK47" s="184"/>
      <c r="CL47" s="184"/>
      <c r="CM47" s="184"/>
      <c r="CN47" s="182"/>
      <c r="CO47" s="184"/>
      <c r="CP47" s="184"/>
      <c r="CQ47" s="182"/>
      <c r="CR47" s="182"/>
      <c r="CS47" s="182"/>
      <c r="CT47" s="182"/>
      <c r="CU47" s="182"/>
      <c r="CV47" s="182"/>
      <c r="CW47" s="182"/>
      <c r="CX47" s="159"/>
      <c r="CY47" s="159"/>
      <c r="CZ47" s="159"/>
      <c r="DA47" s="159"/>
      <c r="DB47" s="159"/>
      <c r="DC47" s="161"/>
      <c r="DD47" s="161"/>
      <c r="DE47" s="161"/>
      <c r="DF47" s="161"/>
      <c r="DO47" s="159"/>
      <c r="DP47" s="161"/>
      <c r="DQ47" s="161"/>
      <c r="DR47" s="161"/>
      <c r="DS47" s="161"/>
      <c r="DT47" s="170"/>
    </row>
    <row r="49" spans="1:124" s="221" customFormat="1">
      <c r="A49" s="165" t="s">
        <v>240</v>
      </c>
      <c r="B49" s="694">
        <f t="shared" ref="B49:AG49" si="238">B508</f>
        <v>1124</v>
      </c>
      <c r="C49" s="694">
        <f t="shared" si="238"/>
        <v>129.79999999999995</v>
      </c>
      <c r="D49" s="694">
        <f t="shared" si="238"/>
        <v>171</v>
      </c>
      <c r="E49" s="694">
        <f t="shared" si="238"/>
        <v>195</v>
      </c>
      <c r="F49" s="694">
        <f t="shared" si="238"/>
        <v>401</v>
      </c>
      <c r="G49" s="694">
        <f t="shared" si="238"/>
        <v>802.8</v>
      </c>
      <c r="H49" s="694">
        <f t="shared" si="238"/>
        <v>158</v>
      </c>
      <c r="I49" s="694">
        <f t="shared" si="238"/>
        <v>199</v>
      </c>
      <c r="J49" s="694">
        <f t="shared" si="238"/>
        <v>291</v>
      </c>
      <c r="K49" s="694">
        <f t="shared" si="238"/>
        <v>596</v>
      </c>
      <c r="L49" s="694">
        <f t="shared" si="238"/>
        <v>590</v>
      </c>
      <c r="M49" s="694">
        <f t="shared" si="238"/>
        <v>135</v>
      </c>
      <c r="N49" s="694">
        <f t="shared" si="238"/>
        <v>307</v>
      </c>
      <c r="O49" s="694">
        <f t="shared" si="238"/>
        <v>489</v>
      </c>
      <c r="P49" s="694">
        <f t="shared" si="238"/>
        <v>513</v>
      </c>
      <c r="Q49" s="694">
        <f t="shared" si="238"/>
        <v>1444</v>
      </c>
      <c r="R49" s="694">
        <f t="shared" si="238"/>
        <v>257</v>
      </c>
      <c r="S49" s="694">
        <f t="shared" si="238"/>
        <v>225</v>
      </c>
      <c r="T49" s="694">
        <f t="shared" si="238"/>
        <v>225</v>
      </c>
      <c r="U49" s="694">
        <f t="shared" si="238"/>
        <v>282</v>
      </c>
      <c r="V49" s="694">
        <f t="shared" si="238"/>
        <v>989</v>
      </c>
      <c r="W49" s="694">
        <f t="shared" si="238"/>
        <v>78</v>
      </c>
      <c r="X49" s="694">
        <f t="shared" si="238"/>
        <v>176</v>
      </c>
      <c r="Y49" s="694">
        <f t="shared" si="238"/>
        <v>145</v>
      </c>
      <c r="Z49" s="694">
        <f t="shared" si="238"/>
        <v>591</v>
      </c>
      <c r="AA49" s="694">
        <f t="shared" si="238"/>
        <v>990</v>
      </c>
      <c r="AB49" s="694">
        <f t="shared" si="238"/>
        <v>191</v>
      </c>
      <c r="AC49" s="694">
        <f t="shared" si="238"/>
        <v>216</v>
      </c>
      <c r="AD49" s="694">
        <f t="shared" si="238"/>
        <v>141</v>
      </c>
      <c r="AE49" s="694">
        <f t="shared" si="238"/>
        <v>267</v>
      </c>
      <c r="AF49" s="694">
        <f t="shared" si="238"/>
        <v>815</v>
      </c>
      <c r="AG49" s="694">
        <f t="shared" si="238"/>
        <v>118</v>
      </c>
      <c r="AH49" s="694">
        <f t="shared" ref="AH49:BJ49" si="239">AH508</f>
        <v>155</v>
      </c>
      <c r="AI49" s="694">
        <f t="shared" si="239"/>
        <v>337</v>
      </c>
      <c r="AJ49" s="694">
        <f t="shared" si="239"/>
        <v>530</v>
      </c>
      <c r="AK49" s="694">
        <f t="shared" si="239"/>
        <v>1140</v>
      </c>
      <c r="AL49" s="694">
        <f t="shared" si="239"/>
        <v>146</v>
      </c>
      <c r="AM49" s="694">
        <f t="shared" si="239"/>
        <v>260</v>
      </c>
      <c r="AN49" s="694">
        <f t="shared" si="239"/>
        <v>359</v>
      </c>
      <c r="AO49" s="694">
        <f t="shared" si="239"/>
        <v>539</v>
      </c>
      <c r="AP49" s="694">
        <f t="shared" si="239"/>
        <v>1304</v>
      </c>
      <c r="AQ49" s="694">
        <f t="shared" si="239"/>
        <v>159</v>
      </c>
      <c r="AR49" s="694">
        <f t="shared" si="239"/>
        <v>333</v>
      </c>
      <c r="AS49" s="694">
        <f t="shared" si="239"/>
        <v>249</v>
      </c>
      <c r="AT49" s="694">
        <f t="shared" si="239"/>
        <v>448</v>
      </c>
      <c r="AU49" s="694">
        <f t="shared" si="239"/>
        <v>1189</v>
      </c>
      <c r="AV49" s="694">
        <f t="shared" si="239"/>
        <v>162</v>
      </c>
      <c r="AW49" s="694">
        <f t="shared" si="239"/>
        <v>211</v>
      </c>
      <c r="AX49" s="694">
        <f t="shared" si="239"/>
        <v>273</v>
      </c>
      <c r="AY49" s="694">
        <f t="shared" si="239"/>
        <v>382</v>
      </c>
      <c r="AZ49" s="694">
        <f t="shared" si="239"/>
        <v>1028</v>
      </c>
      <c r="BA49" s="694">
        <f t="shared" si="239"/>
        <v>107</v>
      </c>
      <c r="BB49" s="694">
        <f t="shared" si="239"/>
        <v>212</v>
      </c>
      <c r="BC49" s="694">
        <f t="shared" si="239"/>
        <v>195</v>
      </c>
      <c r="BD49" s="694">
        <f t="shared" si="239"/>
        <v>524</v>
      </c>
      <c r="BE49" s="694">
        <f t="shared" si="239"/>
        <v>1038</v>
      </c>
      <c r="BF49" s="694">
        <f t="shared" si="239"/>
        <v>127</v>
      </c>
      <c r="BG49" s="694">
        <f t="shared" si="239"/>
        <v>267</v>
      </c>
      <c r="BH49" s="694">
        <f t="shared" si="239"/>
        <v>242</v>
      </c>
      <c r="BI49" s="694">
        <f t="shared" si="239"/>
        <v>577</v>
      </c>
      <c r="BJ49" s="694">
        <f t="shared" si="239"/>
        <v>1213</v>
      </c>
      <c r="BK49" s="694">
        <f t="shared" ref="BK49:BV49" si="240">BK508</f>
        <v>163</v>
      </c>
      <c r="BL49" s="694">
        <f t="shared" si="240"/>
        <v>259</v>
      </c>
      <c r="BM49" s="694">
        <f t="shared" si="240"/>
        <v>319</v>
      </c>
      <c r="BN49" s="694">
        <f t="shared" si="240"/>
        <v>504</v>
      </c>
      <c r="BO49" s="694">
        <f t="shared" si="240"/>
        <v>1245</v>
      </c>
      <c r="BP49" s="694">
        <f t="shared" si="240"/>
        <v>136</v>
      </c>
      <c r="BQ49" s="694">
        <f t="shared" si="240"/>
        <v>180</v>
      </c>
      <c r="BR49" s="694">
        <f t="shared" si="240"/>
        <v>274</v>
      </c>
      <c r="BS49" s="694">
        <f t="shared" si="240"/>
        <v>597</v>
      </c>
      <c r="BT49" s="694">
        <f t="shared" si="240"/>
        <v>1187</v>
      </c>
      <c r="BU49" s="694">
        <f t="shared" si="240"/>
        <v>171</v>
      </c>
      <c r="BV49" s="694">
        <f t="shared" si="240"/>
        <v>241</v>
      </c>
      <c r="BW49" s="694">
        <f t="shared" ref="BW49:BZ49" si="241">BW508</f>
        <v>272</v>
      </c>
      <c r="BX49" s="694">
        <f t="shared" si="241"/>
        <v>430</v>
      </c>
      <c r="BY49" s="694">
        <f t="shared" si="241"/>
        <v>1114</v>
      </c>
      <c r="BZ49" s="694">
        <f t="shared" si="241"/>
        <v>130</v>
      </c>
      <c r="CA49" s="694">
        <f t="shared" ref="CA49:CB49" si="242">CA508</f>
        <v>166</v>
      </c>
      <c r="CB49" s="694">
        <f t="shared" si="242"/>
        <v>215</v>
      </c>
      <c r="CC49" s="694">
        <f t="shared" ref="CC49:CE49" si="243">CC508</f>
        <v>302</v>
      </c>
      <c r="CD49" s="694">
        <f t="shared" ref="CD49:CS49" si="244">CD508</f>
        <v>813</v>
      </c>
      <c r="CE49" s="694">
        <f t="shared" si="243"/>
        <v>106</v>
      </c>
      <c r="CF49" s="694">
        <f t="shared" ref="CF49:CG49" si="245">CF508</f>
        <v>116</v>
      </c>
      <c r="CG49" s="694">
        <f t="shared" si="245"/>
        <v>140</v>
      </c>
      <c r="CH49" s="694">
        <f t="shared" ref="CH49" si="246">CH508</f>
        <v>312</v>
      </c>
      <c r="CI49" s="694">
        <f t="shared" si="244"/>
        <v>674</v>
      </c>
      <c r="CJ49" s="694">
        <f t="shared" si="244"/>
        <v>86</v>
      </c>
      <c r="CK49" s="694">
        <f t="shared" ref="CK49:CL49" si="247">CK508</f>
        <v>165</v>
      </c>
      <c r="CL49" s="694">
        <f t="shared" si="247"/>
        <v>224</v>
      </c>
      <c r="CM49" s="694">
        <f t="shared" ref="CM49:CP49" si="248">CM508</f>
        <v>511</v>
      </c>
      <c r="CN49" s="694">
        <f t="shared" si="248"/>
        <v>986</v>
      </c>
      <c r="CO49" s="694">
        <f t="shared" si="248"/>
        <v>142</v>
      </c>
      <c r="CP49" s="694">
        <f t="shared" si="248"/>
        <v>171</v>
      </c>
      <c r="CQ49" s="694">
        <f t="shared" si="244"/>
        <v>1094.558857979579</v>
      </c>
      <c r="CR49" s="694">
        <f t="shared" si="244"/>
        <v>1009.534532260039</v>
      </c>
      <c r="CS49" s="694">
        <f t="shared" si="244"/>
        <v>1034.2470765174933</v>
      </c>
      <c r="CT49" s="694">
        <f t="shared" ref="CT49:CV49" si="249">CT508</f>
        <v>1060.3356434492387</v>
      </c>
      <c r="CU49" s="694">
        <f t="shared" si="249"/>
        <v>1085.6165288458519</v>
      </c>
      <c r="CV49" s="694">
        <f t="shared" si="249"/>
        <v>1111.260654890877</v>
      </c>
      <c r="CW49" s="694">
        <f t="shared" ref="CW49" si="250">CW508</f>
        <v>1516.4251017295933</v>
      </c>
      <c r="CX49" s="165"/>
      <c r="CY49" s="165"/>
      <c r="CZ49" s="165"/>
      <c r="DA49" s="165"/>
      <c r="DB49" s="165"/>
      <c r="DC49" s="210"/>
      <c r="DD49" s="210"/>
      <c r="DE49" s="210"/>
      <c r="DF49" s="210"/>
    </row>
    <row r="50" spans="1:124">
      <c r="A50" s="159" t="s">
        <v>0</v>
      </c>
      <c r="B50" s="170"/>
      <c r="C50" s="170"/>
      <c r="D50" s="170"/>
      <c r="E50" s="170"/>
      <c r="F50" s="170"/>
      <c r="G50" s="170">
        <f t="shared" ref="G50:L50" si="251">G49/B49-1</f>
        <v>-0.28576512455516023</v>
      </c>
      <c r="H50" s="170">
        <f t="shared" si="251"/>
        <v>0.21725731895223466</v>
      </c>
      <c r="I50" s="170">
        <f t="shared" si="251"/>
        <v>0.16374269005847952</v>
      </c>
      <c r="J50" s="170">
        <f t="shared" si="251"/>
        <v>0.49230769230769234</v>
      </c>
      <c r="K50" s="170">
        <f t="shared" si="251"/>
        <v>0.486284289276808</v>
      </c>
      <c r="L50" s="170">
        <f t="shared" si="251"/>
        <v>-0.26507224713502742</v>
      </c>
      <c r="M50" s="170">
        <f t="shared" ref="M50:BD50" si="252">M49/H49-1</f>
        <v>-0.14556962025316456</v>
      </c>
      <c r="N50" s="170">
        <f t="shared" si="252"/>
        <v>0.54271356783919589</v>
      </c>
      <c r="O50" s="170">
        <f t="shared" si="252"/>
        <v>0.68041237113402064</v>
      </c>
      <c r="P50" s="170">
        <f t="shared" si="252"/>
        <v>-0.13926174496644295</v>
      </c>
      <c r="Q50" s="170">
        <f t="shared" si="252"/>
        <v>1.4474576271186441</v>
      </c>
      <c r="R50" s="170">
        <f t="shared" si="252"/>
        <v>0.90370370370370368</v>
      </c>
      <c r="S50" s="170">
        <f t="shared" si="252"/>
        <v>-0.26710097719869708</v>
      </c>
      <c r="T50" s="170">
        <f t="shared" si="252"/>
        <v>-0.53987730061349692</v>
      </c>
      <c r="U50" s="170">
        <f t="shared" si="252"/>
        <v>-0.45029239766081874</v>
      </c>
      <c r="V50" s="170">
        <f t="shared" si="252"/>
        <v>-0.3150969529085873</v>
      </c>
      <c r="W50" s="170">
        <f t="shared" si="252"/>
        <v>-0.69649805447470814</v>
      </c>
      <c r="X50" s="170">
        <f t="shared" si="252"/>
        <v>-0.21777777777777774</v>
      </c>
      <c r="Y50" s="170">
        <f t="shared" si="252"/>
        <v>-0.35555555555555551</v>
      </c>
      <c r="Z50" s="170">
        <f t="shared" si="252"/>
        <v>1.0957446808510638</v>
      </c>
      <c r="AA50" s="170">
        <f t="shared" si="252"/>
        <v>1.0111223458038054E-3</v>
      </c>
      <c r="AB50" s="170">
        <f t="shared" si="252"/>
        <v>1.4487179487179489</v>
      </c>
      <c r="AC50" s="170">
        <f t="shared" si="252"/>
        <v>0.22727272727272729</v>
      </c>
      <c r="AD50" s="170">
        <f t="shared" si="252"/>
        <v>-2.7586206896551779E-2</v>
      </c>
      <c r="AE50" s="170">
        <f t="shared" si="252"/>
        <v>-0.54822335025380708</v>
      </c>
      <c r="AF50" s="170">
        <f t="shared" si="252"/>
        <v>-0.1767676767676768</v>
      </c>
      <c r="AG50" s="170">
        <f t="shared" si="252"/>
        <v>-0.38219895287958117</v>
      </c>
      <c r="AH50" s="170">
        <f t="shared" si="252"/>
        <v>-0.28240740740740744</v>
      </c>
      <c r="AI50" s="170">
        <f t="shared" si="252"/>
        <v>1.3900709219858154</v>
      </c>
      <c r="AJ50" s="170">
        <f t="shared" si="252"/>
        <v>0.98501872659176026</v>
      </c>
      <c r="AK50" s="170">
        <f t="shared" si="252"/>
        <v>0.39877300613496924</v>
      </c>
      <c r="AL50" s="170">
        <f t="shared" si="252"/>
        <v>0.23728813559322037</v>
      </c>
      <c r="AM50" s="170">
        <f t="shared" si="252"/>
        <v>0.67741935483870974</v>
      </c>
      <c r="AN50" s="170">
        <f t="shared" si="252"/>
        <v>6.5281899109792318E-2</v>
      </c>
      <c r="AO50" s="170">
        <f t="shared" si="252"/>
        <v>1.6981132075471805E-2</v>
      </c>
      <c r="AP50" s="170">
        <f t="shared" si="252"/>
        <v>0.14385964912280702</v>
      </c>
      <c r="AQ50" s="170">
        <f t="shared" si="252"/>
        <v>8.9041095890410871E-2</v>
      </c>
      <c r="AR50" s="170">
        <f t="shared" si="252"/>
        <v>0.28076923076923066</v>
      </c>
      <c r="AS50" s="170">
        <f t="shared" si="252"/>
        <v>-0.30640668523676884</v>
      </c>
      <c r="AT50" s="170">
        <f t="shared" si="252"/>
        <v>-0.16883116883116878</v>
      </c>
      <c r="AU50" s="170">
        <f t="shared" si="252"/>
        <v>-8.8190184049079745E-2</v>
      </c>
      <c r="AV50" s="170">
        <f t="shared" si="252"/>
        <v>1.8867924528301883E-2</v>
      </c>
      <c r="AW50" s="170">
        <f t="shared" si="252"/>
        <v>-0.36636636636636633</v>
      </c>
      <c r="AX50" s="170">
        <f t="shared" si="252"/>
        <v>9.6385542168674787E-2</v>
      </c>
      <c r="AY50" s="170">
        <f t="shared" si="252"/>
        <v>-0.1473214285714286</v>
      </c>
      <c r="AZ50" s="170">
        <f t="shared" si="252"/>
        <v>-0.13540790580319595</v>
      </c>
      <c r="BA50" s="170">
        <f t="shared" si="252"/>
        <v>-0.33950617283950613</v>
      </c>
      <c r="BB50" s="170">
        <f t="shared" si="252"/>
        <v>4.7393364928909332E-3</v>
      </c>
      <c r="BC50" s="170">
        <f t="shared" si="252"/>
        <v>-0.2857142857142857</v>
      </c>
      <c r="BD50" s="170">
        <f t="shared" si="252"/>
        <v>0.37172774869109948</v>
      </c>
      <c r="BE50" s="170">
        <f t="shared" ref="BE50:CP50" si="253">BE49/AZ49-1</f>
        <v>9.7276264591439343E-3</v>
      </c>
      <c r="BF50" s="170">
        <f t="shared" si="253"/>
        <v>0.18691588785046731</v>
      </c>
      <c r="BG50" s="170">
        <f t="shared" si="253"/>
        <v>0.25943396226415105</v>
      </c>
      <c r="BH50" s="170">
        <f t="shared" si="253"/>
        <v>0.24102564102564106</v>
      </c>
      <c r="BI50" s="170">
        <f t="shared" si="253"/>
        <v>0.10114503816793885</v>
      </c>
      <c r="BJ50" s="170">
        <f>BJ49/BE49-1</f>
        <v>0.16859344894026984</v>
      </c>
      <c r="BK50" s="170">
        <f t="shared" si="253"/>
        <v>0.2834645669291338</v>
      </c>
      <c r="BL50" s="170">
        <f t="shared" si="253"/>
        <v>-2.9962546816479363E-2</v>
      </c>
      <c r="BM50" s="170">
        <f t="shared" si="253"/>
        <v>0.31818181818181812</v>
      </c>
      <c r="BN50" s="170">
        <f t="shared" si="253"/>
        <v>-0.12651646447140386</v>
      </c>
      <c r="BO50" s="170">
        <f>BO49/BJ49-1</f>
        <v>2.638087386644683E-2</v>
      </c>
      <c r="BP50" s="170">
        <f t="shared" si="253"/>
        <v>-0.16564417177914115</v>
      </c>
      <c r="BQ50" s="170">
        <f t="shared" si="253"/>
        <v>-0.30501930501930496</v>
      </c>
      <c r="BR50" s="170">
        <f t="shared" si="253"/>
        <v>-0.14106583072100309</v>
      </c>
      <c r="BS50" s="170">
        <f t="shared" si="253"/>
        <v>0.18452380952380953</v>
      </c>
      <c r="BT50" s="170">
        <f>BT49/BO49-1</f>
        <v>-4.6586345381526062E-2</v>
      </c>
      <c r="BU50" s="170">
        <f t="shared" si="253"/>
        <v>0.25735294117647056</v>
      </c>
      <c r="BV50" s="170">
        <f t="shared" si="253"/>
        <v>0.3388888888888888</v>
      </c>
      <c r="BW50" s="170">
        <f t="shared" si="253"/>
        <v>-7.2992700729926918E-3</v>
      </c>
      <c r="BX50" s="170">
        <f t="shared" si="253"/>
        <v>-0.27973199329983245</v>
      </c>
      <c r="BY50" s="170">
        <f>BY49/BT49-1</f>
        <v>-6.1499578770008445E-2</v>
      </c>
      <c r="BZ50" s="170">
        <f t="shared" si="253"/>
        <v>-0.23976608187134507</v>
      </c>
      <c r="CA50" s="170">
        <f t="shared" si="253"/>
        <v>-0.31120331950207469</v>
      </c>
      <c r="CB50" s="170">
        <f t="shared" si="253"/>
        <v>-0.2095588235294118</v>
      </c>
      <c r="CC50" s="170">
        <f t="shared" si="253"/>
        <v>-0.29767441860465116</v>
      </c>
      <c r="CD50" s="170">
        <f>CD49/BY49-1</f>
        <v>-0.27019748653500897</v>
      </c>
      <c r="CE50" s="170">
        <f t="shared" si="253"/>
        <v>-0.18461538461538463</v>
      </c>
      <c r="CF50" s="170">
        <f t="shared" si="253"/>
        <v>-0.3012048192771084</v>
      </c>
      <c r="CG50" s="170">
        <f t="shared" si="253"/>
        <v>-0.34883720930232553</v>
      </c>
      <c r="CH50" s="170">
        <f t="shared" si="253"/>
        <v>3.3112582781456901E-2</v>
      </c>
      <c r="CI50" s="170">
        <f>CI49/CD49-1</f>
        <v>-0.17097170971709719</v>
      </c>
      <c r="CJ50" s="170">
        <f t="shared" si="253"/>
        <v>-0.18867924528301883</v>
      </c>
      <c r="CK50" s="170">
        <f t="shared" si="253"/>
        <v>0.42241379310344818</v>
      </c>
      <c r="CL50" s="170">
        <f t="shared" si="253"/>
        <v>0.60000000000000009</v>
      </c>
      <c r="CM50" s="170">
        <f t="shared" si="253"/>
        <v>0.63782051282051277</v>
      </c>
      <c r="CN50" s="170">
        <f>CN49/CI49-1</f>
        <v>0.4629080118694362</v>
      </c>
      <c r="CO50" s="170">
        <f t="shared" si="253"/>
        <v>0.65116279069767447</v>
      </c>
      <c r="CP50" s="170">
        <f t="shared" si="253"/>
        <v>3.6363636363636376E-2</v>
      </c>
      <c r="CQ50" s="170">
        <f>CQ49/CN49-1</f>
        <v>0.11010026164257503</v>
      </c>
      <c r="CR50" s="170">
        <f t="shared" ref="CR50:CS50" si="254">CR49/CQ49-1</f>
        <v>-7.7679080571769754E-2</v>
      </c>
      <c r="CS50" s="170">
        <f t="shared" si="254"/>
        <v>2.4479147040300298E-2</v>
      </c>
      <c r="CT50" s="170">
        <f t="shared" ref="CT50" si="255">CT49/CS49-1</f>
        <v>2.5224694876190057E-2</v>
      </c>
      <c r="CU50" s="170">
        <f t="shared" ref="CU50" si="256">CU49/CT49-1</f>
        <v>2.3842342330750332E-2</v>
      </c>
      <c r="CV50" s="170">
        <f t="shared" ref="CV50:CW50" si="257">CV49/CU49-1</f>
        <v>2.3621716659277592E-2</v>
      </c>
      <c r="CW50" s="170">
        <f t="shared" si="257"/>
        <v>0.36459893100282792</v>
      </c>
      <c r="CX50" s="159"/>
      <c r="CY50" s="159"/>
      <c r="CZ50" s="159"/>
      <c r="DA50" s="159"/>
      <c r="DB50" s="159"/>
      <c r="DC50" s="161"/>
      <c r="DD50" s="161"/>
      <c r="DE50" s="161"/>
      <c r="DF50" s="161"/>
    </row>
    <row r="51" spans="1:124">
      <c r="A51" s="159" t="s">
        <v>150</v>
      </c>
      <c r="B51" s="170">
        <f>B49/B31</f>
        <v>0.14616384915474642</v>
      </c>
      <c r="C51" s="170"/>
      <c r="D51" s="170"/>
      <c r="E51" s="170"/>
      <c r="F51" s="170">
        <f t="shared" ref="F51:CQ51" si="258">F49/F31</f>
        <v>0.18194192377495463</v>
      </c>
      <c r="G51" s="170">
        <f t="shared" si="258"/>
        <v>9.5007041503449741E-2</v>
      </c>
      <c r="H51" s="170">
        <f t="shared" si="258"/>
        <v>7.4213245655237195E-2</v>
      </c>
      <c r="I51" s="170">
        <f t="shared" si="258"/>
        <v>9.4045368620037803E-2</v>
      </c>
      <c r="J51" s="170">
        <f t="shared" si="258"/>
        <v>0.13497217068645639</v>
      </c>
      <c r="K51" s="170">
        <f t="shared" si="258"/>
        <v>0.26956128448665762</v>
      </c>
      <c r="L51" s="170">
        <f t="shared" si="258"/>
        <v>6.8509057129586617E-2</v>
      </c>
      <c r="M51" s="170">
        <f t="shared" si="258"/>
        <v>6.2732342007434938E-2</v>
      </c>
      <c r="N51" s="170">
        <f t="shared" si="258"/>
        <v>0.1401186672752168</v>
      </c>
      <c r="O51" s="170">
        <f t="shared" si="258"/>
        <v>0.22066787003610108</v>
      </c>
      <c r="P51" s="170">
        <f t="shared" si="258"/>
        <v>0.22207792207792207</v>
      </c>
      <c r="Q51" s="170">
        <f t="shared" si="258"/>
        <v>0.16281429698951405</v>
      </c>
      <c r="R51" s="170">
        <f t="shared" si="258"/>
        <v>0.12048757618377871</v>
      </c>
      <c r="S51" s="170">
        <f t="shared" si="258"/>
        <v>0.10426320667284522</v>
      </c>
      <c r="T51" s="170">
        <f t="shared" si="258"/>
        <v>0.10026737967914438</v>
      </c>
      <c r="U51" s="170">
        <f t="shared" si="258"/>
        <v>0.12544483985765126</v>
      </c>
      <c r="V51" s="170">
        <f t="shared" si="258"/>
        <v>0.11260389388591598</v>
      </c>
      <c r="W51" s="170">
        <f t="shared" si="258"/>
        <v>3.6533957845433257E-2</v>
      </c>
      <c r="X51" s="170">
        <f t="shared" si="258"/>
        <v>7.9172289698605486E-2</v>
      </c>
      <c r="Y51" s="170">
        <f t="shared" si="258"/>
        <v>6.5433212996389892E-2</v>
      </c>
      <c r="Z51" s="170">
        <f t="shared" si="258"/>
        <v>0.25628794449262793</v>
      </c>
      <c r="AA51" s="170">
        <f t="shared" si="258"/>
        <v>0.11148648648648649</v>
      </c>
      <c r="AB51" s="170">
        <f t="shared" si="258"/>
        <v>8.2079931241942419E-2</v>
      </c>
      <c r="AC51" s="170">
        <f t="shared" si="258"/>
        <v>9.4117647058823528E-2</v>
      </c>
      <c r="AD51" s="170">
        <f t="shared" si="258"/>
        <v>6.2974542206342118E-2</v>
      </c>
      <c r="AE51" s="170">
        <f t="shared" si="258"/>
        <v>0.12005395683453238</v>
      </c>
      <c r="AF51" s="170">
        <f t="shared" si="258"/>
        <v>9.0270981302055353E-2</v>
      </c>
      <c r="AG51" s="170">
        <f t="shared" si="258"/>
        <v>5.5686644643699858E-2</v>
      </c>
      <c r="AH51" s="170">
        <f t="shared" si="258"/>
        <v>7.4447646493756001E-2</v>
      </c>
      <c r="AI51" s="170">
        <f t="shared" si="258"/>
        <v>0.16319612590799032</v>
      </c>
      <c r="AJ51" s="170">
        <f t="shared" si="258"/>
        <v>0.24964672633066415</v>
      </c>
      <c r="AK51" s="170">
        <f t="shared" si="258"/>
        <v>0.13564969062351262</v>
      </c>
      <c r="AL51" s="170">
        <f t="shared" si="258"/>
        <v>6.7938576081898558E-2</v>
      </c>
      <c r="AM51" s="170">
        <f t="shared" si="258"/>
        <v>0.12322274881516587</v>
      </c>
      <c r="AN51" s="170">
        <f t="shared" si="258"/>
        <v>0.16574330563250231</v>
      </c>
      <c r="AO51" s="170">
        <f t="shared" si="258"/>
        <v>0.24770220588235295</v>
      </c>
      <c r="AP51" s="170">
        <f t="shared" si="258"/>
        <v>0.15161027787466574</v>
      </c>
      <c r="AQ51" s="170">
        <f t="shared" si="258"/>
        <v>7.429906542056075E-2</v>
      </c>
      <c r="AR51" s="170">
        <f t="shared" si="258"/>
        <v>0.15842055185537585</v>
      </c>
      <c r="AS51" s="170">
        <f t="shared" si="258"/>
        <v>0.11549165120593692</v>
      </c>
      <c r="AT51" s="170">
        <f t="shared" si="258"/>
        <v>0.20234869015356821</v>
      </c>
      <c r="AU51" s="170">
        <f t="shared" si="258"/>
        <v>0.13806316767301441</v>
      </c>
      <c r="AV51" s="170">
        <f t="shared" si="258"/>
        <v>6.8210526315789471E-2</v>
      </c>
      <c r="AW51" s="170">
        <f t="shared" si="258"/>
        <v>9.036402569593148E-2</v>
      </c>
      <c r="AX51" s="170">
        <f t="shared" si="258"/>
        <v>0.11701671667381054</v>
      </c>
      <c r="AY51" s="170">
        <f t="shared" si="258"/>
        <v>0.16077441077441076</v>
      </c>
      <c r="AZ51" s="170">
        <f t="shared" si="258"/>
        <v>0.10914109778108079</v>
      </c>
      <c r="BA51" s="170">
        <f t="shared" si="258"/>
        <v>4.7831917746982568E-2</v>
      </c>
      <c r="BB51" s="170">
        <f t="shared" si="258"/>
        <v>9.4390026714158498E-2</v>
      </c>
      <c r="BC51" s="170">
        <f t="shared" si="258"/>
        <v>8.6130742049469966E-2</v>
      </c>
      <c r="BD51" s="170">
        <f t="shared" si="258"/>
        <v>0.21431492842535788</v>
      </c>
      <c r="BE51" s="170">
        <f t="shared" si="258"/>
        <v>0.1129242819843342</v>
      </c>
      <c r="BF51" s="170">
        <f t="shared" si="258"/>
        <v>5.6899641577060935E-2</v>
      </c>
      <c r="BG51" s="170">
        <f t="shared" si="258"/>
        <v>0.12103354487760652</v>
      </c>
      <c r="BH51" s="170">
        <f t="shared" si="258"/>
        <v>0.10590809628008753</v>
      </c>
      <c r="BI51" s="170">
        <f t="shared" si="258"/>
        <v>0.22277992277992278</v>
      </c>
      <c r="BJ51" s="170">
        <f t="shared" si="258"/>
        <v>0.13024804037367121</v>
      </c>
      <c r="BK51" s="170">
        <f t="shared" ref="BK51:BV51" si="259">BK49/BK31</f>
        <v>6.9628363947031188E-2</v>
      </c>
      <c r="BL51" s="170">
        <f t="shared" si="259"/>
        <v>0.1204091120409112</v>
      </c>
      <c r="BM51" s="170">
        <f t="shared" si="259"/>
        <v>0.14414821509263442</v>
      </c>
      <c r="BN51" s="170">
        <f t="shared" si="259"/>
        <v>0.22291021671826625</v>
      </c>
      <c r="BO51" s="170">
        <f t="shared" si="259"/>
        <v>0.13885790765112649</v>
      </c>
      <c r="BP51" s="170">
        <f t="shared" si="259"/>
        <v>6.0714285714285714E-2</v>
      </c>
      <c r="BQ51" s="170">
        <f t="shared" si="259"/>
        <v>7.9155672823219003E-2</v>
      </c>
      <c r="BR51" s="170">
        <f t="shared" si="259"/>
        <v>0.12065169528841919</v>
      </c>
      <c r="BS51" s="170">
        <f t="shared" si="259"/>
        <v>0.24307817589576547</v>
      </c>
      <c r="BT51" s="170">
        <f t="shared" si="259"/>
        <v>0.12844930202359053</v>
      </c>
      <c r="BU51" s="170">
        <f t="shared" si="259"/>
        <v>7.1072319201995013E-2</v>
      </c>
      <c r="BV51" s="170">
        <f t="shared" si="259"/>
        <v>9.9422442244224418E-2</v>
      </c>
      <c r="BW51" s="170">
        <f t="shared" ref="BW51:BZ51" si="260">BW49/BW31</f>
        <v>0.1130977130977131</v>
      </c>
      <c r="BX51" s="170">
        <f t="shared" si="260"/>
        <v>0.16836335160532498</v>
      </c>
      <c r="BY51" s="170">
        <f t="shared" si="260"/>
        <v>0.11380120543467157</v>
      </c>
      <c r="BZ51" s="170">
        <f t="shared" si="260"/>
        <v>5.1464766429136978E-2</v>
      </c>
      <c r="CA51" s="170">
        <f t="shared" ref="CA51:CB51" si="261">CA49/CA31</f>
        <v>6.7206477732793521E-2</v>
      </c>
      <c r="CB51" s="170">
        <f t="shared" si="261"/>
        <v>8.8042588042588049E-2</v>
      </c>
      <c r="CC51" s="170">
        <f t="shared" ref="CC51:CE51" si="262">CC49/CC31</f>
        <v>0.11013858497447118</v>
      </c>
      <c r="CD51" s="170">
        <f t="shared" si="258"/>
        <v>7.9862475442043224E-2</v>
      </c>
      <c r="CE51" s="170">
        <f t="shared" si="262"/>
        <v>4.0722243565117174E-2</v>
      </c>
      <c r="CF51" s="170">
        <f t="shared" ref="CF51:CG51" si="263">CF49/CF31</f>
        <v>4.4856921887084303E-2</v>
      </c>
      <c r="CG51" s="170">
        <f t="shared" si="263"/>
        <v>5.434782608695652E-2</v>
      </c>
      <c r="CH51" s="170">
        <f t="shared" ref="CH51" si="264">CH49/CH31</f>
        <v>0.11259473114399134</v>
      </c>
      <c r="CI51" s="170">
        <f t="shared" si="258"/>
        <v>6.3971146545178437E-2</v>
      </c>
      <c r="CJ51" s="170">
        <f t="shared" si="258"/>
        <v>3.2975460122699383E-2</v>
      </c>
      <c r="CK51" s="170">
        <f t="shared" ref="CK51:CL51" si="265">CK49/CK31</f>
        <v>6.4402810304449651E-2</v>
      </c>
      <c r="CL51" s="170">
        <f t="shared" si="265"/>
        <v>8.6519891850135186E-2</v>
      </c>
      <c r="CM51" s="170">
        <f t="shared" ref="CM51:CP51" si="266">CM49/CM31</f>
        <v>0.17767732962447844</v>
      </c>
      <c r="CN51" s="170">
        <f t="shared" si="266"/>
        <v>9.2712740949694408E-2</v>
      </c>
      <c r="CO51" s="170">
        <f t="shared" si="266"/>
        <v>5.199560600512633E-2</v>
      </c>
      <c r="CP51" s="170">
        <f t="shared" si="266"/>
        <v>6.4382530120481923E-2</v>
      </c>
      <c r="CQ51" s="170">
        <f t="shared" si="258"/>
        <v>0.1</v>
      </c>
      <c r="CR51" s="170">
        <f>CR49/CR31</f>
        <v>0.09</v>
      </c>
      <c r="CS51" s="170">
        <f>CS49/CS31</f>
        <v>0.09</v>
      </c>
      <c r="CT51" s="170">
        <f t="shared" ref="CT51:CV51" si="267">CT49/CT31</f>
        <v>0.09</v>
      </c>
      <c r="CU51" s="170">
        <f t="shared" si="267"/>
        <v>9.0000000000000011E-2</v>
      </c>
      <c r="CV51" s="170">
        <f t="shared" si="267"/>
        <v>0.09</v>
      </c>
      <c r="CW51" s="170">
        <f t="shared" ref="CW51" si="268">CW49/CW31</f>
        <v>0.12</v>
      </c>
      <c r="CX51" s="159"/>
      <c r="CY51" s="159"/>
      <c r="CZ51" s="159"/>
      <c r="DA51" s="159"/>
      <c r="DB51" s="159"/>
      <c r="DC51" s="185"/>
      <c r="DD51" s="185"/>
      <c r="DE51" s="185"/>
      <c r="DF51" s="185"/>
    </row>
    <row r="52" spans="1:124">
      <c r="A52" s="159" t="s">
        <v>505</v>
      </c>
      <c r="B52" s="170">
        <f t="shared" ref="B52:AG52" si="269">B508/B463</f>
        <v>1.2572706935123044</v>
      </c>
      <c r="C52" s="170" t="e">
        <f t="shared" si="269"/>
        <v>#DIV/0!</v>
      </c>
      <c r="D52" s="170" t="e">
        <f t="shared" si="269"/>
        <v>#DIV/0!</v>
      </c>
      <c r="E52" s="170" t="e">
        <f t="shared" si="269"/>
        <v>#DIV/0!</v>
      </c>
      <c r="F52" s="170" t="e">
        <f t="shared" si="269"/>
        <v>#DIV/0!</v>
      </c>
      <c r="G52" s="170">
        <f t="shared" si="269"/>
        <v>0.67337695017614485</v>
      </c>
      <c r="H52" s="170" t="e">
        <f t="shared" si="269"/>
        <v>#DIV/0!</v>
      </c>
      <c r="I52" s="170" t="e">
        <f t="shared" si="269"/>
        <v>#DIV/0!</v>
      </c>
      <c r="J52" s="170">
        <f t="shared" si="269"/>
        <v>1.0467625899280575</v>
      </c>
      <c r="K52" s="170">
        <f t="shared" si="269"/>
        <v>2.1209964412811386</v>
      </c>
      <c r="L52" s="170">
        <f t="shared" si="269"/>
        <v>0.50643776824034337</v>
      </c>
      <c r="M52" s="170">
        <f t="shared" si="269"/>
        <v>0.5056179775280899</v>
      </c>
      <c r="N52" s="170">
        <f t="shared" si="269"/>
        <v>1.2134387351778657</v>
      </c>
      <c r="O52" s="170">
        <f t="shared" si="269"/>
        <v>1.7846715328467153</v>
      </c>
      <c r="P52" s="170">
        <f t="shared" si="269"/>
        <v>1.8387096774193548</v>
      </c>
      <c r="Q52" s="170">
        <f t="shared" si="269"/>
        <v>1.3457595526561044</v>
      </c>
      <c r="R52" s="170">
        <f t="shared" si="269"/>
        <v>0.90175438596491231</v>
      </c>
      <c r="S52" s="170">
        <f t="shared" si="269"/>
        <v>0.78125</v>
      </c>
      <c r="T52" s="170">
        <f t="shared" si="269"/>
        <v>0.72815533980582525</v>
      </c>
      <c r="U52" s="170">
        <f t="shared" si="269"/>
        <v>0.91262135922330101</v>
      </c>
      <c r="V52" s="170">
        <f t="shared" si="269"/>
        <v>0.83039462636439965</v>
      </c>
      <c r="W52" s="170">
        <f t="shared" si="269"/>
        <v>0.26440677966101694</v>
      </c>
      <c r="X52" s="170">
        <f t="shared" si="269"/>
        <v>0.60899653979238755</v>
      </c>
      <c r="Y52" s="170">
        <f t="shared" si="269"/>
        <v>0.5017301038062284</v>
      </c>
      <c r="Z52" s="170">
        <f t="shared" si="269"/>
        <v>1.2085889570552146</v>
      </c>
      <c r="AA52" s="170">
        <f t="shared" si="269"/>
        <v>0.72687224669603523</v>
      </c>
      <c r="AB52" s="170">
        <f t="shared" si="269"/>
        <v>0.51621621621621616</v>
      </c>
      <c r="AC52" s="170">
        <f t="shared" si="269"/>
        <v>0.63529411764705879</v>
      </c>
      <c r="AD52" s="170">
        <f t="shared" si="269"/>
        <v>0.46534653465346537</v>
      </c>
      <c r="AE52" s="170">
        <f t="shared" si="269"/>
        <v>0.75637393767705385</v>
      </c>
      <c r="AF52" s="170">
        <f t="shared" si="269"/>
        <v>0.59663250366032206</v>
      </c>
      <c r="AG52" s="170">
        <f t="shared" si="269"/>
        <v>0.35542168674698793</v>
      </c>
      <c r="AH52" s="170">
        <f t="shared" ref="AH52:BJ52" si="270">AH508/AH463</f>
        <v>0.46268656716417911</v>
      </c>
      <c r="AI52" s="170">
        <f t="shared" si="270"/>
        <v>1.0337423312883436</v>
      </c>
      <c r="AJ52" s="170">
        <f t="shared" si="270"/>
        <v>1.2211981566820276</v>
      </c>
      <c r="AK52" s="170">
        <f t="shared" si="270"/>
        <v>0.79887876664330759</v>
      </c>
      <c r="AL52" s="170">
        <f t="shared" si="270"/>
        <v>0.60082304526748975</v>
      </c>
      <c r="AM52" s="170">
        <f t="shared" si="270"/>
        <v>1.0743801652892562</v>
      </c>
      <c r="AN52" s="170">
        <f t="shared" si="270"/>
        <v>1.4534412955465588</v>
      </c>
      <c r="AO52" s="170">
        <f t="shared" si="270"/>
        <v>2.0810810810810811</v>
      </c>
      <c r="AP52" s="170">
        <f t="shared" si="270"/>
        <v>1.3158425832492431</v>
      </c>
      <c r="AQ52" s="170">
        <f t="shared" si="270"/>
        <v>0.58029197080291972</v>
      </c>
      <c r="AR52" s="170">
        <f t="shared" si="270"/>
        <v>1.2957198443579767</v>
      </c>
      <c r="AS52" s="170">
        <f t="shared" si="270"/>
        <v>0.93962264150943398</v>
      </c>
      <c r="AT52" s="170">
        <f t="shared" si="270"/>
        <v>1.75</v>
      </c>
      <c r="AU52" s="170">
        <f t="shared" si="270"/>
        <v>1.1302281368821292</v>
      </c>
      <c r="AV52" s="170">
        <f t="shared" si="270"/>
        <v>0.67500000000000004</v>
      </c>
      <c r="AW52" s="170">
        <f t="shared" si="270"/>
        <v>0.88655462184873945</v>
      </c>
      <c r="AX52" s="170">
        <f t="shared" si="270"/>
        <v>1.0340909090909092</v>
      </c>
      <c r="AY52" s="170">
        <f t="shared" si="270"/>
        <v>1.3691756272401434</v>
      </c>
      <c r="AZ52" s="170">
        <f t="shared" si="270"/>
        <v>1.0068560235063664</v>
      </c>
      <c r="BA52" s="170">
        <f t="shared" si="270"/>
        <v>0.4553191489361702</v>
      </c>
      <c r="BB52" s="170">
        <f t="shared" si="270"/>
        <v>0.79104477611940294</v>
      </c>
      <c r="BC52" s="170">
        <f t="shared" si="270"/>
        <v>0.75</v>
      </c>
      <c r="BD52" s="170">
        <f t="shared" si="270"/>
        <v>1.7180327868852459</v>
      </c>
      <c r="BE52" s="170">
        <f t="shared" si="270"/>
        <v>0.9719101123595506</v>
      </c>
      <c r="BF52" s="170">
        <f t="shared" si="270"/>
        <v>0.39318885448916407</v>
      </c>
      <c r="BG52" s="170">
        <f t="shared" si="270"/>
        <v>0.82662538699690402</v>
      </c>
      <c r="BH52" s="170">
        <f t="shared" si="270"/>
        <v>0.64533333333333331</v>
      </c>
      <c r="BI52" s="170">
        <f t="shared" si="270"/>
        <v>1.6117318435754191</v>
      </c>
      <c r="BJ52" s="170">
        <f t="shared" si="270"/>
        <v>0.87962291515591007</v>
      </c>
      <c r="BK52" s="170">
        <f t="shared" ref="BK52:BV52" si="271">BK508/BK463</f>
        <v>0.45915492957746479</v>
      </c>
      <c r="BL52" s="170">
        <f t="shared" si="271"/>
        <v>0.72549019607843135</v>
      </c>
      <c r="BM52" s="170">
        <f t="shared" si="271"/>
        <v>0.94100294985250732</v>
      </c>
      <c r="BN52" s="170">
        <f t="shared" si="271"/>
        <v>1.3922651933701657</v>
      </c>
      <c r="BO52" s="170">
        <f t="shared" si="271"/>
        <v>0.88110403397027603</v>
      </c>
      <c r="BP52" s="170">
        <f t="shared" si="271"/>
        <v>0.35233160621761656</v>
      </c>
      <c r="BQ52" s="170">
        <f t="shared" si="271"/>
        <v>0.4580152671755725</v>
      </c>
      <c r="BR52" s="170">
        <f t="shared" si="271"/>
        <v>0.74254742547425479</v>
      </c>
      <c r="BS52" s="170">
        <f t="shared" si="271"/>
        <v>1.6048387096774193</v>
      </c>
      <c r="BT52" s="170">
        <f t="shared" si="271"/>
        <v>0.78092105263157896</v>
      </c>
      <c r="BU52" s="170">
        <f t="shared" si="271"/>
        <v>0.48857142857142855</v>
      </c>
      <c r="BV52" s="170">
        <f t="shared" si="271"/>
        <v>0.70262390670553931</v>
      </c>
      <c r="BW52" s="170">
        <f t="shared" ref="BW52:BZ52" si="272">BW508/BW463</f>
        <v>0.79300291545189505</v>
      </c>
      <c r="BX52" s="170">
        <f t="shared" si="272"/>
        <v>1.1559139784946237</v>
      </c>
      <c r="BY52" s="170">
        <f t="shared" si="272"/>
        <v>0.79119318181818177</v>
      </c>
      <c r="BZ52" s="170">
        <f t="shared" si="272"/>
        <v>0.37249283667621774</v>
      </c>
      <c r="CA52" s="170">
        <f t="shared" ref="CA52:CB52" si="273">CA508/CA463</f>
        <v>0.47976878612716761</v>
      </c>
      <c r="CB52" s="170">
        <f t="shared" si="273"/>
        <v>0.61428571428571432</v>
      </c>
      <c r="CC52" s="170">
        <f t="shared" ref="CC52:CE52" si="274">CC508/CC463</f>
        <v>0.62916666666666665</v>
      </c>
      <c r="CD52" s="170">
        <f t="shared" ref="CD52:CS52" si="275">CD508/CD463</f>
        <v>0.53311475409836062</v>
      </c>
      <c r="CE52" s="170">
        <f t="shared" si="274"/>
        <v>0.28882833787465939</v>
      </c>
      <c r="CF52" s="170">
        <f t="shared" ref="CF52:CG52" si="276">CF508/CF463</f>
        <v>0.31868131868131866</v>
      </c>
      <c r="CG52" s="170">
        <f t="shared" si="276"/>
        <v>0.38674033149171272</v>
      </c>
      <c r="CH52" s="170">
        <f t="shared" ref="CH52" si="277">CH508/CH463</f>
        <v>0.84324324324324329</v>
      </c>
      <c r="CI52" s="170">
        <f t="shared" si="275"/>
        <v>0.46069719753930283</v>
      </c>
      <c r="CJ52" s="170">
        <f t="shared" si="275"/>
        <v>0.23822714681440443</v>
      </c>
      <c r="CK52" s="170">
        <f t="shared" ref="CK52:CL52" si="278">CK508/CK463</f>
        <v>0.45706371191135736</v>
      </c>
      <c r="CL52" s="170">
        <f t="shared" si="278"/>
        <v>0.60869565217391308</v>
      </c>
      <c r="CM52" s="170">
        <f t="shared" ref="CM52:CP52" si="279">CM508/CM463</f>
        <v>1.2648514851485149</v>
      </c>
      <c r="CN52" s="170">
        <f t="shared" si="279"/>
        <v>0.65997322623828647</v>
      </c>
      <c r="CO52" s="170">
        <f t="shared" si="279"/>
        <v>0.39335180055401664</v>
      </c>
      <c r="CP52" s="170">
        <f t="shared" si="279"/>
        <v>0.48169014084507045</v>
      </c>
      <c r="CQ52" s="170">
        <f t="shared" si="275"/>
        <v>0.77840278345250824</v>
      </c>
      <c r="CR52" s="170">
        <f t="shared" si="275"/>
        <v>0.72040468080521558</v>
      </c>
      <c r="CS52" s="170">
        <f t="shared" si="275"/>
        <v>0.73688377362573887</v>
      </c>
      <c r="CT52" s="170">
        <f t="shared" ref="CT52:CV52" si="280">CT508/CT463</f>
        <v>0.75101346429879934</v>
      </c>
      <c r="CU52" s="170">
        <f t="shared" si="280"/>
        <v>0.80466156767663588</v>
      </c>
      <c r="CV52" s="170">
        <f t="shared" si="280"/>
        <v>0.85458981415350488</v>
      </c>
      <c r="CW52" s="170">
        <f>CW508/CW463</f>
        <v>1.2362818569236036</v>
      </c>
      <c r="CX52" s="159"/>
      <c r="CY52" s="159"/>
      <c r="CZ52" s="159"/>
      <c r="DA52" s="159"/>
      <c r="DB52" s="159"/>
      <c r="DC52" s="185"/>
      <c r="DD52" s="185"/>
      <c r="DE52" s="185"/>
      <c r="DF52" s="185"/>
    </row>
    <row r="53" spans="1:124">
      <c r="A53" s="171" t="s">
        <v>682</v>
      </c>
      <c r="B53" s="171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  <c r="Q53" s="171"/>
      <c r="R53" s="171"/>
      <c r="S53" s="171"/>
      <c r="T53" s="171"/>
      <c r="U53" s="171"/>
      <c r="V53" s="171"/>
      <c r="W53" s="171"/>
      <c r="X53" s="171"/>
      <c r="Y53" s="171"/>
      <c r="Z53" s="171"/>
      <c r="AA53" s="171"/>
      <c r="AB53" s="171"/>
      <c r="AC53" s="171"/>
      <c r="AD53" s="171"/>
      <c r="AE53" s="171"/>
      <c r="AF53" s="180"/>
      <c r="AG53" s="180"/>
      <c r="AH53" s="180"/>
      <c r="AI53" s="180"/>
      <c r="AJ53" s="180"/>
      <c r="AK53" s="180"/>
      <c r="AL53" s="180"/>
      <c r="AM53" s="180"/>
      <c r="AN53" s="180"/>
      <c r="AO53" s="180"/>
      <c r="AP53" s="180"/>
      <c r="AQ53" s="180"/>
      <c r="AR53" s="180"/>
      <c r="AS53" s="180"/>
      <c r="AT53" s="180"/>
      <c r="AU53" s="173"/>
      <c r="AV53" s="180"/>
      <c r="AW53" s="180"/>
      <c r="AX53" s="180"/>
      <c r="AY53" s="180"/>
      <c r="AZ53" s="173"/>
      <c r="BA53" s="180"/>
      <c r="BB53" s="180"/>
      <c r="BC53" s="180"/>
      <c r="BD53" s="180"/>
      <c r="BE53" s="173"/>
      <c r="BF53" s="180"/>
      <c r="BG53" s="180"/>
      <c r="BH53" s="173"/>
      <c r="BI53" s="173"/>
      <c r="BJ53" s="173"/>
      <c r="BK53" s="180"/>
      <c r="BL53" s="180"/>
      <c r="BM53" s="180"/>
      <c r="BN53" s="180"/>
      <c r="BO53" s="173"/>
      <c r="BP53" s="180"/>
      <c r="BQ53" s="180"/>
      <c r="BR53" s="180"/>
      <c r="BS53" s="180"/>
      <c r="BT53" s="173"/>
      <c r="BU53" s="181"/>
      <c r="BV53" s="181"/>
      <c r="BW53" s="181"/>
      <c r="BX53" s="181"/>
      <c r="BY53" s="173"/>
      <c r="BZ53" s="181"/>
      <c r="CA53" s="181"/>
      <c r="CB53" s="181"/>
      <c r="CC53" s="181"/>
      <c r="CD53" s="1013" t="s">
        <v>685</v>
      </c>
      <c r="CE53" s="1015"/>
      <c r="CF53" s="1015"/>
      <c r="CG53" s="1015"/>
      <c r="CH53" s="1015"/>
      <c r="CI53" s="385" t="s">
        <v>720</v>
      </c>
      <c r="CJ53" s="1015"/>
      <c r="CK53" s="1015"/>
      <c r="CL53" s="1015"/>
      <c r="CM53" s="1015"/>
      <c r="CN53" s="385" t="s">
        <v>720</v>
      </c>
      <c r="CO53" s="1015"/>
      <c r="CP53" s="1015"/>
      <c r="CQ53" s="385" t="s">
        <v>918</v>
      </c>
      <c r="CR53" s="173"/>
      <c r="CS53" s="173"/>
      <c r="CT53" s="173"/>
      <c r="CU53" s="173"/>
      <c r="CV53" s="173"/>
      <c r="CW53" s="173"/>
      <c r="CX53" s="159"/>
      <c r="CY53" s="159"/>
      <c r="CZ53" s="159"/>
      <c r="DA53" s="159"/>
      <c r="DB53" s="159"/>
      <c r="DC53" s="161"/>
      <c r="DD53" s="161"/>
      <c r="DE53" s="161"/>
      <c r="DF53" s="161"/>
      <c r="DO53" s="159"/>
      <c r="DP53" s="161"/>
      <c r="DQ53" s="161"/>
      <c r="DR53" s="161"/>
      <c r="DS53" s="161"/>
      <c r="DT53" s="170"/>
    </row>
    <row r="54" spans="1:124">
      <c r="A54" s="171" t="s">
        <v>1</v>
      </c>
      <c r="B54" s="186"/>
      <c r="C54" s="186"/>
      <c r="D54" s="186"/>
      <c r="E54" s="186"/>
      <c r="F54" s="186"/>
      <c r="G54" s="186"/>
      <c r="H54" s="186"/>
      <c r="I54" s="186"/>
      <c r="J54" s="186"/>
      <c r="K54" s="186"/>
      <c r="L54" s="186"/>
      <c r="M54" s="186"/>
      <c r="N54" s="186"/>
      <c r="O54" s="186"/>
      <c r="P54" s="186"/>
      <c r="Q54" s="186"/>
      <c r="R54" s="186"/>
      <c r="S54" s="186"/>
      <c r="T54" s="186"/>
      <c r="U54" s="186"/>
      <c r="V54" s="186"/>
      <c r="W54" s="186"/>
      <c r="X54" s="186"/>
      <c r="Y54" s="186"/>
      <c r="Z54" s="186"/>
      <c r="AA54" s="186"/>
      <c r="AB54" s="186"/>
      <c r="AC54" s="186"/>
      <c r="AD54" s="186"/>
      <c r="AE54" s="186"/>
      <c r="AF54" s="186"/>
      <c r="AG54" s="186"/>
      <c r="AH54" s="186"/>
      <c r="AI54" s="186"/>
      <c r="AJ54" s="186"/>
      <c r="AK54" s="186"/>
      <c r="AL54" s="186"/>
      <c r="AM54" s="186"/>
      <c r="AN54" s="186"/>
      <c r="AO54" s="186"/>
      <c r="AP54" s="186"/>
      <c r="AQ54" s="186"/>
      <c r="AR54" s="186"/>
      <c r="AS54" s="186"/>
      <c r="AT54" s="186"/>
      <c r="AU54" s="187"/>
      <c r="AV54" s="186"/>
      <c r="AW54" s="186"/>
      <c r="AX54" s="186"/>
      <c r="AY54" s="186"/>
      <c r="AZ54" s="187"/>
      <c r="BA54" s="186"/>
      <c r="BB54" s="186"/>
      <c r="BC54" s="186"/>
      <c r="BD54" s="186"/>
      <c r="BE54" s="187"/>
      <c r="BF54" s="186"/>
      <c r="BG54" s="186"/>
      <c r="BH54" s="187"/>
      <c r="BI54" s="187"/>
      <c r="BJ54" s="187"/>
      <c r="BK54" s="186"/>
      <c r="BL54" s="186"/>
      <c r="BM54" s="186"/>
      <c r="BN54" s="186"/>
      <c r="BO54" s="187"/>
      <c r="BP54" s="186"/>
      <c r="BQ54" s="186"/>
      <c r="BR54" s="186"/>
      <c r="BS54" s="186"/>
      <c r="BT54" s="187"/>
      <c r="BU54" s="186"/>
      <c r="BV54" s="186"/>
      <c r="BW54" s="186"/>
      <c r="BX54" s="186"/>
      <c r="BY54" s="187"/>
      <c r="BZ54" s="186"/>
      <c r="CA54" s="186"/>
      <c r="CB54" s="186"/>
      <c r="CC54" s="186"/>
      <c r="CD54" s="186"/>
      <c r="CE54" s="186"/>
      <c r="CF54" s="186"/>
      <c r="CG54" s="186"/>
      <c r="CH54" s="186"/>
      <c r="CI54" s="186"/>
      <c r="CJ54" s="186"/>
      <c r="CK54" s="186"/>
      <c r="CL54" s="186"/>
      <c r="CM54" s="186"/>
      <c r="CN54" s="186"/>
      <c r="CO54" s="186"/>
      <c r="CP54" s="186"/>
      <c r="CQ54" s="879" cm="1">
        <f t="array" ref="CQ54">_xll.VAData("MXSC_MY", "FY-"&amp;CQ$2, "Capex", "Consensus", "CD", "","","")</f>
        <v>1334.4857325062101</v>
      </c>
      <c r="CR54" s="879" cm="1">
        <f t="array" ref="CR54">_xll.VAData("MXSC_MY", "FY-"&amp;CR$2, "Capex", "Consensus", "CD", "","","")</f>
        <v>1422.99574923563</v>
      </c>
      <c r="CS54" s="879" cm="1">
        <f t="array" ref="CS54">_xll.VAData("MXSC_MY", "FY-"&amp;CS$2, "Capex", "Consensus", "CD", "","","")</f>
        <v>1448.9143473818151</v>
      </c>
      <c r="CT54" s="879" cm="1">
        <f t="array" ref="CT54">_xll.VAData("MXSC_MY", "FY-"&amp;CT$2, "Capex", "Consensus", "CD", "","","")</f>
        <v>1443.9678317436226</v>
      </c>
      <c r="CU54" s="879" cm="1">
        <f t="array" ref="CU54">_xll.VAData("MXSC_MY", "FY-"&amp;CU$2, "Capex", "Consensus", "CD", "","","")</f>
        <v>1469.804039630405</v>
      </c>
      <c r="CV54" s="879" cm="1">
        <f t="array" ref="CV54">_xll.VAData("MXSC_MY", "FY-"&amp;CV$2, "Capex", "Consensus", "CD", "","","")</f>
        <v>1496.9580946301751</v>
      </c>
      <c r="CW54" s="879" cm="1">
        <f t="array" ref="CW54">_xll.VAData("MXSC_MY", "FY-"&amp;CW$2, "Capex", "Consensus", "CD", "","","")</f>
        <v>1462.4118814434701</v>
      </c>
      <c r="CX54" s="159"/>
      <c r="CY54" s="159"/>
      <c r="CZ54" s="159"/>
      <c r="DA54" s="159"/>
      <c r="DB54" s="159"/>
      <c r="DC54" s="161"/>
      <c r="DD54" s="161"/>
      <c r="DE54" s="161"/>
      <c r="DF54" s="161"/>
    </row>
    <row r="55" spans="1:124">
      <c r="A55" s="171" t="s">
        <v>554</v>
      </c>
      <c r="B55" s="188"/>
      <c r="C55" s="188"/>
      <c r="D55" s="188"/>
      <c r="E55" s="188"/>
      <c r="F55" s="188"/>
      <c r="G55" s="188"/>
      <c r="H55" s="188"/>
      <c r="I55" s="188"/>
      <c r="J55" s="188"/>
      <c r="K55" s="188"/>
      <c r="L55" s="188"/>
      <c r="M55" s="188"/>
      <c r="N55" s="188"/>
      <c r="O55" s="188"/>
      <c r="P55" s="188"/>
      <c r="Q55" s="188"/>
      <c r="R55" s="188"/>
      <c r="S55" s="188"/>
      <c r="T55" s="188"/>
      <c r="U55" s="188"/>
      <c r="V55" s="188"/>
      <c r="W55" s="188"/>
      <c r="X55" s="188"/>
      <c r="Y55" s="188"/>
      <c r="Z55" s="188"/>
      <c r="AA55" s="188"/>
      <c r="AB55" s="188"/>
      <c r="AC55" s="188"/>
      <c r="AD55" s="188"/>
      <c r="AE55" s="188"/>
      <c r="AF55" s="188"/>
      <c r="AG55" s="188"/>
      <c r="AH55" s="188"/>
      <c r="AI55" s="188"/>
      <c r="AJ55" s="188"/>
      <c r="AK55" s="188"/>
      <c r="AL55" s="188"/>
      <c r="AM55" s="188"/>
      <c r="AN55" s="188"/>
      <c r="AO55" s="188"/>
      <c r="AP55" s="188"/>
      <c r="AQ55" s="188"/>
      <c r="AR55" s="188"/>
      <c r="AS55" s="188"/>
      <c r="AT55" s="188"/>
      <c r="AU55" s="188"/>
      <c r="AV55" s="188"/>
      <c r="AW55" s="188"/>
      <c r="AX55" s="188"/>
      <c r="AY55" s="188"/>
      <c r="AZ55" s="188"/>
      <c r="BA55" s="188"/>
      <c r="BB55" s="188"/>
      <c r="BC55" s="188"/>
      <c r="BD55" s="188"/>
      <c r="BE55" s="188"/>
      <c r="BF55" s="188"/>
      <c r="BG55" s="188"/>
      <c r="BH55" s="188"/>
      <c r="BI55" s="188"/>
      <c r="BJ55" s="186"/>
      <c r="BK55" s="188"/>
      <c r="BL55" s="188"/>
      <c r="BM55" s="188"/>
      <c r="BN55" s="188"/>
      <c r="BO55" s="186"/>
      <c r="BP55" s="188"/>
      <c r="BQ55" s="188"/>
      <c r="BR55" s="188"/>
      <c r="BS55" s="188"/>
      <c r="BT55" s="186"/>
      <c r="BU55" s="188"/>
      <c r="BV55" s="188"/>
      <c r="BW55" s="188"/>
      <c r="BX55" s="188"/>
      <c r="BY55" s="186"/>
      <c r="BZ55" s="188"/>
      <c r="CA55" s="188"/>
      <c r="CB55" s="188"/>
      <c r="CC55" s="188"/>
      <c r="CD55" s="188"/>
      <c r="CE55" s="188"/>
      <c r="CF55" s="188"/>
      <c r="CG55" s="188"/>
      <c r="CH55" s="188"/>
      <c r="CI55" s="188"/>
      <c r="CJ55" s="188"/>
      <c r="CK55" s="188"/>
      <c r="CL55" s="188"/>
      <c r="CM55" s="188"/>
      <c r="CN55" s="188"/>
      <c r="CO55" s="188"/>
      <c r="CP55" s="188"/>
      <c r="CQ55" s="877">
        <f t="shared" ref="CQ55:CW55" si="281">IFERROR(CQ49/CQ54-1,"")</f>
        <v>-0.17978976371372679</v>
      </c>
      <c r="CR55" s="877">
        <f t="shared" si="281"/>
        <v>-0.29055688830952864</v>
      </c>
      <c r="CS55" s="877">
        <f t="shared" si="281"/>
        <v>-0.28619170733841148</v>
      </c>
      <c r="CT55" s="877">
        <f t="shared" si="281"/>
        <v>-0.26567917917613149</v>
      </c>
      <c r="CU55" s="877">
        <f t="shared" si="281"/>
        <v>-0.26138689269160009</v>
      </c>
      <c r="CV55" s="877">
        <f t="shared" si="281"/>
        <v>-0.2576541328196531</v>
      </c>
      <c r="CW55" s="877">
        <f t="shared" si="281"/>
        <v>3.6934341803083193E-2</v>
      </c>
    </row>
    <row r="57" spans="1:124">
      <c r="A57" s="159"/>
      <c r="B57" s="159"/>
      <c r="C57" s="159"/>
      <c r="D57" s="159"/>
      <c r="E57" s="159"/>
      <c r="F57" s="159"/>
      <c r="G57" s="159"/>
      <c r="H57" s="159"/>
      <c r="I57" s="159"/>
      <c r="J57" s="159"/>
      <c r="K57" s="159"/>
      <c r="L57" s="159"/>
      <c r="M57" s="159"/>
      <c r="N57" s="159"/>
      <c r="O57" s="159"/>
      <c r="P57" s="159"/>
      <c r="Q57" s="159"/>
      <c r="R57" s="159"/>
      <c r="S57" s="159"/>
      <c r="T57" s="159"/>
      <c r="U57" s="159"/>
      <c r="V57" s="159"/>
      <c r="W57" s="159"/>
      <c r="X57" s="159"/>
      <c r="Y57" s="159"/>
      <c r="Z57" s="159"/>
      <c r="AA57" s="159"/>
      <c r="AB57" s="159"/>
      <c r="AC57" s="159"/>
      <c r="AD57" s="159"/>
      <c r="AE57" s="159"/>
      <c r="AF57" s="189"/>
      <c r="AG57" s="189"/>
      <c r="AH57" s="189"/>
      <c r="AI57" s="189"/>
      <c r="AJ57" s="189"/>
      <c r="AK57" s="190"/>
      <c r="AL57" s="190"/>
      <c r="AM57" s="190"/>
      <c r="AN57" s="190"/>
      <c r="AO57" s="190"/>
      <c r="AP57" s="190"/>
      <c r="AQ57" s="190"/>
      <c r="AR57" s="190"/>
      <c r="AS57" s="190"/>
      <c r="AT57" s="190"/>
      <c r="AU57" s="190"/>
      <c r="AV57" s="190"/>
      <c r="AW57" s="190"/>
      <c r="AX57" s="190"/>
      <c r="AY57" s="190"/>
      <c r="AZ57" s="190"/>
      <c r="BA57" s="190"/>
      <c r="BB57" s="190"/>
      <c r="BC57" s="190"/>
      <c r="BD57" s="190"/>
      <c r="BE57" s="190"/>
      <c r="BF57" s="190"/>
      <c r="BG57" s="190"/>
      <c r="BH57" s="190"/>
      <c r="BI57" s="190"/>
      <c r="BJ57" s="190"/>
      <c r="BK57" s="190"/>
      <c r="BL57" s="190"/>
      <c r="BM57" s="190"/>
      <c r="BN57" s="190"/>
      <c r="BO57" s="190"/>
      <c r="BP57" s="190"/>
      <c r="BQ57" s="190"/>
      <c r="BR57" s="190"/>
      <c r="BS57" s="190"/>
      <c r="BT57" s="190"/>
      <c r="BU57" s="190"/>
      <c r="BV57" s="190"/>
      <c r="BW57" s="190"/>
      <c r="BX57" s="190"/>
      <c r="BY57" s="190"/>
      <c r="BZ57" s="190"/>
      <c r="CA57" s="190"/>
      <c r="CB57" s="190"/>
      <c r="CC57" s="190"/>
      <c r="CD57" s="190"/>
      <c r="CE57" s="190"/>
      <c r="CF57" s="190"/>
      <c r="CG57" s="190"/>
      <c r="CH57" s="190"/>
      <c r="CI57" s="190"/>
      <c r="CJ57" s="190"/>
      <c r="CK57" s="190"/>
      <c r="CL57" s="190"/>
      <c r="CM57" s="190"/>
      <c r="CN57" s="190"/>
      <c r="CO57" s="190"/>
      <c r="CP57" s="190"/>
      <c r="CQ57" s="190"/>
      <c r="CR57" s="190"/>
      <c r="CS57" s="190"/>
      <c r="CT57" s="190"/>
      <c r="CU57" s="190"/>
      <c r="CV57" s="190"/>
      <c r="CW57" s="190"/>
      <c r="CX57" s="159"/>
      <c r="CY57" s="159"/>
      <c r="CZ57" s="159"/>
      <c r="DA57" s="159"/>
      <c r="DB57" s="159"/>
      <c r="DC57" s="185"/>
      <c r="DD57" s="185"/>
      <c r="DE57" s="185"/>
      <c r="DF57" s="185"/>
    </row>
    <row r="58" spans="1:124">
      <c r="A58" s="159"/>
      <c r="B58" s="191"/>
      <c r="C58" s="191"/>
      <c r="D58" s="191"/>
      <c r="E58" s="191"/>
      <c r="F58" s="191"/>
      <c r="G58" s="191"/>
      <c r="H58" s="191"/>
      <c r="I58" s="191"/>
      <c r="J58" s="191"/>
      <c r="K58" s="191"/>
      <c r="L58" s="191"/>
      <c r="M58" s="191"/>
      <c r="N58" s="191"/>
      <c r="O58" s="191"/>
      <c r="P58" s="191"/>
      <c r="Q58" s="191"/>
      <c r="R58" s="191"/>
      <c r="S58" s="191"/>
      <c r="T58" s="191"/>
      <c r="U58" s="191"/>
      <c r="V58" s="191"/>
      <c r="W58" s="191"/>
      <c r="X58" s="191"/>
      <c r="Y58" s="191"/>
      <c r="Z58" s="191"/>
      <c r="AA58" s="191"/>
      <c r="AB58" s="191"/>
      <c r="AC58" s="191"/>
      <c r="AD58" s="191"/>
      <c r="AE58" s="191"/>
      <c r="AF58" s="189"/>
      <c r="AG58" s="189"/>
      <c r="AH58" s="189"/>
      <c r="AI58" s="189"/>
      <c r="AJ58" s="189"/>
      <c r="AK58" s="190"/>
      <c r="AL58" s="190"/>
      <c r="AM58" s="190"/>
      <c r="AN58" s="190"/>
      <c r="AO58" s="190"/>
      <c r="AP58" s="159"/>
      <c r="AQ58" s="159"/>
      <c r="AR58" s="159"/>
      <c r="AS58" s="159"/>
      <c r="AT58" s="159"/>
      <c r="AU58" s="159"/>
      <c r="AV58" s="159"/>
      <c r="AW58" s="159"/>
      <c r="AX58" s="159"/>
      <c r="AY58" s="159"/>
      <c r="AZ58" s="159"/>
      <c r="BA58" s="159"/>
      <c r="BB58" s="159"/>
      <c r="BC58" s="159"/>
      <c r="BD58" s="159"/>
      <c r="BE58" s="159"/>
      <c r="BF58" s="159"/>
      <c r="BG58" s="159"/>
      <c r="BH58" s="159"/>
      <c r="BI58" s="159"/>
      <c r="BJ58" s="159"/>
      <c r="BK58" s="159"/>
      <c r="BL58" s="159"/>
      <c r="BM58" s="159"/>
      <c r="BN58" s="159"/>
      <c r="BO58" s="159"/>
      <c r="BP58" s="159"/>
      <c r="BQ58" s="159"/>
      <c r="BR58" s="159"/>
      <c r="BS58" s="159"/>
      <c r="BT58" s="159"/>
      <c r="BU58" s="159"/>
      <c r="BV58" s="159"/>
      <c r="BW58" s="159"/>
      <c r="BX58" s="159"/>
      <c r="BY58" s="159"/>
      <c r="BZ58" s="159"/>
      <c r="CA58" s="159"/>
      <c r="CB58" s="159"/>
      <c r="CC58" s="159"/>
      <c r="CD58" s="159"/>
      <c r="CE58" s="159"/>
      <c r="CF58" s="159"/>
      <c r="CG58" s="159"/>
      <c r="CH58" s="159"/>
      <c r="CI58" s="159"/>
      <c r="CJ58" s="159"/>
      <c r="CK58" s="159"/>
      <c r="CL58" s="159"/>
      <c r="CM58" s="159"/>
      <c r="CN58" s="159"/>
      <c r="CO58" s="159"/>
      <c r="CP58" s="159"/>
      <c r="CQ58" s="159"/>
      <c r="CR58" s="159"/>
      <c r="CS58" s="159"/>
      <c r="CT58" s="159"/>
      <c r="CU58" s="159"/>
      <c r="CV58" s="159"/>
      <c r="CW58" s="159"/>
      <c r="CX58" s="159"/>
      <c r="CY58" s="159"/>
      <c r="CZ58" s="159"/>
      <c r="DA58" s="159"/>
      <c r="DB58" s="159"/>
      <c r="DC58" s="159"/>
      <c r="DD58" s="159"/>
      <c r="DO58" s="159"/>
      <c r="DP58" s="888"/>
    </row>
    <row r="59" spans="1:124">
      <c r="A59" s="192" t="s">
        <v>674</v>
      </c>
      <c r="B59" s="193"/>
      <c r="C59" s="193"/>
      <c r="D59" s="193"/>
      <c r="E59" s="193"/>
      <c r="F59" s="193"/>
      <c r="G59" s="193"/>
      <c r="H59" s="193"/>
      <c r="I59" s="193"/>
      <c r="J59" s="193"/>
      <c r="K59" s="193"/>
      <c r="L59" s="193"/>
      <c r="M59" s="193"/>
      <c r="N59" s="193"/>
      <c r="O59" s="193"/>
      <c r="P59" s="193"/>
      <c r="Q59" s="193"/>
      <c r="R59" s="193"/>
      <c r="S59" s="193"/>
      <c r="T59" s="193"/>
      <c r="U59" s="193"/>
      <c r="V59" s="193"/>
      <c r="W59" s="193"/>
      <c r="X59" s="193"/>
      <c r="Y59" s="193"/>
      <c r="Z59" s="193"/>
      <c r="AA59" s="193"/>
      <c r="AB59" s="193"/>
      <c r="AC59" s="193"/>
      <c r="AD59" s="193"/>
      <c r="AE59" s="193"/>
      <c r="AF59" s="194"/>
      <c r="AG59" s="194"/>
      <c r="AH59" s="194"/>
      <c r="AI59" s="194"/>
      <c r="AJ59" s="194"/>
      <c r="AK59" s="195"/>
      <c r="AL59" s="195"/>
      <c r="AM59" s="195"/>
      <c r="AN59" s="195"/>
      <c r="AO59" s="195"/>
      <c r="AP59" s="192"/>
      <c r="AQ59" s="192"/>
      <c r="AR59" s="192"/>
      <c r="AS59" s="192"/>
      <c r="AT59" s="192"/>
      <c r="AU59" s="192"/>
      <c r="AV59" s="192"/>
      <c r="AW59" s="192"/>
      <c r="AX59" s="192"/>
      <c r="AY59" s="192"/>
      <c r="AZ59" s="192"/>
      <c r="BA59" s="192"/>
      <c r="BB59" s="192"/>
      <c r="BC59" s="192"/>
      <c r="BD59" s="192"/>
      <c r="BE59" s="192"/>
      <c r="BF59" s="192"/>
      <c r="BG59" s="192"/>
      <c r="BH59" s="192"/>
      <c r="BI59" s="192"/>
      <c r="BJ59" s="192"/>
      <c r="BK59" s="192"/>
      <c r="BL59" s="192"/>
      <c r="BM59" s="192"/>
      <c r="BN59" s="192"/>
      <c r="BO59" s="192"/>
      <c r="BP59" s="192"/>
      <c r="BQ59" s="192"/>
      <c r="BR59" s="192"/>
      <c r="BS59" s="192"/>
      <c r="BT59" s="192"/>
      <c r="BU59" s="192"/>
      <c r="BV59" s="192"/>
      <c r="BW59" s="192"/>
      <c r="BX59" s="192"/>
      <c r="BY59" s="192"/>
      <c r="BZ59" s="192"/>
      <c r="CA59" s="192"/>
      <c r="CB59" s="192"/>
      <c r="CC59" s="192"/>
      <c r="CD59" s="192"/>
      <c r="CE59" s="192"/>
      <c r="CF59" s="192"/>
      <c r="CG59" s="192"/>
      <c r="CH59" s="192"/>
      <c r="CI59" s="192"/>
      <c r="CJ59" s="192"/>
      <c r="CK59" s="192"/>
      <c r="CL59" s="192"/>
      <c r="CM59" s="192"/>
      <c r="CN59" s="192"/>
      <c r="CO59" s="192"/>
      <c r="CP59" s="192"/>
      <c r="CQ59" s="192"/>
      <c r="CR59" s="192"/>
      <c r="CS59" s="192"/>
      <c r="CT59" s="192"/>
      <c r="CU59" s="192"/>
      <c r="CV59" s="192"/>
      <c r="CW59" s="192"/>
      <c r="CX59" s="159"/>
      <c r="CY59" s="159"/>
      <c r="CZ59" s="159"/>
      <c r="DA59" s="159"/>
      <c r="DB59" s="159"/>
      <c r="DC59" s="159"/>
      <c r="DD59" s="159"/>
      <c r="DO59" s="159"/>
      <c r="DP59" s="888"/>
    </row>
    <row r="60" spans="1:124">
      <c r="A60" s="159"/>
      <c r="B60" s="191"/>
      <c r="C60" s="191"/>
      <c r="D60" s="191"/>
      <c r="E60" s="191"/>
      <c r="F60" s="191"/>
      <c r="G60" s="191"/>
      <c r="H60" s="191"/>
      <c r="I60" s="191"/>
      <c r="J60" s="191"/>
      <c r="K60" s="191"/>
      <c r="L60" s="191"/>
      <c r="M60" s="191"/>
      <c r="N60" s="191"/>
      <c r="O60" s="191"/>
      <c r="P60" s="191"/>
      <c r="Q60" s="191"/>
      <c r="R60" s="191"/>
      <c r="S60" s="191"/>
      <c r="T60" s="191"/>
      <c r="U60" s="191"/>
      <c r="V60" s="191"/>
      <c r="W60" s="191"/>
      <c r="X60" s="191"/>
      <c r="Y60" s="191"/>
      <c r="Z60" s="191"/>
      <c r="AA60" s="191"/>
      <c r="AB60" s="191"/>
      <c r="AC60" s="191"/>
      <c r="AD60" s="191"/>
      <c r="AE60" s="191"/>
      <c r="AF60" s="196"/>
      <c r="AG60" s="196"/>
      <c r="AH60" s="196"/>
      <c r="AI60" s="196"/>
      <c r="AJ60" s="196"/>
      <c r="AK60" s="196"/>
      <c r="AL60" s="196"/>
      <c r="AM60" s="196"/>
      <c r="AN60" s="196"/>
      <c r="AO60" s="196"/>
      <c r="AP60" s="159"/>
      <c r="AQ60" s="159"/>
      <c r="AR60" s="159"/>
      <c r="AS60" s="159"/>
      <c r="AT60" s="159"/>
      <c r="AU60" s="159"/>
      <c r="AV60" s="159"/>
      <c r="AW60" s="159"/>
      <c r="AX60" s="159"/>
      <c r="AY60" s="159"/>
      <c r="AZ60" s="159"/>
      <c r="BA60" s="159"/>
      <c r="BB60" s="159"/>
      <c r="BC60" s="159"/>
      <c r="BD60" s="159"/>
      <c r="BE60" s="159"/>
      <c r="BF60" s="159"/>
      <c r="BG60" s="159"/>
      <c r="BH60" s="159"/>
      <c r="BI60" s="159"/>
      <c r="BJ60" s="159"/>
      <c r="BK60" s="159"/>
      <c r="BL60" s="159"/>
      <c r="BM60" s="159"/>
      <c r="BN60" s="159"/>
      <c r="BO60" s="159"/>
      <c r="BP60" s="159"/>
      <c r="BQ60" s="159"/>
      <c r="BR60" s="159"/>
      <c r="BS60" s="159"/>
      <c r="BT60" s="159"/>
      <c r="BU60" s="159"/>
      <c r="BV60" s="159"/>
      <c r="BW60" s="159"/>
      <c r="BX60" s="159"/>
      <c r="BY60" s="159"/>
      <c r="BZ60" s="159"/>
      <c r="CA60" s="159"/>
      <c r="CB60" s="159"/>
      <c r="CC60" s="159"/>
      <c r="CD60" s="159"/>
      <c r="CE60" s="159"/>
      <c r="CF60" s="159"/>
      <c r="CG60" s="159"/>
      <c r="CH60" s="159"/>
      <c r="CI60" s="159"/>
      <c r="CJ60" s="159"/>
      <c r="CK60" s="159"/>
      <c r="CL60" s="159"/>
      <c r="CM60" s="159"/>
      <c r="CN60" s="159"/>
      <c r="CO60" s="159"/>
      <c r="CP60" s="159"/>
      <c r="CQ60" s="159"/>
      <c r="CR60" s="159"/>
      <c r="CS60" s="159"/>
      <c r="CT60" s="159"/>
      <c r="CU60" s="159"/>
      <c r="CV60" s="159"/>
      <c r="CW60" s="159"/>
      <c r="CX60" s="159"/>
      <c r="CY60" s="159"/>
      <c r="CZ60" s="159"/>
      <c r="DA60" s="159"/>
      <c r="DB60" s="159"/>
      <c r="DC60" s="159"/>
      <c r="DD60" s="159"/>
      <c r="DO60" s="197"/>
      <c r="DP60" s="198"/>
    </row>
    <row r="61" spans="1:124">
      <c r="A61" s="199" t="s">
        <v>6</v>
      </c>
      <c r="B61" s="199">
        <f t="shared" ref="B61:AG61" si="282">B2</f>
        <v>2007</v>
      </c>
      <c r="C61" s="199" t="str">
        <f t="shared" si="282"/>
        <v>Q1</v>
      </c>
      <c r="D61" s="199" t="str">
        <f t="shared" si="282"/>
        <v>Q2</v>
      </c>
      <c r="E61" s="199" t="str">
        <f t="shared" si="282"/>
        <v>Q3</v>
      </c>
      <c r="F61" s="199" t="str">
        <f t="shared" si="282"/>
        <v>Q4</v>
      </c>
      <c r="G61" s="199">
        <f t="shared" si="282"/>
        <v>2008</v>
      </c>
      <c r="H61" s="199" t="str">
        <f t="shared" si="282"/>
        <v>Q1</v>
      </c>
      <c r="I61" s="199" t="str">
        <f t="shared" si="282"/>
        <v>Q2</v>
      </c>
      <c r="J61" s="199" t="str">
        <f t="shared" si="282"/>
        <v>Q3</v>
      </c>
      <c r="K61" s="199" t="str">
        <f t="shared" si="282"/>
        <v>Q4</v>
      </c>
      <c r="L61" s="199">
        <f t="shared" si="282"/>
        <v>2009</v>
      </c>
      <c r="M61" s="199" t="str">
        <f t="shared" si="282"/>
        <v>Q1</v>
      </c>
      <c r="N61" s="199" t="str">
        <f t="shared" si="282"/>
        <v>Q2</v>
      </c>
      <c r="O61" s="199" t="str">
        <f t="shared" si="282"/>
        <v>Q3</v>
      </c>
      <c r="P61" s="199" t="str">
        <f t="shared" si="282"/>
        <v>Q4</v>
      </c>
      <c r="Q61" s="199">
        <f t="shared" si="282"/>
        <v>2010</v>
      </c>
      <c r="R61" s="199" t="str">
        <f t="shared" si="282"/>
        <v>Q1</v>
      </c>
      <c r="S61" s="199" t="str">
        <f t="shared" si="282"/>
        <v>Q2</v>
      </c>
      <c r="T61" s="199" t="str">
        <f t="shared" si="282"/>
        <v>Q3</v>
      </c>
      <c r="U61" s="199" t="str">
        <f t="shared" si="282"/>
        <v>Q4</v>
      </c>
      <c r="V61" s="199">
        <f t="shared" si="282"/>
        <v>2011</v>
      </c>
      <c r="W61" s="199" t="str">
        <f t="shared" si="282"/>
        <v>Q1</v>
      </c>
      <c r="X61" s="199" t="str">
        <f t="shared" si="282"/>
        <v>Q2</v>
      </c>
      <c r="Y61" s="199" t="str">
        <f t="shared" si="282"/>
        <v>Q3</v>
      </c>
      <c r="Z61" s="199" t="str">
        <f t="shared" si="282"/>
        <v>Q4</v>
      </c>
      <c r="AA61" s="199">
        <f t="shared" si="282"/>
        <v>2012</v>
      </c>
      <c r="AB61" s="199" t="str">
        <f t="shared" si="282"/>
        <v>Q1</v>
      </c>
      <c r="AC61" s="199" t="str">
        <f t="shared" si="282"/>
        <v>Q2</v>
      </c>
      <c r="AD61" s="199" t="str">
        <f t="shared" si="282"/>
        <v>Q3</v>
      </c>
      <c r="AE61" s="199" t="str">
        <f t="shared" si="282"/>
        <v>Q4</v>
      </c>
      <c r="AF61" s="199">
        <f t="shared" si="282"/>
        <v>2013</v>
      </c>
      <c r="AG61" s="199" t="str">
        <f t="shared" si="282"/>
        <v>Q1</v>
      </c>
      <c r="AH61" s="199" t="str">
        <f t="shared" ref="AH61:BM61" si="283">AH2</f>
        <v>Q2</v>
      </c>
      <c r="AI61" s="199" t="str">
        <f t="shared" si="283"/>
        <v>Q3</v>
      </c>
      <c r="AJ61" s="199" t="str">
        <f t="shared" si="283"/>
        <v>Q4</v>
      </c>
      <c r="AK61" s="199">
        <f t="shared" si="283"/>
        <v>2014</v>
      </c>
      <c r="AL61" s="199" t="str">
        <f t="shared" si="283"/>
        <v>Q1</v>
      </c>
      <c r="AM61" s="199" t="str">
        <f t="shared" si="283"/>
        <v>Q2</v>
      </c>
      <c r="AN61" s="199" t="str">
        <f t="shared" si="283"/>
        <v>Q3</v>
      </c>
      <c r="AO61" s="199" t="str">
        <f t="shared" si="283"/>
        <v>Q4</v>
      </c>
      <c r="AP61" s="199">
        <f t="shared" si="283"/>
        <v>2015</v>
      </c>
      <c r="AQ61" s="199" t="str">
        <f t="shared" si="283"/>
        <v>Q1</v>
      </c>
      <c r="AR61" s="199" t="str">
        <f t="shared" si="283"/>
        <v>Q2</v>
      </c>
      <c r="AS61" s="199" t="str">
        <f t="shared" si="283"/>
        <v>Q3</v>
      </c>
      <c r="AT61" s="199" t="str">
        <f t="shared" si="283"/>
        <v>Q4</v>
      </c>
      <c r="AU61" s="199">
        <f t="shared" si="283"/>
        <v>2016</v>
      </c>
      <c r="AV61" s="199" t="str">
        <f t="shared" si="283"/>
        <v>Q1</v>
      </c>
      <c r="AW61" s="199" t="str">
        <f t="shared" si="283"/>
        <v>Q2</v>
      </c>
      <c r="AX61" s="199" t="str">
        <f t="shared" si="283"/>
        <v>Q3</v>
      </c>
      <c r="AY61" s="199" t="str">
        <f t="shared" si="283"/>
        <v>Q4</v>
      </c>
      <c r="AZ61" s="199">
        <f t="shared" si="283"/>
        <v>2017</v>
      </c>
      <c r="BA61" s="199" t="str">
        <f t="shared" si="283"/>
        <v>Q1</v>
      </c>
      <c r="BB61" s="199" t="str">
        <f t="shared" si="283"/>
        <v>Q2</v>
      </c>
      <c r="BC61" s="199" t="str">
        <f t="shared" si="283"/>
        <v>Q3</v>
      </c>
      <c r="BD61" s="199" t="str">
        <f t="shared" si="283"/>
        <v>Q4</v>
      </c>
      <c r="BE61" s="199">
        <f t="shared" si="283"/>
        <v>2018</v>
      </c>
      <c r="BF61" s="199" t="str">
        <f t="shared" si="283"/>
        <v>Q1</v>
      </c>
      <c r="BG61" s="199" t="str">
        <f t="shared" si="283"/>
        <v>Q2</v>
      </c>
      <c r="BH61" s="199" t="str">
        <f t="shared" si="283"/>
        <v>Q3</v>
      </c>
      <c r="BI61" s="199" t="str">
        <f t="shared" si="283"/>
        <v>Q4</v>
      </c>
      <c r="BJ61" s="199">
        <f t="shared" si="283"/>
        <v>2019</v>
      </c>
      <c r="BK61" s="199" t="str">
        <f t="shared" si="283"/>
        <v>Q1</v>
      </c>
      <c r="BL61" s="199" t="str">
        <f t="shared" si="283"/>
        <v>Q2</v>
      </c>
      <c r="BM61" s="199" t="str">
        <f t="shared" si="283"/>
        <v>Q3</v>
      </c>
      <c r="BN61" s="199" t="str">
        <f t="shared" ref="BN61:CW61" si="284">BN2</f>
        <v>Q4</v>
      </c>
      <c r="BO61" s="199">
        <f t="shared" si="284"/>
        <v>2020</v>
      </c>
      <c r="BP61" s="199" t="str">
        <f t="shared" si="284"/>
        <v>Q1</v>
      </c>
      <c r="BQ61" s="199" t="str">
        <f t="shared" si="284"/>
        <v>Q2</v>
      </c>
      <c r="BR61" s="199" t="str">
        <f t="shared" si="284"/>
        <v>Q3</v>
      </c>
      <c r="BS61" s="199" t="str">
        <f t="shared" si="284"/>
        <v>Q4</v>
      </c>
      <c r="BT61" s="199">
        <f t="shared" si="284"/>
        <v>2021</v>
      </c>
      <c r="BU61" s="199" t="str">
        <f t="shared" si="284"/>
        <v>Q1</v>
      </c>
      <c r="BV61" s="199" t="str">
        <f t="shared" si="284"/>
        <v>Q2</v>
      </c>
      <c r="BW61" s="199" t="str">
        <f t="shared" si="284"/>
        <v>Q3</v>
      </c>
      <c r="BX61" s="199" t="str">
        <f t="shared" si="284"/>
        <v>Q4</v>
      </c>
      <c r="BY61" s="199">
        <f t="shared" si="284"/>
        <v>2022</v>
      </c>
      <c r="BZ61" s="199" t="str">
        <f t="shared" si="284"/>
        <v>Q1</v>
      </c>
      <c r="CA61" s="199" t="str">
        <f t="shared" si="284"/>
        <v>Q2</v>
      </c>
      <c r="CB61" s="199" t="str">
        <f t="shared" si="284"/>
        <v>Q3</v>
      </c>
      <c r="CC61" s="199" t="str">
        <f t="shared" si="284"/>
        <v>Q4</v>
      </c>
      <c r="CD61" s="199">
        <f t="shared" si="284"/>
        <v>2023</v>
      </c>
      <c r="CE61" s="199" t="str">
        <f t="shared" ref="CE61:CF61" si="285">CE2</f>
        <v>Q1</v>
      </c>
      <c r="CF61" s="199" t="str">
        <f t="shared" si="285"/>
        <v>Q2</v>
      </c>
      <c r="CG61" s="199" t="str">
        <f t="shared" ref="CG61:CH61" si="286">CG2</f>
        <v>Q3</v>
      </c>
      <c r="CH61" s="199" t="str">
        <f t="shared" si="286"/>
        <v>Q4</v>
      </c>
      <c r="CI61" s="199">
        <f t="shared" si="284"/>
        <v>2024</v>
      </c>
      <c r="CJ61" s="199" t="str">
        <f t="shared" si="284"/>
        <v>Q1</v>
      </c>
      <c r="CK61" s="199" t="str">
        <f t="shared" ref="CK61:CL61" si="287">CK2</f>
        <v>Q2</v>
      </c>
      <c r="CL61" s="199" t="str">
        <f t="shared" si="287"/>
        <v>Q3</v>
      </c>
      <c r="CM61" s="199" t="str">
        <f t="shared" ref="CM61:CP61" si="288">CM2</f>
        <v>Q4</v>
      </c>
      <c r="CN61" s="199">
        <f t="shared" si="288"/>
        <v>2025</v>
      </c>
      <c r="CO61" s="199" t="str">
        <f t="shared" si="288"/>
        <v>Q1</v>
      </c>
      <c r="CP61" s="199" t="str">
        <f t="shared" si="288"/>
        <v>Q2</v>
      </c>
      <c r="CQ61" s="199">
        <f t="shared" si="284"/>
        <v>2026</v>
      </c>
      <c r="CR61" s="199">
        <f t="shared" si="284"/>
        <v>2027</v>
      </c>
      <c r="CS61" s="199">
        <f t="shared" si="284"/>
        <v>2028</v>
      </c>
      <c r="CT61" s="199">
        <f t="shared" si="284"/>
        <v>2029</v>
      </c>
      <c r="CU61" s="199">
        <f t="shared" si="284"/>
        <v>2030</v>
      </c>
      <c r="CV61" s="199">
        <f t="shared" si="284"/>
        <v>2031</v>
      </c>
      <c r="CW61" s="199">
        <f t="shared" si="284"/>
        <v>2032</v>
      </c>
      <c r="CX61" s="159"/>
      <c r="CY61" s="159"/>
      <c r="CZ61" s="159"/>
      <c r="DA61" s="159"/>
      <c r="DB61" s="159"/>
      <c r="DC61" s="159"/>
      <c r="DD61" s="159"/>
    </row>
    <row r="62" spans="1:124" outlineLevel="1">
      <c r="A62" s="159" t="s">
        <v>245</v>
      </c>
      <c r="B62" s="200">
        <v>0.41774112131141933</v>
      </c>
      <c r="C62" s="160"/>
      <c r="D62" s="160"/>
      <c r="E62" s="160"/>
      <c r="F62" s="160"/>
      <c r="G62" s="200">
        <v>0.41519970728570321</v>
      </c>
      <c r="H62" s="160"/>
      <c r="I62" s="160"/>
      <c r="J62" s="160"/>
      <c r="K62" s="160"/>
      <c r="L62" s="200">
        <v>0.40407065663088371</v>
      </c>
      <c r="M62" s="160"/>
      <c r="N62" s="160"/>
      <c r="O62" s="160"/>
      <c r="P62" s="160"/>
      <c r="Q62" s="200">
        <v>0.41162241887905604</v>
      </c>
      <c r="R62" s="160"/>
      <c r="S62" s="160"/>
      <c r="T62" s="160"/>
      <c r="U62" s="160"/>
      <c r="V62" s="200">
        <v>0.34700272479564032</v>
      </c>
      <c r="W62" s="160"/>
      <c r="X62" s="160"/>
      <c r="Y62" s="160"/>
      <c r="Z62" s="160"/>
      <c r="AA62" s="200">
        <v>0.34118644067796611</v>
      </c>
      <c r="AB62" s="160"/>
      <c r="AC62" s="160"/>
      <c r="AD62" s="160"/>
      <c r="AE62" s="160"/>
      <c r="AF62" s="200">
        <v>0.2998372093023256</v>
      </c>
      <c r="AG62" s="160"/>
      <c r="AH62" s="160"/>
      <c r="AI62" s="160"/>
      <c r="AJ62" s="160"/>
      <c r="AK62" s="200">
        <v>0.28759465478841872</v>
      </c>
      <c r="AL62" s="160"/>
      <c r="AM62" s="160"/>
      <c r="AN62" s="160"/>
      <c r="AO62" s="160"/>
      <c r="AP62" s="200">
        <v>0.28784580498866214</v>
      </c>
      <c r="AQ62" s="160"/>
      <c r="AR62" s="160"/>
      <c r="AS62" s="160"/>
      <c r="AT62" s="160"/>
      <c r="AU62" s="201">
        <f>AU73/AU$77</f>
        <v>0.26571428571428574</v>
      </c>
      <c r="AV62" s="201"/>
      <c r="AW62" s="201"/>
      <c r="AX62" s="201"/>
      <c r="AY62" s="201"/>
      <c r="AZ62" s="201">
        <f>AZ73/AZ$77</f>
        <v>0.25567955826957722</v>
      </c>
      <c r="BA62" s="201"/>
      <c r="BB62" s="201"/>
      <c r="BC62" s="201"/>
      <c r="BD62" s="201"/>
      <c r="BE62" s="201">
        <f>BE73/BE$77</f>
        <v>0.25371937849244336</v>
      </c>
      <c r="BF62" s="201"/>
      <c r="BG62" s="201"/>
      <c r="BH62" s="201"/>
      <c r="BI62" s="201"/>
      <c r="BJ62" s="201">
        <f>BJ73/BJ$77</f>
        <v>0.24954597430550884</v>
      </c>
      <c r="BK62" s="201"/>
      <c r="BL62" s="201"/>
      <c r="BM62" s="201"/>
      <c r="BN62" s="201"/>
      <c r="BO62" s="201">
        <f>BO73/BO$77</f>
        <v>0.25459934680584395</v>
      </c>
      <c r="BP62" s="201"/>
      <c r="BQ62" s="201"/>
      <c r="BR62" s="201"/>
      <c r="BS62" s="201"/>
      <c r="BT62" s="201">
        <f>BT73/BT$77</f>
        <v>0.24589921053188563</v>
      </c>
      <c r="BU62" s="202"/>
      <c r="BV62" s="202"/>
      <c r="BW62" s="202"/>
      <c r="BX62" s="202"/>
      <c r="BY62" s="201">
        <f>BY73/BY$77</f>
        <v>0.24736575908286268</v>
      </c>
      <c r="BZ62" s="202"/>
      <c r="CA62" s="202"/>
      <c r="CB62" s="202"/>
      <c r="CC62" s="202"/>
      <c r="CD62" s="201">
        <f t="shared" ref="CD62:CS64" si="289">CD73/CD$77</f>
        <v>0.25710679050044355</v>
      </c>
      <c r="CE62" s="202"/>
      <c r="CF62" s="202"/>
      <c r="CG62" s="202"/>
      <c r="CH62" s="202"/>
      <c r="CI62" s="201">
        <f t="shared" si="289"/>
        <v>0.81543645495581407</v>
      </c>
      <c r="CJ62" s="202"/>
      <c r="CK62" s="202"/>
      <c r="CL62" s="202"/>
      <c r="CM62" s="202"/>
      <c r="CN62" s="201">
        <f t="shared" ref="CN62" si="290">CN73/CN$77</f>
        <v>0.27711968350962107</v>
      </c>
      <c r="CO62" s="202"/>
      <c r="CP62" s="202"/>
      <c r="CQ62" s="201">
        <f t="shared" si="289"/>
        <v>0.86398458799500533</v>
      </c>
      <c r="CR62" s="201">
        <f t="shared" si="289"/>
        <v>0.28362593715437018</v>
      </c>
      <c r="CS62" s="201">
        <f t="shared" si="289"/>
        <v>0.28674588244376009</v>
      </c>
      <c r="CT62" s="201">
        <f t="shared" ref="CT62:CV62" si="291">CT73/CT$77</f>
        <v>0.28820372951312573</v>
      </c>
      <c r="CU62" s="201">
        <f t="shared" si="291"/>
        <v>0.28766083867102527</v>
      </c>
      <c r="CV62" s="201">
        <f t="shared" si="291"/>
        <v>0.28717835874542325</v>
      </c>
      <c r="CW62" s="201">
        <f t="shared" ref="CW62" si="292">CW73/CW$77</f>
        <v>0.28674899735208786</v>
      </c>
      <c r="CX62" s="159"/>
      <c r="CY62" s="159"/>
      <c r="CZ62" s="159"/>
      <c r="DA62" s="159"/>
      <c r="DB62" s="203"/>
      <c r="DC62" s="203"/>
      <c r="DD62" s="889"/>
      <c r="DE62" s="203"/>
      <c r="DF62" s="203"/>
      <c r="DG62" s="203"/>
      <c r="DH62" s="203"/>
      <c r="DI62" s="203"/>
      <c r="DJ62" s="203"/>
    </row>
    <row r="63" spans="1:124" outlineLevel="1">
      <c r="A63" s="159" t="s">
        <v>246</v>
      </c>
      <c r="B63" s="200">
        <v>0.30809113542834166</v>
      </c>
      <c r="C63" s="160"/>
      <c r="D63" s="160"/>
      <c r="E63" s="160"/>
      <c r="F63" s="160"/>
      <c r="G63" s="200">
        <v>0.32379671139922611</v>
      </c>
      <c r="H63" s="160"/>
      <c r="I63" s="160"/>
      <c r="J63" s="160"/>
      <c r="K63" s="160"/>
      <c r="L63" s="200">
        <v>0.33273177657317016</v>
      </c>
      <c r="M63" s="160"/>
      <c r="N63" s="160"/>
      <c r="O63" s="160"/>
      <c r="P63" s="160"/>
      <c r="Q63" s="200">
        <v>0.33017699115044247</v>
      </c>
      <c r="R63" s="160"/>
      <c r="S63" s="160"/>
      <c r="T63" s="160"/>
      <c r="U63" s="160"/>
      <c r="V63" s="200">
        <v>0.32643051771117165</v>
      </c>
      <c r="W63" s="160"/>
      <c r="X63" s="160"/>
      <c r="Y63" s="160"/>
      <c r="Z63" s="160"/>
      <c r="AA63" s="200">
        <v>0.30704600484261502</v>
      </c>
      <c r="AB63" s="160"/>
      <c r="AC63" s="160"/>
      <c r="AD63" s="160"/>
      <c r="AE63" s="160"/>
      <c r="AF63" s="200">
        <v>0.30551162790697672</v>
      </c>
      <c r="AG63" s="160"/>
      <c r="AH63" s="160"/>
      <c r="AI63" s="160"/>
      <c r="AJ63" s="160"/>
      <c r="AK63" s="200">
        <v>0.28881959910913141</v>
      </c>
      <c r="AL63" s="160"/>
      <c r="AM63" s="160"/>
      <c r="AN63" s="160"/>
      <c r="AO63" s="160"/>
      <c r="AP63" s="200">
        <v>0.27777777777777779</v>
      </c>
      <c r="AQ63" s="160"/>
      <c r="AR63" s="160"/>
      <c r="AS63" s="160"/>
      <c r="AT63" s="160"/>
      <c r="AU63" s="201">
        <f>AU74/AU$77</f>
        <v>0.23936507936507936</v>
      </c>
      <c r="AV63" s="201"/>
      <c r="AW63" s="201"/>
      <c r="AX63" s="201"/>
      <c r="AY63" s="201"/>
      <c r="AZ63" s="201">
        <f>AZ74/AZ$77</f>
        <v>0.2233452656699656</v>
      </c>
      <c r="BA63" s="201"/>
      <c r="BB63" s="201"/>
      <c r="BC63" s="201"/>
      <c r="BD63" s="201"/>
      <c r="BE63" s="201">
        <f>BE74/BE$77</f>
        <v>0.2139909933275175</v>
      </c>
      <c r="BF63" s="201"/>
      <c r="BG63" s="201"/>
      <c r="BH63" s="201"/>
      <c r="BI63" s="201"/>
      <c r="BJ63" s="201">
        <f>BJ74/BJ$77</f>
        <v>0.18770879576691105</v>
      </c>
      <c r="BK63" s="201"/>
      <c r="BL63" s="201"/>
      <c r="BM63" s="201"/>
      <c r="BN63" s="201"/>
      <c r="BO63" s="201">
        <f>BO74/BO$77</f>
        <v>0.19847405062712126</v>
      </c>
      <c r="BP63" s="201"/>
      <c r="BQ63" s="201"/>
      <c r="BR63" s="201"/>
      <c r="BS63" s="201"/>
      <c r="BT63" s="201">
        <f>BT74/BT$77</f>
        <v>0.20308167714352235</v>
      </c>
      <c r="BU63" s="202"/>
      <c r="BV63" s="202"/>
      <c r="BW63" s="202"/>
      <c r="BX63" s="202"/>
      <c r="BY63" s="201">
        <f>BY74/BY$77</f>
        <v>0</v>
      </c>
      <c r="BZ63" s="202"/>
      <c r="CA63" s="202"/>
      <c r="CB63" s="202"/>
      <c r="CC63" s="202"/>
      <c r="CD63" s="201">
        <f t="shared" si="289"/>
        <v>0</v>
      </c>
      <c r="CE63" s="202"/>
      <c r="CF63" s="202"/>
      <c r="CG63" s="202"/>
      <c r="CH63" s="202"/>
      <c r="CI63" s="201">
        <f t="shared" si="289"/>
        <v>0</v>
      </c>
      <c r="CJ63" s="202"/>
      <c r="CK63" s="202"/>
      <c r="CL63" s="202"/>
      <c r="CM63" s="202"/>
      <c r="CN63" s="201">
        <f t="shared" ref="CN63" si="293">CN74/CN$77</f>
        <v>0</v>
      </c>
      <c r="CO63" s="202"/>
      <c r="CP63" s="202"/>
      <c r="CQ63" s="201">
        <f t="shared" si="289"/>
        <v>0</v>
      </c>
      <c r="CR63" s="201">
        <f t="shared" si="289"/>
        <v>0</v>
      </c>
      <c r="CS63" s="201">
        <f t="shared" si="289"/>
        <v>0</v>
      </c>
      <c r="CT63" s="201">
        <f t="shared" ref="CT63:CV63" si="294">CT74/CT$77</f>
        <v>0</v>
      </c>
      <c r="CU63" s="201">
        <f t="shared" si="294"/>
        <v>0</v>
      </c>
      <c r="CV63" s="201">
        <f t="shared" si="294"/>
        <v>0</v>
      </c>
      <c r="CW63" s="201">
        <f t="shared" ref="CW63" si="295">CW74/CW$77</f>
        <v>0</v>
      </c>
      <c r="CX63" s="159"/>
      <c r="CY63" s="159"/>
      <c r="CZ63" s="159"/>
      <c r="DA63" s="159"/>
      <c r="DB63" s="159"/>
      <c r="DC63" s="170"/>
      <c r="DD63" s="170"/>
      <c r="DE63" s="170"/>
      <c r="DF63" s="170"/>
      <c r="DG63" s="170"/>
      <c r="DH63" s="888"/>
      <c r="DI63" s="888"/>
      <c r="DJ63" s="888"/>
    </row>
    <row r="64" spans="1:124" outlineLevel="1">
      <c r="A64" s="159" t="s">
        <v>247</v>
      </c>
      <c r="B64" s="200">
        <v>0.27416774326023902</v>
      </c>
      <c r="C64" s="160"/>
      <c r="D64" s="160"/>
      <c r="E64" s="160"/>
      <c r="F64" s="160"/>
      <c r="G64" s="200">
        <v>0.26100358131507073</v>
      </c>
      <c r="H64" s="160"/>
      <c r="I64" s="160"/>
      <c r="J64" s="160"/>
      <c r="K64" s="160"/>
      <c r="L64" s="200">
        <v>0.25319756679594613</v>
      </c>
      <c r="M64" s="160"/>
      <c r="N64" s="160"/>
      <c r="O64" s="160"/>
      <c r="P64" s="160"/>
      <c r="Q64" s="200">
        <v>0.25855457227138645</v>
      </c>
      <c r="R64" s="160"/>
      <c r="S64" s="160"/>
      <c r="T64" s="160"/>
      <c r="U64" s="160"/>
      <c r="V64" s="200">
        <v>0.26466302239769279</v>
      </c>
      <c r="W64" s="160"/>
      <c r="X64" s="160"/>
      <c r="Y64" s="160"/>
      <c r="Z64" s="160"/>
      <c r="AA64" s="200">
        <v>0.25409200968523005</v>
      </c>
      <c r="AB64" s="160"/>
      <c r="AC64" s="160"/>
      <c r="AD64" s="160"/>
      <c r="AE64" s="160"/>
      <c r="AF64" s="200">
        <v>0.25569767441860464</v>
      </c>
      <c r="AG64" s="160"/>
      <c r="AH64" s="160"/>
      <c r="AI64" s="160"/>
      <c r="AJ64" s="160"/>
      <c r="AK64" s="200">
        <v>0.25436525612472161</v>
      </c>
      <c r="AL64" s="160"/>
      <c r="AM64" s="160"/>
      <c r="AN64" s="160"/>
      <c r="AO64" s="160"/>
      <c r="AP64" s="200">
        <v>0.27494331065759636</v>
      </c>
      <c r="AQ64" s="160"/>
      <c r="AR64" s="160"/>
      <c r="AS64" s="160"/>
      <c r="AT64" s="160"/>
      <c r="AU64" s="201">
        <f>AU75/AU$77</f>
        <v>0.27888888888888891</v>
      </c>
      <c r="AV64" s="201"/>
      <c r="AW64" s="201"/>
      <c r="AX64" s="201"/>
      <c r="AY64" s="201"/>
      <c r="AZ64" s="201">
        <f>AZ75/AZ$77</f>
        <v>0.2748414870966987</v>
      </c>
      <c r="BA64" s="201"/>
      <c r="BB64" s="201"/>
      <c r="BC64" s="201"/>
      <c r="BD64" s="201"/>
      <c r="BE64" s="201">
        <f>BE75/BE$77</f>
        <v>0.2749157098059557</v>
      </c>
      <c r="BF64" s="201"/>
      <c r="BG64" s="201"/>
      <c r="BH64" s="201"/>
      <c r="BI64" s="201"/>
      <c r="BJ64" s="201">
        <f>BJ75/BJ$77</f>
        <v>0.25293154861998612</v>
      </c>
      <c r="BK64" s="201"/>
      <c r="BL64" s="201"/>
      <c r="BM64" s="201"/>
      <c r="BN64" s="201"/>
      <c r="BO64" s="201">
        <f>BO75/BO$77</f>
        <v>0.23879552461370973</v>
      </c>
      <c r="BP64" s="201"/>
      <c r="BQ64" s="201"/>
      <c r="BR64" s="201"/>
      <c r="BS64" s="201"/>
      <c r="BT64" s="201">
        <f>BT75/BT$77</f>
        <v>0.2181090862911931</v>
      </c>
      <c r="BU64" s="202"/>
      <c r="BV64" s="202"/>
      <c r="BW64" s="202"/>
      <c r="BX64" s="202"/>
      <c r="BY64" s="201">
        <f>BY75/BY$77</f>
        <v>0.42116243783191437</v>
      </c>
      <c r="BZ64" s="202"/>
      <c r="CA64" s="202"/>
      <c r="CB64" s="202"/>
      <c r="CC64" s="202"/>
      <c r="CD64" s="201">
        <f t="shared" si="289"/>
        <v>0.41965504246402963</v>
      </c>
      <c r="CE64" s="202"/>
      <c r="CF64" s="202"/>
      <c r="CG64" s="202"/>
      <c r="CH64" s="202"/>
      <c r="CI64" s="201">
        <f t="shared" si="289"/>
        <v>1.1860258121940366</v>
      </c>
      <c r="CJ64" s="202"/>
      <c r="CK64" s="202"/>
      <c r="CL64" s="202"/>
      <c r="CM64" s="202"/>
      <c r="CN64" s="201">
        <f t="shared" ref="CN64" si="296">CN75/CN$77</f>
        <v>0.39487092343691715</v>
      </c>
      <c r="CO64" s="202"/>
      <c r="CP64" s="202"/>
      <c r="CQ64" s="201">
        <f t="shared" si="289"/>
        <v>0</v>
      </c>
      <c r="CR64" s="201">
        <f t="shared" si="289"/>
        <v>0</v>
      </c>
      <c r="CS64" s="201">
        <f t="shared" si="289"/>
        <v>0.39694687983496646</v>
      </c>
      <c r="CT64" s="201">
        <f t="shared" ref="CT64:CV64" si="297">CT75/CT$77</f>
        <v>0.39487092343691715</v>
      </c>
      <c r="CU64" s="201">
        <f t="shared" si="297"/>
        <v>0.37505445826367184</v>
      </c>
      <c r="CV64" s="201">
        <f t="shared" si="297"/>
        <v>0.37531829917244552</v>
      </c>
      <c r="CW64" s="201">
        <f t="shared" ref="CW64" si="298">CW75/CW$77</f>
        <v>0.3755530925683957</v>
      </c>
      <c r="CX64" s="159"/>
      <c r="CY64" s="159"/>
      <c r="CZ64" s="159"/>
      <c r="DA64" s="159"/>
      <c r="DB64" s="159"/>
      <c r="DC64" s="170"/>
      <c r="DD64" s="170"/>
      <c r="DE64" s="170"/>
      <c r="DF64" s="170"/>
      <c r="DG64" s="170"/>
      <c r="DH64" s="888"/>
      <c r="DI64" s="888"/>
      <c r="DJ64" s="888"/>
    </row>
    <row r="65" spans="1:121" outlineLevel="1">
      <c r="A65" s="159"/>
      <c r="B65" s="204">
        <f>B76/B77</f>
        <v>0</v>
      </c>
      <c r="C65" s="204" t="e">
        <f t="shared" ref="C65:BE65" si="299">C76/C77</f>
        <v>#DIV/0!</v>
      </c>
      <c r="D65" s="204" t="e">
        <f t="shared" si="299"/>
        <v>#DIV/0!</v>
      </c>
      <c r="E65" s="204" t="e">
        <f t="shared" si="299"/>
        <v>#DIV/0!</v>
      </c>
      <c r="F65" s="204" t="e">
        <f t="shared" si="299"/>
        <v>#DIV/0!</v>
      </c>
      <c r="G65" s="204">
        <f t="shared" si="299"/>
        <v>0</v>
      </c>
      <c r="H65" s="204" t="e">
        <f t="shared" si="299"/>
        <v>#DIV/0!</v>
      </c>
      <c r="I65" s="204" t="e">
        <f t="shared" si="299"/>
        <v>#DIV/0!</v>
      </c>
      <c r="J65" s="204" t="e">
        <f t="shared" si="299"/>
        <v>#DIV/0!</v>
      </c>
      <c r="K65" s="204" t="e">
        <f t="shared" si="299"/>
        <v>#DIV/0!</v>
      </c>
      <c r="L65" s="204">
        <f t="shared" si="299"/>
        <v>1.0000000000000012E-2</v>
      </c>
      <c r="M65" s="204" t="e">
        <f t="shared" si="299"/>
        <v>#DIV/0!</v>
      </c>
      <c r="N65" s="204" t="e">
        <f t="shared" si="299"/>
        <v>#DIV/0!</v>
      </c>
      <c r="O65" s="204" t="e">
        <f t="shared" si="299"/>
        <v>#DIV/0!</v>
      </c>
      <c r="P65" s="204" t="e">
        <f t="shared" si="299"/>
        <v>#DIV/0!</v>
      </c>
      <c r="Q65" s="204">
        <f t="shared" si="299"/>
        <v>-3.5398230088495576E-4</v>
      </c>
      <c r="R65" s="204" t="e">
        <f t="shared" si="299"/>
        <v>#DIV/0!</v>
      </c>
      <c r="S65" s="204" t="e">
        <f t="shared" si="299"/>
        <v>#DIV/0!</v>
      </c>
      <c r="T65" s="204" t="e">
        <f t="shared" si="299"/>
        <v>#DIV/0!</v>
      </c>
      <c r="U65" s="204" t="e">
        <f t="shared" si="299"/>
        <v>#DIV/0!</v>
      </c>
      <c r="V65" s="204">
        <f t="shared" si="299"/>
        <v>6.190373509549521E-2</v>
      </c>
      <c r="W65" s="204" t="e">
        <f t="shared" si="299"/>
        <v>#DIV/0!</v>
      </c>
      <c r="X65" s="204" t="e">
        <f t="shared" si="299"/>
        <v>#DIV/0!</v>
      </c>
      <c r="Y65" s="204" t="e">
        <f t="shared" si="299"/>
        <v>#DIV/0!</v>
      </c>
      <c r="Z65" s="204" t="e">
        <f t="shared" si="299"/>
        <v>#DIV/0!</v>
      </c>
      <c r="AA65" s="204">
        <f t="shared" si="299"/>
        <v>9.7675544794188857E-2</v>
      </c>
      <c r="AB65" s="204" t="e">
        <f t="shared" si="299"/>
        <v>#DIV/0!</v>
      </c>
      <c r="AC65" s="204" t="e">
        <f t="shared" si="299"/>
        <v>#DIV/0!</v>
      </c>
      <c r="AD65" s="204" t="e">
        <f t="shared" si="299"/>
        <v>#DIV/0!</v>
      </c>
      <c r="AE65" s="204" t="e">
        <f t="shared" si="299"/>
        <v>#DIV/0!</v>
      </c>
      <c r="AF65" s="204">
        <f t="shared" si="299"/>
        <v>0.13895348837209304</v>
      </c>
      <c r="AG65" s="204" t="e">
        <f t="shared" si="299"/>
        <v>#DIV/0!</v>
      </c>
      <c r="AH65" s="204" t="e">
        <f t="shared" si="299"/>
        <v>#DIV/0!</v>
      </c>
      <c r="AI65" s="204" t="e">
        <f t="shared" si="299"/>
        <v>#DIV/0!</v>
      </c>
      <c r="AJ65" s="204" t="e">
        <f t="shared" si="299"/>
        <v>#DIV/0!</v>
      </c>
      <c r="AK65" s="204">
        <f t="shared" si="299"/>
        <v>0.16922048997772829</v>
      </c>
      <c r="AL65" s="204" t="e">
        <f t="shared" si="299"/>
        <v>#DIV/0!</v>
      </c>
      <c r="AM65" s="204" t="e">
        <f t="shared" si="299"/>
        <v>#DIV/0!</v>
      </c>
      <c r="AN65" s="204" t="e">
        <f t="shared" si="299"/>
        <v>#DIV/0!</v>
      </c>
      <c r="AO65" s="204" t="e">
        <f t="shared" si="299"/>
        <v>#DIV/0!</v>
      </c>
      <c r="AP65" s="204">
        <f t="shared" si="299"/>
        <v>0.15943310657596371</v>
      </c>
      <c r="AQ65" s="204" t="e">
        <f t="shared" si="299"/>
        <v>#DIV/0!</v>
      </c>
      <c r="AR65" s="204" t="e">
        <f t="shared" si="299"/>
        <v>#DIV/0!</v>
      </c>
      <c r="AS65" s="204" t="e">
        <f t="shared" si="299"/>
        <v>#DIV/0!</v>
      </c>
      <c r="AT65" s="204" t="e">
        <f t="shared" si="299"/>
        <v>#DIV/0!</v>
      </c>
      <c r="AU65" s="204">
        <f t="shared" si="299"/>
        <v>0.21603174603174602</v>
      </c>
      <c r="AV65" s="204" t="e">
        <f t="shared" si="299"/>
        <v>#DIV/0!</v>
      </c>
      <c r="AW65" s="204" t="e">
        <f t="shared" si="299"/>
        <v>#DIV/0!</v>
      </c>
      <c r="AX65" s="204" t="e">
        <f t="shared" si="299"/>
        <v>#DIV/0!</v>
      </c>
      <c r="AY65" s="204" t="e">
        <f t="shared" si="299"/>
        <v>#DIV/0!</v>
      </c>
      <c r="AZ65" s="204">
        <f t="shared" si="299"/>
        <v>0.24613368896375845</v>
      </c>
      <c r="BA65" s="204" t="e">
        <f t="shared" si="299"/>
        <v>#DIV/0!</v>
      </c>
      <c r="BB65" s="204" t="e">
        <f t="shared" si="299"/>
        <v>#DIV/0!</v>
      </c>
      <c r="BC65" s="204" t="e">
        <f t="shared" si="299"/>
        <v>#DIV/0!</v>
      </c>
      <c r="BD65" s="204" t="e">
        <f t="shared" si="299"/>
        <v>#DIV/0!</v>
      </c>
      <c r="BE65" s="204">
        <f t="shared" si="299"/>
        <v>0.25737391837408341</v>
      </c>
      <c r="BF65" s="204"/>
      <c r="BG65" s="204"/>
      <c r="BH65" s="204"/>
      <c r="BI65" s="204"/>
      <c r="BJ65" s="201"/>
      <c r="BK65" s="204"/>
      <c r="BL65" s="204"/>
      <c r="BM65" s="204"/>
      <c r="BN65" s="204"/>
      <c r="BO65" s="201"/>
      <c r="BP65" s="204"/>
      <c r="BQ65" s="204"/>
      <c r="BR65" s="204"/>
      <c r="BS65" s="204"/>
      <c r="BT65" s="201"/>
      <c r="BU65" s="185"/>
      <c r="BV65" s="185"/>
      <c r="BW65" s="185"/>
      <c r="BX65" s="185"/>
      <c r="BY65" s="201"/>
      <c r="BZ65" s="185"/>
      <c r="CA65" s="185"/>
      <c r="CB65" s="185"/>
      <c r="CC65" s="185"/>
      <c r="CD65" s="201"/>
      <c r="CE65" s="185"/>
      <c r="CF65" s="185"/>
      <c r="CG65" s="185"/>
      <c r="CH65" s="185"/>
      <c r="CI65" s="201"/>
      <c r="CJ65" s="185"/>
      <c r="CK65" s="185"/>
      <c r="CL65" s="185"/>
      <c r="CM65" s="185"/>
      <c r="CN65" s="201"/>
      <c r="CO65" s="185"/>
      <c r="CP65" s="185"/>
      <c r="CQ65" s="201"/>
      <c r="CR65" s="201"/>
      <c r="CS65" s="201"/>
      <c r="CT65" s="201"/>
      <c r="CU65" s="201"/>
      <c r="CV65" s="201"/>
      <c r="CW65" s="201"/>
      <c r="CX65" s="159"/>
      <c r="CY65" s="159"/>
      <c r="CZ65" s="159"/>
      <c r="DA65" s="159"/>
      <c r="DB65" s="159"/>
      <c r="DC65" s="170"/>
      <c r="DD65" s="170"/>
      <c r="DE65" s="170"/>
      <c r="DF65" s="170"/>
      <c r="DG65" s="170"/>
      <c r="DH65" s="888"/>
      <c r="DI65" s="888"/>
      <c r="DJ65" s="888"/>
    </row>
    <row r="66" spans="1:121" outlineLevel="1">
      <c r="A66" s="165" t="s">
        <v>5</v>
      </c>
      <c r="B66" s="205">
        <f>SUM(B62:B65)</f>
        <v>1</v>
      </c>
      <c r="C66" s="205" t="e">
        <f t="shared" ref="C66:BE66" si="300">SUM(C62:C65)</f>
        <v>#DIV/0!</v>
      </c>
      <c r="D66" s="205" t="e">
        <f t="shared" si="300"/>
        <v>#DIV/0!</v>
      </c>
      <c r="E66" s="205" t="e">
        <f t="shared" si="300"/>
        <v>#DIV/0!</v>
      </c>
      <c r="F66" s="205" t="e">
        <f t="shared" si="300"/>
        <v>#DIV/0!</v>
      </c>
      <c r="G66" s="205">
        <f t="shared" si="300"/>
        <v>1</v>
      </c>
      <c r="H66" s="205" t="e">
        <f t="shared" si="300"/>
        <v>#DIV/0!</v>
      </c>
      <c r="I66" s="205" t="e">
        <f t="shared" si="300"/>
        <v>#DIV/0!</v>
      </c>
      <c r="J66" s="205" t="e">
        <f t="shared" si="300"/>
        <v>#DIV/0!</v>
      </c>
      <c r="K66" s="205" t="e">
        <f t="shared" si="300"/>
        <v>#DIV/0!</v>
      </c>
      <c r="L66" s="205">
        <f t="shared" si="300"/>
        <v>1</v>
      </c>
      <c r="M66" s="205" t="e">
        <f t="shared" si="300"/>
        <v>#DIV/0!</v>
      </c>
      <c r="N66" s="205" t="e">
        <f t="shared" si="300"/>
        <v>#DIV/0!</v>
      </c>
      <c r="O66" s="205" t="e">
        <f t="shared" si="300"/>
        <v>#DIV/0!</v>
      </c>
      <c r="P66" s="205" t="e">
        <f t="shared" si="300"/>
        <v>#DIV/0!</v>
      </c>
      <c r="Q66" s="205">
        <f t="shared" si="300"/>
        <v>1</v>
      </c>
      <c r="R66" s="205" t="e">
        <f t="shared" si="300"/>
        <v>#DIV/0!</v>
      </c>
      <c r="S66" s="205" t="e">
        <f t="shared" si="300"/>
        <v>#DIV/0!</v>
      </c>
      <c r="T66" s="205" t="e">
        <f t="shared" si="300"/>
        <v>#DIV/0!</v>
      </c>
      <c r="U66" s="205" t="e">
        <f t="shared" si="300"/>
        <v>#DIV/0!</v>
      </c>
      <c r="V66" s="205">
        <f t="shared" si="300"/>
        <v>0.99999999999999989</v>
      </c>
      <c r="W66" s="205" t="e">
        <f t="shared" si="300"/>
        <v>#DIV/0!</v>
      </c>
      <c r="X66" s="205" t="e">
        <f t="shared" si="300"/>
        <v>#DIV/0!</v>
      </c>
      <c r="Y66" s="205" t="e">
        <f t="shared" si="300"/>
        <v>#DIV/0!</v>
      </c>
      <c r="Z66" s="205" t="e">
        <f t="shared" si="300"/>
        <v>#DIV/0!</v>
      </c>
      <c r="AA66" s="205">
        <f t="shared" si="300"/>
        <v>1</v>
      </c>
      <c r="AB66" s="205" t="e">
        <f t="shared" si="300"/>
        <v>#DIV/0!</v>
      </c>
      <c r="AC66" s="205" t="e">
        <f t="shared" si="300"/>
        <v>#DIV/0!</v>
      </c>
      <c r="AD66" s="205" t="e">
        <f t="shared" si="300"/>
        <v>#DIV/0!</v>
      </c>
      <c r="AE66" s="205" t="e">
        <f t="shared" si="300"/>
        <v>#DIV/0!</v>
      </c>
      <c r="AF66" s="205">
        <f t="shared" si="300"/>
        <v>1</v>
      </c>
      <c r="AG66" s="205" t="e">
        <f t="shared" si="300"/>
        <v>#DIV/0!</v>
      </c>
      <c r="AH66" s="205" t="e">
        <f t="shared" si="300"/>
        <v>#DIV/0!</v>
      </c>
      <c r="AI66" s="205" t="e">
        <f t="shared" si="300"/>
        <v>#DIV/0!</v>
      </c>
      <c r="AJ66" s="205" t="e">
        <f t="shared" si="300"/>
        <v>#DIV/0!</v>
      </c>
      <c r="AK66" s="205">
        <f t="shared" si="300"/>
        <v>1</v>
      </c>
      <c r="AL66" s="205" t="e">
        <f t="shared" si="300"/>
        <v>#DIV/0!</v>
      </c>
      <c r="AM66" s="205" t="e">
        <f t="shared" si="300"/>
        <v>#DIV/0!</v>
      </c>
      <c r="AN66" s="205" t="e">
        <f t="shared" si="300"/>
        <v>#DIV/0!</v>
      </c>
      <c r="AO66" s="205" t="e">
        <f t="shared" si="300"/>
        <v>#DIV/0!</v>
      </c>
      <c r="AP66" s="205">
        <f t="shared" si="300"/>
        <v>1</v>
      </c>
      <c r="AQ66" s="205" t="e">
        <f t="shared" si="300"/>
        <v>#DIV/0!</v>
      </c>
      <c r="AR66" s="205" t="e">
        <f t="shared" si="300"/>
        <v>#DIV/0!</v>
      </c>
      <c r="AS66" s="205" t="e">
        <f t="shared" si="300"/>
        <v>#DIV/0!</v>
      </c>
      <c r="AT66" s="205" t="e">
        <f t="shared" si="300"/>
        <v>#DIV/0!</v>
      </c>
      <c r="AU66" s="205">
        <f t="shared" si="300"/>
        <v>1</v>
      </c>
      <c r="AV66" s="205" t="e">
        <f t="shared" si="300"/>
        <v>#DIV/0!</v>
      </c>
      <c r="AW66" s="205" t="e">
        <f t="shared" si="300"/>
        <v>#DIV/0!</v>
      </c>
      <c r="AX66" s="205" t="e">
        <f t="shared" si="300"/>
        <v>#DIV/0!</v>
      </c>
      <c r="AY66" s="205" t="e">
        <f t="shared" si="300"/>
        <v>#DIV/0!</v>
      </c>
      <c r="AZ66" s="205">
        <f t="shared" si="300"/>
        <v>1</v>
      </c>
      <c r="BA66" s="205" t="e">
        <f t="shared" si="300"/>
        <v>#DIV/0!</v>
      </c>
      <c r="BB66" s="205" t="e">
        <f t="shared" si="300"/>
        <v>#DIV/0!</v>
      </c>
      <c r="BC66" s="205" t="e">
        <f t="shared" si="300"/>
        <v>#DIV/0!</v>
      </c>
      <c r="BD66" s="205" t="e">
        <f t="shared" si="300"/>
        <v>#DIV/0!</v>
      </c>
      <c r="BE66" s="205">
        <f t="shared" si="300"/>
        <v>1</v>
      </c>
      <c r="BF66" s="205"/>
      <c r="BG66" s="205"/>
      <c r="BH66" s="205"/>
      <c r="BI66" s="205"/>
      <c r="BJ66" s="198">
        <f>SUM(BJ62:BJ64)</f>
        <v>0.69018631869240599</v>
      </c>
      <c r="BK66" s="205"/>
      <c r="BL66" s="205"/>
      <c r="BM66" s="205"/>
      <c r="BN66" s="205"/>
      <c r="BO66" s="198">
        <f>SUM(BO62:BO64)</f>
        <v>0.69186892204667494</v>
      </c>
      <c r="BP66" s="205"/>
      <c r="BQ66" s="205"/>
      <c r="BR66" s="205"/>
      <c r="BS66" s="205"/>
      <c r="BT66" s="198">
        <f>SUM(BT62:BT64)</f>
        <v>0.66708997396660108</v>
      </c>
      <c r="BU66" s="205"/>
      <c r="BV66" s="205"/>
      <c r="BW66" s="205"/>
      <c r="BX66" s="205"/>
      <c r="BY66" s="198">
        <f>SUM(BY62:BY64)</f>
        <v>0.66852819691477705</v>
      </c>
      <c r="BZ66" s="205"/>
      <c r="CA66" s="205"/>
      <c r="CB66" s="205"/>
      <c r="CC66" s="205"/>
      <c r="CD66" s="198">
        <f t="shared" ref="CD66:CS66" si="301">SUM(CD62:CD64)</f>
        <v>0.67676183296447312</v>
      </c>
      <c r="CE66" s="205"/>
      <c r="CF66" s="205"/>
      <c r="CG66" s="205"/>
      <c r="CH66" s="205"/>
      <c r="CI66" s="198">
        <f t="shared" si="301"/>
        <v>2.0014622671498508</v>
      </c>
      <c r="CJ66" s="205"/>
      <c r="CK66" s="205"/>
      <c r="CL66" s="205"/>
      <c r="CM66" s="205"/>
      <c r="CN66" s="198">
        <f t="shared" ref="CN66" si="302">SUM(CN62:CN64)</f>
        <v>0.67199060694653823</v>
      </c>
      <c r="CO66" s="205"/>
      <c r="CP66" s="205"/>
      <c r="CQ66" s="198">
        <f t="shared" si="301"/>
        <v>0.86398458799500533</v>
      </c>
      <c r="CR66" s="198">
        <f t="shared" si="301"/>
        <v>0.28362593715437018</v>
      </c>
      <c r="CS66" s="198">
        <f t="shared" si="301"/>
        <v>0.68369276227872655</v>
      </c>
      <c r="CT66" s="198">
        <f t="shared" ref="CT66:CV66" si="303">SUM(CT62:CT64)</f>
        <v>0.68307465295004288</v>
      </c>
      <c r="CU66" s="198">
        <f t="shared" si="303"/>
        <v>0.66271529693469711</v>
      </c>
      <c r="CV66" s="198">
        <f t="shared" si="303"/>
        <v>0.66249665791786883</v>
      </c>
      <c r="CW66" s="198">
        <f t="shared" ref="CW66" si="304">SUM(CW62:CW64)</f>
        <v>0.66230208992048356</v>
      </c>
      <c r="CX66" s="159"/>
      <c r="CY66" s="159"/>
      <c r="CZ66" s="159"/>
      <c r="DA66" s="159"/>
      <c r="DB66" s="159"/>
      <c r="DC66" s="170"/>
      <c r="DD66" s="170"/>
      <c r="DE66" s="170"/>
      <c r="DF66" s="170"/>
      <c r="DG66" s="170"/>
      <c r="DH66" s="888"/>
      <c r="DI66" s="888"/>
      <c r="DJ66" s="888"/>
    </row>
    <row r="67" spans="1:121" outlineLevel="1">
      <c r="A67" s="197"/>
      <c r="B67" s="191"/>
      <c r="C67" s="191"/>
      <c r="D67" s="191"/>
      <c r="E67" s="191"/>
      <c r="F67" s="191"/>
      <c r="G67" s="191"/>
      <c r="H67" s="191"/>
      <c r="I67" s="191"/>
      <c r="J67" s="191"/>
      <c r="K67" s="191"/>
      <c r="L67" s="191"/>
      <c r="M67" s="191"/>
      <c r="N67" s="191"/>
      <c r="O67" s="191"/>
      <c r="P67" s="191"/>
      <c r="Q67" s="191"/>
      <c r="R67" s="191"/>
      <c r="S67" s="191"/>
      <c r="T67" s="191"/>
      <c r="U67" s="191"/>
      <c r="V67" s="191"/>
      <c r="W67" s="191"/>
      <c r="X67" s="191"/>
      <c r="Y67" s="191"/>
      <c r="Z67" s="191"/>
      <c r="AA67" s="191"/>
      <c r="AB67" s="191"/>
      <c r="AC67" s="191"/>
      <c r="AD67" s="191"/>
      <c r="AE67" s="191"/>
      <c r="AF67" s="206"/>
      <c r="AG67" s="206"/>
      <c r="AH67" s="206"/>
      <c r="AI67" s="206"/>
      <c r="AJ67" s="206"/>
      <c r="AK67" s="207"/>
      <c r="AL67" s="207"/>
      <c r="AM67" s="207"/>
      <c r="AN67" s="207"/>
      <c r="AO67" s="207"/>
      <c r="AP67" s="207"/>
      <c r="AQ67" s="207"/>
      <c r="AR67" s="207"/>
      <c r="AS67" s="207"/>
      <c r="AT67" s="207"/>
      <c r="AU67" s="207"/>
      <c r="AV67" s="207"/>
      <c r="AW67" s="207"/>
      <c r="AX67" s="207"/>
      <c r="AY67" s="207"/>
      <c r="AZ67" s="207"/>
      <c r="BA67" s="207"/>
      <c r="BB67" s="207"/>
      <c r="BC67" s="207"/>
      <c r="BD67" s="207"/>
      <c r="BE67" s="207"/>
      <c r="BF67" s="207"/>
      <c r="BG67" s="207"/>
      <c r="BH67" s="207"/>
      <c r="BI67" s="207"/>
      <c r="BJ67" s="207"/>
      <c r="BK67" s="207"/>
      <c r="BL67" s="207"/>
      <c r="BM67" s="207"/>
      <c r="BN67" s="207"/>
      <c r="BO67" s="207"/>
      <c r="BP67" s="207"/>
      <c r="BQ67" s="207"/>
      <c r="BR67" s="207"/>
      <c r="BS67" s="207"/>
      <c r="BT67" s="207"/>
      <c r="BU67" s="207"/>
      <c r="BV67" s="207"/>
      <c r="BW67" s="207"/>
      <c r="BX67" s="207"/>
      <c r="BY67" s="207"/>
      <c r="BZ67" s="207"/>
      <c r="CA67" s="207"/>
      <c r="CB67" s="207"/>
      <c r="CC67" s="207"/>
      <c r="CD67" s="207"/>
      <c r="CE67" s="207"/>
      <c r="CF67" s="207"/>
      <c r="CG67" s="207"/>
      <c r="CH67" s="207"/>
      <c r="CI67" s="207"/>
      <c r="CJ67" s="207"/>
      <c r="CK67" s="207"/>
      <c r="CL67" s="207"/>
      <c r="CM67" s="207"/>
      <c r="CN67" s="207"/>
      <c r="CO67" s="207"/>
      <c r="CP67" s="207"/>
      <c r="CQ67" s="207"/>
      <c r="CR67" s="207"/>
      <c r="CS67" s="207"/>
      <c r="CT67" s="207"/>
      <c r="CU67" s="207"/>
      <c r="CV67" s="207"/>
      <c r="CW67" s="207"/>
      <c r="CX67" s="159"/>
      <c r="CY67" s="159"/>
      <c r="CZ67" s="159"/>
      <c r="DA67" s="159"/>
      <c r="DB67" s="197"/>
      <c r="DC67" s="170"/>
      <c r="DD67" s="170"/>
      <c r="DE67" s="170"/>
      <c r="DF67" s="170"/>
      <c r="DG67" s="170"/>
      <c r="DH67" s="198"/>
      <c r="DI67" s="198"/>
      <c r="DJ67" s="198"/>
    </row>
    <row r="68" spans="1:121" outlineLevel="1">
      <c r="A68" s="199" t="s">
        <v>7</v>
      </c>
      <c r="B68" s="199">
        <f t="shared" ref="B68:AG68" si="305">B2</f>
        <v>2007</v>
      </c>
      <c r="C68" s="199" t="str">
        <f t="shared" si="305"/>
        <v>Q1</v>
      </c>
      <c r="D68" s="199" t="str">
        <f t="shared" si="305"/>
        <v>Q2</v>
      </c>
      <c r="E68" s="199" t="str">
        <f t="shared" si="305"/>
        <v>Q3</v>
      </c>
      <c r="F68" s="199" t="str">
        <f t="shared" si="305"/>
        <v>Q4</v>
      </c>
      <c r="G68" s="199">
        <f t="shared" si="305"/>
        <v>2008</v>
      </c>
      <c r="H68" s="199" t="str">
        <f t="shared" si="305"/>
        <v>Q1</v>
      </c>
      <c r="I68" s="199" t="str">
        <f t="shared" si="305"/>
        <v>Q2</v>
      </c>
      <c r="J68" s="199" t="str">
        <f t="shared" si="305"/>
        <v>Q3</v>
      </c>
      <c r="K68" s="199" t="str">
        <f t="shared" si="305"/>
        <v>Q4</v>
      </c>
      <c r="L68" s="199">
        <f t="shared" si="305"/>
        <v>2009</v>
      </c>
      <c r="M68" s="199" t="str">
        <f t="shared" si="305"/>
        <v>Q1</v>
      </c>
      <c r="N68" s="199" t="str">
        <f t="shared" si="305"/>
        <v>Q2</v>
      </c>
      <c r="O68" s="199" t="str">
        <f t="shared" si="305"/>
        <v>Q3</v>
      </c>
      <c r="P68" s="199" t="str">
        <f t="shared" si="305"/>
        <v>Q4</v>
      </c>
      <c r="Q68" s="199">
        <f t="shared" si="305"/>
        <v>2010</v>
      </c>
      <c r="R68" s="199" t="str">
        <f t="shared" si="305"/>
        <v>Q1</v>
      </c>
      <c r="S68" s="199" t="str">
        <f t="shared" si="305"/>
        <v>Q2</v>
      </c>
      <c r="T68" s="199" t="str">
        <f t="shared" si="305"/>
        <v>Q3</v>
      </c>
      <c r="U68" s="199" t="str">
        <f t="shared" si="305"/>
        <v>Q4</v>
      </c>
      <c r="V68" s="199">
        <f t="shared" si="305"/>
        <v>2011</v>
      </c>
      <c r="W68" s="199" t="str">
        <f t="shared" si="305"/>
        <v>Q1</v>
      </c>
      <c r="X68" s="199" t="str">
        <f t="shared" si="305"/>
        <v>Q2</v>
      </c>
      <c r="Y68" s="199" t="str">
        <f t="shared" si="305"/>
        <v>Q3</v>
      </c>
      <c r="Z68" s="199" t="str">
        <f t="shared" si="305"/>
        <v>Q4</v>
      </c>
      <c r="AA68" s="199">
        <f t="shared" si="305"/>
        <v>2012</v>
      </c>
      <c r="AB68" s="199" t="str">
        <f t="shared" si="305"/>
        <v>Q1</v>
      </c>
      <c r="AC68" s="199" t="str">
        <f t="shared" si="305"/>
        <v>Q2</v>
      </c>
      <c r="AD68" s="199" t="str">
        <f t="shared" si="305"/>
        <v>Q3</v>
      </c>
      <c r="AE68" s="199" t="str">
        <f t="shared" si="305"/>
        <v>Q4</v>
      </c>
      <c r="AF68" s="199">
        <f t="shared" si="305"/>
        <v>2013</v>
      </c>
      <c r="AG68" s="199" t="str">
        <f t="shared" si="305"/>
        <v>Q1</v>
      </c>
      <c r="AH68" s="199" t="str">
        <f t="shared" ref="AH68:BM68" si="306">AH2</f>
        <v>Q2</v>
      </c>
      <c r="AI68" s="199" t="str">
        <f t="shared" si="306"/>
        <v>Q3</v>
      </c>
      <c r="AJ68" s="199" t="str">
        <f t="shared" si="306"/>
        <v>Q4</v>
      </c>
      <c r="AK68" s="199">
        <f t="shared" si="306"/>
        <v>2014</v>
      </c>
      <c r="AL68" s="199" t="str">
        <f t="shared" si="306"/>
        <v>Q1</v>
      </c>
      <c r="AM68" s="199" t="str">
        <f t="shared" si="306"/>
        <v>Q2</v>
      </c>
      <c r="AN68" s="199" t="str">
        <f t="shared" si="306"/>
        <v>Q3</v>
      </c>
      <c r="AO68" s="199" t="str">
        <f t="shared" si="306"/>
        <v>Q4</v>
      </c>
      <c r="AP68" s="199">
        <f t="shared" si="306"/>
        <v>2015</v>
      </c>
      <c r="AQ68" s="199" t="str">
        <f t="shared" si="306"/>
        <v>Q1</v>
      </c>
      <c r="AR68" s="199" t="str">
        <f t="shared" si="306"/>
        <v>Q2</v>
      </c>
      <c r="AS68" s="199" t="str">
        <f t="shared" si="306"/>
        <v>Q3</v>
      </c>
      <c r="AT68" s="199" t="str">
        <f t="shared" si="306"/>
        <v>Q4</v>
      </c>
      <c r="AU68" s="199">
        <f t="shared" si="306"/>
        <v>2016</v>
      </c>
      <c r="AV68" s="199" t="str">
        <f t="shared" si="306"/>
        <v>Q1</v>
      </c>
      <c r="AW68" s="199" t="str">
        <f t="shared" si="306"/>
        <v>Q2</v>
      </c>
      <c r="AX68" s="199" t="str">
        <f t="shared" si="306"/>
        <v>Q3</v>
      </c>
      <c r="AY68" s="199" t="str">
        <f t="shared" si="306"/>
        <v>Q4</v>
      </c>
      <c r="AZ68" s="199">
        <f t="shared" si="306"/>
        <v>2017</v>
      </c>
      <c r="BA68" s="199" t="str">
        <f t="shared" si="306"/>
        <v>Q1</v>
      </c>
      <c r="BB68" s="199" t="str">
        <f t="shared" si="306"/>
        <v>Q2</v>
      </c>
      <c r="BC68" s="199" t="str">
        <f t="shared" si="306"/>
        <v>Q3</v>
      </c>
      <c r="BD68" s="199" t="str">
        <f t="shared" si="306"/>
        <v>Q4</v>
      </c>
      <c r="BE68" s="199">
        <f t="shared" si="306"/>
        <v>2018</v>
      </c>
      <c r="BF68" s="199" t="str">
        <f t="shared" si="306"/>
        <v>Q1</v>
      </c>
      <c r="BG68" s="199" t="str">
        <f t="shared" si="306"/>
        <v>Q2</v>
      </c>
      <c r="BH68" s="199" t="str">
        <f t="shared" si="306"/>
        <v>Q3</v>
      </c>
      <c r="BI68" s="199" t="str">
        <f t="shared" si="306"/>
        <v>Q4</v>
      </c>
      <c r="BJ68" s="199">
        <f t="shared" si="306"/>
        <v>2019</v>
      </c>
      <c r="BK68" s="199" t="str">
        <f t="shared" si="306"/>
        <v>Q1</v>
      </c>
      <c r="BL68" s="199" t="str">
        <f t="shared" si="306"/>
        <v>Q2</v>
      </c>
      <c r="BM68" s="199" t="str">
        <f t="shared" si="306"/>
        <v>Q3</v>
      </c>
      <c r="BN68" s="199" t="str">
        <f t="shared" ref="BN68:CW68" si="307">BN2</f>
        <v>Q4</v>
      </c>
      <c r="BO68" s="199">
        <f t="shared" si="307"/>
        <v>2020</v>
      </c>
      <c r="BP68" s="199" t="str">
        <f t="shared" si="307"/>
        <v>Q1</v>
      </c>
      <c r="BQ68" s="199" t="str">
        <f t="shared" si="307"/>
        <v>Q2</v>
      </c>
      <c r="BR68" s="199" t="str">
        <f t="shared" si="307"/>
        <v>Q3</v>
      </c>
      <c r="BS68" s="199" t="str">
        <f t="shared" si="307"/>
        <v>Q4</v>
      </c>
      <c r="BT68" s="199">
        <f t="shared" si="307"/>
        <v>2021</v>
      </c>
      <c r="BU68" s="199" t="str">
        <f t="shared" si="307"/>
        <v>Q1</v>
      </c>
      <c r="BV68" s="199" t="str">
        <f t="shared" si="307"/>
        <v>Q2</v>
      </c>
      <c r="BW68" s="199" t="str">
        <f t="shared" si="307"/>
        <v>Q3</v>
      </c>
      <c r="BX68" s="199" t="str">
        <f t="shared" si="307"/>
        <v>Q4</v>
      </c>
      <c r="BY68" s="199">
        <f t="shared" si="307"/>
        <v>2022</v>
      </c>
      <c r="BZ68" s="199" t="str">
        <f t="shared" si="307"/>
        <v>Q1</v>
      </c>
      <c r="CA68" s="199" t="str">
        <f t="shared" si="307"/>
        <v>Q2</v>
      </c>
      <c r="CB68" s="199" t="str">
        <f t="shared" si="307"/>
        <v>Q3</v>
      </c>
      <c r="CC68" s="199" t="str">
        <f t="shared" si="307"/>
        <v>Q4</v>
      </c>
      <c r="CD68" s="199">
        <f t="shared" si="307"/>
        <v>2023</v>
      </c>
      <c r="CE68" s="199" t="str">
        <f t="shared" ref="CE68:CF68" si="308">CE2</f>
        <v>Q1</v>
      </c>
      <c r="CF68" s="199" t="str">
        <f t="shared" si="308"/>
        <v>Q2</v>
      </c>
      <c r="CG68" s="199" t="str">
        <f t="shared" ref="CG68:CH68" si="309">CG2</f>
        <v>Q3</v>
      </c>
      <c r="CH68" s="199" t="str">
        <f t="shared" si="309"/>
        <v>Q4</v>
      </c>
      <c r="CI68" s="199">
        <f t="shared" si="307"/>
        <v>2024</v>
      </c>
      <c r="CJ68" s="199" t="str">
        <f t="shared" si="307"/>
        <v>Q1</v>
      </c>
      <c r="CK68" s="199" t="str">
        <f t="shared" ref="CK68:CL68" si="310">CK2</f>
        <v>Q2</v>
      </c>
      <c r="CL68" s="199" t="str">
        <f t="shared" si="310"/>
        <v>Q3</v>
      </c>
      <c r="CM68" s="199" t="str">
        <f t="shared" ref="CM68:CP68" si="311">CM2</f>
        <v>Q4</v>
      </c>
      <c r="CN68" s="199">
        <f t="shared" si="311"/>
        <v>2025</v>
      </c>
      <c r="CO68" s="199" t="str">
        <f t="shared" si="311"/>
        <v>Q1</v>
      </c>
      <c r="CP68" s="199" t="str">
        <f t="shared" si="311"/>
        <v>Q2</v>
      </c>
      <c r="CQ68" s="199">
        <f t="shared" si="307"/>
        <v>2026</v>
      </c>
      <c r="CR68" s="199">
        <f t="shared" si="307"/>
        <v>2027</v>
      </c>
      <c r="CS68" s="199">
        <f t="shared" si="307"/>
        <v>2028</v>
      </c>
      <c r="CT68" s="199">
        <f t="shared" si="307"/>
        <v>2029</v>
      </c>
      <c r="CU68" s="199">
        <f t="shared" si="307"/>
        <v>2030</v>
      </c>
      <c r="CV68" s="199">
        <f t="shared" si="307"/>
        <v>2031</v>
      </c>
      <c r="CW68" s="199">
        <f t="shared" si="307"/>
        <v>2032</v>
      </c>
      <c r="CX68" s="159"/>
      <c r="CY68" s="159"/>
      <c r="CZ68" s="159"/>
      <c r="DA68" s="159"/>
      <c r="DB68" s="159"/>
      <c r="DC68" s="159"/>
      <c r="DD68" s="159"/>
      <c r="DO68" s="159"/>
      <c r="DP68" s="162"/>
      <c r="DQ68" s="162"/>
    </row>
    <row r="69" spans="1:121" outlineLevel="1">
      <c r="A69" s="203" t="s">
        <v>52</v>
      </c>
      <c r="B69" s="695">
        <v>27174</v>
      </c>
      <c r="C69" s="696"/>
      <c r="D69" s="696"/>
      <c r="E69" s="696"/>
      <c r="F69" s="696"/>
      <c r="G69" s="695">
        <v>27728</v>
      </c>
      <c r="H69" s="696"/>
      <c r="I69" s="696"/>
      <c r="J69" s="696"/>
      <c r="K69" s="696"/>
      <c r="L69" s="695">
        <v>28231.504111999999</v>
      </c>
      <c r="M69" s="696"/>
      <c r="N69" s="696"/>
      <c r="O69" s="696"/>
      <c r="P69" s="696"/>
      <c r="Q69" s="695">
        <v>28725.555433960002</v>
      </c>
      <c r="R69" s="696"/>
      <c r="S69" s="696"/>
      <c r="T69" s="696"/>
      <c r="U69" s="696"/>
      <c r="V69" s="695">
        <v>29228.252654054304</v>
      </c>
      <c r="W69" s="696"/>
      <c r="X69" s="696"/>
      <c r="Y69" s="696"/>
      <c r="Z69" s="696"/>
      <c r="AA69" s="695">
        <v>29739.747075500258</v>
      </c>
      <c r="AB69" s="696"/>
      <c r="AC69" s="696"/>
      <c r="AD69" s="696"/>
      <c r="AE69" s="696"/>
      <c r="AF69" s="695">
        <v>30260.192649321514</v>
      </c>
      <c r="AG69" s="696"/>
      <c r="AH69" s="696"/>
      <c r="AI69" s="696"/>
      <c r="AJ69" s="696"/>
      <c r="AK69" s="695">
        <v>30789.746020684644</v>
      </c>
      <c r="AL69" s="696"/>
      <c r="AM69" s="696"/>
      <c r="AN69" s="696"/>
      <c r="AO69" s="696"/>
      <c r="AP69" s="695">
        <v>31328.566576046629</v>
      </c>
      <c r="AQ69" s="696"/>
      <c r="AR69" s="696"/>
      <c r="AS69" s="696"/>
      <c r="AT69" s="696"/>
      <c r="AU69" s="697">
        <f>'[1]Malaysian mobile model'!BK5</f>
        <v>31876.816491127447</v>
      </c>
      <c r="AV69" s="696"/>
      <c r="AW69" s="696"/>
      <c r="AX69" s="698"/>
      <c r="AY69" s="698"/>
      <c r="AZ69" s="697">
        <f>'[1]Malaysian mobile model'!BP5</f>
        <v>32022.6</v>
      </c>
      <c r="BA69" s="696"/>
      <c r="BB69" s="696"/>
      <c r="BC69" s="696"/>
      <c r="BD69" s="696"/>
      <c r="BE69" s="697">
        <f>'[1]Malaysian mobile model'!BU5</f>
        <v>32382.3</v>
      </c>
      <c r="BF69" s="698"/>
      <c r="BG69" s="698"/>
      <c r="BH69" s="698"/>
      <c r="BI69" s="698"/>
      <c r="BJ69" s="697">
        <f>'[1]Malaysian mobile model'!BZ5</f>
        <v>32523</v>
      </c>
      <c r="BK69" s="698"/>
      <c r="BL69" s="698"/>
      <c r="BM69" s="698"/>
      <c r="BN69" s="698"/>
      <c r="BO69" s="697">
        <f>'[1]Malaysian mobile model'!CE5</f>
        <v>32657</v>
      </c>
      <c r="BP69" s="698"/>
      <c r="BQ69" s="698"/>
      <c r="BR69" s="698"/>
      <c r="BS69" s="698"/>
      <c r="BT69" s="697">
        <f>'[1]Malaysian mobile model'!CJ5</f>
        <v>33573.874000000003</v>
      </c>
      <c r="BU69" s="698"/>
      <c r="BV69" s="698"/>
      <c r="BW69" s="698"/>
      <c r="BX69" s="698"/>
      <c r="BY69" s="697">
        <f>'[1]Malaysian mobile model'!CO5</f>
        <v>33938.22</v>
      </c>
      <c r="BZ69" s="698"/>
      <c r="CA69" s="698"/>
      <c r="CB69" s="698"/>
      <c r="CC69" s="698"/>
      <c r="CD69" s="697">
        <f>'[1]Malaysian mobile model'!CT5</f>
        <v>34306.519907961767</v>
      </c>
      <c r="CE69" s="698"/>
      <c r="CF69" s="698"/>
      <c r="CG69" s="698"/>
      <c r="CH69" s="698"/>
      <c r="CI69" s="697">
        <f>'[2]Malaysian mobile model'!CY5</f>
        <v>35557.673000000003</v>
      </c>
      <c r="CJ69" s="698"/>
      <c r="CK69" s="698"/>
      <c r="CL69" s="698"/>
      <c r="CM69" s="698"/>
      <c r="CN69" s="697">
        <f>'[2]Malaysian mobile model'!DD5</f>
        <v>35977.838000000003</v>
      </c>
      <c r="CO69" s="698"/>
      <c r="CP69" s="698"/>
      <c r="CQ69" s="697">
        <f>'[2]Malaysian mobile model'!DA5</f>
        <v>0</v>
      </c>
      <c r="CR69" s="697">
        <f>'[2]Malaysian mobile model'!DB5</f>
        <v>0</v>
      </c>
      <c r="CS69" s="697">
        <f>'[2]Malaysian mobile model'!DC5</f>
        <v>0</v>
      </c>
      <c r="CT69" s="697">
        <f>'[2]Malaysian mobile model'!DD5</f>
        <v>35977.838000000003</v>
      </c>
      <c r="CU69" s="697">
        <f>'[2]Malaysian mobile model'!DE5</f>
        <v>36157.727189999998</v>
      </c>
      <c r="CV69" s="697">
        <f>'[2]Malaysian mobile model'!DF5</f>
        <v>36338.515825949995</v>
      </c>
      <c r="CW69" s="697">
        <f>'[2]Malaysian mobile model'!DG5</f>
        <v>36520.208405079742</v>
      </c>
      <c r="CX69" s="159"/>
      <c r="CY69" s="159"/>
      <c r="CZ69" s="159"/>
      <c r="DA69" s="159"/>
      <c r="DB69" s="159"/>
      <c r="DC69" s="159"/>
      <c r="DD69" s="159"/>
      <c r="DO69" s="159"/>
      <c r="DP69" s="162"/>
      <c r="DQ69" s="162"/>
    </row>
    <row r="70" spans="1:121" outlineLevel="1">
      <c r="A70" s="203"/>
      <c r="B70" s="203"/>
      <c r="C70" s="203"/>
      <c r="D70" s="203"/>
      <c r="E70" s="203"/>
      <c r="F70" s="203"/>
      <c r="G70" s="203"/>
      <c r="H70" s="203"/>
      <c r="I70" s="203"/>
      <c r="J70" s="203"/>
      <c r="K70" s="203"/>
      <c r="L70" s="203"/>
      <c r="M70" s="203"/>
      <c r="N70" s="203"/>
      <c r="O70" s="203"/>
      <c r="P70" s="203"/>
      <c r="Q70" s="203"/>
      <c r="R70" s="203"/>
      <c r="S70" s="203"/>
      <c r="T70" s="203"/>
      <c r="U70" s="203"/>
      <c r="V70" s="203"/>
      <c r="W70" s="203"/>
      <c r="X70" s="203"/>
      <c r="Y70" s="203"/>
      <c r="Z70" s="203"/>
      <c r="AA70" s="203"/>
      <c r="AB70" s="203"/>
      <c r="AC70" s="203"/>
      <c r="AD70" s="203"/>
      <c r="AE70" s="203"/>
      <c r="AF70" s="203"/>
      <c r="AG70" s="203"/>
      <c r="AH70" s="203"/>
      <c r="AI70" s="203"/>
      <c r="AJ70" s="203"/>
      <c r="AK70" s="203"/>
      <c r="AL70" s="203"/>
      <c r="AM70" s="203"/>
      <c r="AN70" s="203"/>
      <c r="AO70" s="203"/>
      <c r="AP70" s="203"/>
      <c r="AQ70" s="203"/>
      <c r="AR70" s="203"/>
      <c r="AS70" s="203"/>
      <c r="AT70" s="203"/>
      <c r="AU70" s="203"/>
      <c r="AV70" s="203"/>
      <c r="AW70" s="203"/>
      <c r="AX70" s="203"/>
      <c r="AY70" s="203"/>
      <c r="AZ70" s="203"/>
      <c r="BA70" s="203"/>
      <c r="BB70" s="203"/>
      <c r="BC70" s="203"/>
      <c r="BD70" s="203"/>
      <c r="BE70" s="203"/>
      <c r="BF70" s="203"/>
      <c r="BG70" s="203"/>
      <c r="BH70" s="203"/>
      <c r="BI70" s="203"/>
      <c r="BJ70" s="203"/>
      <c r="BK70" s="203"/>
      <c r="BL70" s="203"/>
      <c r="BM70" s="203"/>
      <c r="BN70" s="203"/>
      <c r="BO70" s="203"/>
      <c r="BP70" s="203"/>
      <c r="BQ70" s="203"/>
      <c r="BR70" s="203"/>
      <c r="BS70" s="203"/>
      <c r="BT70" s="203"/>
      <c r="BU70" s="203"/>
      <c r="BV70" s="203"/>
      <c r="BW70" s="203"/>
      <c r="BX70" s="203"/>
      <c r="BY70" s="203"/>
      <c r="BZ70" s="203"/>
      <c r="CA70" s="203"/>
      <c r="CB70" s="203"/>
      <c r="CC70" s="203"/>
      <c r="CD70" s="203"/>
      <c r="CE70" s="203"/>
      <c r="CF70" s="203"/>
      <c r="CG70" s="203"/>
      <c r="CH70" s="203"/>
      <c r="CI70" s="203"/>
      <c r="CJ70" s="203"/>
      <c r="CK70" s="203"/>
      <c r="CL70" s="203"/>
      <c r="CM70" s="203"/>
      <c r="CN70" s="203"/>
      <c r="CO70" s="203"/>
      <c r="CP70" s="203"/>
      <c r="CQ70" s="203"/>
      <c r="CR70" s="203"/>
      <c r="CS70" s="203"/>
      <c r="CT70" s="203"/>
      <c r="CU70" s="203"/>
      <c r="CV70" s="203"/>
      <c r="CW70" s="203"/>
      <c r="CX70" s="159"/>
      <c r="CY70" s="159"/>
      <c r="CZ70" s="159"/>
      <c r="DA70" s="159"/>
      <c r="DB70" s="159"/>
      <c r="DC70" s="159"/>
      <c r="DD70" s="159"/>
      <c r="DO70" s="159"/>
      <c r="DP70" s="162"/>
      <c r="DQ70" s="162"/>
    </row>
    <row r="71" spans="1:121" outlineLevel="1">
      <c r="A71" s="203" t="s">
        <v>10</v>
      </c>
      <c r="B71" s="210">
        <v>0.86024140722749687</v>
      </c>
      <c r="C71" s="210"/>
      <c r="D71" s="210"/>
      <c r="E71" s="210"/>
      <c r="F71" s="210"/>
      <c r="G71" s="210">
        <v>0.97580424120023079</v>
      </c>
      <c r="H71" s="210"/>
      <c r="I71" s="210"/>
      <c r="J71" s="210"/>
      <c r="K71" s="210"/>
      <c r="L71" s="210">
        <v>1.08</v>
      </c>
      <c r="M71" s="210"/>
      <c r="N71" s="210"/>
      <c r="O71" s="210"/>
      <c r="P71" s="210"/>
      <c r="Q71" s="210">
        <v>1.1801338385931661</v>
      </c>
      <c r="R71" s="210"/>
      <c r="S71" s="210"/>
      <c r="T71" s="210"/>
      <c r="U71" s="210"/>
      <c r="V71" s="210">
        <v>1.2556344176431387</v>
      </c>
      <c r="W71" s="210"/>
      <c r="X71" s="210"/>
      <c r="Y71" s="210"/>
      <c r="Z71" s="210"/>
      <c r="AA71" s="210">
        <v>1.3887138950829589</v>
      </c>
      <c r="AB71" s="210"/>
      <c r="AC71" s="210"/>
      <c r="AD71" s="210"/>
      <c r="AE71" s="210"/>
      <c r="AF71" s="210">
        <v>1.4210087985333475</v>
      </c>
      <c r="AG71" s="210"/>
      <c r="AH71" s="210"/>
      <c r="AI71" s="210"/>
      <c r="AJ71" s="210"/>
      <c r="AK71" s="210">
        <v>1.458277699654815</v>
      </c>
      <c r="AL71" s="210"/>
      <c r="AM71" s="210"/>
      <c r="AN71" s="210"/>
      <c r="AO71" s="210"/>
      <c r="AP71" s="210">
        <v>1.4076609567485996</v>
      </c>
      <c r="AQ71" s="210"/>
      <c r="AR71" s="210"/>
      <c r="AS71" s="210"/>
      <c r="AT71" s="210"/>
      <c r="AU71" s="211">
        <f>'[1]Malaysian mobile model'!BK7</f>
        <v>1.399</v>
      </c>
      <c r="AV71" s="210"/>
      <c r="AW71" s="210"/>
      <c r="AX71" s="212"/>
      <c r="AY71" s="212"/>
      <c r="AZ71" s="211">
        <f>'[1]Malaysian mobile model'!BP7</f>
        <v>1.3120000000000001</v>
      </c>
      <c r="BA71" s="210"/>
      <c r="BB71" s="210"/>
      <c r="BC71" s="210"/>
      <c r="BD71" s="210"/>
      <c r="BE71" s="211">
        <f>'[1]Malaysian mobile model'!BU7</f>
        <v>1.302</v>
      </c>
      <c r="BF71" s="210"/>
      <c r="BG71" s="212"/>
      <c r="BH71" s="212"/>
      <c r="BI71" s="212"/>
      <c r="BJ71" s="211">
        <f>'[1]Malaysian mobile model'!BZ7</f>
        <v>1.3540000000000001</v>
      </c>
      <c r="BK71" s="210"/>
      <c r="BL71" s="210"/>
      <c r="BM71" s="210"/>
      <c r="BN71" s="210"/>
      <c r="BO71" s="211">
        <f>'[1]Malaysian mobile model'!CE7</f>
        <v>1.3360000000000001</v>
      </c>
      <c r="BP71" s="210"/>
      <c r="BQ71" s="210"/>
      <c r="BR71" s="210"/>
      <c r="BS71" s="210"/>
      <c r="BT71" s="211">
        <f>'[1]Malaysian mobile model'!CJ7</f>
        <v>1.4072549387657796</v>
      </c>
      <c r="BU71" s="210"/>
      <c r="BV71" s="210"/>
      <c r="BW71" s="210"/>
      <c r="BX71" s="210"/>
      <c r="BY71" s="211">
        <f>'[1]Malaysian mobile model'!CO7</f>
        <v>1.3981876480263253</v>
      </c>
      <c r="BZ71" s="210"/>
      <c r="CA71" s="210"/>
      <c r="CB71" s="210"/>
      <c r="CC71" s="210"/>
      <c r="CD71" s="211">
        <f>'[1]Malaysian mobile model'!CT7</f>
        <v>1.4181876480263254</v>
      </c>
      <c r="CE71" s="210"/>
      <c r="CF71" s="210"/>
      <c r="CG71" s="210"/>
      <c r="CH71" s="210"/>
      <c r="CI71" s="211">
        <f>'[2]Malaysian mobile model'!CY7</f>
        <v>1.327702181186041</v>
      </c>
      <c r="CJ71" s="210"/>
      <c r="CK71" s="210"/>
      <c r="CL71" s="210"/>
      <c r="CM71" s="210"/>
      <c r="CN71" s="211">
        <f>'[2]Malaysian mobile model'!DD7</f>
        <v>1.337702181186041</v>
      </c>
      <c r="CO71" s="210"/>
      <c r="CP71" s="210"/>
      <c r="CQ71" s="211">
        <f>'[2]Malaysian mobile model'!DA7</f>
        <v>0</v>
      </c>
      <c r="CR71" s="211">
        <f>'[2]Malaysian mobile model'!DB7</f>
        <v>0</v>
      </c>
      <c r="CS71" s="211">
        <f>'[2]Malaysian mobile model'!DC7</f>
        <v>0</v>
      </c>
      <c r="CT71" s="211">
        <f>'[2]Malaysian mobile model'!DD7</f>
        <v>1.337702181186041</v>
      </c>
      <c r="CU71" s="211">
        <f>'[2]Malaysian mobile model'!DE7</f>
        <v>1.347702181186041</v>
      </c>
      <c r="CV71" s="211">
        <f>'[2]Malaysian mobile model'!DF7</f>
        <v>1.3567021811860409</v>
      </c>
      <c r="CW71" s="211">
        <f>'[2]Malaysian mobile model'!DG7</f>
        <v>1.3648021811860409</v>
      </c>
      <c r="CX71" s="159"/>
      <c r="CY71" s="159"/>
      <c r="CZ71" s="159"/>
      <c r="DA71" s="159"/>
      <c r="DB71" s="159"/>
      <c r="DC71" s="159"/>
      <c r="DD71" s="159"/>
      <c r="DO71" s="159"/>
      <c r="DP71" s="162"/>
      <c r="DQ71" s="162"/>
    </row>
    <row r="72" spans="1:121" outlineLevel="1">
      <c r="A72" s="203"/>
      <c r="B72" s="203"/>
      <c r="C72" s="203"/>
      <c r="D72" s="203"/>
      <c r="E72" s="203"/>
      <c r="F72" s="203"/>
      <c r="G72" s="203"/>
      <c r="H72" s="203"/>
      <c r="I72" s="203"/>
      <c r="J72" s="203"/>
      <c r="K72" s="203"/>
      <c r="L72" s="203"/>
      <c r="M72" s="203"/>
      <c r="N72" s="203"/>
      <c r="O72" s="203"/>
      <c r="P72" s="203"/>
      <c r="Q72" s="203"/>
      <c r="R72" s="203"/>
      <c r="S72" s="203"/>
      <c r="T72" s="203"/>
      <c r="U72" s="203"/>
      <c r="V72" s="203"/>
      <c r="W72" s="203"/>
      <c r="X72" s="203"/>
      <c r="Y72" s="203"/>
      <c r="Z72" s="203"/>
      <c r="AA72" s="203"/>
      <c r="AB72" s="203"/>
      <c r="AC72" s="203"/>
      <c r="AD72" s="203"/>
      <c r="AE72" s="203"/>
      <c r="AF72" s="203"/>
      <c r="AG72" s="203"/>
      <c r="AH72" s="203"/>
      <c r="AI72" s="203"/>
      <c r="AJ72" s="203"/>
      <c r="AK72" s="203"/>
      <c r="AL72" s="203"/>
      <c r="AM72" s="203"/>
      <c r="AN72" s="203"/>
      <c r="AO72" s="203"/>
      <c r="AP72" s="203"/>
      <c r="AQ72" s="203"/>
      <c r="AR72" s="203"/>
      <c r="AS72" s="203"/>
      <c r="AT72" s="203"/>
      <c r="AU72" s="203"/>
      <c r="AV72" s="203"/>
      <c r="AW72" s="203"/>
      <c r="AX72" s="203"/>
      <c r="AY72" s="203"/>
      <c r="AZ72" s="203"/>
      <c r="BA72" s="203"/>
      <c r="BB72" s="203"/>
      <c r="BC72" s="203"/>
      <c r="BD72" s="203"/>
      <c r="BE72" s="203"/>
      <c r="BF72" s="203"/>
      <c r="BG72" s="203"/>
      <c r="BH72" s="203"/>
      <c r="BI72" s="203"/>
      <c r="BJ72" s="203"/>
      <c r="BK72" s="203"/>
      <c r="BL72" s="203"/>
      <c r="BM72" s="203"/>
      <c r="BN72" s="203"/>
      <c r="BO72" s="203"/>
      <c r="BP72" s="203"/>
      <c r="BQ72" s="203"/>
      <c r="BR72" s="203"/>
      <c r="BS72" s="203"/>
      <c r="BT72" s="203"/>
      <c r="BU72" s="203"/>
      <c r="BV72" s="203"/>
      <c r="BW72" s="203"/>
      <c r="BX72" s="203"/>
      <c r="BY72" s="203"/>
      <c r="BZ72" s="203"/>
      <c r="CA72" s="203"/>
      <c r="CB72" s="203"/>
      <c r="CC72" s="203"/>
      <c r="CD72" s="203"/>
      <c r="CE72" s="203"/>
      <c r="CF72" s="203"/>
      <c r="CG72" s="203"/>
      <c r="CH72" s="203"/>
      <c r="CI72" s="203"/>
      <c r="CJ72" s="203"/>
      <c r="CK72" s="203"/>
      <c r="CL72" s="203"/>
      <c r="CM72" s="203"/>
      <c r="CN72" s="203"/>
      <c r="CO72" s="203"/>
      <c r="CP72" s="203"/>
      <c r="CQ72" s="203"/>
      <c r="CR72" s="203"/>
      <c r="CS72" s="203"/>
      <c r="CT72" s="203"/>
      <c r="CU72" s="203"/>
      <c r="CV72" s="203"/>
      <c r="CW72" s="203"/>
      <c r="CX72" s="159"/>
      <c r="CY72" s="159"/>
      <c r="CZ72" s="159"/>
      <c r="DA72" s="159"/>
      <c r="DB72" s="159"/>
      <c r="DC72" s="159"/>
      <c r="DD72" s="159"/>
      <c r="DO72" s="159"/>
      <c r="DP72" s="162"/>
      <c r="DQ72" s="162"/>
    </row>
    <row r="73" spans="1:121" outlineLevel="1">
      <c r="A73" s="159" t="s">
        <v>245</v>
      </c>
      <c r="B73" s="692">
        <f>B62*B$77</f>
        <v>9765.2000000000007</v>
      </c>
      <c r="C73" s="692"/>
      <c r="D73" s="692"/>
      <c r="E73" s="692"/>
      <c r="F73" s="692"/>
      <c r="G73" s="692">
        <f>G62*G$77</f>
        <v>11234.1</v>
      </c>
      <c r="H73" s="692"/>
      <c r="I73" s="692"/>
      <c r="J73" s="692"/>
      <c r="K73" s="692"/>
      <c r="L73" s="692">
        <f>L62*L$77</f>
        <v>12320.124196550401</v>
      </c>
      <c r="M73" s="692"/>
      <c r="N73" s="692"/>
      <c r="O73" s="692"/>
      <c r="P73" s="692"/>
      <c r="Q73" s="692">
        <f>Q62*Q$77</f>
        <v>13954</v>
      </c>
      <c r="R73" s="692"/>
      <c r="S73" s="692"/>
      <c r="T73" s="692"/>
      <c r="U73" s="692"/>
      <c r="V73" s="692">
        <f>V62*V$77</f>
        <v>12735</v>
      </c>
      <c r="W73" s="692"/>
      <c r="X73" s="692"/>
      <c r="Y73" s="692"/>
      <c r="Z73" s="692"/>
      <c r="AA73" s="692">
        <f>AA62*AA$77</f>
        <v>14091</v>
      </c>
      <c r="AB73" s="692"/>
      <c r="AC73" s="692"/>
      <c r="AD73" s="692"/>
      <c r="AE73" s="692"/>
      <c r="AF73" s="692">
        <f>AF62*AF$77</f>
        <v>12893</v>
      </c>
      <c r="AG73" s="692"/>
      <c r="AH73" s="692"/>
      <c r="AI73" s="692"/>
      <c r="AJ73" s="692"/>
      <c r="AK73" s="692">
        <f>AK62*AK$77</f>
        <v>12913</v>
      </c>
      <c r="AL73" s="692"/>
      <c r="AM73" s="692"/>
      <c r="AN73" s="692"/>
      <c r="AO73" s="692"/>
      <c r="AP73" s="692">
        <f>AP62*AP$77</f>
        <v>12694</v>
      </c>
      <c r="AQ73" s="692"/>
      <c r="AR73" s="692"/>
      <c r="AS73" s="692"/>
      <c r="AT73" s="692"/>
      <c r="AU73" s="697">
        <f>'[1]Malaysian mobile model'!BK15</f>
        <v>11718</v>
      </c>
      <c r="AV73" s="692"/>
      <c r="AW73" s="692"/>
      <c r="AX73" s="699"/>
      <c r="AY73" s="699"/>
      <c r="AZ73" s="697">
        <f>'[1]Malaysian mobile model'!BP15</f>
        <v>10928</v>
      </c>
      <c r="BA73" s="692"/>
      <c r="BB73" s="692"/>
      <c r="BC73" s="692"/>
      <c r="BD73" s="692"/>
      <c r="BE73" s="697">
        <f>'[1]Malaysian mobile model'!BU15</f>
        <v>10761</v>
      </c>
      <c r="BF73" s="692"/>
      <c r="BG73" s="699"/>
      <c r="BH73" s="699"/>
      <c r="BI73" s="699"/>
      <c r="BJ73" s="697">
        <f>'[1]Malaysian mobile model'!BZ15</f>
        <v>11130</v>
      </c>
      <c r="BK73" s="692"/>
      <c r="BL73" s="692"/>
      <c r="BM73" s="692"/>
      <c r="BN73" s="692"/>
      <c r="BO73" s="697">
        <f>'[1]Malaysian mobile model'!CE15</f>
        <v>11132</v>
      </c>
      <c r="BP73" s="692"/>
      <c r="BQ73" s="692"/>
      <c r="BR73" s="692"/>
      <c r="BS73" s="692"/>
      <c r="BT73" s="697">
        <f>'[1]Malaysian mobile model'!CJ15</f>
        <v>11618</v>
      </c>
      <c r="BU73" s="692"/>
      <c r="BV73" s="692"/>
      <c r="BW73" s="692"/>
      <c r="BX73" s="692"/>
      <c r="BY73" s="697">
        <f>'[1]Malaysian mobile model'!CO15</f>
        <v>11738</v>
      </c>
      <c r="BZ73" s="692"/>
      <c r="CA73" s="692"/>
      <c r="CB73" s="692"/>
      <c r="CC73" s="692"/>
      <c r="CD73" s="697">
        <f>'[1]Malaysian mobile model'!CT15</f>
        <v>12511</v>
      </c>
      <c r="CE73" s="692"/>
      <c r="CF73" s="692"/>
      <c r="CG73" s="692"/>
      <c r="CH73" s="692"/>
      <c r="CI73" s="697">
        <f>'[2]Malaysian mobile model'!CY15</f>
        <v>12826</v>
      </c>
      <c r="CJ73" s="692"/>
      <c r="CK73" s="692"/>
      <c r="CL73" s="692"/>
      <c r="CM73" s="692"/>
      <c r="CN73" s="697">
        <f>'[2]Malaysian mobile model'!DD15</f>
        <v>13504</v>
      </c>
      <c r="CO73" s="692"/>
      <c r="CP73" s="692"/>
      <c r="CQ73" s="697">
        <f>'[2]Malaysian mobile model'!DE15</f>
        <v>13589.613584573439</v>
      </c>
      <c r="CR73" s="697">
        <f>'[2]Malaysian mobile model'!DF15</f>
        <v>13748.767303558094</v>
      </c>
      <c r="CS73" s="697">
        <f>'[2]Malaysian mobile model'!DG15</f>
        <v>13900.006651461272</v>
      </c>
      <c r="CT73" s="697">
        <f>'[2]Malaysian mobile model'!DH15</f>
        <v>14044.123874766659</v>
      </c>
      <c r="CU73" s="697">
        <f>'[2]Malaysian mobile model'!DI15</f>
        <v>14181.835742538982</v>
      </c>
      <c r="CV73" s="697">
        <f>'[2]Malaysian mobile model'!DJ15</f>
        <v>14313.790755428116</v>
      </c>
      <c r="CW73" s="697">
        <f>'[2]Malaysian mobile model'!DK15</f>
        <v>14440.575666217841</v>
      </c>
      <c r="CX73" s="159"/>
      <c r="CY73" s="159"/>
      <c r="CZ73" s="159"/>
      <c r="DA73" s="159"/>
      <c r="DB73" s="159"/>
      <c r="DC73" s="159"/>
      <c r="DD73" s="159"/>
      <c r="DO73" s="159"/>
      <c r="DP73" s="162"/>
      <c r="DQ73" s="162"/>
    </row>
    <row r="74" spans="1:121" outlineLevel="1">
      <c r="A74" s="159" t="s">
        <v>246</v>
      </c>
      <c r="B74" s="692">
        <f>B63*B$77</f>
        <v>7202</v>
      </c>
      <c r="C74" s="692"/>
      <c r="D74" s="692"/>
      <c r="E74" s="692"/>
      <c r="F74" s="692"/>
      <c r="G74" s="692">
        <f>G63*G$77</f>
        <v>8761</v>
      </c>
      <c r="H74" s="692"/>
      <c r="I74" s="692"/>
      <c r="J74" s="692"/>
      <c r="K74" s="692"/>
      <c r="L74" s="692">
        <f>L63*L$77</f>
        <v>10145</v>
      </c>
      <c r="M74" s="692"/>
      <c r="N74" s="692"/>
      <c r="O74" s="692"/>
      <c r="P74" s="692"/>
      <c r="Q74" s="692">
        <f>Q63*Q$77</f>
        <v>11193</v>
      </c>
      <c r="R74" s="692"/>
      <c r="S74" s="692"/>
      <c r="T74" s="692"/>
      <c r="U74" s="692"/>
      <c r="V74" s="692">
        <f>V63*V$77</f>
        <v>11980</v>
      </c>
      <c r="W74" s="692"/>
      <c r="X74" s="692"/>
      <c r="Y74" s="692"/>
      <c r="Z74" s="692"/>
      <c r="AA74" s="692">
        <f>AA63*AA$77</f>
        <v>12681</v>
      </c>
      <c r="AB74" s="692"/>
      <c r="AC74" s="692"/>
      <c r="AD74" s="692"/>
      <c r="AE74" s="692"/>
      <c r="AF74" s="692">
        <f>AF63*AF$77</f>
        <v>13137</v>
      </c>
      <c r="AG74" s="692"/>
      <c r="AH74" s="692"/>
      <c r="AI74" s="692"/>
      <c r="AJ74" s="692"/>
      <c r="AK74" s="692">
        <f>AK63*AK$77</f>
        <v>12968</v>
      </c>
      <c r="AL74" s="692"/>
      <c r="AM74" s="692"/>
      <c r="AN74" s="692"/>
      <c r="AO74" s="692"/>
      <c r="AP74" s="692">
        <f>AP63*AP$77</f>
        <v>12250</v>
      </c>
      <c r="AQ74" s="692"/>
      <c r="AR74" s="692"/>
      <c r="AS74" s="692"/>
      <c r="AT74" s="692"/>
      <c r="AU74" s="697">
        <f>'[1]Malaysian mobile model'!BK16</f>
        <v>10556</v>
      </c>
      <c r="AV74" s="692"/>
      <c r="AW74" s="692"/>
      <c r="AX74" s="699"/>
      <c r="AY74" s="699"/>
      <c r="AZ74" s="697">
        <f>'[1]Malaysian mobile model'!BP16</f>
        <v>9546</v>
      </c>
      <c r="BA74" s="692"/>
      <c r="BB74" s="692"/>
      <c r="BC74" s="692"/>
      <c r="BD74" s="692"/>
      <c r="BE74" s="697">
        <f>'[1]Malaysian mobile model'!BU16</f>
        <v>9076</v>
      </c>
      <c r="BF74" s="692"/>
      <c r="BG74" s="699"/>
      <c r="BH74" s="699"/>
      <c r="BI74" s="699"/>
      <c r="BJ74" s="697">
        <f>'[1]Malaysian mobile model'!BZ16</f>
        <v>8372</v>
      </c>
      <c r="BK74" s="692"/>
      <c r="BL74" s="692"/>
      <c r="BM74" s="692"/>
      <c r="BN74" s="692"/>
      <c r="BO74" s="697">
        <f>'[1]Malaysian mobile model'!CE16</f>
        <v>8678</v>
      </c>
      <c r="BP74" s="692"/>
      <c r="BQ74" s="692"/>
      <c r="BR74" s="692"/>
      <c r="BS74" s="692"/>
      <c r="BT74" s="697">
        <f>'[1]Malaysian mobile model'!CJ16</f>
        <v>9595</v>
      </c>
      <c r="BU74" s="692"/>
      <c r="BV74" s="692"/>
      <c r="BW74" s="692"/>
      <c r="BX74" s="692"/>
      <c r="BY74" s="697">
        <f>'[1]Malaysian mobile model'!CO16</f>
        <v>0</v>
      </c>
      <c r="BZ74" s="692"/>
      <c r="CA74" s="692"/>
      <c r="CB74" s="692"/>
      <c r="CC74" s="692"/>
      <c r="CD74" s="697">
        <f>'[1]Malaysian mobile model'!CT16</f>
        <v>0</v>
      </c>
      <c r="CE74" s="692"/>
      <c r="CF74" s="692"/>
      <c r="CG74" s="692"/>
      <c r="CH74" s="692"/>
      <c r="CI74" s="697">
        <f>'[2]Malaysian mobile model'!CY16</f>
        <v>0</v>
      </c>
      <c r="CJ74" s="692"/>
      <c r="CK74" s="692"/>
      <c r="CL74" s="692"/>
      <c r="CM74" s="692"/>
      <c r="CN74" s="697">
        <f>'[2]Malaysian mobile model'!DD16</f>
        <v>0</v>
      </c>
      <c r="CO74" s="692"/>
      <c r="CP74" s="692"/>
      <c r="CQ74" s="697">
        <f>'[2]Malaysian mobile model'!DA16</f>
        <v>0</v>
      </c>
      <c r="CR74" s="697">
        <f>'[2]Malaysian mobile model'!DB16</f>
        <v>0</v>
      </c>
      <c r="CS74" s="697">
        <f>'[2]Malaysian mobile model'!DC16</f>
        <v>0</v>
      </c>
      <c r="CT74" s="697">
        <f>'[2]Malaysian mobile model'!DD16</f>
        <v>0</v>
      </c>
      <c r="CU74" s="697">
        <f>'[2]Malaysian mobile model'!DE16</f>
        <v>0</v>
      </c>
      <c r="CV74" s="697">
        <f>'[2]Malaysian mobile model'!DF16</f>
        <v>0</v>
      </c>
      <c r="CW74" s="697">
        <f>'[2]Malaysian mobile model'!DG16</f>
        <v>0</v>
      </c>
      <c r="CX74" s="159"/>
      <c r="CY74" s="159"/>
      <c r="CZ74" s="159"/>
      <c r="DA74" s="159"/>
      <c r="DB74" s="159"/>
      <c r="DC74" s="159"/>
      <c r="DD74" s="159"/>
      <c r="DO74" s="159"/>
      <c r="DP74" s="162"/>
      <c r="DQ74" s="162"/>
    </row>
    <row r="75" spans="1:121" outlineLevel="1">
      <c r="A75" s="159" t="s">
        <v>247</v>
      </c>
      <c r="B75" s="692">
        <f>B64*B$77</f>
        <v>6408.9999999999991</v>
      </c>
      <c r="C75" s="692"/>
      <c r="D75" s="692"/>
      <c r="E75" s="692"/>
      <c r="F75" s="692"/>
      <c r="G75" s="692">
        <f>G64*G$77</f>
        <v>7062</v>
      </c>
      <c r="H75" s="692"/>
      <c r="I75" s="692"/>
      <c r="J75" s="692"/>
      <c r="K75" s="692"/>
      <c r="L75" s="692">
        <f>L64*L$77</f>
        <v>7720</v>
      </c>
      <c r="M75" s="692"/>
      <c r="N75" s="692"/>
      <c r="O75" s="692"/>
      <c r="P75" s="692"/>
      <c r="Q75" s="692">
        <f>Q64*Q$77</f>
        <v>8765</v>
      </c>
      <c r="R75" s="692"/>
      <c r="S75" s="692"/>
      <c r="T75" s="692"/>
      <c r="U75" s="692"/>
      <c r="V75" s="692">
        <f>V64*V$77</f>
        <v>9713.1329219953259</v>
      </c>
      <c r="W75" s="692"/>
      <c r="X75" s="692"/>
      <c r="Y75" s="692"/>
      <c r="Z75" s="692"/>
      <c r="AA75" s="692">
        <f>AA64*AA$77</f>
        <v>10494.000000000002</v>
      </c>
      <c r="AB75" s="692"/>
      <c r="AC75" s="692"/>
      <c r="AD75" s="692"/>
      <c r="AE75" s="692"/>
      <c r="AF75" s="692">
        <f>AF64*AF$77</f>
        <v>10995</v>
      </c>
      <c r="AG75" s="692"/>
      <c r="AH75" s="692"/>
      <c r="AI75" s="692"/>
      <c r="AJ75" s="692"/>
      <c r="AK75" s="692">
        <f>AK64*AK$77</f>
        <v>11421</v>
      </c>
      <c r="AL75" s="692"/>
      <c r="AM75" s="692"/>
      <c r="AN75" s="692"/>
      <c r="AO75" s="692"/>
      <c r="AP75" s="692">
        <f>AP64*AP$77</f>
        <v>12125</v>
      </c>
      <c r="AQ75" s="692"/>
      <c r="AR75" s="692"/>
      <c r="AS75" s="692"/>
      <c r="AT75" s="692"/>
      <c r="AU75" s="697">
        <f>'[1]Malaysian mobile model'!BK17</f>
        <v>12299</v>
      </c>
      <c r="AV75" s="692"/>
      <c r="AW75" s="692"/>
      <c r="AX75" s="699"/>
      <c r="AY75" s="699"/>
      <c r="AZ75" s="697">
        <f>'[1]Malaysian mobile model'!BP17</f>
        <v>11747</v>
      </c>
      <c r="BA75" s="692"/>
      <c r="BB75" s="692"/>
      <c r="BC75" s="692"/>
      <c r="BD75" s="692"/>
      <c r="BE75" s="697">
        <f>'[1]Malaysian mobile model'!BU17</f>
        <v>11660</v>
      </c>
      <c r="BF75" s="692"/>
      <c r="BG75" s="699"/>
      <c r="BH75" s="699"/>
      <c r="BI75" s="699"/>
      <c r="BJ75" s="697">
        <f>'[1]Malaysian mobile model'!BZ17</f>
        <v>11281</v>
      </c>
      <c r="BK75" s="692"/>
      <c r="BL75" s="692"/>
      <c r="BM75" s="692"/>
      <c r="BN75" s="692"/>
      <c r="BO75" s="697">
        <f>'[1]Malaysian mobile model'!CE17</f>
        <v>10441</v>
      </c>
      <c r="BP75" s="692"/>
      <c r="BQ75" s="692"/>
      <c r="BR75" s="692"/>
      <c r="BS75" s="692"/>
      <c r="BT75" s="697">
        <f>'[1]Malaysian mobile model'!CJ17</f>
        <v>10305</v>
      </c>
      <c r="BU75" s="692"/>
      <c r="BV75" s="692"/>
      <c r="BW75" s="692"/>
      <c r="BX75" s="692"/>
      <c r="BY75" s="697">
        <f>'[1]Malaysian mobile model'!CO17</f>
        <v>19985</v>
      </c>
      <c r="BZ75" s="692"/>
      <c r="CA75" s="692"/>
      <c r="CB75" s="692"/>
      <c r="CC75" s="692"/>
      <c r="CD75" s="697">
        <f>'[1]Malaysian mobile model'!CT17</f>
        <v>20420.714</v>
      </c>
      <c r="CE75" s="692"/>
      <c r="CF75" s="692"/>
      <c r="CG75" s="692"/>
      <c r="CH75" s="692"/>
      <c r="CI75" s="697">
        <f>'[2]Malaysian mobile model'!CY17</f>
        <v>18655</v>
      </c>
      <c r="CJ75" s="692"/>
      <c r="CK75" s="692"/>
      <c r="CL75" s="692"/>
      <c r="CM75" s="692"/>
      <c r="CN75" s="697">
        <f>'[2]Malaysian mobile model'!DD17</f>
        <v>19242</v>
      </c>
      <c r="CO75" s="692"/>
      <c r="CP75" s="692"/>
      <c r="CQ75" s="697">
        <f>'[2]Malaysian mobile model'!DA17</f>
        <v>0</v>
      </c>
      <c r="CR75" s="697">
        <f>'[2]Malaysian mobile model'!DB17</f>
        <v>0</v>
      </c>
      <c r="CS75" s="697">
        <f>'[2]Malaysian mobile model'!DC17</f>
        <v>19242</v>
      </c>
      <c r="CT75" s="697">
        <f>'[2]Malaysian mobile model'!DD17</f>
        <v>19242</v>
      </c>
      <c r="CU75" s="697">
        <f>'[2]Malaysian mobile model'!DE17</f>
        <v>18490.388702805692</v>
      </c>
      <c r="CV75" s="697">
        <f>'[2]Malaysian mobile model'!DF17</f>
        <v>18706.937474351631</v>
      </c>
      <c r="CW75" s="697">
        <f>'[2]Malaysian mobile model'!DG17</f>
        <v>18912.717742678251</v>
      </c>
      <c r="CX75" s="159"/>
      <c r="CY75" s="159"/>
      <c r="CZ75" s="159"/>
      <c r="DA75" s="159"/>
      <c r="DB75" s="159"/>
      <c r="DC75" s="159"/>
      <c r="DD75" s="159"/>
      <c r="DO75" s="159"/>
      <c r="DP75" s="162"/>
      <c r="DQ75" s="162"/>
    </row>
    <row r="76" spans="1:121" outlineLevel="1">
      <c r="A76" s="159" t="s">
        <v>198</v>
      </c>
      <c r="B76" s="692">
        <f>B77-SUM(B73:B75)</f>
        <v>0</v>
      </c>
      <c r="C76" s="692"/>
      <c r="D76" s="692"/>
      <c r="E76" s="692"/>
      <c r="F76" s="692"/>
      <c r="G76" s="692">
        <f>G77-SUM(G73:G75)</f>
        <v>0</v>
      </c>
      <c r="H76" s="692"/>
      <c r="I76" s="692"/>
      <c r="J76" s="692"/>
      <c r="K76" s="692"/>
      <c r="L76" s="692">
        <f>L77-SUM(L73:L75)</f>
        <v>304.90024440960042</v>
      </c>
      <c r="M76" s="692"/>
      <c r="N76" s="692"/>
      <c r="O76" s="692"/>
      <c r="P76" s="692"/>
      <c r="Q76" s="692">
        <f>Q77-SUM(Q73:Q75)</f>
        <v>-12</v>
      </c>
      <c r="R76" s="692"/>
      <c r="S76" s="692"/>
      <c r="T76" s="692"/>
      <c r="U76" s="692"/>
      <c r="V76" s="692">
        <f>V77-SUM(V73:V75)</f>
        <v>2271.8670780046741</v>
      </c>
      <c r="W76" s="692"/>
      <c r="X76" s="692"/>
      <c r="Y76" s="692"/>
      <c r="Z76" s="692"/>
      <c r="AA76" s="692">
        <f>AA77-SUM(AA73:AA75)</f>
        <v>4034</v>
      </c>
      <c r="AB76" s="692"/>
      <c r="AC76" s="692"/>
      <c r="AD76" s="692"/>
      <c r="AE76" s="692"/>
      <c r="AF76" s="692">
        <f>AF77-SUM(AF73:AF75)</f>
        <v>5975</v>
      </c>
      <c r="AG76" s="692"/>
      <c r="AH76" s="692"/>
      <c r="AI76" s="692"/>
      <c r="AJ76" s="692"/>
      <c r="AK76" s="692">
        <f>AK77-SUM(AK73:AK75)</f>
        <v>7598</v>
      </c>
      <c r="AL76" s="692"/>
      <c r="AM76" s="692"/>
      <c r="AN76" s="692"/>
      <c r="AO76" s="692"/>
      <c r="AP76" s="692">
        <f>AP77-SUM(AP73:AP75)</f>
        <v>7031</v>
      </c>
      <c r="AQ76" s="692"/>
      <c r="AR76" s="692"/>
      <c r="AS76" s="692"/>
      <c r="AT76" s="692"/>
      <c r="AU76" s="692">
        <f t="shared" ref="AU76" si="312">AU77-SUM(AU73:AU75)</f>
        <v>9527</v>
      </c>
      <c r="AV76" s="692"/>
      <c r="AW76" s="692"/>
      <c r="AX76" s="699"/>
      <c r="AY76" s="699"/>
      <c r="AZ76" s="692">
        <f t="shared" ref="AZ76" si="313">AZ77-SUM(AZ73:AZ75)</f>
        <v>10520</v>
      </c>
      <c r="BA76" s="692"/>
      <c r="BB76" s="692"/>
      <c r="BC76" s="692"/>
      <c r="BD76" s="692"/>
      <c r="BE76" s="692">
        <f t="shared" ref="BE76" si="314">BE77-SUM(BE73:BE75)</f>
        <v>10916</v>
      </c>
      <c r="BF76" s="692"/>
      <c r="BG76" s="699"/>
      <c r="BH76" s="699"/>
      <c r="BI76" s="699"/>
      <c r="BJ76" s="692">
        <f t="shared" ref="BJ76" si="315">BJ77-SUM(BJ73:BJ75)</f>
        <v>13818</v>
      </c>
      <c r="BK76" s="692"/>
      <c r="BL76" s="692"/>
      <c r="BM76" s="692"/>
      <c r="BN76" s="692"/>
      <c r="BO76" s="692">
        <f t="shared" ref="BO76" si="316">BO77-SUM(BO73:BO75)</f>
        <v>13472.600000000006</v>
      </c>
      <c r="BP76" s="692"/>
      <c r="BQ76" s="692"/>
      <c r="BR76" s="692"/>
      <c r="BS76" s="692"/>
      <c r="BT76" s="692">
        <f t="shared" ref="BT76" si="317">BT77-SUM(BT73:BT75)</f>
        <v>15729</v>
      </c>
      <c r="BU76" s="692"/>
      <c r="BV76" s="692"/>
      <c r="BW76" s="692"/>
      <c r="BX76" s="692"/>
      <c r="BY76" s="692">
        <f t="shared" ref="BY76" si="318">BY77-SUM(BY73:BY75)</f>
        <v>15729</v>
      </c>
      <c r="BZ76" s="692"/>
      <c r="CA76" s="692"/>
      <c r="CB76" s="692"/>
      <c r="CC76" s="692"/>
      <c r="CD76" s="692">
        <f t="shared" ref="CD76:CS76" si="319">CD77-SUM(CD73:CD75)</f>
        <v>15729</v>
      </c>
      <c r="CE76" s="692"/>
      <c r="CF76" s="692"/>
      <c r="CG76" s="692"/>
      <c r="CH76" s="692"/>
      <c r="CI76" s="692">
        <f t="shared" si="319"/>
        <v>-15752</v>
      </c>
      <c r="CJ76" s="692"/>
      <c r="CK76" s="692"/>
      <c r="CL76" s="692"/>
      <c r="CM76" s="692"/>
      <c r="CN76" s="692">
        <f t="shared" ref="CN76" si="320">CN77-SUM(CN73:CN75)</f>
        <v>15983.84780069282</v>
      </c>
      <c r="CO76" s="692"/>
      <c r="CP76" s="692"/>
      <c r="CQ76" s="692">
        <f t="shared" si="319"/>
        <v>2139.3864154265611</v>
      </c>
      <c r="CR76" s="692">
        <f t="shared" si="319"/>
        <v>34726.232696441904</v>
      </c>
      <c r="CS76" s="692">
        <f t="shared" si="319"/>
        <v>15332.99334853873</v>
      </c>
      <c r="CT76" s="692">
        <f t="shared" ref="CT76:CV76" si="321">CT77-SUM(CT73:CT75)</f>
        <v>15443.723925926162</v>
      </c>
      <c r="CU76" s="692">
        <f t="shared" si="321"/>
        <v>16628.319236785152</v>
      </c>
      <c r="CV76" s="692">
        <f t="shared" si="321"/>
        <v>16822.131858841865</v>
      </c>
      <c r="CW76" s="692">
        <f t="shared" ref="CW76" si="322">CW77-SUM(CW73:CW75)</f>
        <v>17006.344461038025</v>
      </c>
      <c r="CX76" s="159"/>
      <c r="CY76" s="159"/>
      <c r="CZ76" s="159"/>
      <c r="DA76" s="159"/>
      <c r="DB76" s="159"/>
      <c r="DC76" s="159"/>
      <c r="DD76" s="159"/>
      <c r="DO76" s="159"/>
      <c r="DP76" s="162"/>
      <c r="DQ76" s="162"/>
    </row>
    <row r="77" spans="1:121" outlineLevel="1">
      <c r="A77" s="214" t="s">
        <v>5</v>
      </c>
      <c r="B77" s="700">
        <f>B69*B71</f>
        <v>23376.2</v>
      </c>
      <c r="C77" s="700"/>
      <c r="D77" s="700"/>
      <c r="E77" s="700"/>
      <c r="F77" s="700"/>
      <c r="G77" s="700">
        <f>G69*G71</f>
        <v>27057.1</v>
      </c>
      <c r="H77" s="700"/>
      <c r="I77" s="700"/>
      <c r="J77" s="700"/>
      <c r="K77" s="700"/>
      <c r="L77" s="700">
        <f>L69*L71</f>
        <v>30490.024440960002</v>
      </c>
      <c r="M77" s="700"/>
      <c r="N77" s="700"/>
      <c r="O77" s="700"/>
      <c r="P77" s="700"/>
      <c r="Q77" s="700">
        <f>Q69*Q71</f>
        <v>33900</v>
      </c>
      <c r="R77" s="700"/>
      <c r="S77" s="700"/>
      <c r="T77" s="700"/>
      <c r="U77" s="700"/>
      <c r="V77" s="700">
        <f>V69*V71</f>
        <v>36700</v>
      </c>
      <c r="W77" s="700"/>
      <c r="X77" s="700"/>
      <c r="Y77" s="700"/>
      <c r="Z77" s="700"/>
      <c r="AA77" s="700">
        <f>AA69*AA71</f>
        <v>41300</v>
      </c>
      <c r="AB77" s="700"/>
      <c r="AC77" s="700"/>
      <c r="AD77" s="700"/>
      <c r="AE77" s="700"/>
      <c r="AF77" s="700">
        <f>AF69*AF71</f>
        <v>43000</v>
      </c>
      <c r="AG77" s="700"/>
      <c r="AH77" s="700"/>
      <c r="AI77" s="700"/>
      <c r="AJ77" s="700"/>
      <c r="AK77" s="700">
        <f>AK69*AK71</f>
        <v>44900</v>
      </c>
      <c r="AL77" s="700"/>
      <c r="AM77" s="700"/>
      <c r="AN77" s="700"/>
      <c r="AO77" s="700"/>
      <c r="AP77" s="700">
        <f>AP69*AP71</f>
        <v>44100</v>
      </c>
      <c r="AQ77" s="700"/>
      <c r="AR77" s="700"/>
      <c r="AS77" s="700"/>
      <c r="AT77" s="700"/>
      <c r="AU77" s="701">
        <f>'[1]Malaysian mobile model'!BK21</f>
        <v>44100</v>
      </c>
      <c r="AV77" s="702"/>
      <c r="AW77" s="702"/>
      <c r="AX77" s="702"/>
      <c r="AY77" s="702"/>
      <c r="AZ77" s="701">
        <f>'[1]Malaysian mobile model'!BP21</f>
        <v>42741</v>
      </c>
      <c r="BA77" s="702"/>
      <c r="BB77" s="702"/>
      <c r="BC77" s="702"/>
      <c r="BD77" s="702"/>
      <c r="BE77" s="701">
        <f>'[1]Malaysian mobile model'!BU21</f>
        <v>42413</v>
      </c>
      <c r="BF77" s="700"/>
      <c r="BG77" s="700"/>
      <c r="BH77" s="700"/>
      <c r="BI77" s="700"/>
      <c r="BJ77" s="701">
        <f>'[1]Malaysian mobile model'!BZ21</f>
        <v>44601</v>
      </c>
      <c r="BK77" s="700"/>
      <c r="BL77" s="700"/>
      <c r="BM77" s="700"/>
      <c r="BN77" s="700"/>
      <c r="BO77" s="701">
        <f>'[1]Malaysian mobile model'!CE21</f>
        <v>43723.600000000006</v>
      </c>
      <c r="BP77" s="700"/>
      <c r="BQ77" s="700"/>
      <c r="BR77" s="700"/>
      <c r="BS77" s="700"/>
      <c r="BT77" s="701">
        <f>'[1]Malaysian mobile model'!CJ21</f>
        <v>47247</v>
      </c>
      <c r="BU77" s="700"/>
      <c r="BV77" s="700"/>
      <c r="BW77" s="700"/>
      <c r="BX77" s="700"/>
      <c r="BY77" s="701">
        <f>'[1]Malaysian mobile model'!CO21</f>
        <v>47452</v>
      </c>
      <c r="BZ77" s="700"/>
      <c r="CA77" s="700"/>
      <c r="CB77" s="700"/>
      <c r="CC77" s="700"/>
      <c r="CD77" s="701">
        <f>'[1]Malaysian mobile model'!CT21</f>
        <v>48660.714</v>
      </c>
      <c r="CE77" s="700"/>
      <c r="CF77" s="700"/>
      <c r="CG77" s="700"/>
      <c r="CH77" s="700"/>
      <c r="CI77" s="701">
        <f>'[2]Malaysian mobile model'!CZ21</f>
        <v>15729</v>
      </c>
      <c r="CJ77" s="700"/>
      <c r="CK77" s="700"/>
      <c r="CL77" s="700"/>
      <c r="CM77" s="700"/>
      <c r="CN77" s="701">
        <f>'[2]Malaysian mobile model'!DE21</f>
        <v>48729.84780069282</v>
      </c>
      <c r="CO77" s="700"/>
      <c r="CP77" s="700"/>
      <c r="CQ77" s="701">
        <f>'[2]Malaysian mobile model'!DB21</f>
        <v>15729</v>
      </c>
      <c r="CR77" s="701">
        <f>'[2]Malaysian mobile model'!DC21</f>
        <v>48475</v>
      </c>
      <c r="CS77" s="701">
        <f>'[2]Malaysian mobile model'!DD21</f>
        <v>48475</v>
      </c>
      <c r="CT77" s="701">
        <f>'[2]Malaysian mobile model'!DE21</f>
        <v>48729.84780069282</v>
      </c>
      <c r="CU77" s="701">
        <f>'[2]Malaysian mobile model'!DF21</f>
        <v>49300.543682129828</v>
      </c>
      <c r="CV77" s="701">
        <f>'[2]Malaysian mobile model'!DG21</f>
        <v>49842.860088621615</v>
      </c>
      <c r="CW77" s="701">
        <f>'[2]Malaysian mobile model'!DH21</f>
        <v>50359.637869934115</v>
      </c>
      <c r="CX77" s="159"/>
      <c r="CY77" s="159"/>
      <c r="CZ77" s="159"/>
      <c r="DA77" s="159"/>
      <c r="DB77" s="159"/>
      <c r="DC77" s="170"/>
      <c r="DD77" s="170"/>
      <c r="DE77" s="170"/>
      <c r="DF77" s="170"/>
      <c r="DG77" s="170"/>
      <c r="DH77" s="170"/>
      <c r="DI77" s="170"/>
      <c r="DJ77" s="170"/>
      <c r="DK77" s="170"/>
      <c r="DL77" s="170"/>
      <c r="DM77" s="170"/>
    </row>
    <row r="78" spans="1:121" outlineLevel="1">
      <c r="A78" s="215" t="s">
        <v>8</v>
      </c>
      <c r="B78" s="216"/>
      <c r="C78" s="216"/>
      <c r="D78" s="216"/>
      <c r="E78" s="216"/>
      <c r="F78" s="216"/>
      <c r="G78" s="216">
        <f>G77/B77-1</f>
        <v>0.15746357406250788</v>
      </c>
      <c r="H78" s="216"/>
      <c r="I78" s="216"/>
      <c r="J78" s="216"/>
      <c r="K78" s="216"/>
      <c r="L78" s="216">
        <f>L77/G77-1</f>
        <v>0.12687702824619063</v>
      </c>
      <c r="M78" s="216"/>
      <c r="N78" s="216"/>
      <c r="O78" s="216"/>
      <c r="P78" s="216"/>
      <c r="Q78" s="216">
        <f>Q77/L77-1</f>
        <v>0.11183905626717272</v>
      </c>
      <c r="R78" s="216"/>
      <c r="S78" s="216"/>
      <c r="T78" s="216"/>
      <c r="U78" s="216"/>
      <c r="V78" s="216">
        <f>V77/Q77-1</f>
        <v>8.259587020648973E-2</v>
      </c>
      <c r="W78" s="216"/>
      <c r="X78" s="216"/>
      <c r="Y78" s="216"/>
      <c r="Z78" s="216"/>
      <c r="AA78" s="216">
        <f>AA77/V77-1</f>
        <v>0.12534059945504095</v>
      </c>
      <c r="AB78" s="216"/>
      <c r="AC78" s="216"/>
      <c r="AD78" s="216"/>
      <c r="AE78" s="216"/>
      <c r="AF78" s="216">
        <f>AF77/AA77-1</f>
        <v>4.1162227602905554E-2</v>
      </c>
      <c r="AG78" s="216"/>
      <c r="AH78" s="216"/>
      <c r="AI78" s="216"/>
      <c r="AJ78" s="216"/>
      <c r="AK78" s="216">
        <f>AK77/AF77-1</f>
        <v>4.4186046511627941E-2</v>
      </c>
      <c r="AL78" s="216"/>
      <c r="AM78" s="216"/>
      <c r="AN78" s="216"/>
      <c r="AO78" s="216"/>
      <c r="AP78" s="216">
        <f>AP77/AK77-1</f>
        <v>-1.7817371937639215E-2</v>
      </c>
      <c r="AQ78" s="216"/>
      <c r="AR78" s="216"/>
      <c r="AS78" s="216"/>
      <c r="AT78" s="216"/>
      <c r="AU78" s="216">
        <f>AU77/AP77-1</f>
        <v>0</v>
      </c>
      <c r="AV78" s="216"/>
      <c r="AW78" s="216"/>
      <c r="AX78" s="217"/>
      <c r="AY78" s="217"/>
      <c r="AZ78" s="216">
        <f>AZ77/AU77-1</f>
        <v>-3.0816326530612281E-2</v>
      </c>
      <c r="BA78" s="216"/>
      <c r="BB78" s="216"/>
      <c r="BC78" s="216"/>
      <c r="BD78" s="216"/>
      <c r="BE78" s="216">
        <f>BE77/AZ77-1</f>
        <v>-7.6741302262464117E-3</v>
      </c>
      <c r="BF78" s="216"/>
      <c r="BG78" s="217"/>
      <c r="BH78" s="217"/>
      <c r="BI78" s="217"/>
      <c r="BJ78" s="216">
        <f>BJ77/BE77-1</f>
        <v>5.1587956522764156E-2</v>
      </c>
      <c r="BK78" s="216"/>
      <c r="BL78" s="216"/>
      <c r="BM78" s="216"/>
      <c r="BN78" s="216"/>
      <c r="BO78" s="216">
        <f>BO77/BJ77-1</f>
        <v>-1.9672204659088255E-2</v>
      </c>
      <c r="BP78" s="216"/>
      <c r="BQ78" s="216"/>
      <c r="BR78" s="216"/>
      <c r="BS78" s="216"/>
      <c r="BT78" s="216">
        <f>BT77/BO77-1</f>
        <v>8.0583483519197641E-2</v>
      </c>
      <c r="BU78" s="210"/>
      <c r="BV78" s="210"/>
      <c r="BW78" s="210"/>
      <c r="BX78" s="210"/>
      <c r="BY78" s="216">
        <f>BY77/BT77-1</f>
        <v>4.3388998243274468E-3</v>
      </c>
      <c r="BZ78" s="210"/>
      <c r="CA78" s="210"/>
      <c r="CB78" s="210"/>
      <c r="CC78" s="210"/>
      <c r="CD78" s="216">
        <f>CD77/BY77-1</f>
        <v>2.5472351007333804E-2</v>
      </c>
      <c r="CE78" s="210"/>
      <c r="CF78" s="210"/>
      <c r="CG78" s="210"/>
      <c r="CH78" s="210"/>
      <c r="CI78" s="216">
        <f>CI77/CD77-1</f>
        <v>-0.67676183296447312</v>
      </c>
      <c r="CJ78" s="210"/>
      <c r="CK78" s="210"/>
      <c r="CL78" s="210"/>
      <c r="CM78" s="210"/>
      <c r="CN78" s="216">
        <f>CN77/CI77-1</f>
        <v>2.0980893763553197</v>
      </c>
      <c r="CO78" s="210"/>
      <c r="CP78" s="210"/>
      <c r="CQ78" s="216">
        <f>CQ77/CN77-1</f>
        <v>-0.67722041603059613</v>
      </c>
      <c r="CR78" s="216">
        <f t="shared" ref="CR78:CS78" si="323">CR77/CQ77-1</f>
        <v>2.0818869603916332</v>
      </c>
      <c r="CS78" s="216">
        <f t="shared" si="323"/>
        <v>0</v>
      </c>
      <c r="CT78" s="216">
        <f t="shared" ref="CT78" si="324">CT77/CS77-1</f>
        <v>5.2573037791194821E-3</v>
      </c>
      <c r="CU78" s="216">
        <f t="shared" ref="CU78" si="325">CU77/CT77-1</f>
        <v>1.1711423433358181E-2</v>
      </c>
      <c r="CV78" s="216">
        <f t="shared" ref="CV78:CW78" si="326">CV77/CU77-1</f>
        <v>1.1000211478161992E-2</v>
      </c>
      <c r="CW78" s="216">
        <f t="shared" si="326"/>
        <v>1.0368140600151232E-2</v>
      </c>
      <c r="CX78" s="381"/>
      <c r="CY78" s="381"/>
      <c r="CZ78" s="381"/>
      <c r="DA78" s="381"/>
      <c r="DB78" s="890"/>
      <c r="DC78" s="170"/>
      <c r="DD78" s="170"/>
      <c r="DE78" s="170"/>
      <c r="DF78" s="170"/>
      <c r="DG78" s="170"/>
      <c r="DH78" s="170"/>
      <c r="DI78" s="170"/>
      <c r="DJ78" s="170"/>
      <c r="DK78" s="170"/>
      <c r="DL78" s="170"/>
      <c r="DM78" s="170"/>
    </row>
    <row r="79" spans="1:121" outlineLevel="1">
      <c r="A79" s="197"/>
      <c r="B79" s="219"/>
      <c r="C79" s="219"/>
      <c r="D79" s="219"/>
      <c r="E79" s="219"/>
      <c r="F79" s="219"/>
      <c r="G79" s="219"/>
      <c r="H79" s="219"/>
      <c r="I79" s="219"/>
      <c r="J79" s="219"/>
      <c r="K79" s="219"/>
      <c r="L79" s="219"/>
      <c r="M79" s="219"/>
      <c r="N79" s="219"/>
      <c r="O79" s="219"/>
      <c r="P79" s="219"/>
      <c r="Q79" s="219"/>
      <c r="R79" s="219"/>
      <c r="S79" s="219"/>
      <c r="T79" s="219"/>
      <c r="U79" s="219"/>
      <c r="V79" s="219"/>
      <c r="W79" s="219"/>
      <c r="X79" s="219"/>
      <c r="Y79" s="219"/>
      <c r="Z79" s="219"/>
      <c r="AA79" s="219"/>
      <c r="AB79" s="219"/>
      <c r="AC79" s="219"/>
      <c r="AD79" s="219"/>
      <c r="AE79" s="219"/>
      <c r="AF79" s="190"/>
      <c r="AG79" s="190"/>
      <c r="AH79" s="190"/>
      <c r="AI79" s="190"/>
      <c r="AJ79" s="190"/>
      <c r="AK79" s="196"/>
      <c r="AL79" s="196"/>
      <c r="AM79" s="196"/>
      <c r="AN79" s="196"/>
      <c r="AO79" s="196"/>
      <c r="AP79" s="159"/>
      <c r="AQ79" s="159"/>
      <c r="AR79" s="159"/>
      <c r="AS79" s="159"/>
      <c r="AT79" s="159"/>
      <c r="AU79" s="159"/>
      <c r="AV79" s="159"/>
      <c r="AW79" s="159"/>
      <c r="AX79" s="159"/>
      <c r="AY79" s="159"/>
      <c r="AZ79" s="159"/>
      <c r="BA79" s="159"/>
      <c r="BB79" s="159"/>
      <c r="BC79" s="159"/>
      <c r="BD79" s="159"/>
      <c r="BE79" s="159"/>
      <c r="BF79" s="159"/>
      <c r="BG79" s="159"/>
      <c r="BH79" s="159"/>
      <c r="BI79" s="159"/>
      <c r="BJ79" s="159"/>
      <c r="BK79" s="159"/>
      <c r="BL79" s="159"/>
      <c r="BM79" s="159"/>
      <c r="BN79" s="159"/>
      <c r="BO79" s="159"/>
      <c r="BP79" s="159"/>
      <c r="BQ79" s="159"/>
      <c r="BR79" s="159"/>
      <c r="BS79" s="159"/>
      <c r="BT79" s="159"/>
      <c r="BU79" s="159"/>
      <c r="BV79" s="159"/>
      <c r="BW79" s="159"/>
      <c r="BX79" s="159"/>
      <c r="BY79" s="159"/>
      <c r="BZ79" s="159"/>
      <c r="CA79" s="159"/>
      <c r="CB79" s="159"/>
      <c r="CC79" s="159"/>
      <c r="CD79" s="159"/>
      <c r="CE79" s="159"/>
      <c r="CF79" s="159"/>
      <c r="CG79" s="159"/>
      <c r="CH79" s="159"/>
      <c r="CI79" s="216">
        <f>CI73/CD73-1</f>
        <v>2.5177843497721897E-2</v>
      </c>
      <c r="CJ79" s="159"/>
      <c r="CK79" s="159"/>
      <c r="CL79" s="159"/>
      <c r="CM79" s="159"/>
      <c r="CN79" s="216">
        <f>CN73/CI73-1</f>
        <v>5.2861375331358262E-2</v>
      </c>
      <c r="CO79" s="159"/>
      <c r="CP79" s="159"/>
      <c r="CQ79" s="216">
        <f>CQ73/CN73-1</f>
        <v>6.3398685258766463E-3</v>
      </c>
      <c r="CR79" s="216">
        <f t="shared" ref="CR79:CW79" si="327">CR73/CQ73-1</f>
        <v>1.1711423433358181E-2</v>
      </c>
      <c r="CS79" s="216">
        <f t="shared" si="327"/>
        <v>1.1000211478161992E-2</v>
      </c>
      <c r="CT79" s="216">
        <f t="shared" si="327"/>
        <v>1.0368140600151232E-2</v>
      </c>
      <c r="CU79" s="216">
        <f t="shared" si="327"/>
        <v>9.8056574408142971E-3</v>
      </c>
      <c r="CV79" s="216">
        <f t="shared" si="327"/>
        <v>9.3045086182552694E-3</v>
      </c>
      <c r="CW79" s="216">
        <f t="shared" si="327"/>
        <v>8.857535572234454E-3</v>
      </c>
      <c r="CX79" s="159"/>
      <c r="CY79" s="159"/>
      <c r="CZ79" s="159"/>
      <c r="DA79" s="159"/>
      <c r="DB79" s="220"/>
      <c r="DC79" s="170"/>
      <c r="DD79" s="170"/>
      <c r="DE79" s="170"/>
      <c r="DF79" s="170"/>
      <c r="DG79" s="170"/>
      <c r="DH79" s="170"/>
      <c r="DI79" s="170"/>
      <c r="DJ79" s="170"/>
      <c r="DK79" s="170"/>
      <c r="DL79" s="170"/>
      <c r="DM79" s="170"/>
    </row>
    <row r="80" spans="1:121" outlineLevel="1">
      <c r="A80" s="199" t="s">
        <v>11</v>
      </c>
      <c r="B80" s="199">
        <f>B68</f>
        <v>2007</v>
      </c>
      <c r="C80" s="199"/>
      <c r="D80" s="199"/>
      <c r="E80" s="199"/>
      <c r="F80" s="199"/>
      <c r="G80" s="199">
        <f>B80+1</f>
        <v>2008</v>
      </c>
      <c r="H80" s="199"/>
      <c r="I80" s="199"/>
      <c r="J80" s="199"/>
      <c r="K80" s="199"/>
      <c r="L80" s="199">
        <f>G80+1</f>
        <v>2009</v>
      </c>
      <c r="M80" s="199"/>
      <c r="N80" s="199"/>
      <c r="O80" s="199"/>
      <c r="P80" s="199"/>
      <c r="Q80" s="199">
        <f>L80+1</f>
        <v>2010</v>
      </c>
      <c r="R80" s="199"/>
      <c r="S80" s="199"/>
      <c r="T80" s="199"/>
      <c r="U80" s="199"/>
      <c r="V80" s="199">
        <f>Q80+1</f>
        <v>2011</v>
      </c>
      <c r="W80" s="199"/>
      <c r="X80" s="199"/>
      <c r="Y80" s="199"/>
      <c r="Z80" s="199"/>
      <c r="AA80" s="199">
        <f>V80+1</f>
        <v>2012</v>
      </c>
      <c r="AB80" s="199"/>
      <c r="AC80" s="199"/>
      <c r="AD80" s="199"/>
      <c r="AE80" s="199"/>
      <c r="AF80" s="199">
        <f>AA80+1</f>
        <v>2013</v>
      </c>
      <c r="AG80" s="199"/>
      <c r="AH80" s="199"/>
      <c r="AI80" s="199"/>
      <c r="AJ80" s="199"/>
      <c r="AK80" s="199">
        <f>AF80+1</f>
        <v>2014</v>
      </c>
      <c r="AL80" s="199"/>
      <c r="AM80" s="199"/>
      <c r="AN80" s="199"/>
      <c r="AO80" s="199"/>
      <c r="AP80" s="199">
        <f>AK80+1</f>
        <v>2015</v>
      </c>
      <c r="AQ80" s="199"/>
      <c r="AR80" s="199"/>
      <c r="AS80" s="199"/>
      <c r="AT80" s="199"/>
      <c r="AU80" s="199">
        <f>AP80+1</f>
        <v>2016</v>
      </c>
      <c r="AV80" s="199"/>
      <c r="AW80" s="199"/>
      <c r="AX80" s="199"/>
      <c r="AY80" s="199"/>
      <c r="AZ80" s="199">
        <f>AU80+1</f>
        <v>2017</v>
      </c>
      <c r="BA80" s="199"/>
      <c r="BB80" s="199"/>
      <c r="BC80" s="199"/>
      <c r="BD80" s="199"/>
      <c r="BE80" s="199">
        <f>AZ80+1</f>
        <v>2018</v>
      </c>
      <c r="BF80" s="199"/>
      <c r="BG80" s="199"/>
      <c r="BH80" s="199"/>
      <c r="BI80" s="199"/>
      <c r="BJ80" s="199">
        <f>BE80+1</f>
        <v>2019</v>
      </c>
      <c r="BK80" s="199"/>
      <c r="BL80" s="199"/>
      <c r="BM80" s="199"/>
      <c r="BN80" s="199"/>
      <c r="BO80" s="199">
        <f>BJ80+1</f>
        <v>2020</v>
      </c>
      <c r="BP80" s="199"/>
      <c r="BQ80" s="199"/>
      <c r="BR80" s="199"/>
      <c r="BS80" s="199"/>
      <c r="BT80" s="199">
        <f>BO80+1</f>
        <v>2021</v>
      </c>
      <c r="BU80" s="199"/>
      <c r="BV80" s="199"/>
      <c r="BW80" s="199"/>
      <c r="BX80" s="199"/>
      <c r="BY80" s="199">
        <f>BT80+1</f>
        <v>2022</v>
      </c>
      <c r="BZ80" s="199"/>
      <c r="CA80" s="199"/>
      <c r="CB80" s="199"/>
      <c r="CC80" s="199"/>
      <c r="CD80" s="199">
        <f>BY80+1</f>
        <v>2023</v>
      </c>
      <c r="CE80" s="199"/>
      <c r="CF80" s="199"/>
      <c r="CG80" s="199"/>
      <c r="CH80" s="199"/>
      <c r="CI80" s="199">
        <f>CD80+1</f>
        <v>2024</v>
      </c>
      <c r="CJ80" s="199"/>
      <c r="CK80" s="199"/>
      <c r="CL80" s="199"/>
      <c r="CM80" s="199"/>
      <c r="CN80" s="199">
        <f>CI80+1</f>
        <v>2025</v>
      </c>
      <c r="CO80" s="199"/>
      <c r="CP80" s="199"/>
      <c r="CQ80" s="199">
        <f>CN80+1</f>
        <v>2026</v>
      </c>
      <c r="CR80" s="199">
        <f t="shared" ref="CR80:CS80" si="328">CQ80+1</f>
        <v>2027</v>
      </c>
      <c r="CS80" s="199">
        <f t="shared" si="328"/>
        <v>2028</v>
      </c>
      <c r="CT80" s="199">
        <f t="shared" ref="CT80" si="329">CS80+1</f>
        <v>2029</v>
      </c>
      <c r="CU80" s="199">
        <f t="shared" ref="CU80" si="330">CT80+1</f>
        <v>2030</v>
      </c>
      <c r="CV80" s="199">
        <f t="shared" ref="CV80:CW80" si="331">CU80+1</f>
        <v>2031</v>
      </c>
      <c r="CW80" s="199">
        <f t="shared" si="331"/>
        <v>2032</v>
      </c>
      <c r="CX80" s="159"/>
      <c r="CY80" s="159"/>
      <c r="CZ80" s="159"/>
      <c r="DA80" s="159"/>
      <c r="DB80" s="159"/>
      <c r="DC80" s="159"/>
      <c r="DD80" s="159"/>
    </row>
    <row r="81" spans="1:123" outlineLevel="1">
      <c r="A81" s="159" t="s">
        <v>245</v>
      </c>
      <c r="B81" s="690"/>
      <c r="C81" s="690"/>
      <c r="D81" s="690"/>
      <c r="E81" s="690"/>
      <c r="F81" s="690"/>
      <c r="G81" s="690">
        <f>G73-B73</f>
        <v>1468.8999999999996</v>
      </c>
      <c r="H81" s="690"/>
      <c r="I81" s="690"/>
      <c r="J81" s="690"/>
      <c r="K81" s="690"/>
      <c r="L81" s="690">
        <f>L73-G73</f>
        <v>1086.024196550401</v>
      </c>
      <c r="M81" s="690"/>
      <c r="N81" s="690"/>
      <c r="O81" s="690"/>
      <c r="P81" s="690"/>
      <c r="Q81" s="690">
        <f>Q73-L73</f>
        <v>1633.8758034495986</v>
      </c>
      <c r="R81" s="690"/>
      <c r="S81" s="690"/>
      <c r="T81" s="690"/>
      <c r="U81" s="690"/>
      <c r="V81" s="690">
        <f>V73-Q73</f>
        <v>-1219</v>
      </c>
      <c r="W81" s="690"/>
      <c r="X81" s="690"/>
      <c r="Y81" s="690"/>
      <c r="Z81" s="690"/>
      <c r="AA81" s="690">
        <f>AA73-V73</f>
        <v>1356</v>
      </c>
      <c r="AB81" s="690"/>
      <c r="AC81" s="690"/>
      <c r="AD81" s="690"/>
      <c r="AE81" s="690"/>
      <c r="AF81" s="690">
        <f>AF73-AA73</f>
        <v>-1198</v>
      </c>
      <c r="AG81" s="690"/>
      <c r="AH81" s="690"/>
      <c r="AI81" s="690"/>
      <c r="AJ81" s="690"/>
      <c r="AK81" s="690">
        <f>AK73-AF73</f>
        <v>20</v>
      </c>
      <c r="AL81" s="690"/>
      <c r="AM81" s="690"/>
      <c r="AN81" s="690"/>
      <c r="AO81" s="690"/>
      <c r="AP81" s="690">
        <f>AP73-AK73</f>
        <v>-219</v>
      </c>
      <c r="AQ81" s="690"/>
      <c r="AR81" s="690"/>
      <c r="AS81" s="690"/>
      <c r="AT81" s="690"/>
      <c r="AU81" s="690">
        <f>AU73-AP73</f>
        <v>-976</v>
      </c>
      <c r="AV81" s="690"/>
      <c r="AW81" s="690"/>
      <c r="AX81" s="691"/>
      <c r="AY81" s="691"/>
      <c r="AZ81" s="690">
        <f>AZ73-AU73</f>
        <v>-790</v>
      </c>
      <c r="BA81" s="690"/>
      <c r="BB81" s="690"/>
      <c r="BC81" s="690"/>
      <c r="BD81" s="690"/>
      <c r="BE81" s="690">
        <f>BE73-AZ73</f>
        <v>-167</v>
      </c>
      <c r="BF81" s="690"/>
      <c r="BG81" s="691"/>
      <c r="BH81" s="691"/>
      <c r="BI81" s="691"/>
      <c r="BJ81" s="690">
        <f>BJ73-BE73</f>
        <v>369</v>
      </c>
      <c r="BK81" s="690"/>
      <c r="BL81" s="690"/>
      <c r="BM81" s="690"/>
      <c r="BN81" s="690"/>
      <c r="BO81" s="690">
        <f>BO73-BJ73</f>
        <v>2</v>
      </c>
      <c r="BP81" s="690"/>
      <c r="BQ81" s="690"/>
      <c r="BR81" s="690"/>
      <c r="BS81" s="690"/>
      <c r="BT81" s="690">
        <f>BT73-BO73</f>
        <v>486</v>
      </c>
      <c r="BU81" s="692"/>
      <c r="BV81" s="692"/>
      <c r="BW81" s="692"/>
      <c r="BX81" s="692"/>
      <c r="BY81" s="690">
        <f>BY73-BT73</f>
        <v>120</v>
      </c>
      <c r="BZ81" s="692"/>
      <c r="CA81" s="692"/>
      <c r="CB81" s="692"/>
      <c r="CC81" s="692"/>
      <c r="CD81" s="690">
        <f>CD73-BY73</f>
        <v>773</v>
      </c>
      <c r="CE81" s="692"/>
      <c r="CF81" s="692"/>
      <c r="CG81" s="692"/>
      <c r="CH81" s="692"/>
      <c r="CI81" s="690">
        <f>CI73-CD73</f>
        <v>315</v>
      </c>
      <c r="CJ81" s="692"/>
      <c r="CK81" s="692"/>
      <c r="CL81" s="692"/>
      <c r="CM81" s="692"/>
      <c r="CN81" s="690">
        <f>CN73-CI73</f>
        <v>678</v>
      </c>
      <c r="CO81" s="692"/>
      <c r="CP81" s="692"/>
      <c r="CQ81" s="690">
        <f>CQ73-CN73</f>
        <v>85.613584573438857</v>
      </c>
      <c r="CR81" s="690">
        <f t="shared" ref="CR81:CS81" si="332">CR73-CQ73</f>
        <v>159.15371898465492</v>
      </c>
      <c r="CS81" s="690">
        <f t="shared" si="332"/>
        <v>151.23934790317799</v>
      </c>
      <c r="CT81" s="690">
        <f t="shared" ref="CT81:CT85" si="333">CT73-CS73</f>
        <v>144.1172233053876</v>
      </c>
      <c r="CU81" s="690">
        <f t="shared" ref="CU81:CU85" si="334">CU73-CT73</f>
        <v>137.71186777232288</v>
      </c>
      <c r="CV81" s="690">
        <f t="shared" ref="CV81:CW85" si="335">CV73-CU73</f>
        <v>131.95501288913329</v>
      </c>
      <c r="CW81" s="690">
        <f t="shared" si="335"/>
        <v>126.78491078972547</v>
      </c>
      <c r="CX81" s="159"/>
      <c r="CY81" s="159"/>
      <c r="CZ81" s="159"/>
      <c r="DA81" s="159"/>
      <c r="DB81" s="159"/>
      <c r="DC81" s="159"/>
      <c r="DD81" s="159"/>
    </row>
    <row r="82" spans="1:123" outlineLevel="1">
      <c r="A82" s="159" t="s">
        <v>246</v>
      </c>
      <c r="B82" s="690"/>
      <c r="C82" s="690"/>
      <c r="D82" s="690"/>
      <c r="E82" s="690"/>
      <c r="F82" s="690"/>
      <c r="G82" s="690">
        <f>G74-B74</f>
        <v>1559</v>
      </c>
      <c r="H82" s="690"/>
      <c r="I82" s="690"/>
      <c r="J82" s="690"/>
      <c r="K82" s="690"/>
      <c r="L82" s="690">
        <f>L74-G74</f>
        <v>1384</v>
      </c>
      <c r="M82" s="690"/>
      <c r="N82" s="690"/>
      <c r="O82" s="690"/>
      <c r="P82" s="690"/>
      <c r="Q82" s="690">
        <f>Q74-L74</f>
        <v>1048</v>
      </c>
      <c r="R82" s="690"/>
      <c r="S82" s="690"/>
      <c r="T82" s="690"/>
      <c r="U82" s="690"/>
      <c r="V82" s="690">
        <f>V74-Q74</f>
        <v>787</v>
      </c>
      <c r="W82" s="690"/>
      <c r="X82" s="690"/>
      <c r="Y82" s="690"/>
      <c r="Z82" s="690"/>
      <c r="AA82" s="690">
        <f>AA74-V74</f>
        <v>701</v>
      </c>
      <c r="AB82" s="690"/>
      <c r="AC82" s="690"/>
      <c r="AD82" s="690"/>
      <c r="AE82" s="690"/>
      <c r="AF82" s="690">
        <f>AF74-AA74</f>
        <v>456</v>
      </c>
      <c r="AG82" s="690"/>
      <c r="AH82" s="690"/>
      <c r="AI82" s="690"/>
      <c r="AJ82" s="690"/>
      <c r="AK82" s="690">
        <f>AK74-AF74</f>
        <v>-169</v>
      </c>
      <c r="AL82" s="690"/>
      <c r="AM82" s="690"/>
      <c r="AN82" s="690"/>
      <c r="AO82" s="690"/>
      <c r="AP82" s="690">
        <f>AP74-AK74</f>
        <v>-718</v>
      </c>
      <c r="AQ82" s="690"/>
      <c r="AR82" s="690"/>
      <c r="AS82" s="690"/>
      <c r="AT82" s="690"/>
      <c r="AU82" s="690">
        <f>AU74-AP74</f>
        <v>-1694</v>
      </c>
      <c r="AV82" s="690"/>
      <c r="AW82" s="690"/>
      <c r="AX82" s="691"/>
      <c r="AY82" s="691"/>
      <c r="AZ82" s="690">
        <f>AZ74-AU74</f>
        <v>-1010</v>
      </c>
      <c r="BA82" s="690"/>
      <c r="BB82" s="690"/>
      <c r="BC82" s="690"/>
      <c r="BD82" s="690"/>
      <c r="BE82" s="690">
        <f>BE74-AZ74</f>
        <v>-470</v>
      </c>
      <c r="BF82" s="690"/>
      <c r="BG82" s="691"/>
      <c r="BH82" s="691"/>
      <c r="BI82" s="691"/>
      <c r="BJ82" s="690">
        <f>BJ74-BE74</f>
        <v>-704</v>
      </c>
      <c r="BK82" s="690"/>
      <c r="BL82" s="690"/>
      <c r="BM82" s="690"/>
      <c r="BN82" s="690"/>
      <c r="BO82" s="690">
        <f>BO74-BJ74</f>
        <v>306</v>
      </c>
      <c r="BP82" s="690"/>
      <c r="BQ82" s="690"/>
      <c r="BR82" s="690"/>
      <c r="BS82" s="690"/>
      <c r="BT82" s="690">
        <f>BT74-BO74</f>
        <v>917</v>
      </c>
      <c r="BU82" s="692"/>
      <c r="BV82" s="692"/>
      <c r="BW82" s="692"/>
      <c r="BX82" s="692"/>
      <c r="BY82" s="690">
        <f>BY74-BT74</f>
        <v>-9595</v>
      </c>
      <c r="BZ82" s="692"/>
      <c r="CA82" s="692"/>
      <c r="CB82" s="692"/>
      <c r="CC82" s="692"/>
      <c r="CD82" s="690">
        <f>CD74-BY74</f>
        <v>0</v>
      </c>
      <c r="CE82" s="692"/>
      <c r="CF82" s="692"/>
      <c r="CG82" s="692"/>
      <c r="CH82" s="692"/>
      <c r="CI82" s="690">
        <f>CI74-CD74</f>
        <v>0</v>
      </c>
      <c r="CJ82" s="692"/>
      <c r="CK82" s="692"/>
      <c r="CL82" s="692"/>
      <c r="CM82" s="692"/>
      <c r="CN82" s="690">
        <f>CN74-CI74</f>
        <v>0</v>
      </c>
      <c r="CO82" s="692"/>
      <c r="CP82" s="692"/>
      <c r="CQ82" s="690">
        <f>CQ74-CN74</f>
        <v>0</v>
      </c>
      <c r="CR82" s="690">
        <f t="shared" ref="CR82:CS82" si="336">CR74-CQ74</f>
        <v>0</v>
      </c>
      <c r="CS82" s="690">
        <f t="shared" si="336"/>
        <v>0</v>
      </c>
      <c r="CT82" s="690">
        <f t="shared" si="333"/>
        <v>0</v>
      </c>
      <c r="CU82" s="690">
        <f t="shared" si="334"/>
        <v>0</v>
      </c>
      <c r="CV82" s="690">
        <f t="shared" si="335"/>
        <v>0</v>
      </c>
      <c r="CW82" s="690">
        <f t="shared" si="335"/>
        <v>0</v>
      </c>
      <c r="CX82" s="159"/>
      <c r="CY82" s="159"/>
      <c r="CZ82" s="159"/>
      <c r="DA82" s="159"/>
      <c r="DB82" s="159"/>
      <c r="DC82" s="159"/>
      <c r="DD82" s="159"/>
      <c r="DO82" s="221"/>
      <c r="DP82" s="221"/>
      <c r="DQ82" s="221"/>
      <c r="DR82" s="221"/>
      <c r="DS82" s="221"/>
    </row>
    <row r="83" spans="1:123" outlineLevel="1">
      <c r="A83" s="159" t="s">
        <v>247</v>
      </c>
      <c r="B83" s="690"/>
      <c r="C83" s="690"/>
      <c r="D83" s="690"/>
      <c r="E83" s="690"/>
      <c r="F83" s="690"/>
      <c r="G83" s="690">
        <f>G75-B75</f>
        <v>653.00000000000091</v>
      </c>
      <c r="H83" s="690"/>
      <c r="I83" s="690"/>
      <c r="J83" s="690"/>
      <c r="K83" s="690"/>
      <c r="L83" s="690">
        <f>L75-G75</f>
        <v>658</v>
      </c>
      <c r="M83" s="690"/>
      <c r="N83" s="690"/>
      <c r="O83" s="690"/>
      <c r="P83" s="690"/>
      <c r="Q83" s="690">
        <f>Q75-L75</f>
        <v>1045</v>
      </c>
      <c r="R83" s="690"/>
      <c r="S83" s="690"/>
      <c r="T83" s="690"/>
      <c r="U83" s="690"/>
      <c r="V83" s="690">
        <f>V75-Q75</f>
        <v>948.13292199532589</v>
      </c>
      <c r="W83" s="690"/>
      <c r="X83" s="690"/>
      <c r="Y83" s="690"/>
      <c r="Z83" s="690"/>
      <c r="AA83" s="690">
        <f>AA75-V75</f>
        <v>780.86707800467593</v>
      </c>
      <c r="AB83" s="690"/>
      <c r="AC83" s="690"/>
      <c r="AD83" s="690"/>
      <c r="AE83" s="690"/>
      <c r="AF83" s="690">
        <f>AF75-AA75</f>
        <v>500.99999999999818</v>
      </c>
      <c r="AG83" s="690"/>
      <c r="AH83" s="690"/>
      <c r="AI83" s="690"/>
      <c r="AJ83" s="690"/>
      <c r="AK83" s="690">
        <f>AK75-AF75</f>
        <v>426</v>
      </c>
      <c r="AL83" s="690"/>
      <c r="AM83" s="690"/>
      <c r="AN83" s="690"/>
      <c r="AO83" s="690"/>
      <c r="AP83" s="690">
        <f>AP75-AK75</f>
        <v>704</v>
      </c>
      <c r="AQ83" s="690"/>
      <c r="AR83" s="690"/>
      <c r="AS83" s="690"/>
      <c r="AT83" s="690"/>
      <c r="AU83" s="690">
        <f>AU75-AP75</f>
        <v>174</v>
      </c>
      <c r="AV83" s="690"/>
      <c r="AW83" s="690"/>
      <c r="AX83" s="691"/>
      <c r="AY83" s="691"/>
      <c r="AZ83" s="690">
        <f>AZ75-AU75</f>
        <v>-552</v>
      </c>
      <c r="BA83" s="690"/>
      <c r="BB83" s="690"/>
      <c r="BC83" s="690"/>
      <c r="BD83" s="690"/>
      <c r="BE83" s="690">
        <f>BE75-AZ75</f>
        <v>-87</v>
      </c>
      <c r="BF83" s="690"/>
      <c r="BG83" s="691"/>
      <c r="BH83" s="691"/>
      <c r="BI83" s="691"/>
      <c r="BJ83" s="690">
        <f>BJ75-BE75</f>
        <v>-379</v>
      </c>
      <c r="BK83" s="690"/>
      <c r="BL83" s="690"/>
      <c r="BM83" s="690"/>
      <c r="BN83" s="690"/>
      <c r="BO83" s="690">
        <f>BO75-BJ75</f>
        <v>-840</v>
      </c>
      <c r="BP83" s="690"/>
      <c r="BQ83" s="690"/>
      <c r="BR83" s="690"/>
      <c r="BS83" s="690"/>
      <c r="BT83" s="690">
        <f>BT75-BO75</f>
        <v>-136</v>
      </c>
      <c r="BU83" s="692"/>
      <c r="BV83" s="692"/>
      <c r="BW83" s="692"/>
      <c r="BX83" s="692"/>
      <c r="BY83" s="690">
        <f>BY75-BT75</f>
        <v>9680</v>
      </c>
      <c r="BZ83" s="692"/>
      <c r="CA83" s="692"/>
      <c r="CB83" s="692"/>
      <c r="CC83" s="692"/>
      <c r="CD83" s="690">
        <f>CD75-BY75</f>
        <v>435.71399999999994</v>
      </c>
      <c r="CE83" s="692"/>
      <c r="CF83" s="692"/>
      <c r="CG83" s="692"/>
      <c r="CH83" s="692"/>
      <c r="CI83" s="690">
        <f>CI75-CD75</f>
        <v>-1765.7139999999999</v>
      </c>
      <c r="CJ83" s="692"/>
      <c r="CK83" s="692"/>
      <c r="CL83" s="692"/>
      <c r="CM83" s="692"/>
      <c r="CN83" s="690">
        <f>CN75-CI75</f>
        <v>587</v>
      </c>
      <c r="CO83" s="692"/>
      <c r="CP83" s="692"/>
      <c r="CQ83" s="690">
        <f>CQ75-CN75</f>
        <v>-19242</v>
      </c>
      <c r="CR83" s="690">
        <f t="shared" ref="CR83:CS83" si="337">CR75-CQ75</f>
        <v>0</v>
      </c>
      <c r="CS83" s="690">
        <f t="shared" si="337"/>
        <v>19242</v>
      </c>
      <c r="CT83" s="690">
        <f t="shared" si="333"/>
        <v>0</v>
      </c>
      <c r="CU83" s="690">
        <f t="shared" si="334"/>
        <v>-751.61129719430755</v>
      </c>
      <c r="CV83" s="690">
        <f t="shared" si="335"/>
        <v>216.54877154593851</v>
      </c>
      <c r="CW83" s="690">
        <f t="shared" si="335"/>
        <v>205.78026832661999</v>
      </c>
      <c r="CX83" s="159"/>
      <c r="CY83" s="159"/>
      <c r="CZ83" s="159"/>
      <c r="DA83" s="159"/>
      <c r="DB83" s="159"/>
      <c r="DC83" s="159"/>
      <c r="DD83" s="159"/>
    </row>
    <row r="84" spans="1:123" outlineLevel="1">
      <c r="A84" s="159" t="s">
        <v>198</v>
      </c>
      <c r="B84" s="690"/>
      <c r="C84" s="690"/>
      <c r="D84" s="690"/>
      <c r="E84" s="690"/>
      <c r="F84" s="690"/>
      <c r="G84" s="690">
        <f>G76-B76</f>
        <v>0</v>
      </c>
      <c r="H84" s="690"/>
      <c r="I84" s="690"/>
      <c r="J84" s="690"/>
      <c r="K84" s="690"/>
      <c r="L84" s="690">
        <f>L76-G76</f>
        <v>304.90024440960042</v>
      </c>
      <c r="M84" s="690"/>
      <c r="N84" s="690"/>
      <c r="O84" s="690"/>
      <c r="P84" s="690"/>
      <c r="Q84" s="690">
        <f>Q76-L76</f>
        <v>-316.90024440960042</v>
      </c>
      <c r="R84" s="690"/>
      <c r="S84" s="690"/>
      <c r="T84" s="690"/>
      <c r="U84" s="690"/>
      <c r="V84" s="690">
        <f>V76-Q76</f>
        <v>2283.8670780046741</v>
      </c>
      <c r="W84" s="690"/>
      <c r="X84" s="690"/>
      <c r="Y84" s="690"/>
      <c r="Z84" s="690"/>
      <c r="AA84" s="690">
        <f>AA76-V76</f>
        <v>1762.1329219953259</v>
      </c>
      <c r="AB84" s="690"/>
      <c r="AC84" s="690"/>
      <c r="AD84" s="690"/>
      <c r="AE84" s="690"/>
      <c r="AF84" s="690">
        <f>AF76-AA76</f>
        <v>1941</v>
      </c>
      <c r="AG84" s="690"/>
      <c r="AH84" s="690"/>
      <c r="AI84" s="690"/>
      <c r="AJ84" s="690"/>
      <c r="AK84" s="690">
        <f>AK76-AF76</f>
        <v>1623</v>
      </c>
      <c r="AL84" s="690"/>
      <c r="AM84" s="690"/>
      <c r="AN84" s="690"/>
      <c r="AO84" s="690"/>
      <c r="AP84" s="690">
        <f>AP76-AK76</f>
        <v>-567</v>
      </c>
      <c r="AQ84" s="690"/>
      <c r="AR84" s="690"/>
      <c r="AS84" s="690"/>
      <c r="AT84" s="690"/>
      <c r="AU84" s="690">
        <f>AU76-AP76</f>
        <v>2496</v>
      </c>
      <c r="AV84" s="690"/>
      <c r="AW84" s="690"/>
      <c r="AX84" s="691"/>
      <c r="AY84" s="691"/>
      <c r="AZ84" s="690">
        <f>AZ76-AU76</f>
        <v>993</v>
      </c>
      <c r="BA84" s="690"/>
      <c r="BB84" s="690"/>
      <c r="BC84" s="690"/>
      <c r="BD84" s="690"/>
      <c r="BE84" s="690">
        <f>BE76-AZ76</f>
        <v>396</v>
      </c>
      <c r="BF84" s="690"/>
      <c r="BG84" s="690"/>
      <c r="BH84" s="690"/>
      <c r="BI84" s="690"/>
      <c r="BJ84" s="690">
        <f>BJ76-BE76</f>
        <v>2902</v>
      </c>
      <c r="BK84" s="690"/>
      <c r="BL84" s="690"/>
      <c r="BM84" s="690"/>
      <c r="BN84" s="690"/>
      <c r="BO84" s="690">
        <f>BO76-BJ76</f>
        <v>-345.39999999999418</v>
      </c>
      <c r="BP84" s="690"/>
      <c r="BQ84" s="690"/>
      <c r="BR84" s="690"/>
      <c r="BS84" s="690"/>
      <c r="BT84" s="690">
        <f>BT76-BO76</f>
        <v>2256.3999999999942</v>
      </c>
      <c r="BU84" s="692"/>
      <c r="BV84" s="692"/>
      <c r="BW84" s="692"/>
      <c r="BX84" s="692"/>
      <c r="BY84" s="690">
        <f>BY76-BT76</f>
        <v>0</v>
      </c>
      <c r="BZ84" s="692"/>
      <c r="CA84" s="692"/>
      <c r="CB84" s="692"/>
      <c r="CC84" s="692"/>
      <c r="CD84" s="690">
        <f>CD76-BY76</f>
        <v>0</v>
      </c>
      <c r="CE84" s="692"/>
      <c r="CF84" s="692"/>
      <c r="CG84" s="692"/>
      <c r="CH84" s="692"/>
      <c r="CI84" s="690">
        <f>CI76-CD76</f>
        <v>-31481</v>
      </c>
      <c r="CJ84" s="692"/>
      <c r="CK84" s="692"/>
      <c r="CL84" s="692"/>
      <c r="CM84" s="692"/>
      <c r="CN84" s="690">
        <f>CN76-CI76</f>
        <v>31735.84780069282</v>
      </c>
      <c r="CO84" s="692"/>
      <c r="CP84" s="692"/>
      <c r="CQ84" s="690">
        <f>CQ76-CN76</f>
        <v>-13844.461385266259</v>
      </c>
      <c r="CR84" s="690">
        <f t="shared" ref="CR84:CS84" si="338">CR76-CQ76</f>
        <v>32586.846281015343</v>
      </c>
      <c r="CS84" s="690">
        <f t="shared" si="338"/>
        <v>-19393.239347903174</v>
      </c>
      <c r="CT84" s="690">
        <f t="shared" si="333"/>
        <v>110.73057738743228</v>
      </c>
      <c r="CU84" s="690">
        <f t="shared" si="334"/>
        <v>1184.5953108589893</v>
      </c>
      <c r="CV84" s="690">
        <f t="shared" si="335"/>
        <v>193.81262205671374</v>
      </c>
      <c r="CW84" s="690">
        <f t="shared" si="335"/>
        <v>184.21260219615942</v>
      </c>
      <c r="CX84" s="159"/>
      <c r="CY84" s="159"/>
      <c r="CZ84" s="159"/>
      <c r="DA84" s="159"/>
      <c r="DB84" s="159"/>
      <c r="DC84" s="159"/>
      <c r="DD84" s="159"/>
    </row>
    <row r="85" spans="1:123" s="221" customFormat="1" outlineLevel="1">
      <c r="A85" s="214" t="s">
        <v>5</v>
      </c>
      <c r="B85" s="688"/>
      <c r="C85" s="688"/>
      <c r="D85" s="688"/>
      <c r="E85" s="688"/>
      <c r="F85" s="688"/>
      <c r="G85" s="688">
        <f>SUM(G81:G83)</f>
        <v>3680.9000000000005</v>
      </c>
      <c r="H85" s="688"/>
      <c r="I85" s="688"/>
      <c r="J85" s="688"/>
      <c r="K85" s="688"/>
      <c r="L85" s="688">
        <f>SUM(L81:L83)</f>
        <v>3128.024196550401</v>
      </c>
      <c r="M85" s="688"/>
      <c r="N85" s="688"/>
      <c r="O85" s="688"/>
      <c r="P85" s="688"/>
      <c r="Q85" s="688">
        <f>SUM(Q81:Q83)</f>
        <v>3726.8758034495986</v>
      </c>
      <c r="R85" s="688"/>
      <c r="S85" s="688"/>
      <c r="T85" s="688"/>
      <c r="U85" s="688"/>
      <c r="V85" s="688">
        <f>V77-Q77</f>
        <v>2800</v>
      </c>
      <c r="W85" s="688"/>
      <c r="X85" s="688"/>
      <c r="Y85" s="688"/>
      <c r="Z85" s="688"/>
      <c r="AA85" s="688">
        <f>AA77-V77</f>
        <v>4600</v>
      </c>
      <c r="AB85" s="688"/>
      <c r="AC85" s="688"/>
      <c r="AD85" s="688"/>
      <c r="AE85" s="688"/>
      <c r="AF85" s="688">
        <f>AF77-AA77</f>
        <v>1700</v>
      </c>
      <c r="AG85" s="688"/>
      <c r="AH85" s="688"/>
      <c r="AI85" s="688"/>
      <c r="AJ85" s="688"/>
      <c r="AK85" s="688">
        <f>AK77-AF77</f>
        <v>1900</v>
      </c>
      <c r="AL85" s="688"/>
      <c r="AM85" s="688"/>
      <c r="AN85" s="688"/>
      <c r="AO85" s="688"/>
      <c r="AP85" s="688">
        <f>AP77-AK77</f>
        <v>-800</v>
      </c>
      <c r="AQ85" s="688"/>
      <c r="AR85" s="688"/>
      <c r="AS85" s="688"/>
      <c r="AT85" s="688"/>
      <c r="AU85" s="688">
        <f>AU77-AP77</f>
        <v>0</v>
      </c>
      <c r="AV85" s="688"/>
      <c r="AW85" s="688"/>
      <c r="AX85" s="689"/>
      <c r="AY85" s="689"/>
      <c r="AZ85" s="688">
        <f>AZ77-AU77</f>
        <v>-1359</v>
      </c>
      <c r="BA85" s="688"/>
      <c r="BB85" s="688"/>
      <c r="BC85" s="688"/>
      <c r="BD85" s="688"/>
      <c r="BE85" s="688">
        <f>BE77-AZ77</f>
        <v>-328</v>
      </c>
      <c r="BF85" s="688"/>
      <c r="BG85" s="689"/>
      <c r="BH85" s="689"/>
      <c r="BI85" s="689"/>
      <c r="BJ85" s="688">
        <f>BJ77-BE77</f>
        <v>2188</v>
      </c>
      <c r="BK85" s="688"/>
      <c r="BL85" s="688"/>
      <c r="BM85" s="688"/>
      <c r="BN85" s="688"/>
      <c r="BO85" s="688">
        <f>BO77-BJ77</f>
        <v>-877.39999999999418</v>
      </c>
      <c r="BP85" s="688"/>
      <c r="BQ85" s="688"/>
      <c r="BR85" s="688"/>
      <c r="BS85" s="688"/>
      <c r="BT85" s="688">
        <f>BT77-BO77</f>
        <v>3523.3999999999942</v>
      </c>
      <c r="BU85" s="688"/>
      <c r="BV85" s="688"/>
      <c r="BW85" s="688"/>
      <c r="BX85" s="688"/>
      <c r="BY85" s="688">
        <f>BY77-BT77</f>
        <v>205</v>
      </c>
      <c r="BZ85" s="688"/>
      <c r="CA85" s="688"/>
      <c r="CB85" s="688"/>
      <c r="CC85" s="688"/>
      <c r="CD85" s="688">
        <f>CD77-BY77</f>
        <v>1208.7139999999999</v>
      </c>
      <c r="CE85" s="688"/>
      <c r="CF85" s="688"/>
      <c r="CG85" s="688"/>
      <c r="CH85" s="688"/>
      <c r="CI85" s="688">
        <f>CI77-CD77</f>
        <v>-32931.714</v>
      </c>
      <c r="CJ85" s="688"/>
      <c r="CK85" s="688"/>
      <c r="CL85" s="688"/>
      <c r="CM85" s="688"/>
      <c r="CN85" s="688">
        <f>CN77-CI77</f>
        <v>33000.84780069282</v>
      </c>
      <c r="CO85" s="688"/>
      <c r="CP85" s="688"/>
      <c r="CQ85" s="688">
        <f>CQ77-CN77</f>
        <v>-33000.84780069282</v>
      </c>
      <c r="CR85" s="688">
        <f t="shared" ref="CR85:CS85" si="339">CR77-CQ77</f>
        <v>32746</v>
      </c>
      <c r="CS85" s="688">
        <f t="shared" si="339"/>
        <v>0</v>
      </c>
      <c r="CT85" s="688">
        <f t="shared" si="333"/>
        <v>254.84780069281987</v>
      </c>
      <c r="CU85" s="688">
        <f t="shared" si="334"/>
        <v>570.69588143700821</v>
      </c>
      <c r="CV85" s="688">
        <f t="shared" si="335"/>
        <v>542.31640649178735</v>
      </c>
      <c r="CW85" s="688">
        <f t="shared" si="335"/>
        <v>516.77778131249943</v>
      </c>
      <c r="CX85" s="165"/>
      <c r="CY85" s="165"/>
      <c r="CZ85" s="165"/>
      <c r="DA85" s="165"/>
      <c r="DB85" s="165"/>
      <c r="DC85" s="165"/>
      <c r="DD85" s="165"/>
      <c r="DO85" s="163"/>
      <c r="DP85" s="163"/>
      <c r="DQ85" s="163"/>
      <c r="DR85" s="163"/>
      <c r="DS85" s="163"/>
    </row>
    <row r="86" spans="1:123" outlineLevel="1">
      <c r="A86" s="159"/>
      <c r="B86" s="191"/>
      <c r="C86" s="191"/>
      <c r="D86" s="191"/>
      <c r="E86" s="191"/>
      <c r="F86" s="191"/>
      <c r="G86" s="191"/>
      <c r="H86" s="191"/>
      <c r="I86" s="191"/>
      <c r="J86" s="191"/>
      <c r="K86" s="191"/>
      <c r="L86" s="191"/>
      <c r="M86" s="191"/>
      <c r="N86" s="191"/>
      <c r="O86" s="191"/>
      <c r="P86" s="191"/>
      <c r="Q86" s="191"/>
      <c r="R86" s="191"/>
      <c r="S86" s="191"/>
      <c r="T86" s="191"/>
      <c r="U86" s="191"/>
      <c r="V86" s="191"/>
      <c r="W86" s="191"/>
      <c r="X86" s="191"/>
      <c r="Y86" s="191"/>
      <c r="Z86" s="191"/>
      <c r="AA86" s="191"/>
      <c r="AB86" s="191"/>
      <c r="AC86" s="191"/>
      <c r="AD86" s="191"/>
      <c r="AE86" s="191"/>
      <c r="AF86" s="222"/>
      <c r="AG86" s="222"/>
      <c r="AH86" s="222"/>
      <c r="AI86" s="222"/>
      <c r="AJ86" s="222"/>
      <c r="AK86" s="222"/>
      <c r="AL86" s="222"/>
      <c r="AM86" s="222"/>
      <c r="AN86" s="222"/>
      <c r="AO86" s="222"/>
      <c r="AP86" s="159"/>
      <c r="AQ86" s="159"/>
      <c r="AR86" s="159"/>
      <c r="AS86" s="159"/>
      <c r="AT86" s="159"/>
      <c r="AU86" s="159"/>
      <c r="AV86" s="159"/>
      <c r="AW86" s="159"/>
      <c r="AX86" s="159"/>
      <c r="AY86" s="159"/>
      <c r="AZ86" s="159"/>
      <c r="BA86" s="159"/>
      <c r="BB86" s="159"/>
      <c r="BC86" s="159"/>
      <c r="BD86" s="159"/>
      <c r="BE86" s="159"/>
      <c r="BF86" s="159"/>
      <c r="BG86" s="159"/>
      <c r="BH86" s="159"/>
      <c r="BI86" s="159"/>
      <c r="BJ86" s="159"/>
      <c r="BK86" s="159"/>
      <c r="BL86" s="159"/>
      <c r="BM86" s="159"/>
      <c r="BN86" s="159"/>
      <c r="BO86" s="159"/>
      <c r="BP86" s="159"/>
      <c r="BQ86" s="159"/>
      <c r="BR86" s="159"/>
      <c r="BS86" s="159"/>
      <c r="BT86" s="159"/>
      <c r="BU86" s="159"/>
      <c r="BV86" s="159"/>
      <c r="BW86" s="159"/>
      <c r="BX86" s="159"/>
      <c r="BY86" s="159"/>
      <c r="BZ86" s="159"/>
      <c r="CA86" s="159"/>
      <c r="CB86" s="159"/>
      <c r="CC86" s="159"/>
      <c r="CD86" s="159"/>
      <c r="CE86" s="159"/>
      <c r="CF86" s="159"/>
      <c r="CG86" s="159"/>
      <c r="CH86" s="159"/>
      <c r="CI86" s="159"/>
      <c r="CJ86" s="159"/>
      <c r="CK86" s="159"/>
      <c r="CL86" s="159"/>
      <c r="CM86" s="159"/>
      <c r="CN86" s="159"/>
      <c r="CO86" s="159"/>
      <c r="CP86" s="159"/>
      <c r="CQ86" s="159"/>
      <c r="CR86" s="159"/>
      <c r="CS86" s="159"/>
      <c r="CT86" s="159"/>
      <c r="CU86" s="159"/>
      <c r="CV86" s="159"/>
      <c r="CW86" s="159"/>
      <c r="CX86" s="159"/>
      <c r="CY86" s="159"/>
      <c r="CZ86" s="159"/>
      <c r="DA86" s="159"/>
      <c r="DB86" s="159"/>
      <c r="DC86" s="159"/>
      <c r="DD86" s="159"/>
    </row>
    <row r="87" spans="1:123" outlineLevel="1">
      <c r="A87" s="199" t="s">
        <v>9</v>
      </c>
      <c r="B87" s="199">
        <f>B80</f>
        <v>2007</v>
      </c>
      <c r="C87" s="199"/>
      <c r="D87" s="199"/>
      <c r="E87" s="199"/>
      <c r="F87" s="199"/>
      <c r="G87" s="199">
        <f>B87+1</f>
        <v>2008</v>
      </c>
      <c r="H87" s="199"/>
      <c r="I87" s="199"/>
      <c r="J87" s="199"/>
      <c r="K87" s="199"/>
      <c r="L87" s="199">
        <f>G87+1</f>
        <v>2009</v>
      </c>
      <c r="M87" s="199"/>
      <c r="N87" s="199"/>
      <c r="O87" s="199"/>
      <c r="P87" s="199"/>
      <c r="Q87" s="199">
        <f>L87+1</f>
        <v>2010</v>
      </c>
      <c r="R87" s="199"/>
      <c r="S87" s="199"/>
      <c r="T87" s="199"/>
      <c r="U87" s="199"/>
      <c r="V87" s="199">
        <f>Q87+1</f>
        <v>2011</v>
      </c>
      <c r="W87" s="199"/>
      <c r="X87" s="199"/>
      <c r="Y87" s="199"/>
      <c r="Z87" s="199"/>
      <c r="AA87" s="199">
        <f>V87+1</f>
        <v>2012</v>
      </c>
      <c r="AB87" s="199"/>
      <c r="AC87" s="199"/>
      <c r="AD87" s="199"/>
      <c r="AE87" s="199"/>
      <c r="AF87" s="199">
        <f>AA87+1</f>
        <v>2013</v>
      </c>
      <c r="AG87" s="199"/>
      <c r="AH87" s="199"/>
      <c r="AI87" s="199"/>
      <c r="AJ87" s="199"/>
      <c r="AK87" s="199">
        <f>AF87+1</f>
        <v>2014</v>
      </c>
      <c r="AL87" s="199"/>
      <c r="AM87" s="199"/>
      <c r="AN87" s="199"/>
      <c r="AO87" s="199"/>
      <c r="AP87" s="199">
        <f>AK87+1</f>
        <v>2015</v>
      </c>
      <c r="AQ87" s="199"/>
      <c r="AR87" s="199"/>
      <c r="AS87" s="199"/>
      <c r="AT87" s="199"/>
      <c r="AU87" s="199">
        <f>AP87+1</f>
        <v>2016</v>
      </c>
      <c r="AV87" s="199"/>
      <c r="AW87" s="199"/>
      <c r="AX87" s="199"/>
      <c r="AY87" s="199"/>
      <c r="AZ87" s="199">
        <f>AU87+1</f>
        <v>2017</v>
      </c>
      <c r="BA87" s="199"/>
      <c r="BB87" s="199"/>
      <c r="BC87" s="199"/>
      <c r="BD87" s="199"/>
      <c r="BE87" s="199">
        <f>AZ87+1</f>
        <v>2018</v>
      </c>
      <c r="BF87" s="199"/>
      <c r="BG87" s="199"/>
      <c r="BH87" s="199"/>
      <c r="BI87" s="199"/>
      <c r="BJ87" s="199">
        <f>BE87+1</f>
        <v>2019</v>
      </c>
      <c r="BK87" s="199"/>
      <c r="BL87" s="199"/>
      <c r="BM87" s="199"/>
      <c r="BN87" s="199"/>
      <c r="BO87" s="199">
        <f>BJ87+1</f>
        <v>2020</v>
      </c>
      <c r="BP87" s="199"/>
      <c r="BQ87" s="199"/>
      <c r="BR87" s="199"/>
      <c r="BS87" s="199"/>
      <c r="BT87" s="199">
        <f>BO87+1</f>
        <v>2021</v>
      </c>
      <c r="BU87" s="199"/>
      <c r="BV87" s="199"/>
      <c r="BW87" s="199"/>
      <c r="BX87" s="199"/>
      <c r="BY87" s="199">
        <f>BT87+1</f>
        <v>2022</v>
      </c>
      <c r="BZ87" s="199"/>
      <c r="CA87" s="199"/>
      <c r="CB87" s="199"/>
      <c r="CC87" s="199"/>
      <c r="CD87" s="199">
        <f>BY87+1</f>
        <v>2023</v>
      </c>
      <c r="CE87" s="199"/>
      <c r="CF87" s="199"/>
      <c r="CG87" s="199"/>
      <c r="CH87" s="199"/>
      <c r="CI87" s="199">
        <f>CD87+1</f>
        <v>2024</v>
      </c>
      <c r="CJ87" s="199"/>
      <c r="CK87" s="199"/>
      <c r="CL87" s="199"/>
      <c r="CM87" s="199"/>
      <c r="CN87" s="199">
        <f>CI87+1</f>
        <v>2025</v>
      </c>
      <c r="CO87" s="199"/>
      <c r="CP87" s="199"/>
      <c r="CQ87" s="199">
        <f>CN87+1</f>
        <v>2026</v>
      </c>
      <c r="CR87" s="199">
        <f t="shared" ref="CR87:CS87" si="340">CQ87+1</f>
        <v>2027</v>
      </c>
      <c r="CS87" s="199">
        <f t="shared" si="340"/>
        <v>2028</v>
      </c>
      <c r="CT87" s="199">
        <f t="shared" ref="CT87" si="341">CS87+1</f>
        <v>2029</v>
      </c>
      <c r="CU87" s="199">
        <f t="shared" ref="CU87" si="342">CT87+1</f>
        <v>2030</v>
      </c>
      <c r="CV87" s="199">
        <f t="shared" ref="CV87:CW87" si="343">CU87+1</f>
        <v>2031</v>
      </c>
      <c r="CW87" s="199">
        <f t="shared" si="343"/>
        <v>2032</v>
      </c>
      <c r="CX87" s="159"/>
      <c r="CY87" s="159"/>
      <c r="CZ87" s="159"/>
      <c r="DA87" s="159"/>
      <c r="DB87" s="159"/>
      <c r="DC87" s="159"/>
      <c r="DD87" s="159"/>
    </row>
    <row r="88" spans="1:123" outlineLevel="1">
      <c r="A88" s="159" t="s">
        <v>245</v>
      </c>
      <c r="B88" s="170"/>
      <c r="C88" s="170"/>
      <c r="D88" s="170"/>
      <c r="E88" s="170"/>
      <c r="F88" s="170"/>
      <c r="G88" s="170">
        <f>G81/$G$85</f>
        <v>0.39906001249694351</v>
      </c>
      <c r="H88" s="170"/>
      <c r="I88" s="170"/>
      <c r="J88" s="170"/>
      <c r="K88" s="170"/>
      <c r="L88" s="170">
        <f>L81/$L$85</f>
        <v>0.34719175054594315</v>
      </c>
      <c r="M88" s="170"/>
      <c r="N88" s="170"/>
      <c r="O88" s="170"/>
      <c r="P88" s="170"/>
      <c r="Q88" s="170">
        <f>Q81/$Q$85</f>
        <v>0.43840360924753169</v>
      </c>
      <c r="R88" s="170"/>
      <c r="S88" s="170"/>
      <c r="T88" s="170"/>
      <c r="U88" s="170"/>
      <c r="V88" s="170">
        <f>V81/$V$85</f>
        <v>-0.43535714285714283</v>
      </c>
      <c r="W88" s="170"/>
      <c r="X88" s="170"/>
      <c r="Y88" s="170"/>
      <c r="Z88" s="170"/>
      <c r="AA88" s="170">
        <f>AA81/$AA$85</f>
        <v>0.29478260869565215</v>
      </c>
      <c r="AB88" s="170"/>
      <c r="AC88" s="170"/>
      <c r="AD88" s="170"/>
      <c r="AE88" s="170"/>
      <c r="AF88" s="170">
        <f>AF81/$AF$85</f>
        <v>-0.70470588235294118</v>
      </c>
      <c r="AG88" s="170"/>
      <c r="AH88" s="170"/>
      <c r="AI88" s="170"/>
      <c r="AJ88" s="170"/>
      <c r="AK88" s="170">
        <f>AK81/$AK$85</f>
        <v>1.0526315789473684E-2</v>
      </c>
      <c r="AL88" s="170"/>
      <c r="AM88" s="170"/>
      <c r="AN88" s="170"/>
      <c r="AO88" s="170"/>
      <c r="AP88" s="170">
        <f>AP81/$AK$85</f>
        <v>-0.11526315789473685</v>
      </c>
      <c r="AQ88" s="170"/>
      <c r="AR88" s="170"/>
      <c r="AS88" s="170"/>
      <c r="AT88" s="170"/>
      <c r="AU88" s="170">
        <f>AU81/$AK$85</f>
        <v>-0.51368421052631574</v>
      </c>
      <c r="AV88" s="170"/>
      <c r="AW88" s="170"/>
      <c r="AX88" s="170"/>
      <c r="AY88" s="170"/>
      <c r="AZ88" s="170">
        <f>AZ81/$AK$85</f>
        <v>-0.41578947368421054</v>
      </c>
      <c r="BA88" s="170"/>
      <c r="BB88" s="170"/>
      <c r="BC88" s="170"/>
      <c r="BD88" s="170"/>
      <c r="BE88" s="170">
        <f>BE81/$AK$85</f>
        <v>-8.7894736842105262E-2</v>
      </c>
      <c r="BF88" s="170"/>
      <c r="BG88" s="170"/>
      <c r="BH88" s="170"/>
      <c r="BI88" s="170"/>
      <c r="BJ88" s="170">
        <f>BJ81/$AK$85</f>
        <v>0.19421052631578947</v>
      </c>
      <c r="BK88" s="170"/>
      <c r="BL88" s="170"/>
      <c r="BM88" s="170"/>
      <c r="BN88" s="170"/>
      <c r="BO88" s="170">
        <f>BO81/$AK$85</f>
        <v>1.0526315789473684E-3</v>
      </c>
      <c r="BP88" s="170"/>
      <c r="BQ88" s="170"/>
      <c r="BR88" s="170"/>
      <c r="BS88" s="170"/>
      <c r="BT88" s="170">
        <f>BT81/$AK$85</f>
        <v>0.25578947368421051</v>
      </c>
      <c r="BU88" s="170"/>
      <c r="BV88" s="170"/>
      <c r="BW88" s="170"/>
      <c r="BX88" s="170"/>
      <c r="BY88" s="170">
        <f>BY81/$AK$85</f>
        <v>6.3157894736842107E-2</v>
      </c>
      <c r="BZ88" s="170"/>
      <c r="CA88" s="170"/>
      <c r="CB88" s="170"/>
      <c r="CC88" s="170"/>
      <c r="CD88" s="170">
        <f t="shared" ref="CD88:CS92" si="344">CD81/$AK$85</f>
        <v>0.40684210526315789</v>
      </c>
      <c r="CE88" s="170"/>
      <c r="CF88" s="170"/>
      <c r="CG88" s="170"/>
      <c r="CH88" s="170"/>
      <c r="CI88" s="170">
        <f t="shared" si="344"/>
        <v>0.16578947368421051</v>
      </c>
      <c r="CJ88" s="170"/>
      <c r="CK88" s="170"/>
      <c r="CL88" s="170"/>
      <c r="CM88" s="170"/>
      <c r="CN88" s="170">
        <f t="shared" ref="CN88" si="345">CN81/$AK$85</f>
        <v>0.3568421052631579</v>
      </c>
      <c r="CO88" s="170"/>
      <c r="CP88" s="170"/>
      <c r="CQ88" s="170">
        <f t="shared" si="344"/>
        <v>4.5059781354441504E-2</v>
      </c>
      <c r="CR88" s="170">
        <f t="shared" si="344"/>
        <v>8.376511525508154E-2</v>
      </c>
      <c r="CS88" s="170">
        <f t="shared" si="344"/>
        <v>7.9599656791146306E-2</v>
      </c>
      <c r="CT88" s="170">
        <f t="shared" ref="CT88:CV88" si="346">CT81/$AK$85</f>
        <v>7.5851170160730313E-2</v>
      </c>
      <c r="CU88" s="170">
        <f t="shared" si="346"/>
        <v>7.2479930406485718E-2</v>
      </c>
      <c r="CV88" s="170">
        <f t="shared" si="346"/>
        <v>6.9450006783754362E-2</v>
      </c>
      <c r="CW88" s="170">
        <f t="shared" ref="CW88" si="347">CW81/$AK$85</f>
        <v>6.6728900415644984E-2</v>
      </c>
      <c r="CX88" s="159"/>
      <c r="CY88" s="159"/>
      <c r="CZ88" s="159"/>
      <c r="DA88" s="159"/>
      <c r="DB88" s="203"/>
      <c r="DC88" s="203"/>
      <c r="DD88" s="203"/>
      <c r="DE88" s="203"/>
      <c r="DF88" s="203"/>
      <c r="DG88" s="203"/>
      <c r="DH88" s="203"/>
      <c r="DI88" s="203"/>
    </row>
    <row r="89" spans="1:123" outlineLevel="1">
      <c r="A89" s="159" t="s">
        <v>246</v>
      </c>
      <c r="B89" s="170"/>
      <c r="C89" s="170"/>
      <c r="D89" s="170"/>
      <c r="E89" s="170"/>
      <c r="F89" s="170"/>
      <c r="G89" s="170">
        <f>G82/$G$85</f>
        <v>0.42353772175283211</v>
      </c>
      <c r="H89" s="170"/>
      <c r="I89" s="170"/>
      <c r="J89" s="170"/>
      <c r="K89" s="170"/>
      <c r="L89" s="170">
        <f>L82/$L$85</f>
        <v>0.44245182039393471</v>
      </c>
      <c r="M89" s="170"/>
      <c r="N89" s="170"/>
      <c r="O89" s="170"/>
      <c r="P89" s="170"/>
      <c r="Q89" s="170">
        <f>Q82/$Q$85</f>
        <v>0.28120067726162767</v>
      </c>
      <c r="R89" s="170"/>
      <c r="S89" s="170"/>
      <c r="T89" s="170"/>
      <c r="U89" s="170"/>
      <c r="V89" s="170">
        <f>V82/$V$85</f>
        <v>0.28107142857142858</v>
      </c>
      <c r="W89" s="170"/>
      <c r="X89" s="170"/>
      <c r="Y89" s="170"/>
      <c r="Z89" s="170"/>
      <c r="AA89" s="170">
        <f>AA82/$AA$85</f>
        <v>0.15239130434782608</v>
      </c>
      <c r="AB89" s="170"/>
      <c r="AC89" s="170"/>
      <c r="AD89" s="170"/>
      <c r="AE89" s="170"/>
      <c r="AF89" s="170">
        <f>AF82/$AF$85</f>
        <v>0.26823529411764707</v>
      </c>
      <c r="AG89" s="170"/>
      <c r="AH89" s="170"/>
      <c r="AI89" s="170"/>
      <c r="AJ89" s="170"/>
      <c r="AK89" s="170">
        <f>AK82/$AK$85</f>
        <v>-8.8947368421052636E-2</v>
      </c>
      <c r="AL89" s="170"/>
      <c r="AM89" s="170"/>
      <c r="AN89" s="170"/>
      <c r="AO89" s="170"/>
      <c r="AP89" s="170">
        <f>AP82/$AK$85</f>
        <v>-0.37789473684210528</v>
      </c>
      <c r="AQ89" s="170"/>
      <c r="AR89" s="170"/>
      <c r="AS89" s="170"/>
      <c r="AT89" s="170"/>
      <c r="AU89" s="170">
        <f>AU82/$AK$85</f>
        <v>-0.89157894736842103</v>
      </c>
      <c r="AV89" s="170"/>
      <c r="AW89" s="170"/>
      <c r="AX89" s="170"/>
      <c r="AY89" s="170"/>
      <c r="AZ89" s="170">
        <f>AZ82/$AK$85</f>
        <v>-0.53157894736842104</v>
      </c>
      <c r="BA89" s="170"/>
      <c r="BB89" s="170"/>
      <c r="BC89" s="170"/>
      <c r="BD89" s="170"/>
      <c r="BE89" s="170">
        <f>BE82/$AK$85</f>
        <v>-0.24736842105263157</v>
      </c>
      <c r="BF89" s="170"/>
      <c r="BG89" s="170"/>
      <c r="BH89" s="170"/>
      <c r="BI89" s="170"/>
      <c r="BJ89" s="170">
        <f>BJ82/$AK$85</f>
        <v>-0.3705263157894737</v>
      </c>
      <c r="BK89" s="170"/>
      <c r="BL89" s="170"/>
      <c r="BM89" s="170"/>
      <c r="BN89" s="170"/>
      <c r="BO89" s="170">
        <f>BO82/$AK$85</f>
        <v>0.16105263157894736</v>
      </c>
      <c r="BP89" s="170"/>
      <c r="BQ89" s="170"/>
      <c r="BR89" s="170"/>
      <c r="BS89" s="170"/>
      <c r="BT89" s="170">
        <f>BT82/$AK$85</f>
        <v>0.48263157894736841</v>
      </c>
      <c r="BU89" s="170"/>
      <c r="BV89" s="170"/>
      <c r="BW89" s="170"/>
      <c r="BX89" s="170"/>
      <c r="BY89" s="170">
        <f>BY82/$AK$85</f>
        <v>-5.05</v>
      </c>
      <c r="BZ89" s="170"/>
      <c r="CA89" s="170"/>
      <c r="CB89" s="170"/>
      <c r="CC89" s="170"/>
      <c r="CD89" s="170">
        <f t="shared" si="344"/>
        <v>0</v>
      </c>
      <c r="CE89" s="170"/>
      <c r="CF89" s="170"/>
      <c r="CG89" s="170"/>
      <c r="CH89" s="170"/>
      <c r="CI89" s="170">
        <f t="shared" si="344"/>
        <v>0</v>
      </c>
      <c r="CJ89" s="170"/>
      <c r="CK89" s="170"/>
      <c r="CL89" s="170"/>
      <c r="CM89" s="170"/>
      <c r="CN89" s="170">
        <f t="shared" ref="CN89" si="348">CN82/$AK$85</f>
        <v>0</v>
      </c>
      <c r="CO89" s="170"/>
      <c r="CP89" s="170"/>
      <c r="CQ89" s="170">
        <f t="shared" si="344"/>
        <v>0</v>
      </c>
      <c r="CR89" s="170">
        <f t="shared" si="344"/>
        <v>0</v>
      </c>
      <c r="CS89" s="170">
        <f t="shared" si="344"/>
        <v>0</v>
      </c>
      <c r="CT89" s="170">
        <f t="shared" ref="CT89:CV89" si="349">CT82/$AK$85</f>
        <v>0</v>
      </c>
      <c r="CU89" s="170">
        <f t="shared" si="349"/>
        <v>0</v>
      </c>
      <c r="CV89" s="170">
        <f t="shared" si="349"/>
        <v>0</v>
      </c>
      <c r="CW89" s="170">
        <f t="shared" ref="CW89" si="350">CW82/$AK$85</f>
        <v>0</v>
      </c>
      <c r="CX89" s="159"/>
      <c r="CY89" s="159"/>
      <c r="CZ89" s="159"/>
      <c r="DA89" s="159"/>
      <c r="DB89" s="159"/>
      <c r="DC89" s="159"/>
      <c r="DD89" s="159"/>
      <c r="DE89" s="159"/>
      <c r="DF89" s="159"/>
      <c r="DG89" s="159"/>
      <c r="DH89" s="159"/>
      <c r="DI89" s="159"/>
    </row>
    <row r="90" spans="1:123" outlineLevel="1">
      <c r="A90" s="159" t="s">
        <v>247</v>
      </c>
      <c r="B90" s="170"/>
      <c r="C90" s="170"/>
      <c r="D90" s="170"/>
      <c r="E90" s="170"/>
      <c r="F90" s="170"/>
      <c r="G90" s="170">
        <f>G83/$G$85</f>
        <v>0.17740226575022436</v>
      </c>
      <c r="H90" s="170"/>
      <c r="I90" s="170"/>
      <c r="J90" s="170"/>
      <c r="K90" s="170"/>
      <c r="L90" s="170">
        <f>L83/$L$85</f>
        <v>0.21035642906012214</v>
      </c>
      <c r="M90" s="170"/>
      <c r="N90" s="170"/>
      <c r="O90" s="170"/>
      <c r="P90" s="170"/>
      <c r="Q90" s="170">
        <f>Q83/$Q$85</f>
        <v>0.28039571349084058</v>
      </c>
      <c r="R90" s="170"/>
      <c r="S90" s="170"/>
      <c r="T90" s="170"/>
      <c r="U90" s="170"/>
      <c r="V90" s="170">
        <f>V83/$V$85</f>
        <v>0.33861890071261641</v>
      </c>
      <c r="W90" s="170"/>
      <c r="X90" s="170"/>
      <c r="Y90" s="170"/>
      <c r="Z90" s="170"/>
      <c r="AA90" s="170">
        <f>AA83/$AA$85</f>
        <v>0.16975371260971217</v>
      </c>
      <c r="AB90" s="170"/>
      <c r="AC90" s="170"/>
      <c r="AD90" s="170"/>
      <c r="AE90" s="170"/>
      <c r="AF90" s="170">
        <f>AF83/$AF$85</f>
        <v>0.2947058823529401</v>
      </c>
      <c r="AG90" s="170"/>
      <c r="AH90" s="170"/>
      <c r="AI90" s="170"/>
      <c r="AJ90" s="170"/>
      <c r="AK90" s="170">
        <f>AK83/$AK$85</f>
        <v>0.22421052631578947</v>
      </c>
      <c r="AL90" s="170"/>
      <c r="AM90" s="170"/>
      <c r="AN90" s="170"/>
      <c r="AO90" s="170"/>
      <c r="AP90" s="170">
        <f>AP83/$AK$85</f>
        <v>0.3705263157894737</v>
      </c>
      <c r="AQ90" s="170"/>
      <c r="AR90" s="170"/>
      <c r="AS90" s="170"/>
      <c r="AT90" s="170"/>
      <c r="AU90" s="170">
        <f>AU83/$AK$85</f>
        <v>9.1578947368421051E-2</v>
      </c>
      <c r="AV90" s="170"/>
      <c r="AW90" s="170"/>
      <c r="AX90" s="170"/>
      <c r="AY90" s="170"/>
      <c r="AZ90" s="170">
        <f>AZ83/$AK$85</f>
        <v>-0.29052631578947369</v>
      </c>
      <c r="BA90" s="170"/>
      <c r="BB90" s="170"/>
      <c r="BC90" s="170"/>
      <c r="BD90" s="170"/>
      <c r="BE90" s="170">
        <f>BE83/$AK$85</f>
        <v>-4.5789473684210526E-2</v>
      </c>
      <c r="BF90" s="170"/>
      <c r="BG90" s="170"/>
      <c r="BH90" s="170"/>
      <c r="BI90" s="170"/>
      <c r="BJ90" s="170">
        <f>BJ83/$AK$85</f>
        <v>-0.1994736842105263</v>
      </c>
      <c r="BK90" s="170"/>
      <c r="BL90" s="170"/>
      <c r="BM90" s="170"/>
      <c r="BN90" s="170"/>
      <c r="BO90" s="170">
        <f>BO83/$AK$85</f>
        <v>-0.44210526315789472</v>
      </c>
      <c r="BP90" s="170"/>
      <c r="BQ90" s="170"/>
      <c r="BR90" s="170"/>
      <c r="BS90" s="170"/>
      <c r="BT90" s="170">
        <f>BT83/$AK$85</f>
        <v>-7.1578947368421048E-2</v>
      </c>
      <c r="BU90" s="170"/>
      <c r="BV90" s="170"/>
      <c r="BW90" s="170"/>
      <c r="BX90" s="170"/>
      <c r="BY90" s="170">
        <f>BY83/$AK$85</f>
        <v>5.094736842105263</v>
      </c>
      <c r="BZ90" s="170"/>
      <c r="CA90" s="170"/>
      <c r="CB90" s="170"/>
      <c r="CC90" s="170"/>
      <c r="CD90" s="170">
        <f t="shared" si="344"/>
        <v>0.22932315789473681</v>
      </c>
      <c r="CE90" s="170"/>
      <c r="CF90" s="170"/>
      <c r="CG90" s="170"/>
      <c r="CH90" s="170"/>
      <c r="CI90" s="170">
        <f t="shared" si="344"/>
        <v>-0.92932315789473685</v>
      </c>
      <c r="CJ90" s="170"/>
      <c r="CK90" s="170"/>
      <c r="CL90" s="170"/>
      <c r="CM90" s="170"/>
      <c r="CN90" s="170">
        <f t="shared" ref="CN90" si="351">CN83/$AK$85</f>
        <v>0.30894736842105264</v>
      </c>
      <c r="CO90" s="170"/>
      <c r="CP90" s="170"/>
      <c r="CQ90" s="170">
        <f t="shared" si="344"/>
        <v>-10.127368421052632</v>
      </c>
      <c r="CR90" s="170">
        <f t="shared" si="344"/>
        <v>0</v>
      </c>
      <c r="CS90" s="170">
        <f t="shared" si="344"/>
        <v>10.127368421052632</v>
      </c>
      <c r="CT90" s="170">
        <f t="shared" ref="CT90:CV90" si="352">CT83/$AK$85</f>
        <v>0</v>
      </c>
      <c r="CU90" s="170">
        <f t="shared" si="352"/>
        <v>-0.39558489326016189</v>
      </c>
      <c r="CV90" s="170">
        <f t="shared" si="352"/>
        <v>0.11397303765575711</v>
      </c>
      <c r="CW90" s="170">
        <f t="shared" ref="CW90" si="353">CW83/$AK$85</f>
        <v>0.10830540438243157</v>
      </c>
      <c r="CX90" s="159"/>
      <c r="CY90" s="159"/>
      <c r="CZ90" s="159"/>
      <c r="DA90" s="159"/>
      <c r="DB90" s="891"/>
      <c r="DC90" s="892"/>
      <c r="DD90" s="892"/>
      <c r="DE90" s="892"/>
      <c r="DF90" s="892"/>
      <c r="DG90" s="908"/>
      <c r="DH90" s="908"/>
      <c r="DI90" s="892"/>
    </row>
    <row r="91" spans="1:123" outlineLevel="1">
      <c r="A91" s="159"/>
      <c r="B91" s="170"/>
      <c r="C91" s="170"/>
      <c r="D91" s="170"/>
      <c r="E91" s="170"/>
      <c r="F91" s="170"/>
      <c r="G91" s="170">
        <f>G84/$G$85</f>
        <v>0</v>
      </c>
      <c r="H91" s="170"/>
      <c r="I91" s="170"/>
      <c r="J91" s="170"/>
      <c r="K91" s="170"/>
      <c r="L91" s="170">
        <f>L84/$L$85</f>
        <v>9.7473748683224948E-2</v>
      </c>
      <c r="M91" s="170"/>
      <c r="N91" s="170"/>
      <c r="O91" s="170"/>
      <c r="P91" s="170"/>
      <c r="Q91" s="170">
        <f>Q84/$Q$85</f>
        <v>-8.5031071901102082E-2</v>
      </c>
      <c r="R91" s="170"/>
      <c r="S91" s="170"/>
      <c r="T91" s="170"/>
      <c r="U91" s="170"/>
      <c r="V91" s="170">
        <f>V84/$V$85</f>
        <v>0.81566681357309789</v>
      </c>
      <c r="W91" s="170"/>
      <c r="X91" s="170"/>
      <c r="Y91" s="170"/>
      <c r="Z91" s="170"/>
      <c r="AA91" s="170">
        <f>AA84/$AA$85</f>
        <v>0.38307237434680996</v>
      </c>
      <c r="AB91" s="170"/>
      <c r="AC91" s="170"/>
      <c r="AD91" s="170"/>
      <c r="AE91" s="170"/>
      <c r="AF91" s="170">
        <f>AF84/$AF$85</f>
        <v>1.141764705882353</v>
      </c>
      <c r="AG91" s="170"/>
      <c r="AH91" s="170"/>
      <c r="AI91" s="170"/>
      <c r="AJ91" s="170"/>
      <c r="AK91" s="170">
        <f>AK84/$AK$85</f>
        <v>0.85421052631578942</v>
      </c>
      <c r="AL91" s="170"/>
      <c r="AM91" s="170"/>
      <c r="AN91" s="170"/>
      <c r="AO91" s="170"/>
      <c r="AP91" s="170">
        <f>AP84/$AK$85</f>
        <v>-0.29842105263157892</v>
      </c>
      <c r="AQ91" s="170"/>
      <c r="AR91" s="170"/>
      <c r="AS91" s="170"/>
      <c r="AT91" s="170"/>
      <c r="AU91" s="170">
        <f>AU84/$AK$85</f>
        <v>1.3136842105263158</v>
      </c>
      <c r="AV91" s="170"/>
      <c r="AW91" s="170"/>
      <c r="AX91" s="170"/>
      <c r="AY91" s="170"/>
      <c r="AZ91" s="170">
        <f>AZ84/$AK$85</f>
        <v>0.52263157894736845</v>
      </c>
      <c r="BA91" s="170"/>
      <c r="BB91" s="170"/>
      <c r="BC91" s="170"/>
      <c r="BD91" s="170"/>
      <c r="BE91" s="170">
        <f>BE84/$AK$85</f>
        <v>0.20842105263157895</v>
      </c>
      <c r="BF91" s="170"/>
      <c r="BG91" s="170"/>
      <c r="BH91" s="170"/>
      <c r="BI91" s="170"/>
      <c r="BJ91" s="170">
        <f>BJ84/$AK$85</f>
        <v>1.5273684210526315</v>
      </c>
      <c r="BK91" s="170"/>
      <c r="BL91" s="170"/>
      <c r="BM91" s="170"/>
      <c r="BN91" s="170"/>
      <c r="BO91" s="170">
        <f>BO84/$AK$85</f>
        <v>-0.18178947368420748</v>
      </c>
      <c r="BP91" s="170"/>
      <c r="BQ91" s="170"/>
      <c r="BR91" s="170"/>
      <c r="BS91" s="170"/>
      <c r="BT91" s="170">
        <f>BT84/$AK$85</f>
        <v>1.187578947368418</v>
      </c>
      <c r="BU91" s="170"/>
      <c r="BV91" s="170"/>
      <c r="BW91" s="170"/>
      <c r="BX91" s="170"/>
      <c r="BY91" s="170">
        <f>BY84/$AK$85</f>
        <v>0</v>
      </c>
      <c r="BZ91" s="170"/>
      <c r="CA91" s="170"/>
      <c r="CB91" s="170"/>
      <c r="CC91" s="170"/>
      <c r="CD91" s="170">
        <f t="shared" si="344"/>
        <v>0</v>
      </c>
      <c r="CE91" s="170"/>
      <c r="CF91" s="170"/>
      <c r="CG91" s="170"/>
      <c r="CH91" s="170"/>
      <c r="CI91" s="170">
        <f t="shared" si="344"/>
        <v>-16.568947368421053</v>
      </c>
      <c r="CJ91" s="170"/>
      <c r="CK91" s="170"/>
      <c r="CL91" s="170"/>
      <c r="CM91" s="170"/>
      <c r="CN91" s="170">
        <f t="shared" ref="CN91" si="354">CN84/$AK$85</f>
        <v>16.703077789838325</v>
      </c>
      <c r="CO91" s="170"/>
      <c r="CP91" s="170"/>
      <c r="CQ91" s="170">
        <f t="shared" si="344"/>
        <v>-7.2865586238243463</v>
      </c>
      <c r="CR91" s="170">
        <f t="shared" si="344"/>
        <v>17.15097172685018</v>
      </c>
      <c r="CS91" s="170">
        <f t="shared" si="344"/>
        <v>-10.206968077843776</v>
      </c>
      <c r="CT91" s="170">
        <f t="shared" ref="CT91:CV91" si="355">CT84/$AK$85</f>
        <v>5.8279251256543305E-2</v>
      </c>
      <c r="CU91" s="170">
        <f t="shared" si="355"/>
        <v>0.62347121624157331</v>
      </c>
      <c r="CV91" s="170">
        <f t="shared" si="355"/>
        <v>0.10200664318774406</v>
      </c>
      <c r="CW91" s="170">
        <f t="shared" ref="CW91" si="356">CW84/$AK$85</f>
        <v>9.6954001155873382E-2</v>
      </c>
      <c r="CX91" s="159"/>
      <c r="CY91" s="159"/>
      <c r="CZ91" s="159"/>
      <c r="DA91" s="159"/>
      <c r="DB91" s="891"/>
      <c r="DC91" s="892"/>
      <c r="DD91" s="892"/>
      <c r="DE91" s="892"/>
      <c r="DF91" s="892"/>
      <c r="DG91" s="908"/>
      <c r="DH91" s="908"/>
      <c r="DI91" s="892"/>
    </row>
    <row r="92" spans="1:123" outlineLevel="1">
      <c r="A92" s="214" t="s">
        <v>5</v>
      </c>
      <c r="B92" s="223"/>
      <c r="C92" s="223"/>
      <c r="D92" s="223"/>
      <c r="E92" s="223"/>
      <c r="F92" s="223"/>
      <c r="G92" s="223">
        <f>G85/$G$85</f>
        <v>1</v>
      </c>
      <c r="H92" s="223"/>
      <c r="I92" s="223"/>
      <c r="J92" s="223"/>
      <c r="K92" s="223"/>
      <c r="L92" s="223">
        <f>L85/$L$85</f>
        <v>1</v>
      </c>
      <c r="M92" s="223"/>
      <c r="N92" s="223"/>
      <c r="O92" s="223"/>
      <c r="P92" s="223"/>
      <c r="Q92" s="223">
        <f>Q85/$Q$85</f>
        <v>1</v>
      </c>
      <c r="R92" s="223"/>
      <c r="S92" s="223"/>
      <c r="T92" s="223"/>
      <c r="U92" s="223"/>
      <c r="V92" s="223">
        <f>V85/$V$85</f>
        <v>1</v>
      </c>
      <c r="W92" s="223"/>
      <c r="X92" s="223"/>
      <c r="Y92" s="223"/>
      <c r="Z92" s="223"/>
      <c r="AA92" s="223">
        <f>AA85/$AA$85</f>
        <v>1</v>
      </c>
      <c r="AB92" s="223"/>
      <c r="AC92" s="223"/>
      <c r="AD92" s="223"/>
      <c r="AE92" s="223"/>
      <c r="AF92" s="223">
        <f>AF85/$AF$85</f>
        <v>1</v>
      </c>
      <c r="AG92" s="223"/>
      <c r="AH92" s="223"/>
      <c r="AI92" s="223"/>
      <c r="AJ92" s="223"/>
      <c r="AK92" s="223">
        <f>AK85/$AK$85</f>
        <v>1</v>
      </c>
      <c r="AL92" s="223"/>
      <c r="AM92" s="223"/>
      <c r="AN92" s="223"/>
      <c r="AO92" s="223"/>
      <c r="AP92" s="223">
        <f>AP85/$AK$85</f>
        <v>-0.42105263157894735</v>
      </c>
      <c r="AQ92" s="223"/>
      <c r="AR92" s="223"/>
      <c r="AS92" s="223"/>
      <c r="AT92" s="223"/>
      <c r="AU92" s="223">
        <f>AU85/$AK$85</f>
        <v>0</v>
      </c>
      <c r="AV92" s="223"/>
      <c r="AW92" s="223"/>
      <c r="AX92" s="223"/>
      <c r="AY92" s="223"/>
      <c r="AZ92" s="223">
        <f>AZ85/$AK$85</f>
        <v>-0.71526315789473682</v>
      </c>
      <c r="BA92" s="223"/>
      <c r="BB92" s="223"/>
      <c r="BC92" s="223"/>
      <c r="BD92" s="223"/>
      <c r="BE92" s="223">
        <f>BE85/$AK$85</f>
        <v>-0.17263157894736841</v>
      </c>
      <c r="BF92" s="223"/>
      <c r="BG92" s="223"/>
      <c r="BH92" s="223"/>
      <c r="BI92" s="223"/>
      <c r="BJ92" s="223">
        <f>BJ85/$AK$85</f>
        <v>1.151578947368421</v>
      </c>
      <c r="BK92" s="223"/>
      <c r="BL92" s="223"/>
      <c r="BM92" s="223"/>
      <c r="BN92" s="223"/>
      <c r="BO92" s="223">
        <f>BO85/$AK$85</f>
        <v>-0.46178947368420747</v>
      </c>
      <c r="BP92" s="223"/>
      <c r="BQ92" s="223"/>
      <c r="BR92" s="223"/>
      <c r="BS92" s="223"/>
      <c r="BT92" s="223">
        <f>BT85/$AK$85</f>
        <v>1.8544210526315759</v>
      </c>
      <c r="BU92" s="223"/>
      <c r="BV92" s="223"/>
      <c r="BW92" s="223"/>
      <c r="BX92" s="223"/>
      <c r="BY92" s="223">
        <f>BY85/$AK$85</f>
        <v>0.10789473684210527</v>
      </c>
      <c r="BZ92" s="223"/>
      <c r="CA92" s="223"/>
      <c r="CB92" s="223"/>
      <c r="CC92" s="223"/>
      <c r="CD92" s="223">
        <f t="shared" si="344"/>
        <v>0.63616526315789468</v>
      </c>
      <c r="CE92" s="223"/>
      <c r="CF92" s="223"/>
      <c r="CG92" s="223"/>
      <c r="CH92" s="223"/>
      <c r="CI92" s="223">
        <f t="shared" si="344"/>
        <v>-17.332481052631579</v>
      </c>
      <c r="CJ92" s="223"/>
      <c r="CK92" s="223"/>
      <c r="CL92" s="223"/>
      <c r="CM92" s="223"/>
      <c r="CN92" s="223">
        <f t="shared" ref="CN92" si="357">CN85/$AK$85</f>
        <v>17.368867263522535</v>
      </c>
      <c r="CO92" s="223"/>
      <c r="CP92" s="223"/>
      <c r="CQ92" s="223">
        <f t="shared" si="344"/>
        <v>-17.368867263522535</v>
      </c>
      <c r="CR92" s="223">
        <f t="shared" si="344"/>
        <v>17.234736842105264</v>
      </c>
      <c r="CS92" s="223">
        <f t="shared" si="344"/>
        <v>0</v>
      </c>
      <c r="CT92" s="223">
        <f t="shared" ref="CT92:CV92" si="358">CT85/$AK$85</f>
        <v>0.1341304214172736</v>
      </c>
      <c r="CU92" s="223">
        <f t="shared" si="358"/>
        <v>0.30036625338789907</v>
      </c>
      <c r="CV92" s="223">
        <f t="shared" si="358"/>
        <v>0.28542968762725651</v>
      </c>
      <c r="CW92" s="223">
        <f t="shared" ref="CW92" si="359">CW85/$AK$85</f>
        <v>0.27198830595394707</v>
      </c>
      <c r="CX92" s="159"/>
      <c r="CY92" s="159"/>
      <c r="CZ92" s="159"/>
      <c r="DA92" s="159"/>
      <c r="DB92" s="159"/>
      <c r="DC92" s="159"/>
      <c r="DD92" s="159"/>
      <c r="DE92" s="159"/>
      <c r="DF92" s="159"/>
      <c r="DG92" s="159"/>
      <c r="DH92" s="159"/>
      <c r="DI92" s="159"/>
    </row>
    <row r="93" spans="1:123">
      <c r="A93" s="159"/>
      <c r="B93" s="191"/>
      <c r="C93" s="191"/>
      <c r="D93" s="191"/>
      <c r="E93" s="191"/>
      <c r="F93" s="191"/>
      <c r="G93" s="191"/>
      <c r="H93" s="191"/>
      <c r="I93" s="191"/>
      <c r="J93" s="191"/>
      <c r="K93" s="191"/>
      <c r="L93" s="191"/>
      <c r="M93" s="191"/>
      <c r="N93" s="191"/>
      <c r="O93" s="191"/>
      <c r="P93" s="191"/>
      <c r="Q93" s="191"/>
      <c r="R93" s="191"/>
      <c r="S93" s="191"/>
      <c r="T93" s="191"/>
      <c r="U93" s="191"/>
      <c r="V93" s="191"/>
      <c r="W93" s="191"/>
      <c r="X93" s="191"/>
      <c r="Y93" s="191"/>
      <c r="Z93" s="191"/>
      <c r="AA93" s="191"/>
      <c r="AB93" s="191"/>
      <c r="AC93" s="191"/>
      <c r="AD93" s="191"/>
      <c r="AE93" s="191"/>
      <c r="AF93" s="224"/>
      <c r="AG93" s="224"/>
      <c r="AH93" s="224"/>
      <c r="AI93" s="224"/>
      <c r="AJ93" s="224"/>
      <c r="AK93" s="224"/>
      <c r="AL93" s="224"/>
      <c r="AM93" s="224"/>
      <c r="AN93" s="224"/>
      <c r="AO93" s="224"/>
      <c r="AP93" s="159"/>
      <c r="AQ93" s="159"/>
      <c r="AR93" s="159"/>
      <c r="AS93" s="159"/>
      <c r="AT93" s="159"/>
      <c r="AU93" s="159"/>
      <c r="AV93" s="159"/>
      <c r="AW93" s="159"/>
      <c r="AX93" s="159"/>
      <c r="AY93" s="159"/>
      <c r="AZ93" s="159"/>
      <c r="BA93" s="159"/>
      <c r="BB93" s="159"/>
      <c r="BC93" s="159"/>
      <c r="BD93" s="159"/>
      <c r="BE93" s="159"/>
      <c r="BF93" s="159"/>
      <c r="BG93" s="159"/>
      <c r="BH93" s="159"/>
      <c r="BI93" s="159"/>
      <c r="BJ93" s="159"/>
      <c r="BK93" s="159"/>
      <c r="BL93" s="159"/>
      <c r="BM93" s="159"/>
      <c r="BN93" s="159"/>
      <c r="BO93" s="159"/>
      <c r="BP93" s="159"/>
      <c r="BQ93" s="159"/>
      <c r="BR93" s="159"/>
      <c r="BS93" s="159"/>
      <c r="BT93" s="159"/>
      <c r="BU93" s="159"/>
      <c r="BV93" s="159"/>
      <c r="BW93" s="159"/>
      <c r="BX93" s="159"/>
      <c r="BY93" s="159"/>
      <c r="BZ93" s="159"/>
      <c r="CA93" s="159"/>
      <c r="CB93" s="159"/>
      <c r="CC93" s="159"/>
      <c r="CD93" s="159"/>
      <c r="CE93" s="159"/>
      <c r="CF93" s="159"/>
      <c r="CG93" s="159"/>
      <c r="CH93" s="159"/>
      <c r="CI93" s="159"/>
      <c r="CJ93" s="159"/>
      <c r="CK93" s="159"/>
      <c r="CL93" s="159"/>
      <c r="CM93" s="159"/>
      <c r="CN93" s="159"/>
      <c r="CO93" s="159"/>
      <c r="CP93" s="159"/>
      <c r="CQ93" s="159"/>
      <c r="CR93" s="159"/>
      <c r="CS93" s="159"/>
      <c r="CT93" s="159"/>
      <c r="CU93" s="159"/>
      <c r="CV93" s="159"/>
      <c r="CW93" s="159"/>
      <c r="CX93" s="159"/>
      <c r="CY93" s="159"/>
      <c r="CZ93" s="159"/>
      <c r="DA93" s="159"/>
      <c r="DB93" s="891"/>
      <c r="DC93" s="892"/>
      <c r="DD93" s="892"/>
      <c r="DE93" s="892"/>
      <c r="DF93" s="892"/>
      <c r="DG93" s="908"/>
      <c r="DH93" s="908"/>
      <c r="DI93" s="892"/>
    </row>
    <row r="94" spans="1:123">
      <c r="A94" s="159"/>
      <c r="B94" s="191"/>
      <c r="C94" s="191"/>
      <c r="D94" s="191"/>
      <c r="E94" s="191"/>
      <c r="F94" s="191"/>
      <c r="G94" s="191"/>
      <c r="H94" s="191"/>
      <c r="I94" s="191"/>
      <c r="J94" s="191"/>
      <c r="K94" s="191"/>
      <c r="L94" s="191"/>
      <c r="M94" s="191"/>
      <c r="N94" s="191"/>
      <c r="O94" s="191"/>
      <c r="P94" s="191"/>
      <c r="Q94" s="191"/>
      <c r="R94" s="191"/>
      <c r="S94" s="191"/>
      <c r="T94" s="191"/>
      <c r="U94" s="191"/>
      <c r="V94" s="191"/>
      <c r="W94" s="191"/>
      <c r="X94" s="191"/>
      <c r="Y94" s="191"/>
      <c r="Z94" s="191"/>
      <c r="AA94" s="191"/>
      <c r="AB94" s="191"/>
      <c r="AC94" s="191"/>
      <c r="AD94" s="191"/>
      <c r="AE94" s="191"/>
      <c r="AF94" s="224"/>
      <c r="AG94" s="224"/>
      <c r="AH94" s="224"/>
      <c r="AI94" s="224"/>
      <c r="AJ94" s="224"/>
      <c r="AK94" s="224"/>
      <c r="AL94" s="224"/>
      <c r="AM94" s="224"/>
      <c r="AN94" s="224"/>
      <c r="AO94" s="224"/>
      <c r="AP94" s="159"/>
      <c r="AQ94" s="159"/>
      <c r="AR94" s="159"/>
      <c r="AS94" s="159"/>
      <c r="AT94" s="159"/>
      <c r="AU94" s="159"/>
      <c r="AV94" s="159"/>
      <c r="AW94" s="159"/>
      <c r="AX94" s="159"/>
      <c r="AY94" s="159"/>
      <c r="AZ94" s="159"/>
      <c r="BA94" s="159"/>
      <c r="BB94" s="159"/>
      <c r="BC94" s="159"/>
      <c r="BD94" s="159"/>
      <c r="BE94" s="159"/>
      <c r="BF94" s="159"/>
      <c r="BG94" s="159"/>
      <c r="BH94" s="159"/>
      <c r="BI94" s="159"/>
      <c r="BJ94" s="159"/>
      <c r="BK94" s="159"/>
      <c r="BL94" s="159"/>
      <c r="BM94" s="159"/>
      <c r="BN94" s="159"/>
      <c r="BO94" s="159"/>
      <c r="BP94" s="159"/>
      <c r="BQ94" s="159"/>
      <c r="BR94" s="159"/>
      <c r="BS94" s="159"/>
      <c r="BT94" s="159"/>
      <c r="BU94" s="159"/>
      <c r="BV94" s="159"/>
      <c r="BW94" s="159"/>
      <c r="BX94" s="159"/>
      <c r="BY94" s="159"/>
      <c r="BZ94" s="159"/>
      <c r="CA94" s="159"/>
      <c r="CB94" s="159"/>
      <c r="CC94" s="159"/>
      <c r="CD94" s="159"/>
      <c r="CE94" s="159"/>
      <c r="CF94" s="159"/>
      <c r="CG94" s="159"/>
      <c r="CH94" s="159"/>
      <c r="CI94" s="159"/>
      <c r="CJ94" s="159"/>
      <c r="CK94" s="159"/>
      <c r="CL94" s="159"/>
      <c r="CM94" s="159"/>
      <c r="CN94" s="159"/>
      <c r="CO94" s="159"/>
      <c r="CP94" s="159"/>
      <c r="CQ94" s="159"/>
      <c r="CR94" s="159"/>
      <c r="CS94" s="159"/>
      <c r="CT94" s="159"/>
      <c r="CU94" s="159"/>
      <c r="CV94" s="159"/>
      <c r="CW94" s="159"/>
      <c r="CX94" s="159"/>
      <c r="CY94" s="159"/>
      <c r="CZ94" s="159"/>
      <c r="DA94" s="159"/>
      <c r="DB94" s="891"/>
      <c r="DC94" s="892"/>
      <c r="DD94" s="892"/>
      <c r="DE94" s="892"/>
      <c r="DF94" s="892"/>
      <c r="DG94" s="908"/>
      <c r="DH94" s="908"/>
      <c r="DI94" s="892"/>
    </row>
    <row r="95" spans="1:123">
      <c r="A95" s="199" t="s">
        <v>12</v>
      </c>
      <c r="B95" s="199">
        <f t="shared" ref="B95:AG95" si="360">B2</f>
        <v>2007</v>
      </c>
      <c r="C95" s="199" t="str">
        <f t="shared" si="360"/>
        <v>Q1</v>
      </c>
      <c r="D95" s="199" t="str">
        <f t="shared" si="360"/>
        <v>Q2</v>
      </c>
      <c r="E95" s="199" t="str">
        <f t="shared" si="360"/>
        <v>Q3</v>
      </c>
      <c r="F95" s="199" t="str">
        <f t="shared" si="360"/>
        <v>Q4</v>
      </c>
      <c r="G95" s="199">
        <f t="shared" si="360"/>
        <v>2008</v>
      </c>
      <c r="H95" s="199" t="str">
        <f t="shared" si="360"/>
        <v>Q1</v>
      </c>
      <c r="I95" s="199" t="str">
        <f t="shared" si="360"/>
        <v>Q2</v>
      </c>
      <c r="J95" s="199" t="str">
        <f t="shared" si="360"/>
        <v>Q3</v>
      </c>
      <c r="K95" s="199" t="str">
        <f t="shared" si="360"/>
        <v>Q4</v>
      </c>
      <c r="L95" s="199">
        <f t="shared" si="360"/>
        <v>2009</v>
      </c>
      <c r="M95" s="199" t="str">
        <f t="shared" si="360"/>
        <v>Q1</v>
      </c>
      <c r="N95" s="199" t="str">
        <f t="shared" si="360"/>
        <v>Q2</v>
      </c>
      <c r="O95" s="199" t="str">
        <f t="shared" si="360"/>
        <v>Q3</v>
      </c>
      <c r="P95" s="199" t="str">
        <f t="shared" si="360"/>
        <v>Q4</v>
      </c>
      <c r="Q95" s="199">
        <f t="shared" si="360"/>
        <v>2010</v>
      </c>
      <c r="R95" s="199" t="str">
        <f t="shared" si="360"/>
        <v>Q1</v>
      </c>
      <c r="S95" s="199" t="str">
        <f t="shared" si="360"/>
        <v>Q2</v>
      </c>
      <c r="T95" s="199" t="str">
        <f t="shared" si="360"/>
        <v>Q3</v>
      </c>
      <c r="U95" s="199" t="str">
        <f t="shared" si="360"/>
        <v>Q4</v>
      </c>
      <c r="V95" s="199">
        <f t="shared" si="360"/>
        <v>2011</v>
      </c>
      <c r="W95" s="199" t="str">
        <f t="shared" si="360"/>
        <v>Q1</v>
      </c>
      <c r="X95" s="199" t="str">
        <f t="shared" si="360"/>
        <v>Q2</v>
      </c>
      <c r="Y95" s="199" t="str">
        <f t="shared" si="360"/>
        <v>Q3</v>
      </c>
      <c r="Z95" s="199" t="str">
        <f t="shared" si="360"/>
        <v>Q4</v>
      </c>
      <c r="AA95" s="199">
        <f t="shared" si="360"/>
        <v>2012</v>
      </c>
      <c r="AB95" s="199" t="str">
        <f t="shared" si="360"/>
        <v>Q1</v>
      </c>
      <c r="AC95" s="199" t="str">
        <f t="shared" si="360"/>
        <v>Q2</v>
      </c>
      <c r="AD95" s="199" t="str">
        <f t="shared" si="360"/>
        <v>Q3</v>
      </c>
      <c r="AE95" s="199" t="str">
        <f t="shared" si="360"/>
        <v>Q4</v>
      </c>
      <c r="AF95" s="199">
        <f t="shared" si="360"/>
        <v>2013</v>
      </c>
      <c r="AG95" s="199" t="str">
        <f t="shared" si="360"/>
        <v>Q1</v>
      </c>
      <c r="AH95" s="199" t="str">
        <f t="shared" ref="AH95:BM95" si="361">AH2</f>
        <v>Q2</v>
      </c>
      <c r="AI95" s="199" t="str">
        <f t="shared" si="361"/>
        <v>Q3</v>
      </c>
      <c r="AJ95" s="199" t="str">
        <f t="shared" si="361"/>
        <v>Q4</v>
      </c>
      <c r="AK95" s="199">
        <f t="shared" si="361"/>
        <v>2014</v>
      </c>
      <c r="AL95" s="199" t="str">
        <f t="shared" si="361"/>
        <v>Q1</v>
      </c>
      <c r="AM95" s="199" t="str">
        <f t="shared" si="361"/>
        <v>Q2</v>
      </c>
      <c r="AN95" s="199" t="str">
        <f t="shared" si="361"/>
        <v>Q3</v>
      </c>
      <c r="AO95" s="199" t="str">
        <f t="shared" si="361"/>
        <v>Q4</v>
      </c>
      <c r="AP95" s="199">
        <f t="shared" si="361"/>
        <v>2015</v>
      </c>
      <c r="AQ95" s="199" t="str">
        <f t="shared" si="361"/>
        <v>Q1</v>
      </c>
      <c r="AR95" s="199" t="str">
        <f t="shared" si="361"/>
        <v>Q2</v>
      </c>
      <c r="AS95" s="199" t="str">
        <f t="shared" si="361"/>
        <v>Q3</v>
      </c>
      <c r="AT95" s="199" t="str">
        <f t="shared" si="361"/>
        <v>Q4</v>
      </c>
      <c r="AU95" s="199">
        <f t="shared" si="361"/>
        <v>2016</v>
      </c>
      <c r="AV95" s="199" t="str">
        <f t="shared" si="361"/>
        <v>Q1</v>
      </c>
      <c r="AW95" s="199" t="str">
        <f t="shared" si="361"/>
        <v>Q2</v>
      </c>
      <c r="AX95" s="199" t="str">
        <f t="shared" si="361"/>
        <v>Q3</v>
      </c>
      <c r="AY95" s="199" t="str">
        <f t="shared" si="361"/>
        <v>Q4</v>
      </c>
      <c r="AZ95" s="199">
        <f t="shared" si="361"/>
        <v>2017</v>
      </c>
      <c r="BA95" s="199" t="str">
        <f t="shared" si="361"/>
        <v>Q1</v>
      </c>
      <c r="BB95" s="199" t="str">
        <f t="shared" si="361"/>
        <v>Q2</v>
      </c>
      <c r="BC95" s="199" t="str">
        <f t="shared" si="361"/>
        <v>Q3</v>
      </c>
      <c r="BD95" s="199" t="str">
        <f t="shared" si="361"/>
        <v>Q4</v>
      </c>
      <c r="BE95" s="199">
        <f t="shared" si="361"/>
        <v>2018</v>
      </c>
      <c r="BF95" s="199" t="str">
        <f t="shared" si="361"/>
        <v>Q1</v>
      </c>
      <c r="BG95" s="199" t="str">
        <f t="shared" si="361"/>
        <v>Q2</v>
      </c>
      <c r="BH95" s="199" t="str">
        <f t="shared" si="361"/>
        <v>Q3</v>
      </c>
      <c r="BI95" s="199" t="str">
        <f t="shared" si="361"/>
        <v>Q4</v>
      </c>
      <c r="BJ95" s="199">
        <f t="shared" si="361"/>
        <v>2019</v>
      </c>
      <c r="BK95" s="199" t="str">
        <f t="shared" si="361"/>
        <v>Q1</v>
      </c>
      <c r="BL95" s="199" t="str">
        <f t="shared" si="361"/>
        <v>Q2</v>
      </c>
      <c r="BM95" s="199" t="str">
        <f t="shared" si="361"/>
        <v>Q3</v>
      </c>
      <c r="BN95" s="199" t="str">
        <f t="shared" ref="BN95:CW95" si="362">BN2</f>
        <v>Q4</v>
      </c>
      <c r="BO95" s="199">
        <f t="shared" si="362"/>
        <v>2020</v>
      </c>
      <c r="BP95" s="199" t="str">
        <f t="shared" si="362"/>
        <v>Q1</v>
      </c>
      <c r="BQ95" s="199" t="str">
        <f t="shared" si="362"/>
        <v>Q2</v>
      </c>
      <c r="BR95" s="199" t="str">
        <f t="shared" si="362"/>
        <v>Q3</v>
      </c>
      <c r="BS95" s="199" t="str">
        <f t="shared" si="362"/>
        <v>Q4</v>
      </c>
      <c r="BT95" s="199">
        <f t="shared" si="362"/>
        <v>2021</v>
      </c>
      <c r="BU95" s="199" t="str">
        <f t="shared" si="362"/>
        <v>Q1</v>
      </c>
      <c r="BV95" s="199" t="str">
        <f t="shared" si="362"/>
        <v>Q2</v>
      </c>
      <c r="BW95" s="199" t="str">
        <f t="shared" si="362"/>
        <v>Q3</v>
      </c>
      <c r="BX95" s="199" t="str">
        <f t="shared" si="362"/>
        <v>Q4</v>
      </c>
      <c r="BY95" s="199">
        <f t="shared" si="362"/>
        <v>2022</v>
      </c>
      <c r="BZ95" s="199" t="str">
        <f t="shared" si="362"/>
        <v>Q1</v>
      </c>
      <c r="CA95" s="199" t="str">
        <f t="shared" si="362"/>
        <v>Q2</v>
      </c>
      <c r="CB95" s="199" t="str">
        <f t="shared" si="362"/>
        <v>Q3</v>
      </c>
      <c r="CC95" s="199" t="str">
        <f t="shared" si="362"/>
        <v>Q4</v>
      </c>
      <c r="CD95" s="199">
        <f t="shared" si="362"/>
        <v>2023</v>
      </c>
      <c r="CE95" s="199" t="str">
        <f t="shared" ref="CE95:CF95" si="363">CE2</f>
        <v>Q1</v>
      </c>
      <c r="CF95" s="199" t="str">
        <f t="shared" si="363"/>
        <v>Q2</v>
      </c>
      <c r="CG95" s="199" t="str">
        <f t="shared" ref="CG95:CH95" si="364">CG2</f>
        <v>Q3</v>
      </c>
      <c r="CH95" s="199" t="str">
        <f t="shared" si="364"/>
        <v>Q4</v>
      </c>
      <c r="CI95" s="199">
        <f t="shared" si="362"/>
        <v>2024</v>
      </c>
      <c r="CJ95" s="199" t="str">
        <f t="shared" si="362"/>
        <v>Q1</v>
      </c>
      <c r="CK95" s="199" t="str">
        <f t="shared" ref="CK95:CL95" si="365">CK2</f>
        <v>Q2</v>
      </c>
      <c r="CL95" s="199" t="str">
        <f t="shared" si="365"/>
        <v>Q3</v>
      </c>
      <c r="CM95" s="199" t="str">
        <f t="shared" ref="CM95:CP95" si="366">CM2</f>
        <v>Q4</v>
      </c>
      <c r="CN95" s="199">
        <f t="shared" si="366"/>
        <v>2025</v>
      </c>
      <c r="CO95" s="199" t="str">
        <f t="shared" si="366"/>
        <v>Q1</v>
      </c>
      <c r="CP95" s="199" t="str">
        <f t="shared" si="366"/>
        <v>Q2</v>
      </c>
      <c r="CQ95" s="199">
        <f t="shared" si="362"/>
        <v>2026</v>
      </c>
      <c r="CR95" s="199">
        <f t="shared" si="362"/>
        <v>2027</v>
      </c>
      <c r="CS95" s="199">
        <f t="shared" si="362"/>
        <v>2028</v>
      </c>
      <c r="CT95" s="199">
        <f t="shared" si="362"/>
        <v>2029</v>
      </c>
      <c r="CU95" s="199">
        <f t="shared" si="362"/>
        <v>2030</v>
      </c>
      <c r="CV95" s="199">
        <f t="shared" si="362"/>
        <v>2031</v>
      </c>
      <c r="CW95" s="199">
        <f t="shared" si="362"/>
        <v>2032</v>
      </c>
      <c r="CX95" s="159"/>
      <c r="CY95" s="159"/>
      <c r="CZ95" s="159"/>
      <c r="DA95" s="159"/>
      <c r="DB95" s="159"/>
      <c r="DC95" s="159"/>
      <c r="DD95" s="159"/>
      <c r="DE95" s="159"/>
      <c r="DF95" s="159"/>
      <c r="DG95" s="159"/>
      <c r="DH95" s="159"/>
      <c r="DI95" s="159"/>
    </row>
    <row r="96" spans="1:123" outlineLevel="1">
      <c r="A96" s="225" t="s">
        <v>13</v>
      </c>
      <c r="B96" s="703"/>
      <c r="C96" s="703"/>
      <c r="D96" s="703"/>
      <c r="E96" s="703"/>
      <c r="F96" s="703"/>
      <c r="G96" s="703"/>
      <c r="H96" s="703"/>
      <c r="I96" s="703"/>
      <c r="J96" s="703"/>
      <c r="K96" s="703"/>
      <c r="L96" s="703"/>
      <c r="M96" s="703"/>
      <c r="N96" s="703"/>
      <c r="O96" s="703"/>
      <c r="P96" s="703"/>
      <c r="Q96" s="703"/>
      <c r="R96" s="703"/>
      <c r="S96" s="703"/>
      <c r="T96" s="703"/>
      <c r="U96" s="703"/>
      <c r="V96" s="704"/>
      <c r="W96" s="704"/>
      <c r="X96" s="704"/>
      <c r="Y96" s="704"/>
      <c r="Z96" s="704"/>
      <c r="AA96" s="704"/>
      <c r="AB96" s="704"/>
      <c r="AC96" s="704"/>
      <c r="AD96" s="704"/>
      <c r="AE96" s="704"/>
      <c r="AF96" s="704"/>
      <c r="AG96" s="704"/>
      <c r="AH96" s="704"/>
      <c r="AI96" s="704"/>
      <c r="AJ96" s="704"/>
      <c r="AK96" s="704"/>
      <c r="AL96" s="704"/>
      <c r="AM96" s="704"/>
      <c r="AN96" s="704"/>
      <c r="AO96" s="704"/>
      <c r="AP96" s="704"/>
      <c r="AQ96" s="704"/>
      <c r="AR96" s="704"/>
      <c r="AS96" s="704"/>
      <c r="AT96" s="693"/>
      <c r="AU96" s="693">
        <f>AU98*AU75</f>
        <v>0</v>
      </c>
      <c r="AV96" s="693">
        <f>AV104</f>
        <v>2800</v>
      </c>
      <c r="AW96" s="693">
        <f>AW104</f>
        <v>2842</v>
      </c>
      <c r="AX96" s="693">
        <f t="shared" ref="AX96:BV96" si="367">AX104</f>
        <v>2849</v>
      </c>
      <c r="AY96" s="693">
        <f t="shared" si="367"/>
        <v>2894</v>
      </c>
      <c r="AZ96" s="693">
        <f t="shared" si="367"/>
        <v>2894</v>
      </c>
      <c r="BA96" s="693">
        <f t="shared" si="367"/>
        <v>2958</v>
      </c>
      <c r="BB96" s="693">
        <f t="shared" si="367"/>
        <v>3019</v>
      </c>
      <c r="BC96" s="693">
        <f t="shared" si="367"/>
        <v>3105</v>
      </c>
      <c r="BD96" s="693">
        <f t="shared" si="367"/>
        <v>3190</v>
      </c>
      <c r="BE96" s="693">
        <f t="shared" si="367"/>
        <v>3190</v>
      </c>
      <c r="BF96" s="693">
        <f t="shared" si="367"/>
        <v>3321</v>
      </c>
      <c r="BG96" s="693">
        <f t="shared" si="367"/>
        <v>3438</v>
      </c>
      <c r="BH96" s="693">
        <f t="shared" si="367"/>
        <v>3581</v>
      </c>
      <c r="BI96" s="693">
        <f t="shared" si="367"/>
        <v>3755</v>
      </c>
      <c r="BJ96" s="693">
        <f t="shared" si="367"/>
        <v>3755</v>
      </c>
      <c r="BK96" s="693">
        <f t="shared" si="367"/>
        <v>3833</v>
      </c>
      <c r="BL96" s="693">
        <f t="shared" si="367"/>
        <v>3801</v>
      </c>
      <c r="BM96" s="693">
        <f t="shared" si="367"/>
        <v>3855</v>
      </c>
      <c r="BN96" s="693">
        <f t="shared" si="367"/>
        <v>3939</v>
      </c>
      <c r="BO96" s="693">
        <f t="shared" si="367"/>
        <v>3939</v>
      </c>
      <c r="BP96" s="693">
        <f t="shared" si="367"/>
        <v>4006</v>
      </c>
      <c r="BQ96" s="693">
        <f t="shared" si="367"/>
        <v>4133</v>
      </c>
      <c r="BR96" s="693">
        <f t="shared" si="367"/>
        <v>4107</v>
      </c>
      <c r="BS96" s="693">
        <f t="shared" si="367"/>
        <v>4259</v>
      </c>
      <c r="BT96" s="693">
        <f t="shared" si="367"/>
        <v>4259</v>
      </c>
      <c r="BU96" s="693">
        <f t="shared" si="367"/>
        <v>4324</v>
      </c>
      <c r="BV96" s="693">
        <f t="shared" si="367"/>
        <v>4398</v>
      </c>
      <c r="BW96" s="693">
        <f t="shared" ref="BW96:BZ96" si="368">BW104</f>
        <v>4478</v>
      </c>
      <c r="BX96" s="693">
        <f t="shared" si="368"/>
        <v>4591</v>
      </c>
      <c r="BY96" s="693">
        <f t="shared" si="368"/>
        <v>4591</v>
      </c>
      <c r="BZ96" s="693">
        <f t="shared" si="368"/>
        <v>4663</v>
      </c>
      <c r="CA96" s="693">
        <f t="shared" ref="CA96:CB96" si="369">CA104</f>
        <v>4721</v>
      </c>
      <c r="CB96" s="693">
        <f t="shared" si="369"/>
        <v>4825</v>
      </c>
      <c r="CC96" s="693">
        <f t="shared" ref="CC96:CD96" si="370">CC104</f>
        <v>4922</v>
      </c>
      <c r="CD96" s="693">
        <f t="shared" si="370"/>
        <v>4922</v>
      </c>
      <c r="CE96" s="693">
        <f t="shared" ref="CE96:CF96" si="371">CE104</f>
        <v>5033</v>
      </c>
      <c r="CF96" s="693">
        <f t="shared" si="371"/>
        <v>5129</v>
      </c>
      <c r="CG96" s="693">
        <f t="shared" ref="CG96:CJ96" si="372">CG104</f>
        <v>5243</v>
      </c>
      <c r="CH96" s="693">
        <f t="shared" si="372"/>
        <v>5388</v>
      </c>
      <c r="CI96" s="693">
        <f t="shared" si="372"/>
        <v>5388</v>
      </c>
      <c r="CJ96" s="693">
        <f t="shared" si="372"/>
        <v>5549</v>
      </c>
      <c r="CK96" s="693">
        <f t="shared" ref="CK96:CL96" si="373">CK104</f>
        <v>5647</v>
      </c>
      <c r="CL96" s="693">
        <f t="shared" si="373"/>
        <v>5794</v>
      </c>
      <c r="CM96" s="693">
        <f t="shared" ref="CM96:CP96" si="374">CM104</f>
        <v>5919</v>
      </c>
      <c r="CN96" s="693">
        <f t="shared" si="374"/>
        <v>5919</v>
      </c>
      <c r="CO96" s="693">
        <f t="shared" si="374"/>
        <v>6018</v>
      </c>
      <c r="CP96" s="693">
        <f t="shared" si="374"/>
        <v>6156</v>
      </c>
      <c r="CQ96" s="693">
        <f t="shared" ref="CQ96:CS96" si="375">CQ98*CQ73</f>
        <v>5997.2945225583844</v>
      </c>
      <c r="CR96" s="693">
        <f t="shared" si="375"/>
        <v>6108.777680077299</v>
      </c>
      <c r="CS96" s="693">
        <f t="shared" si="375"/>
        <v>6217.6755463856089</v>
      </c>
      <c r="CT96" s="693">
        <f t="shared" ref="CT96:CV96" si="376">CT98*CT73</f>
        <v>6324.2736522809573</v>
      </c>
      <c r="CU96" s="693">
        <f t="shared" si="376"/>
        <v>6428.8328205048083</v>
      </c>
      <c r="CV96" s="693">
        <f t="shared" si="376"/>
        <v>6531.591323154802</v>
      </c>
      <c r="CW96" s="693">
        <f t="shared" ref="CW96" si="377">CW98*CW73</f>
        <v>6632.7668526415973</v>
      </c>
      <c r="CX96" s="159"/>
      <c r="CY96" s="159"/>
      <c r="CZ96" s="159"/>
      <c r="DA96" s="159"/>
      <c r="DB96" s="891"/>
      <c r="DC96" s="892"/>
      <c r="DD96" s="892"/>
      <c r="DE96" s="892"/>
      <c r="DF96" s="892"/>
      <c r="DG96" s="908"/>
      <c r="DH96" s="908"/>
      <c r="DI96" s="892"/>
    </row>
    <row r="97" spans="1:145" outlineLevel="1">
      <c r="A97" s="225" t="s">
        <v>14</v>
      </c>
      <c r="B97" s="703"/>
      <c r="C97" s="703"/>
      <c r="D97" s="703"/>
      <c r="E97" s="703"/>
      <c r="F97" s="703"/>
      <c r="G97" s="703"/>
      <c r="H97" s="703"/>
      <c r="I97" s="703"/>
      <c r="J97" s="703"/>
      <c r="K97" s="703"/>
      <c r="L97" s="703"/>
      <c r="M97" s="703"/>
      <c r="N97" s="703"/>
      <c r="O97" s="703"/>
      <c r="P97" s="703"/>
      <c r="Q97" s="703"/>
      <c r="R97" s="703"/>
      <c r="S97" s="703"/>
      <c r="T97" s="703"/>
      <c r="U97" s="703"/>
      <c r="V97" s="704"/>
      <c r="W97" s="704"/>
      <c r="X97" s="704"/>
      <c r="Y97" s="704"/>
      <c r="Z97" s="704"/>
      <c r="AA97" s="704"/>
      <c r="AB97" s="704"/>
      <c r="AC97" s="704"/>
      <c r="AD97" s="704"/>
      <c r="AE97" s="704"/>
      <c r="AF97" s="704"/>
      <c r="AG97" s="704"/>
      <c r="AH97" s="704"/>
      <c r="AI97" s="704"/>
      <c r="AJ97" s="704"/>
      <c r="AK97" s="704"/>
      <c r="AL97" s="704"/>
      <c r="AM97" s="704"/>
      <c r="AN97" s="704"/>
      <c r="AO97" s="704"/>
      <c r="AP97" s="704"/>
      <c r="AQ97" s="704"/>
      <c r="AR97" s="704"/>
      <c r="AS97" s="704"/>
      <c r="AT97" s="693"/>
      <c r="AU97" s="693">
        <f>AU99*AU75</f>
        <v>12299</v>
      </c>
      <c r="AV97" s="693">
        <f>AV110</f>
        <v>8820</v>
      </c>
      <c r="AW97" s="693">
        <f>AW110</f>
        <v>8653</v>
      </c>
      <c r="AX97" s="693">
        <f t="shared" ref="AX97:BV97" si="378">AX110</f>
        <v>8255</v>
      </c>
      <c r="AY97" s="693">
        <f t="shared" si="378"/>
        <v>8034</v>
      </c>
      <c r="AZ97" s="693">
        <f t="shared" si="378"/>
        <v>8034</v>
      </c>
      <c r="BA97" s="693">
        <f t="shared" si="378"/>
        <v>7756</v>
      </c>
      <c r="BB97" s="693">
        <f t="shared" si="378"/>
        <v>7716</v>
      </c>
      <c r="BC97" s="693">
        <f t="shared" si="378"/>
        <v>7703</v>
      </c>
      <c r="BD97" s="693">
        <f t="shared" si="378"/>
        <v>7571</v>
      </c>
      <c r="BE97" s="693">
        <f t="shared" si="378"/>
        <v>7571</v>
      </c>
      <c r="BF97" s="693">
        <f t="shared" si="378"/>
        <v>7444</v>
      </c>
      <c r="BG97" s="693">
        <f t="shared" si="378"/>
        <v>7463</v>
      </c>
      <c r="BH97" s="693">
        <f t="shared" si="378"/>
        <v>7461</v>
      </c>
      <c r="BI97" s="693">
        <f t="shared" si="378"/>
        <v>7375</v>
      </c>
      <c r="BJ97" s="693">
        <f t="shared" si="378"/>
        <v>7375</v>
      </c>
      <c r="BK97" s="693">
        <f t="shared" si="378"/>
        <v>7388</v>
      </c>
      <c r="BL97" s="693">
        <f t="shared" si="378"/>
        <v>7830</v>
      </c>
      <c r="BM97" s="693">
        <f t="shared" si="378"/>
        <v>7147</v>
      </c>
      <c r="BN97" s="693">
        <f t="shared" si="378"/>
        <v>7193</v>
      </c>
      <c r="BO97" s="693">
        <f t="shared" si="378"/>
        <v>7193</v>
      </c>
      <c r="BP97" s="693">
        <f t="shared" si="378"/>
        <v>7365</v>
      </c>
      <c r="BQ97" s="693">
        <f t="shared" si="378"/>
        <v>7360</v>
      </c>
      <c r="BR97" s="693">
        <f t="shared" si="378"/>
        <v>7334</v>
      </c>
      <c r="BS97" s="693">
        <f t="shared" si="378"/>
        <v>7359</v>
      </c>
      <c r="BT97" s="693">
        <f t="shared" si="378"/>
        <v>7359</v>
      </c>
      <c r="BU97" s="693">
        <f t="shared" si="378"/>
        <v>7092</v>
      </c>
      <c r="BV97" s="693">
        <f t="shared" si="378"/>
        <v>7149</v>
      </c>
      <c r="BW97" s="693">
        <f t="shared" ref="BW97:BZ97" si="379">BW110</f>
        <v>7188</v>
      </c>
      <c r="BX97" s="693">
        <f t="shared" si="379"/>
        <v>7147</v>
      </c>
      <c r="BY97" s="693">
        <f t="shared" si="379"/>
        <v>7147</v>
      </c>
      <c r="BZ97" s="693">
        <f t="shared" si="379"/>
        <v>7126</v>
      </c>
      <c r="CA97" s="693">
        <f t="shared" ref="CA97:CB97" si="380">CA110</f>
        <v>7032</v>
      </c>
      <c r="CB97" s="693">
        <f t="shared" si="380"/>
        <v>7185</v>
      </c>
      <c r="CC97" s="693">
        <f t="shared" ref="CC97:CD97" si="381">CC110</f>
        <v>7589</v>
      </c>
      <c r="CD97" s="693">
        <f t="shared" si="381"/>
        <v>7589</v>
      </c>
      <c r="CE97" s="693">
        <f t="shared" ref="CE97:CF97" si="382">CE110</f>
        <v>7397</v>
      </c>
      <c r="CF97" s="693">
        <f t="shared" si="382"/>
        <v>7497</v>
      </c>
      <c r="CG97" s="693">
        <f t="shared" ref="CG97:CJ97" si="383">CG110</f>
        <v>7494</v>
      </c>
      <c r="CH97" s="693">
        <f t="shared" si="383"/>
        <v>7438</v>
      </c>
      <c r="CI97" s="693">
        <f t="shared" si="383"/>
        <v>7438</v>
      </c>
      <c r="CJ97" s="693">
        <f t="shared" si="383"/>
        <v>7566</v>
      </c>
      <c r="CK97" s="693">
        <f t="shared" ref="CK97:CL97" si="384">CK110</f>
        <v>7601</v>
      </c>
      <c r="CL97" s="693">
        <f t="shared" si="384"/>
        <v>7573</v>
      </c>
      <c r="CM97" s="693">
        <f t="shared" ref="CM97:CP97" si="385">CM110</f>
        <v>7585</v>
      </c>
      <c r="CN97" s="693">
        <f t="shared" si="385"/>
        <v>7585</v>
      </c>
      <c r="CO97" s="693">
        <f t="shared" si="385"/>
        <v>7613</v>
      </c>
      <c r="CP97" s="693">
        <f t="shared" si="385"/>
        <v>7391</v>
      </c>
      <c r="CQ97" s="693">
        <f t="shared" ref="CQ97:CS97" si="386">CQ99*CQ73</f>
        <v>7592.3190620150535</v>
      </c>
      <c r="CR97" s="693">
        <f t="shared" si="386"/>
        <v>7639.9896234807957</v>
      </c>
      <c r="CS97" s="693">
        <f t="shared" si="386"/>
        <v>7682.331105075662</v>
      </c>
      <c r="CT97" s="693">
        <f t="shared" ref="CT97:CV97" si="387">CT99*CT73</f>
        <v>7719.8502224857029</v>
      </c>
      <c r="CU97" s="693">
        <f t="shared" si="387"/>
        <v>7753.002922034173</v>
      </c>
      <c r="CV97" s="693">
        <f t="shared" si="387"/>
        <v>7782.1994322733144</v>
      </c>
      <c r="CW97" s="693">
        <f t="shared" ref="CW97" si="388">CW99*CW73</f>
        <v>7807.8088135762437</v>
      </c>
      <c r="CX97" s="159"/>
      <c r="CY97" s="159"/>
      <c r="CZ97" s="159"/>
      <c r="DA97" s="159"/>
      <c r="DB97" s="197"/>
      <c r="DC97" s="165"/>
      <c r="DD97" s="165"/>
      <c r="DE97" s="165"/>
      <c r="DF97" s="165"/>
      <c r="DG97" s="165"/>
      <c r="DH97" s="165"/>
      <c r="DI97" s="165"/>
    </row>
    <row r="98" spans="1:145" s="170" customFormat="1" outlineLevel="1">
      <c r="A98" s="418" t="s">
        <v>15</v>
      </c>
      <c r="B98" s="204" t="e">
        <f>B96/(B97+B96)</f>
        <v>#DIV/0!</v>
      </c>
      <c r="C98" s="204"/>
      <c r="D98" s="204"/>
      <c r="E98" s="204"/>
      <c r="F98" s="204"/>
      <c r="G98" s="204" t="e">
        <f>G96/(G97+G96)</f>
        <v>#DIV/0!</v>
      </c>
      <c r="H98" s="204"/>
      <c r="I98" s="204"/>
      <c r="J98" s="204"/>
      <c r="K98" s="204"/>
      <c r="L98" s="204" t="e">
        <f>L96/(L97+L96)</f>
        <v>#DIV/0!</v>
      </c>
      <c r="M98" s="204"/>
      <c r="N98" s="204"/>
      <c r="O98" s="204"/>
      <c r="P98" s="204"/>
      <c r="Q98" s="204" t="e">
        <f>Q96/(Q97+Q96)</f>
        <v>#DIV/0!</v>
      </c>
      <c r="R98" s="204"/>
      <c r="S98" s="204"/>
      <c r="T98" s="204"/>
      <c r="U98" s="204"/>
      <c r="V98" s="204" t="e">
        <f>V96/(V97+V96)</f>
        <v>#DIV/0!</v>
      </c>
      <c r="W98" s="204"/>
      <c r="X98" s="204"/>
      <c r="Y98" s="204"/>
      <c r="Z98" s="204"/>
      <c r="AA98" s="204" t="e">
        <f>AA96/(AA97+AA96)</f>
        <v>#DIV/0!</v>
      </c>
      <c r="AB98" s="204"/>
      <c r="AC98" s="204"/>
      <c r="AD98" s="204"/>
      <c r="AE98" s="204"/>
      <c r="AF98" s="204" t="e">
        <f>AF96/(AF97+AF96)</f>
        <v>#DIV/0!</v>
      </c>
      <c r="AG98" s="204"/>
      <c r="AH98" s="204"/>
      <c r="AI98" s="204"/>
      <c r="AJ98" s="204"/>
      <c r="AK98" s="204" t="e">
        <f>AK96/(AK97+AK96)</f>
        <v>#DIV/0!</v>
      </c>
      <c r="AL98" s="204"/>
      <c r="AM98" s="204"/>
      <c r="AN98" s="204"/>
      <c r="AO98" s="204"/>
      <c r="AP98" s="204" t="e">
        <f>AP96/(AP97+AP96)</f>
        <v>#DIV/0!</v>
      </c>
      <c r="AQ98" s="204"/>
      <c r="AR98" s="204"/>
      <c r="AS98" s="204"/>
      <c r="AT98" s="204"/>
      <c r="AU98" s="254"/>
      <c r="AV98" s="204">
        <f>AV96/(AV96+AV97)</f>
        <v>0.24096385542168675</v>
      </c>
      <c r="AW98" s="204">
        <f>AW96/(AW96+AW97)</f>
        <v>0.24723792953458026</v>
      </c>
      <c r="AX98" s="204">
        <f t="shared" ref="AX98:BV98" si="389">AX96/(AX96+AX97)</f>
        <v>0.25657420749279541</v>
      </c>
      <c r="AY98" s="204">
        <f t="shared" si="389"/>
        <v>0.2648243045387994</v>
      </c>
      <c r="AZ98" s="204">
        <f t="shared" si="389"/>
        <v>0.2648243045387994</v>
      </c>
      <c r="BA98" s="204">
        <f t="shared" si="389"/>
        <v>0.27608736232966213</v>
      </c>
      <c r="BB98" s="204">
        <f t="shared" si="389"/>
        <v>0.28122962272938984</v>
      </c>
      <c r="BC98" s="204">
        <f t="shared" si="389"/>
        <v>0.28728719467061437</v>
      </c>
      <c r="BD98" s="204">
        <f t="shared" si="389"/>
        <v>0.29644085122200536</v>
      </c>
      <c r="BE98" s="204">
        <f t="shared" si="389"/>
        <v>0.29644085122200536</v>
      </c>
      <c r="BF98" s="204">
        <f t="shared" si="389"/>
        <v>0.30849976776590804</v>
      </c>
      <c r="BG98" s="204">
        <f t="shared" si="389"/>
        <v>0.31538390973305203</v>
      </c>
      <c r="BH98" s="204">
        <f t="shared" si="389"/>
        <v>0.3243071907263177</v>
      </c>
      <c r="BI98" s="204">
        <f t="shared" si="389"/>
        <v>0.33737646001796945</v>
      </c>
      <c r="BJ98" s="204">
        <f t="shared" si="389"/>
        <v>0.33737646001796945</v>
      </c>
      <c r="BK98" s="204">
        <f t="shared" si="389"/>
        <v>0.34159165849746009</v>
      </c>
      <c r="BL98" s="204">
        <f t="shared" si="389"/>
        <v>0.3267990714469951</v>
      </c>
      <c r="BM98" s="204">
        <f t="shared" si="389"/>
        <v>0.3503908380294492</v>
      </c>
      <c r="BN98" s="204">
        <f t="shared" si="389"/>
        <v>0.35384477182896157</v>
      </c>
      <c r="BO98" s="204">
        <f t="shared" si="389"/>
        <v>0.35384477182896157</v>
      </c>
      <c r="BP98" s="204">
        <f t="shared" si="389"/>
        <v>0.35229970978805736</v>
      </c>
      <c r="BQ98" s="204">
        <f t="shared" si="389"/>
        <v>0.35961019751152878</v>
      </c>
      <c r="BR98" s="204">
        <f t="shared" si="389"/>
        <v>0.35897211782186872</v>
      </c>
      <c r="BS98" s="204">
        <f t="shared" si="389"/>
        <v>0.36658633155448445</v>
      </c>
      <c r="BT98" s="204">
        <f t="shared" si="389"/>
        <v>0.36658633155448445</v>
      </c>
      <c r="BU98" s="204">
        <f t="shared" si="389"/>
        <v>0.37876664330763843</v>
      </c>
      <c r="BV98" s="204">
        <f t="shared" si="389"/>
        <v>0.38087815016887505</v>
      </c>
      <c r="BW98" s="185">
        <f t="shared" ref="BW98:BZ98" si="390">BW96/(BW96+BW97)</f>
        <v>0.3838505057431853</v>
      </c>
      <c r="BX98" s="185">
        <f t="shared" si="390"/>
        <v>0.39112284886692794</v>
      </c>
      <c r="BY98" s="204">
        <f t="shared" si="390"/>
        <v>0.39112284886692794</v>
      </c>
      <c r="BZ98" s="204">
        <f t="shared" si="390"/>
        <v>0.39553821358893881</v>
      </c>
      <c r="CA98" s="204">
        <f t="shared" ref="CA98:CB98" si="391">CA96/(CA96+CA97)</f>
        <v>0.40168467625287163</v>
      </c>
      <c r="CB98" s="204">
        <f t="shared" si="391"/>
        <v>0.40174854288093254</v>
      </c>
      <c r="CC98" s="204">
        <f t="shared" ref="CC98:CD98" si="392">CC96/(CC96+CC97)</f>
        <v>0.39341379585964353</v>
      </c>
      <c r="CD98" s="204">
        <f t="shared" si="392"/>
        <v>0.39341379585964353</v>
      </c>
      <c r="CE98" s="204">
        <f t="shared" ref="CE98:CF98" si="393">CE96/(CE96+CE97)</f>
        <v>0.40490748189863235</v>
      </c>
      <c r="CF98" s="204">
        <f t="shared" si="393"/>
        <v>0.40622524948518929</v>
      </c>
      <c r="CG98" s="204">
        <f t="shared" ref="CG98:CJ98" si="394">CG96/(CG96+CG97)</f>
        <v>0.41163539294967416</v>
      </c>
      <c r="CH98" s="204">
        <f t="shared" si="394"/>
        <v>0.42008420396070484</v>
      </c>
      <c r="CI98" s="204">
        <f t="shared" si="394"/>
        <v>0.42008420396070484</v>
      </c>
      <c r="CJ98" s="204">
        <f t="shared" si="394"/>
        <v>0.42310331681280977</v>
      </c>
      <c r="CK98" s="204">
        <f t="shared" ref="CK98:CL98" si="395">CK96/(CK96+CK97)</f>
        <v>0.42625301932367149</v>
      </c>
      <c r="CL98" s="204">
        <f t="shared" si="395"/>
        <v>0.43345552479988031</v>
      </c>
      <c r="CM98" s="204">
        <f t="shared" ref="CM98:CP98" si="396">CM96/(CM96+CM97)</f>
        <v>0.43831457345971564</v>
      </c>
      <c r="CN98" s="204">
        <f t="shared" si="396"/>
        <v>0.43831457345971564</v>
      </c>
      <c r="CO98" s="204">
        <f t="shared" si="396"/>
        <v>0.44149365417064046</v>
      </c>
      <c r="CP98" s="204">
        <f t="shared" si="396"/>
        <v>0.45441795231416549</v>
      </c>
      <c r="CQ98" s="254">
        <f>CN98+0.3%</f>
        <v>0.44131457345971564</v>
      </c>
      <c r="CR98" s="254">
        <f t="shared" ref="CR98:CW98" si="397">CQ98+0.3%</f>
        <v>0.44431457345971564</v>
      </c>
      <c r="CS98" s="254">
        <f t="shared" si="397"/>
        <v>0.44731457345971565</v>
      </c>
      <c r="CT98" s="254">
        <f t="shared" si="397"/>
        <v>0.45031457345971565</v>
      </c>
      <c r="CU98" s="254">
        <f t="shared" si="397"/>
        <v>0.45331457345971565</v>
      </c>
      <c r="CV98" s="254">
        <f t="shared" si="397"/>
        <v>0.45631457345971566</v>
      </c>
      <c r="CW98" s="254">
        <f t="shared" si="397"/>
        <v>0.45931457345971566</v>
      </c>
      <c r="DB98" s="893"/>
      <c r="DC98" s="892"/>
      <c r="DD98" s="892"/>
      <c r="DE98" s="892"/>
      <c r="DF98" s="892"/>
      <c r="DG98" s="908"/>
      <c r="DH98" s="908"/>
      <c r="DI98" s="892"/>
    </row>
    <row r="99" spans="1:145" s="170" customFormat="1" outlineLevel="1">
      <c r="A99" s="418" t="s">
        <v>16</v>
      </c>
      <c r="B99" s="204" t="e">
        <f>100%-B98</f>
        <v>#DIV/0!</v>
      </c>
      <c r="C99" s="204"/>
      <c r="D99" s="204"/>
      <c r="E99" s="204"/>
      <c r="F99" s="204"/>
      <c r="G99" s="204" t="e">
        <f>100%-G98</f>
        <v>#DIV/0!</v>
      </c>
      <c r="H99" s="204"/>
      <c r="I99" s="204"/>
      <c r="J99" s="204"/>
      <c r="K99" s="204"/>
      <c r="L99" s="204" t="e">
        <f>100%-L98</f>
        <v>#DIV/0!</v>
      </c>
      <c r="M99" s="204"/>
      <c r="N99" s="204"/>
      <c r="O99" s="204"/>
      <c r="P99" s="204"/>
      <c r="Q99" s="204" t="e">
        <f>100%-Q98</f>
        <v>#DIV/0!</v>
      </c>
      <c r="R99" s="204"/>
      <c r="S99" s="204"/>
      <c r="T99" s="204"/>
      <c r="U99" s="204"/>
      <c r="V99" s="204" t="e">
        <f>100%-V98</f>
        <v>#DIV/0!</v>
      </c>
      <c r="W99" s="204"/>
      <c r="X99" s="204"/>
      <c r="Y99" s="204"/>
      <c r="Z99" s="204"/>
      <c r="AA99" s="204" t="e">
        <f>100%-AA98</f>
        <v>#DIV/0!</v>
      </c>
      <c r="AB99" s="204"/>
      <c r="AC99" s="204"/>
      <c r="AD99" s="204"/>
      <c r="AE99" s="204"/>
      <c r="AF99" s="204" t="e">
        <f>100%-AF98</f>
        <v>#DIV/0!</v>
      </c>
      <c r="AG99" s="204"/>
      <c r="AH99" s="204"/>
      <c r="AI99" s="204"/>
      <c r="AJ99" s="204"/>
      <c r="AK99" s="204" t="e">
        <f>100%-AK98</f>
        <v>#DIV/0!</v>
      </c>
      <c r="AL99" s="204"/>
      <c r="AM99" s="204"/>
      <c r="AN99" s="204"/>
      <c r="AO99" s="204"/>
      <c r="AP99" s="204" t="e">
        <f>100%-AP98</f>
        <v>#DIV/0!</v>
      </c>
      <c r="AQ99" s="204"/>
      <c r="AR99" s="204"/>
      <c r="AS99" s="204"/>
      <c r="AT99" s="204"/>
      <c r="AU99" s="254">
        <f>100%-AU98</f>
        <v>1</v>
      </c>
      <c r="AV99" s="204">
        <f>1-AV98</f>
        <v>0.75903614457831325</v>
      </c>
      <c r="AW99" s="204">
        <f>1-AW98</f>
        <v>0.75276207046541976</v>
      </c>
      <c r="AX99" s="204">
        <f t="shared" ref="AX99:BV99" si="398">1-AX98</f>
        <v>0.74342579250720453</v>
      </c>
      <c r="AY99" s="204">
        <f t="shared" si="398"/>
        <v>0.73517569546120054</v>
      </c>
      <c r="AZ99" s="204">
        <f t="shared" si="398"/>
        <v>0.73517569546120054</v>
      </c>
      <c r="BA99" s="204">
        <f t="shared" si="398"/>
        <v>0.72391263767033787</v>
      </c>
      <c r="BB99" s="204">
        <f t="shared" si="398"/>
        <v>0.71877037727061022</v>
      </c>
      <c r="BC99" s="204">
        <f t="shared" si="398"/>
        <v>0.71271280532938563</v>
      </c>
      <c r="BD99" s="204">
        <f t="shared" si="398"/>
        <v>0.70355914877799464</v>
      </c>
      <c r="BE99" s="204">
        <f t="shared" si="398"/>
        <v>0.70355914877799464</v>
      </c>
      <c r="BF99" s="204">
        <f t="shared" si="398"/>
        <v>0.69150023223409196</v>
      </c>
      <c r="BG99" s="204">
        <f t="shared" si="398"/>
        <v>0.68461609026694803</v>
      </c>
      <c r="BH99" s="204">
        <f t="shared" si="398"/>
        <v>0.67569280927368225</v>
      </c>
      <c r="BI99" s="204">
        <f t="shared" si="398"/>
        <v>0.66262353998203061</v>
      </c>
      <c r="BJ99" s="204">
        <f t="shared" si="398"/>
        <v>0.66262353998203061</v>
      </c>
      <c r="BK99" s="204">
        <f t="shared" si="398"/>
        <v>0.65840834150253991</v>
      </c>
      <c r="BL99" s="204">
        <f t="shared" si="398"/>
        <v>0.67320092855300495</v>
      </c>
      <c r="BM99" s="204">
        <f t="shared" si="398"/>
        <v>0.64960916197055085</v>
      </c>
      <c r="BN99" s="204">
        <f t="shared" si="398"/>
        <v>0.64615522817103843</v>
      </c>
      <c r="BO99" s="204">
        <f t="shared" si="398"/>
        <v>0.64615522817103843</v>
      </c>
      <c r="BP99" s="204">
        <f t="shared" si="398"/>
        <v>0.64770029021194264</v>
      </c>
      <c r="BQ99" s="204">
        <f t="shared" si="398"/>
        <v>0.64038980248847122</v>
      </c>
      <c r="BR99" s="204">
        <f t="shared" si="398"/>
        <v>0.64102788217813123</v>
      </c>
      <c r="BS99" s="204">
        <f t="shared" si="398"/>
        <v>0.63341366844551561</v>
      </c>
      <c r="BT99" s="204">
        <f t="shared" si="398"/>
        <v>0.63341366844551561</v>
      </c>
      <c r="BU99" s="204">
        <f t="shared" si="398"/>
        <v>0.62123335669236157</v>
      </c>
      <c r="BV99" s="204">
        <f t="shared" si="398"/>
        <v>0.61912184983112495</v>
      </c>
      <c r="BW99" s="185">
        <f t="shared" ref="BW99:BZ99" si="399">1-BW98</f>
        <v>0.61614949425681464</v>
      </c>
      <c r="BX99" s="185">
        <f t="shared" si="399"/>
        <v>0.60887715113307206</v>
      </c>
      <c r="BY99" s="204">
        <f t="shared" si="399"/>
        <v>0.60887715113307206</v>
      </c>
      <c r="BZ99" s="204">
        <f t="shared" si="399"/>
        <v>0.60446178641106119</v>
      </c>
      <c r="CA99" s="204">
        <f t="shared" ref="CA99:CB99" si="400">1-CA98</f>
        <v>0.59831532374712837</v>
      </c>
      <c r="CB99" s="204">
        <f t="shared" si="400"/>
        <v>0.59825145711906746</v>
      </c>
      <c r="CC99" s="204">
        <f t="shared" ref="CC99:CD99" si="401">1-CC98</f>
        <v>0.60658620414035647</v>
      </c>
      <c r="CD99" s="204">
        <f t="shared" si="401"/>
        <v>0.60658620414035647</v>
      </c>
      <c r="CE99" s="204">
        <f t="shared" ref="CE99:CF99" si="402">1-CE98</f>
        <v>0.59509251810136765</v>
      </c>
      <c r="CF99" s="204">
        <f t="shared" si="402"/>
        <v>0.59377475051481077</v>
      </c>
      <c r="CG99" s="204">
        <f t="shared" ref="CG99:CJ99" si="403">1-CG98</f>
        <v>0.58836460705032589</v>
      </c>
      <c r="CH99" s="204">
        <f t="shared" si="403"/>
        <v>0.57991579603929511</v>
      </c>
      <c r="CI99" s="204">
        <f t="shared" si="403"/>
        <v>0.57991579603929511</v>
      </c>
      <c r="CJ99" s="204">
        <f t="shared" si="403"/>
        <v>0.57689668318719023</v>
      </c>
      <c r="CK99" s="204">
        <f t="shared" ref="CK99:CL99" si="404">1-CK98</f>
        <v>0.57374698067632846</v>
      </c>
      <c r="CL99" s="204">
        <f t="shared" si="404"/>
        <v>0.56654447520011963</v>
      </c>
      <c r="CM99" s="204">
        <f t="shared" ref="CM99:CP99" si="405">1-CM98</f>
        <v>0.56168542654028442</v>
      </c>
      <c r="CN99" s="204">
        <f t="shared" si="405"/>
        <v>0.56168542654028442</v>
      </c>
      <c r="CO99" s="204">
        <f t="shared" si="405"/>
        <v>0.55850634582935954</v>
      </c>
      <c r="CP99" s="204">
        <f t="shared" si="405"/>
        <v>0.54558204768583451</v>
      </c>
      <c r="CQ99" s="254">
        <f t="shared" ref="CQ99:CS99" si="406">100%-CQ98</f>
        <v>0.5586854265402843</v>
      </c>
      <c r="CR99" s="254">
        <f t="shared" si="406"/>
        <v>0.55568542654028441</v>
      </c>
      <c r="CS99" s="254">
        <f t="shared" si="406"/>
        <v>0.5526854265402843</v>
      </c>
      <c r="CT99" s="254">
        <f t="shared" ref="CT99:CV99" si="407">100%-CT98</f>
        <v>0.54968542654028441</v>
      </c>
      <c r="CU99" s="254">
        <f t="shared" si="407"/>
        <v>0.54668542654028429</v>
      </c>
      <c r="CV99" s="254">
        <f t="shared" si="407"/>
        <v>0.5436854265402844</v>
      </c>
      <c r="CW99" s="254">
        <f t="shared" ref="CW99" si="408">100%-CW98</f>
        <v>0.54068542654028429</v>
      </c>
    </row>
    <row r="100" spans="1:145" outlineLevel="1">
      <c r="A100" s="159"/>
      <c r="B100" s="159"/>
      <c r="C100" s="159"/>
      <c r="D100" s="159"/>
      <c r="E100" s="159"/>
      <c r="F100" s="159"/>
      <c r="G100" s="159"/>
      <c r="H100" s="159"/>
      <c r="I100" s="159"/>
      <c r="J100" s="159"/>
      <c r="K100" s="159"/>
      <c r="L100" s="159"/>
      <c r="M100" s="159"/>
      <c r="N100" s="159"/>
      <c r="O100" s="159"/>
      <c r="P100" s="159"/>
      <c r="Q100" s="159"/>
      <c r="R100" s="159"/>
      <c r="S100" s="159"/>
      <c r="T100" s="159"/>
      <c r="U100" s="159"/>
      <c r="V100" s="159"/>
      <c r="W100" s="159"/>
      <c r="X100" s="159"/>
      <c r="Y100" s="159"/>
      <c r="Z100" s="159"/>
      <c r="AA100" s="159"/>
      <c r="AB100" s="159"/>
      <c r="AC100" s="159"/>
      <c r="AD100" s="159"/>
      <c r="AE100" s="159"/>
      <c r="AF100" s="224"/>
      <c r="AG100" s="224"/>
      <c r="AH100" s="224"/>
      <c r="AI100" s="224"/>
      <c r="AJ100" s="224"/>
      <c r="AK100" s="224"/>
      <c r="AL100" s="224"/>
      <c r="AM100" s="224"/>
      <c r="AN100" s="224"/>
      <c r="AO100" s="224"/>
      <c r="AP100" s="159"/>
      <c r="AQ100" s="159"/>
      <c r="AR100" s="159"/>
      <c r="AS100" s="159"/>
      <c r="AT100" s="159"/>
      <c r="AU100" s="159"/>
      <c r="AV100" s="159"/>
      <c r="AW100" s="159"/>
      <c r="AX100" s="159"/>
      <c r="AY100" s="159"/>
      <c r="AZ100" s="159"/>
      <c r="BA100" s="159"/>
      <c r="BB100" s="159"/>
      <c r="BC100" s="159"/>
      <c r="BD100" s="159"/>
      <c r="BE100" s="159"/>
      <c r="BF100" s="159"/>
      <c r="BG100" s="159"/>
      <c r="BH100" s="159"/>
      <c r="BI100" s="159"/>
      <c r="BJ100" s="159"/>
      <c r="BK100" s="159"/>
      <c r="BL100" s="159"/>
      <c r="BM100" s="159"/>
      <c r="BN100" s="159"/>
      <c r="BO100" s="159"/>
      <c r="BP100" s="159"/>
      <c r="BQ100" s="159"/>
      <c r="BR100" s="159"/>
      <c r="BS100" s="159"/>
      <c r="BT100" s="159"/>
      <c r="BU100" s="159"/>
      <c r="BV100" s="159"/>
      <c r="BW100" s="159"/>
      <c r="BX100" s="159"/>
      <c r="BY100" s="159"/>
      <c r="BZ100" s="159"/>
      <c r="CA100" s="159"/>
      <c r="CB100" s="159"/>
      <c r="CC100" s="159"/>
      <c r="CD100" s="159"/>
      <c r="CE100" s="159"/>
      <c r="CF100" s="159"/>
      <c r="CG100" s="159"/>
      <c r="CH100" s="159"/>
      <c r="CI100" s="159"/>
      <c r="CJ100" s="159"/>
      <c r="CK100" s="159"/>
      <c r="CL100" s="159"/>
      <c r="CM100" s="159"/>
      <c r="CN100" s="159"/>
      <c r="CO100" s="159"/>
      <c r="CP100" s="159"/>
      <c r="CQ100" s="159"/>
      <c r="CR100" s="159"/>
      <c r="CS100" s="159"/>
      <c r="CT100" s="159"/>
      <c r="CU100" s="159"/>
      <c r="CV100" s="159"/>
      <c r="CW100" s="159"/>
      <c r="CX100" s="159"/>
      <c r="CY100" s="159"/>
      <c r="CZ100" s="159"/>
      <c r="DA100" s="159"/>
      <c r="DB100" s="159"/>
      <c r="DC100" s="162"/>
      <c r="DD100" s="884"/>
    </row>
    <row r="101" spans="1:145" outlineLevel="1">
      <c r="A101" s="199" t="s">
        <v>17</v>
      </c>
      <c r="B101" s="199">
        <f>B95</f>
        <v>2007</v>
      </c>
      <c r="C101" s="199"/>
      <c r="D101" s="199"/>
      <c r="E101" s="199"/>
      <c r="F101" s="199"/>
      <c r="G101" s="199">
        <f>B101+1</f>
        <v>2008</v>
      </c>
      <c r="H101" s="199"/>
      <c r="I101" s="199"/>
      <c r="J101" s="199"/>
      <c r="K101" s="199"/>
      <c r="L101" s="199">
        <f>G101+1</f>
        <v>2009</v>
      </c>
      <c r="M101" s="199"/>
      <c r="N101" s="199"/>
      <c r="O101" s="199"/>
      <c r="P101" s="199"/>
      <c r="Q101" s="199">
        <f>L101+1</f>
        <v>2010</v>
      </c>
      <c r="R101" s="199"/>
      <c r="S101" s="199"/>
      <c r="T101" s="199"/>
      <c r="U101" s="199"/>
      <c r="V101" s="199">
        <f>Q101+1</f>
        <v>2011</v>
      </c>
      <c r="W101" s="199"/>
      <c r="X101" s="199"/>
      <c r="Y101" s="199"/>
      <c r="Z101" s="199"/>
      <c r="AA101" s="199">
        <f>V101+1</f>
        <v>2012</v>
      </c>
      <c r="AB101" s="199"/>
      <c r="AC101" s="199"/>
      <c r="AD101" s="199"/>
      <c r="AE101" s="199"/>
      <c r="AF101" s="199">
        <f>AA101+1</f>
        <v>2013</v>
      </c>
      <c r="AG101" s="199"/>
      <c r="AH101" s="199"/>
      <c r="AI101" s="199"/>
      <c r="AJ101" s="199"/>
      <c r="AK101" s="199">
        <f>AF101+1</f>
        <v>2014</v>
      </c>
      <c r="AL101" s="199"/>
      <c r="AM101" s="199"/>
      <c r="AN101" s="199"/>
      <c r="AO101" s="199"/>
      <c r="AP101" s="199">
        <f>AK101+1</f>
        <v>2015</v>
      </c>
      <c r="AQ101" s="199"/>
      <c r="AR101" s="199"/>
      <c r="AS101" s="199"/>
      <c r="AT101" s="199"/>
      <c r="AU101" s="199">
        <f>AP101+1</f>
        <v>2016</v>
      </c>
      <c r="AV101" s="199"/>
      <c r="AW101" s="199"/>
      <c r="AX101" s="199"/>
      <c r="AY101" s="199"/>
      <c r="AZ101" s="199">
        <f>AU101+1</f>
        <v>2017</v>
      </c>
      <c r="BA101" s="199"/>
      <c r="BB101" s="199"/>
      <c r="BC101" s="199"/>
      <c r="BD101" s="199"/>
      <c r="BE101" s="199">
        <f>AZ101+1</f>
        <v>2018</v>
      </c>
      <c r="BF101" s="199"/>
      <c r="BG101" s="199"/>
      <c r="BH101" s="199"/>
      <c r="BI101" s="199"/>
      <c r="BJ101" s="199">
        <f>BE101+1</f>
        <v>2019</v>
      </c>
      <c r="BK101" s="199"/>
      <c r="BL101" s="199"/>
      <c r="BM101" s="199"/>
      <c r="BN101" s="199"/>
      <c r="BO101" s="199">
        <f>BJ101+1</f>
        <v>2020</v>
      </c>
      <c r="BP101" s="199"/>
      <c r="BQ101" s="199"/>
      <c r="BR101" s="199"/>
      <c r="BS101" s="199"/>
      <c r="BT101" s="199">
        <f>BO101+1</f>
        <v>2021</v>
      </c>
      <c r="BU101" s="199"/>
      <c r="BV101" s="199"/>
      <c r="BW101" s="199"/>
      <c r="BX101" s="199"/>
      <c r="BY101" s="199">
        <f>BT101+1</f>
        <v>2022</v>
      </c>
      <c r="BZ101" s="199"/>
      <c r="CA101" s="199"/>
      <c r="CB101" s="199"/>
      <c r="CC101" s="199"/>
      <c r="CD101" s="199">
        <f>BY101+1</f>
        <v>2023</v>
      </c>
      <c r="CE101" s="199"/>
      <c r="CF101" s="199"/>
      <c r="CG101" s="199"/>
      <c r="CH101" s="199"/>
      <c r="CI101" s="199">
        <f>CD101+1</f>
        <v>2024</v>
      </c>
      <c r="CJ101" s="199"/>
      <c r="CK101" s="199"/>
      <c r="CL101" s="199"/>
      <c r="CM101" s="199"/>
      <c r="CN101" s="199">
        <f>CI101+1</f>
        <v>2025</v>
      </c>
      <c r="CO101" s="199"/>
      <c r="CP101" s="199"/>
      <c r="CQ101" s="199">
        <f>CN101+1</f>
        <v>2026</v>
      </c>
      <c r="CR101" s="199">
        <f t="shared" ref="CR101:CS101" si="409">CQ101+1</f>
        <v>2027</v>
      </c>
      <c r="CS101" s="199">
        <f t="shared" si="409"/>
        <v>2028</v>
      </c>
      <c r="CT101" s="199">
        <f t="shared" ref="CT101" si="410">CS101+1</f>
        <v>2029</v>
      </c>
      <c r="CU101" s="199">
        <f t="shared" ref="CU101" si="411">CT101+1</f>
        <v>2030</v>
      </c>
      <c r="CV101" s="199">
        <f t="shared" ref="CV101:CW101" si="412">CU101+1</f>
        <v>2031</v>
      </c>
      <c r="CW101" s="199">
        <f t="shared" si="412"/>
        <v>2032</v>
      </c>
      <c r="CX101" s="159"/>
      <c r="CY101" s="159"/>
      <c r="CZ101" s="159"/>
      <c r="DA101" s="159"/>
      <c r="DB101" s="159"/>
      <c r="DC101" s="159"/>
      <c r="DD101" s="159"/>
    </row>
    <row r="102" spans="1:145" outlineLevel="1">
      <c r="A102" s="226" t="s">
        <v>18</v>
      </c>
      <c r="B102" s="690"/>
      <c r="C102" s="690"/>
      <c r="D102" s="690"/>
      <c r="E102" s="690"/>
      <c r="F102" s="690"/>
      <c r="G102" s="690">
        <f>B96</f>
        <v>0</v>
      </c>
      <c r="H102" s="690"/>
      <c r="I102" s="690"/>
      <c r="J102" s="690"/>
      <c r="K102" s="690"/>
      <c r="L102" s="690">
        <f>G96</f>
        <v>0</v>
      </c>
      <c r="M102" s="690"/>
      <c r="N102" s="690"/>
      <c r="O102" s="690"/>
      <c r="P102" s="690"/>
      <c r="Q102" s="690">
        <f>L96</f>
        <v>0</v>
      </c>
      <c r="R102" s="690"/>
      <c r="S102" s="690"/>
      <c r="T102" s="690"/>
      <c r="U102" s="690"/>
      <c r="V102" s="690">
        <f>Q96</f>
        <v>0</v>
      </c>
      <c r="W102" s="690"/>
      <c r="X102" s="690"/>
      <c r="Y102" s="690"/>
      <c r="Z102" s="690"/>
      <c r="AA102" s="690">
        <f>V96</f>
        <v>0</v>
      </c>
      <c r="AB102" s="690"/>
      <c r="AC102" s="690"/>
      <c r="AD102" s="690"/>
      <c r="AE102" s="690"/>
      <c r="AF102" s="690">
        <f>AA96</f>
        <v>0</v>
      </c>
      <c r="AG102" s="690"/>
      <c r="AH102" s="690"/>
      <c r="AI102" s="690"/>
      <c r="AJ102" s="690"/>
      <c r="AK102" s="690">
        <f>AF96</f>
        <v>0</v>
      </c>
      <c r="AL102" s="690"/>
      <c r="AM102" s="690"/>
      <c r="AN102" s="690"/>
      <c r="AO102" s="690"/>
      <c r="AP102" s="690">
        <f>AK96</f>
        <v>0</v>
      </c>
      <c r="AQ102" s="690"/>
      <c r="AR102" s="690"/>
      <c r="AS102" s="690"/>
      <c r="AT102" s="691"/>
      <c r="AU102" s="690">
        <f>AP96</f>
        <v>0</v>
      </c>
      <c r="AV102" s="690"/>
      <c r="AW102" s="690">
        <f>AV104</f>
        <v>2800</v>
      </c>
      <c r="AX102" s="691">
        <f>AW104</f>
        <v>2842</v>
      </c>
      <c r="AY102" s="691">
        <f>AX104</f>
        <v>2849</v>
      </c>
      <c r="AZ102" s="690">
        <f>AU96</f>
        <v>0</v>
      </c>
      <c r="BA102" s="690">
        <f>AZ104</f>
        <v>2894</v>
      </c>
      <c r="BB102" s="690">
        <f t="shared" ref="BB102:BD102" si="413">BA104</f>
        <v>2958</v>
      </c>
      <c r="BC102" s="690">
        <f t="shared" si="413"/>
        <v>3019</v>
      </c>
      <c r="BD102" s="690">
        <f t="shared" si="413"/>
        <v>3105</v>
      </c>
      <c r="BE102" s="690">
        <f>AZ96</f>
        <v>2894</v>
      </c>
      <c r="BF102" s="690">
        <f>BE104</f>
        <v>3190</v>
      </c>
      <c r="BG102" s="690">
        <f t="shared" ref="BG102:BI102" si="414">BF104</f>
        <v>3321</v>
      </c>
      <c r="BH102" s="690">
        <f t="shared" si="414"/>
        <v>3438</v>
      </c>
      <c r="BI102" s="690">
        <f t="shared" si="414"/>
        <v>3581</v>
      </c>
      <c r="BJ102" s="690">
        <f>BE96</f>
        <v>3190</v>
      </c>
      <c r="BK102" s="690">
        <f>BJ104</f>
        <v>3755</v>
      </c>
      <c r="BL102" s="690">
        <f t="shared" ref="BL102:BN102" si="415">BK104</f>
        <v>3833</v>
      </c>
      <c r="BM102" s="690">
        <f t="shared" si="415"/>
        <v>3801</v>
      </c>
      <c r="BN102" s="690">
        <f t="shared" si="415"/>
        <v>3855</v>
      </c>
      <c r="BO102" s="690">
        <f>BJ96</f>
        <v>3755</v>
      </c>
      <c r="BP102" s="690">
        <f>BO104</f>
        <v>3939</v>
      </c>
      <c r="BQ102" s="690">
        <f t="shared" ref="BQ102:BS102" si="416">BP104</f>
        <v>4006</v>
      </c>
      <c r="BR102" s="690">
        <f t="shared" si="416"/>
        <v>4133</v>
      </c>
      <c r="BS102" s="690">
        <f t="shared" si="416"/>
        <v>4107</v>
      </c>
      <c r="BT102" s="690">
        <f>BO96</f>
        <v>3939</v>
      </c>
      <c r="BU102" s="692">
        <f>BT104</f>
        <v>4259</v>
      </c>
      <c r="BV102" s="692">
        <f t="shared" ref="BV102:BX102" si="417">BU104</f>
        <v>4324</v>
      </c>
      <c r="BW102" s="692">
        <f t="shared" si="417"/>
        <v>4398</v>
      </c>
      <c r="BX102" s="692">
        <f t="shared" si="417"/>
        <v>4478</v>
      </c>
      <c r="BY102" s="690">
        <f>BT96</f>
        <v>4259</v>
      </c>
      <c r="BZ102" s="692">
        <f>BY104</f>
        <v>4591</v>
      </c>
      <c r="CA102" s="692">
        <f>BZ104</f>
        <v>4663</v>
      </c>
      <c r="CB102" s="692">
        <f>CA104</f>
        <v>4721</v>
      </c>
      <c r="CC102" s="692">
        <f>CB104</f>
        <v>4825</v>
      </c>
      <c r="CD102" s="690">
        <f>BY96</f>
        <v>4591</v>
      </c>
      <c r="CE102" s="692">
        <f>CD104</f>
        <v>4922</v>
      </c>
      <c r="CF102" s="692">
        <f>CE104</f>
        <v>5033</v>
      </c>
      <c r="CG102" s="692">
        <f>CF104</f>
        <v>5129</v>
      </c>
      <c r="CH102" s="692">
        <f>CG104</f>
        <v>5243</v>
      </c>
      <c r="CI102" s="690">
        <f>CD96</f>
        <v>4922</v>
      </c>
      <c r="CJ102" s="692">
        <f>CI104</f>
        <v>5388</v>
      </c>
      <c r="CK102" s="692">
        <f>CJ104</f>
        <v>5549</v>
      </c>
      <c r="CL102" s="692">
        <f>CK104</f>
        <v>5647</v>
      </c>
      <c r="CM102" s="692">
        <f>CL104</f>
        <v>5794</v>
      </c>
      <c r="CN102" s="690">
        <f>CI96</f>
        <v>5388</v>
      </c>
      <c r="CO102" s="692">
        <f>CN104</f>
        <v>5919</v>
      </c>
      <c r="CP102" s="692">
        <f>CO104</f>
        <v>6018</v>
      </c>
      <c r="CQ102" s="690">
        <f>CN96</f>
        <v>5919</v>
      </c>
      <c r="CR102" s="690">
        <f t="shared" ref="CR102:CS102" si="418">CQ96</f>
        <v>5997.2945225583844</v>
      </c>
      <c r="CS102" s="690">
        <f t="shared" si="418"/>
        <v>6108.777680077299</v>
      </c>
      <c r="CT102" s="690">
        <f t="shared" ref="CT102" si="419">CS96</f>
        <v>6217.6755463856089</v>
      </c>
      <c r="CU102" s="690">
        <f t="shared" ref="CU102" si="420">CT96</f>
        <v>6324.2736522809573</v>
      </c>
      <c r="CV102" s="690">
        <f t="shared" ref="CV102:CW102" si="421">CU96</f>
        <v>6428.8328205048083</v>
      </c>
      <c r="CW102" s="690">
        <f t="shared" si="421"/>
        <v>6531.591323154802</v>
      </c>
      <c r="CX102" s="159"/>
      <c r="CY102" s="159"/>
      <c r="CZ102" s="159"/>
      <c r="DA102" s="159"/>
      <c r="DB102" s="159"/>
      <c r="DC102" s="159"/>
      <c r="DD102" s="159"/>
    </row>
    <row r="103" spans="1:145" outlineLevel="1">
      <c r="A103" s="226" t="s">
        <v>19</v>
      </c>
      <c r="B103" s="693"/>
      <c r="C103" s="693"/>
      <c r="D103" s="693"/>
      <c r="E103" s="693"/>
      <c r="F103" s="693"/>
      <c r="G103" s="690">
        <f>G104-G102</f>
        <v>0</v>
      </c>
      <c r="H103" s="690"/>
      <c r="I103" s="690"/>
      <c r="J103" s="690"/>
      <c r="K103" s="690"/>
      <c r="L103" s="690">
        <f>L104-L102</f>
        <v>0</v>
      </c>
      <c r="M103" s="690"/>
      <c r="N103" s="690"/>
      <c r="O103" s="690"/>
      <c r="P103" s="690"/>
      <c r="Q103" s="690">
        <f>Q104-Q102</f>
        <v>0</v>
      </c>
      <c r="R103" s="690"/>
      <c r="S103" s="690"/>
      <c r="T103" s="690"/>
      <c r="U103" s="690"/>
      <c r="V103" s="690">
        <f>V104-V102</f>
        <v>0</v>
      </c>
      <c r="W103" s="690"/>
      <c r="X103" s="690"/>
      <c r="Y103" s="690"/>
      <c r="Z103" s="690"/>
      <c r="AA103" s="690">
        <f>AA104-AA102</f>
        <v>0</v>
      </c>
      <c r="AB103" s="690"/>
      <c r="AC103" s="690"/>
      <c r="AD103" s="690"/>
      <c r="AE103" s="690"/>
      <c r="AF103" s="690">
        <f>AF104-AF102</f>
        <v>0</v>
      </c>
      <c r="AG103" s="690"/>
      <c r="AH103" s="690"/>
      <c r="AI103" s="690"/>
      <c r="AJ103" s="690"/>
      <c r="AK103" s="690">
        <f>AK104-AK102</f>
        <v>0</v>
      </c>
      <c r="AL103" s="690"/>
      <c r="AM103" s="690"/>
      <c r="AN103" s="690"/>
      <c r="AO103" s="690"/>
      <c r="AP103" s="690">
        <f>AP104-AP102</f>
        <v>0</v>
      </c>
      <c r="AQ103" s="690"/>
      <c r="AR103" s="690"/>
      <c r="AS103" s="690"/>
      <c r="AT103" s="691"/>
      <c r="AU103" s="690">
        <f>AU104-AU102</f>
        <v>0</v>
      </c>
      <c r="AV103" s="690"/>
      <c r="AW103" s="690">
        <f>AW104-AW102</f>
        <v>42</v>
      </c>
      <c r="AX103" s="691">
        <f>AX104-AX102</f>
        <v>7</v>
      </c>
      <c r="AY103" s="691">
        <f>AY104-AY102</f>
        <v>45</v>
      </c>
      <c r="AZ103" s="690">
        <f>AZ104-AZ102</f>
        <v>2894</v>
      </c>
      <c r="BA103" s="690">
        <f>BA104-BA102</f>
        <v>64</v>
      </c>
      <c r="BB103" s="690">
        <f t="shared" ref="BB103" si="422">BB104-BB102</f>
        <v>61</v>
      </c>
      <c r="BC103" s="690">
        <f t="shared" ref="BC103" si="423">BC104-BC102</f>
        <v>86</v>
      </c>
      <c r="BD103" s="690">
        <f t="shared" ref="BD103" si="424">BD104-BD102</f>
        <v>85</v>
      </c>
      <c r="BE103" s="690">
        <f>BE104-BE102</f>
        <v>296</v>
      </c>
      <c r="BF103" s="690">
        <f>BF104-BF102</f>
        <v>131</v>
      </c>
      <c r="BG103" s="690">
        <f t="shared" ref="BG103" si="425">BG104-BG102</f>
        <v>117</v>
      </c>
      <c r="BH103" s="690">
        <f t="shared" ref="BH103" si="426">BH104-BH102</f>
        <v>143</v>
      </c>
      <c r="BI103" s="690">
        <f t="shared" ref="BI103" si="427">BI104-BI102</f>
        <v>174</v>
      </c>
      <c r="BJ103" s="690">
        <f>BJ104-BJ102</f>
        <v>565</v>
      </c>
      <c r="BK103" s="690">
        <f>BK104-BK102</f>
        <v>78</v>
      </c>
      <c r="BL103" s="690">
        <f t="shared" ref="BL103" si="428">BL104-BL102</f>
        <v>-32</v>
      </c>
      <c r="BM103" s="690">
        <f t="shared" ref="BM103" si="429">BM104-BM102</f>
        <v>54</v>
      </c>
      <c r="BN103" s="690">
        <f t="shared" ref="BN103" si="430">BN104-BN102</f>
        <v>84</v>
      </c>
      <c r="BO103" s="690">
        <f>BO104-BO102</f>
        <v>184</v>
      </c>
      <c r="BP103" s="690">
        <f>BP104-BP102</f>
        <v>67</v>
      </c>
      <c r="BQ103" s="690">
        <f t="shared" ref="BQ103" si="431">BQ104-BQ102</f>
        <v>127</v>
      </c>
      <c r="BR103" s="690">
        <f t="shared" ref="BR103" si="432">BR104-BR102</f>
        <v>-26</v>
      </c>
      <c r="BS103" s="690">
        <f t="shared" ref="BS103" si="433">BS104-BS102</f>
        <v>152</v>
      </c>
      <c r="BT103" s="690">
        <f>BT104-BT102</f>
        <v>320</v>
      </c>
      <c r="BU103" s="692">
        <f>BU104-BU102</f>
        <v>65</v>
      </c>
      <c r="BV103" s="692">
        <f t="shared" ref="BV103:BX103" si="434">BV104-BV102</f>
        <v>74</v>
      </c>
      <c r="BW103" s="692">
        <f t="shared" si="434"/>
        <v>80</v>
      </c>
      <c r="BX103" s="692">
        <f t="shared" si="434"/>
        <v>113</v>
      </c>
      <c r="BY103" s="690">
        <f t="shared" ref="BY103:CD103" si="435">BY104-BY102</f>
        <v>332</v>
      </c>
      <c r="BZ103" s="692">
        <f t="shared" si="435"/>
        <v>72</v>
      </c>
      <c r="CA103" s="692">
        <f t="shared" si="435"/>
        <v>58</v>
      </c>
      <c r="CB103" s="692">
        <f t="shared" si="435"/>
        <v>104</v>
      </c>
      <c r="CC103" s="692">
        <f t="shared" si="435"/>
        <v>97</v>
      </c>
      <c r="CD103" s="690">
        <f t="shared" si="435"/>
        <v>331</v>
      </c>
      <c r="CE103" s="692">
        <f t="shared" ref="CE103:CF103" si="436">CE104-CE102</f>
        <v>111</v>
      </c>
      <c r="CF103" s="692">
        <f t="shared" si="436"/>
        <v>96</v>
      </c>
      <c r="CG103" s="692">
        <f t="shared" ref="CG103:CJ103" si="437">CG104-CG102</f>
        <v>114</v>
      </c>
      <c r="CH103" s="692">
        <f t="shared" si="437"/>
        <v>145</v>
      </c>
      <c r="CI103" s="690">
        <f t="shared" si="437"/>
        <v>466</v>
      </c>
      <c r="CJ103" s="692">
        <f t="shared" si="437"/>
        <v>161</v>
      </c>
      <c r="CK103" s="692">
        <f t="shared" ref="CK103:CL103" si="438">CK104-CK102</f>
        <v>98</v>
      </c>
      <c r="CL103" s="692">
        <f t="shared" si="438"/>
        <v>147</v>
      </c>
      <c r="CM103" s="692">
        <f t="shared" ref="CM103:CP103" si="439">CM104-CM102</f>
        <v>125</v>
      </c>
      <c r="CN103" s="690">
        <f t="shared" si="439"/>
        <v>531</v>
      </c>
      <c r="CO103" s="692">
        <f t="shared" si="439"/>
        <v>99</v>
      </c>
      <c r="CP103" s="692">
        <f t="shared" si="439"/>
        <v>138</v>
      </c>
      <c r="CQ103" s="690">
        <f t="shared" ref="CQ103:CS103" si="440">CQ104-CQ102</f>
        <v>78.294522558384415</v>
      </c>
      <c r="CR103" s="690">
        <f t="shared" si="440"/>
        <v>111.4831575189146</v>
      </c>
      <c r="CS103" s="690">
        <f t="shared" si="440"/>
        <v>108.89786630830986</v>
      </c>
      <c r="CT103" s="690">
        <f t="shared" ref="CT103:CV103" si="441">CT104-CT102</f>
        <v>106.59810589534845</v>
      </c>
      <c r="CU103" s="690">
        <f t="shared" si="441"/>
        <v>104.55916822385097</v>
      </c>
      <c r="CV103" s="690">
        <f t="shared" si="441"/>
        <v>102.75850264999372</v>
      </c>
      <c r="CW103" s="690">
        <f t="shared" ref="CW103" si="442">CW104-CW102</f>
        <v>101.17552948679531</v>
      </c>
      <c r="CX103" s="159"/>
      <c r="CY103" s="159"/>
      <c r="CZ103" s="159"/>
      <c r="DA103" s="159"/>
      <c r="DB103" s="159"/>
      <c r="DC103" s="159"/>
      <c r="DD103" s="159"/>
    </row>
    <row r="104" spans="1:145" s="221" customFormat="1" outlineLevel="1">
      <c r="A104" s="235" t="s">
        <v>20</v>
      </c>
      <c r="B104" s="694"/>
      <c r="C104" s="694"/>
      <c r="D104" s="694"/>
      <c r="E104" s="694"/>
      <c r="F104" s="694"/>
      <c r="G104" s="694">
        <f>G96</f>
        <v>0</v>
      </c>
      <c r="H104" s="694"/>
      <c r="I104" s="694"/>
      <c r="J104" s="694"/>
      <c r="K104" s="694"/>
      <c r="L104" s="694">
        <f>L96</f>
        <v>0</v>
      </c>
      <c r="M104" s="694"/>
      <c r="N104" s="694"/>
      <c r="O104" s="694"/>
      <c r="P104" s="694"/>
      <c r="Q104" s="694">
        <f>Q96</f>
        <v>0</v>
      </c>
      <c r="R104" s="694"/>
      <c r="S104" s="694"/>
      <c r="T104" s="694"/>
      <c r="U104" s="694"/>
      <c r="V104" s="694">
        <f>V96</f>
        <v>0</v>
      </c>
      <c r="W104" s="694"/>
      <c r="X104" s="694"/>
      <c r="Y104" s="694"/>
      <c r="Z104" s="694"/>
      <c r="AA104" s="694">
        <f>AA96</f>
        <v>0</v>
      </c>
      <c r="AB104" s="694"/>
      <c r="AC104" s="694"/>
      <c r="AD104" s="694"/>
      <c r="AE104" s="694"/>
      <c r="AF104" s="694">
        <f>AF96</f>
        <v>0</v>
      </c>
      <c r="AG104" s="694"/>
      <c r="AH104" s="694"/>
      <c r="AI104" s="694"/>
      <c r="AJ104" s="694"/>
      <c r="AK104" s="694">
        <f>AK96</f>
        <v>0</v>
      </c>
      <c r="AL104" s="694"/>
      <c r="AM104" s="694"/>
      <c r="AN104" s="694"/>
      <c r="AO104" s="694"/>
      <c r="AP104" s="694">
        <f>AP96</f>
        <v>0</v>
      </c>
      <c r="AQ104" s="694"/>
      <c r="AR104" s="694"/>
      <c r="AS104" s="694"/>
      <c r="AT104" s="694"/>
      <c r="AU104" s="694">
        <f>AU96</f>
        <v>0</v>
      </c>
      <c r="AV104" s="705">
        <f>'[3]Domestic Mobile Operations'!W$13</f>
        <v>2800</v>
      </c>
      <c r="AW104" s="705">
        <f>'[3]Domestic Mobile Operations'!X$13</f>
        <v>2842</v>
      </c>
      <c r="AX104" s="705">
        <f>'[3]Domestic Mobile Operations'!Y$13</f>
        <v>2849</v>
      </c>
      <c r="AY104" s="705">
        <f>'[3]Domestic Mobile Operations'!Z$13</f>
        <v>2894</v>
      </c>
      <c r="AZ104" s="706">
        <f>AY104</f>
        <v>2894</v>
      </c>
      <c r="BA104" s="705">
        <f>'[3]Domestic Mobile Operations'!AA$13</f>
        <v>2958</v>
      </c>
      <c r="BB104" s="705">
        <f>'[3]Domestic Mobile Operations'!AB$13</f>
        <v>3019</v>
      </c>
      <c r="BC104" s="705">
        <f>'[3]Domestic Mobile Operations'!AC$13</f>
        <v>3105</v>
      </c>
      <c r="BD104" s="705">
        <f>'[3]Domestic Mobile Operations'!AD$13</f>
        <v>3190</v>
      </c>
      <c r="BE104" s="706">
        <f>BD104</f>
        <v>3190</v>
      </c>
      <c r="BF104" s="705">
        <f>'[3]Domestic Mobile Operations'!AE$13</f>
        <v>3321</v>
      </c>
      <c r="BG104" s="705">
        <f>'[3]Domestic Mobile Operations'!AF$13</f>
        <v>3438</v>
      </c>
      <c r="BH104" s="705">
        <f>'[3]Domestic Mobile Operations'!AG$13</f>
        <v>3581</v>
      </c>
      <c r="BI104" s="705">
        <f>'[3]Domestic Mobile Operations'!AH$13</f>
        <v>3755</v>
      </c>
      <c r="BJ104" s="706">
        <f>BI104</f>
        <v>3755</v>
      </c>
      <c r="BK104" s="705">
        <f>'[3]Domestic Mobile Operations'!AI$13</f>
        <v>3833</v>
      </c>
      <c r="BL104" s="705">
        <f>'[3]Domestic Mobile Operations'!AJ$13</f>
        <v>3801</v>
      </c>
      <c r="BM104" s="705">
        <f>'[3]Domestic Mobile Operations'!AK$13</f>
        <v>3855</v>
      </c>
      <c r="BN104" s="705">
        <f>'[3]Domestic Mobile Operations'!AL$13</f>
        <v>3939</v>
      </c>
      <c r="BO104" s="706">
        <f>BN104</f>
        <v>3939</v>
      </c>
      <c r="BP104" s="705">
        <f>'[3]Domestic Mobile Operations'!AM$13</f>
        <v>4006</v>
      </c>
      <c r="BQ104" s="705">
        <f>'[3]Domestic Mobile Operations'!AN$13</f>
        <v>4133</v>
      </c>
      <c r="BR104" s="705">
        <f>'[3]Domestic Mobile Operations'!AO$13</f>
        <v>4107</v>
      </c>
      <c r="BS104" s="705">
        <f>'[3]Domestic Mobile Operations'!AP$13</f>
        <v>4259</v>
      </c>
      <c r="BT104" s="706">
        <f>BS104</f>
        <v>4259</v>
      </c>
      <c r="BU104" s="707">
        <f>'[3]Domestic Mobile Operations'!AQ$13</f>
        <v>4324</v>
      </c>
      <c r="BV104" s="707">
        <f>'[3]Domestic Mobile Operations'!AR$13</f>
        <v>4398</v>
      </c>
      <c r="BW104" s="707">
        <f>'[3]Domestic Mobile Operations'!AS$13</f>
        <v>4478</v>
      </c>
      <c r="BX104" s="707">
        <f>'[3]Domestic Mobile Operations'!AT$13</f>
        <v>4591</v>
      </c>
      <c r="BY104" s="706">
        <f>BX104</f>
        <v>4591</v>
      </c>
      <c r="BZ104" s="707">
        <f>'[3]Domestic Mobile Operations'!AU$13</f>
        <v>4663</v>
      </c>
      <c r="CA104" s="707">
        <f>'[3]Domestic Mobile Operations'!AV$13</f>
        <v>4721</v>
      </c>
      <c r="CB104" s="707">
        <f>'[3]Domestic Mobile Operations'!AW$13</f>
        <v>4825</v>
      </c>
      <c r="CC104" s="707">
        <f>'[3]Domestic Mobile Operations'!AX$13</f>
        <v>4922</v>
      </c>
      <c r="CD104" s="706">
        <f>CC104</f>
        <v>4922</v>
      </c>
      <c r="CE104" s="707">
        <f>'[3]Domestic Mobile Operations'!AY$13</f>
        <v>5033</v>
      </c>
      <c r="CF104" s="707">
        <f>'[3]Domestic Mobile Operations'!AZ$13</f>
        <v>5129</v>
      </c>
      <c r="CG104" s="707">
        <f>'[3]Domestic Mobile Operations'!BA$13</f>
        <v>5243</v>
      </c>
      <c r="CH104" s="707">
        <f>'[3]Domestic Mobile Operations'!BB$13</f>
        <v>5388</v>
      </c>
      <c r="CI104" s="706">
        <f>CH104</f>
        <v>5388</v>
      </c>
      <c r="CJ104" s="707">
        <f>'[3]Domestic Mobile Operations'!BC$13</f>
        <v>5549</v>
      </c>
      <c r="CK104" s="707">
        <f>'[3]Domestic Mobile Operations'!BD$13</f>
        <v>5647</v>
      </c>
      <c r="CL104" s="707">
        <f>'[3]Domestic Mobile Operations'!BE$13</f>
        <v>5794</v>
      </c>
      <c r="CM104" s="707">
        <f>'[3]Domestic Mobile Operations'!BF$13</f>
        <v>5919</v>
      </c>
      <c r="CN104" s="706">
        <f>CM104</f>
        <v>5919</v>
      </c>
      <c r="CO104" s="707">
        <f>'[3]Domestic Mobile Operations'!BG$13</f>
        <v>6018</v>
      </c>
      <c r="CP104" s="707">
        <f>'[3]Domestic Mobile Operations'!BH$13</f>
        <v>6156</v>
      </c>
      <c r="CQ104" s="706">
        <f t="shared" ref="CQ104:CS104" si="443">CQ96</f>
        <v>5997.2945225583844</v>
      </c>
      <c r="CR104" s="706">
        <f t="shared" si="443"/>
        <v>6108.777680077299</v>
      </c>
      <c r="CS104" s="706">
        <f t="shared" si="443"/>
        <v>6217.6755463856089</v>
      </c>
      <c r="CT104" s="706">
        <f t="shared" ref="CT104:CV104" si="444">CT96</f>
        <v>6324.2736522809573</v>
      </c>
      <c r="CU104" s="706">
        <f t="shared" si="444"/>
        <v>6428.8328205048083</v>
      </c>
      <c r="CV104" s="706">
        <f t="shared" si="444"/>
        <v>6531.591323154802</v>
      </c>
      <c r="CW104" s="706">
        <f t="shared" ref="CW104" si="445">CW96</f>
        <v>6632.7668526415973</v>
      </c>
      <c r="CX104" s="165"/>
      <c r="CY104" s="165"/>
      <c r="CZ104" s="165"/>
      <c r="DA104" s="165"/>
      <c r="DB104" s="165"/>
      <c r="DC104" s="165"/>
      <c r="DD104" s="165"/>
    </row>
    <row r="105" spans="1:145" outlineLevel="1">
      <c r="A105" s="226" t="s">
        <v>21</v>
      </c>
      <c r="B105" s="693"/>
      <c r="C105" s="693"/>
      <c r="D105" s="693"/>
      <c r="E105" s="693"/>
      <c r="F105" s="693"/>
      <c r="G105" s="693">
        <f>(G102+G104)/2</f>
        <v>0</v>
      </c>
      <c r="H105" s="693"/>
      <c r="I105" s="693"/>
      <c r="J105" s="693"/>
      <c r="K105" s="693"/>
      <c r="L105" s="693">
        <f>(L102+L104)/2</f>
        <v>0</v>
      </c>
      <c r="M105" s="693"/>
      <c r="N105" s="693"/>
      <c r="O105" s="693"/>
      <c r="P105" s="693"/>
      <c r="Q105" s="693">
        <f>(Q102+Q104)/2</f>
        <v>0</v>
      </c>
      <c r="R105" s="693"/>
      <c r="S105" s="693"/>
      <c r="T105" s="693"/>
      <c r="U105" s="693"/>
      <c r="V105" s="693">
        <f>(V102+V104)/2</f>
        <v>0</v>
      </c>
      <c r="W105" s="693"/>
      <c r="X105" s="693"/>
      <c r="Y105" s="693"/>
      <c r="Z105" s="693"/>
      <c r="AA105" s="693">
        <f>(AA102+AA104)/2</f>
        <v>0</v>
      </c>
      <c r="AB105" s="693"/>
      <c r="AC105" s="693"/>
      <c r="AD105" s="693"/>
      <c r="AE105" s="693"/>
      <c r="AF105" s="693">
        <f>(AF102+AF104)/2</f>
        <v>0</v>
      </c>
      <c r="AG105" s="693"/>
      <c r="AH105" s="693"/>
      <c r="AI105" s="693"/>
      <c r="AJ105" s="693"/>
      <c r="AK105" s="693">
        <f>(AK102+AK104)/2</f>
        <v>0</v>
      </c>
      <c r="AL105" s="693"/>
      <c r="AM105" s="693"/>
      <c r="AN105" s="693"/>
      <c r="AO105" s="693"/>
      <c r="AP105" s="693">
        <f>(AP102+AP104)/2</f>
        <v>0</v>
      </c>
      <c r="AQ105" s="693"/>
      <c r="AR105" s="693"/>
      <c r="AS105" s="693"/>
      <c r="AT105" s="693"/>
      <c r="AU105" s="693">
        <f>(AU102+AU104)/2</f>
        <v>0</v>
      </c>
      <c r="AV105" s="693"/>
      <c r="AW105" s="693">
        <f>(AW102+AW104)/2</f>
        <v>2821</v>
      </c>
      <c r="AX105" s="693">
        <f t="shared" ref="AX105:AY105" si="446">(AX102+AX104)/2</f>
        <v>2845.5</v>
      </c>
      <c r="AY105" s="693">
        <f t="shared" si="446"/>
        <v>2871.5</v>
      </c>
      <c r="AZ105" s="693">
        <f>(AZ102+AZ104)/2</f>
        <v>1447</v>
      </c>
      <c r="BA105" s="693">
        <f t="shared" ref="BA105:BJ105" si="447">(BA102+BA104)/2</f>
        <v>2926</v>
      </c>
      <c r="BB105" s="693">
        <f t="shared" si="447"/>
        <v>2988.5</v>
      </c>
      <c r="BC105" s="693">
        <f t="shared" si="447"/>
        <v>3062</v>
      </c>
      <c r="BD105" s="693">
        <f t="shared" si="447"/>
        <v>3147.5</v>
      </c>
      <c r="BE105" s="693">
        <f t="shared" si="447"/>
        <v>3042</v>
      </c>
      <c r="BF105" s="693">
        <f t="shared" si="447"/>
        <v>3255.5</v>
      </c>
      <c r="BG105" s="693">
        <f t="shared" si="447"/>
        <v>3379.5</v>
      </c>
      <c r="BH105" s="693">
        <f t="shared" si="447"/>
        <v>3509.5</v>
      </c>
      <c r="BI105" s="693">
        <f t="shared" si="447"/>
        <v>3668</v>
      </c>
      <c r="BJ105" s="693">
        <f t="shared" si="447"/>
        <v>3472.5</v>
      </c>
      <c r="BK105" s="693">
        <f>(BK102+BK104)/2</f>
        <v>3794</v>
      </c>
      <c r="BL105" s="693">
        <f t="shared" ref="BL105:BO105" si="448">(BL102+BL104)/2</f>
        <v>3817</v>
      </c>
      <c r="BM105" s="693">
        <f t="shared" si="448"/>
        <v>3828</v>
      </c>
      <c r="BN105" s="693">
        <f t="shared" si="448"/>
        <v>3897</v>
      </c>
      <c r="BO105" s="693">
        <f t="shared" si="448"/>
        <v>3847</v>
      </c>
      <c r="BP105" s="693">
        <f t="shared" ref="BP105:BT105" si="449">(BP102+BP104)/2</f>
        <v>3972.5</v>
      </c>
      <c r="BQ105" s="693">
        <f t="shared" si="449"/>
        <v>4069.5</v>
      </c>
      <c r="BR105" s="693">
        <f t="shared" si="449"/>
        <v>4120</v>
      </c>
      <c r="BS105" s="693">
        <f t="shared" si="449"/>
        <v>4183</v>
      </c>
      <c r="BT105" s="693">
        <f t="shared" si="449"/>
        <v>4099</v>
      </c>
      <c r="BU105" s="693">
        <f t="shared" ref="BU105:BX105" si="450">(BU102+BU104)/2</f>
        <v>4291.5</v>
      </c>
      <c r="BV105" s="693">
        <f t="shared" si="450"/>
        <v>4361</v>
      </c>
      <c r="BW105" s="693">
        <f t="shared" si="450"/>
        <v>4438</v>
      </c>
      <c r="BX105" s="693">
        <f t="shared" si="450"/>
        <v>4534.5</v>
      </c>
      <c r="BY105" s="693">
        <f t="shared" ref="BY105:CD105" si="451">(BY102+BY104)/2</f>
        <v>4425</v>
      </c>
      <c r="BZ105" s="693">
        <f t="shared" si="451"/>
        <v>4627</v>
      </c>
      <c r="CA105" s="693">
        <f t="shared" si="451"/>
        <v>4692</v>
      </c>
      <c r="CB105" s="693">
        <f t="shared" si="451"/>
        <v>4773</v>
      </c>
      <c r="CC105" s="693">
        <f t="shared" si="451"/>
        <v>4873.5</v>
      </c>
      <c r="CD105" s="693">
        <f t="shared" si="451"/>
        <v>4756.5</v>
      </c>
      <c r="CE105" s="693">
        <f t="shared" ref="CE105:CF105" si="452">(CE102+CE104)/2</f>
        <v>4977.5</v>
      </c>
      <c r="CF105" s="693">
        <f t="shared" si="452"/>
        <v>5081</v>
      </c>
      <c r="CG105" s="693">
        <f t="shared" ref="CG105:CJ105" si="453">(CG102+CG104)/2</f>
        <v>5186</v>
      </c>
      <c r="CH105" s="693">
        <f t="shared" si="453"/>
        <v>5315.5</v>
      </c>
      <c r="CI105" s="693">
        <f t="shared" si="453"/>
        <v>5155</v>
      </c>
      <c r="CJ105" s="693">
        <f t="shared" si="453"/>
        <v>5468.5</v>
      </c>
      <c r="CK105" s="693">
        <f t="shared" ref="CK105:CL105" si="454">(CK102+CK104)/2</f>
        <v>5598</v>
      </c>
      <c r="CL105" s="693">
        <f t="shared" si="454"/>
        <v>5720.5</v>
      </c>
      <c r="CM105" s="693">
        <f t="shared" ref="CM105:CP105" si="455">(CM102+CM104)/2</f>
        <v>5856.5</v>
      </c>
      <c r="CN105" s="693">
        <f t="shared" si="455"/>
        <v>5653.5</v>
      </c>
      <c r="CO105" s="693">
        <f t="shared" si="455"/>
        <v>5968.5</v>
      </c>
      <c r="CP105" s="693">
        <f t="shared" si="455"/>
        <v>6087</v>
      </c>
      <c r="CQ105" s="693">
        <f t="shared" ref="CQ105:CS105" si="456">(CQ102+CQ104)/2</f>
        <v>5958.1472612791922</v>
      </c>
      <c r="CR105" s="693">
        <f t="shared" si="456"/>
        <v>6053.0361013178417</v>
      </c>
      <c r="CS105" s="693">
        <f t="shared" si="456"/>
        <v>6163.2266132314544</v>
      </c>
      <c r="CT105" s="693">
        <f t="shared" ref="CT105:CV105" si="457">(CT102+CT104)/2</f>
        <v>6270.9745993332835</v>
      </c>
      <c r="CU105" s="693">
        <f t="shared" si="457"/>
        <v>6376.5532363928833</v>
      </c>
      <c r="CV105" s="693">
        <f t="shared" si="457"/>
        <v>6480.2120718298047</v>
      </c>
      <c r="CW105" s="693">
        <f t="shared" ref="CW105" si="458">(CW102+CW104)/2</f>
        <v>6582.1790878981992</v>
      </c>
      <c r="CX105" s="159"/>
      <c r="CY105" s="159"/>
      <c r="CZ105" s="159"/>
      <c r="DA105" s="159"/>
      <c r="DB105" s="159"/>
      <c r="DC105" s="159"/>
      <c r="DD105" s="159"/>
      <c r="ED105" s="163">
        <v>2004</v>
      </c>
      <c r="EE105" s="163">
        <v>2005</v>
      </c>
      <c r="EF105" s="163">
        <v>2006</v>
      </c>
      <c r="EG105" s="163">
        <v>2007</v>
      </c>
      <c r="EH105" s="163">
        <v>2008</v>
      </c>
      <c r="EI105" s="163">
        <v>2009</v>
      </c>
      <c r="EJ105" s="163" t="s">
        <v>22</v>
      </c>
      <c r="EK105" s="163" t="s">
        <v>23</v>
      </c>
      <c r="EL105" s="163" t="s">
        <v>24</v>
      </c>
      <c r="EM105" s="163" t="s">
        <v>25</v>
      </c>
      <c r="EN105" s="163" t="s">
        <v>26</v>
      </c>
      <c r="EO105" s="163" t="s">
        <v>27</v>
      </c>
    </row>
    <row r="106" spans="1:145" outlineLevel="1">
      <c r="A106" s="226"/>
      <c r="B106" s="232"/>
      <c r="C106" s="232"/>
      <c r="D106" s="232"/>
      <c r="E106" s="232"/>
      <c r="F106" s="232"/>
      <c r="G106" s="232"/>
      <c r="H106" s="232"/>
      <c r="I106" s="232"/>
      <c r="J106" s="232"/>
      <c r="K106" s="232"/>
      <c r="L106" s="232"/>
      <c r="M106" s="232"/>
      <c r="N106" s="232"/>
      <c r="O106" s="232"/>
      <c r="P106" s="232"/>
      <c r="Q106" s="232"/>
      <c r="R106" s="232"/>
      <c r="S106" s="232"/>
      <c r="T106" s="232"/>
      <c r="U106" s="232"/>
      <c r="V106" s="232"/>
      <c r="W106" s="232"/>
      <c r="X106" s="232"/>
      <c r="Y106" s="232"/>
      <c r="Z106" s="232"/>
      <c r="AA106" s="232"/>
      <c r="AB106" s="232"/>
      <c r="AC106" s="232"/>
      <c r="AD106" s="232"/>
      <c r="AE106" s="232"/>
      <c r="AF106" s="232"/>
      <c r="AG106" s="232"/>
      <c r="AH106" s="232"/>
      <c r="AI106" s="232"/>
      <c r="AJ106" s="232"/>
      <c r="AK106" s="232"/>
      <c r="AL106" s="232"/>
      <c r="AM106" s="232"/>
      <c r="AN106" s="232"/>
      <c r="AO106" s="232"/>
      <c r="AP106" s="232"/>
      <c r="AQ106" s="232"/>
      <c r="AR106" s="232"/>
      <c r="AS106" s="232"/>
      <c r="AT106" s="232"/>
      <c r="AU106" s="232"/>
      <c r="AV106" s="232"/>
      <c r="AW106" s="232"/>
      <c r="AX106" s="232"/>
      <c r="AY106" s="232"/>
      <c r="AZ106" s="232"/>
      <c r="BA106" s="232"/>
      <c r="BB106" s="232"/>
      <c r="BC106" s="232"/>
      <c r="BD106" s="232"/>
      <c r="BE106" s="232"/>
      <c r="BF106" s="232"/>
      <c r="BG106" s="232"/>
      <c r="BH106" s="232"/>
      <c r="BI106" s="232"/>
      <c r="BJ106" s="232"/>
      <c r="BK106" s="232"/>
      <c r="BL106" s="232"/>
      <c r="BM106" s="232"/>
      <c r="BN106" s="232"/>
      <c r="BO106" s="232"/>
      <c r="BP106" s="232"/>
      <c r="BQ106" s="232"/>
      <c r="BR106" s="232"/>
      <c r="BS106" s="232"/>
      <c r="BT106" s="232"/>
      <c r="BU106" s="232"/>
      <c r="BV106" s="232"/>
      <c r="BW106" s="232"/>
      <c r="BX106" s="232"/>
      <c r="BY106" s="232"/>
      <c r="BZ106" s="232"/>
      <c r="CA106" s="232"/>
      <c r="CB106" s="232"/>
      <c r="CC106" s="232"/>
      <c r="CD106" s="232"/>
      <c r="CE106" s="232"/>
      <c r="CF106" s="232"/>
      <c r="CG106" s="232"/>
      <c r="CH106" s="232"/>
      <c r="CI106" s="232"/>
      <c r="CJ106" s="232"/>
      <c r="CK106" s="232"/>
      <c r="CL106" s="232"/>
      <c r="CM106" s="232"/>
      <c r="CN106" s="232"/>
      <c r="CO106" s="232"/>
      <c r="CP106" s="232"/>
      <c r="CQ106" s="160">
        <f>CQ105/CN105-1</f>
        <v>5.3886488242538721E-2</v>
      </c>
      <c r="CR106" s="160">
        <f t="shared" ref="CR106:CW106" si="459">CR105/CQ105-1</f>
        <v>1.5925897074634765E-2</v>
      </c>
      <c r="CS106" s="160">
        <f t="shared" si="459"/>
        <v>1.8204172264828067E-2</v>
      </c>
      <c r="CT106" s="160">
        <f t="shared" si="459"/>
        <v>1.7482398889976158E-2</v>
      </c>
      <c r="CU106" s="160">
        <f t="shared" si="459"/>
        <v>1.683608112060031E-2</v>
      </c>
      <c r="CV106" s="160">
        <f t="shared" si="459"/>
        <v>1.6256248727809508E-2</v>
      </c>
      <c r="CW106" s="160">
        <f t="shared" si="459"/>
        <v>1.5735135661941735E-2</v>
      </c>
      <c r="CX106" s="159"/>
      <c r="CY106" s="159"/>
      <c r="CZ106" s="159"/>
      <c r="DA106" s="159"/>
      <c r="DB106" s="159"/>
      <c r="DC106" s="159"/>
      <c r="DD106" s="159"/>
      <c r="ED106" s="381">
        <v>0.87357630979498857</v>
      </c>
      <c r="EE106" s="381">
        <v>0.97242152466367715</v>
      </c>
      <c r="EF106" s="381">
        <v>1.0263274336283186</v>
      </c>
      <c r="EG106" s="381">
        <v>1.2275109170305676</v>
      </c>
      <c r="EH106" s="381">
        <v>1.3656526293554965</v>
      </c>
      <c r="EI106" s="381">
        <v>1.4436526293554965</v>
      </c>
      <c r="EJ106" s="381">
        <v>1.4736526293554966</v>
      </c>
      <c r="EK106" s="381">
        <v>1.4936526293554966</v>
      </c>
      <c r="EL106" s="381">
        <v>1.5036526293554966</v>
      </c>
      <c r="EM106" s="381">
        <v>1.5136526293554966</v>
      </c>
      <c r="EN106" s="381">
        <v>1.5136526293554966</v>
      </c>
      <c r="EO106" s="381">
        <v>1.5136526293554966</v>
      </c>
    </row>
    <row r="107" spans="1:145" outlineLevel="1">
      <c r="A107" s="199" t="s">
        <v>28</v>
      </c>
      <c r="B107" s="199">
        <f>B101</f>
        <v>2007</v>
      </c>
      <c r="C107" s="199"/>
      <c r="D107" s="199"/>
      <c r="E107" s="199"/>
      <c r="F107" s="199"/>
      <c r="G107" s="199">
        <f>B107+1</f>
        <v>2008</v>
      </c>
      <c r="H107" s="199"/>
      <c r="I107" s="199"/>
      <c r="J107" s="199"/>
      <c r="K107" s="199"/>
      <c r="L107" s="199">
        <f>G107+1</f>
        <v>2009</v>
      </c>
      <c r="M107" s="199"/>
      <c r="N107" s="199"/>
      <c r="O107" s="199"/>
      <c r="P107" s="199"/>
      <c r="Q107" s="199">
        <f>L107+1</f>
        <v>2010</v>
      </c>
      <c r="R107" s="199"/>
      <c r="S107" s="199"/>
      <c r="T107" s="199"/>
      <c r="U107" s="199"/>
      <c r="V107" s="199">
        <f>Q107+1</f>
        <v>2011</v>
      </c>
      <c r="W107" s="199"/>
      <c r="X107" s="199"/>
      <c r="Y107" s="199"/>
      <c r="Z107" s="199"/>
      <c r="AA107" s="199">
        <f>V107+1</f>
        <v>2012</v>
      </c>
      <c r="AB107" s="199"/>
      <c r="AC107" s="199"/>
      <c r="AD107" s="199"/>
      <c r="AE107" s="199"/>
      <c r="AF107" s="199">
        <f>AA107+1</f>
        <v>2013</v>
      </c>
      <c r="AG107" s="199"/>
      <c r="AH107" s="199"/>
      <c r="AI107" s="199"/>
      <c r="AJ107" s="199"/>
      <c r="AK107" s="199">
        <f>AF107+1</f>
        <v>2014</v>
      </c>
      <c r="AL107" s="199"/>
      <c r="AM107" s="199"/>
      <c r="AN107" s="199"/>
      <c r="AO107" s="199"/>
      <c r="AP107" s="199">
        <f>AK107+1</f>
        <v>2015</v>
      </c>
      <c r="AQ107" s="199"/>
      <c r="AR107" s="199"/>
      <c r="AS107" s="199"/>
      <c r="AT107" s="199"/>
      <c r="AU107" s="199">
        <f>AP107+1</f>
        <v>2016</v>
      </c>
      <c r="AV107" s="199"/>
      <c r="AW107" s="199"/>
      <c r="AX107" s="199"/>
      <c r="AY107" s="199"/>
      <c r="AZ107" s="199">
        <f>AU107+1</f>
        <v>2017</v>
      </c>
      <c r="BA107" s="199"/>
      <c r="BB107" s="199"/>
      <c r="BC107" s="199"/>
      <c r="BD107" s="199"/>
      <c r="BE107" s="199">
        <f>AZ107+1</f>
        <v>2018</v>
      </c>
      <c r="BF107" s="199"/>
      <c r="BG107" s="199"/>
      <c r="BH107" s="199"/>
      <c r="BI107" s="199"/>
      <c r="BJ107" s="199">
        <f>BE107+1</f>
        <v>2019</v>
      </c>
      <c r="BK107" s="199"/>
      <c r="BL107" s="199"/>
      <c r="BM107" s="199"/>
      <c r="BN107" s="199"/>
      <c r="BO107" s="199">
        <f>BJ107+1</f>
        <v>2020</v>
      </c>
      <c r="BP107" s="199"/>
      <c r="BQ107" s="199"/>
      <c r="BR107" s="199"/>
      <c r="BS107" s="199"/>
      <c r="BT107" s="199">
        <f>BO107+1</f>
        <v>2021</v>
      </c>
      <c r="BU107" s="199"/>
      <c r="BV107" s="199"/>
      <c r="BW107" s="199"/>
      <c r="BX107" s="199"/>
      <c r="BY107" s="199">
        <f>BT107+1</f>
        <v>2022</v>
      </c>
      <c r="BZ107" s="199"/>
      <c r="CA107" s="199"/>
      <c r="CB107" s="199"/>
      <c r="CC107" s="199"/>
      <c r="CD107" s="199">
        <f>BY107+1</f>
        <v>2023</v>
      </c>
      <c r="CE107" s="199"/>
      <c r="CF107" s="199"/>
      <c r="CG107" s="199"/>
      <c r="CH107" s="199"/>
      <c r="CI107" s="199">
        <f>CD107+1</f>
        <v>2024</v>
      </c>
      <c r="CJ107" s="199"/>
      <c r="CK107" s="199"/>
      <c r="CL107" s="199"/>
      <c r="CM107" s="199"/>
      <c r="CN107" s="199">
        <f>CI107+1</f>
        <v>2025</v>
      </c>
      <c r="CO107" s="199"/>
      <c r="CP107" s="199"/>
      <c r="CQ107" s="199">
        <f>CN107+1</f>
        <v>2026</v>
      </c>
      <c r="CR107" s="199">
        <f t="shared" ref="CR107:CS107" si="460">CQ107+1</f>
        <v>2027</v>
      </c>
      <c r="CS107" s="199">
        <f t="shared" si="460"/>
        <v>2028</v>
      </c>
      <c r="CT107" s="199">
        <f t="shared" ref="CT107" si="461">CS107+1</f>
        <v>2029</v>
      </c>
      <c r="CU107" s="199">
        <f t="shared" ref="CU107" si="462">CT107+1</f>
        <v>2030</v>
      </c>
      <c r="CV107" s="199">
        <f t="shared" ref="CV107:CW107" si="463">CU107+1</f>
        <v>2031</v>
      </c>
      <c r="CW107" s="199">
        <f t="shared" si="463"/>
        <v>2032</v>
      </c>
      <c r="CX107" s="159"/>
      <c r="CY107" s="159"/>
      <c r="CZ107" s="159"/>
      <c r="DA107" s="159"/>
      <c r="DB107" s="159"/>
      <c r="DC107" s="159"/>
      <c r="DD107" s="159"/>
    </row>
    <row r="108" spans="1:145" outlineLevel="1">
      <c r="A108" s="226" t="s">
        <v>18</v>
      </c>
      <c r="B108" s="166"/>
      <c r="C108" s="166"/>
      <c r="D108" s="166"/>
      <c r="E108" s="166"/>
      <c r="F108" s="166"/>
      <c r="G108" s="690">
        <f>B97</f>
        <v>0</v>
      </c>
      <c r="H108" s="690"/>
      <c r="I108" s="690"/>
      <c r="J108" s="690"/>
      <c r="K108" s="690"/>
      <c r="L108" s="690">
        <f>G97</f>
        <v>0</v>
      </c>
      <c r="M108" s="690"/>
      <c r="N108" s="690"/>
      <c r="O108" s="690"/>
      <c r="P108" s="690"/>
      <c r="Q108" s="690">
        <f>L97</f>
        <v>0</v>
      </c>
      <c r="R108" s="690"/>
      <c r="S108" s="690"/>
      <c r="T108" s="690"/>
      <c r="U108" s="690"/>
      <c r="V108" s="690">
        <f>Q97</f>
        <v>0</v>
      </c>
      <c r="W108" s="690"/>
      <c r="X108" s="690"/>
      <c r="Y108" s="690"/>
      <c r="Z108" s="690"/>
      <c r="AA108" s="690">
        <f>V97</f>
        <v>0</v>
      </c>
      <c r="AB108" s="690"/>
      <c r="AC108" s="690"/>
      <c r="AD108" s="690"/>
      <c r="AE108" s="690"/>
      <c r="AF108" s="690">
        <f>AA97</f>
        <v>0</v>
      </c>
      <c r="AG108" s="690"/>
      <c r="AH108" s="690"/>
      <c r="AI108" s="690"/>
      <c r="AJ108" s="690"/>
      <c r="AK108" s="690">
        <f>AF97</f>
        <v>0</v>
      </c>
      <c r="AL108" s="690"/>
      <c r="AM108" s="690"/>
      <c r="AN108" s="690"/>
      <c r="AO108" s="690"/>
      <c r="AP108" s="690">
        <f>AK97</f>
        <v>0</v>
      </c>
      <c r="AQ108" s="690"/>
      <c r="AR108" s="690"/>
      <c r="AS108" s="690"/>
      <c r="AT108" s="691"/>
      <c r="AU108" s="690">
        <f>AP97</f>
        <v>0</v>
      </c>
      <c r="AV108" s="690">
        <f>AU110</f>
        <v>12299</v>
      </c>
      <c r="AW108" s="690">
        <f t="shared" ref="AW108:AY108" si="464">AV110</f>
        <v>8820</v>
      </c>
      <c r="AX108" s="691">
        <f t="shared" si="464"/>
        <v>8653</v>
      </c>
      <c r="AY108" s="691">
        <f t="shared" si="464"/>
        <v>8255</v>
      </c>
      <c r="AZ108" s="690">
        <f>AU97</f>
        <v>12299</v>
      </c>
      <c r="BA108" s="690">
        <f>AZ110</f>
        <v>8034</v>
      </c>
      <c r="BB108" s="690">
        <f t="shared" ref="BB108:BD108" si="465">BA110</f>
        <v>7756</v>
      </c>
      <c r="BC108" s="690">
        <f t="shared" si="465"/>
        <v>7716</v>
      </c>
      <c r="BD108" s="690">
        <f t="shared" si="465"/>
        <v>7703</v>
      </c>
      <c r="BE108" s="690">
        <f>AZ97</f>
        <v>8034</v>
      </c>
      <c r="BF108" s="690">
        <f>BE110</f>
        <v>7571</v>
      </c>
      <c r="BG108" s="690">
        <f t="shared" ref="BG108:BI108" si="466">BF110</f>
        <v>7444</v>
      </c>
      <c r="BH108" s="690">
        <f t="shared" si="466"/>
        <v>7463</v>
      </c>
      <c r="BI108" s="690">
        <f t="shared" si="466"/>
        <v>7461</v>
      </c>
      <c r="BJ108" s="690">
        <f>BE97</f>
        <v>7571</v>
      </c>
      <c r="BK108" s="690">
        <f>BJ110</f>
        <v>7375</v>
      </c>
      <c r="BL108" s="690">
        <f t="shared" ref="BL108:BN108" si="467">BK110</f>
        <v>7388</v>
      </c>
      <c r="BM108" s="690">
        <f t="shared" si="467"/>
        <v>7830</v>
      </c>
      <c r="BN108" s="690">
        <f t="shared" si="467"/>
        <v>7147</v>
      </c>
      <c r="BO108" s="690">
        <f>BJ97</f>
        <v>7375</v>
      </c>
      <c r="BP108" s="690">
        <f>BO110</f>
        <v>7193</v>
      </c>
      <c r="BQ108" s="690">
        <f t="shared" ref="BQ108:BS108" si="468">BP110</f>
        <v>7365</v>
      </c>
      <c r="BR108" s="690">
        <f t="shared" si="468"/>
        <v>7360</v>
      </c>
      <c r="BS108" s="690">
        <f t="shared" si="468"/>
        <v>7334</v>
      </c>
      <c r="BT108" s="690">
        <f>BO97</f>
        <v>7193</v>
      </c>
      <c r="BU108" s="692">
        <f>BT110</f>
        <v>7359</v>
      </c>
      <c r="BV108" s="692">
        <f t="shared" ref="BV108:BX108" si="469">BU110</f>
        <v>7092</v>
      </c>
      <c r="BW108" s="692">
        <f t="shared" si="469"/>
        <v>7149</v>
      </c>
      <c r="BX108" s="692">
        <f t="shared" si="469"/>
        <v>7188</v>
      </c>
      <c r="BY108" s="690">
        <f>BT97</f>
        <v>7359</v>
      </c>
      <c r="BZ108" s="692">
        <f>BY110</f>
        <v>7147</v>
      </c>
      <c r="CA108" s="692">
        <f>BZ110</f>
        <v>7126</v>
      </c>
      <c r="CB108" s="692">
        <f>CA110</f>
        <v>7032</v>
      </c>
      <c r="CC108" s="692">
        <f>CB110</f>
        <v>7185</v>
      </c>
      <c r="CD108" s="690">
        <f>BY97</f>
        <v>7147</v>
      </c>
      <c r="CE108" s="692">
        <f>CD110</f>
        <v>7589</v>
      </c>
      <c r="CF108" s="692">
        <f>CE110</f>
        <v>7397</v>
      </c>
      <c r="CG108" s="692">
        <f>CF110</f>
        <v>7497</v>
      </c>
      <c r="CH108" s="692">
        <f>CG110</f>
        <v>7494</v>
      </c>
      <c r="CI108" s="690">
        <f>CD97</f>
        <v>7589</v>
      </c>
      <c r="CJ108" s="692">
        <f>CI110</f>
        <v>7438</v>
      </c>
      <c r="CK108" s="692">
        <f>CJ110</f>
        <v>7566</v>
      </c>
      <c r="CL108" s="692">
        <f>CK110</f>
        <v>7601</v>
      </c>
      <c r="CM108" s="692">
        <f>CL110</f>
        <v>7573</v>
      </c>
      <c r="CN108" s="690">
        <f>CI97</f>
        <v>7438</v>
      </c>
      <c r="CO108" s="692">
        <f>CN110</f>
        <v>7585</v>
      </c>
      <c r="CP108" s="692">
        <f>CO110</f>
        <v>7613</v>
      </c>
      <c r="CQ108" s="690">
        <f>CN97</f>
        <v>7585</v>
      </c>
      <c r="CR108" s="690">
        <f t="shared" ref="CR108:CS108" si="470">CQ97</f>
        <v>7592.3190620150535</v>
      </c>
      <c r="CS108" s="690">
        <f t="shared" si="470"/>
        <v>7639.9896234807957</v>
      </c>
      <c r="CT108" s="690">
        <f t="shared" ref="CT108" si="471">CS97</f>
        <v>7682.331105075662</v>
      </c>
      <c r="CU108" s="690">
        <f t="shared" ref="CU108" si="472">CT97</f>
        <v>7719.8502224857029</v>
      </c>
      <c r="CV108" s="690">
        <f t="shared" ref="CV108:CW108" si="473">CU97</f>
        <v>7753.002922034173</v>
      </c>
      <c r="CW108" s="690">
        <f t="shared" si="473"/>
        <v>7782.1994322733144</v>
      </c>
      <c r="CX108" s="159"/>
      <c r="CY108" s="159"/>
      <c r="CZ108" s="159"/>
      <c r="DA108" s="159"/>
      <c r="DB108" s="159"/>
      <c r="DC108" s="162"/>
      <c r="DD108" s="162"/>
    </row>
    <row r="109" spans="1:145" outlineLevel="1">
      <c r="A109" s="226" t="s">
        <v>19</v>
      </c>
      <c r="B109" s="166"/>
      <c r="C109" s="166"/>
      <c r="D109" s="166"/>
      <c r="E109" s="166"/>
      <c r="F109" s="166"/>
      <c r="G109" s="690">
        <f>G110-G108</f>
        <v>0</v>
      </c>
      <c r="H109" s="690"/>
      <c r="I109" s="690"/>
      <c r="J109" s="690"/>
      <c r="K109" s="690"/>
      <c r="L109" s="690">
        <f>L110-L108</f>
        <v>0</v>
      </c>
      <c r="M109" s="690"/>
      <c r="N109" s="690"/>
      <c r="O109" s="690"/>
      <c r="P109" s="690"/>
      <c r="Q109" s="690">
        <f>Q110-Q108</f>
        <v>0</v>
      </c>
      <c r="R109" s="690"/>
      <c r="S109" s="690"/>
      <c r="T109" s="690"/>
      <c r="U109" s="690"/>
      <c r="V109" s="690">
        <f>V110-V108</f>
        <v>0</v>
      </c>
      <c r="W109" s="690"/>
      <c r="X109" s="690"/>
      <c r="Y109" s="690"/>
      <c r="Z109" s="690"/>
      <c r="AA109" s="690">
        <f>AA110-AA108</f>
        <v>0</v>
      </c>
      <c r="AB109" s="690"/>
      <c r="AC109" s="690"/>
      <c r="AD109" s="690"/>
      <c r="AE109" s="690"/>
      <c r="AF109" s="690">
        <f>AF110-AF108</f>
        <v>0</v>
      </c>
      <c r="AG109" s="690"/>
      <c r="AH109" s="690"/>
      <c r="AI109" s="690"/>
      <c r="AJ109" s="690"/>
      <c r="AK109" s="690">
        <f>AK110-AK108</f>
        <v>0</v>
      </c>
      <c r="AL109" s="690"/>
      <c r="AM109" s="690"/>
      <c r="AN109" s="690"/>
      <c r="AO109" s="690"/>
      <c r="AP109" s="690">
        <f>AP110-AP108</f>
        <v>0</v>
      </c>
      <c r="AQ109" s="690"/>
      <c r="AR109" s="690"/>
      <c r="AS109" s="690"/>
      <c r="AT109" s="691"/>
      <c r="AU109" s="690">
        <f>AU110-AU108</f>
        <v>12299</v>
      </c>
      <c r="AV109" s="693">
        <f>AV110-AV108</f>
        <v>-3479</v>
      </c>
      <c r="AW109" s="693">
        <f t="shared" ref="AW109" si="474">AW110-AW108</f>
        <v>-167</v>
      </c>
      <c r="AX109" s="693">
        <f t="shared" ref="AX109" si="475">AX110-AX108</f>
        <v>-398</v>
      </c>
      <c r="AY109" s="693">
        <f t="shared" ref="AY109" si="476">AY110-AY108</f>
        <v>-221</v>
      </c>
      <c r="AZ109" s="690">
        <f>AZ110-AZ108</f>
        <v>-4265</v>
      </c>
      <c r="BA109" s="693">
        <f>BA110-BA108</f>
        <v>-278</v>
      </c>
      <c r="BB109" s="693">
        <f t="shared" ref="BB109" si="477">BB110-BB108</f>
        <v>-40</v>
      </c>
      <c r="BC109" s="693">
        <f t="shared" ref="BC109" si="478">BC110-BC108</f>
        <v>-13</v>
      </c>
      <c r="BD109" s="693">
        <f t="shared" ref="BD109" si="479">BD110-BD108</f>
        <v>-132</v>
      </c>
      <c r="BE109" s="690">
        <f>BE110-BE108</f>
        <v>-463</v>
      </c>
      <c r="BF109" s="693">
        <f>BF110-BF108</f>
        <v>-127</v>
      </c>
      <c r="BG109" s="693">
        <f t="shared" ref="BG109" si="480">BG110-BG108</f>
        <v>19</v>
      </c>
      <c r="BH109" s="693">
        <f t="shared" ref="BH109" si="481">BH110-BH108</f>
        <v>-2</v>
      </c>
      <c r="BI109" s="693">
        <f t="shared" ref="BI109" si="482">BI110-BI108</f>
        <v>-86</v>
      </c>
      <c r="BJ109" s="690">
        <f>BJ110-BJ108</f>
        <v>-196</v>
      </c>
      <c r="BK109" s="693">
        <f>BK110-BK108</f>
        <v>13</v>
      </c>
      <c r="BL109" s="693">
        <f t="shared" ref="BL109" si="483">BL110-BL108</f>
        <v>442</v>
      </c>
      <c r="BM109" s="693">
        <f t="shared" ref="BM109" si="484">BM110-BM108</f>
        <v>-683</v>
      </c>
      <c r="BN109" s="693">
        <f t="shared" ref="BN109" si="485">BN110-BN108</f>
        <v>46</v>
      </c>
      <c r="BO109" s="690">
        <f>BO110-BO108</f>
        <v>-182</v>
      </c>
      <c r="BP109" s="693">
        <f>BP110-BP108</f>
        <v>172</v>
      </c>
      <c r="BQ109" s="693">
        <f t="shared" ref="BQ109" si="486">BQ110-BQ108</f>
        <v>-5</v>
      </c>
      <c r="BR109" s="693">
        <f t="shared" ref="BR109" si="487">BR110-BR108</f>
        <v>-26</v>
      </c>
      <c r="BS109" s="693">
        <f t="shared" ref="BS109" si="488">BS110-BS108</f>
        <v>25</v>
      </c>
      <c r="BT109" s="690">
        <f>BT110-BT108</f>
        <v>166</v>
      </c>
      <c r="BU109" s="693">
        <f>BU110-BU108</f>
        <v>-267</v>
      </c>
      <c r="BV109" s="693">
        <f t="shared" ref="BV109" si="489">BV110-BV108</f>
        <v>57</v>
      </c>
      <c r="BW109" s="693">
        <f t="shared" ref="BW109" si="490">BW110-BW108</f>
        <v>39</v>
      </c>
      <c r="BX109" s="693">
        <f t="shared" ref="BX109" si="491">BX110-BX108</f>
        <v>-41</v>
      </c>
      <c r="BY109" s="690">
        <f t="shared" ref="BY109:CD109" si="492">BY110-BY108</f>
        <v>-212</v>
      </c>
      <c r="BZ109" s="692">
        <f t="shared" si="492"/>
        <v>-21</v>
      </c>
      <c r="CA109" s="692">
        <f t="shared" si="492"/>
        <v>-94</v>
      </c>
      <c r="CB109" s="692">
        <f t="shared" si="492"/>
        <v>153</v>
      </c>
      <c r="CC109" s="692">
        <f t="shared" si="492"/>
        <v>404</v>
      </c>
      <c r="CD109" s="690">
        <f t="shared" si="492"/>
        <v>442</v>
      </c>
      <c r="CE109" s="692">
        <f t="shared" ref="CE109:CF109" si="493">CE110-CE108</f>
        <v>-192</v>
      </c>
      <c r="CF109" s="692">
        <f t="shared" si="493"/>
        <v>100</v>
      </c>
      <c r="CG109" s="692">
        <f t="shared" ref="CG109:CJ109" si="494">CG110-CG108</f>
        <v>-3</v>
      </c>
      <c r="CH109" s="692">
        <f t="shared" si="494"/>
        <v>-56</v>
      </c>
      <c r="CI109" s="690">
        <f t="shared" si="494"/>
        <v>-151</v>
      </c>
      <c r="CJ109" s="692">
        <f t="shared" si="494"/>
        <v>128</v>
      </c>
      <c r="CK109" s="692">
        <f t="shared" ref="CK109:CL109" si="495">CK110-CK108</f>
        <v>35</v>
      </c>
      <c r="CL109" s="692">
        <f t="shared" si="495"/>
        <v>-28</v>
      </c>
      <c r="CM109" s="692">
        <f t="shared" ref="CM109:CP109" si="496">CM110-CM108</f>
        <v>12</v>
      </c>
      <c r="CN109" s="690">
        <f t="shared" si="496"/>
        <v>147</v>
      </c>
      <c r="CO109" s="692">
        <f t="shared" si="496"/>
        <v>28</v>
      </c>
      <c r="CP109" s="692">
        <f t="shared" si="496"/>
        <v>-222</v>
      </c>
      <c r="CQ109" s="690">
        <f t="shared" ref="CQ109:CS109" si="497">CQ110-CQ108</f>
        <v>7.3190620150535324</v>
      </c>
      <c r="CR109" s="690">
        <f t="shared" si="497"/>
        <v>47.670561465742139</v>
      </c>
      <c r="CS109" s="690">
        <f t="shared" si="497"/>
        <v>42.341481594866309</v>
      </c>
      <c r="CT109" s="690">
        <f t="shared" ref="CT109:CV109" si="498">CT110-CT108</f>
        <v>37.519117410040963</v>
      </c>
      <c r="CU109" s="690">
        <f t="shared" si="498"/>
        <v>33.152699548470082</v>
      </c>
      <c r="CV109" s="690">
        <f t="shared" si="498"/>
        <v>29.196510239141389</v>
      </c>
      <c r="CW109" s="690">
        <f t="shared" ref="CW109" si="499">CW110-CW108</f>
        <v>25.609381302929251</v>
      </c>
      <c r="CX109" s="159"/>
      <c r="CY109" s="159"/>
      <c r="CZ109" s="159"/>
      <c r="DA109" s="159"/>
      <c r="DB109" s="159"/>
      <c r="DC109" s="170"/>
      <c r="DD109" s="170"/>
      <c r="DE109" s="170"/>
      <c r="DF109" s="170"/>
    </row>
    <row r="110" spans="1:145" s="221" customFormat="1" outlineLevel="1">
      <c r="A110" s="235" t="s">
        <v>20</v>
      </c>
      <c r="B110" s="233"/>
      <c r="C110" s="233"/>
      <c r="D110" s="233"/>
      <c r="E110" s="233"/>
      <c r="F110" s="233"/>
      <c r="G110" s="708">
        <f>G97</f>
        <v>0</v>
      </c>
      <c r="H110" s="708"/>
      <c r="I110" s="708"/>
      <c r="J110" s="708"/>
      <c r="K110" s="708"/>
      <c r="L110" s="708">
        <f>L97</f>
        <v>0</v>
      </c>
      <c r="M110" s="708"/>
      <c r="N110" s="708"/>
      <c r="O110" s="708"/>
      <c r="P110" s="708"/>
      <c r="Q110" s="708">
        <f>Q97</f>
        <v>0</v>
      </c>
      <c r="R110" s="708"/>
      <c r="S110" s="708"/>
      <c r="T110" s="708"/>
      <c r="U110" s="708"/>
      <c r="V110" s="708">
        <f>V97</f>
        <v>0</v>
      </c>
      <c r="W110" s="708"/>
      <c r="X110" s="708"/>
      <c r="Y110" s="708"/>
      <c r="Z110" s="708"/>
      <c r="AA110" s="708">
        <f>AA97</f>
        <v>0</v>
      </c>
      <c r="AB110" s="708"/>
      <c r="AC110" s="708"/>
      <c r="AD110" s="708"/>
      <c r="AE110" s="708"/>
      <c r="AF110" s="708">
        <f>AF97</f>
        <v>0</v>
      </c>
      <c r="AG110" s="708"/>
      <c r="AH110" s="708"/>
      <c r="AI110" s="708"/>
      <c r="AJ110" s="708"/>
      <c r="AK110" s="708">
        <f>AK97</f>
        <v>0</v>
      </c>
      <c r="AL110" s="708"/>
      <c r="AM110" s="708"/>
      <c r="AN110" s="708"/>
      <c r="AO110" s="708"/>
      <c r="AP110" s="708">
        <f>AP97</f>
        <v>0</v>
      </c>
      <c r="AQ110" s="708"/>
      <c r="AR110" s="708"/>
      <c r="AS110" s="708"/>
      <c r="AT110" s="706"/>
      <c r="AU110" s="708">
        <f>AU97</f>
        <v>12299</v>
      </c>
      <c r="AV110" s="705">
        <f>'[3]Domestic Mobile Operations'!W$12</f>
        <v>8820</v>
      </c>
      <c r="AW110" s="705">
        <f>'[3]Domestic Mobile Operations'!X$12</f>
        <v>8653</v>
      </c>
      <c r="AX110" s="705">
        <f>'[3]Domestic Mobile Operations'!Y$12</f>
        <v>8255</v>
      </c>
      <c r="AY110" s="705">
        <f>'[3]Domestic Mobile Operations'!Z$12</f>
        <v>8034</v>
      </c>
      <c r="AZ110" s="708">
        <f>AY110</f>
        <v>8034</v>
      </c>
      <c r="BA110" s="705">
        <f>'[3]Domestic Mobile Operations'!AA$12</f>
        <v>7756</v>
      </c>
      <c r="BB110" s="705">
        <f>'[3]Domestic Mobile Operations'!AB$12</f>
        <v>7716</v>
      </c>
      <c r="BC110" s="705">
        <f>'[3]Domestic Mobile Operations'!AC$12</f>
        <v>7703</v>
      </c>
      <c r="BD110" s="705">
        <f>'[3]Domestic Mobile Operations'!AD$12</f>
        <v>7571</v>
      </c>
      <c r="BE110" s="708">
        <f>BD110</f>
        <v>7571</v>
      </c>
      <c r="BF110" s="705">
        <f>'[3]Domestic Mobile Operations'!AE$12</f>
        <v>7444</v>
      </c>
      <c r="BG110" s="705">
        <f>'[3]Domestic Mobile Operations'!AF$12</f>
        <v>7463</v>
      </c>
      <c r="BH110" s="705">
        <f>'[3]Domestic Mobile Operations'!AG$12</f>
        <v>7461</v>
      </c>
      <c r="BI110" s="705">
        <f>'[3]Domestic Mobile Operations'!AH$12</f>
        <v>7375</v>
      </c>
      <c r="BJ110" s="708">
        <f>BI110</f>
        <v>7375</v>
      </c>
      <c r="BK110" s="705">
        <f>'[3]Domestic Mobile Operations'!AI$12</f>
        <v>7388</v>
      </c>
      <c r="BL110" s="705">
        <f>'[3]Domestic Mobile Operations'!AJ$12</f>
        <v>7830</v>
      </c>
      <c r="BM110" s="705">
        <f>'[3]Domestic Mobile Operations'!AK$12</f>
        <v>7147</v>
      </c>
      <c r="BN110" s="705">
        <f>'[3]Domestic Mobile Operations'!AL$12</f>
        <v>7193</v>
      </c>
      <c r="BO110" s="708">
        <f>BN110</f>
        <v>7193</v>
      </c>
      <c r="BP110" s="705">
        <f>'[3]Domestic Mobile Operations'!AM$12</f>
        <v>7365</v>
      </c>
      <c r="BQ110" s="705">
        <f>'[3]Domestic Mobile Operations'!AN$12</f>
        <v>7360</v>
      </c>
      <c r="BR110" s="705">
        <f>'[3]Domestic Mobile Operations'!AO$12</f>
        <v>7334</v>
      </c>
      <c r="BS110" s="705">
        <f>'[3]Domestic Mobile Operations'!AP$12</f>
        <v>7359</v>
      </c>
      <c r="BT110" s="708">
        <f>BS110</f>
        <v>7359</v>
      </c>
      <c r="BU110" s="707">
        <f>'[3]Domestic Mobile Operations'!AQ$12</f>
        <v>7092</v>
      </c>
      <c r="BV110" s="707">
        <f>'[3]Domestic Mobile Operations'!AR$12</f>
        <v>7149</v>
      </c>
      <c r="BW110" s="707">
        <f>'[3]Domestic Mobile Operations'!AS$12</f>
        <v>7188</v>
      </c>
      <c r="BX110" s="707">
        <f>'[3]Domestic Mobile Operations'!AT$12</f>
        <v>7147</v>
      </c>
      <c r="BY110" s="708">
        <f>BX110</f>
        <v>7147</v>
      </c>
      <c r="BZ110" s="707">
        <f>'[3]Domestic Mobile Operations'!AU$12</f>
        <v>7126</v>
      </c>
      <c r="CA110" s="707">
        <f>'[3]Domestic Mobile Operations'!AV$12</f>
        <v>7032</v>
      </c>
      <c r="CB110" s="707">
        <f>'[3]Domestic Mobile Operations'!AW$12</f>
        <v>7185</v>
      </c>
      <c r="CC110" s="707">
        <f>'[3]Domestic Mobile Operations'!AX$12</f>
        <v>7589</v>
      </c>
      <c r="CD110" s="708">
        <f>CC110</f>
        <v>7589</v>
      </c>
      <c r="CE110" s="707">
        <f>'[3]Domestic Mobile Operations'!AY$12</f>
        <v>7397</v>
      </c>
      <c r="CF110" s="707">
        <f>'[3]Domestic Mobile Operations'!AZ$12</f>
        <v>7497</v>
      </c>
      <c r="CG110" s="707">
        <f>'[3]Domestic Mobile Operations'!BA$12</f>
        <v>7494</v>
      </c>
      <c r="CH110" s="707">
        <f>'[3]Domestic Mobile Operations'!BB$12</f>
        <v>7438</v>
      </c>
      <c r="CI110" s="708">
        <f>CH110</f>
        <v>7438</v>
      </c>
      <c r="CJ110" s="707">
        <f>'[3]Domestic Mobile Operations'!BC$12</f>
        <v>7566</v>
      </c>
      <c r="CK110" s="707">
        <f>'[3]Domestic Mobile Operations'!BD$12</f>
        <v>7601</v>
      </c>
      <c r="CL110" s="707">
        <f>'[3]Domestic Mobile Operations'!BE$12</f>
        <v>7573</v>
      </c>
      <c r="CM110" s="707">
        <f>'[3]Domestic Mobile Operations'!BF$12</f>
        <v>7585</v>
      </c>
      <c r="CN110" s="708">
        <f>CM110</f>
        <v>7585</v>
      </c>
      <c r="CO110" s="707">
        <f>'[3]Domestic Mobile Operations'!BG$12</f>
        <v>7613</v>
      </c>
      <c r="CP110" s="707">
        <f>'[3]Domestic Mobile Operations'!BH$12</f>
        <v>7391</v>
      </c>
      <c r="CQ110" s="708">
        <f t="shared" ref="CQ110:CS110" si="500">CQ97</f>
        <v>7592.3190620150535</v>
      </c>
      <c r="CR110" s="708">
        <f t="shared" si="500"/>
        <v>7639.9896234807957</v>
      </c>
      <c r="CS110" s="708">
        <f t="shared" si="500"/>
        <v>7682.331105075662</v>
      </c>
      <c r="CT110" s="708">
        <f t="shared" ref="CT110:CV110" si="501">CT97</f>
        <v>7719.8502224857029</v>
      </c>
      <c r="CU110" s="708">
        <f t="shared" si="501"/>
        <v>7753.002922034173</v>
      </c>
      <c r="CV110" s="708">
        <f t="shared" si="501"/>
        <v>7782.1994322733144</v>
      </c>
      <c r="CW110" s="708">
        <f t="shared" ref="CW110" si="502">CW97</f>
        <v>7807.8088135762437</v>
      </c>
      <c r="CX110" s="165"/>
      <c r="CY110" s="165"/>
      <c r="CZ110" s="165"/>
      <c r="DA110" s="165"/>
      <c r="DB110" s="165"/>
      <c r="DC110" s="205"/>
      <c r="DD110" s="205"/>
      <c r="DE110" s="205"/>
      <c r="DF110" s="205"/>
    </row>
    <row r="111" spans="1:145" outlineLevel="1">
      <c r="A111" s="226" t="s">
        <v>21</v>
      </c>
      <c r="B111" s="166"/>
      <c r="C111" s="166"/>
      <c r="D111" s="166"/>
      <c r="E111" s="166"/>
      <c r="F111" s="166"/>
      <c r="G111" s="690">
        <f>(B110+G110)/2</f>
        <v>0</v>
      </c>
      <c r="H111" s="690"/>
      <c r="I111" s="690"/>
      <c r="J111" s="690"/>
      <c r="K111" s="690"/>
      <c r="L111" s="690">
        <f>(G110+L110)/2</f>
        <v>0</v>
      </c>
      <c r="M111" s="690"/>
      <c r="N111" s="690"/>
      <c r="O111" s="690"/>
      <c r="P111" s="690"/>
      <c r="Q111" s="690">
        <f>(L110+Q110)/2</f>
        <v>0</v>
      </c>
      <c r="R111" s="690"/>
      <c r="S111" s="690"/>
      <c r="T111" s="690"/>
      <c r="U111" s="690"/>
      <c r="V111" s="690">
        <f>(Q110+V110)/2</f>
        <v>0</v>
      </c>
      <c r="W111" s="690"/>
      <c r="X111" s="690"/>
      <c r="Y111" s="690"/>
      <c r="Z111" s="690"/>
      <c r="AA111" s="690">
        <f>(V110+AA110)/2</f>
        <v>0</v>
      </c>
      <c r="AB111" s="690"/>
      <c r="AC111" s="690"/>
      <c r="AD111" s="690"/>
      <c r="AE111" s="690"/>
      <c r="AF111" s="690">
        <f>(AA110+AF110)/2</f>
        <v>0</v>
      </c>
      <c r="AG111" s="690"/>
      <c r="AH111" s="690"/>
      <c r="AI111" s="690"/>
      <c r="AJ111" s="690"/>
      <c r="AK111" s="690">
        <f>(AF110+AK110)/2</f>
        <v>0</v>
      </c>
      <c r="AL111" s="690"/>
      <c r="AM111" s="690"/>
      <c r="AN111" s="690"/>
      <c r="AO111" s="690"/>
      <c r="AP111" s="690">
        <f>(AK110+AP110)/2</f>
        <v>0</v>
      </c>
      <c r="AQ111" s="690"/>
      <c r="AR111" s="690"/>
      <c r="AS111" s="690"/>
      <c r="AT111" s="691"/>
      <c r="AU111" s="690">
        <f>(AP110+AU110)/2</f>
        <v>6149.5</v>
      </c>
      <c r="AV111" s="690">
        <f t="shared" ref="AV111:CP111" si="503">(AQ110+AV110)/2</f>
        <v>4410</v>
      </c>
      <c r="AW111" s="690">
        <f t="shared" si="503"/>
        <v>4326.5</v>
      </c>
      <c r="AX111" s="690">
        <f t="shared" si="503"/>
        <v>4127.5</v>
      </c>
      <c r="AY111" s="690">
        <f t="shared" si="503"/>
        <v>4017</v>
      </c>
      <c r="AZ111" s="690">
        <f t="shared" si="503"/>
        <v>10166.5</v>
      </c>
      <c r="BA111" s="690">
        <f t="shared" si="503"/>
        <v>8288</v>
      </c>
      <c r="BB111" s="690">
        <f t="shared" si="503"/>
        <v>8184.5</v>
      </c>
      <c r="BC111" s="690">
        <f t="shared" si="503"/>
        <v>7979</v>
      </c>
      <c r="BD111" s="690">
        <f t="shared" si="503"/>
        <v>7802.5</v>
      </c>
      <c r="BE111" s="690">
        <f t="shared" si="503"/>
        <v>7802.5</v>
      </c>
      <c r="BF111" s="690">
        <f t="shared" si="503"/>
        <v>7600</v>
      </c>
      <c r="BG111" s="690">
        <f t="shared" si="503"/>
        <v>7589.5</v>
      </c>
      <c r="BH111" s="690">
        <f t="shared" si="503"/>
        <v>7582</v>
      </c>
      <c r="BI111" s="690">
        <f t="shared" si="503"/>
        <v>7473</v>
      </c>
      <c r="BJ111" s="690">
        <f t="shared" si="503"/>
        <v>7473</v>
      </c>
      <c r="BK111" s="690">
        <f t="shared" si="503"/>
        <v>7416</v>
      </c>
      <c r="BL111" s="690">
        <f t="shared" si="503"/>
        <v>7646.5</v>
      </c>
      <c r="BM111" s="690">
        <f t="shared" si="503"/>
        <v>7304</v>
      </c>
      <c r="BN111" s="690">
        <f t="shared" si="503"/>
        <v>7284</v>
      </c>
      <c r="BO111" s="690">
        <f t="shared" si="503"/>
        <v>7284</v>
      </c>
      <c r="BP111" s="690">
        <f t="shared" si="503"/>
        <v>7376.5</v>
      </c>
      <c r="BQ111" s="690">
        <f t="shared" si="503"/>
        <v>7595</v>
      </c>
      <c r="BR111" s="690">
        <f t="shared" si="503"/>
        <v>7240.5</v>
      </c>
      <c r="BS111" s="690">
        <f t="shared" si="503"/>
        <v>7276</v>
      </c>
      <c r="BT111" s="690">
        <f t="shared" si="503"/>
        <v>7276</v>
      </c>
      <c r="BU111" s="690">
        <f t="shared" si="503"/>
        <v>7228.5</v>
      </c>
      <c r="BV111" s="690">
        <f t="shared" si="503"/>
        <v>7254.5</v>
      </c>
      <c r="BW111" s="690">
        <f t="shared" si="503"/>
        <v>7261</v>
      </c>
      <c r="BX111" s="690">
        <f t="shared" si="503"/>
        <v>7253</v>
      </c>
      <c r="BY111" s="690">
        <f t="shared" si="503"/>
        <v>7253</v>
      </c>
      <c r="BZ111" s="690">
        <f t="shared" si="503"/>
        <v>7109</v>
      </c>
      <c r="CA111" s="690">
        <f t="shared" si="503"/>
        <v>7090.5</v>
      </c>
      <c r="CB111" s="690">
        <f t="shared" si="503"/>
        <v>7186.5</v>
      </c>
      <c r="CC111" s="690">
        <f t="shared" si="503"/>
        <v>7368</v>
      </c>
      <c r="CD111" s="690">
        <f t="shared" si="503"/>
        <v>7368</v>
      </c>
      <c r="CE111" s="690">
        <f t="shared" si="503"/>
        <v>7261.5</v>
      </c>
      <c r="CF111" s="690">
        <f t="shared" si="503"/>
        <v>7264.5</v>
      </c>
      <c r="CG111" s="690">
        <f t="shared" si="503"/>
        <v>7339.5</v>
      </c>
      <c r="CH111" s="690">
        <f t="shared" si="503"/>
        <v>7513.5</v>
      </c>
      <c r="CI111" s="690">
        <f t="shared" si="503"/>
        <v>7513.5</v>
      </c>
      <c r="CJ111" s="690">
        <f t="shared" si="503"/>
        <v>7481.5</v>
      </c>
      <c r="CK111" s="690">
        <f t="shared" si="503"/>
        <v>7549</v>
      </c>
      <c r="CL111" s="690">
        <f t="shared" si="503"/>
        <v>7533.5</v>
      </c>
      <c r="CM111" s="690">
        <f t="shared" si="503"/>
        <v>7511.5</v>
      </c>
      <c r="CN111" s="690">
        <f t="shared" si="503"/>
        <v>7511.5</v>
      </c>
      <c r="CO111" s="690">
        <f t="shared" si="503"/>
        <v>7589.5</v>
      </c>
      <c r="CP111" s="690">
        <f t="shared" si="503"/>
        <v>7496</v>
      </c>
      <c r="CQ111" s="690">
        <f>(CN110+CQ110)/2</f>
        <v>7588.6595310075263</v>
      </c>
      <c r="CR111" s="690">
        <f t="shared" ref="CR111:CS111" si="504">(CQ110+CR110)/2</f>
        <v>7616.1543427479246</v>
      </c>
      <c r="CS111" s="690">
        <f t="shared" si="504"/>
        <v>7661.1603642782284</v>
      </c>
      <c r="CT111" s="690">
        <f t="shared" ref="CT111" si="505">(CS110+CT110)/2</f>
        <v>7701.090663780682</v>
      </c>
      <c r="CU111" s="690">
        <f t="shared" ref="CU111" si="506">(CT110+CU110)/2</f>
        <v>7736.4265722599375</v>
      </c>
      <c r="CV111" s="690">
        <f t="shared" ref="CV111:CW111" si="507">(CU110+CV110)/2</f>
        <v>7767.6011771537433</v>
      </c>
      <c r="CW111" s="690">
        <f t="shared" si="507"/>
        <v>7795.004122924779</v>
      </c>
      <c r="CX111" s="159"/>
      <c r="CY111" s="159"/>
      <c r="CZ111" s="159"/>
      <c r="DA111" s="159"/>
      <c r="DB111" s="159"/>
      <c r="DC111" s="170"/>
      <c r="DD111" s="170"/>
      <c r="DE111" s="170"/>
      <c r="DF111" s="170"/>
    </row>
    <row r="112" spans="1:145">
      <c r="A112" s="159"/>
      <c r="B112" s="159"/>
      <c r="C112" s="159"/>
      <c r="D112" s="159"/>
      <c r="E112" s="159"/>
      <c r="F112" s="159"/>
      <c r="G112" s="159"/>
      <c r="H112" s="159"/>
      <c r="I112" s="159"/>
      <c r="J112" s="159"/>
      <c r="K112" s="159"/>
      <c r="L112" s="159"/>
      <c r="M112" s="159"/>
      <c r="N112" s="159"/>
      <c r="O112" s="159"/>
      <c r="P112" s="159"/>
      <c r="Q112" s="159"/>
      <c r="R112" s="159"/>
      <c r="S112" s="159"/>
      <c r="T112" s="159"/>
      <c r="U112" s="159"/>
      <c r="V112" s="159"/>
      <c r="W112" s="159"/>
      <c r="X112" s="159"/>
      <c r="Y112" s="159"/>
      <c r="Z112" s="159"/>
      <c r="AA112" s="159"/>
      <c r="AB112" s="159"/>
      <c r="AC112" s="159"/>
      <c r="AD112" s="159"/>
      <c r="AE112" s="159"/>
      <c r="AF112" s="224"/>
      <c r="AG112" s="224"/>
      <c r="AH112" s="224"/>
      <c r="AI112" s="224"/>
      <c r="AJ112" s="224"/>
      <c r="AK112" s="234"/>
      <c r="AL112" s="234"/>
      <c r="AM112" s="234"/>
      <c r="AN112" s="234"/>
      <c r="AO112" s="234"/>
      <c r="AP112" s="234"/>
      <c r="AQ112" s="234"/>
      <c r="AR112" s="234"/>
      <c r="AS112" s="234"/>
      <c r="AT112" s="234"/>
      <c r="AU112" s="234"/>
      <c r="AV112" s="234"/>
      <c r="AW112" s="234"/>
      <c r="AX112" s="234"/>
      <c r="AY112" s="234"/>
      <c r="AZ112" s="234"/>
      <c r="BA112" s="234"/>
      <c r="BB112" s="234"/>
      <c r="BC112" s="234"/>
      <c r="BD112" s="234"/>
      <c r="BE112" s="234"/>
      <c r="BF112" s="234"/>
      <c r="BG112" s="234"/>
      <c r="BH112" s="234"/>
      <c r="BI112" s="234"/>
      <c r="BJ112" s="234"/>
      <c r="BK112" s="234"/>
      <c r="BL112" s="234"/>
      <c r="BM112" s="234"/>
      <c r="BN112" s="234"/>
      <c r="BO112" s="234"/>
      <c r="BP112" s="234"/>
      <c r="BQ112" s="234"/>
      <c r="BR112" s="234"/>
      <c r="BS112" s="234"/>
      <c r="BT112" s="234"/>
      <c r="BU112" s="234"/>
      <c r="BV112" s="234"/>
      <c r="BW112" s="234"/>
      <c r="BX112" s="234"/>
      <c r="BY112" s="234"/>
      <c r="BZ112" s="234"/>
      <c r="CA112" s="234"/>
      <c r="CB112" s="234"/>
      <c r="CC112" s="234"/>
      <c r="CD112" s="234"/>
      <c r="CE112" s="234"/>
      <c r="CF112" s="234"/>
      <c r="CG112" s="234"/>
      <c r="CH112" s="234"/>
      <c r="CI112" s="234"/>
      <c r="CJ112" s="234"/>
      <c r="CK112" s="234"/>
      <c r="CL112" s="234"/>
      <c r="CM112" s="234"/>
      <c r="CN112" s="234"/>
      <c r="CO112" s="234"/>
      <c r="CP112" s="234"/>
      <c r="CQ112" s="160">
        <f>CQ111/CN111-1</f>
        <v>1.0272186781272286E-2</v>
      </c>
      <c r="CR112" s="160">
        <f t="shared" ref="CR112" si="508">CR111/CQ111-1</f>
        <v>3.6231447237886627E-3</v>
      </c>
      <c r="CS112" s="160">
        <f t="shared" ref="CS112" si="509">CS111/CR111-1</f>
        <v>5.9092843323427235E-3</v>
      </c>
      <c r="CT112" s="160">
        <f t="shared" ref="CT112" si="510">CT111/CS111-1</f>
        <v>5.2120432942035499E-3</v>
      </c>
      <c r="CU112" s="160">
        <f t="shared" ref="CU112" si="511">CU111/CT111-1</f>
        <v>4.5884290968609687E-3</v>
      </c>
      <c r="CV112" s="160">
        <f t="shared" ref="CV112" si="512">CV111/CU111-1</f>
        <v>4.0295871230249247E-3</v>
      </c>
      <c r="CW112" s="160">
        <f t="shared" ref="CW112" si="513">CW111/CV111-1</f>
        <v>3.527851796978787E-3</v>
      </c>
      <c r="CX112" s="159"/>
      <c r="CY112" s="159"/>
      <c r="CZ112" s="159"/>
      <c r="DA112" s="159"/>
      <c r="DB112" s="159"/>
      <c r="DC112" s="170"/>
      <c r="DD112" s="170"/>
      <c r="DE112" s="170"/>
      <c r="DF112" s="170"/>
    </row>
    <row r="113" spans="1:110">
      <c r="A113" s="159"/>
      <c r="B113" s="159"/>
      <c r="C113" s="159"/>
      <c r="D113" s="159"/>
      <c r="E113" s="159"/>
      <c r="F113" s="159"/>
      <c r="G113" s="159"/>
      <c r="H113" s="159"/>
      <c r="I113" s="159"/>
      <c r="J113" s="159"/>
      <c r="K113" s="159"/>
      <c r="L113" s="159"/>
      <c r="M113" s="159"/>
      <c r="N113" s="159"/>
      <c r="O113" s="159"/>
      <c r="P113" s="159"/>
      <c r="Q113" s="159"/>
      <c r="R113" s="159"/>
      <c r="S113" s="159"/>
      <c r="T113" s="159"/>
      <c r="U113" s="159"/>
      <c r="V113" s="159"/>
      <c r="W113" s="159"/>
      <c r="X113" s="159"/>
      <c r="Y113" s="159"/>
      <c r="Z113" s="159"/>
      <c r="AA113" s="159"/>
      <c r="AB113" s="159"/>
      <c r="AC113" s="159"/>
      <c r="AD113" s="159"/>
      <c r="AE113" s="159"/>
      <c r="AF113" s="224"/>
      <c r="AG113" s="224"/>
      <c r="AH113" s="224"/>
      <c r="AI113" s="224"/>
      <c r="AJ113" s="224"/>
      <c r="AK113" s="234"/>
      <c r="AL113" s="234"/>
      <c r="AM113" s="234"/>
      <c r="AN113" s="234"/>
      <c r="AO113" s="234"/>
      <c r="AP113" s="234"/>
      <c r="AQ113" s="234"/>
      <c r="AR113" s="234"/>
      <c r="AS113" s="234"/>
      <c r="AT113" s="234"/>
      <c r="AU113" s="234"/>
      <c r="AV113" s="234" t="s">
        <v>615</v>
      </c>
      <c r="AW113" s="234"/>
      <c r="AX113" s="234"/>
      <c r="AY113" s="234"/>
      <c r="AZ113" s="234"/>
      <c r="BA113" s="234"/>
      <c r="BB113" s="234"/>
      <c r="BC113" s="234"/>
      <c r="BD113" s="234"/>
      <c r="BE113" s="234"/>
      <c r="BF113" s="234"/>
      <c r="BG113" s="234"/>
      <c r="BH113" s="234"/>
      <c r="BI113" s="234"/>
      <c r="BJ113" s="234"/>
      <c r="BK113" s="234"/>
      <c r="BL113" s="234"/>
      <c r="BM113" s="234"/>
      <c r="BN113" s="234"/>
      <c r="BO113" s="234"/>
      <c r="BP113" s="234"/>
      <c r="BQ113" s="234"/>
      <c r="BR113" s="234"/>
      <c r="BS113" s="234"/>
      <c r="BT113" s="234"/>
      <c r="BU113" s="234"/>
      <c r="BV113" s="234"/>
      <c r="BW113" s="234"/>
      <c r="BX113" s="234"/>
      <c r="BY113" s="234"/>
      <c r="BZ113" s="234"/>
      <c r="CA113" s="234"/>
      <c r="CB113" s="234"/>
      <c r="CC113" s="234"/>
      <c r="CD113" s="234"/>
      <c r="CE113" s="234"/>
      <c r="CF113" s="234"/>
      <c r="CG113" s="234"/>
      <c r="CH113" s="234"/>
      <c r="CI113" s="234"/>
      <c r="CJ113" s="234"/>
      <c r="CK113" s="234"/>
      <c r="CL113" s="234"/>
      <c r="CM113" s="234"/>
      <c r="CN113" s="234"/>
      <c r="CO113" s="234"/>
      <c r="CP113" s="234"/>
      <c r="CQ113" s="234"/>
      <c r="CR113" s="234"/>
      <c r="CS113" s="234"/>
      <c r="CT113" s="234"/>
      <c r="CU113" s="234"/>
      <c r="CV113" s="234"/>
      <c r="CW113" s="234"/>
      <c r="CX113" s="159"/>
      <c r="CY113" s="159"/>
      <c r="CZ113" s="159"/>
      <c r="DA113" s="159"/>
      <c r="DB113" s="159"/>
      <c r="DC113" s="170"/>
      <c r="DD113" s="170"/>
      <c r="DE113" s="170"/>
      <c r="DF113" s="170"/>
    </row>
    <row r="114" spans="1:110">
      <c r="A114" s="199" t="s">
        <v>601</v>
      </c>
      <c r="B114" s="199">
        <f t="shared" ref="B114:AG114" si="514">B2</f>
        <v>2007</v>
      </c>
      <c r="C114" s="199" t="str">
        <f t="shared" si="514"/>
        <v>Q1</v>
      </c>
      <c r="D114" s="199" t="str">
        <f t="shared" si="514"/>
        <v>Q2</v>
      </c>
      <c r="E114" s="199" t="str">
        <f t="shared" si="514"/>
        <v>Q3</v>
      </c>
      <c r="F114" s="199" t="str">
        <f t="shared" si="514"/>
        <v>Q4</v>
      </c>
      <c r="G114" s="199">
        <f t="shared" si="514"/>
        <v>2008</v>
      </c>
      <c r="H114" s="199" t="str">
        <f t="shared" si="514"/>
        <v>Q1</v>
      </c>
      <c r="I114" s="199" t="str">
        <f t="shared" si="514"/>
        <v>Q2</v>
      </c>
      <c r="J114" s="199" t="str">
        <f t="shared" si="514"/>
        <v>Q3</v>
      </c>
      <c r="K114" s="199" t="str">
        <f t="shared" si="514"/>
        <v>Q4</v>
      </c>
      <c r="L114" s="199">
        <f t="shared" si="514"/>
        <v>2009</v>
      </c>
      <c r="M114" s="199" t="str">
        <f t="shared" si="514"/>
        <v>Q1</v>
      </c>
      <c r="N114" s="199" t="str">
        <f t="shared" si="514"/>
        <v>Q2</v>
      </c>
      <c r="O114" s="199" t="str">
        <f t="shared" si="514"/>
        <v>Q3</v>
      </c>
      <c r="P114" s="199" t="str">
        <f t="shared" si="514"/>
        <v>Q4</v>
      </c>
      <c r="Q114" s="199">
        <f t="shared" si="514"/>
        <v>2010</v>
      </c>
      <c r="R114" s="199" t="str">
        <f t="shared" si="514"/>
        <v>Q1</v>
      </c>
      <c r="S114" s="199" t="str">
        <f t="shared" si="514"/>
        <v>Q2</v>
      </c>
      <c r="T114" s="199" t="str">
        <f t="shared" si="514"/>
        <v>Q3</v>
      </c>
      <c r="U114" s="199" t="str">
        <f t="shared" si="514"/>
        <v>Q4</v>
      </c>
      <c r="V114" s="199">
        <f t="shared" si="514"/>
        <v>2011</v>
      </c>
      <c r="W114" s="199" t="str">
        <f t="shared" si="514"/>
        <v>Q1</v>
      </c>
      <c r="X114" s="199" t="str">
        <f t="shared" si="514"/>
        <v>Q2</v>
      </c>
      <c r="Y114" s="199" t="str">
        <f t="shared" si="514"/>
        <v>Q3</v>
      </c>
      <c r="Z114" s="199" t="str">
        <f t="shared" si="514"/>
        <v>Q4</v>
      </c>
      <c r="AA114" s="199">
        <f t="shared" si="514"/>
        <v>2012</v>
      </c>
      <c r="AB114" s="199" t="str">
        <f t="shared" si="514"/>
        <v>Q1</v>
      </c>
      <c r="AC114" s="199" t="str">
        <f t="shared" si="514"/>
        <v>Q2</v>
      </c>
      <c r="AD114" s="199" t="str">
        <f t="shared" si="514"/>
        <v>Q3</v>
      </c>
      <c r="AE114" s="199" t="str">
        <f t="shared" si="514"/>
        <v>Q4</v>
      </c>
      <c r="AF114" s="199">
        <f t="shared" si="514"/>
        <v>2013</v>
      </c>
      <c r="AG114" s="199" t="str">
        <f t="shared" si="514"/>
        <v>Q1</v>
      </c>
      <c r="AH114" s="199" t="str">
        <f t="shared" ref="AH114:BM114" si="515">AH2</f>
        <v>Q2</v>
      </c>
      <c r="AI114" s="199" t="str">
        <f t="shared" si="515"/>
        <v>Q3</v>
      </c>
      <c r="AJ114" s="199" t="str">
        <f t="shared" si="515"/>
        <v>Q4</v>
      </c>
      <c r="AK114" s="199">
        <f t="shared" si="515"/>
        <v>2014</v>
      </c>
      <c r="AL114" s="199" t="str">
        <f t="shared" si="515"/>
        <v>Q1</v>
      </c>
      <c r="AM114" s="199" t="str">
        <f t="shared" si="515"/>
        <v>Q2</v>
      </c>
      <c r="AN114" s="199" t="str">
        <f t="shared" si="515"/>
        <v>Q3</v>
      </c>
      <c r="AO114" s="199" t="str">
        <f t="shared" si="515"/>
        <v>Q4</v>
      </c>
      <c r="AP114" s="199">
        <f t="shared" si="515"/>
        <v>2015</v>
      </c>
      <c r="AQ114" s="199" t="str">
        <f t="shared" si="515"/>
        <v>Q1</v>
      </c>
      <c r="AR114" s="199" t="str">
        <f t="shared" si="515"/>
        <v>Q2</v>
      </c>
      <c r="AS114" s="199" t="str">
        <f t="shared" si="515"/>
        <v>Q3</v>
      </c>
      <c r="AT114" s="199" t="str">
        <f t="shared" si="515"/>
        <v>Q4</v>
      </c>
      <c r="AU114" s="199">
        <f t="shared" si="515"/>
        <v>2016</v>
      </c>
      <c r="AV114" s="199" t="str">
        <f t="shared" si="515"/>
        <v>Q1</v>
      </c>
      <c r="AW114" s="199" t="str">
        <f t="shared" si="515"/>
        <v>Q2</v>
      </c>
      <c r="AX114" s="199" t="str">
        <f t="shared" si="515"/>
        <v>Q3</v>
      </c>
      <c r="AY114" s="199" t="str">
        <f t="shared" si="515"/>
        <v>Q4</v>
      </c>
      <c r="AZ114" s="199">
        <f t="shared" si="515"/>
        <v>2017</v>
      </c>
      <c r="BA114" s="199" t="str">
        <f t="shared" si="515"/>
        <v>Q1</v>
      </c>
      <c r="BB114" s="199" t="str">
        <f t="shared" si="515"/>
        <v>Q2</v>
      </c>
      <c r="BC114" s="199" t="str">
        <f t="shared" si="515"/>
        <v>Q3</v>
      </c>
      <c r="BD114" s="199" t="str">
        <f t="shared" si="515"/>
        <v>Q4</v>
      </c>
      <c r="BE114" s="199">
        <f t="shared" si="515"/>
        <v>2018</v>
      </c>
      <c r="BF114" s="199" t="str">
        <f t="shared" si="515"/>
        <v>Q1</v>
      </c>
      <c r="BG114" s="199" t="str">
        <f t="shared" si="515"/>
        <v>Q2</v>
      </c>
      <c r="BH114" s="199" t="str">
        <f t="shared" si="515"/>
        <v>Q3</v>
      </c>
      <c r="BI114" s="199" t="str">
        <f t="shared" si="515"/>
        <v>Q4</v>
      </c>
      <c r="BJ114" s="199">
        <f t="shared" si="515"/>
        <v>2019</v>
      </c>
      <c r="BK114" s="199" t="str">
        <f t="shared" si="515"/>
        <v>Q1</v>
      </c>
      <c r="BL114" s="199" t="str">
        <f t="shared" si="515"/>
        <v>Q2</v>
      </c>
      <c r="BM114" s="199" t="str">
        <f t="shared" si="515"/>
        <v>Q3</v>
      </c>
      <c r="BN114" s="199" t="str">
        <f t="shared" ref="BN114:CW114" si="516">BN2</f>
        <v>Q4</v>
      </c>
      <c r="BO114" s="199">
        <f t="shared" si="516"/>
        <v>2020</v>
      </c>
      <c r="BP114" s="199" t="str">
        <f t="shared" si="516"/>
        <v>Q1</v>
      </c>
      <c r="BQ114" s="199" t="str">
        <f t="shared" si="516"/>
        <v>Q2</v>
      </c>
      <c r="BR114" s="199" t="str">
        <f t="shared" si="516"/>
        <v>Q3</v>
      </c>
      <c r="BS114" s="199" t="str">
        <f t="shared" si="516"/>
        <v>Q4</v>
      </c>
      <c r="BT114" s="199">
        <f t="shared" si="516"/>
        <v>2021</v>
      </c>
      <c r="BU114" s="199" t="str">
        <f t="shared" si="516"/>
        <v>Q1</v>
      </c>
      <c r="BV114" s="199" t="str">
        <f t="shared" si="516"/>
        <v>Q2</v>
      </c>
      <c r="BW114" s="199" t="str">
        <f t="shared" si="516"/>
        <v>Q3</v>
      </c>
      <c r="BX114" s="199" t="str">
        <f t="shared" si="516"/>
        <v>Q4</v>
      </c>
      <c r="BY114" s="199">
        <f t="shared" si="516"/>
        <v>2022</v>
      </c>
      <c r="BZ114" s="199" t="str">
        <f t="shared" si="516"/>
        <v>Q1</v>
      </c>
      <c r="CA114" s="199" t="str">
        <f t="shared" si="516"/>
        <v>Q2</v>
      </c>
      <c r="CB114" s="199" t="str">
        <f t="shared" si="516"/>
        <v>Q3</v>
      </c>
      <c r="CC114" s="199" t="str">
        <f t="shared" si="516"/>
        <v>Q4</v>
      </c>
      <c r="CD114" s="199">
        <f t="shared" si="516"/>
        <v>2023</v>
      </c>
      <c r="CE114" s="199" t="str">
        <f t="shared" ref="CE114:CF114" si="517">CE2</f>
        <v>Q1</v>
      </c>
      <c r="CF114" s="199" t="str">
        <f t="shared" si="517"/>
        <v>Q2</v>
      </c>
      <c r="CG114" s="199" t="str">
        <f t="shared" ref="CG114:CJ114" si="518">CG2</f>
        <v>Q3</v>
      </c>
      <c r="CH114" s="199" t="str">
        <f t="shared" si="518"/>
        <v>Q4</v>
      </c>
      <c r="CI114" s="199">
        <f t="shared" si="518"/>
        <v>2024</v>
      </c>
      <c r="CJ114" s="199" t="str">
        <f t="shared" si="518"/>
        <v>Q1</v>
      </c>
      <c r="CK114" s="199" t="str">
        <f t="shared" ref="CK114:CL114" si="519">CK2</f>
        <v>Q2</v>
      </c>
      <c r="CL114" s="199" t="str">
        <f t="shared" si="519"/>
        <v>Q3</v>
      </c>
      <c r="CM114" s="199" t="str">
        <f t="shared" ref="CM114:CP114" si="520">CM2</f>
        <v>Q4</v>
      </c>
      <c r="CN114" s="199">
        <f t="shared" si="520"/>
        <v>2025</v>
      </c>
      <c r="CO114" s="199" t="str">
        <f t="shared" si="520"/>
        <v>Q1</v>
      </c>
      <c r="CP114" s="199" t="str">
        <f t="shared" si="520"/>
        <v>Q2</v>
      </c>
      <c r="CQ114" s="199">
        <f t="shared" si="516"/>
        <v>2026</v>
      </c>
      <c r="CR114" s="199">
        <f t="shared" si="516"/>
        <v>2027</v>
      </c>
      <c r="CS114" s="199">
        <f t="shared" si="516"/>
        <v>2028</v>
      </c>
      <c r="CT114" s="199">
        <f t="shared" si="516"/>
        <v>2029</v>
      </c>
      <c r="CU114" s="199">
        <f t="shared" si="516"/>
        <v>2030</v>
      </c>
      <c r="CV114" s="199">
        <f t="shared" si="516"/>
        <v>2031</v>
      </c>
      <c r="CW114" s="199">
        <f t="shared" si="516"/>
        <v>2032</v>
      </c>
      <c r="CX114" s="159"/>
      <c r="CY114" s="159"/>
      <c r="CZ114" s="159"/>
      <c r="DA114" s="159"/>
      <c r="DB114" s="159"/>
      <c r="DC114" s="159"/>
      <c r="DD114" s="159"/>
    </row>
    <row r="115" spans="1:110">
      <c r="A115" s="226" t="s">
        <v>18</v>
      </c>
      <c r="B115" s="690">
        <v>5312</v>
      </c>
      <c r="C115" s="690">
        <f>B117</f>
        <v>9765</v>
      </c>
      <c r="D115" s="690">
        <f>C117</f>
        <v>9921</v>
      </c>
      <c r="E115" s="690">
        <f>D117</f>
        <v>10250</v>
      </c>
      <c r="F115" s="690">
        <f>E117</f>
        <v>10750</v>
      </c>
      <c r="G115" s="690">
        <f>B117</f>
        <v>9765</v>
      </c>
      <c r="H115" s="690">
        <f>G117</f>
        <v>11234.1</v>
      </c>
      <c r="I115" s="690">
        <f>H117</f>
        <v>11266</v>
      </c>
      <c r="J115" s="690">
        <f>I117</f>
        <v>11422.8</v>
      </c>
      <c r="K115" s="690">
        <f>J117</f>
        <v>11735</v>
      </c>
      <c r="L115" s="690">
        <f>G117</f>
        <v>11234.1</v>
      </c>
      <c r="M115" s="690">
        <f>L117</f>
        <v>12291</v>
      </c>
      <c r="N115" s="690">
        <f>M117</f>
        <v>12691</v>
      </c>
      <c r="O115" s="690">
        <f>N117</f>
        <v>12971</v>
      </c>
      <c r="P115" s="690">
        <f>O117</f>
        <v>13525</v>
      </c>
      <c r="Q115" s="690">
        <f>L117</f>
        <v>12291</v>
      </c>
      <c r="R115" s="690">
        <f>Q117</f>
        <v>13954</v>
      </c>
      <c r="S115" s="690">
        <f>R117</f>
        <v>12743</v>
      </c>
      <c r="T115" s="690">
        <f>S117</f>
        <v>12756</v>
      </c>
      <c r="U115" s="690">
        <f>T117</f>
        <v>12692</v>
      </c>
      <c r="V115" s="690">
        <f>Q117</f>
        <v>13954</v>
      </c>
      <c r="W115" s="690">
        <f>V117</f>
        <v>12735</v>
      </c>
      <c r="X115" s="690">
        <f>W117</f>
        <v>13265</v>
      </c>
      <c r="Y115" s="690">
        <f>X117</f>
        <v>13610</v>
      </c>
      <c r="Z115" s="690">
        <f>Y117</f>
        <v>13930</v>
      </c>
      <c r="AA115" s="690">
        <f>V117</f>
        <v>12735</v>
      </c>
      <c r="AB115" s="690">
        <f>AA117</f>
        <v>14091</v>
      </c>
      <c r="AC115" s="690">
        <f>AB117</f>
        <v>14136</v>
      </c>
      <c r="AD115" s="690">
        <f>AC117</f>
        <v>13873</v>
      </c>
      <c r="AE115" s="690">
        <f>AD117</f>
        <v>13213</v>
      </c>
      <c r="AF115" s="690">
        <f>AA117</f>
        <v>14091</v>
      </c>
      <c r="AG115" s="690">
        <f>AF117</f>
        <v>12893</v>
      </c>
      <c r="AH115" s="690">
        <f>AG117</f>
        <v>12602</v>
      </c>
      <c r="AI115" s="690">
        <f>AH117</f>
        <v>12401</v>
      </c>
      <c r="AJ115" s="690">
        <f>AI117</f>
        <v>12415</v>
      </c>
      <c r="AK115" s="690">
        <f>AF117</f>
        <v>12893</v>
      </c>
      <c r="AL115" s="690">
        <f>AK117</f>
        <v>12913</v>
      </c>
      <c r="AM115" s="690">
        <f>AL117</f>
        <v>13260</v>
      </c>
      <c r="AN115" s="690">
        <f>AM117</f>
        <v>13269</v>
      </c>
      <c r="AO115" s="690">
        <f>AN117</f>
        <v>13110</v>
      </c>
      <c r="AP115" s="690">
        <f>AK117</f>
        <v>12913</v>
      </c>
      <c r="AQ115" s="690">
        <f>AP117</f>
        <v>12694</v>
      </c>
      <c r="AR115" s="690">
        <f>AQ117</f>
        <v>12310</v>
      </c>
      <c r="AS115" s="690">
        <f>AR117</f>
        <v>12249</v>
      </c>
      <c r="AT115" s="691">
        <f>AO117</f>
        <v>12694</v>
      </c>
      <c r="AU115" s="690">
        <f>AP117</f>
        <v>12694</v>
      </c>
      <c r="AV115" s="690">
        <f>AU117</f>
        <v>11926</v>
      </c>
      <c r="AW115" s="690">
        <f>AV117</f>
        <v>11620</v>
      </c>
      <c r="AX115" s="691">
        <f>AW117</f>
        <v>11495</v>
      </c>
      <c r="AY115" s="691">
        <f>AX117</f>
        <v>11104</v>
      </c>
      <c r="AZ115" s="690">
        <f>AU117</f>
        <v>11926</v>
      </c>
      <c r="BA115" s="690">
        <f>AZ117</f>
        <v>10928</v>
      </c>
      <c r="BB115" s="690">
        <f>BA117</f>
        <v>10714</v>
      </c>
      <c r="BC115" s="690">
        <f>BB117</f>
        <v>10735</v>
      </c>
      <c r="BD115" s="690">
        <f>BC117</f>
        <v>10808</v>
      </c>
      <c r="BE115" s="690">
        <f>AZ117</f>
        <v>10928</v>
      </c>
      <c r="BF115" s="690">
        <f>BE117</f>
        <v>10761</v>
      </c>
      <c r="BG115" s="690">
        <f>BF117</f>
        <v>10765</v>
      </c>
      <c r="BH115" s="690">
        <f>BG117</f>
        <v>10901</v>
      </c>
      <c r="BI115" s="690">
        <f>BH117</f>
        <v>11042</v>
      </c>
      <c r="BJ115" s="690">
        <f>BE117</f>
        <v>10761</v>
      </c>
      <c r="BK115" s="690">
        <f>BJ117</f>
        <v>11130</v>
      </c>
      <c r="BL115" s="690">
        <f>BK117</f>
        <v>11221</v>
      </c>
      <c r="BM115" s="690">
        <f>BL117</f>
        <v>11631</v>
      </c>
      <c r="BN115" s="690">
        <f>BM117</f>
        <v>11002</v>
      </c>
      <c r="BO115" s="690">
        <f>BJ117</f>
        <v>11130</v>
      </c>
      <c r="BP115" s="690">
        <f>BO117</f>
        <v>11132</v>
      </c>
      <c r="BQ115" s="690">
        <f>BP117</f>
        <v>11371</v>
      </c>
      <c r="BR115" s="690">
        <f>BQ117</f>
        <v>11493</v>
      </c>
      <c r="BS115" s="690">
        <f>BR117</f>
        <v>11441</v>
      </c>
      <c r="BT115" s="690">
        <f>BO117</f>
        <v>11132</v>
      </c>
      <c r="BU115" s="692">
        <f>BT117</f>
        <v>11618</v>
      </c>
      <c r="BV115" s="692">
        <f>BU117</f>
        <v>11416</v>
      </c>
      <c r="BW115" s="692">
        <f>BV117</f>
        <v>11547</v>
      </c>
      <c r="BX115" s="692">
        <f>BW117</f>
        <v>11666</v>
      </c>
      <c r="BY115" s="690">
        <f>BT117</f>
        <v>11618</v>
      </c>
      <c r="BZ115" s="692">
        <f>BY117</f>
        <v>11738</v>
      </c>
      <c r="CA115" s="692">
        <f>BZ117</f>
        <v>11789</v>
      </c>
      <c r="CB115" s="692">
        <f>CA117</f>
        <v>11753</v>
      </c>
      <c r="CC115" s="692">
        <f>CB117</f>
        <v>12010</v>
      </c>
      <c r="CD115" s="690">
        <f>BY117</f>
        <v>11738</v>
      </c>
      <c r="CE115" s="692">
        <f>CD117</f>
        <v>12511</v>
      </c>
      <c r="CF115" s="692">
        <f>CE117</f>
        <v>12430</v>
      </c>
      <c r="CG115" s="692">
        <f>CF117</f>
        <v>12626</v>
      </c>
      <c r="CH115" s="692">
        <f>CG117</f>
        <v>12737</v>
      </c>
      <c r="CI115" s="690">
        <f>CD117</f>
        <v>12511</v>
      </c>
      <c r="CJ115" s="692">
        <f>CI117</f>
        <v>12826</v>
      </c>
      <c r="CK115" s="692">
        <f>CJ117</f>
        <v>13115</v>
      </c>
      <c r="CL115" s="692">
        <f>CK117</f>
        <v>13248</v>
      </c>
      <c r="CM115" s="692">
        <f>CL117</f>
        <v>13367</v>
      </c>
      <c r="CN115" s="690">
        <f>CI117</f>
        <v>12826</v>
      </c>
      <c r="CO115" s="692">
        <f>CN117</f>
        <v>13504</v>
      </c>
      <c r="CP115" s="692">
        <f>CO117</f>
        <v>13631</v>
      </c>
      <c r="CQ115" s="690">
        <f>CN117</f>
        <v>13504</v>
      </c>
      <c r="CR115" s="690">
        <f t="shared" ref="CR115:CS115" si="521">CQ117</f>
        <v>13589.613584573439</v>
      </c>
      <c r="CS115" s="690">
        <f t="shared" si="521"/>
        <v>13748.767303558094</v>
      </c>
      <c r="CT115" s="690">
        <f t="shared" ref="CT115" si="522">CS117</f>
        <v>13900.006651461272</v>
      </c>
      <c r="CU115" s="690">
        <f t="shared" ref="CU115" si="523">CT117</f>
        <v>14044.123874766659</v>
      </c>
      <c r="CV115" s="690">
        <f t="shared" ref="CV115:CW115" si="524">CU117</f>
        <v>14181.835742538982</v>
      </c>
      <c r="CW115" s="690">
        <f t="shared" si="524"/>
        <v>14313.790755428116</v>
      </c>
      <c r="CX115" s="159"/>
      <c r="CY115" s="159"/>
      <c r="CZ115" s="159"/>
      <c r="DA115" s="159"/>
      <c r="DB115" s="159"/>
      <c r="DC115" s="162"/>
      <c r="DD115" s="162"/>
    </row>
    <row r="116" spans="1:110">
      <c r="A116" s="226" t="s">
        <v>19</v>
      </c>
      <c r="B116" s="690">
        <f t="shared" ref="B116:AG116" si="525">B117-B115</f>
        <v>4453</v>
      </c>
      <c r="C116" s="690">
        <f t="shared" si="525"/>
        <v>156</v>
      </c>
      <c r="D116" s="690">
        <f t="shared" si="525"/>
        <v>329</v>
      </c>
      <c r="E116" s="690">
        <f t="shared" si="525"/>
        <v>500</v>
      </c>
      <c r="F116" s="690">
        <f t="shared" si="525"/>
        <v>484.10000000000036</v>
      </c>
      <c r="G116" s="690">
        <f t="shared" si="525"/>
        <v>1469.1000000000004</v>
      </c>
      <c r="H116" s="690">
        <f t="shared" si="525"/>
        <v>31.899999999999636</v>
      </c>
      <c r="I116" s="690">
        <f t="shared" si="525"/>
        <v>156.79999999999927</v>
      </c>
      <c r="J116" s="690">
        <f t="shared" si="525"/>
        <v>312.20000000000073</v>
      </c>
      <c r="K116" s="690">
        <f t="shared" si="525"/>
        <v>556</v>
      </c>
      <c r="L116" s="690">
        <f t="shared" si="525"/>
        <v>1056.8999999999996</v>
      </c>
      <c r="M116" s="690">
        <f t="shared" si="525"/>
        <v>400</v>
      </c>
      <c r="N116" s="690">
        <f t="shared" si="525"/>
        <v>280</v>
      </c>
      <c r="O116" s="690">
        <f t="shared" si="525"/>
        <v>554</v>
      </c>
      <c r="P116" s="690">
        <f t="shared" si="525"/>
        <v>429</v>
      </c>
      <c r="Q116" s="690">
        <f t="shared" si="525"/>
        <v>1663</v>
      </c>
      <c r="R116" s="690">
        <f t="shared" si="525"/>
        <v>-1211</v>
      </c>
      <c r="S116" s="690">
        <f t="shared" si="525"/>
        <v>13</v>
      </c>
      <c r="T116" s="690">
        <f t="shared" si="525"/>
        <v>-64</v>
      </c>
      <c r="U116" s="690">
        <f t="shared" si="525"/>
        <v>43</v>
      </c>
      <c r="V116" s="690">
        <f t="shared" si="525"/>
        <v>-1219</v>
      </c>
      <c r="W116" s="690">
        <f t="shared" si="525"/>
        <v>530</v>
      </c>
      <c r="X116" s="690">
        <f t="shared" si="525"/>
        <v>345</v>
      </c>
      <c r="Y116" s="690">
        <f t="shared" si="525"/>
        <v>320</v>
      </c>
      <c r="Z116" s="690">
        <f t="shared" si="525"/>
        <v>161</v>
      </c>
      <c r="AA116" s="690">
        <f t="shared" si="525"/>
        <v>1356</v>
      </c>
      <c r="AB116" s="690">
        <f t="shared" si="525"/>
        <v>45</v>
      </c>
      <c r="AC116" s="690">
        <f t="shared" si="525"/>
        <v>-263</v>
      </c>
      <c r="AD116" s="690">
        <f t="shared" si="525"/>
        <v>-660</v>
      </c>
      <c r="AE116" s="690">
        <f t="shared" si="525"/>
        <v>-320</v>
      </c>
      <c r="AF116" s="690">
        <f t="shared" si="525"/>
        <v>-1198</v>
      </c>
      <c r="AG116" s="690">
        <f t="shared" si="525"/>
        <v>-291</v>
      </c>
      <c r="AH116" s="690">
        <f t="shared" ref="AH116:BF116" si="526">AH117-AH115</f>
        <v>-201</v>
      </c>
      <c r="AI116" s="690">
        <f t="shared" si="526"/>
        <v>14</v>
      </c>
      <c r="AJ116" s="690">
        <f t="shared" si="526"/>
        <v>498</v>
      </c>
      <c r="AK116" s="690">
        <f t="shared" si="526"/>
        <v>20</v>
      </c>
      <c r="AL116" s="690">
        <f t="shared" si="526"/>
        <v>347</v>
      </c>
      <c r="AM116" s="690">
        <f t="shared" si="526"/>
        <v>9</v>
      </c>
      <c r="AN116" s="690">
        <f t="shared" si="526"/>
        <v>-159</v>
      </c>
      <c r="AO116" s="690">
        <f t="shared" si="526"/>
        <v>-416</v>
      </c>
      <c r="AP116" s="690">
        <f t="shared" si="526"/>
        <v>-219</v>
      </c>
      <c r="AQ116" s="690">
        <f t="shared" si="526"/>
        <v>-384</v>
      </c>
      <c r="AR116" s="690">
        <f t="shared" si="526"/>
        <v>-61</v>
      </c>
      <c r="AS116" s="690">
        <f t="shared" si="526"/>
        <v>-203</v>
      </c>
      <c r="AT116" s="690">
        <f t="shared" si="526"/>
        <v>-768</v>
      </c>
      <c r="AU116" s="690">
        <f t="shared" si="526"/>
        <v>-768</v>
      </c>
      <c r="AV116" s="690">
        <f t="shared" si="526"/>
        <v>-306</v>
      </c>
      <c r="AW116" s="690">
        <f t="shared" si="526"/>
        <v>-125</v>
      </c>
      <c r="AX116" s="691">
        <f t="shared" si="526"/>
        <v>-391</v>
      </c>
      <c r="AY116" s="691">
        <f t="shared" si="526"/>
        <v>-176</v>
      </c>
      <c r="AZ116" s="690">
        <f t="shared" si="526"/>
        <v>-998</v>
      </c>
      <c r="BA116" s="690">
        <f t="shared" si="526"/>
        <v>-214</v>
      </c>
      <c r="BB116" s="690">
        <f t="shared" si="526"/>
        <v>21</v>
      </c>
      <c r="BC116" s="690">
        <f t="shared" si="526"/>
        <v>73</v>
      </c>
      <c r="BD116" s="690">
        <f t="shared" si="526"/>
        <v>-47</v>
      </c>
      <c r="BE116" s="690">
        <f t="shared" ref="BE116" si="527">BE117-BE115</f>
        <v>-167</v>
      </c>
      <c r="BF116" s="690">
        <f t="shared" si="526"/>
        <v>4</v>
      </c>
      <c r="BG116" s="690">
        <f t="shared" ref="BG116:CS116" si="528">BG117-BG115</f>
        <v>136</v>
      </c>
      <c r="BH116" s="690">
        <f t="shared" si="528"/>
        <v>141</v>
      </c>
      <c r="BI116" s="690">
        <f t="shared" si="528"/>
        <v>88</v>
      </c>
      <c r="BJ116" s="690">
        <f t="shared" si="528"/>
        <v>369</v>
      </c>
      <c r="BK116" s="690">
        <f t="shared" si="528"/>
        <v>91</v>
      </c>
      <c r="BL116" s="690">
        <f t="shared" si="528"/>
        <v>410</v>
      </c>
      <c r="BM116" s="690">
        <f t="shared" si="528"/>
        <v>-629</v>
      </c>
      <c r="BN116" s="690">
        <f t="shared" si="528"/>
        <v>130</v>
      </c>
      <c r="BO116" s="690">
        <f t="shared" si="528"/>
        <v>2</v>
      </c>
      <c r="BP116" s="690">
        <f t="shared" si="528"/>
        <v>239</v>
      </c>
      <c r="BQ116" s="690">
        <f t="shared" si="528"/>
        <v>122</v>
      </c>
      <c r="BR116" s="690">
        <f t="shared" si="528"/>
        <v>-52</v>
      </c>
      <c r="BS116" s="690">
        <f t="shared" si="528"/>
        <v>177</v>
      </c>
      <c r="BT116" s="690">
        <f t="shared" si="528"/>
        <v>486</v>
      </c>
      <c r="BU116" s="692">
        <f t="shared" si="528"/>
        <v>-202</v>
      </c>
      <c r="BV116" s="692">
        <f t="shared" si="528"/>
        <v>131</v>
      </c>
      <c r="BW116" s="692">
        <f t="shared" ref="BW116:BZ116" si="529">BW117-BW115</f>
        <v>119</v>
      </c>
      <c r="BX116" s="692">
        <f t="shared" si="529"/>
        <v>72</v>
      </c>
      <c r="BY116" s="690">
        <f t="shared" si="529"/>
        <v>120</v>
      </c>
      <c r="BZ116" s="692">
        <f t="shared" si="529"/>
        <v>51</v>
      </c>
      <c r="CA116" s="692">
        <f t="shared" ref="CA116:CB116" si="530">CA117-CA115</f>
        <v>-36</v>
      </c>
      <c r="CB116" s="692">
        <f t="shared" si="530"/>
        <v>257</v>
      </c>
      <c r="CC116" s="692">
        <f t="shared" ref="CC116:CD116" si="531">CC117-CC115</f>
        <v>501</v>
      </c>
      <c r="CD116" s="690">
        <f t="shared" si="531"/>
        <v>773</v>
      </c>
      <c r="CE116" s="692">
        <f t="shared" ref="CE116:CF116" si="532">CE117-CE115</f>
        <v>-81</v>
      </c>
      <c r="CF116" s="692">
        <f t="shared" si="532"/>
        <v>196</v>
      </c>
      <c r="CG116" s="692">
        <f t="shared" ref="CG116:CJ116" si="533">CG117-CG115</f>
        <v>111</v>
      </c>
      <c r="CH116" s="692">
        <f t="shared" si="533"/>
        <v>89</v>
      </c>
      <c r="CI116" s="690">
        <f t="shared" si="533"/>
        <v>315</v>
      </c>
      <c r="CJ116" s="692">
        <f t="shared" si="533"/>
        <v>289</v>
      </c>
      <c r="CK116" s="692">
        <f t="shared" ref="CK116:CL116" si="534">CK117-CK115</f>
        <v>133</v>
      </c>
      <c r="CL116" s="692">
        <f t="shared" si="534"/>
        <v>119</v>
      </c>
      <c r="CM116" s="692">
        <f t="shared" ref="CM116:CP116" si="535">CM117-CM115</f>
        <v>137</v>
      </c>
      <c r="CN116" s="690">
        <f t="shared" si="535"/>
        <v>678</v>
      </c>
      <c r="CO116" s="692">
        <f t="shared" si="535"/>
        <v>127</v>
      </c>
      <c r="CP116" s="692">
        <f t="shared" si="535"/>
        <v>-84</v>
      </c>
      <c r="CQ116" s="690">
        <f t="shared" si="528"/>
        <v>85.613584573438857</v>
      </c>
      <c r="CR116" s="690">
        <f t="shared" si="528"/>
        <v>159.15371898465492</v>
      </c>
      <c r="CS116" s="690">
        <f t="shared" si="528"/>
        <v>151.23934790317799</v>
      </c>
      <c r="CT116" s="690">
        <f t="shared" ref="CT116:CV116" si="536">CT117-CT115</f>
        <v>144.1172233053876</v>
      </c>
      <c r="CU116" s="690">
        <f t="shared" si="536"/>
        <v>137.71186777232288</v>
      </c>
      <c r="CV116" s="690">
        <f t="shared" si="536"/>
        <v>131.95501288913329</v>
      </c>
      <c r="CW116" s="690">
        <f t="shared" ref="CW116" si="537">CW117-CW115</f>
        <v>126.78491078972547</v>
      </c>
      <c r="CX116" s="159"/>
      <c r="CY116" s="159"/>
      <c r="CZ116" s="159"/>
      <c r="DA116" s="159"/>
      <c r="DB116" s="159"/>
      <c r="DC116" s="170"/>
      <c r="DD116" s="170"/>
      <c r="DE116" s="170"/>
      <c r="DF116" s="170"/>
    </row>
    <row r="117" spans="1:110">
      <c r="A117" s="235" t="s">
        <v>20</v>
      </c>
      <c r="B117" s="705">
        <v>9765</v>
      </c>
      <c r="C117" s="705">
        <v>9921</v>
      </c>
      <c r="D117" s="705">
        <v>10250</v>
      </c>
      <c r="E117" s="705">
        <v>10750</v>
      </c>
      <c r="F117" s="705">
        <f>G117</f>
        <v>11234.1</v>
      </c>
      <c r="G117" s="705">
        <v>11234.1</v>
      </c>
      <c r="H117" s="705">
        <v>11266</v>
      </c>
      <c r="I117" s="705">
        <v>11422.8</v>
      </c>
      <c r="J117" s="705">
        <v>11735</v>
      </c>
      <c r="K117" s="705">
        <v>12291</v>
      </c>
      <c r="L117" s="705">
        <v>12291</v>
      </c>
      <c r="M117" s="705">
        <v>12691</v>
      </c>
      <c r="N117" s="705">
        <v>12971</v>
      </c>
      <c r="O117" s="705">
        <v>13525</v>
      </c>
      <c r="P117" s="705">
        <v>13954</v>
      </c>
      <c r="Q117" s="705">
        <v>13954</v>
      </c>
      <c r="R117" s="705">
        <v>12743</v>
      </c>
      <c r="S117" s="705">
        <v>12756</v>
      </c>
      <c r="T117" s="705">
        <v>12692</v>
      </c>
      <c r="U117" s="705">
        <v>12735</v>
      </c>
      <c r="V117" s="705">
        <v>12735</v>
      </c>
      <c r="W117" s="705">
        <v>13265</v>
      </c>
      <c r="X117" s="705">
        <v>13610</v>
      </c>
      <c r="Y117" s="705">
        <v>13930</v>
      </c>
      <c r="Z117" s="705">
        <v>14091</v>
      </c>
      <c r="AA117" s="705">
        <v>14091</v>
      </c>
      <c r="AB117" s="705">
        <v>14136</v>
      </c>
      <c r="AC117" s="705">
        <v>13873</v>
      </c>
      <c r="AD117" s="705">
        <v>13213</v>
      </c>
      <c r="AE117" s="705">
        <v>12893</v>
      </c>
      <c r="AF117" s="705">
        <v>12893</v>
      </c>
      <c r="AG117" s="705">
        <v>12602</v>
      </c>
      <c r="AH117" s="705">
        <v>12401</v>
      </c>
      <c r="AI117" s="705">
        <v>12415</v>
      </c>
      <c r="AJ117" s="705">
        <v>12913</v>
      </c>
      <c r="AK117" s="705">
        <v>12913</v>
      </c>
      <c r="AL117" s="705">
        <v>13260</v>
      </c>
      <c r="AM117" s="705">
        <v>13269</v>
      </c>
      <c r="AN117" s="705">
        <v>13110</v>
      </c>
      <c r="AO117" s="705">
        <v>12694</v>
      </c>
      <c r="AP117" s="705">
        <v>12694</v>
      </c>
      <c r="AQ117" s="705">
        <v>12310</v>
      </c>
      <c r="AR117" s="705">
        <v>12249</v>
      </c>
      <c r="AS117" s="705">
        <v>12046</v>
      </c>
      <c r="AT117" s="705">
        <v>11926</v>
      </c>
      <c r="AU117" s="705">
        <f>AT117</f>
        <v>11926</v>
      </c>
      <c r="AV117" s="707">
        <f>AV104+AV110</f>
        <v>11620</v>
      </c>
      <c r="AW117" s="707">
        <f>AW104+AW110</f>
        <v>11495</v>
      </c>
      <c r="AX117" s="707">
        <f>AX104+AX110</f>
        <v>11104</v>
      </c>
      <c r="AY117" s="707">
        <f>AY104+AY110</f>
        <v>10928</v>
      </c>
      <c r="AZ117" s="705">
        <f>AY117</f>
        <v>10928</v>
      </c>
      <c r="BA117" s="707">
        <f>BA104+BA110</f>
        <v>10714</v>
      </c>
      <c r="BB117" s="707">
        <f>BB104+BB110</f>
        <v>10735</v>
      </c>
      <c r="BC117" s="707">
        <f>BC104+BC110</f>
        <v>10808</v>
      </c>
      <c r="BD117" s="707">
        <f>BD104+BD110</f>
        <v>10761</v>
      </c>
      <c r="BE117" s="708">
        <f>BD117</f>
        <v>10761</v>
      </c>
      <c r="BF117" s="707">
        <f>BF104+BF110</f>
        <v>10765</v>
      </c>
      <c r="BG117" s="707">
        <f>BG104+BG110</f>
        <v>10901</v>
      </c>
      <c r="BH117" s="707">
        <f>BH104+BH110</f>
        <v>11042</v>
      </c>
      <c r="BI117" s="707">
        <f>BI104+BI110</f>
        <v>11130</v>
      </c>
      <c r="BJ117" s="708">
        <f>BI117</f>
        <v>11130</v>
      </c>
      <c r="BK117" s="707">
        <f>BK104+BK110</f>
        <v>11221</v>
      </c>
      <c r="BL117" s="707">
        <f>BL104+BL110</f>
        <v>11631</v>
      </c>
      <c r="BM117" s="707">
        <f>BM104+BM110</f>
        <v>11002</v>
      </c>
      <c r="BN117" s="707">
        <f>BN104+BN110</f>
        <v>11132</v>
      </c>
      <c r="BO117" s="708">
        <f>BN117</f>
        <v>11132</v>
      </c>
      <c r="BP117" s="707">
        <f>BP104+BP110</f>
        <v>11371</v>
      </c>
      <c r="BQ117" s="707">
        <f>BQ104+BQ110</f>
        <v>11493</v>
      </c>
      <c r="BR117" s="707">
        <f>BR104+BR110</f>
        <v>11441</v>
      </c>
      <c r="BS117" s="707">
        <f>BS104+BS110</f>
        <v>11618</v>
      </c>
      <c r="BT117" s="708">
        <f>BS117</f>
        <v>11618</v>
      </c>
      <c r="BU117" s="707">
        <f>BU104+BU110</f>
        <v>11416</v>
      </c>
      <c r="BV117" s="707">
        <f>BV104+BV110</f>
        <v>11547</v>
      </c>
      <c r="BW117" s="707">
        <f>BW104+BW110</f>
        <v>11666</v>
      </c>
      <c r="BX117" s="707">
        <f>BX104+BX110</f>
        <v>11738</v>
      </c>
      <c r="BY117" s="708">
        <f>BX117</f>
        <v>11738</v>
      </c>
      <c r="BZ117" s="707">
        <f>BZ104+BZ110</f>
        <v>11789</v>
      </c>
      <c r="CA117" s="707">
        <f>CA104+CA110</f>
        <v>11753</v>
      </c>
      <c r="CB117" s="707">
        <f>CB104+CB110</f>
        <v>12010</v>
      </c>
      <c r="CC117" s="707">
        <f>CC104+CC110</f>
        <v>12511</v>
      </c>
      <c r="CD117" s="708">
        <f>CC117</f>
        <v>12511</v>
      </c>
      <c r="CE117" s="707">
        <f>CE104+CE110</f>
        <v>12430</v>
      </c>
      <c r="CF117" s="707">
        <f>CF104+CF110</f>
        <v>12626</v>
      </c>
      <c r="CG117" s="707">
        <f>CG104+CG110</f>
        <v>12737</v>
      </c>
      <c r="CH117" s="707">
        <f>CH104+CH110</f>
        <v>12826</v>
      </c>
      <c r="CI117" s="708">
        <f>CH117</f>
        <v>12826</v>
      </c>
      <c r="CJ117" s="707">
        <f>CJ104+CJ110</f>
        <v>13115</v>
      </c>
      <c r="CK117" s="707">
        <f>CK104+CK110</f>
        <v>13248</v>
      </c>
      <c r="CL117" s="707">
        <f>CL104+CL110</f>
        <v>13367</v>
      </c>
      <c r="CM117" s="707">
        <f>CM104+CM110</f>
        <v>13504</v>
      </c>
      <c r="CN117" s="708">
        <f>CM117</f>
        <v>13504</v>
      </c>
      <c r="CO117" s="707">
        <f>CO104+CO110</f>
        <v>13631</v>
      </c>
      <c r="CP117" s="707">
        <f>CP104+CP110</f>
        <v>13547</v>
      </c>
      <c r="CQ117" s="708">
        <f t="shared" ref="CQ117:CS117" si="538">CQ73</f>
        <v>13589.613584573439</v>
      </c>
      <c r="CR117" s="708">
        <f t="shared" si="538"/>
        <v>13748.767303558094</v>
      </c>
      <c r="CS117" s="708">
        <f t="shared" si="538"/>
        <v>13900.006651461272</v>
      </c>
      <c r="CT117" s="708">
        <f t="shared" ref="CT117:CV117" si="539">CT73</f>
        <v>14044.123874766659</v>
      </c>
      <c r="CU117" s="708">
        <f t="shared" si="539"/>
        <v>14181.835742538982</v>
      </c>
      <c r="CV117" s="708">
        <f t="shared" si="539"/>
        <v>14313.790755428116</v>
      </c>
      <c r="CW117" s="708">
        <f t="shared" ref="CW117" si="540">CW73</f>
        <v>14440.575666217841</v>
      </c>
      <c r="CX117" s="159"/>
      <c r="CY117" s="159" t="s">
        <v>614</v>
      </c>
      <c r="CZ117" s="159"/>
      <c r="DA117" s="159"/>
      <c r="DB117" s="159"/>
      <c r="DC117" s="170"/>
      <c r="DD117" s="170"/>
      <c r="DE117" s="170"/>
      <c r="DF117" s="170"/>
    </row>
    <row r="118" spans="1:110">
      <c r="A118" s="226" t="s">
        <v>21</v>
      </c>
      <c r="B118" s="690">
        <f t="shared" ref="B118:AT118" si="541">(B115+B117)/2</f>
        <v>7538.5</v>
      </c>
      <c r="C118" s="690">
        <f t="shared" si="541"/>
        <v>9843</v>
      </c>
      <c r="D118" s="690">
        <f t="shared" si="541"/>
        <v>10085.5</v>
      </c>
      <c r="E118" s="690">
        <f t="shared" si="541"/>
        <v>10500</v>
      </c>
      <c r="F118" s="690">
        <f t="shared" si="541"/>
        <v>10992.05</v>
      </c>
      <c r="G118" s="690">
        <f t="shared" si="541"/>
        <v>10499.55</v>
      </c>
      <c r="H118" s="690">
        <f t="shared" si="541"/>
        <v>11250.05</v>
      </c>
      <c r="I118" s="690">
        <f t="shared" si="541"/>
        <v>11344.4</v>
      </c>
      <c r="J118" s="690">
        <f t="shared" si="541"/>
        <v>11578.9</v>
      </c>
      <c r="K118" s="690">
        <f t="shared" si="541"/>
        <v>12013</v>
      </c>
      <c r="L118" s="690">
        <f t="shared" si="541"/>
        <v>11762.55</v>
      </c>
      <c r="M118" s="690">
        <f t="shared" si="541"/>
        <v>12491</v>
      </c>
      <c r="N118" s="690">
        <f t="shared" si="541"/>
        <v>12831</v>
      </c>
      <c r="O118" s="690">
        <f t="shared" si="541"/>
        <v>13248</v>
      </c>
      <c r="P118" s="690">
        <f t="shared" si="541"/>
        <v>13739.5</v>
      </c>
      <c r="Q118" s="690">
        <f t="shared" si="541"/>
        <v>13122.5</v>
      </c>
      <c r="R118" s="690">
        <f t="shared" si="541"/>
        <v>13348.5</v>
      </c>
      <c r="S118" s="690">
        <f t="shared" si="541"/>
        <v>12749.5</v>
      </c>
      <c r="T118" s="690">
        <f t="shared" si="541"/>
        <v>12724</v>
      </c>
      <c r="U118" s="690">
        <f t="shared" si="541"/>
        <v>12713.5</v>
      </c>
      <c r="V118" s="690">
        <f t="shared" si="541"/>
        <v>13344.5</v>
      </c>
      <c r="W118" s="690">
        <f t="shared" si="541"/>
        <v>13000</v>
      </c>
      <c r="X118" s="690">
        <f t="shared" si="541"/>
        <v>13437.5</v>
      </c>
      <c r="Y118" s="690">
        <f t="shared" si="541"/>
        <v>13770</v>
      </c>
      <c r="Z118" s="690">
        <f t="shared" si="541"/>
        <v>14010.5</v>
      </c>
      <c r="AA118" s="690">
        <f t="shared" si="541"/>
        <v>13413</v>
      </c>
      <c r="AB118" s="690">
        <f t="shared" si="541"/>
        <v>14113.5</v>
      </c>
      <c r="AC118" s="690">
        <f t="shared" si="541"/>
        <v>14004.5</v>
      </c>
      <c r="AD118" s="690">
        <f t="shared" si="541"/>
        <v>13543</v>
      </c>
      <c r="AE118" s="690">
        <f t="shared" si="541"/>
        <v>13053</v>
      </c>
      <c r="AF118" s="690">
        <f t="shared" si="541"/>
        <v>13492</v>
      </c>
      <c r="AG118" s="690">
        <f t="shared" si="541"/>
        <v>12747.5</v>
      </c>
      <c r="AH118" s="690">
        <f t="shared" si="541"/>
        <v>12501.5</v>
      </c>
      <c r="AI118" s="690">
        <f t="shared" si="541"/>
        <v>12408</v>
      </c>
      <c r="AJ118" s="690">
        <f t="shared" si="541"/>
        <v>12664</v>
      </c>
      <c r="AK118" s="690">
        <f t="shared" si="541"/>
        <v>12903</v>
      </c>
      <c r="AL118" s="690">
        <f t="shared" si="541"/>
        <v>13086.5</v>
      </c>
      <c r="AM118" s="690">
        <f t="shared" si="541"/>
        <v>13264.5</v>
      </c>
      <c r="AN118" s="690">
        <f t="shared" si="541"/>
        <v>13189.5</v>
      </c>
      <c r="AO118" s="690">
        <f t="shared" si="541"/>
        <v>12902</v>
      </c>
      <c r="AP118" s="690">
        <f t="shared" si="541"/>
        <v>12803.5</v>
      </c>
      <c r="AQ118" s="690">
        <f t="shared" si="541"/>
        <v>12502</v>
      </c>
      <c r="AR118" s="690">
        <f t="shared" si="541"/>
        <v>12279.5</v>
      </c>
      <c r="AS118" s="690">
        <f t="shared" si="541"/>
        <v>12147.5</v>
      </c>
      <c r="AT118" s="690">
        <f t="shared" si="541"/>
        <v>12310</v>
      </c>
      <c r="AU118" s="690">
        <f>(AP117+AU117)/2</f>
        <v>12310</v>
      </c>
      <c r="AV118" s="690">
        <f>(AV115+AV117)/2</f>
        <v>11773</v>
      </c>
      <c r="AW118" s="690">
        <f>(AW115+AW117)/2</f>
        <v>11557.5</v>
      </c>
      <c r="AX118" s="691">
        <f>(AX115+AX117)/2</f>
        <v>11299.5</v>
      </c>
      <c r="AY118" s="691">
        <f>(AY115+AY117)/2</f>
        <v>11016</v>
      </c>
      <c r="AZ118" s="690">
        <f>(AU117+AZ117)/2</f>
        <v>11427</v>
      </c>
      <c r="BA118" s="690">
        <f>(BA115+BA117)/2</f>
        <v>10821</v>
      </c>
      <c r="BB118" s="690">
        <f>(BB115+BB117)/2</f>
        <v>10724.5</v>
      </c>
      <c r="BC118" s="690">
        <f>(BC115+BC117)/2</f>
        <v>10771.5</v>
      </c>
      <c r="BD118" s="690">
        <f>(BD115+BD117)/2</f>
        <v>10784.5</v>
      </c>
      <c r="BE118" s="690">
        <f>(AZ117+BE117)/2</f>
        <v>10844.5</v>
      </c>
      <c r="BF118" s="690">
        <f>(BF115+BF117)/2</f>
        <v>10763</v>
      </c>
      <c r="BG118" s="690">
        <f>(BG115+BG117)/2</f>
        <v>10833</v>
      </c>
      <c r="BH118" s="690">
        <f>(BH115+BH117)/2</f>
        <v>10971.5</v>
      </c>
      <c r="BI118" s="690">
        <f>(BI115+BI117)/2</f>
        <v>11086</v>
      </c>
      <c r="BJ118" s="690">
        <f>(BE117+BJ117)/2</f>
        <v>10945.5</v>
      </c>
      <c r="BK118" s="690">
        <f>(BK115+BK117)/2</f>
        <v>11175.5</v>
      </c>
      <c r="BL118" s="690">
        <f>(BL115+BL117)/2</f>
        <v>11426</v>
      </c>
      <c r="BM118" s="690">
        <f>(BM115+BM117)/2</f>
        <v>11316.5</v>
      </c>
      <c r="BN118" s="690">
        <f>(BN115+BN117)/2</f>
        <v>11067</v>
      </c>
      <c r="BO118" s="690">
        <f>(BJ117+BO117)/2</f>
        <v>11131</v>
      </c>
      <c r="BP118" s="690">
        <f>(BP115+BP117)/2</f>
        <v>11251.5</v>
      </c>
      <c r="BQ118" s="690">
        <f>(BQ115+BQ117)/2</f>
        <v>11432</v>
      </c>
      <c r="BR118" s="690">
        <f>(BR115+BR117)/2</f>
        <v>11467</v>
      </c>
      <c r="BS118" s="690">
        <f>(BS115+BS117)/2</f>
        <v>11529.5</v>
      </c>
      <c r="BT118" s="690">
        <f>(BO117+BT117)/2</f>
        <v>11375</v>
      </c>
      <c r="BU118" s="692">
        <f>(BU115+BU117)/2</f>
        <v>11517</v>
      </c>
      <c r="BV118" s="692">
        <f>(BV115+BV117)/2</f>
        <v>11481.5</v>
      </c>
      <c r="BW118" s="692">
        <f>(BW115+BW117)/2</f>
        <v>11606.5</v>
      </c>
      <c r="BX118" s="692">
        <f>(BX115+BX117)/2</f>
        <v>11702</v>
      </c>
      <c r="BY118" s="690">
        <f>(BT117+BY117)/2</f>
        <v>11678</v>
      </c>
      <c r="BZ118" s="692">
        <f>(BZ115+BZ117)/2</f>
        <v>11763.5</v>
      </c>
      <c r="CA118" s="692">
        <f>(CA115+CA117)/2</f>
        <v>11771</v>
      </c>
      <c r="CB118" s="692">
        <f>(CB115+CB117)/2</f>
        <v>11881.5</v>
      </c>
      <c r="CC118" s="692">
        <f>(CC115+CC117)/2</f>
        <v>12260.5</v>
      </c>
      <c r="CD118" s="690">
        <f>(BY117+CD117)/2</f>
        <v>12124.5</v>
      </c>
      <c r="CE118" s="692">
        <f>(CE115+CE117)/2</f>
        <v>12470.5</v>
      </c>
      <c r="CF118" s="692">
        <f>(CF115+CF117)/2</f>
        <v>12528</v>
      </c>
      <c r="CG118" s="692">
        <f>(CG115+CG117)/2</f>
        <v>12681.5</v>
      </c>
      <c r="CH118" s="692">
        <f>(CH115+CH117)/2</f>
        <v>12781.5</v>
      </c>
      <c r="CI118" s="690">
        <f>(CD117+CI117)/2</f>
        <v>12668.5</v>
      </c>
      <c r="CJ118" s="692">
        <f>(CJ115+CJ117)/2</f>
        <v>12970.5</v>
      </c>
      <c r="CK118" s="692">
        <f>(CK115+CK117)/2</f>
        <v>13181.5</v>
      </c>
      <c r="CL118" s="692">
        <f>(CL115+CL117)/2</f>
        <v>13307.5</v>
      </c>
      <c r="CM118" s="692">
        <f>(CM115+CM117)/2</f>
        <v>13435.5</v>
      </c>
      <c r="CN118" s="690">
        <f>(CI117+CN117)/2</f>
        <v>13165</v>
      </c>
      <c r="CO118" s="692">
        <f>(CO115+CO117)/2</f>
        <v>13567.5</v>
      </c>
      <c r="CP118" s="692">
        <f>(CP115+CP117)/2</f>
        <v>13589</v>
      </c>
      <c r="CQ118" s="690">
        <f>(CN117+CQ117)/2</f>
        <v>13546.806792286719</v>
      </c>
      <c r="CR118" s="690">
        <f t="shared" ref="CR118:CS118" si="542">(CQ117+CR117)/2</f>
        <v>13669.190444065767</v>
      </c>
      <c r="CS118" s="690">
        <f t="shared" si="542"/>
        <v>13824.386977509683</v>
      </c>
      <c r="CT118" s="690">
        <f t="shared" ref="CT118" si="543">(CS117+CT117)/2</f>
        <v>13972.065263113966</v>
      </c>
      <c r="CU118" s="690">
        <f t="shared" ref="CU118" si="544">(CT117+CU117)/2</f>
        <v>14112.979808652821</v>
      </c>
      <c r="CV118" s="690">
        <f t="shared" ref="CV118:CW118" si="545">(CU117+CV117)/2</f>
        <v>14247.813248983548</v>
      </c>
      <c r="CW118" s="690">
        <f t="shared" si="545"/>
        <v>14377.183210822979</v>
      </c>
      <c r="CX118" s="159"/>
      <c r="CY118" s="159"/>
      <c r="CZ118" s="159"/>
      <c r="DA118" s="159"/>
      <c r="DB118" s="159"/>
      <c r="DC118" s="170"/>
      <c r="DD118" s="170"/>
      <c r="DE118" s="170"/>
      <c r="DF118" s="170"/>
    </row>
    <row r="119" spans="1:110">
      <c r="A119" s="159" t="s">
        <v>561</v>
      </c>
      <c r="B119" s="159"/>
      <c r="C119" s="159"/>
      <c r="D119" s="159"/>
      <c r="E119" s="159"/>
      <c r="F119" s="159"/>
      <c r="G119" s="236">
        <f t="shared" ref="G119:AY119" si="546">G117/B117-1</f>
        <v>0.15044546850998475</v>
      </c>
      <c r="H119" s="236">
        <f t="shared" si="546"/>
        <v>0.13557101098679558</v>
      </c>
      <c r="I119" s="236">
        <f t="shared" si="546"/>
        <v>0.11441951219512192</v>
      </c>
      <c r="J119" s="236">
        <f t="shared" si="546"/>
        <v>9.1627906976744278E-2</v>
      </c>
      <c r="K119" s="236">
        <f t="shared" si="546"/>
        <v>9.4079632547333425E-2</v>
      </c>
      <c r="L119" s="236">
        <f t="shared" si="546"/>
        <v>9.4079632547333425E-2</v>
      </c>
      <c r="M119" s="236">
        <f t="shared" si="546"/>
        <v>0.12648677436534705</v>
      </c>
      <c r="N119" s="236">
        <f t="shared" si="546"/>
        <v>0.13553594565255467</v>
      </c>
      <c r="O119" s="236">
        <f t="shared" si="546"/>
        <v>0.15253515125692374</v>
      </c>
      <c r="P119" s="236">
        <f t="shared" si="546"/>
        <v>0.13530225368155557</v>
      </c>
      <c r="Q119" s="236">
        <f t="shared" si="546"/>
        <v>0.13530225368155557</v>
      </c>
      <c r="R119" s="236">
        <f t="shared" si="546"/>
        <v>4.0973918524938036E-3</v>
      </c>
      <c r="S119" s="236">
        <f t="shared" si="546"/>
        <v>-1.6575437514455338E-2</v>
      </c>
      <c r="T119" s="236">
        <f t="shared" si="546"/>
        <v>-6.1589648798521246E-2</v>
      </c>
      <c r="U119" s="236">
        <f t="shared" si="546"/>
        <v>-8.7358463523004137E-2</v>
      </c>
      <c r="V119" s="236">
        <f t="shared" si="546"/>
        <v>-8.7358463523004137E-2</v>
      </c>
      <c r="W119" s="236">
        <f t="shared" si="546"/>
        <v>4.0963666326610637E-2</v>
      </c>
      <c r="X119" s="236">
        <f t="shared" si="546"/>
        <v>6.6948886798369411E-2</v>
      </c>
      <c r="Y119" s="236">
        <f t="shared" si="546"/>
        <v>9.7541758588086891E-2</v>
      </c>
      <c r="Z119" s="236">
        <f t="shared" si="546"/>
        <v>0.10647820965842159</v>
      </c>
      <c r="AA119" s="236">
        <f t="shared" si="546"/>
        <v>0.10647820965842159</v>
      </c>
      <c r="AB119" s="236">
        <f t="shared" si="546"/>
        <v>6.5661515265736936E-2</v>
      </c>
      <c r="AC119" s="236">
        <f t="shared" si="546"/>
        <v>1.9324026451138954E-2</v>
      </c>
      <c r="AD119" s="236">
        <f t="shared" si="546"/>
        <v>-5.1471643933955535E-2</v>
      </c>
      <c r="AE119" s="236">
        <f t="shared" si="546"/>
        <v>-8.5018806330281693E-2</v>
      </c>
      <c r="AF119" s="236">
        <f t="shared" si="546"/>
        <v>-8.5018806330281693E-2</v>
      </c>
      <c r="AG119" s="236">
        <f t="shared" si="546"/>
        <v>-0.10851726089417091</v>
      </c>
      <c r="AH119" s="236">
        <f t="shared" si="546"/>
        <v>-0.10610538455993657</v>
      </c>
      <c r="AI119" s="236">
        <f t="shared" si="546"/>
        <v>-6.0395065465829068E-2</v>
      </c>
      <c r="AJ119" s="236">
        <f t="shared" si="546"/>
        <v>1.55122934925922E-3</v>
      </c>
      <c r="AK119" s="236">
        <f t="shared" si="546"/>
        <v>1.55122934925922E-3</v>
      </c>
      <c r="AL119" s="236">
        <f t="shared" si="546"/>
        <v>5.2213934296143405E-2</v>
      </c>
      <c r="AM119" s="236">
        <f t="shared" si="546"/>
        <v>6.9994355293927946E-2</v>
      </c>
      <c r="AN119" s="236">
        <f t="shared" si="546"/>
        <v>5.5980668546113499E-2</v>
      </c>
      <c r="AO119" s="236">
        <f t="shared" si="546"/>
        <v>-1.6959653062804891E-2</v>
      </c>
      <c r="AP119" s="236">
        <f t="shared" si="546"/>
        <v>-1.6959653062804891E-2</v>
      </c>
      <c r="AQ119" s="236">
        <f t="shared" si="546"/>
        <v>-7.1644042232277494E-2</v>
      </c>
      <c r="AR119" s="236">
        <f t="shared" si="546"/>
        <v>-7.6870902102645244E-2</v>
      </c>
      <c r="AS119" s="236">
        <f t="shared" si="546"/>
        <v>-8.1159420289855122E-2</v>
      </c>
      <c r="AT119" s="236">
        <f t="shared" si="546"/>
        <v>-6.0501024105876766E-2</v>
      </c>
      <c r="AU119" s="236">
        <f t="shared" si="546"/>
        <v>-6.0501024105876766E-2</v>
      </c>
      <c r="AV119" s="236">
        <f t="shared" si="546"/>
        <v>-5.6051990251827832E-2</v>
      </c>
      <c r="AW119" s="236">
        <f t="shared" si="546"/>
        <v>-6.1556045391460534E-2</v>
      </c>
      <c r="AX119" s="236">
        <f t="shared" si="546"/>
        <v>-7.8200232442304451E-2</v>
      </c>
      <c r="AY119" s="236">
        <f t="shared" si="546"/>
        <v>-8.3682710045279274E-2</v>
      </c>
      <c r="AZ119" s="236">
        <f>AZ117/AQ117-1</f>
        <v>-0.11226645004061742</v>
      </c>
      <c r="BA119" s="236"/>
      <c r="BB119" s="236"/>
      <c r="BC119" s="236"/>
      <c r="BD119" s="236"/>
      <c r="BE119" s="236">
        <f>BE117/AZ117-1</f>
        <v>-1.5281844802342626E-2</v>
      </c>
      <c r="BF119" s="236"/>
      <c r="BG119" s="236"/>
      <c r="BH119" s="236"/>
      <c r="BI119" s="236"/>
      <c r="BJ119" s="236">
        <f>BJ117/BE117-1</f>
        <v>3.4290493448564163E-2</v>
      </c>
      <c r="BK119" s="236"/>
      <c r="BL119" s="236"/>
      <c r="BM119" s="236"/>
      <c r="BN119" s="236"/>
      <c r="BO119" s="236">
        <f>BO117/BJ117-1</f>
        <v>1.7969451931709735E-4</v>
      </c>
      <c r="BP119" s="236"/>
      <c r="BQ119" s="236"/>
      <c r="BR119" s="236"/>
      <c r="BS119" s="236"/>
      <c r="BT119" s="236">
        <f>BT117/BO117-1</f>
        <v>4.3657923104563512E-2</v>
      </c>
      <c r="BU119" s="237"/>
      <c r="BV119" s="237"/>
      <c r="BW119" s="237"/>
      <c r="BX119" s="237"/>
      <c r="BY119" s="236">
        <f>BY117/BT117-1</f>
        <v>1.0328800137717309E-2</v>
      </c>
      <c r="BZ119" s="237"/>
      <c r="CA119" s="237"/>
      <c r="CB119" s="237"/>
      <c r="CC119" s="237"/>
      <c r="CD119" s="236">
        <f>CD117/BY117-1</f>
        <v>6.5854489691600016E-2</v>
      </c>
      <c r="CE119" s="237"/>
      <c r="CF119" s="237"/>
      <c r="CG119" s="237"/>
      <c r="CH119" s="237"/>
      <c r="CI119" s="236">
        <f>CI117/CD117-1</f>
        <v>2.5177843497721897E-2</v>
      </c>
      <c r="CJ119" s="237"/>
      <c r="CK119" s="237"/>
      <c r="CL119" s="237"/>
      <c r="CM119" s="237"/>
      <c r="CN119" s="236">
        <f>CN117/CI117-1</f>
        <v>5.2861375331358262E-2</v>
      </c>
      <c r="CO119" s="237"/>
      <c r="CP119" s="237"/>
      <c r="CQ119" s="236">
        <f>CQ117/CN117-1</f>
        <v>6.3398685258766463E-3</v>
      </c>
      <c r="CR119" s="236">
        <f t="shared" ref="CR119:CS120" si="547">CR117/CQ117-1</f>
        <v>1.1711423433358181E-2</v>
      </c>
      <c r="CS119" s="236">
        <f t="shared" si="547"/>
        <v>1.1000211478161992E-2</v>
      </c>
      <c r="CT119" s="236">
        <f t="shared" ref="CT119:CV119" si="548">CT117/CS117-1</f>
        <v>1.0368140600151232E-2</v>
      </c>
      <c r="CU119" s="236">
        <f t="shared" si="548"/>
        <v>9.8056574408142971E-3</v>
      </c>
      <c r="CV119" s="236">
        <f t="shared" si="548"/>
        <v>9.3045086182552694E-3</v>
      </c>
      <c r="CW119" s="236">
        <f t="shared" ref="CW119" si="549">CW117/CV117-1</f>
        <v>8.857535572234454E-3</v>
      </c>
      <c r="CX119" s="159"/>
      <c r="CY119" s="159"/>
      <c r="CZ119" s="159"/>
      <c r="DA119" s="159"/>
      <c r="DB119" s="159"/>
      <c r="DC119" s="170"/>
      <c r="DD119" s="170"/>
      <c r="DE119" s="170"/>
      <c r="DF119" s="170"/>
    </row>
    <row r="120" spans="1:110">
      <c r="A120" s="159"/>
      <c r="B120" s="159"/>
      <c r="C120" s="159"/>
      <c r="D120" s="159"/>
      <c r="E120" s="159"/>
      <c r="F120" s="159"/>
      <c r="G120" s="159"/>
      <c r="H120" s="159"/>
      <c r="I120" s="159"/>
      <c r="J120" s="159"/>
      <c r="K120" s="159"/>
      <c r="L120" s="159"/>
      <c r="M120" s="159"/>
      <c r="N120" s="159"/>
      <c r="O120" s="159"/>
      <c r="P120" s="159"/>
      <c r="Q120" s="159"/>
      <c r="R120" s="159"/>
      <c r="S120" s="159"/>
      <c r="T120" s="159"/>
      <c r="U120" s="159"/>
      <c r="V120" s="159"/>
      <c r="W120" s="159"/>
      <c r="X120" s="159"/>
      <c r="Y120" s="159"/>
      <c r="Z120" s="159"/>
      <c r="AA120" s="159"/>
      <c r="AB120" s="159"/>
      <c r="AC120" s="159"/>
      <c r="AD120" s="159"/>
      <c r="AE120" s="159"/>
      <c r="AF120" s="224"/>
      <c r="AG120" s="224"/>
      <c r="AH120" s="224"/>
      <c r="AI120" s="224"/>
      <c r="AJ120" s="224"/>
      <c r="AK120" s="234"/>
      <c r="AL120" s="234"/>
      <c r="AM120" s="234"/>
      <c r="AN120" s="234"/>
      <c r="AO120" s="234"/>
      <c r="AP120" s="234"/>
      <c r="AQ120" s="234"/>
      <c r="AR120" s="234"/>
      <c r="AS120" s="234"/>
      <c r="AT120" s="234"/>
      <c r="AU120" s="234"/>
      <c r="AV120" s="234"/>
      <c r="AW120" s="234"/>
      <c r="AX120" s="234"/>
      <c r="AY120" s="234"/>
      <c r="AZ120" s="234"/>
      <c r="BA120" s="234"/>
      <c r="BB120" s="234"/>
      <c r="BC120" s="234"/>
      <c r="BD120" s="234"/>
      <c r="BE120" s="234"/>
      <c r="BF120" s="234"/>
      <c r="BG120" s="234"/>
      <c r="BH120" s="234"/>
      <c r="BI120" s="234"/>
      <c r="BJ120" s="234"/>
      <c r="BK120" s="234"/>
      <c r="BL120" s="234"/>
      <c r="BM120" s="234"/>
      <c r="BN120" s="234"/>
      <c r="BO120" s="234"/>
      <c r="BP120" s="234"/>
      <c r="BQ120" s="234"/>
      <c r="BR120" s="234"/>
      <c r="BS120" s="234"/>
      <c r="BT120" s="234"/>
      <c r="BU120" s="234"/>
      <c r="BV120" s="234"/>
      <c r="BW120" s="234"/>
      <c r="BX120" s="234"/>
      <c r="BY120" s="234"/>
      <c r="BZ120" s="234"/>
      <c r="CA120" s="234"/>
      <c r="CB120" s="234"/>
      <c r="CC120" s="234"/>
      <c r="CD120" s="236">
        <f>CD118/BY118-1</f>
        <v>3.8234286692926833E-2</v>
      </c>
      <c r="CE120" s="234"/>
      <c r="CF120" s="234"/>
      <c r="CG120" s="234"/>
      <c r="CH120" s="234"/>
      <c r="CI120" s="236">
        <f>CI118/CD118-1</f>
        <v>4.4867829601220599E-2</v>
      </c>
      <c r="CJ120" s="234"/>
      <c r="CK120" s="234"/>
      <c r="CL120" s="234"/>
      <c r="CM120" s="234"/>
      <c r="CN120" s="236">
        <f>CN118/CI118-1</f>
        <v>3.9191695938745719E-2</v>
      </c>
      <c r="CO120" s="234"/>
      <c r="CP120" s="234"/>
      <c r="CQ120" s="236">
        <f>CQ118/CN118-1</f>
        <v>2.9001655319917941E-2</v>
      </c>
      <c r="CR120" s="236">
        <f t="shared" si="547"/>
        <v>9.0341328148808575E-3</v>
      </c>
      <c r="CS120" s="236">
        <f t="shared" si="547"/>
        <v>1.1353747252185853E-2</v>
      </c>
      <c r="CT120" s="236">
        <f t="shared" ref="CT120:CV120" si="550">CT118/CS118-1</f>
        <v>1.0682447318968613E-2</v>
      </c>
      <c r="CU120" s="236">
        <f t="shared" si="550"/>
        <v>1.0085448563632804E-2</v>
      </c>
      <c r="CV120" s="236">
        <f t="shared" si="550"/>
        <v>9.5538604999674259E-3</v>
      </c>
      <c r="CW120" s="236">
        <f t="shared" ref="CW120" si="551">CW118/CV118-1</f>
        <v>9.0799871937303767E-3</v>
      </c>
      <c r="CX120" s="159"/>
      <c r="CY120" s="159"/>
      <c r="CZ120" s="159"/>
      <c r="DA120" s="159"/>
      <c r="DB120" s="159"/>
      <c r="DC120" s="170"/>
      <c r="DD120" s="170"/>
      <c r="DE120" s="170"/>
      <c r="DF120" s="170"/>
    </row>
    <row r="121" spans="1:110">
      <c r="A121" s="159"/>
      <c r="B121" s="159"/>
      <c r="C121" s="159"/>
      <c r="D121" s="159"/>
      <c r="E121" s="159"/>
      <c r="F121" s="159"/>
      <c r="G121" s="159"/>
      <c r="H121" s="159"/>
      <c r="I121" s="159"/>
      <c r="J121" s="159"/>
      <c r="K121" s="159"/>
      <c r="L121" s="159"/>
      <c r="M121" s="159"/>
      <c r="N121" s="159"/>
      <c r="O121" s="159"/>
      <c r="P121" s="159"/>
      <c r="Q121" s="159"/>
      <c r="R121" s="159"/>
      <c r="S121" s="159"/>
      <c r="T121" s="159"/>
      <c r="U121" s="159"/>
      <c r="V121" s="159"/>
      <c r="W121" s="159"/>
      <c r="X121" s="159"/>
      <c r="Y121" s="159"/>
      <c r="Z121" s="159"/>
      <c r="AA121" s="159"/>
      <c r="AB121" s="159"/>
      <c r="AC121" s="159"/>
      <c r="AD121" s="159"/>
      <c r="AE121" s="159"/>
      <c r="AF121" s="224"/>
      <c r="AG121" s="224"/>
      <c r="AH121" s="224"/>
      <c r="AI121" s="224"/>
      <c r="AJ121" s="224"/>
      <c r="AK121" s="234"/>
      <c r="AL121" s="234"/>
      <c r="AM121" s="234"/>
      <c r="AN121" s="234"/>
      <c r="AO121" s="234"/>
      <c r="AP121" s="234"/>
      <c r="AQ121" s="234"/>
      <c r="AR121" s="234"/>
      <c r="AS121" s="234"/>
      <c r="AT121" s="234"/>
      <c r="AU121" s="234"/>
      <c r="AV121" s="234"/>
      <c r="AW121" s="234"/>
      <c r="AX121" s="234"/>
      <c r="AY121" s="234"/>
      <c r="AZ121" s="234"/>
      <c r="BA121" s="234"/>
      <c r="BB121" s="234"/>
      <c r="BC121" s="234"/>
      <c r="BD121" s="234"/>
      <c r="BE121" s="234"/>
      <c r="BF121" s="234"/>
      <c r="BG121" s="234"/>
      <c r="BH121" s="234"/>
      <c r="BI121" s="234"/>
      <c r="BJ121" s="234"/>
      <c r="BK121" s="234"/>
      <c r="BL121" s="234"/>
      <c r="BM121" s="234"/>
      <c r="BN121" s="234"/>
      <c r="BO121" s="234"/>
      <c r="BP121" s="234"/>
      <c r="BQ121" s="234"/>
      <c r="BR121" s="234"/>
      <c r="BS121" s="234"/>
      <c r="BT121" s="234"/>
      <c r="BU121" s="234"/>
      <c r="BV121" s="234"/>
      <c r="BW121" s="234"/>
      <c r="BX121" s="234"/>
      <c r="BY121" s="234"/>
      <c r="BZ121" s="234"/>
      <c r="CA121" s="234"/>
      <c r="CB121" s="234"/>
      <c r="CC121" s="234"/>
      <c r="CD121" s="234"/>
      <c r="CE121" s="234"/>
      <c r="CF121" s="234"/>
      <c r="CG121" s="234"/>
      <c r="CH121" s="234"/>
      <c r="CI121" s="234"/>
      <c r="CJ121" s="234"/>
      <c r="CK121" s="234"/>
      <c r="CL121" s="234"/>
      <c r="CM121" s="234"/>
      <c r="CN121" s="234"/>
      <c r="CO121" s="234"/>
      <c r="CP121" s="234"/>
      <c r="CQ121" s="234"/>
      <c r="CR121" s="234"/>
      <c r="CS121" s="234"/>
      <c r="CT121" s="234"/>
      <c r="CU121" s="234"/>
      <c r="CV121" s="234"/>
      <c r="CW121" s="234"/>
      <c r="CX121" s="159"/>
      <c r="CY121" s="159"/>
      <c r="CZ121" s="159"/>
      <c r="DA121" s="159"/>
      <c r="DB121" s="159"/>
      <c r="DC121" s="170"/>
      <c r="DD121" s="170"/>
      <c r="DE121" s="170"/>
      <c r="DF121" s="170"/>
    </row>
    <row r="122" spans="1:110">
      <c r="A122" s="199" t="s">
        <v>29</v>
      </c>
      <c r="B122" s="199">
        <f>B87</f>
        <v>2007</v>
      </c>
      <c r="C122" s="199"/>
      <c r="D122" s="199"/>
      <c r="E122" s="199"/>
      <c r="F122" s="199"/>
      <c r="G122" s="199">
        <f>B122+1</f>
        <v>2008</v>
      </c>
      <c r="H122" s="199"/>
      <c r="I122" s="199"/>
      <c r="J122" s="199"/>
      <c r="K122" s="199"/>
      <c r="L122" s="199">
        <f>G122+1</f>
        <v>2009</v>
      </c>
      <c r="M122" s="199"/>
      <c r="N122" s="199"/>
      <c r="O122" s="199"/>
      <c r="P122" s="199"/>
      <c r="Q122" s="199">
        <f>L122+1</f>
        <v>2010</v>
      </c>
      <c r="R122" s="199"/>
      <c r="S122" s="199"/>
      <c r="T122" s="199"/>
      <c r="U122" s="199"/>
      <c r="V122" s="199">
        <f>Q122+1</f>
        <v>2011</v>
      </c>
      <c r="W122" s="199"/>
      <c r="X122" s="199"/>
      <c r="Y122" s="199"/>
      <c r="Z122" s="199"/>
      <c r="AA122" s="199">
        <f>V122+1</f>
        <v>2012</v>
      </c>
      <c r="AB122" s="199"/>
      <c r="AC122" s="199"/>
      <c r="AD122" s="199"/>
      <c r="AE122" s="199"/>
      <c r="AF122" s="199">
        <f>AA122+1</f>
        <v>2013</v>
      </c>
      <c r="AG122" s="199"/>
      <c r="AH122" s="199"/>
      <c r="AI122" s="199"/>
      <c r="AJ122" s="199"/>
      <c r="AK122" s="199">
        <f>AF122+1</f>
        <v>2014</v>
      </c>
      <c r="AL122" s="199"/>
      <c r="AM122" s="199"/>
      <c r="AN122" s="199"/>
      <c r="AO122" s="199"/>
      <c r="AP122" s="199">
        <f>AK122+1</f>
        <v>2015</v>
      </c>
      <c r="AQ122" s="199"/>
      <c r="AR122" s="199"/>
      <c r="AS122" s="199"/>
      <c r="AT122" s="199"/>
      <c r="AU122" s="199">
        <f>AP122+1</f>
        <v>2016</v>
      </c>
      <c r="AV122" s="199"/>
      <c r="AW122" s="199"/>
      <c r="AX122" s="199"/>
      <c r="AY122" s="199"/>
      <c r="AZ122" s="199">
        <f>AU122+1</f>
        <v>2017</v>
      </c>
      <c r="BA122" s="199"/>
      <c r="BB122" s="199"/>
      <c r="BC122" s="199"/>
      <c r="BD122" s="199"/>
      <c r="BE122" s="199">
        <f>AZ122+1</f>
        <v>2018</v>
      </c>
      <c r="BF122" s="199"/>
      <c r="BG122" s="199"/>
      <c r="BH122" s="199"/>
      <c r="BI122" s="199"/>
      <c r="BJ122" s="199">
        <f>BE122+1</f>
        <v>2019</v>
      </c>
      <c r="BK122" s="199"/>
      <c r="BL122" s="199"/>
      <c r="BM122" s="199"/>
      <c r="BN122" s="199"/>
      <c r="BO122" s="199">
        <f>BJ122+1</f>
        <v>2020</v>
      </c>
      <c r="BP122" s="199"/>
      <c r="BQ122" s="199"/>
      <c r="BR122" s="199"/>
      <c r="BS122" s="199"/>
      <c r="BT122" s="199">
        <f>BO122+1</f>
        <v>2021</v>
      </c>
      <c r="BU122" s="199"/>
      <c r="BV122" s="199"/>
      <c r="BW122" s="199"/>
      <c r="BX122" s="199"/>
      <c r="BY122" s="199">
        <f>BT122+1</f>
        <v>2022</v>
      </c>
      <c r="BZ122" s="199"/>
      <c r="CA122" s="199"/>
      <c r="CB122" s="199"/>
      <c r="CC122" s="199"/>
      <c r="CD122" s="199">
        <f>BY122+1</f>
        <v>2023</v>
      </c>
      <c r="CE122" s="199"/>
      <c r="CF122" s="199"/>
      <c r="CG122" s="199"/>
      <c r="CH122" s="199"/>
      <c r="CI122" s="199">
        <f>CD122+1</f>
        <v>2024</v>
      </c>
      <c r="CJ122" s="199"/>
      <c r="CK122" s="199"/>
      <c r="CL122" s="199"/>
      <c r="CM122" s="199"/>
      <c r="CN122" s="199">
        <f>CI122+1</f>
        <v>2025</v>
      </c>
      <c r="CO122" s="199"/>
      <c r="CP122" s="199"/>
      <c r="CQ122" s="199">
        <f>CN122+1</f>
        <v>2026</v>
      </c>
      <c r="CR122" s="199">
        <f t="shared" ref="CR122:CS122" si="552">CQ122+1</f>
        <v>2027</v>
      </c>
      <c r="CS122" s="199">
        <f t="shared" si="552"/>
        <v>2028</v>
      </c>
      <c r="CT122" s="199">
        <f t="shared" ref="CT122" si="553">CS122+1</f>
        <v>2029</v>
      </c>
      <c r="CU122" s="199">
        <f t="shared" ref="CU122" si="554">CT122+1</f>
        <v>2030</v>
      </c>
      <c r="CV122" s="199">
        <f t="shared" ref="CV122:CW122" si="555">CU122+1</f>
        <v>2031</v>
      </c>
      <c r="CW122" s="199">
        <f t="shared" si="555"/>
        <v>2032</v>
      </c>
      <c r="CX122" s="159"/>
      <c r="CY122" s="159"/>
      <c r="CZ122" s="159"/>
      <c r="DA122" s="159"/>
      <c r="DB122" s="159"/>
      <c r="DC122" s="170"/>
      <c r="DD122" s="170"/>
      <c r="DE122" s="170"/>
      <c r="DF122" s="170"/>
    </row>
    <row r="123" spans="1:110">
      <c r="A123" s="226" t="s">
        <v>248</v>
      </c>
      <c r="B123" s="709">
        <v>179</v>
      </c>
      <c r="C123" s="709">
        <v>177</v>
      </c>
      <c r="D123" s="709">
        <v>187</v>
      </c>
      <c r="E123" s="709">
        <v>186</v>
      </c>
      <c r="F123" s="709">
        <v>177</v>
      </c>
      <c r="G123" s="709">
        <v>184</v>
      </c>
      <c r="H123" s="709">
        <v>168</v>
      </c>
      <c r="I123" s="709">
        <v>175</v>
      </c>
      <c r="J123" s="709">
        <v>178</v>
      </c>
      <c r="K123" s="709">
        <v>181</v>
      </c>
      <c r="L123" s="709">
        <v>175.5</v>
      </c>
      <c r="M123" s="709">
        <v>173</v>
      </c>
      <c r="N123" s="709">
        <v>173</v>
      </c>
      <c r="O123" s="709">
        <v>172</v>
      </c>
      <c r="P123" s="709">
        <v>171</v>
      </c>
      <c r="Q123" s="709">
        <v>172.25</v>
      </c>
      <c r="R123" s="709">
        <v>180</v>
      </c>
      <c r="S123" s="709">
        <v>186</v>
      </c>
      <c r="T123" s="709">
        <v>185</v>
      </c>
      <c r="U123" s="709">
        <v>181</v>
      </c>
      <c r="V123" s="710">
        <v>183</v>
      </c>
      <c r="W123" s="710">
        <v>175</v>
      </c>
      <c r="X123" s="710">
        <v>175</v>
      </c>
      <c r="Y123" s="710">
        <v>160</v>
      </c>
      <c r="Z123" s="710">
        <v>165</v>
      </c>
      <c r="AA123" s="710">
        <v>171</v>
      </c>
      <c r="AB123" s="710">
        <v>160</v>
      </c>
      <c r="AC123" s="710">
        <v>156</v>
      </c>
      <c r="AD123" s="710">
        <v>153</v>
      </c>
      <c r="AE123" s="710">
        <v>155</v>
      </c>
      <c r="AF123" s="710">
        <v>156</v>
      </c>
      <c r="AG123" s="710">
        <v>154</v>
      </c>
      <c r="AH123" s="710">
        <v>161</v>
      </c>
      <c r="AI123" s="710">
        <v>165</v>
      </c>
      <c r="AJ123" s="710">
        <v>168</v>
      </c>
      <c r="AK123" s="714">
        <v>160.36799999999999</v>
      </c>
      <c r="AL123" s="714"/>
      <c r="AM123" s="714"/>
      <c r="AN123" s="714"/>
      <c r="AO123" s="714"/>
      <c r="AP123" s="714">
        <v>147.53855999999999</v>
      </c>
      <c r="AQ123" s="712"/>
      <c r="AR123" s="712"/>
      <c r="AS123" s="712"/>
      <c r="AT123" s="712"/>
      <c r="AU123" s="712">
        <f>AP123*(1+AU124)</f>
        <v>138.68624639999999</v>
      </c>
      <c r="AV123" s="712"/>
      <c r="AW123" s="712"/>
      <c r="AX123" s="712"/>
      <c r="AY123" s="712"/>
      <c r="AZ123" s="712">
        <f>AU123*(1+AZ124)</f>
        <v>134.52565900799999</v>
      </c>
      <c r="BA123" s="712"/>
      <c r="BB123" s="712"/>
      <c r="BC123" s="712"/>
      <c r="BD123" s="712"/>
      <c r="BE123" s="712">
        <f>AZ123*(1+BE124)</f>
        <v>127.79937605759999</v>
      </c>
      <c r="BF123" s="712"/>
      <c r="BG123" s="712"/>
      <c r="BH123" s="712"/>
      <c r="BI123" s="712"/>
      <c r="BJ123" s="712">
        <f>BE123*(1+BJ124)</f>
        <v>123.96539477587199</v>
      </c>
      <c r="BK123" s="712"/>
      <c r="BL123" s="712"/>
      <c r="BM123" s="712"/>
      <c r="BN123" s="712"/>
      <c r="BO123" s="712">
        <f>BJ123*(1+BO124)</f>
        <v>120.24643293259582</v>
      </c>
      <c r="BP123" s="712"/>
      <c r="BQ123" s="712"/>
      <c r="BR123" s="712"/>
      <c r="BS123" s="712"/>
      <c r="BT123" s="712">
        <f>BO123*(1+BT124)</f>
        <v>116.63903994461795</v>
      </c>
      <c r="BU123" s="713"/>
      <c r="BV123" s="713"/>
      <c r="BW123" s="713"/>
      <c r="BX123" s="713"/>
      <c r="BY123" s="712">
        <f>BT123*(1+BY124)</f>
        <v>113.1398687462794</v>
      </c>
      <c r="BZ123" s="713"/>
      <c r="CA123" s="713"/>
      <c r="CB123" s="713"/>
      <c r="CC123" s="713"/>
      <c r="CD123" s="712">
        <f>BY123*(1+CD124)</f>
        <v>109.74567268389102</v>
      </c>
      <c r="CE123" s="713"/>
      <c r="CF123" s="713"/>
      <c r="CG123" s="713"/>
      <c r="CH123" s="713"/>
      <c r="CI123" s="712">
        <f>CD123*(1+CI124)</f>
        <v>106.45330250337429</v>
      </c>
      <c r="CJ123" s="713"/>
      <c r="CK123" s="713"/>
      <c r="CL123" s="713"/>
      <c r="CM123" s="713"/>
      <c r="CN123" s="712">
        <f>CI123*(1+CN124)</f>
        <v>103.25970342827306</v>
      </c>
      <c r="CO123" s="713"/>
      <c r="CP123" s="713"/>
      <c r="CQ123" s="712">
        <f>CN123*(1+CQ124)</f>
        <v>101.1945093597076</v>
      </c>
      <c r="CR123" s="712">
        <f t="shared" ref="CR123:CS123" si="556">CQ123*(1+CR124)</f>
        <v>99.17061917251344</v>
      </c>
      <c r="CS123" s="712">
        <f t="shared" si="556"/>
        <v>97.187206789063168</v>
      </c>
      <c r="CT123" s="712">
        <f t="shared" ref="CT123" si="557">CS123*(1+CT124)</f>
        <v>95.24346265328191</v>
      </c>
      <c r="CU123" s="712">
        <f t="shared" ref="CU123" si="558">CT123*(1+CU124)</f>
        <v>93.338593400216268</v>
      </c>
      <c r="CV123" s="712">
        <f t="shared" ref="CV123:CW123" si="559">CU123*(1+CV124)</f>
        <v>91.471821532211948</v>
      </c>
      <c r="CW123" s="712">
        <f t="shared" si="559"/>
        <v>89.642385101567712</v>
      </c>
      <c r="CX123" s="159"/>
      <c r="CY123" s="159"/>
      <c r="CZ123" s="159"/>
      <c r="DA123" s="159"/>
      <c r="DB123" s="159"/>
      <c r="DC123" s="159"/>
      <c r="DD123" s="159"/>
    </row>
    <row r="124" spans="1:110">
      <c r="A124" s="226" t="s">
        <v>30</v>
      </c>
      <c r="B124" s="236"/>
      <c r="C124" s="236"/>
      <c r="D124" s="236"/>
      <c r="E124" s="236"/>
      <c r="F124" s="236"/>
      <c r="G124" s="236">
        <f>G123/B123-1</f>
        <v>2.7932960893854775E-2</v>
      </c>
      <c r="H124" s="236"/>
      <c r="I124" s="236"/>
      <c r="J124" s="236"/>
      <c r="K124" s="236"/>
      <c r="L124" s="236">
        <f t="shared" ref="L124:AK124" si="560">L123/G123-1</f>
        <v>-4.6195652173913082E-2</v>
      </c>
      <c r="M124" s="236">
        <f t="shared" si="560"/>
        <v>2.9761904761904656E-2</v>
      </c>
      <c r="N124" s="236">
        <f t="shared" si="560"/>
        <v>-1.1428571428571455E-2</v>
      </c>
      <c r="O124" s="236">
        <f t="shared" si="560"/>
        <v>-3.3707865168539297E-2</v>
      </c>
      <c r="P124" s="236">
        <f t="shared" si="560"/>
        <v>-5.5248618784530357E-2</v>
      </c>
      <c r="Q124" s="236">
        <f t="shared" si="560"/>
        <v>-1.851851851851849E-2</v>
      </c>
      <c r="R124" s="236">
        <f t="shared" si="560"/>
        <v>4.0462427745664664E-2</v>
      </c>
      <c r="S124" s="236">
        <f t="shared" si="560"/>
        <v>7.5144508670520249E-2</v>
      </c>
      <c r="T124" s="236">
        <f t="shared" si="560"/>
        <v>7.5581395348837122E-2</v>
      </c>
      <c r="U124" s="236">
        <f t="shared" si="560"/>
        <v>5.8479532163742798E-2</v>
      </c>
      <c r="V124" s="236">
        <f t="shared" si="560"/>
        <v>6.2409288824383236E-2</v>
      </c>
      <c r="W124" s="236">
        <f t="shared" si="560"/>
        <v>-2.777777777777779E-2</v>
      </c>
      <c r="X124" s="236">
        <f t="shared" si="560"/>
        <v>-5.9139784946236507E-2</v>
      </c>
      <c r="Y124" s="236">
        <f t="shared" si="560"/>
        <v>-0.13513513513513509</v>
      </c>
      <c r="Z124" s="236">
        <f t="shared" si="560"/>
        <v>-8.8397790055248615E-2</v>
      </c>
      <c r="AA124" s="236">
        <f t="shared" si="560"/>
        <v>-6.557377049180324E-2</v>
      </c>
      <c r="AB124" s="236">
        <f t="shared" si="560"/>
        <v>-8.5714285714285743E-2</v>
      </c>
      <c r="AC124" s="236">
        <f t="shared" si="560"/>
        <v>-0.10857142857142854</v>
      </c>
      <c r="AD124" s="236">
        <f t="shared" si="560"/>
        <v>-4.3749999999999956E-2</v>
      </c>
      <c r="AE124" s="236">
        <f t="shared" si="560"/>
        <v>-6.0606060606060552E-2</v>
      </c>
      <c r="AF124" s="236">
        <f t="shared" si="560"/>
        <v>-8.7719298245614086E-2</v>
      </c>
      <c r="AG124" s="236">
        <f t="shared" si="560"/>
        <v>-3.7499999999999978E-2</v>
      </c>
      <c r="AH124" s="236">
        <f t="shared" si="560"/>
        <v>3.2051282051282159E-2</v>
      </c>
      <c r="AI124" s="236">
        <f t="shared" si="560"/>
        <v>7.8431372549019551E-2</v>
      </c>
      <c r="AJ124" s="236">
        <f t="shared" si="560"/>
        <v>8.3870967741935587E-2</v>
      </c>
      <c r="AK124" s="236">
        <f t="shared" si="560"/>
        <v>2.8000000000000025E-2</v>
      </c>
      <c r="AL124" s="236"/>
      <c r="AM124" s="236"/>
      <c r="AN124" s="236"/>
      <c r="AO124" s="236"/>
      <c r="AP124" s="236">
        <f>AP123/AK123-1</f>
        <v>-8.0000000000000071E-2</v>
      </c>
      <c r="AQ124" s="236"/>
      <c r="AR124" s="236"/>
      <c r="AS124" s="236"/>
      <c r="AT124" s="236"/>
      <c r="AU124" s="228">
        <v>-0.06</v>
      </c>
      <c r="AV124" s="228"/>
      <c r="AW124" s="228"/>
      <c r="AX124" s="227"/>
      <c r="AY124" s="227"/>
      <c r="AZ124" s="228">
        <v>-0.03</v>
      </c>
      <c r="BA124" s="227"/>
      <c r="BB124" s="227"/>
      <c r="BC124" s="227"/>
      <c r="BD124" s="227"/>
      <c r="BE124" s="228">
        <v>-0.05</v>
      </c>
      <c r="BF124" s="227"/>
      <c r="BG124" s="227"/>
      <c r="BH124" s="227"/>
      <c r="BI124" s="227"/>
      <c r="BJ124" s="228">
        <v>-0.03</v>
      </c>
      <c r="BK124" s="227"/>
      <c r="BL124" s="227"/>
      <c r="BM124" s="227"/>
      <c r="BN124" s="227"/>
      <c r="BO124" s="228">
        <v>-0.03</v>
      </c>
      <c r="BP124" s="227"/>
      <c r="BQ124" s="227"/>
      <c r="BR124" s="227"/>
      <c r="BS124" s="227"/>
      <c r="BT124" s="228">
        <v>-0.03</v>
      </c>
      <c r="BU124" s="229"/>
      <c r="BV124" s="229"/>
      <c r="BW124" s="229"/>
      <c r="BX124" s="229"/>
      <c r="BY124" s="228">
        <v>-0.03</v>
      </c>
      <c r="BZ124" s="229"/>
      <c r="CA124" s="229"/>
      <c r="CB124" s="229"/>
      <c r="CC124" s="229"/>
      <c r="CD124" s="228">
        <f>BY124</f>
        <v>-0.03</v>
      </c>
      <c r="CE124" s="229"/>
      <c r="CF124" s="229"/>
      <c r="CG124" s="229"/>
      <c r="CH124" s="229"/>
      <c r="CI124" s="228">
        <f>CD124</f>
        <v>-0.03</v>
      </c>
      <c r="CJ124" s="229"/>
      <c r="CK124" s="229"/>
      <c r="CL124" s="229"/>
      <c r="CM124" s="229"/>
      <c r="CN124" s="228">
        <f>CI124</f>
        <v>-0.03</v>
      </c>
      <c r="CO124" s="229"/>
      <c r="CP124" s="229"/>
      <c r="CQ124" s="228">
        <v>-0.02</v>
      </c>
      <c r="CR124" s="228">
        <f>CQ124</f>
        <v>-0.02</v>
      </c>
      <c r="CS124" s="228">
        <f>CR124</f>
        <v>-0.02</v>
      </c>
      <c r="CT124" s="228">
        <f t="shared" ref="CT124:CV124" si="561">CS124</f>
        <v>-0.02</v>
      </c>
      <c r="CU124" s="228">
        <f t="shared" si="561"/>
        <v>-0.02</v>
      </c>
      <c r="CV124" s="228">
        <f t="shared" si="561"/>
        <v>-0.02</v>
      </c>
      <c r="CW124" s="228">
        <f t="shared" ref="CW124" si="562">CV124</f>
        <v>-0.02</v>
      </c>
      <c r="CX124" s="159"/>
      <c r="CY124" s="159"/>
      <c r="CZ124" s="159"/>
      <c r="DA124" s="159"/>
      <c r="DB124" s="159"/>
      <c r="DC124" s="159"/>
      <c r="DD124" s="159"/>
    </row>
    <row r="125" spans="1:110">
      <c r="A125" s="226" t="s">
        <v>31</v>
      </c>
      <c r="B125" s="693"/>
      <c r="C125" s="693"/>
      <c r="D125" s="693"/>
      <c r="E125" s="693"/>
      <c r="F125" s="693"/>
      <c r="G125" s="693">
        <v>23183.227200000001</v>
      </c>
      <c r="H125" s="693">
        <v>5670.0251999999991</v>
      </c>
      <c r="I125" s="693">
        <v>5955.81</v>
      </c>
      <c r="J125" s="693">
        <v>6183.1325999999999</v>
      </c>
      <c r="K125" s="693">
        <v>6523.0590000000002</v>
      </c>
      <c r="L125" s="693">
        <v>24771.930299999996</v>
      </c>
      <c r="M125" s="693">
        <v>6482.8289999999997</v>
      </c>
      <c r="N125" s="693">
        <v>6659.2889999999998</v>
      </c>
      <c r="O125" s="693">
        <v>6835.9679999999998</v>
      </c>
      <c r="P125" s="693">
        <v>7048.3635000000004</v>
      </c>
      <c r="Q125" s="693">
        <v>27124.2075</v>
      </c>
      <c r="R125" s="693">
        <v>7208.19</v>
      </c>
      <c r="S125" s="693">
        <v>7114.2209999999995</v>
      </c>
      <c r="T125" s="693">
        <v>7061.82</v>
      </c>
      <c r="U125" s="693">
        <v>6903.4305000000004</v>
      </c>
      <c r="V125" s="693">
        <v>29304.522000000001</v>
      </c>
      <c r="W125" s="693">
        <v>6894.5625</v>
      </c>
      <c r="X125" s="693">
        <v>7054.6875</v>
      </c>
      <c r="Y125" s="693">
        <v>6609.6</v>
      </c>
      <c r="Z125" s="693">
        <v>6935.1975000000002</v>
      </c>
      <c r="AA125" s="693">
        <v>27523.475999999999</v>
      </c>
      <c r="AB125" s="693">
        <v>6774.48</v>
      </c>
      <c r="AC125" s="693">
        <v>6554.1059999999998</v>
      </c>
      <c r="AD125" s="693">
        <v>6216.2370000000001</v>
      </c>
      <c r="AE125" s="693">
        <v>6069.6450000000004</v>
      </c>
      <c r="AF125" s="693">
        <v>25257.024000000001</v>
      </c>
      <c r="AG125" s="693">
        <v>5889.3450000000003</v>
      </c>
      <c r="AH125" s="693">
        <v>6038.2245000000003</v>
      </c>
      <c r="AI125" s="693">
        <v>6141.96</v>
      </c>
      <c r="AJ125" s="693">
        <v>6382.6559999999999</v>
      </c>
      <c r="AK125" s="693">
        <v>24830.739648000002</v>
      </c>
      <c r="AL125" s="693"/>
      <c r="AM125" s="693"/>
      <c r="AN125" s="693"/>
      <c r="AO125" s="693"/>
      <c r="AP125" s="693">
        <v>22668.119435520002</v>
      </c>
      <c r="AQ125" s="693"/>
      <c r="AR125" s="693"/>
      <c r="AS125" s="693"/>
      <c r="AT125" s="693"/>
      <c r="AU125" s="693">
        <f>(AU123*12*AU118/1000)</f>
        <v>20486.732318207996</v>
      </c>
      <c r="AV125" s="693"/>
      <c r="AW125" s="693"/>
      <c r="AX125" s="693"/>
      <c r="AY125" s="693"/>
      <c r="AZ125" s="693">
        <f>(AZ123*12*AZ118/1000)</f>
        <v>18446.696465812991</v>
      </c>
      <c r="BA125" s="693"/>
      <c r="BB125" s="693"/>
      <c r="BC125" s="693"/>
      <c r="BD125" s="693"/>
      <c r="BE125" s="693">
        <f>(BE123*12*BE118/1000)</f>
        <v>16631.044003879717</v>
      </c>
      <c r="BF125" s="693"/>
      <c r="BG125" s="693"/>
      <c r="BH125" s="693"/>
      <c r="BI125" s="693"/>
      <c r="BJ125" s="693">
        <f>(BJ123*12*BJ118/1000)</f>
        <v>16282.358742231681</v>
      </c>
      <c r="BK125" s="693"/>
      <c r="BL125" s="693"/>
      <c r="BM125" s="693"/>
      <c r="BN125" s="693"/>
      <c r="BO125" s="693">
        <f>(BO123*12*BO118/1000)</f>
        <v>16061.556539672689</v>
      </c>
      <c r="BP125" s="693"/>
      <c r="BQ125" s="693"/>
      <c r="BR125" s="693"/>
      <c r="BS125" s="693"/>
      <c r="BT125" s="693">
        <f>(BT123*12*BT118/1000)</f>
        <v>15921.228952440351</v>
      </c>
      <c r="BU125" s="693"/>
      <c r="BV125" s="693"/>
      <c r="BW125" s="693"/>
      <c r="BX125" s="693"/>
      <c r="BY125" s="693">
        <f>(BY123*12*BY118/1000)</f>
        <v>15854.968646628613</v>
      </c>
      <c r="BZ125" s="693"/>
      <c r="CA125" s="693"/>
      <c r="CB125" s="693"/>
      <c r="CC125" s="693"/>
      <c r="CD125" s="693">
        <f t="shared" ref="CD125:CS125" si="563">(CD123*12*CD118/1000)</f>
        <v>15967.336901470038</v>
      </c>
      <c r="CE125" s="693"/>
      <c r="CF125" s="693"/>
      <c r="CG125" s="693"/>
      <c r="CH125" s="693"/>
      <c r="CI125" s="693">
        <f t="shared" si="563"/>
        <v>16183.243953167967</v>
      </c>
      <c r="CJ125" s="693"/>
      <c r="CK125" s="693"/>
      <c r="CL125" s="693"/>
      <c r="CM125" s="693"/>
      <c r="CN125" s="693">
        <f t="shared" ref="CN125" si="564">(CN123*12*CN118/1000)</f>
        <v>16312.967947598578</v>
      </c>
      <c r="CO125" s="693"/>
      <c r="CP125" s="693"/>
      <c r="CQ125" s="693">
        <f t="shared" si="563"/>
        <v>16450.349600834506</v>
      </c>
      <c r="CR125" s="693">
        <f t="shared" si="563"/>
        <v>16266.984959100071</v>
      </c>
      <c r="CS125" s="693">
        <f t="shared" si="563"/>
        <v>16122.642670983187</v>
      </c>
      <c r="CT125" s="693">
        <f t="shared" ref="CT125:CV125" si="565">(CT123*12*CT118/1000)</f>
        <v>15968.974512919351</v>
      </c>
      <c r="CU125" s="693">
        <f t="shared" si="565"/>
        <v>15807.428208303692</v>
      </c>
      <c r="CV125" s="693">
        <f t="shared" si="565"/>
        <v>15639.281168823694</v>
      </c>
      <c r="CW125" s="693">
        <f t="shared" ref="CW125" si="566">(CW123*12*CW118/1000)</f>
        <v>15465.659928724648</v>
      </c>
      <c r="CX125" s="159"/>
      <c r="CY125" s="159"/>
      <c r="CZ125" s="159"/>
      <c r="DA125" s="159"/>
      <c r="DB125" s="159"/>
      <c r="DC125" s="159"/>
      <c r="DD125" s="159"/>
    </row>
    <row r="126" spans="1:110">
      <c r="A126" s="226" t="s">
        <v>259</v>
      </c>
      <c r="B126" s="712"/>
      <c r="C126" s="712"/>
      <c r="D126" s="712"/>
      <c r="E126" s="712"/>
      <c r="F126" s="712"/>
      <c r="G126" s="712">
        <f t="shared" ref="G126:AK126" si="567">G170/G123</f>
        <v>0.31847826086956521</v>
      </c>
      <c r="H126" s="712">
        <f t="shared" si="567"/>
        <v>0.33333333333333331</v>
      </c>
      <c r="I126" s="712">
        <f t="shared" si="567"/>
        <v>0.32</v>
      </c>
      <c r="J126" s="712">
        <f t="shared" si="567"/>
        <v>0.3146067415730337</v>
      </c>
      <c r="K126" s="712">
        <f t="shared" si="567"/>
        <v>0.30386740331491713</v>
      </c>
      <c r="L126" s="712">
        <f t="shared" si="567"/>
        <v>0.31766381766381768</v>
      </c>
      <c r="M126" s="712">
        <f t="shared" si="567"/>
        <v>0.30057803468208094</v>
      </c>
      <c r="N126" s="712">
        <f t="shared" si="567"/>
        <v>0.2947976878612717</v>
      </c>
      <c r="O126" s="712">
        <f t="shared" si="567"/>
        <v>0.28488372093023256</v>
      </c>
      <c r="P126" s="712">
        <f t="shared" si="567"/>
        <v>0.28654970760233917</v>
      </c>
      <c r="Q126" s="712">
        <f t="shared" si="567"/>
        <v>0.2960812772133527</v>
      </c>
      <c r="R126" s="712">
        <f t="shared" si="567"/>
        <v>0.2722222222222222</v>
      </c>
      <c r="S126" s="712">
        <f t="shared" si="567"/>
        <v>0.27419354838709675</v>
      </c>
      <c r="T126" s="712">
        <f t="shared" si="567"/>
        <v>0.29189189189189191</v>
      </c>
      <c r="U126" s="712">
        <f t="shared" si="567"/>
        <v>0.2983425414364641</v>
      </c>
      <c r="V126" s="712">
        <f t="shared" si="567"/>
        <v>0.28415300546448086</v>
      </c>
      <c r="W126" s="712">
        <f t="shared" si="567"/>
        <v>0.29714285714285715</v>
      </c>
      <c r="X126" s="712">
        <f t="shared" si="567"/>
        <v>0.29714285714285715</v>
      </c>
      <c r="Y126" s="712">
        <f t="shared" si="567"/>
        <v>0.3</v>
      </c>
      <c r="Z126" s="712">
        <f t="shared" si="567"/>
        <v>0.29090909090909089</v>
      </c>
      <c r="AA126" s="712">
        <f t="shared" si="567"/>
        <v>0.29518953201986553</v>
      </c>
      <c r="AB126" s="712">
        <f t="shared" si="567"/>
        <v>0.28749999999999998</v>
      </c>
      <c r="AC126" s="712">
        <f t="shared" si="567"/>
        <v>0.29487179487179488</v>
      </c>
      <c r="AD126" s="712">
        <f t="shared" si="567"/>
        <v>0.31372549019607843</v>
      </c>
      <c r="AE126" s="712">
        <f t="shared" si="567"/>
        <v>0.31612903225806449</v>
      </c>
      <c r="AF126" s="712">
        <f t="shared" si="567"/>
        <v>0.30681631375097879</v>
      </c>
      <c r="AG126" s="712">
        <f t="shared" si="567"/>
        <v>0.31168831168831168</v>
      </c>
      <c r="AH126" s="712">
        <f t="shared" si="567"/>
        <v>0.3105590062111801</v>
      </c>
      <c r="AI126" s="712">
        <f t="shared" si="567"/>
        <v>0.30303030303030304</v>
      </c>
      <c r="AJ126" s="712">
        <f t="shared" si="567"/>
        <v>0.29761904761904762</v>
      </c>
      <c r="AK126" s="712">
        <f t="shared" si="567"/>
        <v>0.30090384361956801</v>
      </c>
      <c r="AL126" s="712"/>
      <c r="AM126" s="712"/>
      <c r="AN126" s="712"/>
      <c r="AO126" s="712"/>
      <c r="AP126" s="712">
        <f>AP170/AP123</f>
        <v>0.33654785619515581</v>
      </c>
      <c r="AQ126" s="712"/>
      <c r="AR126" s="712"/>
      <c r="AS126" s="712"/>
      <c r="AT126" s="712"/>
      <c r="AU126" s="712">
        <f>AU170/AU123</f>
        <v>0.36232864688736721</v>
      </c>
      <c r="AV126" s="712"/>
      <c r="AW126" s="712"/>
      <c r="AX126" s="712"/>
      <c r="AY126" s="712"/>
      <c r="AZ126" s="712">
        <f>AZ170/AZ123</f>
        <v>0.38096821363240641</v>
      </c>
      <c r="BA126" s="712"/>
      <c r="BB126" s="712"/>
      <c r="BC126" s="712"/>
      <c r="BD126" s="712"/>
      <c r="BE126" s="712">
        <f>BE170/BE123</f>
        <v>0.41080012766523927</v>
      </c>
      <c r="BF126" s="712"/>
      <c r="BG126" s="712"/>
      <c r="BH126" s="712"/>
      <c r="BI126" s="712"/>
      <c r="BJ126" s="712">
        <f>BJ170/BJ123</f>
        <v>0.41140513521702904</v>
      </c>
      <c r="BK126" s="712"/>
      <c r="BL126" s="712"/>
      <c r="BM126" s="712"/>
      <c r="BN126" s="712"/>
      <c r="BO126" s="712">
        <f>BO170/BO123</f>
        <v>0.40125930410797761</v>
      </c>
      <c r="BP126" s="712"/>
      <c r="BQ126" s="712"/>
      <c r="BR126" s="712"/>
      <c r="BS126" s="712"/>
      <c r="BT126" s="712">
        <f>BT170/BT123</f>
        <v>0.40059486105326114</v>
      </c>
      <c r="BU126" s="713"/>
      <c r="BV126" s="713"/>
      <c r="BW126" s="713"/>
      <c r="BX126" s="713"/>
      <c r="BY126" s="712">
        <f>BY170/BY123</f>
        <v>0.41762466691524963</v>
      </c>
      <c r="BZ126" s="713"/>
      <c r="CA126" s="713"/>
      <c r="CB126" s="713"/>
      <c r="CC126" s="713"/>
      <c r="CD126" s="712">
        <f t="shared" ref="CD126:CS126" si="568">CD170/CD123</f>
        <v>0.42461810894563112</v>
      </c>
      <c r="CE126" s="713"/>
      <c r="CF126" s="713"/>
      <c r="CG126" s="713"/>
      <c r="CH126" s="713"/>
      <c r="CI126" s="712">
        <f t="shared" si="568"/>
        <v>0.41825851291545119</v>
      </c>
      <c r="CJ126" s="713"/>
      <c r="CK126" s="713"/>
      <c r="CL126" s="713"/>
      <c r="CM126" s="713"/>
      <c r="CN126" s="712">
        <f t="shared" ref="CN126" si="569">CN170/CN123</f>
        <v>0.4123099194215073</v>
      </c>
      <c r="CO126" s="713"/>
      <c r="CP126" s="713"/>
      <c r="CQ126" s="712">
        <f t="shared" si="568"/>
        <v>0.4192937501943787</v>
      </c>
      <c r="CR126" s="712">
        <f t="shared" si="568"/>
        <v>0.42892380390852536</v>
      </c>
      <c r="CS126" s="712">
        <f t="shared" si="568"/>
        <v>0.44019897849722917</v>
      </c>
      <c r="CT126" s="712">
        <f t="shared" ref="CT126:CV126" si="570">CT170/CT123</f>
        <v>0.4517826908421394</v>
      </c>
      <c r="CU126" s="712">
        <f t="shared" si="570"/>
        <v>0.46368357434431101</v>
      </c>
      <c r="CV126" s="712">
        <f t="shared" si="570"/>
        <v>0.47591050659514528</v>
      </c>
      <c r="CW126" s="712">
        <f t="shared" ref="CW126" si="571">CW170/CW123</f>
        <v>0.48847261626340566</v>
      </c>
      <c r="CX126" s="159"/>
      <c r="CY126" s="159"/>
      <c r="CZ126" s="159"/>
      <c r="DA126" s="159"/>
      <c r="DB126" s="159"/>
      <c r="DC126" s="159"/>
      <c r="DD126" s="159"/>
    </row>
    <row r="127" spans="1:110">
      <c r="A127" s="226" t="str">
        <f>A124</f>
        <v>YOY Change</v>
      </c>
      <c r="B127" s="236"/>
      <c r="C127" s="236"/>
      <c r="D127" s="236"/>
      <c r="E127" s="236"/>
      <c r="F127" s="236"/>
      <c r="G127" s="236" t="e">
        <f>G126/B126-1</f>
        <v>#DIV/0!</v>
      </c>
      <c r="H127" s="236"/>
      <c r="I127" s="236"/>
      <c r="J127" s="236" t="e">
        <f t="shared" ref="J127:AK127" si="572">J126/E126-1</f>
        <v>#DIV/0!</v>
      </c>
      <c r="K127" s="236" t="e">
        <f t="shared" si="572"/>
        <v>#DIV/0!</v>
      </c>
      <c r="L127" s="236">
        <f t="shared" si="572"/>
        <v>-2.5572960726543137E-3</v>
      </c>
      <c r="M127" s="236">
        <f t="shared" si="572"/>
        <v>-9.8265895953757121E-2</v>
      </c>
      <c r="N127" s="236">
        <f t="shared" si="572"/>
        <v>-7.8757225433525924E-2</v>
      </c>
      <c r="O127" s="236">
        <f t="shared" si="572"/>
        <v>-9.4476744186046457E-2</v>
      </c>
      <c r="P127" s="236">
        <f t="shared" si="572"/>
        <v>-5.6990962254120259E-2</v>
      </c>
      <c r="Q127" s="236">
        <f t="shared" si="572"/>
        <v>-6.7941450207293363E-2</v>
      </c>
      <c r="R127" s="236">
        <f t="shared" si="572"/>
        <v>-9.4337606837606947E-2</v>
      </c>
      <c r="S127" s="236">
        <f t="shared" si="572"/>
        <v>-6.989247311827973E-2</v>
      </c>
      <c r="T127" s="236">
        <f t="shared" si="572"/>
        <v>2.4600110314396018E-2</v>
      </c>
      <c r="U127" s="236">
        <f t="shared" si="572"/>
        <v>4.1154583380313525E-2</v>
      </c>
      <c r="V127" s="236">
        <f t="shared" si="572"/>
        <v>-4.0287153112611329E-2</v>
      </c>
      <c r="W127" s="236">
        <f t="shared" si="572"/>
        <v>9.1545189504373292E-2</v>
      </c>
      <c r="X127" s="236">
        <f t="shared" si="572"/>
        <v>8.3697478991596741E-2</v>
      </c>
      <c r="Y127" s="236">
        <f t="shared" si="572"/>
        <v>2.7777777777777679E-2</v>
      </c>
      <c r="Z127" s="236">
        <f t="shared" si="572"/>
        <v>-2.4915824915825002E-2</v>
      </c>
      <c r="AA127" s="236">
        <f t="shared" si="572"/>
        <v>3.8840083839142281E-2</v>
      </c>
      <c r="AB127" s="236">
        <f t="shared" si="572"/>
        <v>-3.2451923076923239E-2</v>
      </c>
      <c r="AC127" s="236">
        <f t="shared" si="572"/>
        <v>-7.642998027613368E-3</v>
      </c>
      <c r="AD127" s="236">
        <f t="shared" si="572"/>
        <v>4.5751633986928164E-2</v>
      </c>
      <c r="AE127" s="236">
        <f t="shared" si="572"/>
        <v>8.6693548387096753E-2</v>
      </c>
      <c r="AF127" s="236">
        <f t="shared" si="572"/>
        <v>3.9387513681653274E-2</v>
      </c>
      <c r="AG127" s="236">
        <f t="shared" si="572"/>
        <v>8.4133258046301673E-2</v>
      </c>
      <c r="AH127" s="236">
        <f t="shared" si="572"/>
        <v>5.3200108020523773E-2</v>
      </c>
      <c r="AI127" s="236">
        <f t="shared" si="572"/>
        <v>-3.4090909090909061E-2</v>
      </c>
      <c r="AJ127" s="236">
        <f t="shared" si="572"/>
        <v>-5.8551992225461591E-2</v>
      </c>
      <c r="AK127" s="236">
        <f t="shared" si="572"/>
        <v>-1.9270390348961386E-2</v>
      </c>
      <c r="AL127" s="236"/>
      <c r="AM127" s="236"/>
      <c r="AN127" s="236"/>
      <c r="AO127" s="236"/>
      <c r="AP127" s="236">
        <f>AP126/AK126-1</f>
        <v>0.11845648811536091</v>
      </c>
      <c r="AQ127" s="236"/>
      <c r="AR127" s="236"/>
      <c r="AS127" s="236"/>
      <c r="AT127" s="236"/>
      <c r="AU127" s="236">
        <f>AU126/AP126-1</f>
        <v>7.6603639624023501E-2</v>
      </c>
      <c r="AV127" s="236"/>
      <c r="AW127" s="236"/>
      <c r="AX127" s="236"/>
      <c r="AY127" s="236"/>
      <c r="AZ127" s="236">
        <f>AZ126/AU126-1</f>
        <v>5.1443811868492562E-2</v>
      </c>
      <c r="BA127" s="236"/>
      <c r="BB127" s="236"/>
      <c r="BC127" s="236"/>
      <c r="BD127" s="236"/>
      <c r="BE127" s="236">
        <f>BE126/AZ126-1</f>
        <v>7.8305519897304166E-2</v>
      </c>
      <c r="BF127" s="236"/>
      <c r="BG127" s="236"/>
      <c r="BH127" s="236"/>
      <c r="BI127" s="236"/>
      <c r="BJ127" s="236">
        <f>BJ126/BE126-1</f>
        <v>1.4727540500736325E-3</v>
      </c>
      <c r="BK127" s="236"/>
      <c r="BL127" s="236"/>
      <c r="BM127" s="236"/>
      <c r="BN127" s="236"/>
      <c r="BO127" s="236">
        <f>BO126/BJ126-1</f>
        <v>-2.4661410956134944E-2</v>
      </c>
      <c r="BP127" s="236"/>
      <c r="BQ127" s="236"/>
      <c r="BR127" s="236"/>
      <c r="BS127" s="236"/>
      <c r="BT127" s="236">
        <f>BT126/BO126-1</f>
        <v>-1.6558944500827399E-3</v>
      </c>
      <c r="BU127" s="237"/>
      <c r="BV127" s="237"/>
      <c r="BW127" s="237"/>
      <c r="BX127" s="237"/>
      <c r="BY127" s="236">
        <f>BY126/BT126-1</f>
        <v>4.2511293872350198E-2</v>
      </c>
      <c r="BZ127" s="237"/>
      <c r="CA127" s="237"/>
      <c r="CB127" s="237"/>
      <c r="CC127" s="237"/>
      <c r="CD127" s="236">
        <f>CD126/BY126-1</f>
        <v>1.6745759013800487E-2</v>
      </c>
      <c r="CE127" s="237"/>
      <c r="CF127" s="237"/>
      <c r="CG127" s="237"/>
      <c r="CH127" s="237"/>
      <c r="CI127" s="236">
        <f>CI126/CD126-1</f>
        <v>-1.4977213397637357E-2</v>
      </c>
      <c r="CJ127" s="237"/>
      <c r="CK127" s="237"/>
      <c r="CL127" s="237"/>
      <c r="CM127" s="237"/>
      <c r="CN127" s="236">
        <f>CN126/CI126-1</f>
        <v>-1.4222289111295083E-2</v>
      </c>
      <c r="CO127" s="237"/>
      <c r="CP127" s="237"/>
      <c r="CQ127" s="236">
        <f>CQ126/CN126-1</f>
        <v>1.6938304037579455E-2</v>
      </c>
      <c r="CR127" s="236">
        <f t="shared" ref="CR127:CS127" si="573">CR126/CQ126-1</f>
        <v>2.2967319950946807E-2</v>
      </c>
      <c r="CS127" s="236">
        <f t="shared" si="573"/>
        <v>2.6287127191263027E-2</v>
      </c>
      <c r="CT127" s="236">
        <f t="shared" ref="CT127" si="574">CT126/CS126-1</f>
        <v>2.6314718822054495E-2</v>
      </c>
      <c r="CU127" s="236">
        <f t="shared" ref="CU127" si="575">CU126/CT126-1</f>
        <v>2.6342052813019379E-2</v>
      </c>
      <c r="CV127" s="236">
        <f t="shared" ref="CV127:CW127" si="576">CV126/CU126-1</f>
        <v>2.6369129568853511E-2</v>
      </c>
      <c r="CW127" s="236">
        <f t="shared" si="576"/>
        <v>2.639594943623913E-2</v>
      </c>
      <c r="CX127" s="159"/>
      <c r="CY127" s="159"/>
      <c r="CZ127" s="159"/>
      <c r="DA127" s="159"/>
      <c r="DB127" s="159"/>
      <c r="DC127" s="159"/>
      <c r="DD127" s="159"/>
    </row>
    <row r="128" spans="1:110">
      <c r="A128" s="226"/>
      <c r="B128" s="236"/>
      <c r="C128" s="236"/>
      <c r="D128" s="236"/>
      <c r="E128" s="236"/>
      <c r="F128" s="236"/>
      <c r="G128" s="236"/>
      <c r="H128" s="236"/>
      <c r="I128" s="236"/>
      <c r="J128" s="236"/>
      <c r="K128" s="236"/>
      <c r="L128" s="236"/>
      <c r="M128" s="236"/>
      <c r="N128" s="236"/>
      <c r="O128" s="236"/>
      <c r="P128" s="236"/>
      <c r="Q128" s="236"/>
      <c r="R128" s="236"/>
      <c r="S128" s="236"/>
      <c r="T128" s="236"/>
      <c r="U128" s="236"/>
      <c r="V128" s="236"/>
      <c r="W128" s="236"/>
      <c r="X128" s="236"/>
      <c r="Y128" s="236"/>
      <c r="Z128" s="236"/>
      <c r="AA128" s="236"/>
      <c r="AB128" s="236"/>
      <c r="AC128" s="236"/>
      <c r="AD128" s="236"/>
      <c r="AE128" s="236"/>
      <c r="AF128" s="236"/>
      <c r="AG128" s="236"/>
      <c r="AH128" s="236"/>
      <c r="AI128" s="236"/>
      <c r="AJ128" s="236"/>
      <c r="AK128" s="236"/>
      <c r="AL128" s="236"/>
      <c r="AM128" s="236"/>
      <c r="AN128" s="236"/>
      <c r="AO128" s="236"/>
      <c r="AP128" s="236"/>
      <c r="AQ128" s="236"/>
      <c r="AR128" s="236"/>
      <c r="AS128" s="236"/>
      <c r="AT128" s="236"/>
      <c r="AU128" s="236"/>
      <c r="AV128" s="236"/>
      <c r="AW128" s="236"/>
      <c r="AX128" s="236"/>
      <c r="AY128" s="236"/>
      <c r="AZ128" s="236"/>
      <c r="BA128" s="236"/>
      <c r="BB128" s="236"/>
      <c r="BC128" s="236"/>
      <c r="BD128" s="236"/>
      <c r="BE128" s="236"/>
      <c r="BF128" s="236"/>
      <c r="BG128" s="236"/>
      <c r="BH128" s="236"/>
      <c r="BI128" s="236"/>
      <c r="BJ128" s="236"/>
      <c r="BK128" s="236"/>
      <c r="BL128" s="236"/>
      <c r="BM128" s="236"/>
      <c r="BN128" s="236"/>
      <c r="BO128" s="236"/>
      <c r="BP128" s="236"/>
      <c r="BQ128" s="236"/>
      <c r="BR128" s="236"/>
      <c r="BS128" s="236"/>
      <c r="BT128" s="236"/>
      <c r="BU128" s="237"/>
      <c r="BV128" s="237"/>
      <c r="BW128" s="237"/>
      <c r="BX128" s="237"/>
      <c r="BY128" s="236"/>
      <c r="BZ128" s="237"/>
      <c r="CA128" s="237"/>
      <c r="CB128" s="237"/>
      <c r="CC128" s="237"/>
      <c r="CD128" s="236"/>
      <c r="CE128" s="237"/>
      <c r="CF128" s="237"/>
      <c r="CG128" s="237"/>
      <c r="CH128" s="237"/>
      <c r="CI128" s="236"/>
      <c r="CJ128" s="237"/>
      <c r="CK128" s="237"/>
      <c r="CL128" s="237"/>
      <c r="CM128" s="237"/>
      <c r="CN128" s="236"/>
      <c r="CO128" s="237"/>
      <c r="CP128" s="237"/>
      <c r="CQ128" s="236"/>
      <c r="CR128" s="236"/>
      <c r="CS128" s="236"/>
      <c r="CT128" s="236"/>
      <c r="CU128" s="236"/>
      <c r="CV128" s="236"/>
      <c r="CW128" s="236"/>
      <c r="CX128" s="159"/>
      <c r="CY128" s="159"/>
      <c r="CZ128" s="159"/>
      <c r="DA128" s="159"/>
      <c r="DB128" s="159"/>
      <c r="DC128" s="159"/>
      <c r="DD128" s="159"/>
    </row>
    <row r="129" spans="1:108">
      <c r="A129" s="226" t="s">
        <v>260</v>
      </c>
      <c r="B129" s="236"/>
      <c r="C129" s="236"/>
      <c r="D129" s="236"/>
      <c r="E129" s="236"/>
      <c r="F129" s="238"/>
      <c r="G129" s="238"/>
      <c r="H129" s="238"/>
      <c r="I129" s="238"/>
      <c r="J129" s="238"/>
      <c r="K129" s="238"/>
      <c r="L129" s="238"/>
      <c r="M129" s="238"/>
      <c r="N129" s="238"/>
      <c r="O129" s="238"/>
      <c r="P129" s="238"/>
      <c r="Q129" s="238"/>
      <c r="R129" s="238"/>
      <c r="S129" s="238"/>
      <c r="T129" s="238"/>
      <c r="U129" s="238"/>
      <c r="V129" s="238"/>
      <c r="W129" s="238">
        <f t="shared" ref="W129:AK129" si="577">W177/W123</f>
        <v>0.24124614089250632</v>
      </c>
      <c r="X129" s="238">
        <f t="shared" si="577"/>
        <v>0.23702890094048193</v>
      </c>
      <c r="Y129" s="238">
        <f t="shared" si="577"/>
        <v>0.23915779283639882</v>
      </c>
      <c r="Z129" s="238">
        <f t="shared" si="577"/>
        <v>0.22751819473752208</v>
      </c>
      <c r="AA129" s="238">
        <f t="shared" si="577"/>
        <v>0.2377262785611243</v>
      </c>
      <c r="AB129" s="238">
        <f t="shared" si="577"/>
        <v>0.1781219748305905</v>
      </c>
      <c r="AC129" s="238">
        <f t="shared" si="577"/>
        <v>0.18152553537914665</v>
      </c>
      <c r="AD129" s="238">
        <f t="shared" si="577"/>
        <v>0.19426200514335426</v>
      </c>
      <c r="AE129" s="238">
        <f t="shared" si="577"/>
        <v>0.1941444600280505</v>
      </c>
      <c r="AF129" s="238">
        <f t="shared" si="577"/>
        <v>0.18513086497597331</v>
      </c>
      <c r="AG129" s="238">
        <f t="shared" si="577"/>
        <v>0.19247112334669941</v>
      </c>
      <c r="AH129" s="238">
        <f t="shared" si="577"/>
        <v>0.18808279455449478</v>
      </c>
      <c r="AI129" s="238">
        <f t="shared" si="577"/>
        <v>0.18265906755115388</v>
      </c>
      <c r="AJ129" s="238">
        <f t="shared" si="577"/>
        <v>0.17650546133946537</v>
      </c>
      <c r="AK129" s="238">
        <f t="shared" si="577"/>
        <v>0.18688045559360092</v>
      </c>
      <c r="AL129" s="238"/>
      <c r="AM129" s="238"/>
      <c r="AN129" s="238"/>
      <c r="AO129" s="238"/>
      <c r="AP129" s="238">
        <f>AP177/AP123</f>
        <v>0.1870748242364092</v>
      </c>
      <c r="AQ129" s="238"/>
      <c r="AR129" s="238"/>
      <c r="AS129" s="238"/>
      <c r="AT129" s="238"/>
      <c r="AU129" s="239">
        <f>AP129*(1+AU130)</f>
        <v>0.18146257950931691</v>
      </c>
      <c r="AV129" s="239"/>
      <c r="AW129" s="239"/>
      <c r="AX129" s="239"/>
      <c r="AY129" s="239"/>
      <c r="AZ129" s="239">
        <f>AU129*(1+AZ130)</f>
        <v>0.17601870212403739</v>
      </c>
      <c r="BA129" s="239"/>
      <c r="BB129" s="239"/>
      <c r="BC129" s="239"/>
      <c r="BD129" s="239"/>
      <c r="BE129" s="239">
        <f>AZ129*(1+BE130)</f>
        <v>0.1672177670178355</v>
      </c>
      <c r="BF129" s="239"/>
      <c r="BG129" s="239"/>
      <c r="BH129" s="239"/>
      <c r="BI129" s="239"/>
      <c r="BJ129" s="239">
        <f>BE129*(1+BJ130)</f>
        <v>0.16387341167747879</v>
      </c>
      <c r="BK129" s="239"/>
      <c r="BL129" s="239"/>
      <c r="BM129" s="239"/>
      <c r="BN129" s="239"/>
      <c r="BO129" s="239">
        <f>BJ129*(1+BO130)</f>
        <v>0.16059594344392922</v>
      </c>
      <c r="BP129" s="239"/>
      <c r="BQ129" s="239"/>
      <c r="BR129" s="239"/>
      <c r="BS129" s="239"/>
      <c r="BT129" s="239">
        <f>BO129*(1+BT130)</f>
        <v>0.15738402457505063</v>
      </c>
      <c r="BU129" s="240"/>
      <c r="BV129" s="240"/>
      <c r="BW129" s="240"/>
      <c r="BX129" s="240"/>
      <c r="BY129" s="239">
        <f>BT129*(1+BY130)</f>
        <v>0.15423634408354961</v>
      </c>
      <c r="BZ129" s="240"/>
      <c r="CA129" s="240"/>
      <c r="CB129" s="240"/>
      <c r="CC129" s="240"/>
      <c r="CD129" s="239">
        <f>BY129*(1+CD130)</f>
        <v>0.15115161720187861</v>
      </c>
      <c r="CE129" s="240"/>
      <c r="CF129" s="240"/>
      <c r="CG129" s="240"/>
      <c r="CH129" s="240"/>
      <c r="CI129" s="239">
        <f>CD129*(1+CI130)</f>
        <v>0.14812858485784103</v>
      </c>
      <c r="CJ129" s="240"/>
      <c r="CK129" s="240"/>
      <c r="CL129" s="240"/>
      <c r="CM129" s="240"/>
      <c r="CN129" s="239">
        <f>CI129*(1+CN130)</f>
        <v>0.1451660131606842</v>
      </c>
      <c r="CO129" s="240"/>
      <c r="CP129" s="240"/>
      <c r="CQ129" s="239">
        <f>CN129*(1+CQ130)</f>
        <v>0.14226269289747051</v>
      </c>
      <c r="CR129" s="239">
        <f t="shared" ref="CR129:CS129" si="578">CQ129*(1+CR130)</f>
        <v>0.13941743903952108</v>
      </c>
      <c r="CS129" s="239">
        <f t="shared" si="578"/>
        <v>0.13662909025873066</v>
      </c>
      <c r="CT129" s="239">
        <f t="shared" ref="CT129" si="579">CS129*(1+CT130)</f>
        <v>0.13389650845355605</v>
      </c>
      <c r="CU129" s="239">
        <f t="shared" ref="CU129" si="580">CT129*(1+CU130)</f>
        <v>0.13121857828448494</v>
      </c>
      <c r="CV129" s="239">
        <f t="shared" ref="CV129:CW129" si="581">CU129*(1+CV130)</f>
        <v>0.12859420671879523</v>
      </c>
      <c r="CW129" s="239">
        <f t="shared" si="581"/>
        <v>0.12602232258441934</v>
      </c>
      <c r="CX129" s="159"/>
      <c r="CY129" s="159"/>
      <c r="CZ129" s="159"/>
      <c r="DA129" s="159"/>
      <c r="DB129" s="159"/>
      <c r="DC129" s="159"/>
      <c r="DD129" s="159"/>
    </row>
    <row r="130" spans="1:108">
      <c r="A130" s="226" t="str">
        <f>A127</f>
        <v>YOY Change</v>
      </c>
      <c r="B130" s="236"/>
      <c r="C130" s="236"/>
      <c r="D130" s="236"/>
      <c r="E130" s="236"/>
      <c r="F130" s="236"/>
      <c r="G130" s="236"/>
      <c r="H130" s="236"/>
      <c r="I130" s="236"/>
      <c r="J130" s="236"/>
      <c r="K130" s="236"/>
      <c r="L130" s="236"/>
      <c r="M130" s="236"/>
      <c r="N130" s="236"/>
      <c r="O130" s="236"/>
      <c r="P130" s="236"/>
      <c r="Q130" s="236"/>
      <c r="R130" s="236"/>
      <c r="S130" s="236"/>
      <c r="T130" s="236"/>
      <c r="U130" s="236"/>
      <c r="V130" s="236"/>
      <c r="W130" s="236"/>
      <c r="X130" s="236"/>
      <c r="Y130" s="236"/>
      <c r="Z130" s="236"/>
      <c r="AA130" s="236"/>
      <c r="AB130" s="236">
        <f t="shared" ref="AB130:AK130" si="582">AB129/W129-1</f>
        <v>-0.26165875992206022</v>
      </c>
      <c r="AC130" s="236">
        <f t="shared" si="582"/>
        <v>-0.23416286090476457</v>
      </c>
      <c r="AD130" s="236">
        <f t="shared" si="582"/>
        <v>-0.18772454437124075</v>
      </c>
      <c r="AE130" s="236">
        <f t="shared" si="582"/>
        <v>-0.14668600349951533</v>
      </c>
      <c r="AF130" s="236">
        <f t="shared" si="582"/>
        <v>-0.22124358276036205</v>
      </c>
      <c r="AG130" s="236">
        <f t="shared" si="582"/>
        <v>8.0557991397502748E-2</v>
      </c>
      <c r="AH130" s="236">
        <f t="shared" si="582"/>
        <v>3.6123067543374576E-2</v>
      </c>
      <c r="AI130" s="236">
        <f t="shared" si="582"/>
        <v>-5.9728291096542874E-2</v>
      </c>
      <c r="AJ130" s="236">
        <f t="shared" si="582"/>
        <v>-9.0855019432625528E-2</v>
      </c>
      <c r="AK130" s="236">
        <f t="shared" si="582"/>
        <v>9.4505614601578802E-3</v>
      </c>
      <c r="AL130" s="236"/>
      <c r="AM130" s="236"/>
      <c r="AN130" s="236"/>
      <c r="AO130" s="236"/>
      <c r="AP130" s="236">
        <f>AP129/AK129-1</f>
        <v>1.0400693972565378E-3</v>
      </c>
      <c r="AQ130" s="236"/>
      <c r="AR130" s="236"/>
      <c r="AS130" s="236"/>
      <c r="AT130" s="236"/>
      <c r="AU130" s="241">
        <v>-0.03</v>
      </c>
      <c r="AV130" s="241"/>
      <c r="AW130" s="241"/>
      <c r="AX130" s="236"/>
      <c r="AY130" s="236"/>
      <c r="AZ130" s="241">
        <f>AU130</f>
        <v>-0.03</v>
      </c>
      <c r="BA130" s="236"/>
      <c r="BB130" s="236"/>
      <c r="BC130" s="236"/>
      <c r="BD130" s="236"/>
      <c r="BE130" s="241">
        <v>-0.05</v>
      </c>
      <c r="BF130" s="236"/>
      <c r="BG130" s="236"/>
      <c r="BH130" s="236"/>
      <c r="BI130" s="236"/>
      <c r="BJ130" s="241">
        <v>-0.02</v>
      </c>
      <c r="BK130" s="236"/>
      <c r="BL130" s="236"/>
      <c r="BM130" s="236"/>
      <c r="BN130" s="236"/>
      <c r="BO130" s="241">
        <v>-0.02</v>
      </c>
      <c r="BP130" s="236"/>
      <c r="BQ130" s="236"/>
      <c r="BR130" s="236"/>
      <c r="BS130" s="236"/>
      <c r="BT130" s="241">
        <v>-0.02</v>
      </c>
      <c r="BU130" s="237"/>
      <c r="BV130" s="237"/>
      <c r="BW130" s="237"/>
      <c r="BX130" s="237"/>
      <c r="BY130" s="241">
        <v>-0.02</v>
      </c>
      <c r="BZ130" s="237"/>
      <c r="CA130" s="237"/>
      <c r="CB130" s="237"/>
      <c r="CC130" s="237"/>
      <c r="CD130" s="241">
        <v>-0.02</v>
      </c>
      <c r="CE130" s="237"/>
      <c r="CF130" s="237"/>
      <c r="CG130" s="237"/>
      <c r="CH130" s="237"/>
      <c r="CI130" s="241">
        <v>-0.02</v>
      </c>
      <c r="CJ130" s="237"/>
      <c r="CK130" s="237"/>
      <c r="CL130" s="237"/>
      <c r="CM130" s="237"/>
      <c r="CN130" s="241">
        <v>-0.02</v>
      </c>
      <c r="CO130" s="237"/>
      <c r="CP130" s="237"/>
      <c r="CQ130" s="241">
        <v>-0.02</v>
      </c>
      <c r="CR130" s="241">
        <v>-0.02</v>
      </c>
      <c r="CS130" s="241">
        <v>-0.02</v>
      </c>
      <c r="CT130" s="241">
        <v>-0.02</v>
      </c>
      <c r="CU130" s="241">
        <v>-0.02</v>
      </c>
      <c r="CV130" s="241">
        <v>-0.02</v>
      </c>
      <c r="CW130" s="241">
        <v>-0.02</v>
      </c>
      <c r="CX130" s="159"/>
      <c r="CY130" s="159"/>
      <c r="CZ130" s="159"/>
      <c r="DA130" s="159"/>
      <c r="DB130" s="159"/>
      <c r="DC130" s="159"/>
      <c r="DD130" s="159"/>
    </row>
    <row r="131" spans="1:108">
      <c r="A131" s="235"/>
      <c r="B131" s="162"/>
      <c r="C131" s="162"/>
      <c r="D131" s="162"/>
      <c r="E131" s="162"/>
      <c r="F131" s="162"/>
      <c r="G131" s="162"/>
      <c r="H131" s="162"/>
      <c r="I131" s="162"/>
      <c r="J131" s="162"/>
      <c r="K131" s="162"/>
      <c r="L131" s="162"/>
      <c r="M131" s="162"/>
      <c r="N131" s="162"/>
      <c r="O131" s="162"/>
      <c r="P131" s="162"/>
      <c r="Q131" s="162"/>
      <c r="R131" s="162"/>
      <c r="S131" s="162"/>
      <c r="T131" s="162"/>
      <c r="U131" s="162"/>
      <c r="V131" s="162"/>
      <c r="W131" s="162"/>
      <c r="X131" s="162"/>
      <c r="Y131" s="162"/>
      <c r="Z131" s="162"/>
      <c r="AA131" s="162"/>
      <c r="AB131" s="162"/>
      <c r="AC131" s="162"/>
      <c r="AD131" s="162"/>
      <c r="AE131" s="162"/>
      <c r="AF131" s="162"/>
      <c r="AG131" s="162"/>
      <c r="AH131" s="162"/>
      <c r="AI131" s="162"/>
      <c r="AJ131" s="162"/>
      <c r="AK131" s="162"/>
      <c r="AL131" s="162"/>
      <c r="AM131" s="162"/>
      <c r="AN131" s="162"/>
      <c r="AO131" s="162"/>
      <c r="AP131" s="159"/>
      <c r="AQ131" s="159"/>
      <c r="AR131" s="159"/>
      <c r="AS131" s="159"/>
      <c r="AT131" s="159"/>
      <c r="AU131" s="159"/>
      <c r="AV131" s="159"/>
      <c r="AW131" s="159"/>
      <c r="AX131" s="159"/>
      <c r="AY131" s="159"/>
      <c r="AZ131" s="159"/>
      <c r="BA131" s="159"/>
      <c r="BB131" s="159"/>
      <c r="BC131" s="159"/>
      <c r="BD131" s="159"/>
      <c r="BE131" s="159"/>
      <c r="BF131" s="159"/>
      <c r="BG131" s="159"/>
      <c r="BH131" s="159"/>
      <c r="BI131" s="159"/>
      <c r="BJ131" s="159"/>
      <c r="BK131" s="159"/>
      <c r="BL131" s="159"/>
      <c r="BM131" s="159"/>
      <c r="BN131" s="159"/>
      <c r="BO131" s="159"/>
      <c r="BP131" s="159"/>
      <c r="BQ131" s="159"/>
      <c r="BR131" s="159"/>
      <c r="BS131" s="159"/>
      <c r="BT131" s="159"/>
      <c r="BU131" s="159"/>
      <c r="BV131" s="159"/>
      <c r="BW131" s="159"/>
      <c r="BX131" s="159"/>
      <c r="BY131" s="159"/>
      <c r="BZ131" s="159"/>
      <c r="CA131" s="159"/>
      <c r="CB131" s="159"/>
      <c r="CC131" s="159"/>
      <c r="CD131" s="159"/>
      <c r="CE131" s="159"/>
      <c r="CF131" s="159"/>
      <c r="CG131" s="159"/>
      <c r="CH131" s="159"/>
      <c r="CI131" s="159"/>
      <c r="CJ131" s="159"/>
      <c r="CK131" s="159"/>
      <c r="CL131" s="159"/>
      <c r="CM131" s="159"/>
      <c r="CN131" s="159"/>
      <c r="CO131" s="159"/>
      <c r="CP131" s="159"/>
      <c r="CQ131" s="159"/>
      <c r="CR131" s="159"/>
      <c r="CS131" s="159"/>
      <c r="CT131" s="159"/>
      <c r="CU131" s="159"/>
      <c r="CV131" s="159"/>
      <c r="CW131" s="159"/>
      <c r="CX131" s="159"/>
      <c r="CY131" s="159"/>
      <c r="CZ131" s="159"/>
      <c r="DA131" s="159"/>
      <c r="DB131" s="159"/>
      <c r="DC131" s="159"/>
      <c r="DD131" s="159"/>
    </row>
    <row r="132" spans="1:108">
      <c r="A132" s="235"/>
      <c r="B132" s="162"/>
      <c r="C132" s="162"/>
      <c r="D132" s="162"/>
      <c r="E132" s="162"/>
      <c r="F132" s="162"/>
      <c r="G132" s="162"/>
      <c r="H132" s="162"/>
      <c r="I132" s="162"/>
      <c r="J132" s="162"/>
      <c r="K132" s="162"/>
      <c r="L132" s="162"/>
      <c r="M132" s="162"/>
      <c r="N132" s="162"/>
      <c r="O132" s="162"/>
      <c r="P132" s="162"/>
      <c r="Q132" s="162"/>
      <c r="R132" s="162"/>
      <c r="S132" s="162"/>
      <c r="T132" s="162"/>
      <c r="U132" s="162"/>
      <c r="V132" s="162"/>
      <c r="W132" s="162"/>
      <c r="X132" s="162"/>
      <c r="Y132" s="162"/>
      <c r="Z132" s="162"/>
      <c r="AA132" s="162"/>
      <c r="AB132" s="162"/>
      <c r="AC132" s="162"/>
      <c r="AD132" s="162"/>
      <c r="AE132" s="162"/>
      <c r="AF132" s="162"/>
      <c r="AG132" s="162"/>
      <c r="AH132" s="162"/>
      <c r="AI132" s="162"/>
      <c r="AJ132" s="162"/>
      <c r="AK132" s="162"/>
      <c r="AL132" s="162"/>
      <c r="AM132" s="162"/>
      <c r="AN132" s="162"/>
      <c r="AO132" s="162"/>
      <c r="AP132" s="159"/>
      <c r="AQ132" s="159"/>
      <c r="AR132" s="159"/>
      <c r="AS132" s="159"/>
      <c r="AT132" s="159"/>
      <c r="AU132" s="159"/>
      <c r="AV132" s="159"/>
      <c r="AW132" s="159"/>
      <c r="AX132" s="159"/>
      <c r="AY132" s="159"/>
      <c r="AZ132" s="159"/>
      <c r="BA132" s="159"/>
      <c r="BB132" s="159"/>
      <c r="BC132" s="159"/>
      <c r="BD132" s="159"/>
      <c r="BE132" s="159"/>
      <c r="BF132" s="159"/>
      <c r="BG132" s="159"/>
      <c r="BH132" s="159"/>
      <c r="BI132" s="159"/>
      <c r="BJ132" s="159"/>
      <c r="BK132" s="159"/>
      <c r="BL132" s="159"/>
      <c r="BM132" s="159"/>
      <c r="BN132" s="159"/>
      <c r="BO132" s="159"/>
      <c r="BP132" s="159"/>
      <c r="BQ132" s="159"/>
      <c r="BR132" s="159"/>
      <c r="BS132" s="159"/>
      <c r="BT132" s="159"/>
      <c r="BU132" s="159"/>
      <c r="BV132" s="159"/>
      <c r="BW132" s="159"/>
      <c r="BX132" s="159"/>
      <c r="BY132" s="159"/>
      <c r="BZ132" s="159"/>
      <c r="CA132" s="159"/>
      <c r="CB132" s="159"/>
      <c r="CC132" s="159"/>
      <c r="CD132" s="159"/>
      <c r="CE132" s="159"/>
      <c r="CF132" s="159"/>
      <c r="CG132" s="159"/>
      <c r="CH132" s="159"/>
      <c r="CI132" s="159"/>
      <c r="CJ132" s="159"/>
      <c r="CK132" s="159"/>
      <c r="CL132" s="159"/>
      <c r="CM132" s="159"/>
      <c r="CN132" s="159"/>
      <c r="CO132" s="159"/>
      <c r="CP132" s="159"/>
      <c r="CQ132" s="159"/>
      <c r="CR132" s="159"/>
      <c r="CS132" s="159"/>
      <c r="CT132" s="159"/>
      <c r="CU132" s="159"/>
      <c r="CV132" s="159"/>
      <c r="CW132" s="159"/>
      <c r="CX132" s="159"/>
      <c r="CY132" s="159"/>
      <c r="CZ132" s="159"/>
      <c r="DA132" s="159"/>
      <c r="DB132" s="159"/>
      <c r="DC132" s="159"/>
      <c r="DD132" s="159"/>
    </row>
    <row r="133" spans="1:108">
      <c r="A133" s="199" t="s">
        <v>32</v>
      </c>
      <c r="B133" s="199">
        <f>B122</f>
        <v>2007</v>
      </c>
      <c r="C133" s="199"/>
      <c r="D133" s="199"/>
      <c r="E133" s="199"/>
      <c r="F133" s="199"/>
      <c r="G133" s="199">
        <f>B133+1</f>
        <v>2008</v>
      </c>
      <c r="H133" s="199"/>
      <c r="I133" s="199"/>
      <c r="J133" s="199"/>
      <c r="K133" s="199"/>
      <c r="L133" s="199">
        <f>G133+1</f>
        <v>2009</v>
      </c>
      <c r="M133" s="199"/>
      <c r="N133" s="199"/>
      <c r="O133" s="199"/>
      <c r="P133" s="199"/>
      <c r="Q133" s="199">
        <f>L133+1</f>
        <v>2010</v>
      </c>
      <c r="R133" s="199"/>
      <c r="S133" s="199"/>
      <c r="T133" s="199"/>
      <c r="U133" s="199"/>
      <c r="V133" s="199">
        <f>Q133+1</f>
        <v>2011</v>
      </c>
      <c r="W133" s="199"/>
      <c r="X133" s="199"/>
      <c r="Y133" s="199"/>
      <c r="Z133" s="199"/>
      <c r="AA133" s="199">
        <f>V133+1</f>
        <v>2012</v>
      </c>
      <c r="AB133" s="199"/>
      <c r="AC133" s="199"/>
      <c r="AD133" s="199"/>
      <c r="AE133" s="199"/>
      <c r="AF133" s="199">
        <f>AA133+1</f>
        <v>2013</v>
      </c>
      <c r="AG133" s="199"/>
      <c r="AH133" s="199"/>
      <c r="AI133" s="199"/>
      <c r="AJ133" s="199"/>
      <c r="AK133" s="199">
        <f>AF133+1</f>
        <v>2014</v>
      </c>
      <c r="AL133" s="199"/>
      <c r="AM133" s="199"/>
      <c r="AN133" s="199"/>
      <c r="AO133" s="199"/>
      <c r="AP133" s="199">
        <f>AK133+1</f>
        <v>2015</v>
      </c>
      <c r="AQ133" s="199"/>
      <c r="AR133" s="199"/>
      <c r="AS133" s="199"/>
      <c r="AT133" s="199"/>
      <c r="AU133" s="199">
        <f>AP133+1</f>
        <v>2016</v>
      </c>
      <c r="AV133" s="199"/>
      <c r="AW133" s="199"/>
      <c r="AX133" s="199"/>
      <c r="AY133" s="199"/>
      <c r="AZ133" s="199">
        <f>AU133+1</f>
        <v>2017</v>
      </c>
      <c r="BA133" s="199"/>
      <c r="BB133" s="199"/>
      <c r="BC133" s="199"/>
      <c r="BD133" s="199"/>
      <c r="BE133" s="199">
        <f>AZ133+1</f>
        <v>2018</v>
      </c>
      <c r="BF133" s="199"/>
      <c r="BG133" s="199"/>
      <c r="BH133" s="199"/>
      <c r="BI133" s="199"/>
      <c r="BJ133" s="199">
        <f>BE133+1</f>
        <v>2019</v>
      </c>
      <c r="BK133" s="199"/>
      <c r="BL133" s="199"/>
      <c r="BM133" s="199"/>
      <c r="BN133" s="199"/>
      <c r="BO133" s="199">
        <f>BJ133+1</f>
        <v>2020</v>
      </c>
      <c r="BP133" s="199"/>
      <c r="BQ133" s="199"/>
      <c r="BR133" s="199"/>
      <c r="BS133" s="199"/>
      <c r="BT133" s="199">
        <f>BO133+1</f>
        <v>2021</v>
      </c>
      <c r="BU133" s="199"/>
      <c r="BV133" s="199"/>
      <c r="BW133" s="199"/>
      <c r="BX133" s="199"/>
      <c r="BY133" s="199">
        <f>BT133+1</f>
        <v>2022</v>
      </c>
      <c r="BZ133" s="199"/>
      <c r="CA133" s="199"/>
      <c r="CB133" s="199"/>
      <c r="CC133" s="199"/>
      <c r="CD133" s="199">
        <f>BY133+1</f>
        <v>2023</v>
      </c>
      <c r="CE133" s="199"/>
      <c r="CF133" s="199"/>
      <c r="CG133" s="199"/>
      <c r="CH133" s="199"/>
      <c r="CI133" s="199">
        <f>CD133+1</f>
        <v>2024</v>
      </c>
      <c r="CJ133" s="199"/>
      <c r="CK133" s="199"/>
      <c r="CL133" s="199"/>
      <c r="CM133" s="199"/>
      <c r="CN133" s="199">
        <f>CI133+1</f>
        <v>2025</v>
      </c>
      <c r="CO133" s="199"/>
      <c r="CP133" s="199"/>
      <c r="CQ133" s="199">
        <f>CN133+1</f>
        <v>2026</v>
      </c>
      <c r="CR133" s="199">
        <f t="shared" ref="CR133:CS133" si="583">CQ133+1</f>
        <v>2027</v>
      </c>
      <c r="CS133" s="199">
        <f t="shared" si="583"/>
        <v>2028</v>
      </c>
      <c r="CT133" s="199">
        <f t="shared" ref="CT133" si="584">CS133+1</f>
        <v>2029</v>
      </c>
      <c r="CU133" s="199">
        <f t="shared" ref="CU133" si="585">CT133+1</f>
        <v>2030</v>
      </c>
      <c r="CV133" s="199">
        <f t="shared" ref="CV133:CW133" si="586">CU133+1</f>
        <v>2031</v>
      </c>
      <c r="CW133" s="199">
        <f t="shared" si="586"/>
        <v>2032</v>
      </c>
      <c r="CX133" s="159"/>
      <c r="CY133" s="159"/>
      <c r="CZ133" s="159"/>
      <c r="DA133" s="159"/>
      <c r="DB133" s="159"/>
      <c r="DC133" s="159"/>
      <c r="DD133" s="159"/>
    </row>
    <row r="134" spans="1:108">
      <c r="A134" s="235" t="s">
        <v>33</v>
      </c>
      <c r="B134" s="242">
        <v>0.14400000000000002</v>
      </c>
      <c r="C134" s="242"/>
      <c r="D134" s="242"/>
      <c r="E134" s="242">
        <v>0.14399999999999999</v>
      </c>
      <c r="F134" s="242"/>
      <c r="G134" s="242">
        <v>0.14399999999999999</v>
      </c>
      <c r="H134" s="242"/>
      <c r="I134" s="242"/>
      <c r="J134" s="242"/>
      <c r="K134" s="242"/>
      <c r="L134" s="242">
        <v>0.14687999999999998</v>
      </c>
      <c r="M134" s="242"/>
      <c r="N134" s="242"/>
      <c r="O134" s="242"/>
      <c r="P134" s="242"/>
      <c r="Q134" s="242">
        <v>0.1498176</v>
      </c>
      <c r="R134" s="242"/>
      <c r="S134" s="242"/>
      <c r="T134" s="242"/>
      <c r="U134" s="242"/>
      <c r="V134" s="242">
        <v>0.152813952</v>
      </c>
      <c r="W134" s="242"/>
      <c r="X134" s="242"/>
      <c r="Y134" s="242"/>
      <c r="Z134" s="242"/>
      <c r="AA134" s="242">
        <v>0.15587023104</v>
      </c>
      <c r="AB134" s="242"/>
      <c r="AC134" s="242"/>
      <c r="AD134" s="242"/>
      <c r="AE134" s="242"/>
      <c r="AF134" s="242">
        <v>0.15898763566080001</v>
      </c>
      <c r="AG134" s="242"/>
      <c r="AH134" s="242"/>
      <c r="AI134" s="242"/>
      <c r="AJ134" s="242"/>
      <c r="AK134" s="242">
        <v>0.16216738837401601</v>
      </c>
      <c r="AL134" s="242"/>
      <c r="AM134" s="242"/>
      <c r="AN134" s="242"/>
      <c r="AO134" s="242"/>
      <c r="AP134" s="242">
        <v>0.16541073614149635</v>
      </c>
      <c r="AQ134" s="242"/>
      <c r="AR134" s="242"/>
      <c r="AS134" s="242"/>
      <c r="AT134" s="191"/>
      <c r="AU134" s="242">
        <f>AP134+0.5%</f>
        <v>0.17041073614149635</v>
      </c>
      <c r="AV134" s="242"/>
      <c r="AW134" s="242"/>
      <c r="AX134" s="191"/>
      <c r="AY134" s="191"/>
      <c r="AZ134" s="242">
        <f>AU134+0.4%</f>
        <v>0.17441073614149635</v>
      </c>
      <c r="BA134" s="191"/>
      <c r="BB134" s="191"/>
      <c r="BC134" s="191"/>
      <c r="BD134" s="191"/>
      <c r="BE134" s="242">
        <f>AZ134+0.4%</f>
        <v>0.17841073614149636</v>
      </c>
      <c r="BF134" s="191"/>
      <c r="BG134" s="191"/>
      <c r="BH134" s="191"/>
      <c r="BI134" s="191"/>
      <c r="BJ134" s="242">
        <v>0.17</v>
      </c>
      <c r="BK134" s="191"/>
      <c r="BL134" s="191"/>
      <c r="BM134" s="191"/>
      <c r="BN134" s="191"/>
      <c r="BO134" s="242">
        <v>0.17</v>
      </c>
      <c r="BP134" s="191"/>
      <c r="BQ134" s="191"/>
      <c r="BR134" s="191"/>
      <c r="BS134" s="191"/>
      <c r="BT134" s="242">
        <v>0.17</v>
      </c>
      <c r="BU134" s="191"/>
      <c r="BV134" s="191"/>
      <c r="BW134" s="191"/>
      <c r="BX134" s="191"/>
      <c r="BY134" s="242">
        <v>0.17</v>
      </c>
      <c r="BZ134" s="191"/>
      <c r="CA134" s="191"/>
      <c r="CB134" s="191"/>
      <c r="CC134" s="191"/>
      <c r="CD134" s="242">
        <f>BY134+0.4%</f>
        <v>0.17400000000000002</v>
      </c>
      <c r="CE134" s="191"/>
      <c r="CF134" s="191"/>
      <c r="CG134" s="191"/>
      <c r="CH134" s="191"/>
      <c r="CI134" s="242">
        <f>CD134+0.4%</f>
        <v>0.17800000000000002</v>
      </c>
      <c r="CJ134" s="191"/>
      <c r="CK134" s="191"/>
      <c r="CL134" s="191"/>
      <c r="CM134" s="191"/>
      <c r="CN134" s="242">
        <f>CI134+0.4%</f>
        <v>0.18200000000000002</v>
      </c>
      <c r="CO134" s="191"/>
      <c r="CP134" s="191"/>
      <c r="CQ134" s="242">
        <f>CN134</f>
        <v>0.18200000000000002</v>
      </c>
      <c r="CR134" s="242">
        <f>CQ134</f>
        <v>0.18200000000000002</v>
      </c>
      <c r="CS134" s="242">
        <f>CR134</f>
        <v>0.18200000000000002</v>
      </c>
      <c r="CT134" s="242">
        <f t="shared" ref="CT134:CV134" si="587">CS134</f>
        <v>0.18200000000000002</v>
      </c>
      <c r="CU134" s="242">
        <f t="shared" si="587"/>
        <v>0.18200000000000002</v>
      </c>
      <c r="CV134" s="242">
        <f t="shared" si="587"/>
        <v>0.18200000000000002</v>
      </c>
      <c r="CW134" s="242">
        <f t="shared" ref="CW134" si="588">CV134</f>
        <v>0.18200000000000002</v>
      </c>
      <c r="CX134" s="159"/>
      <c r="CY134" s="159"/>
      <c r="CZ134" s="159"/>
      <c r="DA134" s="159"/>
      <c r="DB134" s="159"/>
      <c r="DC134" s="159"/>
      <c r="DD134" s="159"/>
    </row>
    <row r="135" spans="1:108">
      <c r="A135" s="225" t="s">
        <v>34</v>
      </c>
      <c r="B135" s="693"/>
      <c r="C135" s="693"/>
      <c r="D135" s="693"/>
      <c r="E135" s="693"/>
      <c r="F135" s="693"/>
      <c r="G135" s="693">
        <f t="shared" ref="G135:L135" si="589">G134*(G115)</f>
        <v>1406.1599999999999</v>
      </c>
      <c r="H135" s="693">
        <f t="shared" si="589"/>
        <v>0</v>
      </c>
      <c r="I135" s="693">
        <f t="shared" si="589"/>
        <v>0</v>
      </c>
      <c r="J135" s="693">
        <f t="shared" si="589"/>
        <v>0</v>
      </c>
      <c r="K135" s="693">
        <f t="shared" si="589"/>
        <v>0</v>
      </c>
      <c r="L135" s="693">
        <f t="shared" si="589"/>
        <v>1650.0646079999999</v>
      </c>
      <c r="M135" s="693"/>
      <c r="N135" s="693"/>
      <c r="O135" s="693"/>
      <c r="P135" s="693"/>
      <c r="Q135" s="693">
        <f>Q134*(Q115)</f>
        <v>1841.4081216</v>
      </c>
      <c r="R135" s="693"/>
      <c r="S135" s="693"/>
      <c r="T135" s="693"/>
      <c r="U135" s="693"/>
      <c r="V135" s="693">
        <f>V134*(V115)</f>
        <v>2132.3658862080001</v>
      </c>
      <c r="W135" s="693"/>
      <c r="X135" s="693"/>
      <c r="Y135" s="693"/>
      <c r="Z135" s="693"/>
      <c r="AA135" s="693">
        <f>AA134*(AA115)</f>
        <v>1985.0073922944</v>
      </c>
      <c r="AB135" s="693"/>
      <c r="AC135" s="693"/>
      <c r="AD135" s="693"/>
      <c r="AE135" s="693"/>
      <c r="AF135" s="693">
        <f>AF134*(AF115)</f>
        <v>2240.2947740963332</v>
      </c>
      <c r="AG135" s="693"/>
      <c r="AH135" s="693"/>
      <c r="AI135" s="693"/>
      <c r="AJ135" s="693"/>
      <c r="AK135" s="693">
        <f>AK134*(AK115)</f>
        <v>2090.8241383061886</v>
      </c>
      <c r="AL135" s="693"/>
      <c r="AM135" s="693"/>
      <c r="AN135" s="693"/>
      <c r="AO135" s="693"/>
      <c r="AP135" s="693">
        <f>AP134*(AP115)</f>
        <v>2135.9488357951423</v>
      </c>
      <c r="AQ135" s="693"/>
      <c r="AR135" s="693"/>
      <c r="AS135" s="693"/>
      <c r="AT135" s="693"/>
      <c r="AU135" s="693">
        <f>AU134*(AU115)</f>
        <v>2163.1938845801546</v>
      </c>
      <c r="AV135" s="693"/>
      <c r="AW135" s="693"/>
      <c r="AX135" s="693"/>
      <c r="AY135" s="693"/>
      <c r="AZ135" s="693">
        <f>AZ134*(AZ115)</f>
        <v>2080.0224392234854</v>
      </c>
      <c r="BA135" s="693"/>
      <c r="BB135" s="693"/>
      <c r="BC135" s="693"/>
      <c r="BD135" s="693"/>
      <c r="BE135" s="693">
        <f>BE134*(BE115)</f>
        <v>1949.6725245542723</v>
      </c>
      <c r="BF135" s="693"/>
      <c r="BG135" s="693"/>
      <c r="BH135" s="693"/>
      <c r="BI135" s="693"/>
      <c r="BJ135" s="693">
        <f>BJ134*(BJ115)</f>
        <v>1829.3700000000001</v>
      </c>
      <c r="BK135" s="693"/>
      <c r="BL135" s="693"/>
      <c r="BM135" s="693"/>
      <c r="BN135" s="693"/>
      <c r="BO135" s="693">
        <f>BO134*(BO115)</f>
        <v>1892.1000000000001</v>
      </c>
      <c r="BP135" s="693"/>
      <c r="BQ135" s="693"/>
      <c r="BR135" s="693"/>
      <c r="BS135" s="693"/>
      <c r="BT135" s="693">
        <f>BT134*(BT115)</f>
        <v>1892.44</v>
      </c>
      <c r="BU135" s="693"/>
      <c r="BV135" s="693"/>
      <c r="BW135" s="693"/>
      <c r="BX135" s="693"/>
      <c r="BY135" s="693">
        <f>BY134*(BY115)</f>
        <v>1975.0600000000002</v>
      </c>
      <c r="BZ135" s="693"/>
      <c r="CA135" s="693"/>
      <c r="CB135" s="693"/>
      <c r="CC135" s="693"/>
      <c r="CD135" s="693">
        <f t="shared" ref="CD135:CS135" si="590">CD134*(CD115)</f>
        <v>2042.4120000000003</v>
      </c>
      <c r="CE135" s="693"/>
      <c r="CF135" s="693"/>
      <c r="CG135" s="693"/>
      <c r="CH135" s="693"/>
      <c r="CI135" s="693">
        <f t="shared" si="590"/>
        <v>2226.9580000000001</v>
      </c>
      <c r="CJ135" s="693"/>
      <c r="CK135" s="693"/>
      <c r="CL135" s="693"/>
      <c r="CM135" s="693"/>
      <c r="CN135" s="693">
        <f t="shared" ref="CN135" si="591">CN134*(CN115)</f>
        <v>2334.3320000000003</v>
      </c>
      <c r="CO135" s="693"/>
      <c r="CP135" s="693"/>
      <c r="CQ135" s="693">
        <f t="shared" si="590"/>
        <v>2457.7280000000005</v>
      </c>
      <c r="CR135" s="693">
        <f t="shared" si="590"/>
        <v>2473.3096723923663</v>
      </c>
      <c r="CS135" s="693">
        <f t="shared" si="590"/>
        <v>2502.2756492475733</v>
      </c>
      <c r="CT135" s="693">
        <f t="shared" ref="CT135:CV135" si="592">CT134*(CT115)</f>
        <v>2529.8012105659518</v>
      </c>
      <c r="CU135" s="693">
        <f t="shared" si="592"/>
        <v>2556.0305452075322</v>
      </c>
      <c r="CV135" s="693">
        <f t="shared" si="592"/>
        <v>2581.094105142095</v>
      </c>
      <c r="CW135" s="693">
        <f t="shared" ref="CW135" si="593">CW134*(CW115)</f>
        <v>2605.1099174879173</v>
      </c>
      <c r="CX135" s="159"/>
      <c r="CY135" s="159"/>
      <c r="CZ135" s="159"/>
      <c r="DA135" s="159"/>
      <c r="DB135" s="159"/>
      <c r="DC135" s="159"/>
      <c r="DD135" s="159"/>
    </row>
    <row r="136" spans="1:108">
      <c r="A136" s="225" t="s">
        <v>35</v>
      </c>
      <c r="B136" s="693"/>
      <c r="C136" s="693"/>
      <c r="D136" s="693"/>
      <c r="E136" s="693"/>
      <c r="F136" s="693"/>
      <c r="G136" s="693">
        <f>G116</f>
        <v>1469.1000000000004</v>
      </c>
      <c r="H136" s="693"/>
      <c r="I136" s="693"/>
      <c r="J136" s="693"/>
      <c r="K136" s="693"/>
      <c r="L136" s="693">
        <f>L116</f>
        <v>1056.8999999999996</v>
      </c>
      <c r="M136" s="693"/>
      <c r="N136" s="693"/>
      <c r="O136" s="693"/>
      <c r="P136" s="693"/>
      <c r="Q136" s="693">
        <f>Q116</f>
        <v>1663</v>
      </c>
      <c r="R136" s="693"/>
      <c r="S136" s="693"/>
      <c r="T136" s="693"/>
      <c r="U136" s="693"/>
      <c r="V136" s="693">
        <f>V116</f>
        <v>-1219</v>
      </c>
      <c r="W136" s="693"/>
      <c r="X136" s="693"/>
      <c r="Y136" s="693"/>
      <c r="Z136" s="693"/>
      <c r="AA136" s="693">
        <f>AA116</f>
        <v>1356</v>
      </c>
      <c r="AB136" s="693"/>
      <c r="AC136" s="693"/>
      <c r="AD136" s="693"/>
      <c r="AE136" s="693"/>
      <c r="AF136" s="693">
        <f>AF116</f>
        <v>-1198</v>
      </c>
      <c r="AG136" s="693"/>
      <c r="AH136" s="693"/>
      <c r="AI136" s="693"/>
      <c r="AJ136" s="693"/>
      <c r="AK136" s="693">
        <f>AK116</f>
        <v>20</v>
      </c>
      <c r="AL136" s="693"/>
      <c r="AM136" s="693"/>
      <c r="AN136" s="693"/>
      <c r="AO136" s="693"/>
      <c r="AP136" s="693">
        <f>AP116</f>
        <v>-219</v>
      </c>
      <c r="AQ136" s="693"/>
      <c r="AR136" s="693"/>
      <c r="AS136" s="693"/>
      <c r="AT136" s="693"/>
      <c r="AU136" s="693">
        <f>AU116</f>
        <v>-768</v>
      </c>
      <c r="AV136" s="693"/>
      <c r="AW136" s="693"/>
      <c r="AX136" s="693"/>
      <c r="AY136" s="693"/>
      <c r="AZ136" s="693">
        <f>AZ116</f>
        <v>-998</v>
      </c>
      <c r="BA136" s="693"/>
      <c r="BB136" s="693"/>
      <c r="BC136" s="693"/>
      <c r="BD136" s="693"/>
      <c r="BE136" s="693">
        <f>BE116</f>
        <v>-167</v>
      </c>
      <c r="BF136" s="693"/>
      <c r="BG136" s="693"/>
      <c r="BH136" s="693"/>
      <c r="BI136" s="693"/>
      <c r="BJ136" s="693">
        <f>BJ116</f>
        <v>369</v>
      </c>
      <c r="BK136" s="693"/>
      <c r="BL136" s="693"/>
      <c r="BM136" s="693"/>
      <c r="BN136" s="693"/>
      <c r="BO136" s="693">
        <f>BO116</f>
        <v>2</v>
      </c>
      <c r="BP136" s="693"/>
      <c r="BQ136" s="693"/>
      <c r="BR136" s="693"/>
      <c r="BS136" s="693"/>
      <c r="BT136" s="693">
        <f>BT116</f>
        <v>486</v>
      </c>
      <c r="BU136" s="693"/>
      <c r="BV136" s="693"/>
      <c r="BW136" s="693"/>
      <c r="BX136" s="693"/>
      <c r="BY136" s="693">
        <f>BY116</f>
        <v>120</v>
      </c>
      <c r="BZ136" s="693"/>
      <c r="CA136" s="693"/>
      <c r="CB136" s="693"/>
      <c r="CC136" s="693"/>
      <c r="CD136" s="693">
        <f t="shared" ref="CD136:CS136" si="594">CD116</f>
        <v>773</v>
      </c>
      <c r="CE136" s="693"/>
      <c r="CF136" s="693"/>
      <c r="CG136" s="693"/>
      <c r="CH136" s="693"/>
      <c r="CI136" s="693">
        <f t="shared" si="594"/>
        <v>315</v>
      </c>
      <c r="CJ136" s="693"/>
      <c r="CK136" s="693"/>
      <c r="CL136" s="693"/>
      <c r="CM136" s="693"/>
      <c r="CN136" s="693">
        <f t="shared" ref="CN136" si="595">CN116</f>
        <v>678</v>
      </c>
      <c r="CO136" s="693"/>
      <c r="CP136" s="693"/>
      <c r="CQ136" s="693">
        <f t="shared" si="594"/>
        <v>85.613584573438857</v>
      </c>
      <c r="CR136" s="693">
        <f t="shared" si="594"/>
        <v>159.15371898465492</v>
      </c>
      <c r="CS136" s="693">
        <f t="shared" si="594"/>
        <v>151.23934790317799</v>
      </c>
      <c r="CT136" s="693">
        <f t="shared" ref="CT136:CV136" si="596">CT116</f>
        <v>144.1172233053876</v>
      </c>
      <c r="CU136" s="693">
        <f t="shared" si="596"/>
        <v>137.71186777232288</v>
      </c>
      <c r="CV136" s="693">
        <f t="shared" si="596"/>
        <v>131.95501288913329</v>
      </c>
      <c r="CW136" s="693">
        <f t="shared" ref="CW136" si="597">CW116</f>
        <v>126.78491078972547</v>
      </c>
      <c r="CX136" s="159"/>
      <c r="CY136" s="159"/>
      <c r="CZ136" s="159"/>
      <c r="DA136" s="159"/>
      <c r="DB136" s="159"/>
      <c r="DC136" s="159"/>
      <c r="DD136" s="159"/>
    </row>
    <row r="137" spans="1:108">
      <c r="A137" s="225" t="s">
        <v>36</v>
      </c>
      <c r="B137" s="693"/>
      <c r="C137" s="693"/>
      <c r="D137" s="693"/>
      <c r="E137" s="693"/>
      <c r="F137" s="693"/>
      <c r="G137" s="693">
        <f>SUM(G135:G136)</f>
        <v>2875.26</v>
      </c>
      <c r="H137" s="693"/>
      <c r="I137" s="693"/>
      <c r="J137" s="693"/>
      <c r="K137" s="693"/>
      <c r="L137" s="693">
        <f>SUM(L135:L136)</f>
        <v>2706.9646079999993</v>
      </c>
      <c r="M137" s="693"/>
      <c r="N137" s="693"/>
      <c r="O137" s="693"/>
      <c r="P137" s="693"/>
      <c r="Q137" s="693">
        <f>SUM(Q135:Q136)</f>
        <v>3504.4081216</v>
      </c>
      <c r="R137" s="693"/>
      <c r="S137" s="693"/>
      <c r="T137" s="693"/>
      <c r="U137" s="693"/>
      <c r="V137" s="693">
        <f>SUM(V135:V136)</f>
        <v>913.36588620800012</v>
      </c>
      <c r="W137" s="693"/>
      <c r="X137" s="693"/>
      <c r="Y137" s="693"/>
      <c r="Z137" s="693"/>
      <c r="AA137" s="693">
        <f>SUM(AA135:AA136)</f>
        <v>3341.0073922944002</v>
      </c>
      <c r="AB137" s="693"/>
      <c r="AC137" s="693"/>
      <c r="AD137" s="693"/>
      <c r="AE137" s="693"/>
      <c r="AF137" s="693">
        <f>SUM(AF135:AF136)</f>
        <v>1042.2947740963332</v>
      </c>
      <c r="AG137" s="693"/>
      <c r="AH137" s="693"/>
      <c r="AI137" s="693"/>
      <c r="AJ137" s="693"/>
      <c r="AK137" s="693">
        <f>SUM(AK135:AK136)</f>
        <v>2110.8241383061886</v>
      </c>
      <c r="AL137" s="693"/>
      <c r="AM137" s="693"/>
      <c r="AN137" s="693"/>
      <c r="AO137" s="693"/>
      <c r="AP137" s="693">
        <f>SUM(AP135:AP136)</f>
        <v>1916.9488357951423</v>
      </c>
      <c r="AQ137" s="693"/>
      <c r="AR137" s="693"/>
      <c r="AS137" s="693"/>
      <c r="AT137" s="693"/>
      <c r="AU137" s="693">
        <f>SUM(AU135:AU136)</f>
        <v>1395.1938845801546</v>
      </c>
      <c r="AV137" s="693"/>
      <c r="AW137" s="693"/>
      <c r="AX137" s="693"/>
      <c r="AY137" s="693"/>
      <c r="AZ137" s="693">
        <f>SUM(AZ135:AZ136)</f>
        <v>1082.0224392234854</v>
      </c>
      <c r="BA137" s="693"/>
      <c r="BB137" s="693"/>
      <c r="BC137" s="693"/>
      <c r="BD137" s="693"/>
      <c r="BE137" s="693">
        <f>SUM(BE135:BE136)</f>
        <v>1782.6725245542723</v>
      </c>
      <c r="BF137" s="693"/>
      <c r="BG137" s="693"/>
      <c r="BH137" s="693"/>
      <c r="BI137" s="693"/>
      <c r="BJ137" s="693">
        <f>SUM(BJ135:BJ136)</f>
        <v>2198.37</v>
      </c>
      <c r="BK137" s="693"/>
      <c r="BL137" s="693"/>
      <c r="BM137" s="693"/>
      <c r="BN137" s="693"/>
      <c r="BO137" s="693">
        <f>SUM(BO135:BO136)</f>
        <v>1894.1000000000001</v>
      </c>
      <c r="BP137" s="693"/>
      <c r="BQ137" s="693"/>
      <c r="BR137" s="693"/>
      <c r="BS137" s="693"/>
      <c r="BT137" s="693">
        <f>SUM(BT135:BT136)</f>
        <v>2378.44</v>
      </c>
      <c r="BU137" s="693"/>
      <c r="BV137" s="693"/>
      <c r="BW137" s="693"/>
      <c r="BX137" s="693"/>
      <c r="BY137" s="693">
        <f>SUM(BY135:BY136)</f>
        <v>2095.0600000000004</v>
      </c>
      <c r="BZ137" s="693"/>
      <c r="CA137" s="693"/>
      <c r="CB137" s="693"/>
      <c r="CC137" s="693"/>
      <c r="CD137" s="693">
        <f t="shared" ref="CD137:CS137" si="598">SUM(CD135:CD136)</f>
        <v>2815.4120000000003</v>
      </c>
      <c r="CE137" s="693"/>
      <c r="CF137" s="693"/>
      <c r="CG137" s="693"/>
      <c r="CH137" s="693"/>
      <c r="CI137" s="693">
        <f t="shared" si="598"/>
        <v>2541.9580000000001</v>
      </c>
      <c r="CJ137" s="693"/>
      <c r="CK137" s="693"/>
      <c r="CL137" s="693"/>
      <c r="CM137" s="693"/>
      <c r="CN137" s="693">
        <f t="shared" ref="CN137" si="599">SUM(CN135:CN136)</f>
        <v>3012.3320000000003</v>
      </c>
      <c r="CO137" s="693"/>
      <c r="CP137" s="693"/>
      <c r="CQ137" s="693">
        <f t="shared" si="598"/>
        <v>2543.3415845734394</v>
      </c>
      <c r="CR137" s="693">
        <f t="shared" si="598"/>
        <v>2632.4633913770213</v>
      </c>
      <c r="CS137" s="693">
        <f t="shared" si="598"/>
        <v>2653.5149971507512</v>
      </c>
      <c r="CT137" s="693">
        <f t="shared" ref="CT137:CV137" si="600">SUM(CT135:CT136)</f>
        <v>2673.9184338713394</v>
      </c>
      <c r="CU137" s="693">
        <f t="shared" si="600"/>
        <v>2693.7424129798551</v>
      </c>
      <c r="CV137" s="693">
        <f t="shared" si="600"/>
        <v>2713.0491180312283</v>
      </c>
      <c r="CW137" s="693">
        <f t="shared" ref="CW137" si="601">SUM(CW135:CW136)</f>
        <v>2731.8948282776428</v>
      </c>
      <c r="CX137" s="159"/>
      <c r="CY137" s="159"/>
      <c r="CZ137" s="159"/>
      <c r="DA137" s="159"/>
      <c r="DB137" s="159"/>
      <c r="DC137" s="159"/>
      <c r="DD137" s="159"/>
    </row>
    <row r="138" spans="1:108">
      <c r="A138" s="225"/>
      <c r="B138" s="162"/>
      <c r="C138" s="162"/>
      <c r="D138" s="162"/>
      <c r="E138" s="162"/>
      <c r="F138" s="162"/>
      <c r="G138" s="162"/>
      <c r="H138" s="162"/>
      <c r="I138" s="162"/>
      <c r="J138" s="162"/>
      <c r="K138" s="162"/>
      <c r="L138" s="162"/>
      <c r="M138" s="162"/>
      <c r="N138" s="162"/>
      <c r="O138" s="162"/>
      <c r="P138" s="162"/>
      <c r="Q138" s="162"/>
      <c r="R138" s="162"/>
      <c r="S138" s="162"/>
      <c r="T138" s="162"/>
      <c r="U138" s="162"/>
      <c r="V138" s="162"/>
      <c r="W138" s="162"/>
      <c r="X138" s="162"/>
      <c r="Y138" s="162"/>
      <c r="Z138" s="162"/>
      <c r="AA138" s="162"/>
      <c r="AB138" s="162"/>
      <c r="AC138" s="162"/>
      <c r="AD138" s="162"/>
      <c r="AE138" s="162"/>
      <c r="AF138" s="162"/>
      <c r="AG138" s="162"/>
      <c r="AH138" s="162"/>
      <c r="AI138" s="162"/>
      <c r="AJ138" s="162"/>
      <c r="AK138" s="162"/>
      <c r="AL138" s="162"/>
      <c r="AM138" s="162"/>
      <c r="AN138" s="162"/>
      <c r="AO138" s="162"/>
      <c r="AP138" s="162"/>
      <c r="AQ138" s="162"/>
      <c r="AR138" s="162"/>
      <c r="AS138" s="162"/>
      <c r="AT138" s="162"/>
      <c r="AU138" s="162"/>
      <c r="AV138" s="162"/>
      <c r="AW138" s="162"/>
      <c r="AX138" s="162"/>
      <c r="AY138" s="162"/>
      <c r="AZ138" s="162"/>
      <c r="BA138" s="162"/>
      <c r="BB138" s="162"/>
      <c r="BC138" s="162"/>
      <c r="BD138" s="162"/>
      <c r="BE138" s="162"/>
      <c r="BF138" s="162"/>
      <c r="BG138" s="162"/>
      <c r="BH138" s="162"/>
      <c r="BI138" s="162"/>
      <c r="BJ138" s="162"/>
      <c r="BK138" s="162"/>
      <c r="BL138" s="162"/>
      <c r="BM138" s="162"/>
      <c r="BN138" s="162"/>
      <c r="BO138" s="162"/>
      <c r="BP138" s="162"/>
      <c r="BQ138" s="162"/>
      <c r="BR138" s="162"/>
      <c r="BS138" s="162"/>
      <c r="BT138" s="162"/>
      <c r="BU138" s="162"/>
      <c r="BV138" s="162"/>
      <c r="BW138" s="162"/>
      <c r="BX138" s="162"/>
      <c r="BY138" s="162"/>
      <c r="BZ138" s="162"/>
      <c r="CA138" s="162"/>
      <c r="CB138" s="162"/>
      <c r="CC138" s="162"/>
      <c r="CD138" s="162"/>
      <c r="CE138" s="162"/>
      <c r="CF138" s="162"/>
      <c r="CG138" s="162"/>
      <c r="CH138" s="162"/>
      <c r="CI138" s="162"/>
      <c r="CJ138" s="162"/>
      <c r="CK138" s="162"/>
      <c r="CL138" s="162"/>
      <c r="CM138" s="162"/>
      <c r="CN138" s="162"/>
      <c r="CO138" s="162"/>
      <c r="CP138" s="162"/>
      <c r="CQ138" s="162"/>
      <c r="CR138" s="162"/>
      <c r="CS138" s="162"/>
      <c r="CT138" s="162"/>
      <c r="CU138" s="162"/>
      <c r="CV138" s="162"/>
      <c r="CW138" s="162"/>
      <c r="CX138" s="159"/>
      <c r="CY138" s="159"/>
      <c r="CZ138" s="159"/>
      <c r="DA138" s="159"/>
      <c r="DB138" s="159"/>
      <c r="DC138" s="159"/>
      <c r="DD138" s="159"/>
    </row>
    <row r="139" spans="1:108" hidden="1" outlineLevel="1">
      <c r="A139" s="199" t="s">
        <v>37</v>
      </c>
      <c r="B139" s="199">
        <f>B133</f>
        <v>2007</v>
      </c>
      <c r="C139" s="199"/>
      <c r="D139" s="199"/>
      <c r="E139" s="199"/>
      <c r="F139" s="199"/>
      <c r="G139" s="199">
        <f>B139+1</f>
        <v>2008</v>
      </c>
      <c r="H139" s="199"/>
      <c r="I139" s="199"/>
      <c r="J139" s="199"/>
      <c r="K139" s="199"/>
      <c r="L139" s="199">
        <f>G139+1</f>
        <v>2009</v>
      </c>
      <c r="M139" s="199"/>
      <c r="N139" s="199"/>
      <c r="O139" s="199"/>
      <c r="P139" s="199"/>
      <c r="Q139" s="199">
        <f>L139+1</f>
        <v>2010</v>
      </c>
      <c r="R139" s="199"/>
      <c r="S139" s="199"/>
      <c r="T139" s="199"/>
      <c r="U139" s="199"/>
      <c r="V139" s="199">
        <f>Q139+1</f>
        <v>2011</v>
      </c>
      <c r="W139" s="199"/>
      <c r="X139" s="199"/>
      <c r="Y139" s="199"/>
      <c r="Z139" s="199"/>
      <c r="AA139" s="199">
        <f>V139+1</f>
        <v>2012</v>
      </c>
      <c r="AB139" s="199"/>
      <c r="AC139" s="199"/>
      <c r="AD139" s="199"/>
      <c r="AE139" s="199"/>
      <c r="AF139" s="199">
        <f>AA139+1</f>
        <v>2013</v>
      </c>
      <c r="AG139" s="199"/>
      <c r="AH139" s="199"/>
      <c r="AI139" s="199"/>
      <c r="AJ139" s="199"/>
      <c r="AK139" s="199">
        <f>AF139+1</f>
        <v>2014</v>
      </c>
      <c r="AL139" s="199"/>
      <c r="AM139" s="199"/>
      <c r="AN139" s="199"/>
      <c r="AO139" s="199"/>
      <c r="AP139" s="199">
        <f>AK139+1</f>
        <v>2015</v>
      </c>
      <c r="AQ139" s="199"/>
      <c r="AR139" s="199"/>
      <c r="AS139" s="199"/>
      <c r="AT139" s="199"/>
      <c r="AU139" s="199">
        <f>AP139+1</f>
        <v>2016</v>
      </c>
      <c r="AV139" s="199"/>
      <c r="AW139" s="199"/>
      <c r="AX139" s="199"/>
      <c r="AY139" s="199"/>
      <c r="AZ139" s="199">
        <f>AU139+1</f>
        <v>2017</v>
      </c>
      <c r="BA139" s="199"/>
      <c r="BB139" s="199"/>
      <c r="BC139" s="199"/>
      <c r="BD139" s="199"/>
      <c r="BE139" s="199">
        <f>AZ139+1</f>
        <v>2018</v>
      </c>
      <c r="BF139" s="199"/>
      <c r="BG139" s="199"/>
      <c r="BH139" s="199"/>
      <c r="BI139" s="199"/>
      <c r="BJ139" s="199">
        <f>BE139+1</f>
        <v>2019</v>
      </c>
      <c r="BK139" s="199"/>
      <c r="BL139" s="199"/>
      <c r="BM139" s="199"/>
      <c r="BN139" s="199"/>
      <c r="BO139" s="199">
        <f>BJ139+1</f>
        <v>2020</v>
      </c>
      <c r="BP139" s="199"/>
      <c r="BQ139" s="199"/>
      <c r="BR139" s="199"/>
      <c r="BS139" s="199"/>
      <c r="BT139" s="199">
        <f>BO139+1</f>
        <v>2021</v>
      </c>
      <c r="BU139" s="199"/>
      <c r="BV139" s="199"/>
      <c r="BW139" s="199"/>
      <c r="BX139" s="199"/>
      <c r="BY139" s="199">
        <f>BT139+1</f>
        <v>2022</v>
      </c>
      <c r="BZ139" s="199"/>
      <c r="CA139" s="199"/>
      <c r="CB139" s="199"/>
      <c r="CC139" s="199"/>
      <c r="CD139" s="199">
        <f>BY139+1</f>
        <v>2023</v>
      </c>
      <c r="CE139" s="199"/>
      <c r="CF139" s="199"/>
      <c r="CG139" s="199"/>
      <c r="CH139" s="199"/>
      <c r="CI139" s="199">
        <f>CD139+1</f>
        <v>2024</v>
      </c>
      <c r="CJ139" s="199"/>
      <c r="CK139" s="199"/>
      <c r="CL139" s="199"/>
      <c r="CM139" s="199"/>
      <c r="CN139" s="199">
        <f>CI139+1</f>
        <v>2025</v>
      </c>
      <c r="CO139" s="199"/>
      <c r="CP139" s="199"/>
      <c r="CQ139" s="199">
        <f>CN139+1</f>
        <v>2026</v>
      </c>
      <c r="CR139" s="199">
        <f t="shared" ref="CR139:CS139" si="602">CQ139+1</f>
        <v>2027</v>
      </c>
      <c r="CS139" s="199">
        <f t="shared" si="602"/>
        <v>2028</v>
      </c>
      <c r="CT139" s="199">
        <f t="shared" ref="CT139" si="603">CS139+1</f>
        <v>2029</v>
      </c>
      <c r="CU139" s="199">
        <f t="shared" ref="CU139" si="604">CT139+1</f>
        <v>2030</v>
      </c>
      <c r="CV139" s="199">
        <f t="shared" ref="CV139:CW139" si="605">CU139+1</f>
        <v>2031</v>
      </c>
      <c r="CW139" s="199">
        <f t="shared" si="605"/>
        <v>2032</v>
      </c>
      <c r="CX139" s="159"/>
      <c r="CY139" s="159"/>
      <c r="CZ139" s="159"/>
      <c r="DA139" s="159"/>
      <c r="DB139" s="159"/>
      <c r="DC139" s="159"/>
      <c r="DD139" s="159"/>
    </row>
    <row r="140" spans="1:108" hidden="1" outlineLevel="1">
      <c r="A140" s="225"/>
      <c r="B140" s="162"/>
      <c r="C140" s="162"/>
      <c r="D140" s="162"/>
      <c r="E140" s="162"/>
      <c r="F140" s="162"/>
      <c r="G140" s="162"/>
      <c r="H140" s="162"/>
      <c r="I140" s="162"/>
      <c r="J140" s="162"/>
      <c r="K140" s="162"/>
      <c r="L140" s="162"/>
      <c r="M140" s="162"/>
      <c r="N140" s="162"/>
      <c r="O140" s="162"/>
      <c r="P140" s="162"/>
      <c r="Q140" s="162"/>
      <c r="R140" s="162"/>
      <c r="S140" s="162"/>
      <c r="T140" s="162"/>
      <c r="U140" s="162"/>
      <c r="V140" s="162"/>
      <c r="W140" s="162"/>
      <c r="X140" s="162"/>
      <c r="Y140" s="162"/>
      <c r="Z140" s="162"/>
      <c r="AA140" s="162"/>
      <c r="AB140" s="162"/>
      <c r="AC140" s="162"/>
      <c r="AD140" s="162"/>
      <c r="AE140" s="162"/>
      <c r="AF140" s="162"/>
      <c r="AG140" s="162"/>
      <c r="AH140" s="162"/>
      <c r="AI140" s="162"/>
      <c r="AJ140" s="162"/>
      <c r="AK140" s="162"/>
      <c r="AL140" s="162"/>
      <c r="AM140" s="162"/>
      <c r="AN140" s="162"/>
      <c r="AO140" s="162"/>
      <c r="AP140" s="162"/>
      <c r="AQ140" s="162"/>
      <c r="AR140" s="162"/>
      <c r="AS140" s="162"/>
      <c r="AT140" s="162"/>
      <c r="AU140" s="162"/>
      <c r="AV140" s="162"/>
      <c r="AW140" s="162"/>
      <c r="AX140" s="162"/>
      <c r="AY140" s="162"/>
      <c r="AZ140" s="162"/>
      <c r="BA140" s="162"/>
      <c r="BB140" s="162"/>
      <c r="BC140" s="162"/>
      <c r="BD140" s="162"/>
      <c r="BE140" s="162"/>
      <c r="BF140" s="162"/>
      <c r="BG140" s="162"/>
      <c r="BH140" s="162"/>
      <c r="BI140" s="162"/>
      <c r="BJ140" s="162"/>
      <c r="BK140" s="162"/>
      <c r="BL140" s="162"/>
      <c r="BM140" s="162"/>
      <c r="BN140" s="162"/>
      <c r="BO140" s="162"/>
      <c r="BP140" s="162"/>
      <c r="BQ140" s="162"/>
      <c r="BR140" s="162"/>
      <c r="BS140" s="162"/>
      <c r="BT140" s="162"/>
      <c r="BU140" s="162"/>
      <c r="BV140" s="162"/>
      <c r="BW140" s="162"/>
      <c r="BX140" s="162"/>
      <c r="BY140" s="162"/>
      <c r="BZ140" s="162"/>
      <c r="CA140" s="162"/>
      <c r="CB140" s="162"/>
      <c r="CC140" s="162"/>
      <c r="CD140" s="162"/>
      <c r="CE140" s="162"/>
      <c r="CF140" s="162"/>
      <c r="CG140" s="162"/>
      <c r="CH140" s="162"/>
      <c r="CI140" s="162"/>
      <c r="CJ140" s="162"/>
      <c r="CK140" s="162"/>
      <c r="CL140" s="162"/>
      <c r="CM140" s="162"/>
      <c r="CN140" s="162"/>
      <c r="CO140" s="162"/>
      <c r="CP140" s="162"/>
      <c r="CQ140" s="162"/>
      <c r="CR140" s="162"/>
      <c r="CS140" s="162"/>
      <c r="CT140" s="162"/>
      <c r="CU140" s="162"/>
      <c r="CV140" s="162"/>
      <c r="CW140" s="162"/>
      <c r="CX140" s="159"/>
      <c r="CY140" s="159"/>
      <c r="CZ140" s="159"/>
      <c r="DA140" s="159"/>
      <c r="DB140" s="159"/>
      <c r="DC140" s="159"/>
      <c r="DD140" s="159"/>
    </row>
    <row r="141" spans="1:108" hidden="1" outlineLevel="1">
      <c r="A141" s="243" t="s">
        <v>38</v>
      </c>
      <c r="B141" s="244"/>
      <c r="C141" s="244"/>
      <c r="D141" s="244"/>
      <c r="E141" s="244"/>
      <c r="F141" s="244"/>
      <c r="G141" s="244"/>
      <c r="H141" s="244"/>
      <c r="I141" s="244"/>
      <c r="J141" s="244"/>
      <c r="K141" s="244"/>
      <c r="L141" s="244"/>
      <c r="M141" s="244"/>
      <c r="N141" s="244"/>
      <c r="O141" s="244"/>
      <c r="P141" s="244"/>
      <c r="Q141" s="244"/>
      <c r="R141" s="244"/>
      <c r="S141" s="244"/>
      <c r="T141" s="244"/>
      <c r="U141" s="244"/>
      <c r="V141" s="245"/>
      <c r="W141" s="245"/>
      <c r="X141" s="245"/>
      <c r="Y141" s="245"/>
      <c r="Z141" s="245"/>
      <c r="AA141" s="245"/>
      <c r="AB141" s="245"/>
      <c r="AC141" s="245"/>
      <c r="AD141" s="245"/>
      <c r="AE141" s="245"/>
      <c r="AF141" s="245"/>
      <c r="AG141" s="245"/>
      <c r="AH141" s="245"/>
      <c r="AI141" s="245"/>
      <c r="AJ141" s="245"/>
      <c r="AK141" s="245"/>
      <c r="AL141" s="245">
        <f>'[3]Domestic Mobile Operations'!O$20</f>
        <v>1052</v>
      </c>
      <c r="AM141" s="245">
        <f>'[3]Domestic Mobile Operations'!P$20</f>
        <v>1008</v>
      </c>
      <c r="AN141" s="245">
        <f>'[3]Domestic Mobile Operations'!Q$20</f>
        <v>1070</v>
      </c>
      <c r="AO141" s="245">
        <f>'[3]Domestic Mobile Operations'!R$20</f>
        <v>1035</v>
      </c>
      <c r="AP141" s="245"/>
      <c r="AQ141" s="245">
        <v>1008</v>
      </c>
      <c r="AR141" s="245">
        <v>956</v>
      </c>
      <c r="AS141" s="245">
        <v>1016</v>
      </c>
      <c r="AT141" s="245">
        <v>1018</v>
      </c>
      <c r="AU141" s="245">
        <f>SUM(AQ141:AT141)</f>
        <v>3998</v>
      </c>
      <c r="AV141" s="245">
        <f>'[3]Domestic Mobile Operations'!W$20</f>
        <v>1006</v>
      </c>
      <c r="AW141" s="245">
        <f>'[3]Domestic Mobile Operations'!X$20</f>
        <v>982</v>
      </c>
      <c r="AX141" s="245">
        <f>'[3]Domestic Mobile Operations'!Y$20</f>
        <v>947</v>
      </c>
      <c r="AY141" s="245">
        <f>'[3]Domestic Mobile Operations'!Z$20</f>
        <v>994</v>
      </c>
      <c r="AZ141" s="245">
        <f>SUM(AV141:AY141)</f>
        <v>3929</v>
      </c>
      <c r="BA141" s="245">
        <f>'[3]Domestic Mobile Operations'!AA$20</f>
        <v>849</v>
      </c>
      <c r="BB141" s="245">
        <f>'[3]Domestic Mobile Operations'!AB$20</f>
        <v>854</v>
      </c>
      <c r="BC141" s="245">
        <f>'[3]Domestic Mobile Operations'!AC$20</f>
        <v>851</v>
      </c>
      <c r="BD141" s="245">
        <f>'[3]Domestic Mobile Operations'!AD$20</f>
        <v>845</v>
      </c>
      <c r="BE141" s="246">
        <f>SUM(BA141:BD141)</f>
        <v>3399</v>
      </c>
      <c r="BF141" s="245">
        <f>'[3]Domestic Mobile Operations'!AE$20</f>
        <v>797</v>
      </c>
      <c r="BG141" s="245">
        <f>'[3]Domestic Mobile Operations'!AF$20</f>
        <v>791</v>
      </c>
      <c r="BH141" s="246"/>
      <c r="BI141" s="246"/>
      <c r="BJ141" s="246"/>
      <c r="BK141" s="245">
        <f>'[3]Domestic Mobile Operations'!AI$20</f>
        <v>714</v>
      </c>
      <c r="BL141" s="245">
        <f>'[3]Domestic Mobile Operations'!AJ$20</f>
        <v>686</v>
      </c>
      <c r="BM141" s="245">
        <f>'[3]Domestic Mobile Operations'!AK$20</f>
        <v>717</v>
      </c>
      <c r="BN141" s="245">
        <f>'[3]Domestic Mobile Operations'!AL$20</f>
        <v>696</v>
      </c>
      <c r="BO141" s="246"/>
      <c r="BP141" s="245">
        <f>'[3]Domestic Mobile Operations'!AM$20</f>
        <v>690</v>
      </c>
      <c r="BQ141" s="245">
        <f>'[3]Domestic Mobile Operations'!AN$20</f>
        <v>685</v>
      </c>
      <c r="BR141" s="245">
        <f>'[3]Domestic Mobile Operations'!AO$20</f>
        <v>685</v>
      </c>
      <c r="BS141" s="245">
        <f>'[3]Domestic Mobile Operations'!AP$20</f>
        <v>655</v>
      </c>
      <c r="BT141" s="246"/>
      <c r="BU141" s="245">
        <f>'[3]Domestic Mobile Operations'!AQ$20</f>
        <v>657</v>
      </c>
      <c r="BV141" s="245">
        <f>'[3]Domestic Mobile Operations'!AR$20</f>
        <v>679</v>
      </c>
      <c r="BW141" s="245">
        <f>'[3]Domestic Mobile Operations'!AS$20</f>
        <v>676</v>
      </c>
      <c r="BX141" s="245">
        <f>'[3]Domestic Mobile Operations'!AT$20</f>
        <v>681</v>
      </c>
      <c r="BY141" s="246"/>
      <c r="BZ141" s="245">
        <f>'[3]Domestic Mobile Operations'!AU$20</f>
        <v>661</v>
      </c>
      <c r="CA141" s="245">
        <f>'[3]Domestic Mobile Operations'!AV$20</f>
        <v>651</v>
      </c>
      <c r="CB141" s="245">
        <f>'[3]Domestic Mobile Operations'!AW$20</f>
        <v>652</v>
      </c>
      <c r="CC141" s="245">
        <f>'[3]Domestic Mobile Operations'!AX$20</f>
        <v>655</v>
      </c>
      <c r="CD141" s="246"/>
      <c r="CE141" s="245">
        <f>'[3]Domestic Mobile Operations'!AY$20</f>
        <v>649</v>
      </c>
      <c r="CF141" s="245">
        <f>'[3]Domestic Mobile Operations'!AZ$20</f>
        <v>648</v>
      </c>
      <c r="CG141" s="245">
        <f>'[3]Domestic Mobile Operations'!BA$20</f>
        <v>641</v>
      </c>
      <c r="CH141" s="245">
        <f>'[3]Domestic Mobile Operations'!BB$20</f>
        <v>627</v>
      </c>
      <c r="CI141" s="246"/>
      <c r="CJ141" s="245">
        <f>'[3]Domestic Mobile Operations'!BC$20</f>
        <v>595</v>
      </c>
      <c r="CK141" s="245">
        <f>'[3]Domestic Mobile Operations'!BD$20</f>
        <v>610</v>
      </c>
      <c r="CL141" s="245">
        <f>'[3]Domestic Mobile Operations'!BE$20</f>
        <v>616</v>
      </c>
      <c r="CM141" s="245">
        <f>'[3]Domestic Mobile Operations'!BF$20</f>
        <v>624</v>
      </c>
      <c r="CN141" s="246"/>
      <c r="CO141" s="245">
        <f>'[3]Domestic Mobile Operations'!BG$20</f>
        <v>609</v>
      </c>
      <c r="CP141" s="245">
        <f>'[3]Domestic Mobile Operations'!BH$20</f>
        <v>612</v>
      </c>
      <c r="CQ141" s="246"/>
      <c r="CR141" s="246"/>
      <c r="CS141" s="246"/>
      <c r="CT141" s="246"/>
      <c r="CU141" s="246"/>
      <c r="CV141" s="246"/>
      <c r="CW141" s="246"/>
      <c r="CX141" s="246"/>
      <c r="CY141" s="246"/>
      <c r="CZ141" s="246"/>
      <c r="DA141" s="246"/>
      <c r="DB141" s="246"/>
      <c r="DC141" s="246"/>
      <c r="DD141" s="246"/>
    </row>
    <row r="142" spans="1:108" hidden="1" outlineLevel="1">
      <c r="A142" s="226" t="s">
        <v>39</v>
      </c>
      <c r="B142" s="236"/>
      <c r="C142" s="236"/>
      <c r="D142" s="236"/>
      <c r="E142" s="236"/>
      <c r="F142" s="236"/>
      <c r="G142" s="236"/>
      <c r="H142" s="236"/>
      <c r="I142" s="236"/>
      <c r="J142" s="236"/>
      <c r="K142" s="236"/>
      <c r="L142" s="236"/>
      <c r="M142" s="236"/>
      <c r="N142" s="236"/>
      <c r="O142" s="236"/>
      <c r="P142" s="236"/>
      <c r="Q142" s="236"/>
      <c r="R142" s="236"/>
      <c r="S142" s="236"/>
      <c r="T142" s="236"/>
      <c r="U142" s="236"/>
      <c r="V142" s="236"/>
      <c r="W142" s="236"/>
      <c r="X142" s="236"/>
      <c r="Y142" s="236"/>
      <c r="Z142" s="236"/>
      <c r="AA142" s="236"/>
      <c r="AB142" s="236"/>
      <c r="AC142" s="236"/>
      <c r="AD142" s="236"/>
      <c r="AE142" s="236"/>
      <c r="AF142" s="236"/>
      <c r="AG142" s="236"/>
      <c r="AH142" s="236"/>
      <c r="AI142" s="236"/>
      <c r="AJ142" s="236"/>
      <c r="AK142" s="236"/>
      <c r="AL142" s="236"/>
      <c r="AM142" s="236"/>
      <c r="AN142" s="236"/>
      <c r="AO142" s="236"/>
      <c r="AP142" s="236"/>
      <c r="AQ142" s="227">
        <f>AQ141/AL141-1</f>
        <v>-4.1825095057034245E-2</v>
      </c>
      <c r="AR142" s="227">
        <f>AR141/AM141-1</f>
        <v>-5.1587301587301626E-2</v>
      </c>
      <c r="AS142" s="227">
        <f>AS141/AN141-1</f>
        <v>-5.0467289719626218E-2</v>
      </c>
      <c r="AT142" s="227">
        <f>AT141/AO141-1</f>
        <v>-1.6425120772946888E-2</v>
      </c>
      <c r="AU142" s="227"/>
      <c r="AV142" s="227">
        <f>AV141/AQ141-1</f>
        <v>-1.9841269841269771E-3</v>
      </c>
      <c r="AW142" s="227">
        <f>AW141/AR141-1</f>
        <v>2.7196652719665204E-2</v>
      </c>
      <c r="AX142" s="227">
        <f>AX141/AS141-1</f>
        <v>-6.7913385826771644E-2</v>
      </c>
      <c r="AY142" s="227">
        <f>AY141/AT141-1</f>
        <v>-2.3575638506876273E-2</v>
      </c>
      <c r="AZ142" s="236"/>
      <c r="BA142" s="227">
        <f>BA141/AV141-1</f>
        <v>-0.1560636182902585</v>
      </c>
      <c r="BB142" s="227">
        <f>BB141/AW141-1</f>
        <v>-0.13034623217922603</v>
      </c>
      <c r="BC142" s="227">
        <f>BC141/AX141-1</f>
        <v>-0.10137275607180574</v>
      </c>
      <c r="BD142" s="227">
        <f>BD141/AY141-1</f>
        <v>-0.14989939637826966</v>
      </c>
      <c r="BE142" s="236"/>
      <c r="BF142" s="227">
        <f>BF141/BA141-1</f>
        <v>-6.1248527679623077E-2</v>
      </c>
      <c r="BG142" s="227">
        <f>BG141/BB141-1</f>
        <v>-7.3770491803278659E-2</v>
      </c>
      <c r="BH142" s="236"/>
      <c r="BI142" s="236"/>
      <c r="BJ142" s="236"/>
      <c r="BK142" s="227">
        <f>BK141/BF141-1</f>
        <v>-0.10414052697616061</v>
      </c>
      <c r="BL142" s="227">
        <f>BL141/BG141-1</f>
        <v>-0.13274336283185839</v>
      </c>
      <c r="BM142" s="227" t="e">
        <f>BM141/BH141-1</f>
        <v>#DIV/0!</v>
      </c>
      <c r="BN142" s="227" t="e">
        <f>BN141/BI141-1</f>
        <v>#DIV/0!</v>
      </c>
      <c r="BO142" s="236"/>
      <c r="BP142" s="227">
        <f>BP141/BK141-1</f>
        <v>-3.3613445378151252E-2</v>
      </c>
      <c r="BQ142" s="227">
        <f>BQ141/BL141-1</f>
        <v>-1.4577259475219151E-3</v>
      </c>
      <c r="BR142" s="227">
        <f>BR141/BM141-1</f>
        <v>-4.4630404463040452E-2</v>
      </c>
      <c r="BS142" s="227">
        <f>BS141/BN141-1</f>
        <v>-5.8908045977011492E-2</v>
      </c>
      <c r="BT142" s="236"/>
      <c r="BU142" s="229">
        <f>BU141/BP141-1</f>
        <v>-4.7826086956521685E-2</v>
      </c>
      <c r="BV142" s="229">
        <f>BV141/BQ141-1</f>
        <v>-8.7591240875912746E-3</v>
      </c>
      <c r="BW142" s="229">
        <f>BW141/BR141-1</f>
        <v>-1.3138686131386912E-2</v>
      </c>
      <c r="BX142" s="229">
        <f>BX141/BS141-1</f>
        <v>3.969465648854964E-2</v>
      </c>
      <c r="BY142" s="236"/>
      <c r="BZ142" s="229">
        <f>BZ141/BU141-1</f>
        <v>6.0882800608828003E-3</v>
      </c>
      <c r="CA142" s="229">
        <f>CA141/BV141-1</f>
        <v>-4.123711340206182E-2</v>
      </c>
      <c r="CB142" s="229">
        <f>CB141/BW141-1</f>
        <v>-3.5502958579881616E-2</v>
      </c>
      <c r="CC142" s="229">
        <f>CC141/BX141-1</f>
        <v>-3.8179148311306865E-2</v>
      </c>
      <c r="CD142" s="236"/>
      <c r="CE142" s="229">
        <f>CE141/BZ141-1</f>
        <v>-1.8154311649016597E-2</v>
      </c>
      <c r="CF142" s="229">
        <f>CF141/CA141-1</f>
        <v>-4.6082949308755561E-3</v>
      </c>
      <c r="CG142" s="229">
        <f>CG141/CB141-1</f>
        <v>-1.6871165644171793E-2</v>
      </c>
      <c r="CH142" s="229">
        <f>CH141/CC141-1</f>
        <v>-4.2748091603053484E-2</v>
      </c>
      <c r="CI142" s="236"/>
      <c r="CJ142" s="229">
        <f>CJ141/CE141-1</f>
        <v>-8.3204930662557741E-2</v>
      </c>
      <c r="CK142" s="229">
        <f>CK141/CF141-1</f>
        <v>-5.8641975308642014E-2</v>
      </c>
      <c r="CL142" s="229">
        <f>CL141/CG141-1</f>
        <v>-3.9001560062402518E-2</v>
      </c>
      <c r="CM142" s="229">
        <f>CM141/CH141-1</f>
        <v>-4.784688995215336E-3</v>
      </c>
      <c r="CN142" s="236"/>
      <c r="CO142" s="229">
        <f>CO141/CJ141-1</f>
        <v>2.3529411764705799E-2</v>
      </c>
      <c r="CP142" s="229">
        <f>CP141/CK141-1</f>
        <v>3.2786885245901232E-3</v>
      </c>
      <c r="CQ142" s="236"/>
      <c r="CR142" s="236"/>
      <c r="CS142" s="236"/>
      <c r="CT142" s="236"/>
      <c r="CU142" s="236"/>
      <c r="CV142" s="236"/>
      <c r="CW142" s="236"/>
      <c r="CX142" s="159"/>
      <c r="CY142" s="159"/>
      <c r="CZ142" s="159"/>
      <c r="DA142" s="159"/>
      <c r="DB142" s="159"/>
      <c r="DC142" s="159"/>
      <c r="DD142" s="159"/>
    </row>
    <row r="143" spans="1:108" hidden="1" outlineLevel="1">
      <c r="A143" s="225" t="s">
        <v>40</v>
      </c>
      <c r="B143" s="220"/>
      <c r="C143" s="220"/>
      <c r="D143" s="220"/>
      <c r="E143" s="220"/>
      <c r="F143" s="220"/>
      <c r="G143" s="220"/>
      <c r="H143" s="220"/>
      <c r="I143" s="220"/>
      <c r="J143" s="220"/>
      <c r="K143" s="220"/>
      <c r="L143" s="220"/>
      <c r="M143" s="220"/>
      <c r="N143" s="220"/>
      <c r="O143" s="220"/>
      <c r="P143" s="220"/>
      <c r="Q143" s="220"/>
      <c r="R143" s="220"/>
      <c r="S143" s="220"/>
      <c r="T143" s="220"/>
      <c r="U143" s="220"/>
      <c r="V143" s="220"/>
      <c r="W143" s="220"/>
      <c r="X143" s="220"/>
      <c r="Y143" s="220"/>
      <c r="Z143" s="220"/>
      <c r="AA143" s="220"/>
      <c r="AB143" s="220"/>
      <c r="AC143" s="220"/>
      <c r="AD143" s="220"/>
      <c r="AE143" s="220"/>
      <c r="AF143" s="220"/>
      <c r="AG143" s="220"/>
      <c r="AH143" s="220"/>
      <c r="AI143" s="220"/>
      <c r="AJ143" s="220"/>
      <c r="AK143" s="220"/>
      <c r="AL143" s="247">
        <f>'[3]Domestic Mobile Operations'!O$23</f>
        <v>35</v>
      </c>
      <c r="AM143" s="247">
        <f>'[3]Domestic Mobile Operations'!P$23</f>
        <v>33</v>
      </c>
      <c r="AN143" s="247">
        <f>'[3]Domestic Mobile Operations'!Q$23</f>
        <v>35</v>
      </c>
      <c r="AO143" s="247">
        <f>'[3]Domestic Mobile Operations'!R$23</f>
        <v>35</v>
      </c>
      <c r="AP143" s="248"/>
      <c r="AQ143" s="247">
        <f>'[3]Domestic Mobile Operations'!S$23</f>
        <v>35</v>
      </c>
      <c r="AR143" s="247">
        <f>'[3]Domestic Mobile Operations'!T$23</f>
        <v>34</v>
      </c>
      <c r="AS143" s="247">
        <f>'[3]Domestic Mobile Operations'!U$23</f>
        <v>36</v>
      </c>
      <c r="AT143" s="247">
        <f>'[3]Domestic Mobile Operations'!V$23</f>
        <v>37</v>
      </c>
      <c r="AU143" s="247"/>
      <c r="AV143" s="247">
        <f>'[3]Domestic Mobile Operations'!W$23</f>
        <v>36</v>
      </c>
      <c r="AW143" s="247">
        <f>'[3]Domestic Mobile Operations'!X$23</f>
        <v>36</v>
      </c>
      <c r="AX143" s="247">
        <f>'[3]Domestic Mobile Operations'!Y$23</f>
        <v>36</v>
      </c>
      <c r="AY143" s="247">
        <f>'[3]Domestic Mobile Operations'!Z$23</f>
        <v>36</v>
      </c>
      <c r="AZ143" s="232">
        <f>AVERAGE(AV143:AY143)</f>
        <v>36</v>
      </c>
      <c r="BA143" s="247">
        <f>'[3]Domestic Mobile Operations'!AA$23</f>
        <v>35</v>
      </c>
      <c r="BB143" s="247">
        <f>'[3]Domestic Mobile Operations'!AB$23</f>
        <v>37</v>
      </c>
      <c r="BC143" s="247">
        <f>'[3]Domestic Mobile Operations'!AC$23</f>
        <v>36</v>
      </c>
      <c r="BD143" s="247">
        <f>'[3]Domestic Mobile Operations'!AD$23</f>
        <v>37</v>
      </c>
      <c r="BE143" s="232">
        <f>AVERAGE(BA143:BD143)</f>
        <v>36.25</v>
      </c>
      <c r="BF143" s="247">
        <f>'[3]Domestic Mobile Operations'!AE$23</f>
        <v>35</v>
      </c>
      <c r="BG143" s="247">
        <f>'[3]Domestic Mobile Operations'!AF$23</f>
        <v>35</v>
      </c>
      <c r="BH143" s="232"/>
      <c r="BI143" s="232"/>
      <c r="BJ143" s="232"/>
      <c r="BK143" s="247">
        <f>'[3]Domestic Mobile Operations'!AI$23</f>
        <v>32</v>
      </c>
      <c r="BL143" s="247">
        <f>'[3]Domestic Mobile Operations'!AJ$23</f>
        <v>30.6</v>
      </c>
      <c r="BM143" s="247">
        <f>'[3]Domestic Mobile Operations'!AK$23</f>
        <v>33.1</v>
      </c>
      <c r="BN143" s="247">
        <f>'[3]Domestic Mobile Operations'!AL$23</f>
        <v>32.4</v>
      </c>
      <c r="BO143" s="232"/>
      <c r="BP143" s="247">
        <f>'[3]Domestic Mobile Operations'!AM$23</f>
        <v>31.6</v>
      </c>
      <c r="BQ143" s="247">
        <f>'[3]Domestic Mobile Operations'!AN$23</f>
        <v>31</v>
      </c>
      <c r="BR143" s="247">
        <f>'[3]Domestic Mobile Operations'!AO$23</f>
        <v>30.5</v>
      </c>
      <c r="BS143" s="247">
        <f>'[3]Domestic Mobile Operations'!AP$23</f>
        <v>29.7</v>
      </c>
      <c r="BT143" s="232"/>
      <c r="BU143" s="247">
        <f>'[3]Domestic Mobile Operations'!AQ$23</f>
        <v>30.2</v>
      </c>
      <c r="BV143" s="247">
        <f>'[3]Domestic Mobile Operations'!AR$23</f>
        <v>31.8</v>
      </c>
      <c r="BW143" s="247">
        <f>'[3]Domestic Mobile Operations'!AS$23</f>
        <v>31.3</v>
      </c>
      <c r="BX143" s="247">
        <f>'[3]Domestic Mobile Operations'!AT$23</f>
        <v>31.8</v>
      </c>
      <c r="BY143" s="232"/>
      <c r="BZ143" s="247">
        <f>'[3]Domestic Mobile Operations'!AU$23</f>
        <v>30.7</v>
      </c>
      <c r="CA143" s="247">
        <f>'[3]Domestic Mobile Operations'!AV$23</f>
        <v>30.8</v>
      </c>
      <c r="CB143" s="247">
        <f>'[3]Domestic Mobile Operations'!AW$23</f>
        <v>30.7</v>
      </c>
      <c r="CC143" s="247">
        <f>'[3]Domestic Mobile Operations'!AX$23</f>
        <v>29.6</v>
      </c>
      <c r="CD143" s="232"/>
      <c r="CE143" s="247">
        <f>'[3]Domestic Mobile Operations'!AY$23</f>
        <v>28.7</v>
      </c>
      <c r="CF143" s="247">
        <f>'[3]Domestic Mobile Operations'!AZ$23</f>
        <v>28.9</v>
      </c>
      <c r="CG143" s="247">
        <f>'[3]Domestic Mobile Operations'!BA$23</f>
        <v>28.4</v>
      </c>
      <c r="CH143" s="247">
        <f>'[3]Domestic Mobile Operations'!BB$23</f>
        <v>28.1</v>
      </c>
      <c r="CI143" s="232"/>
      <c r="CJ143" s="247">
        <f>'[3]Domestic Mobile Operations'!BC$23</f>
        <v>26.3</v>
      </c>
      <c r="CK143" s="247">
        <f>'[3]Domestic Mobile Operations'!BD$23</f>
        <v>26.8</v>
      </c>
      <c r="CL143" s="247">
        <f>'[3]Domestic Mobile Operations'!BE$23</f>
        <v>27</v>
      </c>
      <c r="CM143" s="247">
        <f>'[3]Domestic Mobile Operations'!BF$23</f>
        <v>27.3</v>
      </c>
      <c r="CN143" s="232"/>
      <c r="CO143" s="247">
        <f>'[3]Domestic Mobile Operations'!BG$23</f>
        <v>26.4</v>
      </c>
      <c r="CP143" s="247">
        <f>'[3]Domestic Mobile Operations'!BH$23</f>
        <v>27</v>
      </c>
      <c r="CQ143" s="232"/>
      <c r="CR143" s="232"/>
      <c r="CS143" s="232"/>
      <c r="CT143" s="232"/>
      <c r="CU143" s="232"/>
      <c r="CV143" s="232"/>
      <c r="CW143" s="232"/>
      <c r="CX143" s="159"/>
      <c r="CY143" s="159"/>
      <c r="CZ143" s="159"/>
      <c r="DA143" s="159"/>
      <c r="DB143" s="159"/>
      <c r="DC143" s="159"/>
      <c r="DD143" s="159"/>
    </row>
    <row r="144" spans="1:108" hidden="1" outlineLevel="1">
      <c r="A144" s="226" t="s">
        <v>39</v>
      </c>
      <c r="B144" s="204"/>
      <c r="C144" s="204"/>
      <c r="D144" s="204"/>
      <c r="E144" s="204"/>
      <c r="F144" s="204"/>
      <c r="G144" s="204"/>
      <c r="H144" s="204"/>
      <c r="I144" s="204"/>
      <c r="J144" s="204"/>
      <c r="K144" s="204"/>
      <c r="L144" s="204"/>
      <c r="M144" s="204"/>
      <c r="N144" s="204"/>
      <c r="O144" s="204"/>
      <c r="P144" s="204"/>
      <c r="Q144" s="204"/>
      <c r="R144" s="204"/>
      <c r="S144" s="204"/>
      <c r="T144" s="204"/>
      <c r="U144" s="204"/>
      <c r="V144" s="204"/>
      <c r="W144" s="204"/>
      <c r="X144" s="204"/>
      <c r="Y144" s="204"/>
      <c r="Z144" s="204"/>
      <c r="AA144" s="204"/>
      <c r="AB144" s="204"/>
      <c r="AC144" s="204"/>
      <c r="AD144" s="204"/>
      <c r="AE144" s="204"/>
      <c r="AF144" s="204"/>
      <c r="AG144" s="204"/>
      <c r="AH144" s="204"/>
      <c r="AI144" s="204"/>
      <c r="AJ144" s="204"/>
      <c r="AK144" s="204"/>
      <c r="AL144" s="204"/>
      <c r="AM144" s="204"/>
      <c r="AN144" s="204"/>
      <c r="AO144" s="204"/>
      <c r="AP144" s="204"/>
      <c r="AQ144" s="227">
        <f>AQ143/AL143-1</f>
        <v>0</v>
      </c>
      <c r="AR144" s="227">
        <f>AR143/AM143-1</f>
        <v>3.0303030303030276E-2</v>
      </c>
      <c r="AS144" s="227">
        <f>AS143/AN143-1</f>
        <v>2.857142857142847E-2</v>
      </c>
      <c r="AT144" s="227">
        <f>AT143/AO143-1</f>
        <v>5.7142857142857162E-2</v>
      </c>
      <c r="AU144" s="227"/>
      <c r="AV144" s="227">
        <f>AV143/AQ143-1</f>
        <v>2.857142857142847E-2</v>
      </c>
      <c r="AW144" s="227">
        <f>AW143/AR143-1</f>
        <v>5.8823529411764719E-2</v>
      </c>
      <c r="AX144" s="227">
        <f>AX143/AS143-1</f>
        <v>0</v>
      </c>
      <c r="AY144" s="227">
        <f>AY143/AT143-1</f>
        <v>-2.7027027027026973E-2</v>
      </c>
      <c r="AZ144" s="228"/>
      <c r="BA144" s="227">
        <f t="shared" ref="BA144:BG144" si="606">BA143/AV143-1</f>
        <v>-2.777777777777779E-2</v>
      </c>
      <c r="BB144" s="227">
        <f t="shared" si="606"/>
        <v>2.7777777777777679E-2</v>
      </c>
      <c r="BC144" s="227">
        <f t="shared" si="606"/>
        <v>0</v>
      </c>
      <c r="BD144" s="227">
        <f t="shared" si="606"/>
        <v>2.7777777777777679E-2</v>
      </c>
      <c r="BE144" s="227">
        <f t="shared" si="606"/>
        <v>6.9444444444444198E-3</v>
      </c>
      <c r="BF144" s="227">
        <f t="shared" si="606"/>
        <v>0</v>
      </c>
      <c r="BG144" s="227">
        <f t="shared" si="606"/>
        <v>-5.4054054054054057E-2</v>
      </c>
      <c r="BH144" s="227"/>
      <c r="BI144" s="227"/>
      <c r="BJ144" s="228"/>
      <c r="BK144" s="227">
        <f t="shared" ref="BK144:CP144" si="607">BK143/BF143-1</f>
        <v>-8.5714285714285743E-2</v>
      </c>
      <c r="BL144" s="227">
        <f t="shared" si="607"/>
        <v>-0.12571428571428567</v>
      </c>
      <c r="BM144" s="227" t="e">
        <f t="shared" si="607"/>
        <v>#DIV/0!</v>
      </c>
      <c r="BN144" s="227" t="e">
        <f t="shared" si="607"/>
        <v>#DIV/0!</v>
      </c>
      <c r="BO144" s="228"/>
      <c r="BP144" s="227">
        <f t="shared" si="607"/>
        <v>-1.2499999999999956E-2</v>
      </c>
      <c r="BQ144" s="227">
        <f t="shared" si="607"/>
        <v>1.3071895424836555E-2</v>
      </c>
      <c r="BR144" s="227">
        <f t="shared" si="607"/>
        <v>-7.8549848942598199E-2</v>
      </c>
      <c r="BS144" s="227">
        <f t="shared" si="607"/>
        <v>-8.333333333333337E-2</v>
      </c>
      <c r="BT144" s="228"/>
      <c r="BU144" s="229">
        <f t="shared" si="607"/>
        <v>-4.4303797468354444E-2</v>
      </c>
      <c r="BV144" s="229">
        <f t="shared" si="607"/>
        <v>2.5806451612903292E-2</v>
      </c>
      <c r="BW144" s="229">
        <f t="shared" si="607"/>
        <v>2.6229508196721429E-2</v>
      </c>
      <c r="BX144" s="229">
        <f t="shared" si="607"/>
        <v>7.0707070707070718E-2</v>
      </c>
      <c r="BY144" s="228"/>
      <c r="BZ144" s="229">
        <f t="shared" si="607"/>
        <v>1.655629139072845E-2</v>
      </c>
      <c r="CA144" s="229">
        <f t="shared" si="607"/>
        <v>-3.1446540880503138E-2</v>
      </c>
      <c r="CB144" s="229">
        <f t="shared" si="607"/>
        <v>-1.9169329073482455E-2</v>
      </c>
      <c r="CC144" s="229">
        <f t="shared" si="607"/>
        <v>-6.9182389937106903E-2</v>
      </c>
      <c r="CD144" s="228"/>
      <c r="CE144" s="229">
        <f t="shared" si="607"/>
        <v>-6.514657980456029E-2</v>
      </c>
      <c r="CF144" s="229">
        <f t="shared" si="607"/>
        <v>-6.1688311688311792E-2</v>
      </c>
      <c r="CG144" s="229">
        <f t="shared" si="607"/>
        <v>-7.4918566775244333E-2</v>
      </c>
      <c r="CH144" s="229">
        <f t="shared" si="607"/>
        <v>-5.0675675675675658E-2</v>
      </c>
      <c r="CI144" s="228"/>
      <c r="CJ144" s="229">
        <f t="shared" si="607"/>
        <v>-8.362369337979092E-2</v>
      </c>
      <c r="CK144" s="229">
        <f t="shared" si="607"/>
        <v>-7.2664359861591588E-2</v>
      </c>
      <c r="CL144" s="229">
        <f t="shared" si="607"/>
        <v>-4.9295774647887258E-2</v>
      </c>
      <c r="CM144" s="229">
        <f t="shared" si="607"/>
        <v>-2.8469750889679735E-2</v>
      </c>
      <c r="CN144" s="228"/>
      <c r="CO144" s="229">
        <f t="shared" si="607"/>
        <v>3.8022813688212143E-3</v>
      </c>
      <c r="CP144" s="229">
        <f t="shared" si="607"/>
        <v>7.4626865671640896E-3</v>
      </c>
      <c r="CQ144" s="228"/>
      <c r="CR144" s="228"/>
      <c r="CS144" s="228"/>
      <c r="CT144" s="228"/>
      <c r="CU144" s="228"/>
      <c r="CV144" s="228"/>
      <c r="CW144" s="228"/>
      <c r="CX144" s="159"/>
      <c r="CY144" s="159"/>
      <c r="CZ144" s="159"/>
      <c r="DA144" s="159"/>
      <c r="DB144" s="159"/>
      <c r="DC144" s="159"/>
      <c r="DD144" s="159"/>
    </row>
    <row r="145" spans="1:112" hidden="1" outlineLevel="1">
      <c r="A145" s="226"/>
      <c r="B145" s="204"/>
      <c r="C145" s="204"/>
      <c r="D145" s="204"/>
      <c r="E145" s="204"/>
      <c r="F145" s="204"/>
      <c r="G145" s="204"/>
      <c r="H145" s="204"/>
      <c r="I145" s="204"/>
      <c r="J145" s="204"/>
      <c r="K145" s="204"/>
      <c r="L145" s="204"/>
      <c r="M145" s="204"/>
      <c r="N145" s="204"/>
      <c r="O145" s="204"/>
      <c r="P145" s="204"/>
      <c r="Q145" s="204"/>
      <c r="R145" s="204"/>
      <c r="S145" s="204"/>
      <c r="T145" s="204"/>
      <c r="U145" s="204"/>
      <c r="V145" s="204"/>
      <c r="W145" s="204"/>
      <c r="X145" s="204"/>
      <c r="Y145" s="204"/>
      <c r="Z145" s="204"/>
      <c r="AA145" s="204"/>
      <c r="AB145" s="204"/>
      <c r="AC145" s="204"/>
      <c r="AD145" s="204"/>
      <c r="AE145" s="204"/>
      <c r="AF145" s="204"/>
      <c r="AG145" s="204"/>
      <c r="AH145" s="204"/>
      <c r="AI145" s="204"/>
      <c r="AJ145" s="204"/>
      <c r="AK145" s="204"/>
      <c r="AL145" s="204"/>
      <c r="AM145" s="204"/>
      <c r="AN145" s="204"/>
      <c r="AO145" s="204"/>
      <c r="AP145" s="204"/>
      <c r="AQ145" s="227"/>
      <c r="AR145" s="227"/>
      <c r="AS145" s="227"/>
      <c r="AT145" s="227"/>
      <c r="AU145" s="227"/>
      <c r="AV145" s="227"/>
      <c r="AW145" s="249">
        <f>AW141*1000/AVERAGE(AW148,AV148)/3</f>
        <v>37.467330548083709</v>
      </c>
      <c r="AX145" s="249">
        <f>AX141*1000/AVERAGE(AX148,AW148)/3</f>
        <v>37.339326551533794</v>
      </c>
      <c r="AY145" s="249">
        <f>AY141*1000/AVERAGE(AY148,AX148)/3</f>
        <v>40.681850737716658</v>
      </c>
      <c r="AZ145" s="249">
        <f>AZ141*1000/AVERAGE(AZ148,AU148)/3</f>
        <v>163.01551738444942</v>
      </c>
      <c r="BA145" s="249">
        <f>BA141*1000/AVERAGE(BA148,AZ148)/3</f>
        <v>35.845471817606075</v>
      </c>
      <c r="BB145" s="249">
        <f>BB141*1000/AVERAGE(BB148,BA148)/3</f>
        <v>36.797655980696312</v>
      </c>
      <c r="BC145" s="249">
        <f>BC141*1000/AVERAGE(BC148,BB148)/3</f>
        <v>36.794431113128823</v>
      </c>
      <c r="BD145" s="249">
        <f>BD141*1000/AVERAGE(BD148,BC148)/3</f>
        <v>36.881847147658327</v>
      </c>
      <c r="BE145" s="227"/>
      <c r="BF145" s="249">
        <f>BF141*1000/AVERAGE(BF148,BE148)/3</f>
        <v>35.386835386835386</v>
      </c>
      <c r="BG145" s="249">
        <f>BG141*1000/AVERAGE(BG148,BF148)/3</f>
        <v>35.374879810379909</v>
      </c>
      <c r="BH145" s="227"/>
      <c r="BI145" s="227"/>
      <c r="BJ145" s="227"/>
      <c r="BK145" s="249">
        <f>BK141*1000/AVERAGE(BK148,BJ148)/3</f>
        <v>32.214401732539251</v>
      </c>
      <c r="BL145" s="249">
        <f>BL141*1000/AVERAGE(BL148,BK148)/3</f>
        <v>30.052131248083409</v>
      </c>
      <c r="BM145" s="249">
        <f>BM141*1000/AVERAGE(BM148,BL148)/3</f>
        <v>31.915603926019898</v>
      </c>
      <c r="BN145" s="249">
        <f>BN141*1000/AVERAGE(BN148,BM148)/3</f>
        <v>32.357043235704325</v>
      </c>
      <c r="BO145" s="227"/>
      <c r="BP145" s="249">
        <f>BP141*1000/AVERAGE(BP148,BO148)/3</f>
        <v>31.228784792939578</v>
      </c>
      <c r="BQ145" s="249">
        <f>BQ141*1000/AVERAGE(BQ148,BP148)/3</f>
        <v>31.013016411997736</v>
      </c>
      <c r="BR145" s="249">
        <f>BR141*1000/AVERAGE(BR148,BQ148)/3</f>
        <v>31.078444716664396</v>
      </c>
      <c r="BS145" s="249">
        <f>BS141*1000/AVERAGE(BS148,BR148)/3</f>
        <v>29.719367499262688</v>
      </c>
      <c r="BT145" s="227"/>
      <c r="BU145" s="250">
        <f>BU141*1000/AVERAGE(BU148,BT148)/3</f>
        <v>30.879864636209813</v>
      </c>
      <c r="BV145" s="250">
        <f>BV141*1000/AVERAGE(BV148,BU148)/3</f>
        <v>31.786157339138171</v>
      </c>
      <c r="BW145" s="250">
        <f>BW141*1000/AVERAGE(BW148,BV148)/3</f>
        <v>31.43381925553928</v>
      </c>
      <c r="BX145" s="250">
        <f>BX141*1000/AVERAGE(BX148,BW148)/3</f>
        <v>31.670735960934774</v>
      </c>
      <c r="BY145" s="227"/>
      <c r="BZ145" s="250">
        <f>BZ141*1000/AVERAGE(BZ148,BY148)/3</f>
        <v>30.919637010010291</v>
      </c>
      <c r="CA145" s="250">
        <f>CA141*1000/AVERAGE(CA148,BZ148)/3</f>
        <v>30.654047181805339</v>
      </c>
      <c r="CB145" s="250">
        <f>CB141*1000/AVERAGE(CB148,CA148)/3</f>
        <v>30.573726290122153</v>
      </c>
      <c r="CC145" s="250">
        <f>CC141*1000/AVERAGE(CC148,CB148)/3</f>
        <v>29.556427959027118</v>
      </c>
      <c r="CD145" s="227"/>
      <c r="CE145" s="250">
        <f>CE141*1000/AVERAGE(CE148,CD148)/3</f>
        <v>29.24609075751431</v>
      </c>
      <c r="CF145" s="250">
        <f>CF141*1000/AVERAGE(CF148,CE148)/3</f>
        <v>29.004968443668592</v>
      </c>
      <c r="CG145" s="250">
        <f>CG141*1000/AVERAGE(CG148,CF148)/3</f>
        <v>28.505992484379519</v>
      </c>
      <c r="CH145" s="250">
        <f>CH141*1000/AVERAGE(CH148,CG148)/3</f>
        <v>27.993570854540582</v>
      </c>
      <c r="CI145" s="227"/>
      <c r="CJ145" s="250">
        <f>CJ141*1000/AVERAGE(CJ148,CI148)/3</f>
        <v>26.213763327165392</v>
      </c>
      <c r="CK145" s="250">
        <f>CK141*1000/AVERAGE(CK148,CJ148)/3</f>
        <v>26.812597525329114</v>
      </c>
      <c r="CL145" s="250">
        <f>CL141*1000/AVERAGE(CL148,CK148)/3</f>
        <v>27.063837265497998</v>
      </c>
      <c r="CM145" s="250">
        <f>CM141*1000/AVERAGE(CM148,CL148)/3</f>
        <v>27.444253859348198</v>
      </c>
      <c r="CN145" s="227"/>
      <c r="CO145" s="250">
        <f>CO141*1000/AVERAGE(CO148,CN148)/3</f>
        <v>26.664915276500722</v>
      </c>
      <c r="CP145" s="250">
        <f>CP141*1000/AVERAGE(CP148,CO148)/3</f>
        <v>27.192748600373235</v>
      </c>
      <c r="CQ145" s="227"/>
      <c r="CR145" s="227"/>
      <c r="CS145" s="227"/>
      <c r="CT145" s="227"/>
      <c r="CU145" s="227"/>
      <c r="CV145" s="227"/>
      <c r="CW145" s="227"/>
      <c r="CX145" s="159"/>
      <c r="CY145" s="159"/>
      <c r="CZ145" s="159"/>
      <c r="DA145" s="159"/>
      <c r="DB145" s="159"/>
      <c r="DC145" s="159"/>
      <c r="DD145" s="159"/>
    </row>
    <row r="146" spans="1:112" hidden="1" outlineLevel="1">
      <c r="A146" s="226"/>
      <c r="B146" s="204"/>
      <c r="C146" s="204"/>
      <c r="D146" s="204"/>
      <c r="E146" s="204"/>
      <c r="F146" s="204"/>
      <c r="G146" s="204"/>
      <c r="H146" s="204"/>
      <c r="I146" s="204"/>
      <c r="J146" s="204"/>
      <c r="K146" s="204"/>
      <c r="L146" s="204"/>
      <c r="M146" s="204"/>
      <c r="N146" s="204"/>
      <c r="O146" s="204"/>
      <c r="P146" s="204"/>
      <c r="Q146" s="204"/>
      <c r="R146" s="204"/>
      <c r="S146" s="204"/>
      <c r="T146" s="204"/>
      <c r="U146" s="204"/>
      <c r="V146" s="204"/>
      <c r="W146" s="204"/>
      <c r="X146" s="204"/>
      <c r="Y146" s="204"/>
      <c r="Z146" s="204"/>
      <c r="AA146" s="204"/>
      <c r="AB146" s="204"/>
      <c r="AC146" s="204"/>
      <c r="AD146" s="204"/>
      <c r="AE146" s="204"/>
      <c r="AF146" s="204"/>
      <c r="AG146" s="204"/>
      <c r="AH146" s="204"/>
      <c r="AI146" s="204"/>
      <c r="AJ146" s="204"/>
      <c r="AK146" s="204"/>
      <c r="AL146" s="204"/>
      <c r="AM146" s="204"/>
      <c r="AN146" s="204"/>
      <c r="AO146" s="204"/>
      <c r="AP146" s="204"/>
      <c r="AQ146" s="227"/>
      <c r="AR146" s="227"/>
      <c r="AS146" s="227"/>
      <c r="AT146" s="227"/>
      <c r="AU146" s="227"/>
      <c r="AV146" s="227"/>
      <c r="AW146" s="227"/>
      <c r="AX146" s="227"/>
      <c r="AY146" s="227"/>
      <c r="AZ146" s="227"/>
      <c r="BA146" s="227"/>
      <c r="BB146" s="227"/>
      <c r="BC146" s="227"/>
      <c r="BD146" s="227"/>
      <c r="BE146" s="227"/>
      <c r="BF146" s="227"/>
      <c r="BG146" s="227"/>
      <c r="BH146" s="227"/>
      <c r="BI146" s="227"/>
      <c r="BJ146" s="227"/>
      <c r="BK146" s="227"/>
      <c r="BL146" s="227"/>
      <c r="BM146" s="227"/>
      <c r="BN146" s="227"/>
      <c r="BO146" s="227"/>
      <c r="BP146" s="227"/>
      <c r="BQ146" s="227"/>
      <c r="BR146" s="227"/>
      <c r="BS146" s="227"/>
      <c r="BT146" s="227"/>
      <c r="BU146" s="229"/>
      <c r="BV146" s="229"/>
      <c r="BW146" s="229"/>
      <c r="BX146" s="229"/>
      <c r="BY146" s="227"/>
      <c r="BZ146" s="229"/>
      <c r="CA146" s="229"/>
      <c r="CB146" s="229"/>
      <c r="CC146" s="229"/>
      <c r="CD146" s="227"/>
      <c r="CE146" s="229"/>
      <c r="CF146" s="229"/>
      <c r="CG146" s="229"/>
      <c r="CH146" s="229"/>
      <c r="CI146" s="227"/>
      <c r="CJ146" s="229"/>
      <c r="CK146" s="229"/>
      <c r="CL146" s="229"/>
      <c r="CM146" s="229"/>
      <c r="CN146" s="227"/>
      <c r="CO146" s="229"/>
      <c r="CP146" s="229"/>
      <c r="CQ146" s="227"/>
      <c r="CR146" s="227"/>
      <c r="CS146" s="227"/>
      <c r="CT146" s="227"/>
      <c r="CU146" s="227"/>
      <c r="CV146" s="227"/>
      <c r="CW146" s="227"/>
      <c r="CX146" s="159"/>
      <c r="CY146" s="159"/>
      <c r="CZ146" s="159"/>
      <c r="DA146" s="159"/>
      <c r="DB146" s="159"/>
      <c r="DC146" s="159"/>
      <c r="DD146" s="159"/>
    </row>
    <row r="147" spans="1:112" hidden="1" outlineLevel="1">
      <c r="A147" s="226"/>
      <c r="B147" s="204"/>
      <c r="C147" s="204"/>
      <c r="D147" s="204"/>
      <c r="E147" s="204"/>
      <c r="F147" s="204"/>
      <c r="G147" s="204"/>
      <c r="H147" s="204"/>
      <c r="I147" s="204"/>
      <c r="J147" s="204"/>
      <c r="K147" s="204"/>
      <c r="L147" s="204"/>
      <c r="M147" s="204"/>
      <c r="N147" s="204"/>
      <c r="O147" s="204"/>
      <c r="P147" s="204"/>
      <c r="Q147" s="204"/>
      <c r="R147" s="204"/>
      <c r="S147" s="204"/>
      <c r="T147" s="204"/>
      <c r="U147" s="204"/>
      <c r="V147" s="204"/>
      <c r="W147" s="204"/>
      <c r="X147" s="204"/>
      <c r="Y147" s="204"/>
      <c r="Z147" s="204"/>
      <c r="AA147" s="204"/>
      <c r="AB147" s="204"/>
      <c r="AC147" s="204"/>
      <c r="AD147" s="204"/>
      <c r="AE147" s="204"/>
      <c r="AF147" s="204"/>
      <c r="AG147" s="204"/>
      <c r="AH147" s="204"/>
      <c r="AI147" s="204"/>
      <c r="AJ147" s="204"/>
      <c r="AK147" s="204"/>
      <c r="AL147" s="204"/>
      <c r="AM147" s="204"/>
      <c r="AN147" s="204"/>
      <c r="AO147" s="204"/>
      <c r="AP147" s="204"/>
      <c r="AQ147" s="227"/>
      <c r="AR147" s="227"/>
      <c r="AS147" s="227"/>
      <c r="AT147" s="227"/>
      <c r="AU147" s="227"/>
      <c r="AV147" s="227"/>
      <c r="AW147" s="227"/>
      <c r="AX147" s="227"/>
      <c r="AY147" s="227"/>
      <c r="AZ147" s="227"/>
      <c r="BA147" s="227"/>
      <c r="BB147" s="227"/>
      <c r="BC147" s="227"/>
      <c r="BD147" s="227"/>
      <c r="BE147" s="227"/>
      <c r="BF147" s="227"/>
      <c r="BG147" s="227"/>
      <c r="BH147" s="227"/>
      <c r="BI147" s="227"/>
      <c r="BJ147" s="227"/>
      <c r="BK147" s="227"/>
      <c r="BL147" s="227"/>
      <c r="BM147" s="227"/>
      <c r="BN147" s="227"/>
      <c r="BO147" s="227"/>
      <c r="BP147" s="227"/>
      <c r="BQ147" s="227"/>
      <c r="BR147" s="227"/>
      <c r="BS147" s="227"/>
      <c r="BT147" s="227"/>
      <c r="BU147" s="229"/>
      <c r="BV147" s="229"/>
      <c r="BW147" s="229"/>
      <c r="BX147" s="229"/>
      <c r="BY147" s="227"/>
      <c r="BZ147" s="229"/>
      <c r="CA147" s="229"/>
      <c r="CB147" s="229"/>
      <c r="CC147" s="229"/>
      <c r="CD147" s="227"/>
      <c r="CE147" s="229"/>
      <c r="CF147" s="229"/>
      <c r="CG147" s="229"/>
      <c r="CH147" s="229"/>
      <c r="CI147" s="227"/>
      <c r="CJ147" s="229"/>
      <c r="CK147" s="229"/>
      <c r="CL147" s="229"/>
      <c r="CM147" s="229"/>
      <c r="CN147" s="227"/>
      <c r="CO147" s="229"/>
      <c r="CP147" s="229"/>
      <c r="CQ147" s="227"/>
      <c r="CR147" s="227"/>
      <c r="CS147" s="227"/>
      <c r="CT147" s="227"/>
      <c r="CU147" s="227"/>
      <c r="CV147" s="227"/>
      <c r="CW147" s="227"/>
      <c r="CX147" s="159"/>
      <c r="CY147" s="159"/>
      <c r="CZ147" s="159"/>
      <c r="DA147" s="159"/>
      <c r="DB147" s="159"/>
      <c r="DC147" s="159"/>
      <c r="DD147" s="159"/>
    </row>
    <row r="148" spans="1:112" hidden="1" outlineLevel="1">
      <c r="A148" s="226" t="s">
        <v>445</v>
      </c>
      <c r="B148" s="204"/>
      <c r="C148" s="204"/>
      <c r="D148" s="204"/>
      <c r="E148" s="204"/>
      <c r="F148" s="204"/>
      <c r="G148" s="204"/>
      <c r="H148" s="204"/>
      <c r="I148" s="204"/>
      <c r="J148" s="204"/>
      <c r="K148" s="204"/>
      <c r="L148" s="204"/>
      <c r="M148" s="204"/>
      <c r="N148" s="204"/>
      <c r="O148" s="204"/>
      <c r="P148" s="204"/>
      <c r="Q148" s="204"/>
      <c r="R148" s="204"/>
      <c r="S148" s="204"/>
      <c r="T148" s="204"/>
      <c r="U148" s="204"/>
      <c r="V148" s="204"/>
      <c r="W148" s="204"/>
      <c r="X148" s="204"/>
      <c r="Y148" s="204"/>
      <c r="Z148" s="204"/>
      <c r="AA148" s="204"/>
      <c r="AB148" s="204"/>
      <c r="AC148" s="204"/>
      <c r="AD148" s="204"/>
      <c r="AE148" s="204"/>
      <c r="AF148" s="204"/>
      <c r="AG148" s="204"/>
      <c r="AH148" s="204"/>
      <c r="AI148" s="204"/>
      <c r="AJ148" s="204"/>
      <c r="AK148" s="204"/>
      <c r="AL148" s="204"/>
      <c r="AM148" s="204"/>
      <c r="AN148" s="204"/>
      <c r="AO148" s="204"/>
      <c r="AP148" s="204"/>
      <c r="AQ148" s="227"/>
      <c r="AR148" s="227"/>
      <c r="AS148" s="227"/>
      <c r="AT148" s="227"/>
      <c r="AU148" s="227"/>
      <c r="AV148" s="251">
        <f>'[3]Domestic Mobile Operations'!$W$12</f>
        <v>8820</v>
      </c>
      <c r="AW148" s="251">
        <f>'[3]Domestic Mobile Operations'!X$12</f>
        <v>8653</v>
      </c>
      <c r="AX148" s="251">
        <f>'[3]Domestic Mobile Operations'!Y$12</f>
        <v>8255</v>
      </c>
      <c r="AY148" s="251">
        <f>'[3]Domestic Mobile Operations'!Z$12</f>
        <v>8034</v>
      </c>
      <c r="AZ148" s="252">
        <f>AY148</f>
        <v>8034</v>
      </c>
      <c r="BA148" s="251">
        <f>'[3]Domestic Mobile Operations'!AA$12</f>
        <v>7756</v>
      </c>
      <c r="BB148" s="251">
        <f>'[3]Domestic Mobile Operations'!AB$12</f>
        <v>7716</v>
      </c>
      <c r="BC148" s="251">
        <f>'[3]Domestic Mobile Operations'!AC$12</f>
        <v>7703</v>
      </c>
      <c r="BD148" s="251">
        <f>'[3]Domestic Mobile Operations'!AD$12</f>
        <v>7571</v>
      </c>
      <c r="BE148" s="252">
        <f>BD148</f>
        <v>7571</v>
      </c>
      <c r="BF148" s="251">
        <f>'[3]Domestic Mobile Operations'!AE$12</f>
        <v>7444</v>
      </c>
      <c r="BG148" s="251">
        <f>'[3]Domestic Mobile Operations'!AF$12</f>
        <v>7463</v>
      </c>
      <c r="BH148" s="227"/>
      <c r="BI148" s="227"/>
      <c r="BJ148" s="227"/>
      <c r="BK148" s="251">
        <f>'[3]Domestic Mobile Operations'!AI$12</f>
        <v>7388</v>
      </c>
      <c r="BL148" s="251">
        <f>'[3]Domestic Mobile Operations'!AJ$12</f>
        <v>7830</v>
      </c>
      <c r="BM148" s="251">
        <f>'[3]Domestic Mobile Operations'!AK$12</f>
        <v>7147</v>
      </c>
      <c r="BN148" s="251">
        <f>'[3]Domestic Mobile Operations'!AL$12</f>
        <v>7193</v>
      </c>
      <c r="BO148" s="227"/>
      <c r="BP148" s="251">
        <f>'[3]Domestic Mobile Operations'!AM$12</f>
        <v>7365</v>
      </c>
      <c r="BQ148" s="251">
        <f>'[3]Domestic Mobile Operations'!AN$12</f>
        <v>7360</v>
      </c>
      <c r="BR148" s="251">
        <f>'[3]Domestic Mobile Operations'!AO$12</f>
        <v>7334</v>
      </c>
      <c r="BS148" s="251">
        <f>'[3]Domestic Mobile Operations'!AP$12</f>
        <v>7359</v>
      </c>
      <c r="BT148" s="227"/>
      <c r="BU148" s="253">
        <f>'[3]Domestic Mobile Operations'!AQ$12</f>
        <v>7092</v>
      </c>
      <c r="BV148" s="253">
        <f>'[3]Domestic Mobile Operations'!AR$12</f>
        <v>7149</v>
      </c>
      <c r="BW148" s="253">
        <f>'[3]Domestic Mobile Operations'!AS$12</f>
        <v>7188</v>
      </c>
      <c r="BX148" s="253">
        <f>'[3]Domestic Mobile Operations'!AT$12</f>
        <v>7147</v>
      </c>
      <c r="BY148" s="227"/>
      <c r="BZ148" s="253">
        <f>'[3]Domestic Mobile Operations'!AU$12</f>
        <v>7126</v>
      </c>
      <c r="CA148" s="253">
        <f>'[3]Domestic Mobile Operations'!AV$12</f>
        <v>7032</v>
      </c>
      <c r="CB148" s="253">
        <f>'[3]Domestic Mobile Operations'!AW$12</f>
        <v>7185</v>
      </c>
      <c r="CC148" s="253">
        <f>'[3]Domestic Mobile Operations'!AX$12</f>
        <v>7589</v>
      </c>
      <c r="CD148" s="227"/>
      <c r="CE148" s="253">
        <f>'[3]Domestic Mobile Operations'!AY$12</f>
        <v>7397</v>
      </c>
      <c r="CF148" s="253">
        <f>'[3]Domestic Mobile Operations'!AZ$12</f>
        <v>7497</v>
      </c>
      <c r="CG148" s="253">
        <f>'[3]Domestic Mobile Operations'!BA$12</f>
        <v>7494</v>
      </c>
      <c r="CH148" s="253">
        <f>'[3]Domestic Mobile Operations'!BB$12</f>
        <v>7438</v>
      </c>
      <c r="CI148" s="227"/>
      <c r="CJ148" s="253">
        <f>'[3]Domestic Mobile Operations'!BC$12</f>
        <v>7566</v>
      </c>
      <c r="CK148" s="253">
        <f>'[3]Domestic Mobile Operations'!BD$12</f>
        <v>7601</v>
      </c>
      <c r="CL148" s="253">
        <f>'[3]Domestic Mobile Operations'!BE$12</f>
        <v>7573</v>
      </c>
      <c r="CM148" s="253">
        <f>'[3]Domestic Mobile Operations'!BF$12</f>
        <v>7585</v>
      </c>
      <c r="CN148" s="227"/>
      <c r="CO148" s="253">
        <f>'[3]Domestic Mobile Operations'!BG$12</f>
        <v>7613</v>
      </c>
      <c r="CP148" s="253">
        <f>'[3]Domestic Mobile Operations'!BH$12</f>
        <v>7391</v>
      </c>
      <c r="CQ148" s="227"/>
      <c r="CR148" s="227"/>
      <c r="CS148" s="227"/>
      <c r="CT148" s="227"/>
      <c r="CU148" s="227"/>
      <c r="CV148" s="227"/>
      <c r="CW148" s="227"/>
      <c r="CX148" s="159"/>
      <c r="CY148" s="159"/>
      <c r="CZ148" s="159"/>
      <c r="DA148" s="159"/>
      <c r="DB148" s="159"/>
      <c r="DC148" s="159"/>
      <c r="DD148" s="159"/>
    </row>
    <row r="149" spans="1:112" hidden="1" outlineLevel="1">
      <c r="A149" s="226"/>
      <c r="B149" s="227"/>
      <c r="C149" s="227"/>
      <c r="D149" s="227"/>
      <c r="E149" s="227"/>
      <c r="F149" s="227"/>
      <c r="G149" s="227"/>
      <c r="H149" s="227"/>
      <c r="I149" s="227"/>
      <c r="J149" s="227"/>
      <c r="K149" s="227"/>
      <c r="L149" s="227"/>
      <c r="M149" s="227"/>
      <c r="N149" s="227"/>
      <c r="O149" s="227"/>
      <c r="P149" s="227"/>
      <c r="Q149" s="227"/>
      <c r="R149" s="227"/>
      <c r="S149" s="227"/>
      <c r="T149" s="227"/>
      <c r="U149" s="227"/>
      <c r="V149" s="227"/>
      <c r="W149" s="227"/>
      <c r="X149" s="227"/>
      <c r="Y149" s="227"/>
      <c r="Z149" s="227"/>
      <c r="AA149" s="227"/>
      <c r="AB149" s="227"/>
      <c r="AC149" s="227"/>
      <c r="AD149" s="227"/>
      <c r="AE149" s="227"/>
      <c r="AF149" s="227"/>
      <c r="AG149" s="227"/>
      <c r="AH149" s="227"/>
      <c r="AI149" s="227"/>
      <c r="AJ149" s="227"/>
      <c r="AK149" s="227"/>
      <c r="AL149" s="227"/>
      <c r="AM149" s="227"/>
      <c r="AN149" s="227"/>
      <c r="AO149" s="227"/>
      <c r="AP149" s="227"/>
      <c r="AQ149" s="227"/>
      <c r="AR149" s="227"/>
      <c r="AS149" s="227"/>
      <c r="AT149" s="227"/>
      <c r="AU149" s="227"/>
      <c r="AV149" s="227"/>
      <c r="AW149" s="227"/>
      <c r="AX149" s="227"/>
      <c r="AY149" s="227"/>
      <c r="AZ149" s="167"/>
      <c r="BA149" s="227"/>
      <c r="BB149" s="227"/>
      <c r="BC149" s="227"/>
      <c r="BD149" s="227"/>
      <c r="BE149" s="159"/>
      <c r="BF149" s="227"/>
      <c r="BG149" s="227"/>
      <c r="BH149" s="159"/>
      <c r="BI149" s="159"/>
      <c r="BJ149" s="159"/>
      <c r="BK149" s="227"/>
      <c r="BL149" s="227"/>
      <c r="BM149" s="227"/>
      <c r="BN149" s="227"/>
      <c r="BO149" s="159"/>
      <c r="BP149" s="227"/>
      <c r="BQ149" s="227"/>
      <c r="BR149" s="227"/>
      <c r="BS149" s="227"/>
      <c r="BT149" s="159"/>
      <c r="BU149" s="229"/>
      <c r="BV149" s="229"/>
      <c r="BW149" s="229"/>
      <c r="BX149" s="229"/>
      <c r="BY149" s="159"/>
      <c r="BZ149" s="229"/>
      <c r="CA149" s="229"/>
      <c r="CB149" s="229"/>
      <c r="CC149" s="229"/>
      <c r="CD149" s="159"/>
      <c r="CE149" s="229"/>
      <c r="CF149" s="229"/>
      <c r="CG149" s="229"/>
      <c r="CH149" s="229"/>
      <c r="CI149" s="159"/>
      <c r="CJ149" s="229"/>
      <c r="CK149" s="229"/>
      <c r="CL149" s="229"/>
      <c r="CM149" s="229"/>
      <c r="CN149" s="159"/>
      <c r="CO149" s="229"/>
      <c r="CP149" s="229"/>
      <c r="CQ149" s="159"/>
      <c r="CR149" s="159"/>
      <c r="CS149" s="159"/>
      <c r="CT149" s="159"/>
      <c r="CU149" s="159"/>
      <c r="CV149" s="159"/>
      <c r="CW149" s="159"/>
      <c r="CX149" s="159"/>
      <c r="CY149" s="159"/>
      <c r="CZ149" s="159"/>
      <c r="DA149" s="159"/>
      <c r="DB149" s="159"/>
      <c r="DC149" s="159"/>
      <c r="DD149" s="159"/>
    </row>
    <row r="150" spans="1:112" hidden="1" outlineLevel="1">
      <c r="A150" s="199" t="s">
        <v>41</v>
      </c>
      <c r="B150" s="199">
        <f>B139</f>
        <v>2007</v>
      </c>
      <c r="C150" s="199"/>
      <c r="D150" s="199"/>
      <c r="E150" s="199"/>
      <c r="F150" s="199"/>
      <c r="G150" s="199">
        <f>B150+1</f>
        <v>2008</v>
      </c>
      <c r="H150" s="199"/>
      <c r="I150" s="199"/>
      <c r="J150" s="199"/>
      <c r="K150" s="199"/>
      <c r="L150" s="199">
        <f>G150+1</f>
        <v>2009</v>
      </c>
      <c r="M150" s="199"/>
      <c r="N150" s="199"/>
      <c r="O150" s="199"/>
      <c r="P150" s="199"/>
      <c r="Q150" s="199">
        <f>L150+1</f>
        <v>2010</v>
      </c>
      <c r="R150" s="199"/>
      <c r="S150" s="199"/>
      <c r="T150" s="199"/>
      <c r="U150" s="199"/>
      <c r="V150" s="199">
        <f>Q150+1</f>
        <v>2011</v>
      </c>
      <c r="W150" s="199"/>
      <c r="X150" s="199"/>
      <c r="Y150" s="199"/>
      <c r="Z150" s="199"/>
      <c r="AA150" s="199">
        <f>V150+1</f>
        <v>2012</v>
      </c>
      <c r="AB150" s="199"/>
      <c r="AC150" s="199"/>
      <c r="AD150" s="199"/>
      <c r="AE150" s="199"/>
      <c r="AF150" s="199">
        <f>AA150+1</f>
        <v>2013</v>
      </c>
      <c r="AG150" s="199"/>
      <c r="AH150" s="199"/>
      <c r="AI150" s="199"/>
      <c r="AJ150" s="199"/>
      <c r="AK150" s="199">
        <f>AF150+1</f>
        <v>2014</v>
      </c>
      <c r="AL150" s="199"/>
      <c r="AM150" s="199"/>
      <c r="AN150" s="199"/>
      <c r="AO150" s="199"/>
      <c r="AP150" s="199">
        <f>AK150+1</f>
        <v>2015</v>
      </c>
      <c r="AQ150" s="199"/>
      <c r="AR150" s="199"/>
      <c r="AS150" s="199"/>
      <c r="AT150" s="199"/>
      <c r="AU150" s="199">
        <f>AP150+1</f>
        <v>2016</v>
      </c>
      <c r="AV150" s="199"/>
      <c r="AW150" s="199"/>
      <c r="AX150" s="199"/>
      <c r="AY150" s="199"/>
      <c r="AZ150" s="199">
        <f>AU150+1</f>
        <v>2017</v>
      </c>
      <c r="BA150" s="199"/>
      <c r="BB150" s="199"/>
      <c r="BC150" s="199"/>
      <c r="BD150" s="199"/>
      <c r="BE150" s="199">
        <f>AZ150+1</f>
        <v>2018</v>
      </c>
      <c r="BF150" s="199"/>
      <c r="BG150" s="199"/>
      <c r="BH150" s="199"/>
      <c r="BI150" s="199"/>
      <c r="BJ150" s="199">
        <f>BE150+1</f>
        <v>2019</v>
      </c>
      <c r="BK150" s="199"/>
      <c r="BL150" s="199"/>
      <c r="BM150" s="199"/>
      <c r="BN150" s="199"/>
      <c r="BO150" s="199">
        <f>BJ150+1</f>
        <v>2020</v>
      </c>
      <c r="BP150" s="199"/>
      <c r="BQ150" s="199"/>
      <c r="BR150" s="199"/>
      <c r="BS150" s="199"/>
      <c r="BT150" s="199">
        <f>BO150+1</f>
        <v>2021</v>
      </c>
      <c r="BU150" s="199"/>
      <c r="BV150" s="199"/>
      <c r="BW150" s="199"/>
      <c r="BX150" s="199"/>
      <c r="BY150" s="199">
        <f>BT150+1</f>
        <v>2022</v>
      </c>
      <c r="BZ150" s="199"/>
      <c r="CA150" s="199"/>
      <c r="CB150" s="199"/>
      <c r="CC150" s="199"/>
      <c r="CD150" s="199">
        <f>BY150+1</f>
        <v>2023</v>
      </c>
      <c r="CE150" s="199"/>
      <c r="CF150" s="199"/>
      <c r="CG150" s="199"/>
      <c r="CH150" s="199"/>
      <c r="CI150" s="199">
        <f>CD150+1</f>
        <v>2024</v>
      </c>
      <c r="CJ150" s="199"/>
      <c r="CK150" s="199"/>
      <c r="CL150" s="199"/>
      <c r="CM150" s="199"/>
      <c r="CN150" s="199">
        <f>CI150+1</f>
        <v>2025</v>
      </c>
      <c r="CO150" s="199"/>
      <c r="CP150" s="199"/>
      <c r="CQ150" s="199">
        <f>CN150+1</f>
        <v>2026</v>
      </c>
      <c r="CR150" s="199">
        <f t="shared" ref="CR150:CS150" si="608">CQ150+1</f>
        <v>2027</v>
      </c>
      <c r="CS150" s="199">
        <f t="shared" si="608"/>
        <v>2028</v>
      </c>
      <c r="CT150" s="199">
        <f t="shared" ref="CT150" si="609">CS150+1</f>
        <v>2029</v>
      </c>
      <c r="CU150" s="199">
        <f t="shared" ref="CU150" si="610">CT150+1</f>
        <v>2030</v>
      </c>
      <c r="CV150" s="199">
        <f t="shared" ref="CV150:CW150" si="611">CU150+1</f>
        <v>2031</v>
      </c>
      <c r="CW150" s="199">
        <f t="shared" si="611"/>
        <v>2032</v>
      </c>
      <c r="CX150" s="159"/>
      <c r="CY150" s="159"/>
      <c r="CZ150" s="159"/>
      <c r="DA150" s="159"/>
      <c r="DB150" s="159"/>
      <c r="DC150" s="159"/>
      <c r="DD150" s="159"/>
    </row>
    <row r="151" spans="1:112" hidden="1" outlineLevel="1">
      <c r="A151" s="225"/>
      <c r="B151" s="162"/>
      <c r="C151" s="162"/>
      <c r="D151" s="162"/>
      <c r="E151" s="162"/>
      <c r="F151" s="162"/>
      <c r="G151" s="162"/>
      <c r="H151" s="162"/>
      <c r="I151" s="162"/>
      <c r="J151" s="162"/>
      <c r="K151" s="162"/>
      <c r="L151" s="162"/>
      <c r="M151" s="162"/>
      <c r="N151" s="162"/>
      <c r="O151" s="162"/>
      <c r="P151" s="162"/>
      <c r="Q151" s="162"/>
      <c r="R151" s="162"/>
      <c r="S151" s="162"/>
      <c r="T151" s="162"/>
      <c r="U151" s="162"/>
      <c r="V151" s="162"/>
      <c r="W151" s="162"/>
      <c r="X151" s="162"/>
      <c r="Y151" s="162"/>
      <c r="Z151" s="162"/>
      <c r="AA151" s="162"/>
      <c r="AB151" s="162"/>
      <c r="AC151" s="162"/>
      <c r="AD151" s="162"/>
      <c r="AE151" s="162"/>
      <c r="AF151" s="162"/>
      <c r="AG151" s="162"/>
      <c r="AH151" s="162"/>
      <c r="AI151" s="162"/>
      <c r="AJ151" s="162"/>
      <c r="AK151" s="162"/>
      <c r="AL151" s="162"/>
      <c r="AM151" s="162"/>
      <c r="AN151" s="162"/>
      <c r="AO151" s="162"/>
      <c r="AP151" s="159"/>
      <c r="AQ151" s="159"/>
      <c r="AR151" s="159"/>
      <c r="AS151" s="159"/>
      <c r="AT151" s="159"/>
      <c r="AU151" s="159"/>
      <c r="AV151" s="159"/>
      <c r="AW151" s="159"/>
      <c r="AX151" s="159"/>
      <c r="AY151" s="159"/>
      <c r="AZ151" s="159"/>
      <c r="BA151" s="159"/>
      <c r="BB151" s="159"/>
      <c r="BC151" s="159"/>
      <c r="BD151" s="159"/>
      <c r="BE151" s="159"/>
      <c r="BF151" s="159"/>
      <c r="BG151" s="159"/>
      <c r="BH151" s="159"/>
      <c r="BI151" s="159"/>
      <c r="BJ151" s="159"/>
      <c r="BK151" s="159"/>
      <c r="BL151" s="159"/>
      <c r="BM151" s="159"/>
      <c r="BN151" s="159"/>
      <c r="BO151" s="159"/>
      <c r="BP151" s="159"/>
      <c r="BQ151" s="159"/>
      <c r="BR151" s="159"/>
      <c r="BS151" s="159"/>
      <c r="BT151" s="159"/>
      <c r="BU151" s="159"/>
      <c r="BV151" s="159"/>
      <c r="BW151" s="159"/>
      <c r="BX151" s="159"/>
      <c r="BY151" s="159"/>
      <c r="BZ151" s="159"/>
      <c r="CA151" s="159"/>
      <c r="CB151" s="159"/>
      <c r="CC151" s="159"/>
      <c r="CD151" s="159"/>
      <c r="CE151" s="159"/>
      <c r="CF151" s="159"/>
      <c r="CG151" s="159"/>
      <c r="CH151" s="159"/>
      <c r="CI151" s="159"/>
      <c r="CJ151" s="159"/>
      <c r="CK151" s="159"/>
      <c r="CL151" s="159"/>
      <c r="CM151" s="159"/>
      <c r="CN151" s="159"/>
      <c r="CO151" s="159"/>
      <c r="CP151" s="159"/>
      <c r="CQ151" s="159"/>
      <c r="CR151" s="159"/>
      <c r="CS151" s="159"/>
      <c r="CT151" s="159"/>
      <c r="CU151" s="159"/>
      <c r="CV151" s="159"/>
      <c r="CW151" s="159"/>
      <c r="CX151" s="159"/>
      <c r="CY151" s="159"/>
      <c r="CZ151" s="159"/>
      <c r="DA151" s="159"/>
      <c r="DB151" s="159"/>
      <c r="DC151" s="159"/>
      <c r="DD151" s="159"/>
    </row>
    <row r="152" spans="1:112" hidden="1" outlineLevel="1">
      <c r="A152" s="243" t="s">
        <v>38</v>
      </c>
      <c r="B152" s="244"/>
      <c r="C152" s="244"/>
      <c r="D152" s="244"/>
      <c r="E152" s="244"/>
      <c r="F152" s="244"/>
      <c r="G152" s="244"/>
      <c r="H152" s="244"/>
      <c r="I152" s="244"/>
      <c r="J152" s="244"/>
      <c r="K152" s="244"/>
      <c r="L152" s="244"/>
      <c r="M152" s="244"/>
      <c r="N152" s="244"/>
      <c r="O152" s="244"/>
      <c r="P152" s="244"/>
      <c r="Q152" s="244"/>
      <c r="R152" s="244"/>
      <c r="S152" s="244"/>
      <c r="T152" s="244"/>
      <c r="U152" s="244"/>
      <c r="V152" s="245"/>
      <c r="W152" s="245"/>
      <c r="X152" s="245"/>
      <c r="Y152" s="245"/>
      <c r="Z152" s="245"/>
      <c r="AA152" s="245"/>
      <c r="AB152" s="245"/>
      <c r="AC152" s="245"/>
      <c r="AD152" s="245"/>
      <c r="AE152" s="245"/>
      <c r="AF152" s="245"/>
      <c r="AG152" s="245"/>
      <c r="AH152" s="245"/>
      <c r="AI152" s="245"/>
      <c r="AJ152" s="245"/>
      <c r="AK152" s="245"/>
      <c r="AL152" s="245">
        <f>'[3]Domestic Mobile Operations'!O$19</f>
        <v>972</v>
      </c>
      <c r="AM152" s="245">
        <f>'[3]Domestic Mobile Operations'!P$19</f>
        <v>976</v>
      </c>
      <c r="AN152" s="245">
        <f>'[3]Domestic Mobile Operations'!Q$19</f>
        <v>976</v>
      </c>
      <c r="AO152" s="245">
        <f>'[3]Domestic Mobile Operations'!R$19</f>
        <v>1012</v>
      </c>
      <c r="AP152" s="245"/>
      <c r="AQ152" s="245">
        <v>997</v>
      </c>
      <c r="AR152" s="245">
        <v>978</v>
      </c>
      <c r="AS152" s="245">
        <v>965</v>
      </c>
      <c r="AT152" s="245">
        <v>1010</v>
      </c>
      <c r="AU152" s="245">
        <f>SUM(AQ152:AT152)</f>
        <v>3950</v>
      </c>
      <c r="AV152" s="245">
        <f>'[3]Domestic Mobile Operations'!W$19</f>
        <v>936</v>
      </c>
      <c r="AW152" s="245">
        <f>'[3]Domestic Mobile Operations'!X$19</f>
        <v>946</v>
      </c>
      <c r="AX152" s="245">
        <f>'[3]Domestic Mobile Operations'!Y$19</f>
        <v>997</v>
      </c>
      <c r="AY152" s="245">
        <f>'[3]Domestic Mobile Operations'!Z$19</f>
        <v>903</v>
      </c>
      <c r="AZ152" s="245">
        <f>SUM(AV152:AY152)</f>
        <v>3782</v>
      </c>
      <c r="BA152" s="245">
        <f>'[3]Domestic Mobile Operations'!AA$19</f>
        <v>985</v>
      </c>
      <c r="BB152" s="245">
        <f>'[3]Domestic Mobile Operations'!AB$19</f>
        <v>1009</v>
      </c>
      <c r="BC152" s="245">
        <f>'[3]Domestic Mobile Operations'!AC$19</f>
        <v>1025</v>
      </c>
      <c r="BD152" s="245">
        <f>'[3]Domestic Mobile Operations'!AD$19</f>
        <v>1053</v>
      </c>
      <c r="BE152" s="246">
        <f>SUM(BA152:BD152)</f>
        <v>4072</v>
      </c>
      <c r="BF152" s="245">
        <f>'[3]Domestic Mobile Operations'!AE$19</f>
        <v>1000</v>
      </c>
      <c r="BG152" s="245">
        <f>'[3]Domestic Mobile Operations'!AF$19</f>
        <v>972</v>
      </c>
      <c r="BH152" s="246"/>
      <c r="BI152" s="246"/>
      <c r="BJ152" s="246"/>
      <c r="BK152" s="245">
        <f>'[3]Domestic Mobile Operations'!AI$19</f>
        <v>984</v>
      </c>
      <c r="BL152" s="245">
        <f>'[3]Domestic Mobile Operations'!AJ$19</f>
        <v>974</v>
      </c>
      <c r="BM152" s="245">
        <f>'[3]Domestic Mobile Operations'!AK$19</f>
        <v>956</v>
      </c>
      <c r="BN152" s="245">
        <f>'[3]Domestic Mobile Operations'!AL$19</f>
        <v>967</v>
      </c>
      <c r="BO152" s="246"/>
      <c r="BP152" s="245">
        <f>'[3]Domestic Mobile Operations'!AM$19</f>
        <v>974</v>
      </c>
      <c r="BQ152" s="245">
        <f>'[3]Domestic Mobile Operations'!AN$19</f>
        <v>1002</v>
      </c>
      <c r="BR152" s="245">
        <f>'[3]Domestic Mobile Operations'!AO$19</f>
        <v>1030</v>
      </c>
      <c r="BS152" s="245">
        <f>'[3]Domestic Mobile Operations'!AP$19</f>
        <v>1019</v>
      </c>
      <c r="BT152" s="246"/>
      <c r="BU152" s="245">
        <f>'[3]Domestic Mobile Operations'!AQ$19</f>
        <v>785</v>
      </c>
      <c r="BV152" s="245">
        <f>'[3]Domestic Mobile Operations'!AR$19</f>
        <v>810</v>
      </c>
      <c r="BW152" s="245">
        <f>'[3]Domestic Mobile Operations'!AS$19</f>
        <v>830</v>
      </c>
      <c r="BX152" s="245">
        <f>'[3]Domestic Mobile Operations'!AT$19</f>
        <v>850</v>
      </c>
      <c r="BY152" s="246"/>
      <c r="BZ152" s="245">
        <f>'[3]Domestic Mobile Operations'!AU$19</f>
        <v>864</v>
      </c>
      <c r="CA152" s="245">
        <f>'[3]Domestic Mobile Operations'!AV$19</f>
        <v>871</v>
      </c>
      <c r="CB152" s="245">
        <f>'[3]Domestic Mobile Operations'!AW$19</f>
        <v>882</v>
      </c>
      <c r="CC152" s="245">
        <f>'[3]Domestic Mobile Operations'!AX$19</f>
        <v>903</v>
      </c>
      <c r="CD152" s="246"/>
      <c r="CE152" s="245">
        <f>'[3]Domestic Mobile Operations'!AY$19</f>
        <v>911</v>
      </c>
      <c r="CF152" s="245">
        <f>'[3]Domestic Mobile Operations'!AZ$19</f>
        <v>916</v>
      </c>
      <c r="CG152" s="245">
        <f>'[3]Domestic Mobile Operations'!BA$19</f>
        <v>925</v>
      </c>
      <c r="CH152" s="245">
        <f>'[3]Domestic Mobile Operations'!BB$19</f>
        <v>948</v>
      </c>
      <c r="CI152" s="246"/>
      <c r="CJ152" s="245">
        <f>'[3]Domestic Mobile Operations'!BC$19</f>
        <v>924</v>
      </c>
      <c r="CK152" s="245">
        <f>'[3]Domestic Mobile Operations'!BD$19</f>
        <v>933</v>
      </c>
      <c r="CL152" s="245">
        <f>'[3]Domestic Mobile Operations'!BE$19</f>
        <v>952</v>
      </c>
      <c r="CM152" s="245">
        <f>'[3]Domestic Mobile Operations'!BF$19</f>
        <v>976</v>
      </c>
      <c r="CN152" s="246"/>
      <c r="CO152" s="245">
        <f>'[3]Domestic Mobile Operations'!BG$19</f>
        <v>963</v>
      </c>
      <c r="CP152" s="245">
        <f>'[3]Domestic Mobile Operations'!BH$19</f>
        <v>972</v>
      </c>
      <c r="CQ152" s="246"/>
      <c r="CR152" s="246"/>
      <c r="CS152" s="246"/>
      <c r="CT152" s="246"/>
      <c r="CU152" s="246"/>
      <c r="CV152" s="246"/>
      <c r="CW152" s="246"/>
      <c r="CX152" s="246"/>
      <c r="CY152" s="246"/>
      <c r="CZ152" s="246"/>
      <c r="DA152" s="246"/>
      <c r="DB152" s="246"/>
      <c r="DC152" s="246"/>
      <c r="DD152" s="246"/>
    </row>
    <row r="153" spans="1:112" hidden="1" outlineLevel="1">
      <c r="A153" s="226" t="str">
        <f>A144</f>
        <v>Change</v>
      </c>
      <c r="B153" s="236"/>
      <c r="C153" s="236"/>
      <c r="D153" s="236"/>
      <c r="E153" s="236"/>
      <c r="F153" s="236"/>
      <c r="G153" s="236"/>
      <c r="H153" s="236"/>
      <c r="I153" s="236"/>
      <c r="J153" s="236"/>
      <c r="K153" s="236"/>
      <c r="L153" s="236"/>
      <c r="M153" s="236"/>
      <c r="N153" s="236"/>
      <c r="O153" s="236"/>
      <c r="P153" s="236"/>
      <c r="Q153" s="236"/>
      <c r="R153" s="236"/>
      <c r="S153" s="236"/>
      <c r="T153" s="236"/>
      <c r="U153" s="236"/>
      <c r="V153" s="236"/>
      <c r="W153" s="236"/>
      <c r="X153" s="236"/>
      <c r="Y153" s="236"/>
      <c r="Z153" s="236"/>
      <c r="AA153" s="236"/>
      <c r="AB153" s="236"/>
      <c r="AC153" s="236"/>
      <c r="AD153" s="236"/>
      <c r="AE153" s="236"/>
      <c r="AF153" s="236"/>
      <c r="AG153" s="236"/>
      <c r="AH153" s="236"/>
      <c r="AI153" s="236"/>
      <c r="AJ153" s="236"/>
      <c r="AK153" s="236"/>
      <c r="AL153" s="236"/>
      <c r="AM153" s="236"/>
      <c r="AN153" s="236"/>
      <c r="AO153" s="236"/>
      <c r="AP153" s="236"/>
      <c r="AQ153" s="227">
        <f>AQ152/AL152-1</f>
        <v>2.5720164609053464E-2</v>
      </c>
      <c r="AR153" s="227">
        <f>AR152/AM152-1</f>
        <v>2.049180327868827E-3</v>
      </c>
      <c r="AS153" s="227">
        <f>AS152/AN152-1</f>
        <v>-1.1270491803278659E-2</v>
      </c>
      <c r="AT153" s="227">
        <f>AT152/AO152-1</f>
        <v>-1.9762845849802257E-3</v>
      </c>
      <c r="AU153" s="227"/>
      <c r="AV153" s="227">
        <f>AV152/AQ152-1</f>
        <v>-6.1183550651955909E-2</v>
      </c>
      <c r="AW153" s="227">
        <f>AW152/AR152-1</f>
        <v>-3.2719836400817992E-2</v>
      </c>
      <c r="AX153" s="227">
        <f>AX152/AS152-1</f>
        <v>3.3160621761658016E-2</v>
      </c>
      <c r="AY153" s="227">
        <f>AY152/AT152-1</f>
        <v>-0.10594059405940592</v>
      </c>
      <c r="AZ153" s="236"/>
      <c r="BA153" s="227">
        <f>BA152/AV152-1</f>
        <v>5.2350427350427386E-2</v>
      </c>
      <c r="BB153" s="227">
        <f>BB152/AW152-1</f>
        <v>6.6596194503171224E-2</v>
      </c>
      <c r="BC153" s="227">
        <f>BC152/AX152-1</f>
        <v>2.8084252758274753E-2</v>
      </c>
      <c r="BD153" s="227">
        <f>BD152/AY152-1</f>
        <v>0.16611295681063121</v>
      </c>
      <c r="BE153" s="236"/>
      <c r="BF153" s="227">
        <f>BF152/BA152-1</f>
        <v>1.5228426395939021E-2</v>
      </c>
      <c r="BG153" s="227">
        <f>BG152/BB152-1</f>
        <v>-3.6669970267591667E-2</v>
      </c>
      <c r="BH153" s="236"/>
      <c r="BI153" s="236"/>
      <c r="BJ153" s="236"/>
      <c r="BK153" s="227">
        <f>BK152/BF152-1</f>
        <v>-1.6000000000000014E-2</v>
      </c>
      <c r="BL153" s="227">
        <f>BL152/BG152-1</f>
        <v>2.057613168724215E-3</v>
      </c>
      <c r="BM153" s="227" t="e">
        <f>BM152/BH152-1</f>
        <v>#DIV/0!</v>
      </c>
      <c r="BN153" s="227" t="e">
        <f>BN152/BI152-1</f>
        <v>#DIV/0!</v>
      </c>
      <c r="BO153" s="236"/>
      <c r="BP153" s="227">
        <f>BP152/BK152-1</f>
        <v>-1.0162601626016232E-2</v>
      </c>
      <c r="BQ153" s="227">
        <f>BQ152/BL152-1</f>
        <v>2.8747433264887157E-2</v>
      </c>
      <c r="BR153" s="227">
        <f>BR152/BM152-1</f>
        <v>7.7405857740585837E-2</v>
      </c>
      <c r="BS153" s="227">
        <f>BS152/BN152-1</f>
        <v>5.377456049638063E-2</v>
      </c>
      <c r="BT153" s="236"/>
      <c r="BU153" s="229">
        <f>BU152/BP152-1</f>
        <v>-0.19404517453798764</v>
      </c>
      <c r="BV153" s="229">
        <f>BV152/BQ152-1</f>
        <v>-0.19161676646706582</v>
      </c>
      <c r="BW153" s="229">
        <f>BW152/BR152-1</f>
        <v>-0.19417475728155342</v>
      </c>
      <c r="BX153" s="229">
        <f>BX152/BS152-1</f>
        <v>-0.16584887144259075</v>
      </c>
      <c r="BY153" s="236"/>
      <c r="BZ153" s="229">
        <f>BZ152/BU152-1</f>
        <v>0.10063694267515921</v>
      </c>
      <c r="CA153" s="229">
        <f>CA152/BV152-1</f>
        <v>7.5308641975308621E-2</v>
      </c>
      <c r="CB153" s="229">
        <f>CB152/BW152-1</f>
        <v>6.2650602409638489E-2</v>
      </c>
      <c r="CC153" s="229">
        <f>CC152/BX152-1</f>
        <v>6.23529411764705E-2</v>
      </c>
      <c r="CD153" s="236"/>
      <c r="CE153" s="229">
        <f>CE152/BZ152-1</f>
        <v>5.439814814814814E-2</v>
      </c>
      <c r="CF153" s="229">
        <f>CF152/CA152-1</f>
        <v>5.1664753157290466E-2</v>
      </c>
      <c r="CG153" s="229">
        <f>CG152/CB152-1</f>
        <v>4.8752834467120199E-2</v>
      </c>
      <c r="CH153" s="229">
        <f>CH152/CC152-1</f>
        <v>4.9833887043189362E-2</v>
      </c>
      <c r="CI153" s="236"/>
      <c r="CJ153" s="229">
        <f>CJ152/CE152-1</f>
        <v>1.4270032930845167E-2</v>
      </c>
      <c r="CK153" s="229">
        <f>CK152/CF152-1</f>
        <v>1.8558951965065518E-2</v>
      </c>
      <c r="CL153" s="229">
        <f>CL152/CG152-1</f>
        <v>2.9189189189189113E-2</v>
      </c>
      <c r="CM153" s="229">
        <f>CM152/CH152-1</f>
        <v>2.9535864978903037E-2</v>
      </c>
      <c r="CN153" s="236"/>
      <c r="CO153" s="229">
        <f>CO152/CJ152-1</f>
        <v>4.2207792207792139E-2</v>
      </c>
      <c r="CP153" s="229">
        <f>CP152/CK152-1</f>
        <v>4.1800643086816747E-2</v>
      </c>
      <c r="CQ153" s="236"/>
      <c r="CR153" s="236"/>
      <c r="CS153" s="236"/>
      <c r="CT153" s="236"/>
      <c r="CU153" s="236"/>
      <c r="CV153" s="236"/>
      <c r="CW153" s="236"/>
      <c r="CX153" s="159"/>
      <c r="CY153" s="159"/>
      <c r="CZ153" s="159"/>
      <c r="DA153" s="159"/>
      <c r="DC153" s="163" t="s">
        <v>42</v>
      </c>
      <c r="DD153" s="163" t="s">
        <v>43</v>
      </c>
      <c r="DE153" s="163" t="s">
        <v>44</v>
      </c>
    </row>
    <row r="154" spans="1:112" hidden="1" outlineLevel="1">
      <c r="A154" s="225" t="s">
        <v>40</v>
      </c>
      <c r="B154" s="220"/>
      <c r="C154" s="220"/>
      <c r="D154" s="220"/>
      <c r="E154" s="220"/>
      <c r="F154" s="220"/>
      <c r="G154" s="220"/>
      <c r="H154" s="220"/>
      <c r="I154" s="220"/>
      <c r="J154" s="220"/>
      <c r="K154" s="220"/>
      <c r="L154" s="220"/>
      <c r="M154" s="220"/>
      <c r="N154" s="220"/>
      <c r="O154" s="220"/>
      <c r="P154" s="220"/>
      <c r="Q154" s="220"/>
      <c r="R154" s="220"/>
      <c r="S154" s="220"/>
      <c r="T154" s="220"/>
      <c r="U154" s="220"/>
      <c r="V154" s="220"/>
      <c r="W154" s="220"/>
      <c r="X154" s="220"/>
      <c r="Y154" s="220"/>
      <c r="Z154" s="220"/>
      <c r="AA154" s="220"/>
      <c r="AB154" s="220"/>
      <c r="AC154" s="220"/>
      <c r="AD154" s="220"/>
      <c r="AE154" s="220"/>
      <c r="AF154" s="220"/>
      <c r="AG154" s="220"/>
      <c r="AH154" s="220"/>
      <c r="AI154" s="220"/>
      <c r="AJ154" s="220"/>
      <c r="AK154" s="220"/>
      <c r="AL154" s="247">
        <f>'[3]Domestic Mobile Operations'!O$24</f>
        <v>95</v>
      </c>
      <c r="AM154" s="247">
        <f>'[3]Domestic Mobile Operations'!P$24</f>
        <v>96</v>
      </c>
      <c r="AN154" s="247">
        <f>'[3]Domestic Mobile Operations'!Q$24</f>
        <v>97</v>
      </c>
      <c r="AO154" s="247">
        <f>'[3]Domestic Mobile Operations'!R$24</f>
        <v>102</v>
      </c>
      <c r="AP154" s="248"/>
      <c r="AQ154" s="247">
        <f>'[3]Domestic Mobile Operations'!S$24</f>
        <v>101</v>
      </c>
      <c r="AR154" s="247">
        <f>'[3]Domestic Mobile Operations'!T$24</f>
        <v>101</v>
      </c>
      <c r="AS154" s="247">
        <f>'[3]Domestic Mobile Operations'!U$24</f>
        <v>100</v>
      </c>
      <c r="AT154" s="247">
        <f>'[3]Domestic Mobile Operations'!V$24</f>
        <v>104</v>
      </c>
      <c r="AU154" s="247"/>
      <c r="AV154" s="247">
        <f>'[3]Domestic Mobile Operations'!W$24</f>
        <v>96</v>
      </c>
      <c r="AW154" s="247">
        <f>'[3]Domestic Mobile Operations'!X$24</f>
        <v>96</v>
      </c>
      <c r="AX154" s="247">
        <f>'[3]Domestic Mobile Operations'!Y$24</f>
        <v>96</v>
      </c>
      <c r="AY154" s="247">
        <f>'[3]Domestic Mobile Operations'!Z$24</f>
        <v>96</v>
      </c>
      <c r="AZ154" s="232">
        <f>AVERAGE(AV154:AY154)</f>
        <v>96</v>
      </c>
      <c r="BA154" s="247">
        <f>'[3]Domestic Mobile Operations'!AA$24</f>
        <v>92</v>
      </c>
      <c r="BB154" s="247">
        <f>'[3]Domestic Mobile Operations'!AB$24</f>
        <v>94</v>
      </c>
      <c r="BC154" s="247">
        <f>'[3]Domestic Mobile Operations'!AC$24</f>
        <v>93</v>
      </c>
      <c r="BD154" s="247">
        <f>'[3]Domestic Mobile Operations'!AD$24</f>
        <v>94</v>
      </c>
      <c r="BE154" s="232">
        <f>AVERAGE(BA154:BD154)</f>
        <v>93.25</v>
      </c>
      <c r="BF154" s="247">
        <f>'[3]Domestic Mobile Operations'!AE$24</f>
        <v>88</v>
      </c>
      <c r="BG154" s="247">
        <f>'[3]Domestic Mobile Operations'!AF$24</f>
        <v>86</v>
      </c>
      <c r="BH154" s="232"/>
      <c r="BI154" s="232"/>
      <c r="BJ154" s="232"/>
      <c r="BK154" s="247">
        <f>'[3]Domestic Mobile Operations'!AI$24</f>
        <v>81</v>
      </c>
      <c r="BL154" s="247">
        <f>'[3]Domestic Mobile Operations'!AJ$24</f>
        <v>79.5</v>
      </c>
      <c r="BM154" s="247">
        <f>'[3]Domestic Mobile Operations'!AK$24</f>
        <v>78.400000000000006</v>
      </c>
      <c r="BN154" s="247">
        <f>'[3]Domestic Mobile Operations'!AL$24</f>
        <v>77.3</v>
      </c>
      <c r="BO154" s="232"/>
      <c r="BP154" s="247">
        <f>'[3]Domestic Mobile Operations'!AM$24</f>
        <v>76</v>
      </c>
      <c r="BQ154" s="247">
        <f>'[3]Domestic Mobile Operations'!AN$24</f>
        <v>75.400000000000006</v>
      </c>
      <c r="BR154" s="247">
        <f>'[3]Domestic Mobile Operations'!AO$24</f>
        <v>75</v>
      </c>
      <c r="BS154" s="247">
        <f>'[3]Domestic Mobile Operations'!AP$24</f>
        <v>73.400000000000006</v>
      </c>
      <c r="BT154" s="232"/>
      <c r="BU154" s="247">
        <f>'[3]Domestic Mobile Operations'!AQ$24</f>
        <v>72.5</v>
      </c>
      <c r="BV154" s="247">
        <f>'[3]Domestic Mobile Operations'!AR$24</f>
        <v>72.7</v>
      </c>
      <c r="BW154" s="247">
        <f>'[3]Domestic Mobile Operations'!AS$24</f>
        <v>72.8</v>
      </c>
      <c r="BX154" s="247">
        <f>'[3]Domestic Mobile Operations'!AT$24</f>
        <v>72.7</v>
      </c>
      <c r="BY154" s="232"/>
      <c r="BZ154" s="247">
        <f>'[3]Domestic Mobile Operations'!AU$24</f>
        <v>71.3</v>
      </c>
      <c r="CA154" s="247">
        <f>'[3]Domestic Mobile Operations'!AV$24</f>
        <v>71</v>
      </c>
      <c r="CB154" s="247">
        <f>'[3]Domestic Mobile Operations'!AW$24</f>
        <v>70.2</v>
      </c>
      <c r="CC154" s="247">
        <f>'[3]Domestic Mobile Operations'!AX$24</f>
        <v>69.8</v>
      </c>
      <c r="CD154" s="232"/>
      <c r="CE154" s="247">
        <f>'[3]Domestic Mobile Operations'!AY$24</f>
        <v>68.3</v>
      </c>
      <c r="CF154" s="247">
        <f>'[3]Domestic Mobile Operations'!AZ$24</f>
        <v>67.5</v>
      </c>
      <c r="CG154" s="247">
        <f>'[3]Domestic Mobile Operations'!BA$24</f>
        <v>67</v>
      </c>
      <c r="CH154" s="247">
        <f>'[3]Domestic Mobile Operations'!BB$24</f>
        <v>67.599999999999994</v>
      </c>
      <c r="CI154" s="232"/>
      <c r="CJ154" s="247">
        <f>'[3]Domestic Mobile Operations'!BC$24</f>
        <v>64.599999999999994</v>
      </c>
      <c r="CK154" s="247">
        <f>'[3]Domestic Mobile Operations'!BD$24</f>
        <v>64</v>
      </c>
      <c r="CL154" s="247">
        <f>'[3]Domestic Mobile Operations'!BE$24</f>
        <v>63</v>
      </c>
      <c r="CM154" s="247">
        <f>'[3]Domestic Mobile Operations'!BF$24</f>
        <v>63.1</v>
      </c>
      <c r="CN154" s="232"/>
      <c r="CO154" s="247">
        <f>'[3]Domestic Mobile Operations'!BG$24</f>
        <v>61.1</v>
      </c>
      <c r="CP154" s="247">
        <f>'[3]Domestic Mobile Operations'!BH$24</f>
        <v>60.7</v>
      </c>
      <c r="CQ154" s="232"/>
      <c r="CR154" s="232"/>
      <c r="CS154" s="232"/>
      <c r="CT154" s="232"/>
      <c r="CU154" s="232"/>
      <c r="CV154" s="232"/>
      <c r="CW154" s="232"/>
      <c r="CX154" s="159"/>
      <c r="CY154" s="159"/>
      <c r="CZ154" s="159"/>
      <c r="DA154" s="159"/>
      <c r="DC154" s="170">
        <v>5.2999999999999999E-2</v>
      </c>
      <c r="DD154" s="894">
        <v>0.18945795988049485</v>
      </c>
      <c r="DE154" s="894">
        <v>7.732606121497021E-2</v>
      </c>
      <c r="DF154" s="894"/>
      <c r="DG154" s="894"/>
      <c r="DH154" s="894"/>
    </row>
    <row r="155" spans="1:112" hidden="1" outlineLevel="1">
      <c r="A155" s="226" t="s">
        <v>39</v>
      </c>
      <c r="B155" s="204"/>
      <c r="C155" s="204"/>
      <c r="D155" s="204"/>
      <c r="E155" s="204"/>
      <c r="F155" s="204"/>
      <c r="G155" s="204"/>
      <c r="H155" s="204"/>
      <c r="I155" s="204"/>
      <c r="J155" s="204"/>
      <c r="K155" s="204"/>
      <c r="L155" s="204"/>
      <c r="M155" s="204"/>
      <c r="N155" s="204"/>
      <c r="O155" s="204"/>
      <c r="P155" s="204"/>
      <c r="Q155" s="204"/>
      <c r="R155" s="204"/>
      <c r="S155" s="204"/>
      <c r="T155" s="204"/>
      <c r="U155" s="204"/>
      <c r="V155" s="204"/>
      <c r="W155" s="204"/>
      <c r="X155" s="204"/>
      <c r="Y155" s="204"/>
      <c r="Z155" s="204"/>
      <c r="AA155" s="204"/>
      <c r="AB155" s="204"/>
      <c r="AC155" s="204"/>
      <c r="AD155" s="204"/>
      <c r="AE155" s="204"/>
      <c r="AF155" s="204"/>
      <c r="AG155" s="204"/>
      <c r="AH155" s="204"/>
      <c r="AI155" s="204"/>
      <c r="AJ155" s="204"/>
      <c r="AK155" s="204"/>
      <c r="AL155" s="204"/>
      <c r="AM155" s="204"/>
      <c r="AN155" s="204"/>
      <c r="AO155" s="204"/>
      <c r="AP155" s="204"/>
      <c r="AQ155" s="227">
        <f>AQ154/AL154-1</f>
        <v>6.315789473684208E-2</v>
      </c>
      <c r="AR155" s="227">
        <f>AR154/AM154-1</f>
        <v>5.2083333333333259E-2</v>
      </c>
      <c r="AS155" s="227">
        <f>AS154/AN154-1</f>
        <v>3.0927835051546282E-2</v>
      </c>
      <c r="AT155" s="227">
        <f>AT154/AO154-1</f>
        <v>1.9607843137254832E-2</v>
      </c>
      <c r="AU155" s="227"/>
      <c r="AV155" s="227">
        <f>AV154/AQ154-1</f>
        <v>-4.9504950495049549E-2</v>
      </c>
      <c r="AW155" s="227">
        <f>AW154/AR154-1</f>
        <v>-4.9504950495049549E-2</v>
      </c>
      <c r="AX155" s="227">
        <f>AX154/AS154-1</f>
        <v>-4.0000000000000036E-2</v>
      </c>
      <c r="AY155" s="227">
        <f>AY154/AT154-1</f>
        <v>-7.6923076923076872E-2</v>
      </c>
      <c r="AZ155" s="254"/>
      <c r="BA155" s="227">
        <f t="shared" ref="BA155:BG155" si="612">BA154/AV154-1</f>
        <v>-4.166666666666663E-2</v>
      </c>
      <c r="BB155" s="227">
        <f t="shared" si="612"/>
        <v>-2.083333333333337E-2</v>
      </c>
      <c r="BC155" s="227">
        <f t="shared" si="612"/>
        <v>-3.125E-2</v>
      </c>
      <c r="BD155" s="227">
        <f t="shared" si="612"/>
        <v>-2.083333333333337E-2</v>
      </c>
      <c r="BE155" s="227">
        <f t="shared" si="612"/>
        <v>-2.864583333333337E-2</v>
      </c>
      <c r="BF155" s="227">
        <f t="shared" si="612"/>
        <v>-4.3478260869565188E-2</v>
      </c>
      <c r="BG155" s="227">
        <f t="shared" si="612"/>
        <v>-8.5106382978723416E-2</v>
      </c>
      <c r="BH155" s="204"/>
      <c r="BI155" s="204"/>
      <c r="BJ155" s="254"/>
      <c r="BK155" s="227">
        <f t="shared" ref="BK155:CP155" si="613">BK154/BF154-1</f>
        <v>-7.9545454545454586E-2</v>
      </c>
      <c r="BL155" s="227">
        <f t="shared" si="613"/>
        <v>-7.5581395348837233E-2</v>
      </c>
      <c r="BM155" s="227" t="e">
        <f t="shared" si="613"/>
        <v>#DIV/0!</v>
      </c>
      <c r="BN155" s="227" t="e">
        <f t="shared" si="613"/>
        <v>#DIV/0!</v>
      </c>
      <c r="BO155" s="254"/>
      <c r="BP155" s="227">
        <f t="shared" si="613"/>
        <v>-6.1728395061728447E-2</v>
      </c>
      <c r="BQ155" s="227">
        <f t="shared" si="613"/>
        <v>-5.1572327044025035E-2</v>
      </c>
      <c r="BR155" s="227">
        <f t="shared" si="613"/>
        <v>-4.3367346938775531E-2</v>
      </c>
      <c r="BS155" s="227">
        <f t="shared" si="613"/>
        <v>-5.0452781371280619E-2</v>
      </c>
      <c r="BT155" s="254"/>
      <c r="BU155" s="229">
        <f t="shared" si="613"/>
        <v>-4.6052631578947345E-2</v>
      </c>
      <c r="BV155" s="229">
        <f t="shared" si="613"/>
        <v>-3.5809018567639295E-2</v>
      </c>
      <c r="BW155" s="229">
        <f t="shared" si="613"/>
        <v>-2.9333333333333322E-2</v>
      </c>
      <c r="BX155" s="229">
        <f t="shared" si="613"/>
        <v>-9.5367847411444995E-3</v>
      </c>
      <c r="BY155" s="254"/>
      <c r="BZ155" s="229">
        <f t="shared" si="613"/>
        <v>-1.6551724137931045E-2</v>
      </c>
      <c r="CA155" s="229">
        <f t="shared" si="613"/>
        <v>-2.3383768913342595E-2</v>
      </c>
      <c r="CB155" s="229">
        <f t="shared" si="613"/>
        <v>-3.5714285714285587E-2</v>
      </c>
      <c r="CC155" s="229">
        <f t="shared" si="613"/>
        <v>-3.9889958734525499E-2</v>
      </c>
      <c r="CD155" s="254"/>
      <c r="CE155" s="229">
        <f t="shared" si="613"/>
        <v>-4.2075736325385749E-2</v>
      </c>
      <c r="CF155" s="229">
        <f t="shared" si="613"/>
        <v>-4.9295774647887369E-2</v>
      </c>
      <c r="CG155" s="229">
        <f t="shared" si="613"/>
        <v>-4.5584045584045607E-2</v>
      </c>
      <c r="CH155" s="229">
        <f t="shared" si="613"/>
        <v>-3.1518624641833859E-2</v>
      </c>
      <c r="CI155" s="254"/>
      <c r="CJ155" s="229">
        <f t="shared" si="613"/>
        <v>-5.4172767203513938E-2</v>
      </c>
      <c r="CK155" s="229">
        <f t="shared" si="613"/>
        <v>-5.1851851851851816E-2</v>
      </c>
      <c r="CL155" s="229">
        <f t="shared" si="613"/>
        <v>-5.9701492537313383E-2</v>
      </c>
      <c r="CM155" s="229">
        <f t="shared" si="613"/>
        <v>-6.6568047337278058E-2</v>
      </c>
      <c r="CN155" s="254"/>
      <c r="CO155" s="229">
        <f t="shared" si="613"/>
        <v>-5.4179566563467341E-2</v>
      </c>
      <c r="CP155" s="229">
        <f t="shared" si="613"/>
        <v>-5.1562499999999956E-2</v>
      </c>
      <c r="CQ155" s="254"/>
      <c r="CR155" s="254"/>
      <c r="CS155" s="254"/>
      <c r="CT155" s="254"/>
      <c r="CU155" s="254"/>
      <c r="CV155" s="254"/>
      <c r="CW155" s="254"/>
      <c r="CX155" s="159"/>
      <c r="CY155" s="159"/>
      <c r="CZ155" s="159"/>
      <c r="DA155" s="159"/>
      <c r="DB155" s="159"/>
      <c r="DC155" s="159"/>
      <c r="DD155" s="159"/>
    </row>
    <row r="156" spans="1:112" hidden="1" outlineLevel="1">
      <c r="A156" s="226"/>
      <c r="B156" s="204"/>
      <c r="C156" s="204"/>
      <c r="D156" s="204"/>
      <c r="E156" s="204"/>
      <c r="F156" s="204"/>
      <c r="G156" s="204"/>
      <c r="H156" s="204"/>
      <c r="I156" s="204"/>
      <c r="J156" s="204"/>
      <c r="K156" s="204"/>
      <c r="L156" s="204"/>
      <c r="M156" s="204"/>
      <c r="N156" s="204"/>
      <c r="O156" s="204"/>
      <c r="P156" s="204"/>
      <c r="Q156" s="204"/>
      <c r="R156" s="204"/>
      <c r="S156" s="204"/>
      <c r="T156" s="204"/>
      <c r="U156" s="204"/>
      <c r="V156" s="204"/>
      <c r="W156" s="204"/>
      <c r="X156" s="204"/>
      <c r="Y156" s="204"/>
      <c r="Z156" s="204"/>
      <c r="AA156" s="204"/>
      <c r="AB156" s="204"/>
      <c r="AC156" s="204"/>
      <c r="AD156" s="204"/>
      <c r="AE156" s="204"/>
      <c r="AF156" s="204"/>
      <c r="AG156" s="204"/>
      <c r="AH156" s="204"/>
      <c r="AI156" s="204"/>
      <c r="AJ156" s="204"/>
      <c r="AK156" s="204"/>
      <c r="AL156" s="204"/>
      <c r="AM156" s="204"/>
      <c r="AN156" s="204"/>
      <c r="AO156" s="204"/>
      <c r="AP156" s="204"/>
      <c r="AQ156" s="227"/>
      <c r="AR156" s="227"/>
      <c r="AS156" s="227"/>
      <c r="AT156" s="227"/>
      <c r="AU156" s="227"/>
      <c r="AV156" s="227"/>
      <c r="AW156" s="249">
        <f>AW152*1000/AVERAGE(AW159,AV159)/3</f>
        <v>111.78069242585372</v>
      </c>
      <c r="AX156" s="249">
        <f>AX152*1000/AVERAGE(AX159,AW159)/3</f>
        <v>116.79259649739355</v>
      </c>
      <c r="AY156" s="249">
        <f>AY152*1000/AVERAGE(AY159,AX159)/3</f>
        <v>104.82326310290789</v>
      </c>
      <c r="AZ156" s="249">
        <f>AZ152*1000/AVERAGE(AZ159,AU159)/3</f>
        <v>442.80529212036066</v>
      </c>
      <c r="BA156" s="249">
        <f>BA152*1000/AVERAGE(BA159,AZ159)/3</f>
        <v>112.21234905445432</v>
      </c>
      <c r="BB156" s="249">
        <f>BB152*1000/AVERAGE(BB159,BA159)/3</f>
        <v>112.5425241202387</v>
      </c>
      <c r="BC156" s="249">
        <f>BC152*1000/AVERAGE(BC159,BB159)/3</f>
        <v>111.58284345743523</v>
      </c>
      <c r="BD156" s="249">
        <f>BD152*1000/AVERAGE(BD159,BC159)/3</f>
        <v>111.51707704527404</v>
      </c>
      <c r="BE156" s="249"/>
      <c r="BF156" s="249">
        <f>BF152*1000/AVERAGE(BF159,BE159)/3</f>
        <v>102.39082578200993</v>
      </c>
      <c r="BG156" s="249">
        <f>BG152*1000/AVERAGE(BG159,BF159)/3</f>
        <v>95.872170439414106</v>
      </c>
      <c r="BH156" s="249"/>
      <c r="BI156" s="249"/>
      <c r="BJ156" s="204"/>
      <c r="BK156" s="249">
        <f>BK152*1000/AVERAGE(BK159,BJ159)/3</f>
        <v>85.572658492042777</v>
      </c>
      <c r="BL156" s="249">
        <f>BL152*1000/AVERAGE(BL159,BK159)/3</f>
        <v>85.058073530696007</v>
      </c>
      <c r="BM156" s="249">
        <f>BM152*1000/AVERAGE(BM159,BL159)/3</f>
        <v>83.24625566004876</v>
      </c>
      <c r="BN156" s="249">
        <f>BN152*1000/AVERAGE(BN159,BM159)/3</f>
        <v>82.713198186639303</v>
      </c>
      <c r="BO156" s="204"/>
      <c r="BP156" s="249">
        <f>BP152*1000/AVERAGE(BP159,BO159)/3</f>
        <v>81.045099018139453</v>
      </c>
      <c r="BQ156" s="249">
        <f>BQ152*1000/AVERAGE(BQ159,BP159)/3</f>
        <v>82.073964860547974</v>
      </c>
      <c r="BR156" s="249">
        <f>BR152*1000/AVERAGE(BR159,BQ159)/3</f>
        <v>83.333333333333329</v>
      </c>
      <c r="BS156" s="249">
        <f>BS152*1000/AVERAGE(BS159,BR159)/3</f>
        <v>81.201689377639653</v>
      </c>
      <c r="BT156" s="204"/>
      <c r="BU156" s="250">
        <f>BU152*1000/AVERAGE(BU159,BT159)/3</f>
        <v>60.514955288313296</v>
      </c>
      <c r="BV156" s="250">
        <f>BV152*1000/AVERAGE(BV159,BU159)/3</f>
        <v>61.91240541160284</v>
      </c>
      <c r="BW156" s="250">
        <f>BW152*1000/AVERAGE(BW159,BV159)/3</f>
        <v>62.340393570677485</v>
      </c>
      <c r="BX156" s="250">
        <f>BX152*1000/AVERAGE(BX159,BW159)/3</f>
        <v>62.483919579519977</v>
      </c>
      <c r="BY156" s="204"/>
      <c r="BZ156" s="250">
        <f>BZ152*1000/AVERAGE(BZ159,BY159)/3</f>
        <v>61.762813639288005</v>
      </c>
      <c r="CA156" s="250">
        <f>CA152*1000/AVERAGE(CA159,BZ159)/3</f>
        <v>61.878374538221088</v>
      </c>
      <c r="CB156" s="250">
        <f>CB152*1000/AVERAGE(CB159,CA159)/3</f>
        <v>61.596480201131364</v>
      </c>
      <c r="CC156" s="250">
        <f>CC152*1000/AVERAGE(CC159,CB159)/3</f>
        <v>61.762593618549296</v>
      </c>
      <c r="CD156" s="204"/>
      <c r="CE156" s="250">
        <f>CE152*1000/AVERAGE(CE159,CD159)/3</f>
        <v>60.33512153122723</v>
      </c>
      <c r="CF156" s="250">
        <f>CF152*1000/AVERAGE(CF159,CE159)/3</f>
        <v>60.093157514924883</v>
      </c>
      <c r="CG156" s="250">
        <f>CG152*1000/AVERAGE(CG159,CF159)/3</f>
        <v>59.45494279470369</v>
      </c>
      <c r="CH156" s="250">
        <f>CH152*1000/AVERAGE(CH159,CG159)/3</f>
        <v>59.448781864358949</v>
      </c>
      <c r="CI156" s="204"/>
      <c r="CJ156" s="250">
        <f>CJ152*1000/AVERAGE(CJ159,CI159)/3</f>
        <v>55.505496485853307</v>
      </c>
      <c r="CK156" s="250">
        <f>CK152*1000/AVERAGE(CK159,CJ159)/3</f>
        <v>55.55555555555555</v>
      </c>
      <c r="CL156" s="250">
        <f>CL152*1000/AVERAGE(CL159,CK159)/3</f>
        <v>55.473006438831106</v>
      </c>
      <c r="CM156" s="250">
        <f>CM152*1000/AVERAGE(CM159,CL159)/3</f>
        <v>55.55081248754945</v>
      </c>
      <c r="CN156" s="204"/>
      <c r="CO156" s="250">
        <f>CO152*1000/AVERAGE(CO159,CN159)/3</f>
        <v>53.33998005982054</v>
      </c>
      <c r="CP156" s="250">
        <f>CP152*1000/AVERAGE(CP159,CO159)/3</f>
        <v>53.228191227205521</v>
      </c>
      <c r="CQ156" s="204"/>
      <c r="CR156" s="204"/>
      <c r="CS156" s="204"/>
      <c r="CT156" s="204"/>
      <c r="CU156" s="204"/>
      <c r="CV156" s="204"/>
      <c r="CW156" s="204"/>
      <c r="CX156" s="159"/>
      <c r="CY156" s="159"/>
      <c r="CZ156" s="159"/>
      <c r="DA156" s="159"/>
      <c r="DB156" s="159"/>
      <c r="DC156" s="159"/>
      <c r="DD156" s="159"/>
    </row>
    <row r="157" spans="1:112" hidden="1" outlineLevel="1">
      <c r="A157" s="226"/>
      <c r="B157" s="204"/>
      <c r="C157" s="204"/>
      <c r="D157" s="204"/>
      <c r="E157" s="204"/>
      <c r="F157" s="204"/>
      <c r="G157" s="204"/>
      <c r="H157" s="204"/>
      <c r="I157" s="204"/>
      <c r="J157" s="204"/>
      <c r="K157" s="204"/>
      <c r="L157" s="204"/>
      <c r="M157" s="204"/>
      <c r="N157" s="204"/>
      <c r="O157" s="204"/>
      <c r="P157" s="204"/>
      <c r="Q157" s="204"/>
      <c r="R157" s="204"/>
      <c r="S157" s="204"/>
      <c r="T157" s="204"/>
      <c r="U157" s="204"/>
      <c r="V157" s="204"/>
      <c r="W157" s="204"/>
      <c r="X157" s="204"/>
      <c r="Y157" s="204"/>
      <c r="Z157" s="204"/>
      <c r="AA157" s="204"/>
      <c r="AB157" s="204"/>
      <c r="AC157" s="204"/>
      <c r="AD157" s="204"/>
      <c r="AE157" s="204"/>
      <c r="AF157" s="204"/>
      <c r="AG157" s="204"/>
      <c r="AH157" s="204"/>
      <c r="AI157" s="204"/>
      <c r="AJ157" s="204"/>
      <c r="AK157" s="204"/>
      <c r="AL157" s="204"/>
      <c r="AM157" s="204"/>
      <c r="AN157" s="204"/>
      <c r="AO157" s="204"/>
      <c r="AP157" s="204"/>
      <c r="AQ157" s="227"/>
      <c r="AR157" s="227"/>
      <c r="AS157" s="227"/>
      <c r="AT157" s="227"/>
      <c r="AU157" s="227"/>
      <c r="AV157" s="227"/>
      <c r="AW157" s="227"/>
      <c r="AX157" s="227"/>
      <c r="AY157" s="227"/>
      <c r="AZ157" s="204"/>
      <c r="BA157" s="227"/>
      <c r="BB157" s="227"/>
      <c r="BC157" s="227"/>
      <c r="BD157" s="227"/>
      <c r="BE157" s="204"/>
      <c r="BF157" s="227"/>
      <c r="BG157" s="227"/>
      <c r="BH157" s="204"/>
      <c r="BI157" s="204"/>
      <c r="BJ157" s="204"/>
      <c r="BK157" s="227"/>
      <c r="BL157" s="227"/>
      <c r="BM157" s="227"/>
      <c r="BN157" s="227"/>
      <c r="BO157" s="204"/>
      <c r="BP157" s="227"/>
      <c r="BQ157" s="227"/>
      <c r="BR157" s="227"/>
      <c r="BS157" s="227"/>
      <c r="BT157" s="204"/>
      <c r="BU157" s="229"/>
      <c r="BV157" s="229"/>
      <c r="BW157" s="229"/>
      <c r="BX157" s="229"/>
      <c r="BY157" s="204"/>
      <c r="BZ157" s="229"/>
      <c r="CA157" s="229"/>
      <c r="CB157" s="229"/>
      <c r="CC157" s="229"/>
      <c r="CD157" s="204"/>
      <c r="CE157" s="229"/>
      <c r="CF157" s="229"/>
      <c r="CG157" s="229"/>
      <c r="CH157" s="229"/>
      <c r="CI157" s="204"/>
      <c r="CJ157" s="229"/>
      <c r="CK157" s="229"/>
      <c r="CL157" s="229"/>
      <c r="CM157" s="229"/>
      <c r="CN157" s="204"/>
      <c r="CO157" s="229"/>
      <c r="CP157" s="229"/>
      <c r="CQ157" s="204"/>
      <c r="CR157" s="204"/>
      <c r="CS157" s="204"/>
      <c r="CT157" s="204"/>
      <c r="CU157" s="204"/>
      <c r="CV157" s="204"/>
      <c r="CW157" s="204"/>
      <c r="CX157" s="159"/>
      <c r="CY157" s="159"/>
      <c r="CZ157" s="159"/>
      <c r="DA157" s="159"/>
      <c r="DB157" s="159"/>
      <c r="DC157" s="159"/>
      <c r="DD157" s="159"/>
    </row>
    <row r="158" spans="1:112" hidden="1" outlineLevel="1">
      <c r="A158" s="226"/>
      <c r="B158" s="204"/>
      <c r="C158" s="204"/>
      <c r="D158" s="204"/>
      <c r="E158" s="204"/>
      <c r="F158" s="204"/>
      <c r="G158" s="204"/>
      <c r="H158" s="204"/>
      <c r="I158" s="204"/>
      <c r="J158" s="204"/>
      <c r="K158" s="204"/>
      <c r="L158" s="204"/>
      <c r="M158" s="204"/>
      <c r="N158" s="204"/>
      <c r="O158" s="204"/>
      <c r="P158" s="204"/>
      <c r="Q158" s="204"/>
      <c r="R158" s="204"/>
      <c r="S158" s="204"/>
      <c r="T158" s="204"/>
      <c r="U158" s="204"/>
      <c r="V158" s="204"/>
      <c r="W158" s="204"/>
      <c r="X158" s="204"/>
      <c r="Y158" s="204"/>
      <c r="Z158" s="204"/>
      <c r="AA158" s="204"/>
      <c r="AB158" s="204"/>
      <c r="AC158" s="204"/>
      <c r="AD158" s="204"/>
      <c r="AE158" s="204"/>
      <c r="AF158" s="204"/>
      <c r="AG158" s="204"/>
      <c r="AH158" s="204"/>
      <c r="AI158" s="204"/>
      <c r="AJ158" s="204"/>
      <c r="AK158" s="204"/>
      <c r="AL158" s="204"/>
      <c r="AM158" s="204"/>
      <c r="AN158" s="204"/>
      <c r="AO158" s="204"/>
      <c r="AP158" s="204"/>
      <c r="AQ158" s="204"/>
      <c r="AR158" s="204"/>
      <c r="AS158" s="204"/>
      <c r="AT158" s="204"/>
      <c r="AU158" s="204"/>
      <c r="AV158" s="204"/>
      <c r="AW158" s="204"/>
      <c r="AX158" s="204"/>
      <c r="AY158" s="204"/>
      <c r="AZ158" s="204"/>
      <c r="BA158" s="204"/>
      <c r="BB158" s="204"/>
      <c r="BC158" s="204"/>
      <c r="BD158" s="204"/>
      <c r="BE158" s="204"/>
      <c r="BF158" s="204"/>
      <c r="BG158" s="204"/>
      <c r="BH158" s="204"/>
      <c r="BI158" s="204"/>
      <c r="BJ158" s="204"/>
      <c r="BK158" s="204"/>
      <c r="BL158" s="204"/>
      <c r="BM158" s="204"/>
      <c r="BN158" s="204"/>
      <c r="BO158" s="204"/>
      <c r="BP158" s="204"/>
      <c r="BQ158" s="204"/>
      <c r="BR158" s="204"/>
      <c r="BS158" s="204"/>
      <c r="BT158" s="204"/>
      <c r="BU158" s="185"/>
      <c r="BV158" s="185"/>
      <c r="BW158" s="185"/>
      <c r="BX158" s="185"/>
      <c r="BY158" s="204"/>
      <c r="BZ158" s="185"/>
      <c r="CA158" s="185"/>
      <c r="CB158" s="185"/>
      <c r="CC158" s="185"/>
      <c r="CD158" s="204"/>
      <c r="CE158" s="185"/>
      <c r="CF158" s="185"/>
      <c r="CG158" s="185"/>
      <c r="CH158" s="185"/>
      <c r="CI158" s="204"/>
      <c r="CJ158" s="185"/>
      <c r="CK158" s="185"/>
      <c r="CL158" s="185"/>
      <c r="CM158" s="185"/>
      <c r="CN158" s="204"/>
      <c r="CO158" s="185"/>
      <c r="CP158" s="185"/>
      <c r="CQ158" s="204"/>
      <c r="CR158" s="204"/>
      <c r="CS158" s="204"/>
      <c r="CT158" s="204"/>
      <c r="CU158" s="204"/>
      <c r="CV158" s="204"/>
      <c r="CW158" s="204"/>
      <c r="CX158" s="159"/>
      <c r="CY158" s="159"/>
      <c r="CZ158" s="159"/>
      <c r="DA158" s="159"/>
      <c r="DB158" s="159"/>
      <c r="DC158" s="159"/>
      <c r="DD158" s="159"/>
    </row>
    <row r="159" spans="1:112" hidden="1" outlineLevel="1">
      <c r="A159" s="226" t="s">
        <v>445</v>
      </c>
      <c r="B159" s="204"/>
      <c r="C159" s="204"/>
      <c r="D159" s="204"/>
      <c r="E159" s="204"/>
      <c r="F159" s="204"/>
      <c r="G159" s="204"/>
      <c r="H159" s="204"/>
      <c r="I159" s="204"/>
      <c r="J159" s="204"/>
      <c r="K159" s="204"/>
      <c r="L159" s="204"/>
      <c r="M159" s="204"/>
      <c r="N159" s="204"/>
      <c r="O159" s="204"/>
      <c r="P159" s="204"/>
      <c r="Q159" s="204"/>
      <c r="R159" s="204"/>
      <c r="S159" s="204"/>
      <c r="T159" s="204"/>
      <c r="U159" s="204"/>
      <c r="V159" s="204"/>
      <c r="W159" s="204"/>
      <c r="X159" s="204"/>
      <c r="Y159" s="204"/>
      <c r="Z159" s="204"/>
      <c r="AA159" s="204"/>
      <c r="AB159" s="204"/>
      <c r="AC159" s="204"/>
      <c r="AD159" s="204"/>
      <c r="AE159" s="204"/>
      <c r="AF159" s="204"/>
      <c r="AG159" s="204"/>
      <c r="AH159" s="204"/>
      <c r="AI159" s="204"/>
      <c r="AJ159" s="204"/>
      <c r="AK159" s="204"/>
      <c r="AL159" s="204"/>
      <c r="AM159" s="204"/>
      <c r="AN159" s="204"/>
      <c r="AO159" s="204"/>
      <c r="AP159" s="204"/>
      <c r="AQ159" s="204"/>
      <c r="AR159" s="204"/>
      <c r="AS159" s="204"/>
      <c r="AT159" s="204"/>
      <c r="AU159" s="251">
        <f>'[3]Domestic Mobile Operations'!$W$13</f>
        <v>2800</v>
      </c>
      <c r="AV159" s="251">
        <f>'[3]Domestic Mobile Operations'!$W$13</f>
        <v>2800</v>
      </c>
      <c r="AW159" s="251">
        <f>'[3]Domestic Mobile Operations'!X$13</f>
        <v>2842</v>
      </c>
      <c r="AX159" s="251">
        <f>'[3]Domestic Mobile Operations'!Y$13</f>
        <v>2849</v>
      </c>
      <c r="AY159" s="251">
        <f>'[3]Domestic Mobile Operations'!Z$13</f>
        <v>2894</v>
      </c>
      <c r="AZ159" s="251">
        <f>AY159</f>
        <v>2894</v>
      </c>
      <c r="BA159" s="251">
        <f>'[3]Domestic Mobile Operations'!AA$13</f>
        <v>2958</v>
      </c>
      <c r="BB159" s="251">
        <f>'[3]Domestic Mobile Operations'!AB$13</f>
        <v>3019</v>
      </c>
      <c r="BC159" s="251">
        <f>'[3]Domestic Mobile Operations'!AC$13</f>
        <v>3105</v>
      </c>
      <c r="BD159" s="251">
        <f>'[3]Domestic Mobile Operations'!AD$13</f>
        <v>3190</v>
      </c>
      <c r="BE159" s="167">
        <f>BD159</f>
        <v>3190</v>
      </c>
      <c r="BF159" s="251">
        <f>'[3]Domestic Mobile Operations'!AE$13</f>
        <v>3321</v>
      </c>
      <c r="BG159" s="251">
        <f>'[3]Domestic Mobile Operations'!AF$13</f>
        <v>3438</v>
      </c>
      <c r="BH159" s="167"/>
      <c r="BI159" s="167"/>
      <c r="BJ159" s="167"/>
      <c r="BK159" s="251">
        <f>'[3]Domestic Mobile Operations'!AI$13</f>
        <v>3833</v>
      </c>
      <c r="BL159" s="251">
        <f>'[3]Domestic Mobile Operations'!AJ$13</f>
        <v>3801</v>
      </c>
      <c r="BM159" s="251">
        <f>'[3]Domestic Mobile Operations'!AK$13</f>
        <v>3855</v>
      </c>
      <c r="BN159" s="251">
        <f>'[3]Domestic Mobile Operations'!AL$13</f>
        <v>3939</v>
      </c>
      <c r="BO159" s="167"/>
      <c r="BP159" s="251">
        <f>'[3]Domestic Mobile Operations'!AM$13</f>
        <v>4006</v>
      </c>
      <c r="BQ159" s="251">
        <f>'[3]Domestic Mobile Operations'!AN$13</f>
        <v>4133</v>
      </c>
      <c r="BR159" s="251">
        <f>'[3]Domestic Mobile Operations'!AO$13</f>
        <v>4107</v>
      </c>
      <c r="BS159" s="251">
        <f>'[3]Domestic Mobile Operations'!AP$13</f>
        <v>4259</v>
      </c>
      <c r="BT159" s="167"/>
      <c r="BU159" s="253">
        <f>'[3]Domestic Mobile Operations'!AQ$13</f>
        <v>4324</v>
      </c>
      <c r="BV159" s="253">
        <f>'[3]Domestic Mobile Operations'!AR$13</f>
        <v>4398</v>
      </c>
      <c r="BW159" s="253">
        <f>'[3]Domestic Mobile Operations'!AS$13</f>
        <v>4478</v>
      </c>
      <c r="BX159" s="253">
        <f>'[3]Domestic Mobile Operations'!AT$13</f>
        <v>4591</v>
      </c>
      <c r="BY159" s="167"/>
      <c r="BZ159" s="253">
        <f>'[3]Domestic Mobile Operations'!AU$13</f>
        <v>4663</v>
      </c>
      <c r="CA159" s="253">
        <f>'[3]Domestic Mobile Operations'!AV$13</f>
        <v>4721</v>
      </c>
      <c r="CB159" s="253">
        <f>'[3]Domestic Mobile Operations'!AW$13</f>
        <v>4825</v>
      </c>
      <c r="CC159" s="253">
        <f>'[3]Domestic Mobile Operations'!AX$13</f>
        <v>4922</v>
      </c>
      <c r="CD159" s="167"/>
      <c r="CE159" s="253">
        <f>'[3]Domestic Mobile Operations'!AY$13</f>
        <v>5033</v>
      </c>
      <c r="CF159" s="253">
        <f>'[3]Domestic Mobile Operations'!AZ$13</f>
        <v>5129</v>
      </c>
      <c r="CG159" s="253">
        <f>'[3]Domestic Mobile Operations'!BA$13</f>
        <v>5243</v>
      </c>
      <c r="CH159" s="253">
        <f>'[3]Domestic Mobile Operations'!BB$13</f>
        <v>5388</v>
      </c>
      <c r="CI159" s="167"/>
      <c r="CJ159" s="253">
        <f>'[3]Domestic Mobile Operations'!BC$13</f>
        <v>5549</v>
      </c>
      <c r="CK159" s="253">
        <f>'[3]Domestic Mobile Operations'!BD$13</f>
        <v>5647</v>
      </c>
      <c r="CL159" s="253">
        <f>'[3]Domestic Mobile Operations'!BE$13</f>
        <v>5794</v>
      </c>
      <c r="CM159" s="253">
        <f>'[3]Domestic Mobile Operations'!BF$13</f>
        <v>5919</v>
      </c>
      <c r="CN159" s="167"/>
      <c r="CO159" s="253">
        <f>'[3]Domestic Mobile Operations'!BG$13</f>
        <v>6018</v>
      </c>
      <c r="CP159" s="253">
        <f>'[3]Domestic Mobile Operations'!BH$13</f>
        <v>6156</v>
      </c>
      <c r="CQ159" s="167"/>
      <c r="CR159" s="167"/>
      <c r="CS159" s="204"/>
      <c r="CT159" s="204"/>
      <c r="CU159" s="204"/>
      <c r="CV159" s="204"/>
      <c r="CW159" s="204"/>
      <c r="CX159" s="159"/>
      <c r="CY159" s="159"/>
      <c r="CZ159" s="159"/>
      <c r="DA159" s="159"/>
      <c r="DB159" s="159"/>
      <c r="DC159" s="159"/>
      <c r="DD159" s="159"/>
    </row>
    <row r="160" spans="1:112" hidden="1" outlineLevel="1">
      <c r="A160" s="226"/>
      <c r="B160" s="204"/>
      <c r="C160" s="204"/>
      <c r="D160" s="204"/>
      <c r="E160" s="204"/>
      <c r="F160" s="204"/>
      <c r="G160" s="204"/>
      <c r="H160" s="204"/>
      <c r="I160" s="204"/>
      <c r="J160" s="204"/>
      <c r="K160" s="204"/>
      <c r="L160" s="204"/>
      <c r="M160" s="204"/>
      <c r="N160" s="204"/>
      <c r="O160" s="204"/>
      <c r="P160" s="204"/>
      <c r="Q160" s="204"/>
      <c r="R160" s="204"/>
      <c r="S160" s="204"/>
      <c r="T160" s="204"/>
      <c r="U160" s="204"/>
      <c r="V160" s="204"/>
      <c r="W160" s="204"/>
      <c r="X160" s="204"/>
      <c r="Y160" s="204"/>
      <c r="Z160" s="204"/>
      <c r="AA160" s="204"/>
      <c r="AB160" s="204"/>
      <c r="AC160" s="204"/>
      <c r="AD160" s="204"/>
      <c r="AE160" s="204"/>
      <c r="AF160" s="204"/>
      <c r="AG160" s="204"/>
      <c r="AH160" s="204"/>
      <c r="AI160" s="204"/>
      <c r="AJ160" s="204"/>
      <c r="AK160" s="204"/>
      <c r="AL160" s="204"/>
      <c r="AM160" s="204"/>
      <c r="AN160" s="204"/>
      <c r="AO160" s="204"/>
      <c r="AP160" s="204"/>
      <c r="AQ160" s="204"/>
      <c r="AR160" s="204"/>
      <c r="AS160" s="204"/>
      <c r="AT160" s="204"/>
      <c r="AU160" s="204"/>
      <c r="AV160" s="204">
        <f t="shared" ref="AV160:BD160" si="614">AV159/AV117</f>
        <v>0.24096385542168675</v>
      </c>
      <c r="AW160" s="204">
        <f t="shared" si="614"/>
        <v>0.24723792953458026</v>
      </c>
      <c r="AX160" s="204">
        <f t="shared" si="614"/>
        <v>0.25657420749279541</v>
      </c>
      <c r="AY160" s="204">
        <f t="shared" si="614"/>
        <v>0.2648243045387994</v>
      </c>
      <c r="AZ160" s="204">
        <f t="shared" si="614"/>
        <v>0.2648243045387994</v>
      </c>
      <c r="BA160" s="204">
        <f t="shared" si="614"/>
        <v>0.27608736232966213</v>
      </c>
      <c r="BB160" s="204">
        <f t="shared" si="614"/>
        <v>0.28122962272938984</v>
      </c>
      <c r="BC160" s="204">
        <f t="shared" si="614"/>
        <v>0.28728719467061437</v>
      </c>
      <c r="BD160" s="204">
        <f t="shared" si="614"/>
        <v>0.29644085122200536</v>
      </c>
      <c r="BE160" s="204"/>
      <c r="BF160" s="204">
        <f>BF159/BF117</f>
        <v>0.30849976776590804</v>
      </c>
      <c r="BG160" s="204">
        <f>BG159/BG117</f>
        <v>0.31538390973305203</v>
      </c>
      <c r="BH160" s="204"/>
      <c r="BI160" s="204"/>
      <c r="BJ160" s="204"/>
      <c r="BK160" s="204">
        <f>BK159/BK117</f>
        <v>0.34159165849746009</v>
      </c>
      <c r="BL160" s="204">
        <f>BL159/BL117</f>
        <v>0.3267990714469951</v>
      </c>
      <c r="BM160" s="204">
        <f>BM159/BM117</f>
        <v>0.3503908380294492</v>
      </c>
      <c r="BN160" s="204">
        <f>BN159/BN117</f>
        <v>0.35384477182896157</v>
      </c>
      <c r="BO160" s="204"/>
      <c r="BP160" s="204">
        <f>BP159/BP117</f>
        <v>0.35229970978805736</v>
      </c>
      <c r="BQ160" s="204">
        <f>BQ159/BQ117</f>
        <v>0.35961019751152878</v>
      </c>
      <c r="BR160" s="204">
        <f>BR159/BR117</f>
        <v>0.35897211782186872</v>
      </c>
      <c r="BS160" s="204">
        <f>BS159/BS117</f>
        <v>0.36658633155448445</v>
      </c>
      <c r="BT160" s="204"/>
      <c r="BU160" s="185">
        <f>BU159/BU117</f>
        <v>0.37876664330763843</v>
      </c>
      <c r="BV160" s="185">
        <f>BV159/BV117</f>
        <v>0.38087815016887505</v>
      </c>
      <c r="BW160" s="185">
        <f>BW159/BW117</f>
        <v>0.3838505057431853</v>
      </c>
      <c r="BX160" s="185">
        <f>BX159/BX117</f>
        <v>0.39112284886692794</v>
      </c>
      <c r="BY160" s="204"/>
      <c r="BZ160" s="185">
        <f>BZ159/BZ117</f>
        <v>0.39553821358893881</v>
      </c>
      <c r="CA160" s="185">
        <f>CA159/CA117</f>
        <v>0.40168467625287163</v>
      </c>
      <c r="CB160" s="185">
        <f>CB159/CB117</f>
        <v>0.40174854288093254</v>
      </c>
      <c r="CC160" s="185">
        <f>CC159/CC117</f>
        <v>0.39341379585964353</v>
      </c>
      <c r="CD160" s="204"/>
      <c r="CE160" s="185">
        <f>CE159/CE117</f>
        <v>0.40490748189863235</v>
      </c>
      <c r="CF160" s="185">
        <f>CF159/CF117</f>
        <v>0.40622524948518929</v>
      </c>
      <c r="CG160" s="185">
        <f>CG159/CG117</f>
        <v>0.41163539294967416</v>
      </c>
      <c r="CH160" s="185">
        <f>CH159/CH117</f>
        <v>0.42008420396070484</v>
      </c>
      <c r="CI160" s="204"/>
      <c r="CJ160" s="185">
        <f>CJ159/CJ117</f>
        <v>0.42310331681280977</v>
      </c>
      <c r="CK160" s="185">
        <f>CK159/CK117</f>
        <v>0.42625301932367149</v>
      </c>
      <c r="CL160" s="185">
        <f>CL159/CL117</f>
        <v>0.43345552479988031</v>
      </c>
      <c r="CM160" s="185">
        <f>CM159/CM117</f>
        <v>0.43831457345971564</v>
      </c>
      <c r="CN160" s="204"/>
      <c r="CO160" s="185">
        <f>CO159/CO117</f>
        <v>0.44149365417064046</v>
      </c>
      <c r="CP160" s="185">
        <f>CP159/CP117</f>
        <v>0.45441795231416549</v>
      </c>
      <c r="CQ160" s="204"/>
      <c r="CR160" s="204"/>
      <c r="CS160" s="204"/>
      <c r="CT160" s="204"/>
      <c r="CU160" s="204"/>
      <c r="CV160" s="204"/>
      <c r="CW160" s="204"/>
      <c r="CX160" s="159"/>
      <c r="CY160" s="159"/>
      <c r="CZ160" s="159"/>
      <c r="DA160" s="159"/>
      <c r="DB160" s="159"/>
      <c r="DC160" s="159"/>
      <c r="DD160" s="159"/>
    </row>
    <row r="161" spans="1:109" hidden="1" outlineLevel="1">
      <c r="A161" s="226" t="s">
        <v>45</v>
      </c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  <c r="L161" s="204"/>
      <c r="M161" s="204"/>
      <c r="N161" s="204"/>
      <c r="O161" s="204"/>
      <c r="P161" s="204"/>
      <c r="Q161" s="204"/>
      <c r="R161" s="204"/>
      <c r="S161" s="204"/>
      <c r="T161" s="204"/>
      <c r="U161" s="204"/>
      <c r="V161" s="204"/>
      <c r="W161" s="204"/>
      <c r="X161" s="204"/>
      <c r="Y161" s="204"/>
      <c r="Z161" s="204"/>
      <c r="AA161" s="204"/>
      <c r="AB161" s="204"/>
      <c r="AC161" s="204"/>
      <c r="AD161" s="204"/>
      <c r="AE161" s="204"/>
      <c r="AF161" s="204"/>
      <c r="AG161" s="204"/>
      <c r="AH161" s="204"/>
      <c r="AI161" s="204"/>
      <c r="AJ161" s="204"/>
      <c r="AK161" s="204"/>
      <c r="AL161" s="204"/>
      <c r="AM161" s="204"/>
      <c r="AN161" s="204"/>
      <c r="AO161" s="204"/>
      <c r="AP161" s="204"/>
      <c r="AQ161" s="204"/>
      <c r="AR161" s="204"/>
      <c r="AS161" s="204"/>
      <c r="AT161" s="204"/>
      <c r="AU161" s="204"/>
      <c r="AV161" s="204"/>
      <c r="AW161" s="204"/>
      <c r="AX161" s="204"/>
      <c r="AY161" s="204"/>
      <c r="AZ161" s="204"/>
      <c r="BA161" s="204"/>
      <c r="BB161" s="204"/>
      <c r="BC161" s="204"/>
      <c r="BD161" s="204"/>
      <c r="BE161" s="204"/>
      <c r="BF161" s="204"/>
      <c r="BG161" s="204"/>
      <c r="BH161" s="204"/>
      <c r="BI161" s="204"/>
      <c r="BJ161" s="204"/>
      <c r="BK161" s="204"/>
      <c r="BL161" s="204"/>
      <c r="BM161" s="204"/>
      <c r="BN161" s="204"/>
      <c r="BO161" s="204"/>
      <c r="BP161" s="204"/>
      <c r="BQ161" s="204"/>
      <c r="BR161" s="204"/>
      <c r="BS161" s="204"/>
      <c r="BT161" s="204"/>
      <c r="BU161" s="185"/>
      <c r="BV161" s="185"/>
      <c r="BW161" s="185"/>
      <c r="BX161" s="185"/>
      <c r="BY161" s="204"/>
      <c r="BZ161" s="185"/>
      <c r="CA161" s="185"/>
      <c r="CB161" s="185"/>
      <c r="CC161" s="185"/>
      <c r="CD161" s="204"/>
      <c r="CE161" s="185"/>
      <c r="CF161" s="185"/>
      <c r="CG161" s="185"/>
      <c r="CH161" s="185"/>
      <c r="CI161" s="204"/>
      <c r="CJ161" s="185"/>
      <c r="CK161" s="185"/>
      <c r="CL161" s="185"/>
      <c r="CM161" s="185"/>
      <c r="CN161" s="204"/>
      <c r="CO161" s="185"/>
      <c r="CP161" s="185"/>
      <c r="CQ161" s="204"/>
      <c r="CR161" s="204"/>
      <c r="CS161" s="204"/>
      <c r="CT161" s="204"/>
      <c r="CU161" s="204"/>
      <c r="CV161" s="204"/>
      <c r="CW161" s="204"/>
      <c r="CX161" s="159"/>
      <c r="CY161" s="159"/>
      <c r="CZ161" s="159"/>
      <c r="DA161" s="159"/>
      <c r="DB161" s="159"/>
      <c r="DC161" s="159"/>
      <c r="DD161" s="159"/>
    </row>
    <row r="162" spans="1:109" hidden="1" outlineLevel="1">
      <c r="A162" s="226" t="s">
        <v>46</v>
      </c>
      <c r="B162" s="204"/>
      <c r="C162" s="204"/>
      <c r="D162" s="204"/>
      <c r="E162" s="204"/>
      <c r="F162" s="204"/>
      <c r="G162" s="204"/>
      <c r="H162" s="204"/>
      <c r="I162" s="204"/>
      <c r="J162" s="204"/>
      <c r="K162" s="204"/>
      <c r="L162" s="204"/>
      <c r="M162" s="204"/>
      <c r="N162" s="204"/>
      <c r="O162" s="204"/>
      <c r="P162" s="204"/>
      <c r="Q162" s="204"/>
      <c r="R162" s="204"/>
      <c r="S162" s="204"/>
      <c r="T162" s="204"/>
      <c r="U162" s="204"/>
      <c r="V162" s="204"/>
      <c r="W162" s="204"/>
      <c r="X162" s="204"/>
      <c r="Y162" s="204"/>
      <c r="Z162" s="204"/>
      <c r="AA162" s="204"/>
      <c r="AB162" s="204"/>
      <c r="AC162" s="204"/>
      <c r="AD162" s="204"/>
      <c r="AE162" s="204"/>
      <c r="AF162" s="204"/>
      <c r="AG162" s="204"/>
      <c r="AH162" s="204"/>
      <c r="AI162" s="204"/>
      <c r="AJ162" s="204"/>
      <c r="AK162" s="204"/>
      <c r="AL162" s="204"/>
      <c r="AM162" s="204"/>
      <c r="AN162" s="204"/>
      <c r="AO162" s="204"/>
      <c r="AP162" s="204"/>
      <c r="AQ162" s="204"/>
      <c r="AR162" s="204"/>
      <c r="AS162" s="204"/>
      <c r="AT162" s="204"/>
      <c r="AU162" s="204"/>
      <c r="AV162" s="204"/>
      <c r="AW162" s="204"/>
      <c r="AX162" s="204"/>
      <c r="AY162" s="204"/>
      <c r="AZ162" s="204"/>
      <c r="BA162" s="204"/>
      <c r="BB162" s="204"/>
      <c r="BC162" s="204"/>
      <c r="BD162" s="204"/>
      <c r="BE162" s="204"/>
      <c r="BF162" s="204"/>
      <c r="BG162" s="204"/>
      <c r="BH162" s="204"/>
      <c r="BI162" s="204"/>
      <c r="BJ162" s="204"/>
      <c r="BK162" s="204"/>
      <c r="BL162" s="204"/>
      <c r="BM162" s="204"/>
      <c r="BN162" s="204"/>
      <c r="BO162" s="204"/>
      <c r="BP162" s="204"/>
      <c r="BQ162" s="204"/>
      <c r="BR162" s="204"/>
      <c r="BS162" s="204"/>
      <c r="BT162" s="204"/>
      <c r="BU162" s="185"/>
      <c r="BV162" s="185"/>
      <c r="BW162" s="185"/>
      <c r="BX162" s="185"/>
      <c r="BY162" s="204"/>
      <c r="BZ162" s="185"/>
      <c r="CA162" s="185"/>
      <c r="CB162" s="185"/>
      <c r="CC162" s="185"/>
      <c r="CD162" s="204"/>
      <c r="CE162" s="185"/>
      <c r="CF162" s="185"/>
      <c r="CG162" s="185"/>
      <c r="CH162" s="185"/>
      <c r="CI162" s="204"/>
      <c r="CJ162" s="185"/>
      <c r="CK162" s="185"/>
      <c r="CL162" s="185"/>
      <c r="CM162" s="185"/>
      <c r="CN162" s="204"/>
      <c r="CO162" s="185"/>
      <c r="CP162" s="185"/>
      <c r="CQ162" s="204"/>
      <c r="CR162" s="204"/>
      <c r="CS162" s="204"/>
      <c r="CT162" s="204"/>
      <c r="CU162" s="204"/>
      <c r="CV162" s="204"/>
      <c r="CW162" s="204"/>
      <c r="CX162" s="159"/>
      <c r="CY162" s="159"/>
      <c r="CZ162" s="159"/>
      <c r="DA162" s="159"/>
      <c r="DB162" s="159"/>
      <c r="DC162" s="159"/>
      <c r="DD162" s="159"/>
    </row>
    <row r="163" spans="1:109" hidden="1" outlineLevel="1">
      <c r="A163" s="226"/>
      <c r="B163" s="204"/>
      <c r="C163" s="204"/>
      <c r="D163" s="204"/>
      <c r="E163" s="204"/>
      <c r="F163" s="204"/>
      <c r="G163" s="204"/>
      <c r="H163" s="204"/>
      <c r="I163" s="204"/>
      <c r="J163" s="204"/>
      <c r="K163" s="204"/>
      <c r="L163" s="204"/>
      <c r="M163" s="204"/>
      <c r="N163" s="204"/>
      <c r="O163" s="204"/>
      <c r="P163" s="204"/>
      <c r="Q163" s="204"/>
      <c r="R163" s="204"/>
      <c r="S163" s="204"/>
      <c r="T163" s="204"/>
      <c r="U163" s="204"/>
      <c r="V163" s="204"/>
      <c r="W163" s="204"/>
      <c r="X163" s="204"/>
      <c r="Y163" s="204"/>
      <c r="Z163" s="204"/>
      <c r="AA163" s="255"/>
      <c r="AB163" s="185"/>
      <c r="AC163" s="185"/>
      <c r="AD163" s="185"/>
      <c r="AE163" s="185"/>
      <c r="AF163" s="204"/>
      <c r="AG163" s="204"/>
      <c r="AH163" s="204"/>
      <c r="AI163" s="204"/>
      <c r="AJ163" s="204"/>
      <c r="AK163" s="204"/>
      <c r="AL163" s="204"/>
      <c r="AM163" s="204"/>
      <c r="AN163" s="204"/>
      <c r="AO163" s="204"/>
      <c r="AP163" s="204"/>
      <c r="AQ163" s="204"/>
      <c r="AR163" s="204"/>
      <c r="AS163" s="204"/>
      <c r="AT163" s="204"/>
      <c r="AU163" s="204"/>
      <c r="AV163" s="204"/>
      <c r="AW163" s="204"/>
      <c r="AX163" s="204"/>
      <c r="AY163" s="204"/>
      <c r="AZ163" s="204"/>
      <c r="BA163" s="204"/>
      <c r="BB163" s="204"/>
      <c r="BC163" s="204"/>
      <c r="BD163" s="204"/>
      <c r="BE163" s="204"/>
      <c r="BF163" s="204"/>
      <c r="BG163" s="204"/>
      <c r="BH163" s="204"/>
      <c r="BI163" s="204"/>
      <c r="BJ163" s="204"/>
      <c r="BK163" s="204"/>
      <c r="BL163" s="204"/>
      <c r="BM163" s="204"/>
      <c r="BN163" s="204"/>
      <c r="BO163" s="204"/>
      <c r="BP163" s="204"/>
      <c r="BQ163" s="204"/>
      <c r="BR163" s="204"/>
      <c r="BS163" s="204"/>
      <c r="BT163" s="204"/>
      <c r="BU163" s="185"/>
      <c r="BV163" s="185"/>
      <c r="BW163" s="185"/>
      <c r="BX163" s="185"/>
      <c r="BY163" s="204"/>
      <c r="BZ163" s="185"/>
      <c r="CA163" s="185"/>
      <c r="CB163" s="185"/>
      <c r="CC163" s="185"/>
      <c r="CD163" s="204"/>
      <c r="CE163" s="185"/>
      <c r="CF163" s="185"/>
      <c r="CG163" s="185"/>
      <c r="CH163" s="185"/>
      <c r="CI163" s="204"/>
      <c r="CJ163" s="185"/>
      <c r="CK163" s="185"/>
      <c r="CL163" s="185"/>
      <c r="CM163" s="185"/>
      <c r="CN163" s="204"/>
      <c r="CO163" s="185"/>
      <c r="CP163" s="185"/>
      <c r="CQ163" s="204"/>
      <c r="CR163" s="204"/>
      <c r="CS163" s="204"/>
      <c r="CT163" s="204"/>
      <c r="CU163" s="204"/>
      <c r="CV163" s="204"/>
      <c r="CW163" s="204"/>
      <c r="CX163" s="159"/>
      <c r="CY163" s="159"/>
      <c r="CZ163" s="159"/>
      <c r="DA163" s="159"/>
      <c r="DB163" s="159"/>
      <c r="DC163" s="159"/>
      <c r="DD163" s="159"/>
    </row>
    <row r="164" spans="1:109" collapsed="1">
      <c r="A164" s="226"/>
      <c r="B164" s="204"/>
      <c r="C164" s="204"/>
      <c r="D164" s="204"/>
      <c r="E164" s="204"/>
      <c r="F164" s="204"/>
      <c r="G164" s="204"/>
      <c r="H164" s="204"/>
      <c r="I164" s="204"/>
      <c r="J164" s="204"/>
      <c r="K164" s="204"/>
      <c r="L164" s="204"/>
      <c r="M164" s="204"/>
      <c r="N164" s="204"/>
      <c r="O164" s="204"/>
      <c r="P164" s="204"/>
      <c r="Q164" s="204"/>
      <c r="R164" s="204"/>
      <c r="S164" s="204"/>
      <c r="T164" s="204"/>
      <c r="U164" s="204"/>
      <c r="V164" s="204"/>
      <c r="W164" s="204"/>
      <c r="X164" s="204"/>
      <c r="Y164" s="204"/>
      <c r="Z164" s="204"/>
      <c r="AA164" s="255"/>
      <c r="AB164" s="185"/>
      <c r="AC164" s="185"/>
      <c r="AD164" s="185"/>
      <c r="AE164" s="185"/>
      <c r="AF164" s="204"/>
      <c r="AG164" s="204"/>
      <c r="AH164" s="204"/>
      <c r="AI164" s="204"/>
      <c r="AJ164" s="204"/>
      <c r="AK164" s="204"/>
      <c r="AL164" s="204"/>
      <c r="AM164" s="204"/>
      <c r="AN164" s="204"/>
      <c r="AO164" s="204"/>
      <c r="AP164" s="204"/>
      <c r="AQ164" s="204"/>
      <c r="AR164" s="204"/>
      <c r="AS164" s="204"/>
      <c r="AT164" s="204"/>
      <c r="AU164" s="204"/>
      <c r="AV164" s="204"/>
      <c r="AW164" s="204"/>
      <c r="AX164" s="204"/>
      <c r="AY164" s="204"/>
      <c r="AZ164" s="204"/>
      <c r="BA164" s="204"/>
      <c r="BB164" s="204"/>
      <c r="BC164" s="204"/>
      <c r="BD164" s="204"/>
      <c r="BE164" s="204"/>
      <c r="BF164" s="204"/>
      <c r="BG164" s="204"/>
      <c r="BH164" s="204"/>
      <c r="BI164" s="204"/>
      <c r="BJ164" s="204"/>
      <c r="BK164" s="204"/>
      <c r="BL164" s="204"/>
      <c r="BM164" s="204"/>
      <c r="BN164" s="204"/>
      <c r="BO164" s="204"/>
      <c r="BP164" s="204"/>
      <c r="BQ164" s="204"/>
      <c r="BR164" s="204"/>
      <c r="BS164" s="204"/>
      <c r="BT164" s="204"/>
      <c r="BU164" s="185"/>
      <c r="BV164" s="185"/>
      <c r="BW164" s="185"/>
      <c r="BX164" s="185"/>
      <c r="BY164" s="204"/>
      <c r="BZ164" s="185"/>
      <c r="CA164" s="185"/>
      <c r="CB164" s="185"/>
      <c r="CC164" s="185"/>
      <c r="CD164" s="204"/>
      <c r="CE164" s="185"/>
      <c r="CF164" s="185"/>
      <c r="CG164" s="185"/>
      <c r="CH164" s="185"/>
      <c r="CI164" s="204"/>
      <c r="CJ164" s="185"/>
      <c r="CK164" s="185"/>
      <c r="CL164" s="185"/>
      <c r="CM164" s="185"/>
      <c r="CN164" s="204"/>
      <c r="CO164" s="185"/>
      <c r="CP164" s="185"/>
      <c r="CQ164" s="204"/>
      <c r="CR164" s="204"/>
      <c r="CS164" s="204"/>
      <c r="CT164" s="204"/>
      <c r="CU164" s="204"/>
      <c r="CV164" s="204"/>
      <c r="CW164" s="204"/>
      <c r="CX164" s="159"/>
      <c r="CY164" s="159"/>
      <c r="CZ164" s="159"/>
      <c r="DA164" s="159"/>
      <c r="DB164" s="159"/>
      <c r="DC164" s="159"/>
      <c r="DD164" s="159"/>
    </row>
    <row r="165" spans="1:109">
      <c r="A165" s="199" t="s">
        <v>47</v>
      </c>
      <c r="B165" s="199">
        <f t="shared" ref="B165:AU165" si="615">B2</f>
        <v>2007</v>
      </c>
      <c r="C165" s="199" t="str">
        <f t="shared" si="615"/>
        <v>Q1</v>
      </c>
      <c r="D165" s="199" t="str">
        <f t="shared" si="615"/>
        <v>Q2</v>
      </c>
      <c r="E165" s="199" t="str">
        <f t="shared" si="615"/>
        <v>Q3</v>
      </c>
      <c r="F165" s="199" t="str">
        <f t="shared" si="615"/>
        <v>Q4</v>
      </c>
      <c r="G165" s="199">
        <f t="shared" si="615"/>
        <v>2008</v>
      </c>
      <c r="H165" s="199" t="str">
        <f t="shared" si="615"/>
        <v>Q1</v>
      </c>
      <c r="I165" s="199" t="str">
        <f t="shared" si="615"/>
        <v>Q2</v>
      </c>
      <c r="J165" s="199" t="str">
        <f t="shared" si="615"/>
        <v>Q3</v>
      </c>
      <c r="K165" s="199" t="str">
        <f t="shared" si="615"/>
        <v>Q4</v>
      </c>
      <c r="L165" s="199">
        <f t="shared" si="615"/>
        <v>2009</v>
      </c>
      <c r="M165" s="199" t="str">
        <f t="shared" si="615"/>
        <v>Q1</v>
      </c>
      <c r="N165" s="199" t="str">
        <f t="shared" si="615"/>
        <v>Q2</v>
      </c>
      <c r="O165" s="199" t="str">
        <f t="shared" si="615"/>
        <v>Q3</v>
      </c>
      <c r="P165" s="199" t="str">
        <f t="shared" si="615"/>
        <v>Q4</v>
      </c>
      <c r="Q165" s="199">
        <f t="shared" si="615"/>
        <v>2010</v>
      </c>
      <c r="R165" s="199" t="str">
        <f t="shared" si="615"/>
        <v>Q1</v>
      </c>
      <c r="S165" s="199" t="str">
        <f t="shared" si="615"/>
        <v>Q2</v>
      </c>
      <c r="T165" s="199" t="str">
        <f t="shared" si="615"/>
        <v>Q3</v>
      </c>
      <c r="U165" s="199" t="str">
        <f t="shared" si="615"/>
        <v>Q4</v>
      </c>
      <c r="V165" s="199">
        <f t="shared" si="615"/>
        <v>2011</v>
      </c>
      <c r="W165" s="199" t="str">
        <f t="shared" si="615"/>
        <v>Q1</v>
      </c>
      <c r="X165" s="199" t="str">
        <f t="shared" si="615"/>
        <v>Q2</v>
      </c>
      <c r="Y165" s="199" t="str">
        <f t="shared" si="615"/>
        <v>Q3</v>
      </c>
      <c r="Z165" s="199" t="str">
        <f t="shared" si="615"/>
        <v>Q4</v>
      </c>
      <c r="AA165" s="199">
        <f t="shared" si="615"/>
        <v>2012</v>
      </c>
      <c r="AB165" s="199" t="str">
        <f t="shared" si="615"/>
        <v>Q1</v>
      </c>
      <c r="AC165" s="199" t="str">
        <f t="shared" si="615"/>
        <v>Q2</v>
      </c>
      <c r="AD165" s="199" t="str">
        <f t="shared" si="615"/>
        <v>Q3</v>
      </c>
      <c r="AE165" s="199" t="str">
        <f t="shared" si="615"/>
        <v>Q4</v>
      </c>
      <c r="AF165" s="199">
        <f t="shared" si="615"/>
        <v>2013</v>
      </c>
      <c r="AG165" s="199" t="str">
        <f t="shared" si="615"/>
        <v>Q1</v>
      </c>
      <c r="AH165" s="199" t="str">
        <f t="shared" si="615"/>
        <v>Q2</v>
      </c>
      <c r="AI165" s="199" t="str">
        <f t="shared" si="615"/>
        <v>Q3</v>
      </c>
      <c r="AJ165" s="199" t="str">
        <f t="shared" si="615"/>
        <v>Q4</v>
      </c>
      <c r="AK165" s="199">
        <f t="shared" si="615"/>
        <v>2014</v>
      </c>
      <c r="AL165" s="199" t="str">
        <f t="shared" si="615"/>
        <v>Q1</v>
      </c>
      <c r="AM165" s="199" t="str">
        <f t="shared" si="615"/>
        <v>Q2</v>
      </c>
      <c r="AN165" s="199" t="str">
        <f t="shared" si="615"/>
        <v>Q3</v>
      </c>
      <c r="AO165" s="199" t="str">
        <f t="shared" si="615"/>
        <v>Q4</v>
      </c>
      <c r="AP165" s="199">
        <f t="shared" si="615"/>
        <v>2015</v>
      </c>
      <c r="AQ165" s="199" t="str">
        <f t="shared" si="615"/>
        <v>Q1</v>
      </c>
      <c r="AR165" s="199" t="str">
        <f t="shared" si="615"/>
        <v>Q2</v>
      </c>
      <c r="AS165" s="199" t="str">
        <f t="shared" si="615"/>
        <v>Q3</v>
      </c>
      <c r="AT165" s="199" t="str">
        <f t="shared" si="615"/>
        <v>Q4</v>
      </c>
      <c r="AU165" s="199">
        <f t="shared" si="615"/>
        <v>2016</v>
      </c>
      <c r="AV165" s="199"/>
      <c r="AW165" s="199"/>
      <c r="AX165" s="199"/>
      <c r="AY165" s="199"/>
      <c r="AZ165" s="199">
        <f>AZ2</f>
        <v>2017</v>
      </c>
      <c r="BA165" s="199"/>
      <c r="BB165" s="199"/>
      <c r="BC165" s="199"/>
      <c r="BD165" s="199"/>
      <c r="BE165" s="199">
        <f>BE2</f>
        <v>2018</v>
      </c>
      <c r="BF165" s="199"/>
      <c r="BG165" s="199"/>
      <c r="BH165" s="199"/>
      <c r="BI165" s="199"/>
      <c r="BJ165" s="199">
        <f>BJ2</f>
        <v>2019</v>
      </c>
      <c r="BK165" s="199"/>
      <c r="BL165" s="199"/>
      <c r="BM165" s="199"/>
      <c r="BN165" s="199"/>
      <c r="BO165" s="199">
        <f>BO2</f>
        <v>2020</v>
      </c>
      <c r="BP165" s="199"/>
      <c r="BQ165" s="199"/>
      <c r="BR165" s="199"/>
      <c r="BS165" s="199"/>
      <c r="BT165" s="199">
        <f>BT2</f>
        <v>2021</v>
      </c>
      <c r="BU165" s="199"/>
      <c r="BV165" s="199"/>
      <c r="BW165" s="199"/>
      <c r="BX165" s="199"/>
      <c r="BY165" s="199">
        <f t="shared" ref="BY165:CW165" si="616">BY2</f>
        <v>2022</v>
      </c>
      <c r="BZ165" s="199" t="str">
        <f t="shared" si="616"/>
        <v>Q1</v>
      </c>
      <c r="CA165" s="199" t="str">
        <f t="shared" si="616"/>
        <v>Q2</v>
      </c>
      <c r="CB165" s="199" t="str">
        <f t="shared" si="616"/>
        <v>Q3</v>
      </c>
      <c r="CC165" s="199" t="str">
        <f t="shared" si="616"/>
        <v>Q4</v>
      </c>
      <c r="CD165" s="199">
        <f t="shared" si="616"/>
        <v>2023</v>
      </c>
      <c r="CE165" s="199" t="str">
        <f t="shared" ref="CE165:CF165" si="617">CE2</f>
        <v>Q1</v>
      </c>
      <c r="CF165" s="199" t="str">
        <f t="shared" si="617"/>
        <v>Q2</v>
      </c>
      <c r="CG165" s="199" t="str">
        <f t="shared" ref="CG165:CH165" si="618">CG2</f>
        <v>Q3</v>
      </c>
      <c r="CH165" s="199" t="str">
        <f t="shared" si="618"/>
        <v>Q4</v>
      </c>
      <c r="CI165" s="199">
        <f t="shared" si="616"/>
        <v>2024</v>
      </c>
      <c r="CJ165" s="199" t="str">
        <f t="shared" si="616"/>
        <v>Q1</v>
      </c>
      <c r="CK165" s="199" t="str">
        <f t="shared" ref="CK165:CL165" si="619">CK2</f>
        <v>Q2</v>
      </c>
      <c r="CL165" s="199" t="str">
        <f t="shared" si="619"/>
        <v>Q3</v>
      </c>
      <c r="CM165" s="199" t="str">
        <f t="shared" ref="CM165:CP165" si="620">CM2</f>
        <v>Q4</v>
      </c>
      <c r="CN165" s="199">
        <f t="shared" si="620"/>
        <v>2025</v>
      </c>
      <c r="CO165" s="199" t="str">
        <f t="shared" si="620"/>
        <v>Q1</v>
      </c>
      <c r="CP165" s="199" t="str">
        <f t="shared" si="620"/>
        <v>Q2</v>
      </c>
      <c r="CQ165" s="199">
        <f t="shared" si="616"/>
        <v>2026</v>
      </c>
      <c r="CR165" s="199">
        <f t="shared" si="616"/>
        <v>2027</v>
      </c>
      <c r="CS165" s="199">
        <f t="shared" si="616"/>
        <v>2028</v>
      </c>
      <c r="CT165" s="199">
        <f t="shared" si="616"/>
        <v>2029</v>
      </c>
      <c r="CU165" s="199">
        <f t="shared" si="616"/>
        <v>2030</v>
      </c>
      <c r="CV165" s="199">
        <f t="shared" si="616"/>
        <v>2031</v>
      </c>
      <c r="CW165" s="199">
        <f t="shared" si="616"/>
        <v>2032</v>
      </c>
      <c r="CX165" s="159"/>
      <c r="CY165" s="159"/>
      <c r="CZ165" s="159"/>
      <c r="DA165" s="159"/>
      <c r="DB165" s="159"/>
      <c r="DC165" s="159"/>
      <c r="DD165" s="159"/>
    </row>
    <row r="166" spans="1:109">
      <c r="A166" s="256" t="s">
        <v>611</v>
      </c>
      <c r="B166" s="203"/>
      <c r="C166" s="203"/>
      <c r="D166" s="203"/>
      <c r="E166" s="203"/>
      <c r="F166" s="203"/>
      <c r="G166" s="203"/>
      <c r="H166" s="203"/>
      <c r="I166" s="203"/>
      <c r="J166" s="203"/>
      <c r="K166" s="203"/>
      <c r="L166" s="203"/>
      <c r="M166" s="203"/>
      <c r="N166" s="203"/>
      <c r="O166" s="203"/>
      <c r="P166" s="203"/>
      <c r="Q166" s="203"/>
      <c r="R166" s="203"/>
      <c r="S166" s="203"/>
      <c r="T166" s="203"/>
      <c r="U166" s="203"/>
      <c r="V166" s="203"/>
      <c r="W166" s="203"/>
      <c r="X166" s="203"/>
      <c r="Y166" s="203"/>
      <c r="Z166" s="203"/>
      <c r="AA166" s="203"/>
      <c r="AB166" s="203"/>
      <c r="AC166" s="203"/>
      <c r="AD166" s="203"/>
      <c r="AE166" s="203"/>
      <c r="AF166" s="203"/>
      <c r="AG166" s="203"/>
      <c r="AH166" s="203"/>
      <c r="AI166" s="203"/>
      <c r="AJ166" s="203"/>
      <c r="AK166" s="203"/>
      <c r="AL166" s="203"/>
      <c r="AM166" s="203"/>
      <c r="AN166" s="203"/>
      <c r="AO166" s="203"/>
      <c r="AP166" s="203"/>
      <c r="AQ166" s="203"/>
      <c r="AR166" s="203"/>
      <c r="AS166" s="203"/>
      <c r="AT166" s="203"/>
      <c r="AU166" s="203"/>
      <c r="AV166" s="257">
        <f>'[3]Domestic Mobile Operations'!W$23</f>
        <v>36</v>
      </c>
      <c r="AW166" s="257">
        <f>'[3]Domestic Mobile Operations'!X$23</f>
        <v>36</v>
      </c>
      <c r="AX166" s="257">
        <f>'[3]Domestic Mobile Operations'!Y$23</f>
        <v>36</v>
      </c>
      <c r="AY166" s="257">
        <f>'[3]Domestic Mobile Operations'!Z$23</f>
        <v>36</v>
      </c>
      <c r="AZ166" s="258">
        <f>AVERAGE(AV166:AY166)</f>
        <v>36</v>
      </c>
      <c r="BA166" s="257">
        <f>'[3]Domestic Mobile Operations'!AA$23</f>
        <v>35</v>
      </c>
      <c r="BB166" s="257">
        <f>'[3]Domestic Mobile Operations'!AB$23</f>
        <v>37</v>
      </c>
      <c r="BC166" s="257">
        <f>'[3]Domestic Mobile Operations'!AC$23</f>
        <v>36</v>
      </c>
      <c r="BD166" s="257">
        <f>'[3]Domestic Mobile Operations'!AD$23</f>
        <v>37</v>
      </c>
      <c r="BE166" s="258">
        <f>AVERAGE(BA166:BD166)</f>
        <v>36.25</v>
      </c>
      <c r="BF166" s="257">
        <f>'[3]Domestic Mobile Operations'!AE$23</f>
        <v>35</v>
      </c>
      <c r="BG166" s="257">
        <f>'[3]Domestic Mobile Operations'!AF$23</f>
        <v>35</v>
      </c>
      <c r="BH166" s="257">
        <f>'[3]Domestic Mobile Operations'!AG$23</f>
        <v>35</v>
      </c>
      <c r="BI166" s="257">
        <f>'[3]Domestic Mobile Operations'!AH$23</f>
        <v>35</v>
      </c>
      <c r="BJ166" s="258">
        <f>AVERAGE(BF166:BI166)</f>
        <v>35</v>
      </c>
      <c r="BK166" s="257">
        <f>'[3]Domestic Mobile Operations'!AI$23</f>
        <v>32</v>
      </c>
      <c r="BL166" s="257">
        <f>'[3]Domestic Mobile Operations'!AJ$23</f>
        <v>30.6</v>
      </c>
      <c r="BM166" s="257">
        <f>'[3]Domestic Mobile Operations'!AK$23</f>
        <v>33.1</v>
      </c>
      <c r="BN166" s="257">
        <f>'[3]Domestic Mobile Operations'!AL$23</f>
        <v>32.4</v>
      </c>
      <c r="BO166" s="258">
        <f>AVERAGE(BK166:BN166)</f>
        <v>32.024999999999999</v>
      </c>
      <c r="BP166" s="257">
        <f>'[3]Domestic Mobile Operations'!AM$23</f>
        <v>31.6</v>
      </c>
      <c r="BQ166" s="257">
        <f>'[3]Domestic Mobile Operations'!AN$23</f>
        <v>31</v>
      </c>
      <c r="BR166" s="257">
        <f>'[3]Domestic Mobile Operations'!AO$23</f>
        <v>30.5</v>
      </c>
      <c r="BS166" s="257">
        <f>'[3]Domestic Mobile Operations'!AP$23</f>
        <v>29.7</v>
      </c>
      <c r="BT166" s="258">
        <f>AVERAGE(BP166:BS166)</f>
        <v>30.7</v>
      </c>
      <c r="BU166" s="257">
        <f>'[3]Domestic Mobile Operations'!AQ$23</f>
        <v>30.2</v>
      </c>
      <c r="BV166" s="257">
        <f>'[3]Domestic Mobile Operations'!AR$23</f>
        <v>31.8</v>
      </c>
      <c r="BW166" s="257">
        <f>'[3]Domestic Mobile Operations'!AS$23</f>
        <v>31.3</v>
      </c>
      <c r="BX166" s="257">
        <f>'[3]Domestic Mobile Operations'!AT$23</f>
        <v>31.8</v>
      </c>
      <c r="BY166" s="258">
        <f>AVERAGE(BU166:BX166)</f>
        <v>31.274999999999999</v>
      </c>
      <c r="BZ166" s="257">
        <f>'[3]Domestic Mobile Operations'!AU$23</f>
        <v>30.7</v>
      </c>
      <c r="CA166" s="257">
        <f>'[3]Domestic Mobile Operations'!AV$23</f>
        <v>30.8</v>
      </c>
      <c r="CB166" s="257">
        <f>'[3]Domestic Mobile Operations'!AW$23</f>
        <v>30.7</v>
      </c>
      <c r="CC166" s="257">
        <f>'[3]Domestic Mobile Operations'!AX$23</f>
        <v>29.6</v>
      </c>
      <c r="CD166" s="258">
        <f>AVERAGE(BZ166:CC166)</f>
        <v>30.450000000000003</v>
      </c>
      <c r="CE166" s="257">
        <f>'[3]Domestic Mobile Operations'!AY$23</f>
        <v>28.7</v>
      </c>
      <c r="CF166" s="257">
        <f>'[3]Domestic Mobile Operations'!AZ$23</f>
        <v>28.9</v>
      </c>
      <c r="CG166" s="257">
        <f>'[3]Domestic Mobile Operations'!BA$23</f>
        <v>28.4</v>
      </c>
      <c r="CH166" s="257">
        <f>'[3]Domestic Mobile Operations'!BB$23</f>
        <v>28.1</v>
      </c>
      <c r="CI166" s="258">
        <f>AVERAGE(CE166:CH166)</f>
        <v>28.524999999999999</v>
      </c>
      <c r="CJ166" s="257">
        <f>'[3]Domestic Mobile Operations'!BC$23</f>
        <v>26.3</v>
      </c>
      <c r="CK166" s="257">
        <f>'[3]Domestic Mobile Operations'!BD$23</f>
        <v>26.8</v>
      </c>
      <c r="CL166" s="257">
        <f>'[3]Domestic Mobile Operations'!BE$23</f>
        <v>27</v>
      </c>
      <c r="CM166" s="257">
        <f>'[3]Domestic Mobile Operations'!BF$23</f>
        <v>27.3</v>
      </c>
      <c r="CN166" s="258">
        <f>AVERAGE(CJ166:CM166)</f>
        <v>26.849999999999998</v>
      </c>
      <c r="CO166" s="257">
        <f>'[3]Domestic Mobile Operations'!BG$23</f>
        <v>26.4</v>
      </c>
      <c r="CP166" s="257">
        <f>'[3]Domestic Mobile Operations'!BH$23</f>
        <v>27</v>
      </c>
      <c r="CQ166" s="259">
        <f>CN166*(1+CQ167)</f>
        <v>26.849999999999998</v>
      </c>
      <c r="CR166" s="259">
        <f t="shared" ref="CR166:CS166" si="621">CQ166*(1+CR167)</f>
        <v>26.849999999999998</v>
      </c>
      <c r="CS166" s="259">
        <f t="shared" si="621"/>
        <v>26.849999999999998</v>
      </c>
      <c r="CT166" s="259">
        <f t="shared" ref="CT166" si="622">CS166*(1+CT167)</f>
        <v>26.849999999999998</v>
      </c>
      <c r="CU166" s="259">
        <f t="shared" ref="CU166" si="623">CT166*(1+CU167)</f>
        <v>26.849999999999998</v>
      </c>
      <c r="CV166" s="259">
        <f t="shared" ref="CV166:CW166" si="624">CU166*(1+CV167)</f>
        <v>26.849999999999998</v>
      </c>
      <c r="CW166" s="259">
        <f t="shared" si="624"/>
        <v>26.849999999999998</v>
      </c>
      <c r="CX166" s="159"/>
      <c r="CY166" s="159"/>
      <c r="CZ166" s="159"/>
      <c r="DA166" s="159"/>
      <c r="DB166" s="159"/>
      <c r="DC166" s="159"/>
      <c r="DD166" s="159"/>
    </row>
    <row r="167" spans="1:109">
      <c r="A167" s="226" t="s">
        <v>39</v>
      </c>
      <c r="B167" s="391"/>
      <c r="C167" s="391"/>
      <c r="D167" s="391"/>
      <c r="E167" s="391"/>
      <c r="F167" s="391"/>
      <c r="G167" s="391"/>
      <c r="H167" s="391"/>
      <c r="I167" s="391"/>
      <c r="J167" s="391"/>
      <c r="K167" s="391"/>
      <c r="L167" s="391"/>
      <c r="M167" s="391"/>
      <c r="N167" s="391"/>
      <c r="O167" s="391"/>
      <c r="P167" s="391"/>
      <c r="Q167" s="391"/>
      <c r="R167" s="391"/>
      <c r="S167" s="391"/>
      <c r="T167" s="391"/>
      <c r="U167" s="391"/>
      <c r="V167" s="391"/>
      <c r="W167" s="391"/>
      <c r="X167" s="391"/>
      <c r="Y167" s="391"/>
      <c r="Z167" s="391"/>
      <c r="AA167" s="391"/>
      <c r="AB167" s="391"/>
      <c r="AC167" s="391"/>
      <c r="AD167" s="391"/>
      <c r="AE167" s="391"/>
      <c r="AF167" s="391"/>
      <c r="AG167" s="391"/>
      <c r="AH167" s="391"/>
      <c r="AI167" s="391"/>
      <c r="AJ167" s="391"/>
      <c r="AK167" s="391"/>
      <c r="AL167" s="391"/>
      <c r="AM167" s="391"/>
      <c r="AN167" s="391"/>
      <c r="AO167" s="391"/>
      <c r="AP167" s="391"/>
      <c r="AQ167" s="391"/>
      <c r="AR167" s="391"/>
      <c r="AS167" s="391"/>
      <c r="AT167" s="391"/>
      <c r="AU167" s="185" t="e">
        <f t="shared" ref="AU167" si="625">AU166/AP166-1</f>
        <v>#DIV/0!</v>
      </c>
      <c r="AV167" s="185" t="e">
        <f t="shared" ref="AV167" si="626">AV166/AQ166-1</f>
        <v>#DIV/0!</v>
      </c>
      <c r="AW167" s="185" t="e">
        <f t="shared" ref="AW167" si="627">AW166/AR166-1</f>
        <v>#DIV/0!</v>
      </c>
      <c r="AX167" s="185" t="e">
        <f t="shared" ref="AX167" si="628">AX166/AS166-1</f>
        <v>#DIV/0!</v>
      </c>
      <c r="AY167" s="185" t="e">
        <f t="shared" ref="AY167" si="629">AY166/AT166-1</f>
        <v>#DIV/0!</v>
      </c>
      <c r="AZ167" s="185" t="e">
        <f t="shared" ref="AZ167" si="630">AZ166/AU166-1</f>
        <v>#DIV/0!</v>
      </c>
      <c r="BA167" s="185">
        <f t="shared" ref="BA167" si="631">BA166/AV166-1</f>
        <v>-2.777777777777779E-2</v>
      </c>
      <c r="BB167" s="185">
        <f t="shared" ref="BB167" si="632">BB166/AW166-1</f>
        <v>2.7777777777777679E-2</v>
      </c>
      <c r="BC167" s="185">
        <f t="shared" ref="BC167" si="633">BC166/AX166-1</f>
        <v>0</v>
      </c>
      <c r="BD167" s="185">
        <f t="shared" ref="BD167" si="634">BD166/AY166-1</f>
        <v>2.7777777777777679E-2</v>
      </c>
      <c r="BE167" s="185">
        <f t="shared" ref="BE167" si="635">BE166/AZ166-1</f>
        <v>6.9444444444444198E-3</v>
      </c>
      <c r="BF167" s="185">
        <f t="shared" ref="BF167" si="636">BF166/BA166-1</f>
        <v>0</v>
      </c>
      <c r="BG167" s="185">
        <f t="shared" ref="BG167" si="637">BG166/BB166-1</f>
        <v>-5.4054054054054057E-2</v>
      </c>
      <c r="BH167" s="185">
        <f t="shared" ref="BH167" si="638">BH166/BC166-1</f>
        <v>-2.777777777777779E-2</v>
      </c>
      <c r="BI167" s="185">
        <f t="shared" ref="BI167" si="639">BI166/BD166-1</f>
        <v>-5.4054054054054057E-2</v>
      </c>
      <c r="BJ167" s="185">
        <f>BJ166/BE166-1</f>
        <v>-3.4482758620689613E-2</v>
      </c>
      <c r="BK167" s="185">
        <f t="shared" ref="BK167" si="640">BK166/BF166-1</f>
        <v>-8.5714285714285743E-2</v>
      </c>
      <c r="BL167" s="185">
        <f t="shared" ref="BL167" si="641">BL166/BG166-1</f>
        <v>-0.12571428571428567</v>
      </c>
      <c r="BM167" s="185">
        <f t="shared" ref="BM167" si="642">BM166/BH166-1</f>
        <v>-5.428571428571427E-2</v>
      </c>
      <c r="BN167" s="185">
        <f t="shared" ref="BN167" si="643">BN166/BI166-1</f>
        <v>-7.4285714285714288E-2</v>
      </c>
      <c r="BO167" s="185">
        <f>BO166/BJ166-1</f>
        <v>-8.5000000000000075E-2</v>
      </c>
      <c r="BP167" s="185">
        <f t="shared" ref="BP167" si="644">BP166/BK166-1</f>
        <v>-1.2499999999999956E-2</v>
      </c>
      <c r="BQ167" s="185">
        <f t="shared" ref="BQ167" si="645">BQ166/BL166-1</f>
        <v>1.3071895424836555E-2</v>
      </c>
      <c r="BR167" s="185">
        <f t="shared" ref="BR167" si="646">BR166/BM166-1</f>
        <v>-7.8549848942598199E-2</v>
      </c>
      <c r="BS167" s="185">
        <f t="shared" ref="BS167" si="647">BS166/BN166-1</f>
        <v>-8.333333333333337E-2</v>
      </c>
      <c r="BT167" s="185">
        <f>BT166/BO166-1</f>
        <v>-4.1373926619828194E-2</v>
      </c>
      <c r="BU167" s="185">
        <f t="shared" ref="BU167" si="648">BU166/BP166-1</f>
        <v>-4.4303797468354444E-2</v>
      </c>
      <c r="BV167" s="185">
        <f t="shared" ref="BV167" si="649">BV166/BQ166-1</f>
        <v>2.5806451612903292E-2</v>
      </c>
      <c r="BW167" s="185">
        <f t="shared" ref="BW167" si="650">BW166/BR166-1</f>
        <v>2.6229508196721429E-2</v>
      </c>
      <c r="BX167" s="185">
        <f t="shared" ref="BX167" si="651">BX166/BS166-1</f>
        <v>7.0707070707070718E-2</v>
      </c>
      <c r="BY167" s="185">
        <f t="shared" ref="BY167:CP167" si="652">BY166/BT166-1</f>
        <v>1.8729641693810972E-2</v>
      </c>
      <c r="BZ167" s="160">
        <f t="shared" si="652"/>
        <v>1.655629139072845E-2</v>
      </c>
      <c r="CA167" s="160">
        <f t="shared" si="652"/>
        <v>-3.1446540880503138E-2</v>
      </c>
      <c r="CB167" s="160">
        <f t="shared" si="652"/>
        <v>-1.9169329073482455E-2</v>
      </c>
      <c r="CC167" s="160">
        <f t="shared" si="652"/>
        <v>-6.9182389937106903E-2</v>
      </c>
      <c r="CD167" s="185">
        <f t="shared" si="652"/>
        <v>-2.6378896882493841E-2</v>
      </c>
      <c r="CE167" s="160">
        <f t="shared" si="652"/>
        <v>-6.514657980456029E-2</v>
      </c>
      <c r="CF167" s="160">
        <f t="shared" si="652"/>
        <v>-6.1688311688311792E-2</v>
      </c>
      <c r="CG167" s="160">
        <f t="shared" si="652"/>
        <v>-7.4918566775244333E-2</v>
      </c>
      <c r="CH167" s="160">
        <f t="shared" si="652"/>
        <v>-5.0675675675675658E-2</v>
      </c>
      <c r="CI167" s="185">
        <f t="shared" si="652"/>
        <v>-6.321839080459779E-2</v>
      </c>
      <c r="CJ167" s="160">
        <f t="shared" si="652"/>
        <v>-8.362369337979092E-2</v>
      </c>
      <c r="CK167" s="160">
        <f t="shared" si="652"/>
        <v>-7.2664359861591588E-2</v>
      </c>
      <c r="CL167" s="160">
        <f t="shared" si="652"/>
        <v>-4.9295774647887258E-2</v>
      </c>
      <c r="CM167" s="160">
        <f t="shared" si="652"/>
        <v>-2.8469750889679735E-2</v>
      </c>
      <c r="CN167" s="185">
        <f t="shared" si="652"/>
        <v>-5.8720420683610941E-2</v>
      </c>
      <c r="CO167" s="160">
        <f t="shared" si="652"/>
        <v>3.8022813688212143E-3</v>
      </c>
      <c r="CP167" s="160">
        <f t="shared" si="652"/>
        <v>7.4626865671640896E-3</v>
      </c>
      <c r="CQ167" s="241">
        <v>0</v>
      </c>
      <c r="CR167" s="241">
        <v>0</v>
      </c>
      <c r="CS167" s="241">
        <v>0</v>
      </c>
      <c r="CT167" s="241">
        <v>0</v>
      </c>
      <c r="CU167" s="241">
        <v>0</v>
      </c>
      <c r="CV167" s="241">
        <v>0</v>
      </c>
      <c r="CW167" s="241">
        <v>0</v>
      </c>
      <c r="CX167" s="159"/>
      <c r="CY167" s="159"/>
      <c r="CZ167" s="159"/>
      <c r="DA167" s="159"/>
      <c r="DB167" s="159"/>
      <c r="DC167" s="159"/>
      <c r="DD167" s="159"/>
    </row>
    <row r="168" spans="1:109">
      <c r="A168" s="256" t="s">
        <v>612</v>
      </c>
      <c r="B168" s="203"/>
      <c r="C168" s="203"/>
      <c r="D168" s="203"/>
      <c r="E168" s="203"/>
      <c r="F168" s="203"/>
      <c r="G168" s="203"/>
      <c r="H168" s="203"/>
      <c r="I168" s="203"/>
      <c r="J168" s="203"/>
      <c r="K168" s="203"/>
      <c r="L168" s="203"/>
      <c r="M168" s="203"/>
      <c r="N168" s="203"/>
      <c r="O168" s="203"/>
      <c r="P168" s="203"/>
      <c r="Q168" s="203"/>
      <c r="R168" s="203"/>
      <c r="S168" s="203"/>
      <c r="T168" s="203"/>
      <c r="U168" s="203"/>
      <c r="V168" s="203"/>
      <c r="W168" s="203"/>
      <c r="X168" s="203"/>
      <c r="Y168" s="203"/>
      <c r="Z168" s="203"/>
      <c r="AA168" s="203"/>
      <c r="AB168" s="203"/>
      <c r="AC168" s="203"/>
      <c r="AD168" s="203"/>
      <c r="AE168" s="203"/>
      <c r="AF168" s="203"/>
      <c r="AG168" s="203"/>
      <c r="AH168" s="203"/>
      <c r="AI168" s="203"/>
      <c r="AJ168" s="203"/>
      <c r="AK168" s="203"/>
      <c r="AL168" s="203"/>
      <c r="AM168" s="203"/>
      <c r="AN168" s="203"/>
      <c r="AO168" s="203"/>
      <c r="AP168" s="203"/>
      <c r="AQ168" s="203"/>
      <c r="AR168" s="203"/>
      <c r="AS168" s="203"/>
      <c r="AT168" s="203"/>
      <c r="AU168" s="203"/>
      <c r="AV168" s="257">
        <f>'[3]Domestic Mobile Operations'!W$24</f>
        <v>96</v>
      </c>
      <c r="AW168" s="257">
        <f>'[3]Domestic Mobile Operations'!X$24</f>
        <v>96</v>
      </c>
      <c r="AX168" s="257">
        <f>'[3]Domestic Mobile Operations'!Y$24</f>
        <v>96</v>
      </c>
      <c r="AY168" s="257">
        <f>'[3]Domestic Mobile Operations'!Z$24</f>
        <v>96</v>
      </c>
      <c r="AZ168" s="258">
        <f>AVERAGE(AV168:AY168)</f>
        <v>96</v>
      </c>
      <c r="BA168" s="257">
        <f>'[3]Domestic Mobile Operations'!AA$24</f>
        <v>92</v>
      </c>
      <c r="BB168" s="257">
        <f>'[3]Domestic Mobile Operations'!AB$24</f>
        <v>94</v>
      </c>
      <c r="BC168" s="257">
        <f>'[3]Domestic Mobile Operations'!AC$24</f>
        <v>93</v>
      </c>
      <c r="BD168" s="257">
        <f>'[3]Domestic Mobile Operations'!AD$24</f>
        <v>94</v>
      </c>
      <c r="BE168" s="258">
        <f>AVERAGE(BA168:BD168)</f>
        <v>93.25</v>
      </c>
      <c r="BF168" s="257">
        <f>'[3]Domestic Mobile Operations'!AE$24</f>
        <v>88</v>
      </c>
      <c r="BG168" s="257">
        <f>'[3]Domestic Mobile Operations'!AF$24</f>
        <v>86</v>
      </c>
      <c r="BH168" s="257">
        <f>'[3]Domestic Mobile Operations'!AG$24</f>
        <v>85</v>
      </c>
      <c r="BI168" s="257">
        <f>'[3]Domestic Mobile Operations'!AH$24</f>
        <v>84</v>
      </c>
      <c r="BJ168" s="258">
        <f>AVERAGE(BF168:BI168)</f>
        <v>85.75</v>
      </c>
      <c r="BK168" s="257">
        <f>'[3]Domestic Mobile Operations'!AI$24</f>
        <v>81</v>
      </c>
      <c r="BL168" s="257">
        <f>'[3]Domestic Mobile Operations'!AJ$24</f>
        <v>79.5</v>
      </c>
      <c r="BM168" s="257">
        <f>'[3]Domestic Mobile Operations'!AK$24</f>
        <v>78.400000000000006</v>
      </c>
      <c r="BN168" s="257">
        <f>'[3]Domestic Mobile Operations'!AL$24</f>
        <v>77.3</v>
      </c>
      <c r="BO168" s="258">
        <f>AVERAGE(BK168:BN168)</f>
        <v>79.05</v>
      </c>
      <c r="BP168" s="257">
        <f>'[3]Domestic Mobile Operations'!AM$24</f>
        <v>76</v>
      </c>
      <c r="BQ168" s="257">
        <f>'[3]Domestic Mobile Operations'!AN$24</f>
        <v>75.400000000000006</v>
      </c>
      <c r="BR168" s="257">
        <f>'[3]Domestic Mobile Operations'!AO$24</f>
        <v>75</v>
      </c>
      <c r="BS168" s="257">
        <f>'[3]Domestic Mobile Operations'!AP$24</f>
        <v>73.400000000000006</v>
      </c>
      <c r="BT168" s="258">
        <f>AVERAGE(BP168:BS168)</f>
        <v>74.95</v>
      </c>
      <c r="BU168" s="257">
        <f>'[3]Domestic Mobile Operations'!AQ$24</f>
        <v>72.5</v>
      </c>
      <c r="BV168" s="257">
        <f>'[3]Domestic Mobile Operations'!AR$24</f>
        <v>72.7</v>
      </c>
      <c r="BW168" s="257">
        <f>'[3]Domestic Mobile Operations'!AS$24</f>
        <v>72.8</v>
      </c>
      <c r="BX168" s="257">
        <f>'[3]Domestic Mobile Operations'!AT$24</f>
        <v>72.7</v>
      </c>
      <c r="BY168" s="258">
        <f>AVERAGE(BU168:BX168)</f>
        <v>72.674999999999997</v>
      </c>
      <c r="BZ168" s="257">
        <f>'[3]Domestic Mobile Operations'!AU$24</f>
        <v>71.3</v>
      </c>
      <c r="CA168" s="257">
        <f>'[3]Domestic Mobile Operations'!AV$24</f>
        <v>71</v>
      </c>
      <c r="CB168" s="257">
        <f>'[3]Domestic Mobile Operations'!AW$24</f>
        <v>70.2</v>
      </c>
      <c r="CC168" s="257">
        <f>'[3]Domestic Mobile Operations'!AX$24</f>
        <v>69.8</v>
      </c>
      <c r="CD168" s="258">
        <f>AVERAGE(BZ168:CC168)</f>
        <v>70.575000000000003</v>
      </c>
      <c r="CE168" s="257">
        <f>'[3]Domestic Mobile Operations'!AY$24</f>
        <v>68.3</v>
      </c>
      <c r="CF168" s="257">
        <f>'[3]Domestic Mobile Operations'!AZ$24</f>
        <v>67.5</v>
      </c>
      <c r="CG168" s="257">
        <f>'[3]Domestic Mobile Operations'!BA$24</f>
        <v>67</v>
      </c>
      <c r="CH168" s="257">
        <f>'[3]Domestic Mobile Operations'!BB$24</f>
        <v>67.599999999999994</v>
      </c>
      <c r="CI168" s="258">
        <f>AVERAGE(CE168:CH168)</f>
        <v>67.599999999999994</v>
      </c>
      <c r="CJ168" s="257">
        <f>'[3]Domestic Mobile Operations'!BC$24</f>
        <v>64.599999999999994</v>
      </c>
      <c r="CK168" s="257">
        <f>'[3]Domestic Mobile Operations'!BD$24</f>
        <v>64</v>
      </c>
      <c r="CL168" s="257">
        <f>'[3]Domestic Mobile Operations'!BE$24</f>
        <v>63</v>
      </c>
      <c r="CM168" s="257">
        <f>'[3]Domestic Mobile Operations'!BF$24</f>
        <v>63.1</v>
      </c>
      <c r="CN168" s="258">
        <f>AVERAGE(CJ168:CM168)</f>
        <v>63.674999999999997</v>
      </c>
      <c r="CO168" s="257">
        <f>'[3]Domestic Mobile Operations'!BG$24</f>
        <v>61.1</v>
      </c>
      <c r="CP168" s="257">
        <f>'[3]Domestic Mobile Operations'!BH$24</f>
        <v>60.7</v>
      </c>
      <c r="CQ168" s="259">
        <f>CN168*(1+CQ169)</f>
        <v>62.274149999999999</v>
      </c>
      <c r="CR168" s="259">
        <f t="shared" ref="CR168" si="653">CQ168*(1+CR169)</f>
        <v>62.274149999999999</v>
      </c>
      <c r="CS168" s="259">
        <f t="shared" ref="CS168" si="654">CR168*(1+CS169)</f>
        <v>62.585520749999993</v>
      </c>
      <c r="CT168" s="259">
        <f t="shared" ref="CT168" si="655">CS168*(1+CT169)</f>
        <v>62.898448353749984</v>
      </c>
      <c r="CU168" s="259">
        <f t="shared" ref="CU168" si="656">CT168*(1+CU169)</f>
        <v>63.212940595518724</v>
      </c>
      <c r="CV168" s="259">
        <f t="shared" ref="CV168:CW168" si="657">CU168*(1+CV169)</f>
        <v>63.529005298496308</v>
      </c>
      <c r="CW168" s="259">
        <f t="shared" si="657"/>
        <v>63.846650324988786</v>
      </c>
      <c r="CX168" s="159"/>
      <c r="CY168" s="159"/>
      <c r="CZ168" s="159"/>
      <c r="DA168" s="159"/>
      <c r="DB168" s="159"/>
      <c r="DC168" s="159"/>
      <c r="DD168" s="159"/>
    </row>
    <row r="169" spans="1:109">
      <c r="A169" s="226" t="s">
        <v>39</v>
      </c>
      <c r="B169" s="391"/>
      <c r="C169" s="391"/>
      <c r="D169" s="391"/>
      <c r="E169" s="391"/>
      <c r="F169" s="391"/>
      <c r="G169" s="391"/>
      <c r="H169" s="391"/>
      <c r="I169" s="391"/>
      <c r="J169" s="391"/>
      <c r="K169" s="391"/>
      <c r="L169" s="391"/>
      <c r="M169" s="391"/>
      <c r="N169" s="391"/>
      <c r="O169" s="391"/>
      <c r="P169" s="391"/>
      <c r="Q169" s="391"/>
      <c r="R169" s="391"/>
      <c r="S169" s="391"/>
      <c r="T169" s="391"/>
      <c r="U169" s="391"/>
      <c r="V169" s="391"/>
      <c r="W169" s="391"/>
      <c r="X169" s="391"/>
      <c r="Y169" s="391"/>
      <c r="Z169" s="391"/>
      <c r="AA169" s="391"/>
      <c r="AB169" s="391"/>
      <c r="AC169" s="391"/>
      <c r="AD169" s="391"/>
      <c r="AE169" s="391"/>
      <c r="AF169" s="391"/>
      <c r="AG169" s="391"/>
      <c r="AH169" s="391"/>
      <c r="AI169" s="391"/>
      <c r="AJ169" s="391"/>
      <c r="AK169" s="391"/>
      <c r="AL169" s="391"/>
      <c r="AM169" s="391"/>
      <c r="AN169" s="391"/>
      <c r="AO169" s="391"/>
      <c r="AP169" s="391"/>
      <c r="AQ169" s="391"/>
      <c r="AR169" s="391"/>
      <c r="AS169" s="391"/>
      <c r="AT169" s="391"/>
      <c r="AU169" s="185" t="e">
        <f t="shared" ref="AU169" si="658">AU168/AP168-1</f>
        <v>#DIV/0!</v>
      </c>
      <c r="AV169" s="185" t="e">
        <f t="shared" ref="AV169" si="659">AV168/AQ168-1</f>
        <v>#DIV/0!</v>
      </c>
      <c r="AW169" s="185" t="e">
        <f t="shared" ref="AW169" si="660">AW168/AR168-1</f>
        <v>#DIV/0!</v>
      </c>
      <c r="AX169" s="185" t="e">
        <f t="shared" ref="AX169" si="661">AX168/AS168-1</f>
        <v>#DIV/0!</v>
      </c>
      <c r="AY169" s="185" t="e">
        <f t="shared" ref="AY169" si="662">AY168/AT168-1</f>
        <v>#DIV/0!</v>
      </c>
      <c r="AZ169" s="185" t="e">
        <f t="shared" ref="AZ169" si="663">AZ168/AU168-1</f>
        <v>#DIV/0!</v>
      </c>
      <c r="BA169" s="185">
        <f t="shared" ref="BA169" si="664">BA168/AV168-1</f>
        <v>-4.166666666666663E-2</v>
      </c>
      <c r="BB169" s="185">
        <f t="shared" ref="BB169" si="665">BB168/AW168-1</f>
        <v>-2.083333333333337E-2</v>
      </c>
      <c r="BC169" s="185">
        <f t="shared" ref="BC169" si="666">BC168/AX168-1</f>
        <v>-3.125E-2</v>
      </c>
      <c r="BD169" s="185">
        <f t="shared" ref="BD169" si="667">BD168/AY168-1</f>
        <v>-2.083333333333337E-2</v>
      </c>
      <c r="BE169" s="185">
        <f t="shared" ref="BE169" si="668">BE168/AZ168-1</f>
        <v>-2.864583333333337E-2</v>
      </c>
      <c r="BF169" s="185">
        <f t="shared" ref="BF169" si="669">BF168/BA168-1</f>
        <v>-4.3478260869565188E-2</v>
      </c>
      <c r="BG169" s="185">
        <f t="shared" ref="BG169" si="670">BG168/BB168-1</f>
        <v>-8.5106382978723416E-2</v>
      </c>
      <c r="BH169" s="185">
        <f t="shared" ref="BH169" si="671">BH168/BC168-1</f>
        <v>-8.6021505376344121E-2</v>
      </c>
      <c r="BI169" s="185">
        <f t="shared" ref="BI169" si="672">BI168/BD168-1</f>
        <v>-0.1063829787234043</v>
      </c>
      <c r="BJ169" s="185">
        <f>BJ168/BE168-1</f>
        <v>-8.0428954423592547E-2</v>
      </c>
      <c r="BK169" s="185">
        <f t="shared" ref="BK169" si="673">BK168/BF168-1</f>
        <v>-7.9545454545454586E-2</v>
      </c>
      <c r="BL169" s="185">
        <f t="shared" ref="BL169" si="674">BL168/BG168-1</f>
        <v>-7.5581395348837233E-2</v>
      </c>
      <c r="BM169" s="185">
        <f t="shared" ref="BM169" si="675">BM168/BH168-1</f>
        <v>-7.7647058823529291E-2</v>
      </c>
      <c r="BN169" s="185">
        <f t="shared" ref="BN169" si="676">BN168/BI168-1</f>
        <v>-7.9761904761904812E-2</v>
      </c>
      <c r="BO169" s="185">
        <f>BO168/BJ168-1</f>
        <v>-7.8134110787172029E-2</v>
      </c>
      <c r="BP169" s="185">
        <f t="shared" ref="BP169" si="677">BP168/BK168-1</f>
        <v>-6.1728395061728447E-2</v>
      </c>
      <c r="BQ169" s="185">
        <f t="shared" ref="BQ169" si="678">BQ168/BL168-1</f>
        <v>-5.1572327044025035E-2</v>
      </c>
      <c r="BR169" s="185">
        <f t="shared" ref="BR169" si="679">BR168/BM168-1</f>
        <v>-4.3367346938775531E-2</v>
      </c>
      <c r="BS169" s="185">
        <f t="shared" ref="BS169" si="680">BS168/BN168-1</f>
        <v>-5.0452781371280619E-2</v>
      </c>
      <c r="BT169" s="185">
        <f>BT168/BO168-1</f>
        <v>-5.1865907653383836E-2</v>
      </c>
      <c r="BU169" s="185">
        <f t="shared" ref="BU169" si="681">BU168/BP168-1</f>
        <v>-4.6052631578947345E-2</v>
      </c>
      <c r="BV169" s="185">
        <f t="shared" ref="BV169" si="682">BV168/BQ168-1</f>
        <v>-3.5809018567639295E-2</v>
      </c>
      <c r="BW169" s="185">
        <f t="shared" ref="BW169" si="683">BW168/BR168-1</f>
        <v>-2.9333333333333322E-2</v>
      </c>
      <c r="BX169" s="185">
        <f t="shared" ref="BX169" si="684">BX168/BS168-1</f>
        <v>-9.5367847411444995E-3</v>
      </c>
      <c r="BY169" s="185">
        <f t="shared" ref="BY169:CP169" si="685">BY168/BT168-1</f>
        <v>-3.0353569046030815E-2</v>
      </c>
      <c r="BZ169" s="160">
        <f t="shared" si="685"/>
        <v>-1.6551724137931045E-2</v>
      </c>
      <c r="CA169" s="160">
        <f t="shared" si="685"/>
        <v>-2.3383768913342595E-2</v>
      </c>
      <c r="CB169" s="160">
        <f t="shared" si="685"/>
        <v>-3.5714285714285587E-2</v>
      </c>
      <c r="CC169" s="160">
        <f t="shared" si="685"/>
        <v>-3.9889958734525499E-2</v>
      </c>
      <c r="CD169" s="185">
        <f t="shared" si="685"/>
        <v>-2.8895768833849256E-2</v>
      </c>
      <c r="CE169" s="160">
        <f t="shared" si="685"/>
        <v>-4.2075736325385749E-2</v>
      </c>
      <c r="CF169" s="160">
        <f t="shared" si="685"/>
        <v>-4.9295774647887369E-2</v>
      </c>
      <c r="CG169" s="160">
        <f t="shared" si="685"/>
        <v>-4.5584045584045607E-2</v>
      </c>
      <c r="CH169" s="160">
        <f t="shared" si="685"/>
        <v>-3.1518624641833859E-2</v>
      </c>
      <c r="CI169" s="185">
        <f t="shared" si="685"/>
        <v>-4.2153737159050797E-2</v>
      </c>
      <c r="CJ169" s="160">
        <f t="shared" si="685"/>
        <v>-5.4172767203513938E-2</v>
      </c>
      <c r="CK169" s="160">
        <f t="shared" si="685"/>
        <v>-5.1851851851851816E-2</v>
      </c>
      <c r="CL169" s="160">
        <f t="shared" si="685"/>
        <v>-5.9701492537313383E-2</v>
      </c>
      <c r="CM169" s="160">
        <f t="shared" si="685"/>
        <v>-6.6568047337278058E-2</v>
      </c>
      <c r="CN169" s="185">
        <f t="shared" si="685"/>
        <v>-5.8062130177514715E-2</v>
      </c>
      <c r="CO169" s="160">
        <f t="shared" si="685"/>
        <v>-5.4179566563467341E-2</v>
      </c>
      <c r="CP169" s="160">
        <f t="shared" si="685"/>
        <v>-5.1562499999999956E-2</v>
      </c>
      <c r="CQ169" s="241">
        <v>-2.1999999999999999E-2</v>
      </c>
      <c r="CR169" s="241">
        <v>0</v>
      </c>
      <c r="CS169" s="241">
        <v>5.0000000000000001E-3</v>
      </c>
      <c r="CT169" s="241">
        <v>5.0000000000000001E-3</v>
      </c>
      <c r="CU169" s="241">
        <v>5.0000000000000001E-3</v>
      </c>
      <c r="CV169" s="241">
        <v>5.0000000000000001E-3</v>
      </c>
      <c r="CW169" s="241">
        <v>5.0000000000000001E-3</v>
      </c>
      <c r="CX169" s="159"/>
      <c r="CY169" s="159"/>
      <c r="CZ169" s="159"/>
      <c r="DA169" s="159"/>
      <c r="DB169" s="159"/>
      <c r="DC169" s="159"/>
      <c r="DD169" s="159"/>
    </row>
    <row r="170" spans="1:109">
      <c r="A170" s="256" t="s">
        <v>915</v>
      </c>
      <c r="B170" s="257">
        <v>64</v>
      </c>
      <c r="C170" s="257"/>
      <c r="D170" s="257"/>
      <c r="E170" s="257">
        <v>58</v>
      </c>
      <c r="F170" s="257">
        <v>60</v>
      </c>
      <c r="G170" s="257">
        <v>58.6</v>
      </c>
      <c r="H170" s="257">
        <v>56</v>
      </c>
      <c r="I170" s="257">
        <v>56</v>
      </c>
      <c r="J170" s="257">
        <v>56</v>
      </c>
      <c r="K170" s="257">
        <v>55</v>
      </c>
      <c r="L170" s="257">
        <f>AVERAGE(H170:K170)</f>
        <v>55.75</v>
      </c>
      <c r="M170" s="257">
        <v>52</v>
      </c>
      <c r="N170" s="257">
        <v>51</v>
      </c>
      <c r="O170" s="257">
        <v>49</v>
      </c>
      <c r="P170" s="257">
        <v>49</v>
      </c>
      <c r="Q170" s="257">
        <v>51</v>
      </c>
      <c r="R170" s="257">
        <v>49</v>
      </c>
      <c r="S170" s="257">
        <v>51</v>
      </c>
      <c r="T170" s="257">
        <v>54</v>
      </c>
      <c r="U170" s="257">
        <v>54</v>
      </c>
      <c r="V170" s="257">
        <v>52</v>
      </c>
      <c r="W170" s="257">
        <v>52</v>
      </c>
      <c r="X170" s="257">
        <v>52</v>
      </c>
      <c r="Y170" s="257">
        <v>48</v>
      </c>
      <c r="Z170" s="257">
        <v>48</v>
      </c>
      <c r="AA170" s="257">
        <f>(AA227/AA118/12)*1000</f>
        <v>50.477409975397009</v>
      </c>
      <c r="AB170" s="257">
        <v>46</v>
      </c>
      <c r="AC170" s="257">
        <v>46</v>
      </c>
      <c r="AD170" s="257">
        <v>48</v>
      </c>
      <c r="AE170" s="257">
        <v>49</v>
      </c>
      <c r="AF170" s="257">
        <f>(AF227/AF118/12)*1000</f>
        <v>47.86334494515269</v>
      </c>
      <c r="AG170" s="257">
        <v>48</v>
      </c>
      <c r="AH170" s="257">
        <v>50</v>
      </c>
      <c r="AI170" s="257">
        <v>50</v>
      </c>
      <c r="AJ170" s="257">
        <v>50</v>
      </c>
      <c r="AK170" s="257">
        <f>(AK227/AK118/12)*1000</f>
        <v>48.255347593582883</v>
      </c>
      <c r="AL170" s="257">
        <v>48</v>
      </c>
      <c r="AM170" s="257">
        <v>47</v>
      </c>
      <c r="AN170" s="257">
        <v>49</v>
      </c>
      <c r="AO170" s="257">
        <v>50</v>
      </c>
      <c r="AP170" s="257">
        <f>(AP227/AP118/12)*1000</f>
        <v>49.653786074120362</v>
      </c>
      <c r="AQ170" s="257">
        <v>50</v>
      </c>
      <c r="AR170" s="257">
        <v>49</v>
      </c>
      <c r="AS170" s="257">
        <v>50</v>
      </c>
      <c r="AT170" s="257">
        <v>52</v>
      </c>
      <c r="AU170" s="257">
        <f>AVERAGE(AQ170:AT170)</f>
        <v>50.25</v>
      </c>
      <c r="AV170" s="257">
        <v>52</v>
      </c>
      <c r="AW170" s="257">
        <f>'[3]Domestic Mobile Operations'!X$25</f>
        <v>51</v>
      </c>
      <c r="AX170" s="257">
        <f>'[3]Domestic Mobile Operations'!Y$25</f>
        <v>51</v>
      </c>
      <c r="AY170" s="257">
        <f>'[3]Domestic Mobile Operations'!Z$25</f>
        <v>51</v>
      </c>
      <c r="AZ170" s="258">
        <f>AVERAGE(AV170:AY170)</f>
        <v>51.25</v>
      </c>
      <c r="BA170" s="257">
        <f>'[3]Domestic Mobile Operations'!AA$25</f>
        <v>51</v>
      </c>
      <c r="BB170" s="257">
        <f>'[3]Domestic Mobile Operations'!AB$25</f>
        <v>53</v>
      </c>
      <c r="BC170" s="257">
        <f>'[3]Domestic Mobile Operations'!AC$25</f>
        <v>53</v>
      </c>
      <c r="BD170" s="257">
        <f>'[3]Domestic Mobile Operations'!AD$25</f>
        <v>53</v>
      </c>
      <c r="BE170" s="258">
        <f>AVERAGE(BA170:BD170)</f>
        <v>52.5</v>
      </c>
      <c r="BF170" s="257">
        <f>'[3]Domestic Mobile Operations'!AE$25</f>
        <v>51</v>
      </c>
      <c r="BG170" s="257">
        <f>'[3]Domestic Mobile Operations'!AF$25</f>
        <v>51</v>
      </c>
      <c r="BH170" s="257">
        <f>'[3]Domestic Mobile Operations'!AG$25</f>
        <v>51</v>
      </c>
      <c r="BI170" s="257">
        <f>'[3]Domestic Mobile Operations'!AH$25</f>
        <v>51</v>
      </c>
      <c r="BJ170" s="258">
        <f>AVERAGE(BF170:BI170)</f>
        <v>51</v>
      </c>
      <c r="BK170" s="257">
        <f>'[3]Domestic Mobile Operations'!AI$25</f>
        <v>49</v>
      </c>
      <c r="BL170" s="257">
        <f>'[3]Domestic Mobile Operations'!AJ$25</f>
        <v>47</v>
      </c>
      <c r="BM170" s="257">
        <f>'[3]Domestic Mobile Operations'!AK$25</f>
        <v>48.7</v>
      </c>
      <c r="BN170" s="257">
        <f>'[3]Domestic Mobile Operations'!AL$25</f>
        <v>48.3</v>
      </c>
      <c r="BO170" s="258">
        <f>AVERAGE(BK170:BN170)</f>
        <v>48.25</v>
      </c>
      <c r="BP170" s="257">
        <f>'[3]Domestic Mobile Operations'!AM$25</f>
        <v>47.4</v>
      </c>
      <c r="BQ170" s="257">
        <f>'[3]Domestic Mobile Operations'!AN$25</f>
        <v>47</v>
      </c>
      <c r="BR170" s="257">
        <f>'[3]Domestic Mobile Operations'!AO$25</f>
        <v>46.6</v>
      </c>
      <c r="BS170" s="257">
        <f>'[3]Domestic Mobile Operations'!AP$25</f>
        <v>45.9</v>
      </c>
      <c r="BT170" s="258">
        <f>AVERAGE(BP170:BS170)</f>
        <v>46.725000000000001</v>
      </c>
      <c r="BU170" s="257">
        <f>'[3]Domestic Mobile Operations'!AQ$25</f>
        <v>46.2</v>
      </c>
      <c r="BV170" s="257">
        <f>'[3]Domestic Mobile Operations'!AR$25</f>
        <v>47.7</v>
      </c>
      <c r="BW170" s="257">
        <f>'[3]Domestic Mobile Operations'!AS$25</f>
        <v>47.3</v>
      </c>
      <c r="BX170" s="257">
        <f>'[3]Domestic Mobile Operations'!AT$25</f>
        <v>47.8</v>
      </c>
      <c r="BY170" s="258">
        <f>AVERAGE(BU170:BX170)</f>
        <v>47.25</v>
      </c>
      <c r="BZ170" s="257">
        <f>'[3]Domestic Mobile Operations'!AU$25</f>
        <v>46.9</v>
      </c>
      <c r="CA170" s="257">
        <f>'[3]Domestic Mobile Operations'!AV$25</f>
        <v>47</v>
      </c>
      <c r="CB170" s="257">
        <f>'[3]Domestic Mobile Operations'!AW$25</f>
        <v>46.7</v>
      </c>
      <c r="CC170" s="257">
        <f>'[3]Domestic Mobile Operations'!AX$25</f>
        <v>45.8</v>
      </c>
      <c r="CD170" s="258">
        <f>AVERAGE(BZ170:CC170)</f>
        <v>46.600000000000009</v>
      </c>
      <c r="CE170" s="257">
        <f>'[3]Domestic Mobile Operations'!AY$25</f>
        <v>44.7</v>
      </c>
      <c r="CF170" s="257">
        <f>'[3]Domestic Mobile Operations'!AZ$25</f>
        <v>44.7</v>
      </c>
      <c r="CG170" s="257">
        <f>'[3]Domestic Mobile Operations'!BA$25</f>
        <v>44.2</v>
      </c>
      <c r="CH170" s="257">
        <f>'[3]Domestic Mobile Operations'!BB$25</f>
        <v>44.5</v>
      </c>
      <c r="CI170" s="258">
        <f>AVERAGE(CE170:CH170)</f>
        <v>44.525000000000006</v>
      </c>
      <c r="CJ170" s="257">
        <f>'[3]Domestic Mobile Operations'!BC$25</f>
        <v>42.4</v>
      </c>
      <c r="CK170" s="257">
        <f>'[3]Domestic Mobile Operations'!BD$25</f>
        <v>42.6</v>
      </c>
      <c r="CL170" s="257">
        <f>'[3]Domestic Mobile Operations'!BE$25</f>
        <v>42.4</v>
      </c>
      <c r="CM170" s="257">
        <f>'[3]Domestic Mobile Operations'!BF$25</f>
        <v>42.9</v>
      </c>
      <c r="CN170" s="258">
        <f>AVERAGE(CJ170:CM170)</f>
        <v>42.575000000000003</v>
      </c>
      <c r="CO170" s="257">
        <f>'[3]Domestic Mobile Operations'!BG$25</f>
        <v>41.6</v>
      </c>
      <c r="CP170" s="257">
        <f>'[3]Domestic Mobile Operations'!BH$25</f>
        <v>42.1</v>
      </c>
      <c r="CQ170" s="258">
        <f t="shared" ref="CQ170:CW170" si="686">CQ256*1000/CQ118/12</f>
        <v>42.430225328511952</v>
      </c>
      <c r="CR170" s="258">
        <f t="shared" si="686"/>
        <v>42.536639211438199</v>
      </c>
      <c r="CS170" s="258">
        <f t="shared" si="686"/>
        <v>42.781709151544582</v>
      </c>
      <c r="CT170" s="258">
        <f t="shared" si="686"/>
        <v>43.029347842622514</v>
      </c>
      <c r="CU170" s="258">
        <f t="shared" si="686"/>
        <v>43.279572612082596</v>
      </c>
      <c r="CV170" s="258">
        <f t="shared" si="686"/>
        <v>43.532400924575704</v>
      </c>
      <c r="CW170" s="258">
        <f t="shared" si="686"/>
        <v>43.787850378654518</v>
      </c>
      <c r="CX170" s="159"/>
      <c r="CY170" s="159"/>
      <c r="CZ170" s="159"/>
      <c r="DA170" s="159"/>
      <c r="DB170" s="159"/>
      <c r="DC170" s="159"/>
      <c r="DD170" s="159"/>
    </row>
    <row r="171" spans="1:109">
      <c r="A171" s="226" t="s">
        <v>39</v>
      </c>
      <c r="B171" s="236"/>
      <c r="C171" s="236"/>
      <c r="D171" s="236"/>
      <c r="E171" s="236"/>
      <c r="F171" s="236"/>
      <c r="G171" s="236">
        <f>G170/B170-1</f>
        <v>-8.4374999999999978E-2</v>
      </c>
      <c r="H171" s="236"/>
      <c r="I171" s="236"/>
      <c r="J171" s="236"/>
      <c r="K171" s="236"/>
      <c r="L171" s="236">
        <f t="shared" ref="L171:CP171" si="687">L170/G170-1</f>
        <v>-4.8634812286689422E-2</v>
      </c>
      <c r="M171" s="236">
        <f t="shared" si="687"/>
        <v>-7.1428571428571397E-2</v>
      </c>
      <c r="N171" s="236">
        <f t="shared" si="687"/>
        <v>-8.9285714285714302E-2</v>
      </c>
      <c r="O171" s="236">
        <f t="shared" si="687"/>
        <v>-0.125</v>
      </c>
      <c r="P171" s="236">
        <f t="shared" si="687"/>
        <v>-0.10909090909090913</v>
      </c>
      <c r="Q171" s="236">
        <f t="shared" si="687"/>
        <v>-8.5201793721973118E-2</v>
      </c>
      <c r="R171" s="236">
        <f t="shared" si="687"/>
        <v>-5.7692307692307709E-2</v>
      </c>
      <c r="S171" s="236">
        <f t="shared" si="687"/>
        <v>0</v>
      </c>
      <c r="T171" s="236">
        <f t="shared" si="687"/>
        <v>0.1020408163265305</v>
      </c>
      <c r="U171" s="236">
        <f t="shared" si="687"/>
        <v>0.1020408163265305</v>
      </c>
      <c r="V171" s="236">
        <f t="shared" si="687"/>
        <v>1.9607843137254832E-2</v>
      </c>
      <c r="W171" s="236">
        <f t="shared" si="687"/>
        <v>6.1224489795918435E-2</v>
      </c>
      <c r="X171" s="236">
        <f t="shared" si="687"/>
        <v>1.9607843137254832E-2</v>
      </c>
      <c r="Y171" s="236">
        <f t="shared" si="687"/>
        <v>-0.11111111111111116</v>
      </c>
      <c r="Z171" s="236">
        <f t="shared" si="687"/>
        <v>-0.11111111111111116</v>
      </c>
      <c r="AA171" s="236">
        <f t="shared" si="687"/>
        <v>-2.9280577396211371E-2</v>
      </c>
      <c r="AB171" s="236">
        <f t="shared" si="687"/>
        <v>-0.11538461538461542</v>
      </c>
      <c r="AC171" s="236">
        <f t="shared" si="687"/>
        <v>-0.11538461538461542</v>
      </c>
      <c r="AD171" s="236">
        <f t="shared" si="687"/>
        <v>0</v>
      </c>
      <c r="AE171" s="236">
        <f t="shared" si="687"/>
        <v>2.0833333333333259E-2</v>
      </c>
      <c r="AF171" s="236">
        <f t="shared" si="687"/>
        <v>-5.1786829623755026E-2</v>
      </c>
      <c r="AG171" s="236">
        <f t="shared" si="687"/>
        <v>4.3478260869565188E-2</v>
      </c>
      <c r="AH171" s="236">
        <f t="shared" si="687"/>
        <v>8.6956521739130377E-2</v>
      </c>
      <c r="AI171" s="236">
        <f t="shared" si="687"/>
        <v>4.1666666666666741E-2</v>
      </c>
      <c r="AJ171" s="236">
        <f t="shared" si="687"/>
        <v>2.0408163265306145E-2</v>
      </c>
      <c r="AK171" s="236">
        <f t="shared" si="687"/>
        <v>8.1900387212676673E-3</v>
      </c>
      <c r="AL171" s="236">
        <f t="shared" si="687"/>
        <v>0</v>
      </c>
      <c r="AM171" s="236">
        <f t="shared" si="687"/>
        <v>-6.0000000000000053E-2</v>
      </c>
      <c r="AN171" s="236">
        <f t="shared" si="687"/>
        <v>-2.0000000000000018E-2</v>
      </c>
      <c r="AO171" s="236">
        <f t="shared" si="687"/>
        <v>0</v>
      </c>
      <c r="AP171" s="236">
        <f t="shared" si="687"/>
        <v>2.8979969066132094E-2</v>
      </c>
      <c r="AQ171" s="236">
        <f t="shared" si="687"/>
        <v>4.1666666666666741E-2</v>
      </c>
      <c r="AR171" s="236">
        <f t="shared" si="687"/>
        <v>4.2553191489361764E-2</v>
      </c>
      <c r="AS171" s="236">
        <f t="shared" si="687"/>
        <v>2.0408163265306145E-2</v>
      </c>
      <c r="AT171" s="236">
        <f t="shared" si="687"/>
        <v>4.0000000000000036E-2</v>
      </c>
      <c r="AU171" s="236">
        <f t="shared" si="687"/>
        <v>1.2007421246582162E-2</v>
      </c>
      <c r="AV171" s="236">
        <f t="shared" si="687"/>
        <v>4.0000000000000036E-2</v>
      </c>
      <c r="AW171" s="236">
        <f t="shared" si="687"/>
        <v>4.081632653061229E-2</v>
      </c>
      <c r="AX171" s="236">
        <f t="shared" si="687"/>
        <v>2.0000000000000018E-2</v>
      </c>
      <c r="AY171" s="236">
        <f t="shared" si="687"/>
        <v>-1.9230769230769273E-2</v>
      </c>
      <c r="AZ171" s="236">
        <f t="shared" si="687"/>
        <v>1.990049751243772E-2</v>
      </c>
      <c r="BA171" s="236">
        <f t="shared" si="687"/>
        <v>-1.9230769230769273E-2</v>
      </c>
      <c r="BB171" s="236">
        <f t="shared" si="687"/>
        <v>3.9215686274509887E-2</v>
      </c>
      <c r="BC171" s="236">
        <f t="shared" si="687"/>
        <v>3.9215686274509887E-2</v>
      </c>
      <c r="BD171" s="236">
        <f t="shared" si="687"/>
        <v>3.9215686274509887E-2</v>
      </c>
      <c r="BE171" s="236">
        <f t="shared" si="687"/>
        <v>2.4390243902439046E-2</v>
      </c>
      <c r="BF171" s="236">
        <f t="shared" si="687"/>
        <v>0</v>
      </c>
      <c r="BG171" s="236">
        <f t="shared" si="687"/>
        <v>-3.7735849056603765E-2</v>
      </c>
      <c r="BH171" s="236">
        <f t="shared" si="687"/>
        <v>-3.7735849056603765E-2</v>
      </c>
      <c r="BI171" s="236">
        <f t="shared" si="687"/>
        <v>-3.7735849056603765E-2</v>
      </c>
      <c r="BJ171" s="236">
        <f t="shared" si="687"/>
        <v>-2.8571428571428581E-2</v>
      </c>
      <c r="BK171" s="236">
        <f t="shared" si="687"/>
        <v>-3.9215686274509776E-2</v>
      </c>
      <c r="BL171" s="236">
        <f t="shared" si="687"/>
        <v>-7.8431372549019662E-2</v>
      </c>
      <c r="BM171" s="236">
        <f t="shared" si="687"/>
        <v>-4.5098039215686225E-2</v>
      </c>
      <c r="BN171" s="236">
        <f t="shared" si="687"/>
        <v>-5.2941176470588269E-2</v>
      </c>
      <c r="BO171" s="236">
        <f t="shared" si="687"/>
        <v>-5.3921568627451011E-2</v>
      </c>
      <c r="BP171" s="236">
        <f t="shared" si="687"/>
        <v>-3.2653061224489854E-2</v>
      </c>
      <c r="BQ171" s="236">
        <f t="shared" si="687"/>
        <v>0</v>
      </c>
      <c r="BR171" s="236">
        <f t="shared" si="687"/>
        <v>-4.3121149897330624E-2</v>
      </c>
      <c r="BS171" s="236">
        <f t="shared" si="687"/>
        <v>-4.9689440993788803E-2</v>
      </c>
      <c r="BT171" s="236">
        <f t="shared" si="687"/>
        <v>-3.1606217616580334E-2</v>
      </c>
      <c r="BU171" s="237">
        <f t="shared" si="687"/>
        <v>-2.5316455696202445E-2</v>
      </c>
      <c r="BV171" s="237">
        <f t="shared" si="687"/>
        <v>1.4893617021276562E-2</v>
      </c>
      <c r="BW171" s="237">
        <f t="shared" si="687"/>
        <v>1.5021459227467782E-2</v>
      </c>
      <c r="BX171" s="237">
        <f t="shared" si="687"/>
        <v>4.1394335511982572E-2</v>
      </c>
      <c r="BY171" s="236">
        <f t="shared" si="687"/>
        <v>1.1235955056179803E-2</v>
      </c>
      <c r="BZ171" s="237">
        <f t="shared" si="687"/>
        <v>1.5151515151515138E-2</v>
      </c>
      <c r="CA171" s="237">
        <f t="shared" si="687"/>
        <v>-1.4675052410901501E-2</v>
      </c>
      <c r="CB171" s="237">
        <f t="shared" si="687"/>
        <v>-1.2684989429175397E-2</v>
      </c>
      <c r="CC171" s="237">
        <f t="shared" si="687"/>
        <v>-4.1841004184100417E-2</v>
      </c>
      <c r="CD171" s="236">
        <f t="shared" si="687"/>
        <v>-1.3756613756613523E-2</v>
      </c>
      <c r="CE171" s="237">
        <f t="shared" si="687"/>
        <v>-4.6908315565031944E-2</v>
      </c>
      <c r="CF171" s="237">
        <f t="shared" si="687"/>
        <v>-4.8936170212765862E-2</v>
      </c>
      <c r="CG171" s="237">
        <f t="shared" si="687"/>
        <v>-5.3533190578158418E-2</v>
      </c>
      <c r="CH171" s="237">
        <f t="shared" si="687"/>
        <v>-2.8384279475982432E-2</v>
      </c>
      <c r="CI171" s="236">
        <f t="shared" si="687"/>
        <v>-4.4527896995708249E-2</v>
      </c>
      <c r="CJ171" s="237">
        <f t="shared" si="687"/>
        <v>-5.1454138702460961E-2</v>
      </c>
      <c r="CK171" s="237">
        <f t="shared" si="687"/>
        <v>-4.6979865771812124E-2</v>
      </c>
      <c r="CL171" s="237">
        <f t="shared" si="687"/>
        <v>-4.0723981900452566E-2</v>
      </c>
      <c r="CM171" s="237">
        <f t="shared" si="687"/>
        <v>-3.5955056179775347E-2</v>
      </c>
      <c r="CN171" s="236">
        <f t="shared" si="687"/>
        <v>-4.3795620437956262E-2</v>
      </c>
      <c r="CO171" s="237">
        <f t="shared" si="687"/>
        <v>-1.8867924528301772E-2</v>
      </c>
      <c r="CP171" s="237">
        <f t="shared" si="687"/>
        <v>-1.1737089201877882E-2</v>
      </c>
      <c r="CQ171" s="236">
        <f>CQ170/CN170-1</f>
        <v>-3.4004620431721255E-3</v>
      </c>
      <c r="CR171" s="236">
        <f t="shared" ref="CR171:CS171" si="688">CR170/CQ170-1</f>
        <v>2.5079735519277779E-3</v>
      </c>
      <c r="CS171" s="236">
        <f t="shared" si="688"/>
        <v>5.7613846474378061E-3</v>
      </c>
      <c r="CT171" s="236">
        <f t="shared" ref="CT171" si="689">CT170/CS170-1</f>
        <v>5.7884244456136713E-3</v>
      </c>
      <c r="CU171" s="236">
        <f t="shared" ref="CU171" si="690">CU170/CT170-1</f>
        <v>5.8152117567586981E-3</v>
      </c>
      <c r="CV171" s="236">
        <f t="shared" ref="CV171:CW171" si="691">CV170/CU170-1</f>
        <v>5.8417469774765252E-3</v>
      </c>
      <c r="CW171" s="236">
        <f t="shared" si="691"/>
        <v>5.868030447514494E-3</v>
      </c>
      <c r="CX171" s="159"/>
      <c r="CY171" s="159"/>
      <c r="CZ171" s="159"/>
      <c r="DA171" s="159"/>
      <c r="DC171" s="163" t="s">
        <v>42</v>
      </c>
      <c r="DD171" s="163" t="s">
        <v>43</v>
      </c>
      <c r="DE171" s="163" t="s">
        <v>44</v>
      </c>
    </row>
    <row r="172" spans="1:109">
      <c r="A172" s="226"/>
      <c r="B172" s="236"/>
      <c r="C172" s="236"/>
      <c r="D172" s="236"/>
      <c r="E172" s="236"/>
      <c r="F172" s="236"/>
      <c r="G172" s="236"/>
      <c r="H172" s="236"/>
      <c r="I172" s="236"/>
      <c r="J172" s="236"/>
      <c r="K172" s="236"/>
      <c r="L172" s="236"/>
      <c r="M172" s="236"/>
      <c r="N172" s="236"/>
      <c r="O172" s="236"/>
      <c r="P172" s="236"/>
      <c r="Q172" s="236"/>
      <c r="R172" s="236"/>
      <c r="S172" s="236"/>
      <c r="T172" s="236"/>
      <c r="U172" s="236"/>
      <c r="V172" s="236"/>
      <c r="W172" s="236"/>
      <c r="X172" s="236"/>
      <c r="Y172" s="236"/>
      <c r="Z172" s="236"/>
      <c r="AA172" s="236"/>
      <c r="AB172" s="236"/>
      <c r="AC172" s="236"/>
      <c r="AD172" s="236"/>
      <c r="AE172" s="236"/>
      <c r="AF172" s="236"/>
      <c r="AG172" s="236"/>
      <c r="AH172" s="236"/>
      <c r="AI172" s="236"/>
      <c r="AJ172" s="236"/>
      <c r="AK172" s="236"/>
      <c r="AL172" s="236"/>
      <c r="AM172" s="236"/>
      <c r="AN172" s="236"/>
      <c r="AO172" s="236"/>
      <c r="AP172" s="236"/>
      <c r="AQ172" s="236"/>
      <c r="AR172" s="236"/>
      <c r="AS172" s="236"/>
      <c r="AT172" s="236"/>
      <c r="AU172" s="236"/>
      <c r="AV172" s="236"/>
      <c r="AW172" s="236"/>
      <c r="AX172" s="236"/>
      <c r="AY172" s="236"/>
      <c r="AZ172" s="236"/>
      <c r="BA172" s="236"/>
      <c r="BB172" s="236"/>
      <c r="BC172" s="236"/>
      <c r="BD172" s="236"/>
      <c r="BE172" s="236"/>
      <c r="BF172" s="236"/>
      <c r="BG172" s="236"/>
      <c r="BH172" s="236"/>
      <c r="BI172" s="236"/>
      <c r="BJ172" s="236"/>
      <c r="BK172" s="236"/>
      <c r="BL172" s="236"/>
      <c r="BM172" s="236"/>
      <c r="BN172" s="236"/>
      <c r="BO172" s="236"/>
      <c r="BP172" s="236"/>
      <c r="BQ172" s="236"/>
      <c r="BR172" s="236"/>
      <c r="BS172" s="236"/>
      <c r="BT172" s="236"/>
      <c r="BU172" s="237"/>
      <c r="BV172" s="237"/>
      <c r="BW172" s="237"/>
      <c r="BX172" s="237"/>
      <c r="BY172" s="236"/>
      <c r="BZ172" s="237"/>
      <c r="CA172" s="237"/>
      <c r="CB172" s="237"/>
      <c r="CC172" s="237"/>
      <c r="CD172" s="236"/>
      <c r="CE172" s="237"/>
      <c r="CF172" s="237"/>
      <c r="CG172" s="237"/>
      <c r="CH172" s="237"/>
      <c r="CI172" s="236"/>
      <c r="CJ172" s="237"/>
      <c r="CK172" s="237"/>
      <c r="CL172" s="237"/>
      <c r="CM172" s="237"/>
      <c r="CN172" s="236"/>
      <c r="CO172" s="237"/>
      <c r="CP172" s="237"/>
      <c r="CQ172" s="236"/>
      <c r="CR172" s="236"/>
      <c r="CS172" s="236"/>
      <c r="CT172" s="236"/>
      <c r="CU172" s="236"/>
      <c r="CV172" s="236"/>
      <c r="CW172" s="236"/>
      <c r="CX172" s="159"/>
      <c r="CY172" s="159"/>
      <c r="CZ172" s="159"/>
      <c r="DA172" s="159"/>
    </row>
    <row r="173" spans="1:109">
      <c r="A173" s="235" t="s">
        <v>916</v>
      </c>
      <c r="B173" s="236"/>
      <c r="C173" s="236"/>
      <c r="D173" s="236"/>
      <c r="E173" s="236"/>
      <c r="F173" s="236"/>
      <c r="G173" s="236"/>
      <c r="H173" s="236"/>
      <c r="I173" s="236"/>
      <c r="J173" s="236"/>
      <c r="K173" s="236"/>
      <c r="L173" s="236"/>
      <c r="M173" s="236"/>
      <c r="N173" s="236"/>
      <c r="O173" s="236"/>
      <c r="P173" s="236"/>
      <c r="Q173" s="236"/>
      <c r="R173" s="236"/>
      <c r="S173" s="236"/>
      <c r="T173" s="236"/>
      <c r="U173" s="236"/>
      <c r="V173" s="236"/>
      <c r="W173" s="236"/>
      <c r="X173" s="236"/>
      <c r="Y173" s="236"/>
      <c r="Z173" s="236"/>
      <c r="AA173" s="236"/>
      <c r="AB173" s="236"/>
      <c r="AC173" s="236"/>
      <c r="AD173" s="236"/>
      <c r="AE173" s="236"/>
      <c r="AF173" s="236"/>
      <c r="AG173" s="236"/>
      <c r="AH173" s="236"/>
      <c r="AI173" s="236"/>
      <c r="AJ173" s="236"/>
      <c r="AK173" s="236"/>
      <c r="AL173" s="259"/>
      <c r="AM173" s="259"/>
      <c r="AN173" s="259"/>
      <c r="AO173" s="259"/>
      <c r="AP173" s="259"/>
      <c r="AQ173" s="259"/>
      <c r="AR173" s="259"/>
      <c r="AS173" s="259"/>
      <c r="AT173" s="259"/>
      <c r="AU173" s="259"/>
      <c r="AV173" s="259"/>
      <c r="AW173" s="259"/>
      <c r="AX173" s="259"/>
      <c r="AY173" s="259"/>
      <c r="AZ173" s="259"/>
      <c r="BA173" s="259"/>
      <c r="BB173" s="259"/>
      <c r="BC173" s="259"/>
      <c r="BD173" s="259"/>
      <c r="BE173" s="259"/>
      <c r="BF173" s="259"/>
      <c r="BG173" s="259"/>
      <c r="BH173" s="259"/>
      <c r="BI173" s="259"/>
      <c r="BJ173" s="259"/>
      <c r="BK173" s="259"/>
      <c r="BL173" s="259"/>
      <c r="BM173" s="259"/>
      <c r="BN173" s="259"/>
      <c r="BO173" s="259"/>
      <c r="BP173" s="259"/>
      <c r="BQ173" s="259"/>
      <c r="BR173" s="259"/>
      <c r="BS173" s="259"/>
      <c r="BT173" s="259">
        <f>BT258*1000/AVERAGE(BT115,BT117)/12</f>
        <v>42.329670329670328</v>
      </c>
      <c r="BU173" s="259">
        <f>BU258*1000/AVERAGE(BU115,BU117)/3</f>
        <v>41.735405632253766</v>
      </c>
      <c r="BV173" s="259">
        <f>BV258*1000/AVERAGE(BV115,BV117)/3</f>
        <v>43.228962533931394</v>
      </c>
      <c r="BW173" s="259">
        <f t="shared" ref="BW173:BX173" si="692">BW258*1000/AVERAGE(BW115,BW117)/3</f>
        <v>43.251626243915048</v>
      </c>
      <c r="BX173" s="259">
        <f t="shared" si="692"/>
        <v>43.610778784253405</v>
      </c>
      <c r="BY173" s="259">
        <f>BY258*1000/AVERAGE(BY115,BY117)/12</f>
        <v>42.587201004738255</v>
      </c>
      <c r="BZ173" s="259">
        <f>BZ258*1000/AVERAGE(BZ115,BZ117)/3</f>
        <v>43.212762641504092</v>
      </c>
      <c r="CA173" s="259">
        <f>CA258*1000/AVERAGE(CA115,CA117)/3</f>
        <v>43.100274686376117</v>
      </c>
      <c r="CB173" s="259">
        <f t="shared" ref="CB173:CC173" si="693">CB258*1000/AVERAGE(CB115,CB117)/3</f>
        <v>43.036092524793446</v>
      </c>
      <c r="CC173" s="259">
        <f t="shared" si="693"/>
        <v>42.358250751056922</v>
      </c>
      <c r="CD173" s="259">
        <f>CD258*1000/AVERAGE(CD115,CD117)/12</f>
        <v>42.19417982872146</v>
      </c>
      <c r="CE173" s="259">
        <f>CE258*1000/AVERAGE(CE115,CE117)/3</f>
        <v>41.698408243454551</v>
      </c>
      <c r="CF173" s="259">
        <f t="shared" ref="CF173:CH173" si="694">CF258*1000/AVERAGE(CF115,CF117)/3</f>
        <v>41.61345253299276</v>
      </c>
      <c r="CG173" s="259">
        <f t="shared" si="694"/>
        <v>41.162323069037576</v>
      </c>
      <c r="CH173" s="259">
        <f t="shared" si="694"/>
        <v>41.074991198216175</v>
      </c>
      <c r="CI173" s="259">
        <f>CI258*1000/AVERAGE(CI115,CI117)/12</f>
        <v>41.211140492823411</v>
      </c>
      <c r="CJ173" s="259">
        <f>CJ258*1000/AVERAGE(CJ115,CJ117)/3</f>
        <v>39.03730259691865</v>
      </c>
      <c r="CK173" s="259">
        <f>CK258*1000/AVERAGE(CK115,CK117)/3</f>
        <v>39.019332650558233</v>
      </c>
      <c r="CL173" s="259">
        <f>CL258*1000/AVERAGE(CL115,CL117)/3</f>
        <v>39.276097438787652</v>
      </c>
      <c r="CM173" s="259">
        <f>CM258*1000/AVERAGE(CM115,CM117)/3</f>
        <v>39.695830697282076</v>
      </c>
      <c r="CN173" s="259">
        <f>CN258*1000/AVERAGE(CN115,CN117)/12</f>
        <v>39.435371566021011</v>
      </c>
      <c r="CO173" s="259">
        <f>CO258*1000/AVERAGE(CO115,CO117)/3</f>
        <v>38.621706283397828</v>
      </c>
      <c r="CP173" s="259">
        <f>CP258*1000/AVERAGE(CP115,CP117)/3</f>
        <v>38.854956214585329</v>
      </c>
      <c r="CQ173" s="259">
        <f t="shared" ref="CQ173:CW173" si="695">CQ258*1000/AVERAGE(CQ115,CQ117)/12</f>
        <v>39.193238330957115</v>
      </c>
      <c r="CR173" s="259">
        <f t="shared" si="695"/>
        <v>39.275664618445013</v>
      </c>
      <c r="CS173" s="259">
        <f t="shared" si="695"/>
        <v>39.479596224410479</v>
      </c>
      <c r="CT173" s="259">
        <f t="shared" si="695"/>
        <v>39.685778334154989</v>
      </c>
      <c r="CU173" s="259">
        <f t="shared" si="695"/>
        <v>39.894226154923054</v>
      </c>
      <c r="CV173" s="259">
        <f t="shared" si="695"/>
        <v>40.10495501082972</v>
      </c>
      <c r="CW173" s="259">
        <f t="shared" si="695"/>
        <v>40.317980340460458</v>
      </c>
      <c r="CX173" s="159"/>
      <c r="CY173" s="159"/>
      <c r="CZ173" s="159"/>
      <c r="DA173" s="159"/>
    </row>
    <row r="174" spans="1:109">
      <c r="A174" s="226" t="s">
        <v>39</v>
      </c>
      <c r="B174" s="236"/>
      <c r="C174" s="236"/>
      <c r="D174" s="236"/>
      <c r="E174" s="236"/>
      <c r="F174" s="236"/>
      <c r="G174" s="236"/>
      <c r="H174" s="236"/>
      <c r="I174" s="236"/>
      <c r="J174" s="236"/>
      <c r="K174" s="236"/>
      <c r="L174" s="236"/>
      <c r="M174" s="236"/>
      <c r="N174" s="236"/>
      <c r="O174" s="236"/>
      <c r="P174" s="236"/>
      <c r="Q174" s="236"/>
      <c r="R174" s="236"/>
      <c r="S174" s="236"/>
      <c r="T174" s="236"/>
      <c r="U174" s="236"/>
      <c r="V174" s="236"/>
      <c r="W174" s="236"/>
      <c r="X174" s="236"/>
      <c r="Y174" s="236"/>
      <c r="Z174" s="236"/>
      <c r="AA174" s="236"/>
      <c r="AB174" s="236"/>
      <c r="AC174" s="236"/>
      <c r="AD174" s="236"/>
      <c r="AE174" s="236"/>
      <c r="AF174" s="236"/>
      <c r="AG174" s="236"/>
      <c r="AH174" s="236"/>
      <c r="AI174" s="236"/>
      <c r="AJ174" s="236"/>
      <c r="AK174" s="236"/>
      <c r="AL174" s="236"/>
      <c r="AM174" s="236"/>
      <c r="AN174" s="236"/>
      <c r="AO174" s="236"/>
      <c r="AP174" s="236"/>
      <c r="AQ174" s="236"/>
      <c r="AR174" s="236"/>
      <c r="AS174" s="236"/>
      <c r="AT174" s="236"/>
      <c r="AU174" s="236"/>
      <c r="AV174" s="236"/>
      <c r="AW174" s="236"/>
      <c r="AX174" s="236"/>
      <c r="AY174" s="236"/>
      <c r="AZ174" s="236"/>
      <c r="BA174" s="236"/>
      <c r="BB174" s="236"/>
      <c r="BC174" s="236"/>
      <c r="BD174" s="236"/>
      <c r="BE174" s="236"/>
      <c r="BF174" s="236"/>
      <c r="BG174" s="236"/>
      <c r="BH174" s="236"/>
      <c r="BI174" s="236"/>
      <c r="BJ174" s="236"/>
      <c r="BK174" s="236"/>
      <c r="BL174" s="236"/>
      <c r="BM174" s="236"/>
      <c r="BN174" s="236"/>
      <c r="BO174" s="236"/>
      <c r="BP174" s="236"/>
      <c r="BQ174" s="236"/>
      <c r="BR174" s="236"/>
      <c r="BS174" s="236"/>
      <c r="BT174" s="236"/>
      <c r="BU174" s="237"/>
      <c r="BV174" s="237"/>
      <c r="BW174" s="237"/>
      <c r="BX174" s="237"/>
      <c r="BY174" s="236">
        <f t="shared" ref="BY174" si="696">BY173/BT173-1</f>
        <v>6.0839282012412621E-3</v>
      </c>
      <c r="BZ174" s="237">
        <f t="shared" ref="BZ174" si="697">BZ173/BU173-1</f>
        <v>3.539817061484607E-2</v>
      </c>
      <c r="CA174" s="237">
        <f t="shared" ref="CA174" si="698">CA173/BV173-1</f>
        <v>-2.976889566902452E-3</v>
      </c>
      <c r="CB174" s="237">
        <f t="shared" ref="CB174" si="699">CB173/BW173-1</f>
        <v>-4.9832512171013033E-3</v>
      </c>
      <c r="CC174" s="237">
        <f t="shared" ref="CC174" si="700">CC173/BX173-1</f>
        <v>-2.8720606880075605E-2</v>
      </c>
      <c r="CD174" s="236">
        <f t="shared" ref="CD174" si="701">CD173/BY173-1</f>
        <v>-9.2286219038688611E-3</v>
      </c>
      <c r="CE174" s="237">
        <f t="shared" ref="CE174" si="702">CE173/BZ173-1</f>
        <v>-3.5044146809421139E-2</v>
      </c>
      <c r="CF174" s="237">
        <f t="shared" ref="CF174" si="703">CF173/CA173-1</f>
        <v>-3.4496813864931974E-2</v>
      </c>
      <c r="CG174" s="237">
        <f t="shared" ref="CG174" si="704">CG173/CB173-1</f>
        <v>-4.3539488504361179E-2</v>
      </c>
      <c r="CH174" s="237">
        <f t="shared" ref="CH174" si="705">CH173/CC173-1</f>
        <v>-3.0295385906811245E-2</v>
      </c>
      <c r="CI174" s="236">
        <f t="shared" ref="CI174" si="706">CI173/CD173-1</f>
        <v>-2.3297984221721912E-2</v>
      </c>
      <c r="CJ174" s="237">
        <f t="shared" ref="CJ174" si="707">CJ173/CE173-1</f>
        <v>-6.3817919163703718E-2</v>
      </c>
      <c r="CK174" s="237">
        <f t="shared" ref="CK174:CP174" si="708">CK173/CF173-1</f>
        <v>-6.2338492110881827E-2</v>
      </c>
      <c r="CL174" s="237">
        <f t="shared" si="708"/>
        <v>-4.5824081091981661E-2</v>
      </c>
      <c r="CM174" s="237">
        <f t="shared" si="708"/>
        <v>-3.3576647509884094E-2</v>
      </c>
      <c r="CN174" s="236">
        <f t="shared" si="708"/>
        <v>-4.3089536119769289E-2</v>
      </c>
      <c r="CO174" s="237">
        <f t="shared" si="708"/>
        <v>-1.0646132951656062E-2</v>
      </c>
      <c r="CP174" s="237">
        <f t="shared" si="708"/>
        <v>-4.2126921402012574E-3</v>
      </c>
      <c r="CQ174" s="236">
        <f>CQ173/CN173-1</f>
        <v>-6.1400013604164805E-3</v>
      </c>
      <c r="CR174" s="236">
        <f t="shared" ref="CR174" si="709">CR173/CQ173-1</f>
        <v>2.1030741780474482E-3</v>
      </c>
      <c r="CS174" s="236">
        <f t="shared" ref="CS174" si="710">CS173/CR173-1</f>
        <v>5.192314578164936E-3</v>
      </c>
      <c r="CT174" s="236">
        <f t="shared" ref="CT174" si="711">CT173/CS173-1</f>
        <v>5.2224979346933154E-3</v>
      </c>
      <c r="CU174" s="236">
        <f t="shared" ref="CU174" si="712">CU173/CT173-1</f>
        <v>5.2524564092690795E-3</v>
      </c>
      <c r="CV174" s="236">
        <f t="shared" ref="CV174" si="713">CV173/CU173-1</f>
        <v>5.2821893345751381E-3</v>
      </c>
      <c r="CW174" s="236">
        <f t="shared" ref="CW174" si="714">CW173/CV173-1</f>
        <v>5.3116960129544477E-3</v>
      </c>
      <c r="CX174" s="159"/>
      <c r="CY174" s="159"/>
      <c r="CZ174" s="159"/>
      <c r="DA174" s="159"/>
    </row>
    <row r="175" spans="1:109">
      <c r="A175" s="226"/>
      <c r="B175" s="236"/>
      <c r="C175" s="236"/>
      <c r="D175" s="236"/>
      <c r="E175" s="236"/>
      <c r="F175" s="236"/>
      <c r="G175" s="236"/>
      <c r="H175" s="236"/>
      <c r="I175" s="236"/>
      <c r="J175" s="236"/>
      <c r="K175" s="236"/>
      <c r="L175" s="236"/>
      <c r="M175" s="236"/>
      <c r="N175" s="236"/>
      <c r="O175" s="236"/>
      <c r="P175" s="236"/>
      <c r="Q175" s="236"/>
      <c r="R175" s="236"/>
      <c r="S175" s="236"/>
      <c r="T175" s="236"/>
      <c r="U175" s="236"/>
      <c r="V175" s="236"/>
      <c r="W175" s="236"/>
      <c r="X175" s="236"/>
      <c r="Y175" s="236"/>
      <c r="Z175" s="236"/>
      <c r="AA175" s="236"/>
      <c r="AB175" s="236"/>
      <c r="AC175" s="236"/>
      <c r="AD175" s="236"/>
      <c r="AE175" s="236"/>
      <c r="AF175" s="236"/>
      <c r="AG175" s="236"/>
      <c r="AH175" s="236"/>
      <c r="AI175" s="236"/>
      <c r="AJ175" s="236"/>
      <c r="AK175" s="236"/>
      <c r="AL175" s="236"/>
      <c r="AM175" s="236"/>
      <c r="AN175" s="236"/>
      <c r="AO175" s="236"/>
      <c r="AP175" s="236"/>
      <c r="AQ175" s="236"/>
      <c r="AR175" s="236"/>
      <c r="AS175" s="236"/>
      <c r="AT175" s="236"/>
      <c r="AU175" s="236"/>
      <c r="AV175" s="236"/>
      <c r="AW175" s="236"/>
      <c r="AX175" s="236"/>
      <c r="AY175" s="236"/>
      <c r="AZ175" s="236"/>
      <c r="BA175" s="236"/>
      <c r="BB175" s="236"/>
      <c r="BC175" s="236"/>
      <c r="BD175" s="236"/>
      <c r="BE175" s="236"/>
      <c r="BF175" s="236"/>
      <c r="BG175" s="236"/>
      <c r="BH175" s="236"/>
      <c r="BI175" s="236"/>
      <c r="BJ175" s="236"/>
      <c r="BK175" s="236"/>
      <c r="BL175" s="236"/>
      <c r="BM175" s="236"/>
      <c r="BN175" s="236"/>
      <c r="BO175" s="236"/>
      <c r="BP175" s="236"/>
      <c r="BQ175" s="236"/>
      <c r="BR175" s="236"/>
      <c r="BS175" s="236"/>
      <c r="BT175" s="236"/>
      <c r="BU175" s="237"/>
      <c r="BV175" s="237"/>
      <c r="BW175" s="237"/>
      <c r="BX175" s="237"/>
      <c r="BY175" s="236"/>
      <c r="BZ175" s="237"/>
      <c r="CA175" s="237"/>
      <c r="CB175" s="237"/>
      <c r="CC175" s="237"/>
      <c r="CD175" s="236"/>
      <c r="CE175" s="237"/>
      <c r="CF175" s="237"/>
      <c r="CG175" s="237"/>
      <c r="CH175" s="237"/>
      <c r="CI175" s="236"/>
      <c r="CJ175" s="237"/>
      <c r="CK175" s="237"/>
      <c r="CL175" s="237"/>
      <c r="CM175" s="237"/>
      <c r="CN175" s="236"/>
      <c r="CO175" s="237"/>
      <c r="CP175" s="237"/>
      <c r="CQ175" s="236"/>
      <c r="CR175" s="236"/>
      <c r="CS175" s="236"/>
      <c r="CT175" s="236"/>
      <c r="CU175" s="236"/>
      <c r="CV175" s="236"/>
      <c r="CW175" s="236"/>
      <c r="CX175" s="159"/>
      <c r="CY175" s="159"/>
      <c r="CZ175" s="159"/>
      <c r="DA175" s="159"/>
    </row>
    <row r="176" spans="1:109" outlineLevel="1">
      <c r="A176" s="277" t="s">
        <v>261</v>
      </c>
      <c r="B176" s="236"/>
      <c r="C176" s="236"/>
      <c r="D176" s="236"/>
      <c r="E176" s="236"/>
      <c r="F176" s="236"/>
      <c r="G176" s="236"/>
      <c r="H176" s="236"/>
      <c r="I176" s="236"/>
      <c r="J176" s="236"/>
      <c r="K176" s="236"/>
      <c r="L176" s="236"/>
      <c r="M176" s="236"/>
      <c r="N176" s="236"/>
      <c r="O176" s="236"/>
      <c r="P176" s="236"/>
      <c r="Q176" s="236"/>
      <c r="R176" s="236"/>
      <c r="S176" s="236"/>
      <c r="T176" s="236"/>
      <c r="U176" s="236"/>
      <c r="V176" s="236"/>
      <c r="W176" s="236"/>
      <c r="X176" s="236"/>
      <c r="Y176" s="236"/>
      <c r="Z176" s="236"/>
      <c r="AA176" s="236"/>
      <c r="AB176" s="236"/>
      <c r="AC176" s="236"/>
      <c r="AD176" s="236"/>
      <c r="AE176" s="236"/>
      <c r="AF176" s="236"/>
      <c r="AG176" s="236"/>
      <c r="AH176" s="236"/>
      <c r="AI176" s="236"/>
      <c r="AJ176" s="236"/>
      <c r="AK176" s="236"/>
      <c r="AL176" s="236"/>
      <c r="AM176" s="236"/>
      <c r="AN176" s="236"/>
      <c r="AO176" s="236"/>
      <c r="AP176" s="236"/>
      <c r="AQ176" s="236"/>
      <c r="AR176" s="236"/>
      <c r="AS176" s="236"/>
      <c r="AT176" s="236"/>
      <c r="AU176" s="236"/>
      <c r="AV176" s="236"/>
      <c r="AW176" s="236"/>
      <c r="AX176" s="236"/>
      <c r="AY176" s="236"/>
      <c r="AZ176" s="236"/>
      <c r="BA176" s="236"/>
      <c r="BB176" s="236"/>
      <c r="BC176" s="236"/>
      <c r="BD176" s="236"/>
      <c r="BE176" s="236"/>
      <c r="BF176" s="236"/>
      <c r="BG176" s="236"/>
      <c r="BH176" s="236"/>
      <c r="BI176" s="236"/>
      <c r="BJ176" s="236"/>
      <c r="BK176" s="236"/>
      <c r="BL176" s="236"/>
      <c r="BM176" s="236"/>
      <c r="BN176" s="236"/>
      <c r="BO176" s="236"/>
      <c r="BP176" s="236"/>
      <c r="BQ176" s="236"/>
      <c r="BR176" s="236"/>
      <c r="BS176" s="236"/>
      <c r="BT176" s="236"/>
      <c r="BU176" s="237"/>
      <c r="BV176" s="237"/>
      <c r="BW176" s="237"/>
      <c r="BX176" s="237"/>
      <c r="BY176" s="236"/>
      <c r="BZ176" s="237"/>
      <c r="CA176" s="237"/>
      <c r="CB176" s="237"/>
      <c r="CC176" s="237"/>
      <c r="CD176" s="236"/>
      <c r="CE176" s="237"/>
      <c r="CF176" s="237"/>
      <c r="CG176" s="237"/>
      <c r="CH176" s="237"/>
      <c r="CI176" s="236"/>
      <c r="CJ176" s="237"/>
      <c r="CK176" s="237"/>
      <c r="CL176" s="237"/>
      <c r="CM176" s="237"/>
      <c r="CN176" s="236"/>
      <c r="CO176" s="237"/>
      <c r="CP176" s="237"/>
      <c r="CQ176" s="236"/>
      <c r="CR176" s="236"/>
      <c r="CS176" s="236"/>
      <c r="CT176" s="236"/>
      <c r="CU176" s="236"/>
      <c r="CV176" s="236"/>
      <c r="CW176" s="236"/>
      <c r="CX176" s="159"/>
      <c r="CY176" s="159"/>
      <c r="CZ176" s="159"/>
      <c r="DA176" s="159"/>
    </row>
    <row r="177" spans="1:112" outlineLevel="1">
      <c r="A177" s="277" t="s">
        <v>262</v>
      </c>
      <c r="B177" s="712"/>
      <c r="C177" s="712"/>
      <c r="D177" s="712"/>
      <c r="E177" s="712"/>
      <c r="F177" s="712"/>
      <c r="G177" s="712"/>
      <c r="H177" s="712"/>
      <c r="I177" s="712"/>
      <c r="J177" s="712"/>
      <c r="K177" s="712"/>
      <c r="L177" s="712"/>
      <c r="M177" s="712"/>
      <c r="N177" s="712"/>
      <c r="O177" s="712"/>
      <c r="P177" s="712"/>
      <c r="Q177" s="712"/>
      <c r="R177" s="712"/>
      <c r="S177" s="712"/>
      <c r="T177" s="712"/>
      <c r="U177" s="712"/>
      <c r="V177" s="712"/>
      <c r="W177" s="712">
        <v>42.218074656188605</v>
      </c>
      <c r="X177" s="712">
        <v>41.480057664584336</v>
      </c>
      <c r="Y177" s="712">
        <v>38.265246853823811</v>
      </c>
      <c r="Z177" s="712">
        <v>37.540502131691142</v>
      </c>
      <c r="AA177" s="712">
        <v>40.651193633952253</v>
      </c>
      <c r="AB177" s="712">
        <v>28.499515972894482</v>
      </c>
      <c r="AC177" s="712">
        <v>28.317983519146878</v>
      </c>
      <c r="AD177" s="712">
        <v>29.7220867869332</v>
      </c>
      <c r="AE177" s="712">
        <v>30.092391304347828</v>
      </c>
      <c r="AF177" s="712">
        <v>28.880414936251835</v>
      </c>
      <c r="AG177" s="712">
        <v>29.640552995391708</v>
      </c>
      <c r="AH177" s="712">
        <v>30.28132992327366</v>
      </c>
      <c r="AI177" s="712">
        <v>30.138746145940392</v>
      </c>
      <c r="AJ177" s="712">
        <v>29.652917505030185</v>
      </c>
      <c r="AK177" s="712">
        <v>29.969644902634592</v>
      </c>
      <c r="AL177" s="712"/>
      <c r="AM177" s="712"/>
      <c r="AN177" s="712"/>
      <c r="AO177" s="712"/>
      <c r="AP177" s="715">
        <v>27.600750180092909</v>
      </c>
      <c r="AQ177" s="712"/>
      <c r="AR177" s="712"/>
      <c r="AS177" s="712"/>
      <c r="AT177" s="712"/>
      <c r="AU177" s="715">
        <f>AU220*1000/AU118/AU182</f>
        <v>25.16636401420871</v>
      </c>
      <c r="AV177" s="715"/>
      <c r="AW177" s="715"/>
      <c r="AX177" s="712"/>
      <c r="AY177" s="712"/>
      <c r="AZ177" s="715">
        <f>AZ220*1000/AZ118/AZ182</f>
        <v>23.67903190096898</v>
      </c>
      <c r="BA177" s="712"/>
      <c r="BB177" s="712"/>
      <c r="BC177" s="712"/>
      <c r="BD177" s="712"/>
      <c r="BE177" s="715">
        <f>BE220*1000/BE118/BE182</f>
        <v>21.370326290624501</v>
      </c>
      <c r="BF177" s="712"/>
      <c r="BG177" s="712"/>
      <c r="BH177" s="712"/>
      <c r="BI177" s="712"/>
      <c r="BJ177" s="715">
        <f>BJ220*1000/BJ118/BJ182</f>
        <v>20.314632171867647</v>
      </c>
      <c r="BK177" s="712"/>
      <c r="BL177" s="712"/>
      <c r="BM177" s="712"/>
      <c r="BN177" s="712"/>
      <c r="BO177" s="715">
        <f>BO220*1000/BO118/BO182</f>
        <v>19.311089342577386</v>
      </c>
      <c r="BP177" s="712"/>
      <c r="BQ177" s="712"/>
      <c r="BR177" s="712"/>
      <c r="BS177" s="712"/>
      <c r="BT177" s="715">
        <f>BT220*1000/BT118/BT182</f>
        <v>18.357121529054066</v>
      </c>
      <c r="BU177" s="713"/>
      <c r="BV177" s="713"/>
      <c r="BW177" s="713"/>
      <c r="BX177" s="713"/>
      <c r="BY177" s="715">
        <f>BY220*1000/BY118/BY182</f>
        <v>17.450279725518794</v>
      </c>
      <c r="BZ177" s="713"/>
      <c r="CA177" s="713"/>
      <c r="CB177" s="713"/>
      <c r="CC177" s="713"/>
      <c r="CD177" s="715">
        <f t="shared" ref="CD177:CS177" si="715">CD220*1000/CD118/CD182</f>
        <v>16.588235907078161</v>
      </c>
      <c r="CE177" s="713"/>
      <c r="CF177" s="713"/>
      <c r="CG177" s="713"/>
      <c r="CH177" s="713"/>
      <c r="CI177" s="715">
        <f t="shared" si="715"/>
        <v>15.768777053268499</v>
      </c>
      <c r="CJ177" s="713"/>
      <c r="CK177" s="713"/>
      <c r="CL177" s="713"/>
      <c r="CM177" s="713"/>
      <c r="CN177" s="715">
        <f t="shared" ref="CN177" si="716">CN220*1000/CN118/CN182</f>
        <v>14.989799466837033</v>
      </c>
      <c r="CO177" s="713"/>
      <c r="CP177" s="713"/>
      <c r="CQ177" s="715">
        <f t="shared" si="715"/>
        <v>14.396203407950287</v>
      </c>
      <c r="CR177" s="715">
        <f t="shared" si="715"/>
        <v>13.826113752995452</v>
      </c>
      <c r="CS177" s="715">
        <f t="shared" si="715"/>
        <v>13.278599648376833</v>
      </c>
      <c r="CT177" s="715">
        <f t="shared" ref="CT177:CV177" si="717">CT220*1000/CT118/CT182</f>
        <v>12.752767102301112</v>
      </c>
      <c r="CU177" s="715">
        <f t="shared" si="717"/>
        <v>12.247757525049989</v>
      </c>
      <c r="CV177" s="715">
        <f t="shared" si="717"/>
        <v>11.762746327058005</v>
      </c>
      <c r="CW177" s="715">
        <f t="shared" ref="CW177" si="718">CW220*1000/CW118/CW182</f>
        <v>11.296941572506514</v>
      </c>
      <c r="CX177" s="159"/>
      <c r="CY177" s="159"/>
      <c r="CZ177" s="159"/>
      <c r="DA177" s="159"/>
    </row>
    <row r="178" spans="1:112" outlineLevel="1">
      <c r="A178" s="277" t="s">
        <v>263</v>
      </c>
      <c r="B178" s="712"/>
      <c r="C178" s="712"/>
      <c r="D178" s="712"/>
      <c r="E178" s="712"/>
      <c r="F178" s="712"/>
      <c r="G178" s="712"/>
      <c r="H178" s="712"/>
      <c r="I178" s="712"/>
      <c r="J178" s="712"/>
      <c r="K178" s="712"/>
      <c r="L178" s="712"/>
      <c r="M178" s="712"/>
      <c r="N178" s="712"/>
      <c r="O178" s="712"/>
      <c r="P178" s="712"/>
      <c r="Q178" s="712"/>
      <c r="R178" s="712"/>
      <c r="S178" s="712"/>
      <c r="T178" s="712"/>
      <c r="U178" s="712"/>
      <c r="V178" s="712"/>
      <c r="W178" s="712">
        <v>9.7819253438113947</v>
      </c>
      <c r="X178" s="712">
        <v>10.519942335415665</v>
      </c>
      <c r="Y178" s="712">
        <v>9.7347531461761854</v>
      </c>
      <c r="Z178" s="712">
        <v>10.459497868308858</v>
      </c>
      <c r="AA178" s="712">
        <v>10.348806366047747</v>
      </c>
      <c r="AB178" s="712">
        <v>10.375605033881897</v>
      </c>
      <c r="AC178" s="712">
        <v>11.037324285021812</v>
      </c>
      <c r="AD178" s="712">
        <v>11.842028278888346</v>
      </c>
      <c r="AE178" s="712">
        <v>12.685770750988143</v>
      </c>
      <c r="AF178" s="712">
        <v>11.485544050277806</v>
      </c>
      <c r="AG178" s="712">
        <v>12.878648233486944</v>
      </c>
      <c r="AH178" s="712">
        <v>14.475703324808183</v>
      </c>
      <c r="AI178" s="712">
        <v>15.13360739979445</v>
      </c>
      <c r="AJ178" s="712">
        <v>16.046277665995976</v>
      </c>
      <c r="AK178" s="712">
        <v>14.597365406643757</v>
      </c>
      <c r="AL178" s="712"/>
      <c r="AM178" s="712"/>
      <c r="AN178" s="712"/>
      <c r="AO178" s="712"/>
      <c r="AP178" s="715">
        <v>17.697469135802468</v>
      </c>
      <c r="AQ178" s="712"/>
      <c r="AR178" s="712"/>
      <c r="AS178" s="712"/>
      <c r="AT178" s="712"/>
      <c r="AU178" s="715">
        <f>AU222*1000/AU118/AU182</f>
        <v>22.351949045785805</v>
      </c>
      <c r="AV178" s="715"/>
      <c r="AW178" s="715"/>
      <c r="AX178" s="712"/>
      <c r="AY178" s="712"/>
      <c r="AZ178" s="715">
        <f>AZ222*1000/AZ118/AZ182</f>
        <v>27.30399960429342</v>
      </c>
      <c r="BA178" s="712"/>
      <c r="BB178" s="712"/>
      <c r="BC178" s="712"/>
      <c r="BD178" s="712"/>
      <c r="BE178" s="715">
        <f>BE222*1000/BE118/BE182</f>
        <v>44.709286435319846</v>
      </c>
      <c r="BF178" s="712"/>
      <c r="BG178" s="712"/>
      <c r="BH178" s="712"/>
      <c r="BI178" s="712"/>
      <c r="BJ178" s="715">
        <f>BJ222*1000/BJ118/BJ182</f>
        <v>59.389964393818808</v>
      </c>
      <c r="BK178" s="712"/>
      <c r="BL178" s="712"/>
      <c r="BM178" s="712"/>
      <c r="BN178" s="712"/>
      <c r="BO178" s="715">
        <f>BO222*1000/BO118/BO182</f>
        <v>71.358265818804369</v>
      </c>
      <c r="BP178" s="712"/>
      <c r="BQ178" s="712"/>
      <c r="BR178" s="712"/>
      <c r="BS178" s="712"/>
      <c r="BT178" s="715">
        <f>BT222*1000/BT118/BT182</f>
        <v>68.551152998541355</v>
      </c>
      <c r="BU178" s="713"/>
      <c r="BV178" s="713"/>
      <c r="BW178" s="713"/>
      <c r="BX178" s="713"/>
      <c r="BY178" s="715">
        <f>BY222*1000/BY118/BY182</f>
        <v>29.696277525065174</v>
      </c>
      <c r="BZ178" s="713"/>
      <c r="CA178" s="713"/>
      <c r="CB178" s="713"/>
      <c r="CC178" s="713"/>
      <c r="CD178" s="715">
        <f t="shared" ref="CD178:CS178" si="719">CD222*1000/CD118/CD182</f>
        <v>0</v>
      </c>
      <c r="CE178" s="713"/>
      <c r="CF178" s="713"/>
      <c r="CG178" s="713"/>
      <c r="CH178" s="713"/>
      <c r="CI178" s="715">
        <f t="shared" si="719"/>
        <v>0</v>
      </c>
      <c r="CJ178" s="713"/>
      <c r="CK178" s="713"/>
      <c r="CL178" s="713"/>
      <c r="CM178" s="713"/>
      <c r="CN178" s="715">
        <f t="shared" ref="CN178" si="720">CN222*1000/CN118/CN182</f>
        <v>0</v>
      </c>
      <c r="CO178" s="713"/>
      <c r="CP178" s="713"/>
      <c r="CQ178" s="715">
        <f t="shared" si="719"/>
        <v>0</v>
      </c>
      <c r="CR178" s="715">
        <f t="shared" si="719"/>
        <v>0</v>
      </c>
      <c r="CS178" s="715">
        <f t="shared" si="719"/>
        <v>0</v>
      </c>
      <c r="CT178" s="715">
        <f t="shared" ref="CT178:CV178" si="721">CT222*1000/CT118/CT182</f>
        <v>0</v>
      </c>
      <c r="CU178" s="715">
        <f t="shared" si="721"/>
        <v>0</v>
      </c>
      <c r="CV178" s="715">
        <f t="shared" si="721"/>
        <v>0</v>
      </c>
      <c r="CW178" s="715">
        <f t="shared" ref="CW178" si="722">CW222*1000/CW118/CW182</f>
        <v>0</v>
      </c>
      <c r="CX178" s="159"/>
      <c r="CY178" s="159"/>
      <c r="CZ178" s="159"/>
      <c r="DA178" s="159"/>
    </row>
    <row r="179" spans="1:112" outlineLevel="1">
      <c r="A179" s="277" t="s">
        <v>251</v>
      </c>
      <c r="B179" s="712"/>
      <c r="C179" s="712"/>
      <c r="D179" s="712"/>
      <c r="E179" s="712"/>
      <c r="F179" s="712"/>
      <c r="G179" s="712"/>
      <c r="H179" s="712"/>
      <c r="I179" s="712"/>
      <c r="J179" s="712"/>
      <c r="K179" s="712"/>
      <c r="L179" s="712"/>
      <c r="M179" s="712"/>
      <c r="N179" s="712"/>
      <c r="O179" s="712"/>
      <c r="P179" s="712"/>
      <c r="Q179" s="712"/>
      <c r="R179" s="712"/>
      <c r="S179" s="712"/>
      <c r="T179" s="712"/>
      <c r="U179" s="712"/>
      <c r="V179" s="712"/>
      <c r="W179" s="712"/>
      <c r="X179" s="712"/>
      <c r="Y179" s="712"/>
      <c r="Z179" s="712"/>
      <c r="AA179" s="712">
        <f>AA170-AA177-AA178</f>
        <v>-0.52259002460299087</v>
      </c>
      <c r="AB179" s="712">
        <v>7.1248789932236205</v>
      </c>
      <c r="AC179" s="712">
        <v>6.644692195831313</v>
      </c>
      <c r="AD179" s="712">
        <v>6.435884934178449</v>
      </c>
      <c r="AE179" s="712">
        <v>6.2218379446640313</v>
      </c>
      <c r="AF179" s="712">
        <v>6.6340410134703562</v>
      </c>
      <c r="AG179" s="712">
        <v>5.4807987711213517</v>
      </c>
      <c r="AH179" s="712">
        <v>5.2429667519181589</v>
      </c>
      <c r="AI179" s="712">
        <v>4.7276464542651597</v>
      </c>
      <c r="AJ179" s="712">
        <v>4.3008048289738428</v>
      </c>
      <c r="AK179" s="712">
        <v>4.9329896907216497</v>
      </c>
      <c r="AL179" s="712"/>
      <c r="AM179" s="712"/>
      <c r="AN179" s="712"/>
      <c r="AO179" s="712"/>
      <c r="AP179" s="715">
        <v>3.2017806841046275</v>
      </c>
      <c r="AQ179" s="712"/>
      <c r="AR179" s="712"/>
      <c r="AS179" s="712"/>
      <c r="AT179" s="712"/>
      <c r="AU179" s="715">
        <f>AP179*(1+AU187)</f>
        <v>2.4013355130784708</v>
      </c>
      <c r="AV179" s="715"/>
      <c r="AW179" s="715"/>
      <c r="AX179" s="712"/>
      <c r="AY179" s="712"/>
      <c r="AZ179" s="715">
        <f>AU179*(1+AZ187)</f>
        <v>1.8010016348088531</v>
      </c>
      <c r="BA179" s="712"/>
      <c r="BB179" s="712"/>
      <c r="BC179" s="712"/>
      <c r="BD179" s="712"/>
      <c r="BE179" s="715">
        <f>AZ179*(1+BE187)</f>
        <v>1.3957762669768612</v>
      </c>
      <c r="BF179" s="712"/>
      <c r="BG179" s="712"/>
      <c r="BH179" s="712"/>
      <c r="BI179" s="712"/>
      <c r="BJ179" s="715">
        <f>BE179*(1+BJ187)</f>
        <v>1.1131315729140467</v>
      </c>
      <c r="BK179" s="712"/>
      <c r="BL179" s="712"/>
      <c r="BM179" s="712"/>
      <c r="BN179" s="712"/>
      <c r="BO179" s="715">
        <f>BJ179*(1+BO187)</f>
        <v>0.9102633437504617</v>
      </c>
      <c r="BP179" s="712"/>
      <c r="BQ179" s="712"/>
      <c r="BR179" s="712"/>
      <c r="BS179" s="712"/>
      <c r="BT179" s="715">
        <f>BO179*(1+BT187)</f>
        <v>0.76095739879179214</v>
      </c>
      <c r="BU179" s="713"/>
      <c r="BV179" s="713"/>
      <c r="BW179" s="713"/>
      <c r="BX179" s="713"/>
      <c r="BY179" s="715">
        <f>BT179*(1+BY187)</f>
        <v>0.64862296518865081</v>
      </c>
      <c r="BZ179" s="713"/>
      <c r="CA179" s="713"/>
      <c r="CB179" s="713"/>
      <c r="CC179" s="713"/>
      <c r="CD179" s="715">
        <f>BY179*(1+CD187)</f>
        <v>0.55287162151008917</v>
      </c>
      <c r="CE179" s="713"/>
      <c r="CF179" s="713"/>
      <c r="CG179" s="713"/>
      <c r="CH179" s="713"/>
      <c r="CI179" s="715">
        <f>CD179*(1+CI187)</f>
        <v>0.47125533056371605</v>
      </c>
      <c r="CJ179" s="713"/>
      <c r="CK179" s="713"/>
      <c r="CL179" s="713"/>
      <c r="CM179" s="713"/>
      <c r="CN179" s="715">
        <f>CI179*(1+CN187)</f>
        <v>0.40168744052757388</v>
      </c>
      <c r="CO179" s="713"/>
      <c r="CP179" s="713"/>
      <c r="CQ179" s="715">
        <f>CN179*(1+CQ187)</f>
        <v>0.34238933633829211</v>
      </c>
      <c r="CR179" s="715">
        <f t="shared" ref="CR179:CS179" si="723">CQ179*(1+CR187)</f>
        <v>0.29184496653469261</v>
      </c>
      <c r="CS179" s="715">
        <f t="shared" si="723"/>
        <v>0.24876208296242494</v>
      </c>
      <c r="CT179" s="715">
        <f t="shared" ref="CT179" si="724">CS179*(1+CT187)</f>
        <v>0.21203920237030438</v>
      </c>
      <c r="CU179" s="715">
        <f t="shared" ref="CU179" si="725">CT179*(1+CU187)</f>
        <v>0.18073744521839413</v>
      </c>
      <c r="CV179" s="715">
        <f t="shared" ref="CV179:CW179" si="726">CU179*(1+CV187)</f>
        <v>0.15405653171164174</v>
      </c>
      <c r="CW179" s="715">
        <f t="shared" si="726"/>
        <v>0.13131432135903992</v>
      </c>
      <c r="CX179" s="159"/>
      <c r="CY179" s="159"/>
      <c r="CZ179" s="159"/>
      <c r="DA179" s="159"/>
    </row>
    <row r="180" spans="1:112" outlineLevel="1">
      <c r="A180" s="277" t="s">
        <v>252</v>
      </c>
      <c r="B180" s="716"/>
      <c r="C180" s="716"/>
      <c r="D180" s="716"/>
      <c r="E180" s="716"/>
      <c r="F180" s="716"/>
      <c r="G180" s="716"/>
      <c r="H180" s="716"/>
      <c r="I180" s="716"/>
      <c r="J180" s="716"/>
      <c r="K180" s="716"/>
      <c r="L180" s="716"/>
      <c r="M180" s="716"/>
      <c r="N180" s="716"/>
      <c r="O180" s="716"/>
      <c r="P180" s="716"/>
      <c r="Q180" s="712"/>
      <c r="R180" s="712"/>
      <c r="S180" s="712"/>
      <c r="T180" s="712"/>
      <c r="U180" s="712"/>
      <c r="V180" s="712"/>
      <c r="W180" s="712"/>
      <c r="X180" s="712"/>
      <c r="Y180" s="712"/>
      <c r="Z180" s="712"/>
      <c r="AA180" s="712"/>
      <c r="AB180" s="712"/>
      <c r="AC180" s="712"/>
      <c r="AD180" s="712"/>
      <c r="AE180" s="712"/>
      <c r="AF180" s="712">
        <f t="shared" ref="AF180:AK180" si="727">AF170-AF177-AF178-AF179</f>
        <v>0.86334494515269267</v>
      </c>
      <c r="AG180" s="712">
        <f t="shared" si="727"/>
        <v>0</v>
      </c>
      <c r="AH180" s="712">
        <f t="shared" si="727"/>
        <v>0</v>
      </c>
      <c r="AI180" s="712">
        <f t="shared" si="727"/>
        <v>0</v>
      </c>
      <c r="AJ180" s="712">
        <f t="shared" si="727"/>
        <v>0</v>
      </c>
      <c r="AK180" s="712">
        <f t="shared" si="727"/>
        <v>-1.2446524064171154</v>
      </c>
      <c r="AL180" s="712"/>
      <c r="AM180" s="712"/>
      <c r="AN180" s="712"/>
      <c r="AO180" s="712"/>
      <c r="AP180" s="712">
        <f>AP170-AP177-AP178-AP179</f>
        <v>1.1537860741203572</v>
      </c>
      <c r="AQ180" s="712"/>
      <c r="AR180" s="712"/>
      <c r="AS180" s="712"/>
      <c r="AT180" s="712"/>
      <c r="AU180" s="714">
        <f>AU170-AU177-AU178-AU179</f>
        <v>0.33035142692701402</v>
      </c>
      <c r="AV180" s="714"/>
      <c r="AW180" s="714"/>
      <c r="AX180" s="712"/>
      <c r="AY180" s="712"/>
      <c r="AZ180" s="714">
        <f>AZ170-AZ177-AZ178-AZ179</f>
        <v>-1.5340331400712526</v>
      </c>
      <c r="BA180" s="712"/>
      <c r="BB180" s="712"/>
      <c r="BC180" s="712"/>
      <c r="BD180" s="712"/>
      <c r="BE180" s="714">
        <f>BE170-BE177-BE178-BE179</f>
        <v>-14.975388992921209</v>
      </c>
      <c r="BF180" s="712"/>
      <c r="BG180" s="712"/>
      <c r="BH180" s="712"/>
      <c r="BI180" s="712"/>
      <c r="BJ180" s="714">
        <f>BJ170-BJ177-BJ178-BJ179</f>
        <v>-29.817728138600501</v>
      </c>
      <c r="BK180" s="712"/>
      <c r="BL180" s="712"/>
      <c r="BM180" s="712"/>
      <c r="BN180" s="712"/>
      <c r="BO180" s="714">
        <f>BO170-BO177-BO178-BO179</f>
        <v>-43.329618505132224</v>
      </c>
      <c r="BP180" s="712"/>
      <c r="BQ180" s="712"/>
      <c r="BR180" s="712"/>
      <c r="BS180" s="712"/>
      <c r="BT180" s="714">
        <f>BT170-BT177-BT178-BT179</f>
        <v>-40.944231926387211</v>
      </c>
      <c r="BU180" s="713"/>
      <c r="BV180" s="713"/>
      <c r="BW180" s="713"/>
      <c r="BX180" s="713"/>
      <c r="BY180" s="714">
        <f>BY170-BY177-BY178-BY179</f>
        <v>-0.54518021577261822</v>
      </c>
      <c r="BZ180" s="713"/>
      <c r="CA180" s="713"/>
      <c r="CB180" s="713"/>
      <c r="CC180" s="713"/>
      <c r="CD180" s="714">
        <f t="shared" ref="CD180:CS180" si="728">CD170-CD177-CD178-CD179</f>
        <v>29.458892471411758</v>
      </c>
      <c r="CE180" s="713"/>
      <c r="CF180" s="713"/>
      <c r="CG180" s="713"/>
      <c r="CH180" s="713"/>
      <c r="CI180" s="714">
        <f t="shared" si="728"/>
        <v>28.284967616167791</v>
      </c>
      <c r="CJ180" s="713"/>
      <c r="CK180" s="713"/>
      <c r="CL180" s="713"/>
      <c r="CM180" s="713"/>
      <c r="CN180" s="714">
        <f t="shared" ref="CN180" si="729">CN170-CN177-CN178-CN179</f>
        <v>27.183513092635394</v>
      </c>
      <c r="CO180" s="713"/>
      <c r="CP180" s="713"/>
      <c r="CQ180" s="714">
        <f t="shared" si="728"/>
        <v>27.69163258422337</v>
      </c>
      <c r="CR180" s="714">
        <f t="shared" si="728"/>
        <v>28.418680491908052</v>
      </c>
      <c r="CS180" s="714">
        <f t="shared" si="728"/>
        <v>29.254347420205324</v>
      </c>
      <c r="CT180" s="714">
        <f t="shared" ref="CT180:CV180" si="730">CT170-CT177-CT178-CT179</f>
        <v>30.064541537951094</v>
      </c>
      <c r="CU180" s="714">
        <f t="shared" si="730"/>
        <v>30.851077641814211</v>
      </c>
      <c r="CV180" s="714">
        <f t="shared" si="730"/>
        <v>31.615598065806058</v>
      </c>
      <c r="CW180" s="714">
        <f t="shared" ref="CW180" si="731">CW170-CW177-CW178-CW179</f>
        <v>32.359594484788964</v>
      </c>
      <c r="CX180" s="159"/>
      <c r="CY180" s="159"/>
      <c r="CZ180" s="159"/>
      <c r="DA180" s="159"/>
    </row>
    <row r="181" spans="1:112" outlineLevel="1">
      <c r="A181" s="277"/>
      <c r="B181" s="236"/>
      <c r="C181" s="236"/>
      <c r="D181" s="236"/>
      <c r="E181" s="236"/>
      <c r="F181" s="236"/>
      <c r="G181" s="236"/>
      <c r="H181" s="236"/>
      <c r="I181" s="236"/>
      <c r="J181" s="236"/>
      <c r="K181" s="236"/>
      <c r="L181" s="236"/>
      <c r="M181" s="236"/>
      <c r="N181" s="236"/>
      <c r="O181" s="236"/>
      <c r="P181" s="236"/>
      <c r="Q181" s="236"/>
      <c r="R181" s="236"/>
      <c r="S181" s="236"/>
      <c r="T181" s="236"/>
      <c r="U181" s="236"/>
      <c r="V181" s="236"/>
      <c r="W181" s="236"/>
      <c r="X181" s="236"/>
      <c r="Y181" s="236"/>
      <c r="Z181" s="236"/>
      <c r="AA181" s="236"/>
      <c r="AB181" s="236"/>
      <c r="AC181" s="236"/>
      <c r="AD181" s="236"/>
      <c r="AE181" s="236"/>
      <c r="AF181" s="236"/>
      <c r="AG181" s="236"/>
      <c r="AH181" s="236"/>
      <c r="AI181" s="236"/>
      <c r="AJ181" s="236"/>
      <c r="AK181" s="236"/>
      <c r="AL181" s="236"/>
      <c r="AM181" s="236"/>
      <c r="AN181" s="236"/>
      <c r="AO181" s="236"/>
      <c r="AP181" s="236"/>
      <c r="AQ181" s="236"/>
      <c r="AR181" s="236"/>
      <c r="AS181" s="236"/>
      <c r="AT181" s="236"/>
      <c r="AU181" s="236"/>
      <c r="AV181" s="236"/>
      <c r="AW181" s="236"/>
      <c r="AX181" s="236"/>
      <c r="AY181" s="236"/>
      <c r="AZ181" s="236"/>
      <c r="BA181" s="236"/>
      <c r="BB181" s="236"/>
      <c r="BC181" s="236"/>
      <c r="BD181" s="236"/>
      <c r="BE181" s="236"/>
      <c r="BF181" s="236"/>
      <c r="BG181" s="236"/>
      <c r="BH181" s="236"/>
      <c r="BI181" s="236"/>
      <c r="BJ181" s="236"/>
      <c r="BK181" s="236"/>
      <c r="BL181" s="236"/>
      <c r="BM181" s="236"/>
      <c r="BN181" s="236"/>
      <c r="BO181" s="236"/>
      <c r="BP181" s="236"/>
      <c r="BQ181" s="236"/>
      <c r="BR181" s="236"/>
      <c r="BS181" s="236"/>
      <c r="BT181" s="236"/>
      <c r="BU181" s="237"/>
      <c r="BV181" s="237"/>
      <c r="BW181" s="237"/>
      <c r="BX181" s="237"/>
      <c r="BY181" s="236"/>
      <c r="BZ181" s="237"/>
      <c r="CA181" s="237"/>
      <c r="CB181" s="237"/>
      <c r="CC181" s="237"/>
      <c r="CD181" s="236"/>
      <c r="CE181" s="237"/>
      <c r="CF181" s="237"/>
      <c r="CG181" s="237"/>
      <c r="CH181" s="237"/>
      <c r="CI181" s="236"/>
      <c r="CJ181" s="237"/>
      <c r="CK181" s="237"/>
      <c r="CL181" s="237"/>
      <c r="CM181" s="237"/>
      <c r="CN181" s="236"/>
      <c r="CO181" s="237"/>
      <c r="CP181" s="237"/>
      <c r="CQ181" s="236"/>
      <c r="CR181" s="236"/>
      <c r="CS181" s="236"/>
      <c r="CT181" s="236"/>
      <c r="CU181" s="236"/>
      <c r="CV181" s="236"/>
      <c r="CW181" s="236"/>
      <c r="CX181" s="159"/>
      <c r="CY181" s="159"/>
      <c r="CZ181" s="159"/>
      <c r="DA181" s="159"/>
    </row>
    <row r="182" spans="1:112" outlineLevel="1">
      <c r="A182" s="277" t="s">
        <v>264</v>
      </c>
      <c r="B182" s="716"/>
      <c r="C182" s="716"/>
      <c r="D182" s="716"/>
      <c r="E182" s="716"/>
      <c r="F182" s="716"/>
      <c r="G182" s="716"/>
      <c r="H182" s="716"/>
      <c r="I182" s="716"/>
      <c r="J182" s="716"/>
      <c r="K182" s="716"/>
      <c r="L182" s="716"/>
      <c r="M182" s="716"/>
      <c r="N182" s="716"/>
      <c r="O182" s="716"/>
      <c r="P182" s="716"/>
      <c r="Q182" s="712"/>
      <c r="R182" s="712"/>
      <c r="S182" s="712"/>
      <c r="T182" s="712"/>
      <c r="U182" s="712"/>
      <c r="V182" s="712"/>
      <c r="W182" s="712">
        <v>3</v>
      </c>
      <c r="X182" s="712">
        <v>3</v>
      </c>
      <c r="Y182" s="712">
        <v>3</v>
      </c>
      <c r="Z182" s="712">
        <v>3</v>
      </c>
      <c r="AA182" s="712">
        <v>12</v>
      </c>
      <c r="AB182" s="712">
        <v>3</v>
      </c>
      <c r="AC182" s="712">
        <v>3</v>
      </c>
      <c r="AD182" s="712">
        <v>3</v>
      </c>
      <c r="AE182" s="712">
        <v>3</v>
      </c>
      <c r="AF182" s="712">
        <v>12</v>
      </c>
      <c r="AG182" s="712">
        <v>3</v>
      </c>
      <c r="AH182" s="712">
        <v>3</v>
      </c>
      <c r="AI182" s="712">
        <v>3</v>
      </c>
      <c r="AJ182" s="712">
        <v>3</v>
      </c>
      <c r="AK182" s="712">
        <v>12</v>
      </c>
      <c r="AL182" s="712">
        <v>3</v>
      </c>
      <c r="AM182" s="712">
        <v>3</v>
      </c>
      <c r="AN182" s="712">
        <v>3</v>
      </c>
      <c r="AO182" s="712">
        <v>3</v>
      </c>
      <c r="AP182" s="712">
        <v>12</v>
      </c>
      <c r="AQ182" s="712">
        <v>3</v>
      </c>
      <c r="AR182" s="712">
        <v>3</v>
      </c>
      <c r="AS182" s="712">
        <v>3</v>
      </c>
      <c r="AT182" s="712">
        <v>3</v>
      </c>
      <c r="AU182" s="712">
        <v>12</v>
      </c>
      <c r="AV182" s="712">
        <v>3</v>
      </c>
      <c r="AW182" s="712">
        <v>3</v>
      </c>
      <c r="AX182" s="712">
        <v>3</v>
      </c>
      <c r="AY182" s="712">
        <v>3</v>
      </c>
      <c r="AZ182" s="712">
        <v>12</v>
      </c>
      <c r="BA182" s="712">
        <v>3</v>
      </c>
      <c r="BB182" s="712">
        <v>3</v>
      </c>
      <c r="BC182" s="712">
        <v>3</v>
      </c>
      <c r="BD182" s="712">
        <v>3</v>
      </c>
      <c r="BE182" s="712">
        <v>12</v>
      </c>
      <c r="BF182" s="712">
        <v>3</v>
      </c>
      <c r="BG182" s="712">
        <v>3</v>
      </c>
      <c r="BH182" s="712">
        <v>3</v>
      </c>
      <c r="BI182" s="712">
        <v>3</v>
      </c>
      <c r="BJ182" s="712">
        <v>12</v>
      </c>
      <c r="BK182" s="712">
        <v>3</v>
      </c>
      <c r="BL182" s="712">
        <v>3</v>
      </c>
      <c r="BM182" s="712">
        <v>3</v>
      </c>
      <c r="BN182" s="712">
        <v>3</v>
      </c>
      <c r="BO182" s="712">
        <v>12</v>
      </c>
      <c r="BP182" s="712">
        <v>3</v>
      </c>
      <c r="BQ182" s="712">
        <v>3</v>
      </c>
      <c r="BR182" s="712">
        <v>3</v>
      </c>
      <c r="BS182" s="712">
        <v>3</v>
      </c>
      <c r="BT182" s="712">
        <v>12</v>
      </c>
      <c r="BU182" s="713">
        <v>3</v>
      </c>
      <c r="BV182" s="713">
        <v>3</v>
      </c>
      <c r="BW182" s="713">
        <v>3</v>
      </c>
      <c r="BX182" s="713">
        <v>3</v>
      </c>
      <c r="BY182" s="712">
        <v>12</v>
      </c>
      <c r="BZ182" s="713">
        <v>3</v>
      </c>
      <c r="CA182" s="713">
        <v>3</v>
      </c>
      <c r="CB182" s="713">
        <v>3</v>
      </c>
      <c r="CC182" s="713">
        <v>3</v>
      </c>
      <c r="CD182" s="712">
        <v>12</v>
      </c>
      <c r="CE182" s="713">
        <v>3</v>
      </c>
      <c r="CF182" s="713">
        <v>3</v>
      </c>
      <c r="CG182" s="713">
        <v>3</v>
      </c>
      <c r="CH182" s="713">
        <v>3</v>
      </c>
      <c r="CI182" s="712">
        <v>12</v>
      </c>
      <c r="CJ182" s="713">
        <v>3</v>
      </c>
      <c r="CK182" s="713">
        <v>3</v>
      </c>
      <c r="CL182" s="713">
        <v>3</v>
      </c>
      <c r="CM182" s="713">
        <v>3</v>
      </c>
      <c r="CN182" s="712">
        <v>12</v>
      </c>
      <c r="CO182" s="713">
        <v>3</v>
      </c>
      <c r="CP182" s="713">
        <v>3</v>
      </c>
      <c r="CQ182" s="712">
        <v>12</v>
      </c>
      <c r="CR182" s="712">
        <v>12</v>
      </c>
      <c r="CS182" s="712">
        <v>12</v>
      </c>
      <c r="CT182" s="712">
        <v>12</v>
      </c>
      <c r="CU182" s="712">
        <v>12</v>
      </c>
      <c r="CV182" s="712">
        <v>12</v>
      </c>
      <c r="CW182" s="712">
        <v>12</v>
      </c>
      <c r="CX182" s="159"/>
      <c r="CY182" s="159"/>
      <c r="CZ182" s="159"/>
      <c r="DA182" s="159"/>
    </row>
    <row r="183" spans="1:112" outlineLevel="1">
      <c r="A183" s="277"/>
      <c r="B183" s="236"/>
      <c r="C183" s="236"/>
      <c r="D183" s="236"/>
      <c r="E183" s="236"/>
      <c r="F183" s="236"/>
      <c r="G183" s="236"/>
      <c r="H183" s="236"/>
      <c r="I183" s="236"/>
      <c r="J183" s="236"/>
      <c r="K183" s="236"/>
      <c r="L183" s="236"/>
      <c r="M183" s="236"/>
      <c r="N183" s="236"/>
      <c r="O183" s="236"/>
      <c r="P183" s="236"/>
      <c r="Q183" s="236"/>
      <c r="R183" s="236"/>
      <c r="S183" s="236"/>
      <c r="T183" s="236"/>
      <c r="U183" s="236"/>
      <c r="V183" s="236"/>
      <c r="W183" s="236"/>
      <c r="X183" s="236"/>
      <c r="Y183" s="236"/>
      <c r="Z183" s="236"/>
      <c r="AA183" s="236"/>
      <c r="AB183" s="236"/>
      <c r="AC183" s="236"/>
      <c r="AD183" s="236"/>
      <c r="AE183" s="236"/>
      <c r="AF183" s="236"/>
      <c r="AG183" s="236"/>
      <c r="AH183" s="236"/>
      <c r="AI183" s="236"/>
      <c r="AJ183" s="236"/>
      <c r="AK183" s="236"/>
      <c r="AL183" s="236"/>
      <c r="AM183" s="236"/>
      <c r="AN183" s="236"/>
      <c r="AO183" s="236"/>
      <c r="AP183" s="236"/>
      <c r="AQ183" s="236"/>
      <c r="AR183" s="236"/>
      <c r="AS183" s="236"/>
      <c r="AT183" s="236"/>
      <c r="AU183" s="236"/>
      <c r="AV183" s="236"/>
      <c r="AW183" s="236"/>
      <c r="AX183" s="236"/>
      <c r="AY183" s="236"/>
      <c r="AZ183" s="236"/>
      <c r="BA183" s="236"/>
      <c r="BB183" s="236"/>
      <c r="BC183" s="236"/>
      <c r="BD183" s="236"/>
      <c r="BE183" s="236"/>
      <c r="BF183" s="236"/>
      <c r="BG183" s="236"/>
      <c r="BH183" s="236"/>
      <c r="BI183" s="236"/>
      <c r="BJ183" s="236"/>
      <c r="BK183" s="236"/>
      <c r="BL183" s="236"/>
      <c r="BM183" s="236"/>
      <c r="BN183" s="236"/>
      <c r="BO183" s="236"/>
      <c r="BP183" s="236"/>
      <c r="BQ183" s="236"/>
      <c r="BR183" s="236"/>
      <c r="BS183" s="236"/>
      <c r="BT183" s="236"/>
      <c r="BU183" s="237"/>
      <c r="BV183" s="237"/>
      <c r="BW183" s="237"/>
      <c r="BX183" s="237"/>
      <c r="BY183" s="236"/>
      <c r="BZ183" s="237"/>
      <c r="CA183" s="237"/>
      <c r="CB183" s="237"/>
      <c r="CC183" s="237"/>
      <c r="CD183" s="236"/>
      <c r="CE183" s="237"/>
      <c r="CF183" s="237"/>
      <c r="CG183" s="237"/>
      <c r="CH183" s="237"/>
      <c r="CI183" s="236"/>
      <c r="CJ183" s="237"/>
      <c r="CK183" s="237"/>
      <c r="CL183" s="237"/>
      <c r="CM183" s="237"/>
      <c r="CN183" s="236"/>
      <c r="CO183" s="237"/>
      <c r="CP183" s="237"/>
      <c r="CQ183" s="236"/>
      <c r="CR183" s="236"/>
      <c r="CS183" s="236"/>
      <c r="CT183" s="236"/>
      <c r="CU183" s="236"/>
      <c r="CV183" s="236"/>
      <c r="CW183" s="236"/>
      <c r="CX183" s="159"/>
      <c r="CY183" s="159"/>
      <c r="CZ183" s="159"/>
      <c r="DA183" s="159"/>
    </row>
    <row r="184" spans="1:112" outlineLevel="1">
      <c r="A184" s="277" t="s">
        <v>266</v>
      </c>
      <c r="B184" s="236"/>
      <c r="C184" s="236"/>
      <c r="D184" s="236"/>
      <c r="E184" s="236"/>
      <c r="F184" s="236"/>
      <c r="G184" s="236"/>
      <c r="H184" s="236"/>
      <c r="I184" s="236"/>
      <c r="J184" s="236"/>
      <c r="K184" s="236"/>
      <c r="L184" s="236"/>
      <c r="M184" s="236"/>
      <c r="N184" s="236"/>
      <c r="O184" s="236"/>
      <c r="P184" s="236"/>
      <c r="Q184" s="236"/>
      <c r="R184" s="236"/>
      <c r="S184" s="236"/>
      <c r="T184" s="236"/>
      <c r="U184" s="236"/>
      <c r="V184" s="236"/>
      <c r="W184" s="236"/>
      <c r="X184" s="236"/>
      <c r="Y184" s="236"/>
      <c r="Z184" s="236"/>
      <c r="AA184" s="236"/>
      <c r="AB184" s="236"/>
      <c r="AC184" s="236"/>
      <c r="AD184" s="236"/>
      <c r="AE184" s="236"/>
      <c r="AF184" s="236"/>
      <c r="AG184" s="236"/>
      <c r="AH184" s="236"/>
      <c r="AI184" s="236"/>
      <c r="AJ184" s="236"/>
      <c r="AK184" s="236"/>
      <c r="AL184" s="236"/>
      <c r="AM184" s="236"/>
      <c r="AN184" s="236"/>
      <c r="AO184" s="236"/>
      <c r="AP184" s="236"/>
      <c r="AQ184" s="236"/>
      <c r="AR184" s="236"/>
      <c r="AS184" s="236"/>
      <c r="AT184" s="236"/>
      <c r="AU184" s="236"/>
      <c r="AV184" s="236"/>
      <c r="AW184" s="236"/>
      <c r="AX184" s="236"/>
      <c r="AY184" s="236"/>
      <c r="AZ184" s="236"/>
      <c r="BA184" s="236"/>
      <c r="BB184" s="236"/>
      <c r="BC184" s="236"/>
      <c r="BD184" s="236"/>
      <c r="BE184" s="236"/>
      <c r="BF184" s="236"/>
      <c r="BG184" s="236"/>
      <c r="BH184" s="236"/>
      <c r="BI184" s="236"/>
      <c r="BJ184" s="236"/>
      <c r="BK184" s="236"/>
      <c r="BL184" s="236"/>
      <c r="BM184" s="236"/>
      <c r="BN184" s="236"/>
      <c r="BO184" s="236"/>
      <c r="BP184" s="236"/>
      <c r="BQ184" s="236"/>
      <c r="BR184" s="236"/>
      <c r="BS184" s="236"/>
      <c r="BT184" s="236"/>
      <c r="BU184" s="237"/>
      <c r="BV184" s="237"/>
      <c r="BW184" s="237"/>
      <c r="BX184" s="237"/>
      <c r="BY184" s="236"/>
      <c r="BZ184" s="237"/>
      <c r="CA184" s="237"/>
      <c r="CB184" s="237"/>
      <c r="CC184" s="237"/>
      <c r="CD184" s="236"/>
      <c r="CE184" s="237"/>
      <c r="CF184" s="237"/>
      <c r="CG184" s="237"/>
      <c r="CH184" s="237"/>
      <c r="CI184" s="236"/>
      <c r="CJ184" s="237"/>
      <c r="CK184" s="237"/>
      <c r="CL184" s="237"/>
      <c r="CM184" s="237"/>
      <c r="CN184" s="236"/>
      <c r="CO184" s="237"/>
      <c r="CP184" s="237"/>
      <c r="CQ184" s="236"/>
      <c r="CR184" s="236"/>
      <c r="CS184" s="236"/>
      <c r="CT184" s="236"/>
      <c r="CU184" s="236"/>
      <c r="CV184" s="236"/>
      <c r="CW184" s="236"/>
      <c r="CX184" s="159"/>
      <c r="CY184" s="159"/>
      <c r="CZ184" s="159"/>
      <c r="DA184" s="159"/>
    </row>
    <row r="185" spans="1:112" outlineLevel="1">
      <c r="A185" s="277" t="s">
        <v>262</v>
      </c>
      <c r="B185" s="236"/>
      <c r="C185" s="236"/>
      <c r="D185" s="236"/>
      <c r="E185" s="236"/>
      <c r="F185" s="236"/>
      <c r="G185" s="236"/>
      <c r="H185" s="236"/>
      <c r="I185" s="236"/>
      <c r="J185" s="236"/>
      <c r="K185" s="236"/>
      <c r="L185" s="236"/>
      <c r="M185" s="236"/>
      <c r="N185" s="236"/>
      <c r="O185" s="236"/>
      <c r="P185" s="236"/>
      <c r="Q185" s="236"/>
      <c r="R185" s="236"/>
      <c r="S185" s="236"/>
      <c r="T185" s="236"/>
      <c r="U185" s="236"/>
      <c r="V185" s="236"/>
      <c r="W185" s="236" t="e">
        <f>W177/R177-1</f>
        <v>#DIV/0!</v>
      </c>
      <c r="X185" s="236" t="e">
        <f>X177/S177-1</f>
        <v>#DIV/0!</v>
      </c>
      <c r="Y185" s="236" t="e">
        <f>Y177/T177-1</f>
        <v>#DIV/0!</v>
      </c>
      <c r="Z185" s="236" t="e">
        <f>Z177/U177-1</f>
        <v>#DIV/0!</v>
      </c>
      <c r="AA185" s="236"/>
      <c r="AB185" s="236">
        <f t="shared" ref="AB185:AK186" si="732">AB177/W177-1</f>
        <v>-0.32494515192874074</v>
      </c>
      <c r="AC185" s="236">
        <f t="shared" si="732"/>
        <v>-0.31731089314939009</v>
      </c>
      <c r="AD185" s="236">
        <f t="shared" si="732"/>
        <v>-0.22326159555499903</v>
      </c>
      <c r="AE185" s="236">
        <f t="shared" si="732"/>
        <v>-0.19840200328742352</v>
      </c>
      <c r="AF185" s="236">
        <f t="shared" si="732"/>
        <v>-0.28955554918489168</v>
      </c>
      <c r="AG185" s="236">
        <f t="shared" si="732"/>
        <v>4.0037066720096215E-2</v>
      </c>
      <c r="AH185" s="236">
        <f t="shared" si="732"/>
        <v>6.9332140221046723E-2</v>
      </c>
      <c r="AI185" s="236">
        <f t="shared" si="732"/>
        <v>1.4018509601767537E-2</v>
      </c>
      <c r="AJ185" s="236">
        <f t="shared" si="732"/>
        <v>-1.4604150094716717E-2</v>
      </c>
      <c r="AK185" s="236">
        <f t="shared" si="732"/>
        <v>3.7715177181042225E-2</v>
      </c>
      <c r="AL185" s="236"/>
      <c r="AM185" s="236"/>
      <c r="AN185" s="236"/>
      <c r="AO185" s="236"/>
      <c r="AP185" s="236">
        <f>AP177/AK177-1</f>
        <v>-7.9043136154523963E-2</v>
      </c>
      <c r="AQ185" s="236"/>
      <c r="AR185" s="236"/>
      <c r="AS185" s="236"/>
      <c r="AT185" s="236"/>
      <c r="AU185" s="236">
        <f>AU177/AP177-1</f>
        <v>-8.8200000000000167E-2</v>
      </c>
      <c r="AV185" s="236"/>
      <c r="AW185" s="236"/>
      <c r="AX185" s="236"/>
      <c r="AY185" s="236"/>
      <c r="AZ185" s="236">
        <f>AZ177/AU177-1</f>
        <v>-5.9099999999999819E-2</v>
      </c>
      <c r="BA185" s="236"/>
      <c r="BB185" s="236"/>
      <c r="BC185" s="236"/>
      <c r="BD185" s="236"/>
      <c r="BE185" s="236">
        <f>BE177/AZ177-1</f>
        <v>-9.7500000000000142E-2</v>
      </c>
      <c r="BF185" s="236"/>
      <c r="BG185" s="236"/>
      <c r="BH185" s="236"/>
      <c r="BI185" s="236"/>
      <c r="BJ185" s="236">
        <f>BJ177/BE177-1</f>
        <v>-4.9400000000000222E-2</v>
      </c>
      <c r="BK185" s="236"/>
      <c r="BL185" s="236"/>
      <c r="BM185" s="236"/>
      <c r="BN185" s="236"/>
      <c r="BO185" s="236">
        <f>BO177/BJ177-1</f>
        <v>-4.9399999999999999E-2</v>
      </c>
      <c r="BP185" s="236"/>
      <c r="BQ185" s="236"/>
      <c r="BR185" s="236"/>
      <c r="BS185" s="236"/>
      <c r="BT185" s="236">
        <f>BT177/BO177-1</f>
        <v>-4.9399999999999888E-2</v>
      </c>
      <c r="BU185" s="237"/>
      <c r="BV185" s="237"/>
      <c r="BW185" s="237"/>
      <c r="BX185" s="237"/>
      <c r="BY185" s="236">
        <f>BY177/BT177-1</f>
        <v>-4.940000000000011E-2</v>
      </c>
      <c r="BZ185" s="237"/>
      <c r="CA185" s="237"/>
      <c r="CB185" s="237"/>
      <c r="CC185" s="237"/>
      <c r="CD185" s="236">
        <f>CD177/BY177-1</f>
        <v>-4.9400000000000222E-2</v>
      </c>
      <c r="CE185" s="237"/>
      <c r="CF185" s="237"/>
      <c r="CG185" s="237"/>
      <c r="CH185" s="237"/>
      <c r="CI185" s="236">
        <f>CI177/CD177-1</f>
        <v>-4.940000000000011E-2</v>
      </c>
      <c r="CJ185" s="237"/>
      <c r="CK185" s="237"/>
      <c r="CL185" s="237"/>
      <c r="CM185" s="237"/>
      <c r="CN185" s="236">
        <f>CN177/CI177-1</f>
        <v>-4.940000000000011E-2</v>
      </c>
      <c r="CO185" s="237"/>
      <c r="CP185" s="237"/>
      <c r="CQ185" s="236">
        <f>CQ177/CN177-1</f>
        <v>-3.9599999999999969E-2</v>
      </c>
      <c r="CR185" s="236">
        <f t="shared" ref="CR185:CS185" si="733">CR177/CQ177-1</f>
        <v>-3.9600000000000191E-2</v>
      </c>
      <c r="CS185" s="236">
        <f t="shared" si="733"/>
        <v>-3.9599999999999969E-2</v>
      </c>
      <c r="CT185" s="236">
        <f t="shared" ref="CT185:CT186" si="734">CT177/CS177-1</f>
        <v>-3.9599999999999858E-2</v>
      </c>
      <c r="CU185" s="236">
        <f t="shared" ref="CU185:CU186" si="735">CU177/CT177-1</f>
        <v>-3.9599999999999858E-2</v>
      </c>
      <c r="CV185" s="236">
        <f t="shared" ref="CV185:CW186" si="736">CV177/CU177-1</f>
        <v>-3.9600000000000302E-2</v>
      </c>
      <c r="CW185" s="236">
        <f t="shared" si="736"/>
        <v>-3.9599999999999524E-2</v>
      </c>
      <c r="CX185" s="159"/>
      <c r="CY185" s="159"/>
      <c r="CZ185" s="159"/>
      <c r="DA185" s="159"/>
    </row>
    <row r="186" spans="1:112" outlineLevel="1">
      <c r="A186" s="277" t="s">
        <v>263</v>
      </c>
      <c r="B186" s="236"/>
      <c r="C186" s="236"/>
      <c r="D186" s="236"/>
      <c r="E186" s="236"/>
      <c r="F186" s="236"/>
      <c r="G186" s="236"/>
      <c r="H186" s="236"/>
      <c r="I186" s="236"/>
      <c r="J186" s="236"/>
      <c r="K186" s="236"/>
      <c r="L186" s="236"/>
      <c r="M186" s="236"/>
      <c r="N186" s="236"/>
      <c r="O186" s="236"/>
      <c r="P186" s="236"/>
      <c r="Q186" s="236"/>
      <c r="R186" s="236"/>
      <c r="S186" s="236"/>
      <c r="T186" s="236"/>
      <c r="U186" s="236"/>
      <c r="V186" s="236"/>
      <c r="W186" s="236"/>
      <c r="X186" s="236"/>
      <c r="Y186" s="236"/>
      <c r="Z186" s="236"/>
      <c r="AA186" s="236"/>
      <c r="AB186" s="236">
        <f t="shared" si="732"/>
        <v>6.0691496735466144E-2</v>
      </c>
      <c r="AC186" s="236">
        <f t="shared" si="732"/>
        <v>4.9181063271075853E-2</v>
      </c>
      <c r="AD186" s="236">
        <f t="shared" si="732"/>
        <v>0.21646929316742858</v>
      </c>
      <c r="AE186" s="236">
        <f t="shared" si="732"/>
        <v>0.2128470133757232</v>
      </c>
      <c r="AF186" s="236">
        <f t="shared" si="732"/>
        <v>0.10984239573362364</v>
      </c>
      <c r="AG186" s="236">
        <f t="shared" si="732"/>
        <v>0.24124310740735333</v>
      </c>
      <c r="AH186" s="236">
        <f t="shared" si="732"/>
        <v>0.31152287918661759</v>
      </c>
      <c r="AI186" s="236">
        <f t="shared" si="732"/>
        <v>0.2779573771812589</v>
      </c>
      <c r="AJ186" s="236">
        <f t="shared" si="732"/>
        <v>0.26490364527090882</v>
      </c>
      <c r="AK186" s="236">
        <f t="shared" si="732"/>
        <v>0.27093373572414126</v>
      </c>
      <c r="AL186" s="236"/>
      <c r="AM186" s="236"/>
      <c r="AN186" s="236"/>
      <c r="AO186" s="236"/>
      <c r="AP186" s="236">
        <f>AP178/AK178-1</f>
        <v>0.21237419512343969</v>
      </c>
      <c r="AQ186" s="236"/>
      <c r="AR186" s="236"/>
      <c r="AS186" s="236"/>
      <c r="AT186" s="236"/>
      <c r="AU186" s="236">
        <f>AU178/AP178-1</f>
        <v>0.26300257252983106</v>
      </c>
      <c r="AV186" s="236"/>
      <c r="AW186" s="236"/>
      <c r="AX186" s="236"/>
      <c r="AY186" s="236"/>
      <c r="AZ186" s="236">
        <f>AZ178/AU178-1</f>
        <v>0.22154893733713421</v>
      </c>
      <c r="BA186" s="236"/>
      <c r="BB186" s="236"/>
      <c r="BC186" s="236"/>
      <c r="BD186" s="236"/>
      <c r="BE186" s="236">
        <f>BE178/AZ178-1</f>
        <v>0.63746290225881519</v>
      </c>
      <c r="BF186" s="236"/>
      <c r="BG186" s="236"/>
      <c r="BH186" s="236"/>
      <c r="BI186" s="236"/>
      <c r="BJ186" s="236">
        <f>BJ178/BE178-1</f>
        <v>0.32835858339491164</v>
      </c>
      <c r="BK186" s="236"/>
      <c r="BL186" s="236"/>
      <c r="BM186" s="236"/>
      <c r="BN186" s="236"/>
      <c r="BO186" s="236">
        <f>BO178/BJ178-1</f>
        <v>0.20152060280122353</v>
      </c>
      <c r="BP186" s="236"/>
      <c r="BQ186" s="236"/>
      <c r="BR186" s="236"/>
      <c r="BS186" s="236"/>
      <c r="BT186" s="236">
        <f>BT178/BO178-1</f>
        <v>-3.9338299327381976E-2</v>
      </c>
      <c r="BU186" s="237"/>
      <c r="BV186" s="237"/>
      <c r="BW186" s="237"/>
      <c r="BX186" s="237"/>
      <c r="BY186" s="236">
        <f>BY178/BT178-1</f>
        <v>-0.56680119551458086</v>
      </c>
      <c r="BZ186" s="237"/>
      <c r="CA186" s="237"/>
      <c r="CB186" s="237"/>
      <c r="CC186" s="237"/>
      <c r="CD186" s="236">
        <f>CD178/BY178-1</f>
        <v>-1</v>
      </c>
      <c r="CE186" s="237"/>
      <c r="CF186" s="237"/>
      <c r="CG186" s="237"/>
      <c r="CH186" s="237"/>
      <c r="CI186" s="236" t="e">
        <f>CI178/CD178-1</f>
        <v>#DIV/0!</v>
      </c>
      <c r="CJ186" s="237"/>
      <c r="CK186" s="237"/>
      <c r="CL186" s="237"/>
      <c r="CM186" s="237"/>
      <c r="CN186" s="236" t="e">
        <f>CN178/CI178-1</f>
        <v>#DIV/0!</v>
      </c>
      <c r="CO186" s="237"/>
      <c r="CP186" s="237"/>
      <c r="CQ186" s="236" t="e">
        <f>CQ178/CN178-1</f>
        <v>#DIV/0!</v>
      </c>
      <c r="CR186" s="236" t="e">
        <f t="shared" ref="CR186:CS186" si="737">CR178/CQ178-1</f>
        <v>#DIV/0!</v>
      </c>
      <c r="CS186" s="236" t="e">
        <f t="shared" si="737"/>
        <v>#DIV/0!</v>
      </c>
      <c r="CT186" s="236" t="e">
        <f t="shared" si="734"/>
        <v>#DIV/0!</v>
      </c>
      <c r="CU186" s="236" t="e">
        <f t="shared" si="735"/>
        <v>#DIV/0!</v>
      </c>
      <c r="CV186" s="236" t="e">
        <f t="shared" si="736"/>
        <v>#DIV/0!</v>
      </c>
      <c r="CW186" s="236" t="e">
        <f t="shared" si="736"/>
        <v>#DIV/0!</v>
      </c>
      <c r="CX186" s="159"/>
      <c r="CY186" s="159"/>
      <c r="CZ186" s="159"/>
      <c r="DA186" s="159"/>
    </row>
    <row r="187" spans="1:112" outlineLevel="1">
      <c r="A187" s="277" t="s">
        <v>251</v>
      </c>
      <c r="B187" s="236"/>
      <c r="C187" s="236"/>
      <c r="D187" s="236"/>
      <c r="E187" s="236"/>
      <c r="F187" s="236"/>
      <c r="G187" s="236"/>
      <c r="H187" s="236"/>
      <c r="I187" s="236"/>
      <c r="J187" s="236"/>
      <c r="K187" s="236"/>
      <c r="L187" s="236"/>
      <c r="M187" s="236"/>
      <c r="N187" s="236"/>
      <c r="O187" s="236"/>
      <c r="P187" s="236"/>
      <c r="Q187" s="236"/>
      <c r="R187" s="236"/>
      <c r="S187" s="236"/>
      <c r="T187" s="236"/>
      <c r="U187" s="236"/>
      <c r="V187" s="236"/>
      <c r="W187" s="236"/>
      <c r="X187" s="236"/>
      <c r="Y187" s="236"/>
      <c r="Z187" s="236"/>
      <c r="AA187" s="236"/>
      <c r="AB187" s="236" t="e">
        <f t="shared" ref="AB187:AE188" si="738">AB179/W179-1</f>
        <v>#DIV/0!</v>
      </c>
      <c r="AC187" s="236" t="e">
        <f t="shared" si="738"/>
        <v>#DIV/0!</v>
      </c>
      <c r="AD187" s="236" t="e">
        <f t="shared" si="738"/>
        <v>#DIV/0!</v>
      </c>
      <c r="AE187" s="236" t="e">
        <f t="shared" si="738"/>
        <v>#DIV/0!</v>
      </c>
      <c r="AF187" s="236"/>
      <c r="AG187" s="236">
        <f>AG179/AB179-1</f>
        <v>-0.2307520203032124</v>
      </c>
      <c r="AH187" s="236">
        <f>AH179/AC179-1</f>
        <v>-0.21095415748415791</v>
      </c>
      <c r="AI187" s="236">
        <f>AI179/AD179-1</f>
        <v>-0.26542402441683</v>
      </c>
      <c r="AJ187" s="236">
        <f>AJ179/AE179-1</f>
        <v>-0.30875653348343857</v>
      </c>
      <c r="AK187" s="236">
        <f>AK179/AF179-1</f>
        <v>-0.25641254241490796</v>
      </c>
      <c r="AL187" s="236"/>
      <c r="AM187" s="236"/>
      <c r="AN187" s="236"/>
      <c r="AO187" s="236"/>
      <c r="AP187" s="236">
        <f>AP179/AK179-1</f>
        <v>-0.35094519047408812</v>
      </c>
      <c r="AQ187" s="236"/>
      <c r="AR187" s="236"/>
      <c r="AS187" s="236"/>
      <c r="AT187" s="236"/>
      <c r="AU187" s="241">
        <v>-0.25</v>
      </c>
      <c r="AV187" s="241"/>
      <c r="AW187" s="241"/>
      <c r="AX187" s="236"/>
      <c r="AY187" s="236"/>
      <c r="AZ187" s="241">
        <v>-0.25</v>
      </c>
      <c r="BA187" s="236"/>
      <c r="BB187" s="236"/>
      <c r="BC187" s="236"/>
      <c r="BD187" s="236"/>
      <c r="BE187" s="241">
        <f>AZ187*0.9</f>
        <v>-0.22500000000000001</v>
      </c>
      <c r="BF187" s="236"/>
      <c r="BG187" s="236"/>
      <c r="BH187" s="236"/>
      <c r="BI187" s="236"/>
      <c r="BJ187" s="241">
        <f>BE187*0.9</f>
        <v>-0.20250000000000001</v>
      </c>
      <c r="BK187" s="236"/>
      <c r="BL187" s="236"/>
      <c r="BM187" s="236"/>
      <c r="BN187" s="236"/>
      <c r="BO187" s="241">
        <f>BJ187*0.9</f>
        <v>-0.18225000000000002</v>
      </c>
      <c r="BP187" s="241"/>
      <c r="BQ187" s="241"/>
      <c r="BR187" s="241"/>
      <c r="BS187" s="241"/>
      <c r="BT187" s="241">
        <f>BO187*0.9</f>
        <v>-0.16402500000000003</v>
      </c>
      <c r="BU187" s="264"/>
      <c r="BV187" s="264"/>
      <c r="BW187" s="264"/>
      <c r="BX187" s="264"/>
      <c r="BY187" s="241">
        <f>BT187*0.9</f>
        <v>-0.14762250000000005</v>
      </c>
      <c r="BZ187" s="264"/>
      <c r="CA187" s="264"/>
      <c r="CB187" s="264"/>
      <c r="CC187" s="264"/>
      <c r="CD187" s="241">
        <f>BY187</f>
        <v>-0.14762250000000005</v>
      </c>
      <c r="CE187" s="264"/>
      <c r="CF187" s="264"/>
      <c r="CG187" s="264"/>
      <c r="CH187" s="264"/>
      <c r="CI187" s="241">
        <f>CD187</f>
        <v>-0.14762250000000005</v>
      </c>
      <c r="CJ187" s="264"/>
      <c r="CK187" s="264"/>
      <c r="CL187" s="264"/>
      <c r="CM187" s="264"/>
      <c r="CN187" s="241">
        <f>CI187</f>
        <v>-0.14762250000000005</v>
      </c>
      <c r="CO187" s="264"/>
      <c r="CP187" s="264"/>
      <c r="CQ187" s="241">
        <f>CN187</f>
        <v>-0.14762250000000005</v>
      </c>
      <c r="CR187" s="241">
        <f t="shared" ref="CR187:CS187" si="739">CQ187</f>
        <v>-0.14762250000000005</v>
      </c>
      <c r="CS187" s="241">
        <f t="shared" si="739"/>
        <v>-0.14762250000000005</v>
      </c>
      <c r="CT187" s="241">
        <f t="shared" ref="CT187" si="740">CS187</f>
        <v>-0.14762250000000005</v>
      </c>
      <c r="CU187" s="241">
        <f t="shared" ref="CU187" si="741">CT187</f>
        <v>-0.14762250000000005</v>
      </c>
      <c r="CV187" s="241">
        <f t="shared" ref="CV187:CW187" si="742">CU187</f>
        <v>-0.14762250000000005</v>
      </c>
      <c r="CW187" s="241">
        <f t="shared" si="742"/>
        <v>-0.14762250000000005</v>
      </c>
      <c r="CX187" s="159"/>
      <c r="CY187" s="159"/>
      <c r="CZ187" s="159"/>
      <c r="DA187" s="159"/>
    </row>
    <row r="188" spans="1:112" outlineLevel="1">
      <c r="A188" s="277" t="s">
        <v>252</v>
      </c>
      <c r="B188" s="236"/>
      <c r="C188" s="236"/>
      <c r="D188" s="236"/>
      <c r="E188" s="236"/>
      <c r="F188" s="236"/>
      <c r="G188" s="236"/>
      <c r="H188" s="236"/>
      <c r="I188" s="236"/>
      <c r="J188" s="236"/>
      <c r="K188" s="236"/>
      <c r="L188" s="236"/>
      <c r="M188" s="236"/>
      <c r="N188" s="236"/>
      <c r="O188" s="236"/>
      <c r="P188" s="236"/>
      <c r="Q188" s="236"/>
      <c r="R188" s="236"/>
      <c r="S188" s="236"/>
      <c r="T188" s="236"/>
      <c r="U188" s="236"/>
      <c r="V188" s="236"/>
      <c r="W188" s="236"/>
      <c r="X188" s="236"/>
      <c r="Y188" s="236"/>
      <c r="Z188" s="236"/>
      <c r="AA188" s="236"/>
      <c r="AB188" s="236" t="e">
        <f t="shared" si="738"/>
        <v>#DIV/0!</v>
      </c>
      <c r="AC188" s="236" t="e">
        <f t="shared" si="738"/>
        <v>#DIV/0!</v>
      </c>
      <c r="AD188" s="236" t="e">
        <f t="shared" si="738"/>
        <v>#DIV/0!</v>
      </c>
      <c r="AE188" s="236" t="e">
        <f t="shared" si="738"/>
        <v>#DIV/0!</v>
      </c>
      <c r="AF188" s="236"/>
      <c r="AG188" s="236" t="e">
        <f>AG180/AB180-1</f>
        <v>#DIV/0!</v>
      </c>
      <c r="AH188" s="236" t="e">
        <f>AH180/AC180-1</f>
        <v>#DIV/0!</v>
      </c>
      <c r="AI188" s="236" t="e">
        <f>AI180/AD180-1</f>
        <v>#DIV/0!</v>
      </c>
      <c r="AJ188" s="236" t="e">
        <f>AJ180/AE180-1</f>
        <v>#DIV/0!</v>
      </c>
      <c r="AK188" s="236"/>
      <c r="AL188" s="236"/>
      <c r="AM188" s="236"/>
      <c r="AN188" s="236"/>
      <c r="AO188" s="236"/>
      <c r="AP188" s="236"/>
      <c r="AQ188" s="236"/>
      <c r="AR188" s="236"/>
      <c r="AS188" s="236"/>
      <c r="AT188" s="236"/>
      <c r="AU188" s="236"/>
      <c r="AV188" s="236"/>
      <c r="AW188" s="236"/>
      <c r="AX188" s="236"/>
      <c r="AY188" s="236"/>
      <c r="AZ188" s="236"/>
      <c r="BA188" s="236"/>
      <c r="BB188" s="236"/>
      <c r="BC188" s="236"/>
      <c r="BD188" s="236"/>
      <c r="BE188" s="236"/>
      <c r="BF188" s="236"/>
      <c r="BG188" s="236"/>
      <c r="BH188" s="236"/>
      <c r="BI188" s="236"/>
      <c r="BJ188" s="236"/>
      <c r="BK188" s="236"/>
      <c r="BL188" s="236"/>
      <c r="BM188" s="236"/>
      <c r="BN188" s="236"/>
      <c r="BO188" s="236"/>
      <c r="BP188" s="236"/>
      <c r="BQ188" s="236"/>
      <c r="BR188" s="236"/>
      <c r="BS188" s="236"/>
      <c r="BT188" s="236"/>
      <c r="BU188" s="237"/>
      <c r="BV188" s="237"/>
      <c r="BW188" s="237"/>
      <c r="BX188" s="237"/>
      <c r="BY188" s="236"/>
      <c r="BZ188" s="237"/>
      <c r="CA188" s="237"/>
      <c r="CB188" s="237"/>
      <c r="CC188" s="237"/>
      <c r="CD188" s="236"/>
      <c r="CE188" s="237"/>
      <c r="CF188" s="237"/>
      <c r="CG188" s="237"/>
      <c r="CH188" s="237"/>
      <c r="CI188" s="236"/>
      <c r="CJ188" s="237"/>
      <c r="CK188" s="237"/>
      <c r="CL188" s="237"/>
      <c r="CM188" s="237"/>
      <c r="CN188" s="236"/>
      <c r="CO188" s="237"/>
      <c r="CP188" s="237"/>
      <c r="CQ188" s="236"/>
      <c r="CR188" s="236"/>
      <c r="CS188" s="236"/>
      <c r="CT188" s="236"/>
      <c r="CU188" s="236"/>
      <c r="CV188" s="236"/>
      <c r="CW188" s="236"/>
      <c r="CX188" s="159"/>
      <c r="CY188" s="159"/>
      <c r="CZ188" s="159"/>
      <c r="DA188" s="159"/>
    </row>
    <row r="189" spans="1:112">
      <c r="A189" s="226"/>
      <c r="B189" s="185"/>
      <c r="C189" s="185"/>
      <c r="D189" s="185"/>
      <c r="E189" s="185"/>
      <c r="F189" s="185"/>
      <c r="G189" s="185"/>
      <c r="H189" s="185"/>
      <c r="I189" s="185"/>
      <c r="J189" s="185"/>
      <c r="K189" s="185"/>
      <c r="L189" s="185"/>
      <c r="M189" s="185"/>
      <c r="N189" s="185"/>
      <c r="O189" s="185"/>
      <c r="P189" s="185"/>
      <c r="Q189" s="185"/>
      <c r="R189" s="185"/>
      <c r="S189" s="185"/>
      <c r="T189" s="185"/>
      <c r="U189" s="185"/>
      <c r="V189" s="185"/>
      <c r="W189" s="185"/>
      <c r="X189" s="185"/>
      <c r="Y189" s="185"/>
      <c r="Z189" s="185"/>
      <c r="AA189" s="185"/>
      <c r="AB189" s="185"/>
      <c r="AC189" s="185"/>
      <c r="AD189" s="185"/>
      <c r="AE189" s="185"/>
      <c r="AF189" s="185"/>
      <c r="AG189" s="185"/>
      <c r="AH189" s="185"/>
      <c r="AI189" s="185"/>
      <c r="AJ189" s="185"/>
      <c r="AK189" s="185"/>
      <c r="AL189" s="185"/>
      <c r="AM189" s="185"/>
      <c r="AN189" s="185"/>
      <c r="AO189" s="185"/>
      <c r="AP189" s="185"/>
      <c r="AQ189" s="185"/>
      <c r="AR189" s="185"/>
      <c r="AS189" s="185"/>
      <c r="AT189" s="185"/>
      <c r="AU189" s="185"/>
      <c r="AV189" s="185"/>
      <c r="AW189" s="185"/>
      <c r="AX189" s="185"/>
      <c r="AY189" s="185"/>
      <c r="AZ189" s="185"/>
      <c r="BA189" s="185"/>
      <c r="BB189" s="185"/>
      <c r="BC189" s="185"/>
      <c r="BD189" s="185"/>
      <c r="BE189" s="185"/>
      <c r="BF189" s="185"/>
      <c r="BG189" s="185"/>
      <c r="BH189" s="185"/>
      <c r="BI189" s="185"/>
      <c r="BJ189" s="185"/>
      <c r="BK189" s="185"/>
      <c r="BL189" s="185"/>
      <c r="BM189" s="185"/>
      <c r="BN189" s="185"/>
      <c r="BO189" s="185"/>
      <c r="BP189" s="185"/>
      <c r="BQ189" s="185"/>
      <c r="BR189" s="185"/>
      <c r="BS189" s="185"/>
      <c r="BT189" s="185"/>
      <c r="BU189" s="185"/>
      <c r="BV189" s="185"/>
      <c r="BW189" s="185"/>
      <c r="BX189" s="185"/>
      <c r="BY189" s="185"/>
      <c r="BZ189" s="185"/>
      <c r="CA189" s="185"/>
      <c r="CB189" s="185"/>
      <c r="CC189" s="185"/>
      <c r="CD189" s="185"/>
      <c r="CE189" s="185"/>
      <c r="CF189" s="185"/>
      <c r="CG189" s="185"/>
      <c r="CH189" s="185"/>
      <c r="CI189" s="185"/>
      <c r="CJ189" s="185"/>
      <c r="CK189" s="185"/>
      <c r="CL189" s="185"/>
      <c r="CM189" s="185"/>
      <c r="CN189" s="185"/>
      <c r="CO189" s="185"/>
      <c r="CP189" s="185"/>
      <c r="CQ189" s="185"/>
      <c r="CR189" s="185"/>
      <c r="CS189" s="185"/>
      <c r="CT189" s="185"/>
      <c r="CU189" s="185"/>
      <c r="CV189" s="185"/>
      <c r="CW189" s="185"/>
      <c r="CX189" s="159"/>
      <c r="CY189" s="159"/>
      <c r="CZ189" s="159"/>
      <c r="DA189" s="159"/>
      <c r="DB189" s="159"/>
      <c r="DC189" s="169"/>
      <c r="DD189" s="169"/>
      <c r="DE189" s="169"/>
      <c r="DF189" s="169"/>
      <c r="DG189" s="169"/>
      <c r="DH189" s="169"/>
    </row>
    <row r="190" spans="1:112">
      <c r="A190" s="199" t="s">
        <v>267</v>
      </c>
      <c r="B190" s="199">
        <f>B165</f>
        <v>2007</v>
      </c>
      <c r="C190" s="199"/>
      <c r="D190" s="199"/>
      <c r="E190" s="199"/>
      <c r="F190" s="199"/>
      <c r="G190" s="199">
        <f>B190+1</f>
        <v>2008</v>
      </c>
      <c r="H190" s="199"/>
      <c r="I190" s="199"/>
      <c r="J190" s="199"/>
      <c r="K190" s="199"/>
      <c r="L190" s="199">
        <f>G190+1</f>
        <v>2009</v>
      </c>
      <c r="M190" s="199"/>
      <c r="N190" s="199"/>
      <c r="O190" s="199"/>
      <c r="P190" s="199"/>
      <c r="Q190" s="199">
        <f>L190+1</f>
        <v>2010</v>
      </c>
      <c r="R190" s="199"/>
      <c r="S190" s="199"/>
      <c r="T190" s="199"/>
      <c r="U190" s="199"/>
      <c r="V190" s="199">
        <f>Q190+1</f>
        <v>2011</v>
      </c>
      <c r="W190" s="199"/>
      <c r="X190" s="199"/>
      <c r="Y190" s="199"/>
      <c r="Z190" s="199"/>
      <c r="AA190" s="199">
        <f>V190+1</f>
        <v>2012</v>
      </c>
      <c r="AB190" s="199"/>
      <c r="AC190" s="199"/>
      <c r="AD190" s="199"/>
      <c r="AE190" s="199"/>
      <c r="AF190" s="199">
        <f>AA190+1</f>
        <v>2013</v>
      </c>
      <c r="AG190" s="199"/>
      <c r="AH190" s="199"/>
      <c r="AI190" s="199"/>
      <c r="AJ190" s="199"/>
      <c r="AK190" s="199">
        <f>AF190+1</f>
        <v>2014</v>
      </c>
      <c r="AL190" s="199"/>
      <c r="AM190" s="199"/>
      <c r="AN190" s="199"/>
      <c r="AO190" s="199"/>
      <c r="AP190" s="199">
        <f>AK190+1</f>
        <v>2015</v>
      </c>
      <c r="AQ190" s="199"/>
      <c r="AR190" s="199"/>
      <c r="AS190" s="199"/>
      <c r="AT190" s="199"/>
      <c r="AU190" s="199">
        <f>AP190+1</f>
        <v>2016</v>
      </c>
      <c r="AV190" s="199"/>
      <c r="AW190" s="199"/>
      <c r="AX190" s="199"/>
      <c r="AY190" s="199"/>
      <c r="AZ190" s="199">
        <f>AU190+1</f>
        <v>2017</v>
      </c>
      <c r="BA190" s="199"/>
      <c r="BB190" s="199"/>
      <c r="BC190" s="199"/>
      <c r="BD190" s="199"/>
      <c r="BE190" s="199">
        <f>AZ190+1</f>
        <v>2018</v>
      </c>
      <c r="BF190" s="199"/>
      <c r="BG190" s="199"/>
      <c r="BH190" s="199"/>
      <c r="BI190" s="199"/>
      <c r="BJ190" s="199">
        <f>BE190+1</f>
        <v>2019</v>
      </c>
      <c r="BK190" s="199"/>
      <c r="BL190" s="199"/>
      <c r="BM190" s="199"/>
      <c r="BN190" s="199"/>
      <c r="BO190" s="199">
        <f>BJ190+1</f>
        <v>2020</v>
      </c>
      <c r="BP190" s="199"/>
      <c r="BQ190" s="199"/>
      <c r="BR190" s="199"/>
      <c r="BS190" s="199"/>
      <c r="BT190" s="199">
        <f>BO190+1</f>
        <v>2021</v>
      </c>
      <c r="BU190" s="199"/>
      <c r="BV190" s="199"/>
      <c r="BW190" s="199"/>
      <c r="BX190" s="199"/>
      <c r="BY190" s="199">
        <f>BT190+1</f>
        <v>2022</v>
      </c>
      <c r="BZ190" s="199"/>
      <c r="CA190" s="199"/>
      <c r="CB190" s="199"/>
      <c r="CC190" s="199"/>
      <c r="CD190" s="199">
        <f>BY190+1</f>
        <v>2023</v>
      </c>
      <c r="CE190" s="199"/>
      <c r="CF190" s="199"/>
      <c r="CG190" s="199"/>
      <c r="CH190" s="199"/>
      <c r="CI190" s="199">
        <f>CD190+1</f>
        <v>2024</v>
      </c>
      <c r="CJ190" s="199"/>
      <c r="CK190" s="199"/>
      <c r="CL190" s="199"/>
      <c r="CM190" s="199"/>
      <c r="CN190" s="199">
        <f>CI190+1</f>
        <v>2025</v>
      </c>
      <c r="CO190" s="199"/>
      <c r="CP190" s="199"/>
      <c r="CQ190" s="199">
        <f>CN190+1</f>
        <v>2026</v>
      </c>
      <c r="CR190" s="199">
        <f t="shared" ref="CR190:CS190" si="743">CQ190+1</f>
        <v>2027</v>
      </c>
      <c r="CS190" s="199">
        <f t="shared" si="743"/>
        <v>2028</v>
      </c>
      <c r="CT190" s="199">
        <f t="shared" ref="CT190" si="744">CS190+1</f>
        <v>2029</v>
      </c>
      <c r="CU190" s="199">
        <f t="shared" ref="CU190" si="745">CT190+1</f>
        <v>2030</v>
      </c>
      <c r="CV190" s="199">
        <f t="shared" ref="CV190:CW190" si="746">CU190+1</f>
        <v>2031</v>
      </c>
      <c r="CW190" s="199">
        <f t="shared" si="746"/>
        <v>2032</v>
      </c>
      <c r="CX190" s="159"/>
      <c r="CY190" s="159"/>
      <c r="CZ190" s="159"/>
      <c r="DA190" s="159"/>
      <c r="DB190" s="159"/>
      <c r="DC190" s="159"/>
      <c r="DD190" s="159"/>
    </row>
    <row r="191" spans="1:112">
      <c r="A191" s="226" t="s">
        <v>268</v>
      </c>
      <c r="B191" s="717"/>
      <c r="C191" s="717"/>
      <c r="D191" s="717"/>
      <c r="E191" s="717"/>
      <c r="F191" s="717"/>
      <c r="G191" s="717"/>
      <c r="H191" s="717"/>
      <c r="I191" s="717"/>
      <c r="J191" s="717"/>
      <c r="K191" s="717"/>
      <c r="L191" s="717"/>
      <c r="M191" s="717"/>
      <c r="N191" s="717"/>
      <c r="O191" s="717"/>
      <c r="P191" s="717"/>
      <c r="Q191" s="717"/>
      <c r="R191" s="717"/>
      <c r="S191" s="717"/>
      <c r="T191" s="717"/>
      <c r="U191" s="717"/>
      <c r="V191" s="717"/>
      <c r="W191" s="717"/>
      <c r="X191" s="717"/>
      <c r="Y191" s="717"/>
      <c r="Z191" s="717"/>
      <c r="AA191" s="717"/>
      <c r="AB191" s="717"/>
      <c r="AC191" s="718"/>
      <c r="AD191" s="718"/>
      <c r="AE191" s="718"/>
      <c r="AF191" s="699"/>
      <c r="AG191" s="699"/>
      <c r="AH191" s="699"/>
      <c r="AI191" s="699">
        <v>27</v>
      </c>
      <c r="AJ191" s="699">
        <v>32</v>
      </c>
      <c r="AK191" s="699"/>
      <c r="AL191" s="699">
        <v>36</v>
      </c>
      <c r="AM191" s="699">
        <v>42</v>
      </c>
      <c r="AN191" s="699">
        <v>45</v>
      </c>
      <c r="AO191" s="699">
        <v>50</v>
      </c>
      <c r="AP191" s="718">
        <f>SUM(AL191:AO191)</f>
        <v>173</v>
      </c>
      <c r="AQ191" s="699">
        <v>52</v>
      </c>
      <c r="AR191" s="699">
        <v>64</v>
      </c>
      <c r="AS191" s="699">
        <v>83</v>
      </c>
      <c r="AT191" s="699">
        <f>AT207*AVERAGE(AT200,AS200)*AT182/1000</f>
        <v>84.366</v>
      </c>
      <c r="AU191" s="711">
        <f>SUM(AQ191:AT191)</f>
        <v>283.36599999999999</v>
      </c>
      <c r="AV191" s="699">
        <f>AV207*AVERAGE(AV200,AT200)*AV182/1000</f>
        <v>96.015000000000001</v>
      </c>
      <c r="AW191" s="699">
        <f>AW207*AVERAGE(AW200,AU200)*AW182/1000</f>
        <v>110.682</v>
      </c>
      <c r="AX191" s="699">
        <f>AX207*AVERAGE(AX200,AV200)*AX182/1000</f>
        <v>121.173</v>
      </c>
      <c r="AY191" s="699">
        <f>AY207*AVERAGE(AY200,AW200)*AY182/1000</f>
        <v>147.04349999999999</v>
      </c>
      <c r="AZ191" s="711">
        <f>AZ207*AVERAGE(AZ200,AU200)*AZ182/1000</f>
        <v>472.524</v>
      </c>
      <c r="BA191" s="699">
        <f>BA207*AVERAGE(BA200,AY200)*BA182/1000</f>
        <v>163.53899999999999</v>
      </c>
      <c r="BB191" s="699">
        <f>BB207*AVERAGE(BB200,AZ200)*BB182/1000</f>
        <v>201.72</v>
      </c>
      <c r="BC191" s="699">
        <f>BC207*AVERAGE(BC200,BA200)*BC182/1000</f>
        <v>250.36799999999999</v>
      </c>
      <c r="BD191" s="699">
        <f>BD207*AVERAGE(BD200,BB200)*BD182/1000</f>
        <v>257.964</v>
      </c>
      <c r="BE191" s="711">
        <f>BE207*AVERAGE(BE200,AZ200)*BE182/1000</f>
        <v>884.697</v>
      </c>
      <c r="BF191" s="699">
        <f>BF207*AVERAGE(BF200,BD200)*BF182/1000</f>
        <v>289.04399999999998</v>
      </c>
      <c r="BG191" s="699">
        <f>BG207*AVERAGE(BG200,BE200)*BG182/1000</f>
        <v>345.74400000000003</v>
      </c>
      <c r="BH191" s="699">
        <f>BH207*AVERAGE(BH200,BF200)*BH182/1000</f>
        <v>385.57350000000002</v>
      </c>
      <c r="BI191" s="699">
        <f>BI207*AVERAGE(BI200,BG200)*BI182/1000</f>
        <v>378.33749999999998</v>
      </c>
      <c r="BJ191" s="711">
        <f>BJ207*AVERAGE(BJ200,BE200)*BJ182/1000</f>
        <v>1414.5975000000003</v>
      </c>
      <c r="BK191" s="699">
        <f>BK207*AVERAGE(BK200,BI200)*BK182/1000</f>
        <v>430.69499999999999</v>
      </c>
      <c r="BL191" s="699">
        <f>BL207*AVERAGE(BL200,BJ200)*BL182/1000</f>
        <v>577.89449999999999</v>
      </c>
      <c r="BM191" s="699">
        <f>BM207*AVERAGE(BM200,BK200)*BM182/1000</f>
        <v>483.42450000000002</v>
      </c>
      <c r="BN191" s="699">
        <f>BN207*AVERAGE(BN200,BL200)*BN182/1000</f>
        <v>497.68200000000002</v>
      </c>
      <c r="BO191" s="711">
        <f>BO207*AVERAGE(BO200,BJ200)*BO182/1000</f>
        <v>2041.7249999999999</v>
      </c>
      <c r="BP191" s="699">
        <f>BP207*AVERAGE(BP200,BN200)*BP182/1000</f>
        <v>554.62950000000001</v>
      </c>
      <c r="BQ191" s="699">
        <f>BQ207*AVERAGE(BQ200,BO200)*BQ182/1000</f>
        <v>615.53399999999999</v>
      </c>
      <c r="BR191" s="699">
        <f>BR207*AVERAGE(BR200,BP200)*BR182/1000</f>
        <v>616.22550000000001</v>
      </c>
      <c r="BS191" s="699">
        <f>BS207*AVERAGE(BS200,BQ200)*BS182/1000</f>
        <v>576.29999999999995</v>
      </c>
      <c r="BT191" s="711">
        <f>BT207*AVERAGE(BT200,BO200)*BT182/1000</f>
        <v>2346.3989999999994</v>
      </c>
      <c r="BU191" s="699">
        <f>BU207*AVERAGE(BU200,BS200)*BU182/1000</f>
        <v>568.65</v>
      </c>
      <c r="BV191" s="699">
        <f>BV207*AVERAGE(BV200,BT200)*BV182/1000</f>
        <v>295.8</v>
      </c>
      <c r="BW191" s="699">
        <f>BW207*AVERAGE(BW200,BU200)*BW182/1000</f>
        <v>313.64999999999998</v>
      </c>
      <c r="BX191" s="699">
        <f>BX207*AVERAGE(BX200,BV200)*BX182/1000</f>
        <v>0</v>
      </c>
      <c r="BY191" s="711">
        <f>BY207*AVERAGE(BY200,BT200)*BY182/1000</f>
        <v>1211.25</v>
      </c>
      <c r="BZ191" s="699">
        <f>BZ207*AVERAGE(BZ200,BX200)*BZ182/1000</f>
        <v>0</v>
      </c>
      <c r="CA191" s="699">
        <f>CA207*AVERAGE(CA200,BY200)*CA182/1000</f>
        <v>0</v>
      </c>
      <c r="CB191" s="699">
        <f>CB207*AVERAGE(CB200,BZ200)*CB182/1000</f>
        <v>0</v>
      </c>
      <c r="CC191" s="699">
        <f>CC207*AVERAGE(CC200,CA200)*CC182/1000</f>
        <v>0</v>
      </c>
      <c r="CD191" s="711">
        <f>CD207*AVERAGE(CD200,BY200)*CD182/1000</f>
        <v>0</v>
      </c>
      <c r="CE191" s="699">
        <f>CE207*AVERAGE(CE200,CC200)*CE182/1000</f>
        <v>0</v>
      </c>
      <c r="CF191" s="699">
        <f>CF207*AVERAGE(CF200,CD200)*CF182/1000</f>
        <v>0</v>
      </c>
      <c r="CG191" s="699">
        <f>CG207*AVERAGE(CG200,CE200)*CG182/1000</f>
        <v>0</v>
      </c>
      <c r="CH191" s="699">
        <f>CH207*AVERAGE(CH200,CF200)*CH182/1000</f>
        <v>0</v>
      </c>
      <c r="CI191" s="711">
        <f>CI207*AVERAGE(CI200,CD200)*CI182/1000</f>
        <v>0</v>
      </c>
      <c r="CJ191" s="699">
        <f>CJ207*AVERAGE(CJ200,CH200)*CJ182/1000</f>
        <v>0</v>
      </c>
      <c r="CK191" s="699">
        <f>CK207*AVERAGE(CK200,CI200)*CK182/1000</f>
        <v>0</v>
      </c>
      <c r="CL191" s="699">
        <f>CL207*AVERAGE(CL200,CJ200)*CL182/1000</f>
        <v>0</v>
      </c>
      <c r="CM191" s="699">
        <f>CM207*AVERAGE(CM200,CK200)*CM182/1000</f>
        <v>0</v>
      </c>
      <c r="CN191" s="711">
        <f>CN207*AVERAGE(CN200,CI200)*CN182/1000</f>
        <v>0</v>
      </c>
      <c r="CO191" s="699">
        <f>CO207*AVERAGE(CO200,CM200)*CO182/1000</f>
        <v>0</v>
      </c>
      <c r="CP191" s="699">
        <f>CP207*AVERAGE(CP200,CN200)*CP182/1000</f>
        <v>0</v>
      </c>
      <c r="CQ191" s="711">
        <f>CQ207*AVERAGE(CQ200,CN200)*CQ182/1000</f>
        <v>0</v>
      </c>
      <c r="CR191" s="711">
        <f t="shared" ref="CR191:CS191" si="747">CR207*AVERAGE(CR200,CQ200)*CR182/1000</f>
        <v>0</v>
      </c>
      <c r="CS191" s="711">
        <f t="shared" si="747"/>
        <v>0</v>
      </c>
      <c r="CT191" s="711">
        <f t="shared" ref="CT191" si="748">CT207*AVERAGE(CT200,CS200)*CT182/1000</f>
        <v>0</v>
      </c>
      <c r="CU191" s="711">
        <f t="shared" ref="CU191" si="749">CU207*AVERAGE(CU200,CT200)*CU182/1000</f>
        <v>0</v>
      </c>
      <c r="CV191" s="711">
        <f t="shared" ref="CV191:CW191" si="750">CV207*AVERAGE(CV200,CU200)*CV182/1000</f>
        <v>0</v>
      </c>
      <c r="CW191" s="711">
        <f t="shared" si="750"/>
        <v>0</v>
      </c>
      <c r="CX191" s="159"/>
      <c r="CY191" s="159"/>
      <c r="CZ191" s="159"/>
      <c r="DA191" s="159"/>
      <c r="DB191" s="159"/>
      <c r="DC191" s="169"/>
      <c r="DD191" s="169"/>
      <c r="DE191" s="169"/>
      <c r="DF191" s="169"/>
      <c r="DG191" s="169"/>
      <c r="DH191" s="169"/>
    </row>
    <row r="192" spans="1:112">
      <c r="A192" s="226" t="s">
        <v>60</v>
      </c>
      <c r="B192" s="185"/>
      <c r="C192" s="185"/>
      <c r="D192" s="185"/>
      <c r="E192" s="185"/>
      <c r="F192" s="185"/>
      <c r="G192" s="185"/>
      <c r="H192" s="185"/>
      <c r="I192" s="185"/>
      <c r="J192" s="185"/>
      <c r="K192" s="185"/>
      <c r="L192" s="185"/>
      <c r="M192" s="185"/>
      <c r="N192" s="185"/>
      <c r="O192" s="185"/>
      <c r="P192" s="185"/>
      <c r="Q192" s="185"/>
      <c r="R192" s="185"/>
      <c r="S192" s="185"/>
      <c r="T192" s="185"/>
      <c r="U192" s="185"/>
      <c r="V192" s="185"/>
      <c r="W192" s="185"/>
      <c r="X192" s="185"/>
      <c r="Y192" s="185"/>
      <c r="Z192" s="185"/>
      <c r="AA192" s="185"/>
      <c r="AB192" s="185"/>
      <c r="AC192" s="185"/>
      <c r="AD192" s="185"/>
      <c r="AE192" s="185"/>
      <c r="AF192" s="185"/>
      <c r="AG192" s="185"/>
      <c r="AH192" s="185"/>
      <c r="AI192" s="185"/>
      <c r="AJ192" s="185"/>
      <c r="AK192" s="185"/>
      <c r="AL192" s="185"/>
      <c r="AM192" s="185"/>
      <c r="AN192" s="185"/>
      <c r="AO192" s="185"/>
      <c r="AP192" s="185"/>
      <c r="AQ192" s="185">
        <f t="shared" ref="AQ192:CP192" si="751">AQ191/AL191-1</f>
        <v>0.44444444444444442</v>
      </c>
      <c r="AR192" s="185">
        <f t="shared" si="751"/>
        <v>0.52380952380952372</v>
      </c>
      <c r="AS192" s="185">
        <f t="shared" si="751"/>
        <v>0.84444444444444455</v>
      </c>
      <c r="AT192" s="185">
        <f t="shared" si="751"/>
        <v>0.68731999999999993</v>
      </c>
      <c r="AU192" s="185">
        <f t="shared" si="751"/>
        <v>0.63795375722543346</v>
      </c>
      <c r="AV192" s="185">
        <f t="shared" si="751"/>
        <v>0.84644230769230777</v>
      </c>
      <c r="AW192" s="185">
        <f t="shared" si="751"/>
        <v>0.72940625000000003</v>
      </c>
      <c r="AX192" s="185">
        <f t="shared" si="751"/>
        <v>0.45991566265060246</v>
      </c>
      <c r="AY192" s="185">
        <f t="shared" si="751"/>
        <v>0.74292368963800581</v>
      </c>
      <c r="AZ192" s="185">
        <f t="shared" si="751"/>
        <v>0.66753950720975719</v>
      </c>
      <c r="BA192" s="185">
        <f t="shared" si="751"/>
        <v>0.70326511482580822</v>
      </c>
      <c r="BB192" s="185">
        <f t="shared" si="751"/>
        <v>0.8225185667046131</v>
      </c>
      <c r="BC192" s="185">
        <f t="shared" si="751"/>
        <v>1.0662028669753161</v>
      </c>
      <c r="BD192" s="185">
        <f t="shared" si="751"/>
        <v>0.75433800201981049</v>
      </c>
      <c r="BE192" s="185">
        <f t="shared" si="751"/>
        <v>0.87227950326332637</v>
      </c>
      <c r="BF192" s="185">
        <f t="shared" si="751"/>
        <v>0.76743162181497993</v>
      </c>
      <c r="BG192" s="185">
        <f t="shared" si="751"/>
        <v>0.71397977394408096</v>
      </c>
      <c r="BH192" s="185">
        <f t="shared" si="751"/>
        <v>0.54002708013803691</v>
      </c>
      <c r="BI192" s="185">
        <f t="shared" si="751"/>
        <v>0.4666290645206308</v>
      </c>
      <c r="BJ192" s="185">
        <f>BJ191/BE191-1</f>
        <v>0.59896269570259686</v>
      </c>
      <c r="BK192" s="185">
        <f t="shared" si="751"/>
        <v>0.49006725619628844</v>
      </c>
      <c r="BL192" s="185">
        <f t="shared" si="751"/>
        <v>0.67145199916701359</v>
      </c>
      <c r="BM192" s="185">
        <f t="shared" si="751"/>
        <v>0.25378040762656151</v>
      </c>
      <c r="BN192" s="185">
        <f t="shared" si="751"/>
        <v>0.31544454356229568</v>
      </c>
      <c r="BO192" s="185">
        <f>BO191/BJ191-1</f>
        <v>0.44332575167141153</v>
      </c>
      <c r="BP192" s="185">
        <f t="shared" si="751"/>
        <v>0.28775467558248891</v>
      </c>
      <c r="BQ192" s="185">
        <f t="shared" si="751"/>
        <v>6.5132130518632758E-2</v>
      </c>
      <c r="BR192" s="185">
        <f t="shared" si="751"/>
        <v>0.27470887387792708</v>
      </c>
      <c r="BS192" s="185">
        <f t="shared" si="751"/>
        <v>0.15796834122994197</v>
      </c>
      <c r="BT192" s="185">
        <f>BT191/BO191-1</f>
        <v>0.14922381809499297</v>
      </c>
      <c r="BU192" s="185">
        <f t="shared" si="751"/>
        <v>2.5279037627821799E-2</v>
      </c>
      <c r="BV192" s="185">
        <f t="shared" si="751"/>
        <v>-0.51944165553811805</v>
      </c>
      <c r="BW192" s="185">
        <f t="shared" si="751"/>
        <v>-0.49101424721956499</v>
      </c>
      <c r="BX192" s="185">
        <f t="shared" si="751"/>
        <v>-1</v>
      </c>
      <c r="BY192" s="185">
        <f>BY191/BT191-1</f>
        <v>-0.48378344859505984</v>
      </c>
      <c r="BZ192" s="185">
        <f t="shared" si="751"/>
        <v>-1</v>
      </c>
      <c r="CA192" s="185">
        <f t="shared" si="751"/>
        <v>-1</v>
      </c>
      <c r="CB192" s="185">
        <f t="shared" si="751"/>
        <v>-1</v>
      </c>
      <c r="CC192" s="185" t="e">
        <f t="shared" si="751"/>
        <v>#DIV/0!</v>
      </c>
      <c r="CD192" s="185">
        <f>CD191/BY191-1</f>
        <v>-1</v>
      </c>
      <c r="CE192" s="185" t="e">
        <f t="shared" si="751"/>
        <v>#DIV/0!</v>
      </c>
      <c r="CF192" s="185" t="e">
        <f t="shared" si="751"/>
        <v>#DIV/0!</v>
      </c>
      <c r="CG192" s="185" t="e">
        <f t="shared" si="751"/>
        <v>#DIV/0!</v>
      </c>
      <c r="CH192" s="185" t="e">
        <f t="shared" si="751"/>
        <v>#DIV/0!</v>
      </c>
      <c r="CI192" s="185" t="e">
        <f>CI191/CD191-1</f>
        <v>#DIV/0!</v>
      </c>
      <c r="CJ192" s="185" t="e">
        <f t="shared" si="751"/>
        <v>#DIV/0!</v>
      </c>
      <c r="CK192" s="185" t="e">
        <f t="shared" si="751"/>
        <v>#DIV/0!</v>
      </c>
      <c r="CL192" s="185" t="e">
        <f t="shared" si="751"/>
        <v>#DIV/0!</v>
      </c>
      <c r="CM192" s="185" t="e">
        <f t="shared" si="751"/>
        <v>#DIV/0!</v>
      </c>
      <c r="CN192" s="185" t="e">
        <f>CN191/CI191-1</f>
        <v>#DIV/0!</v>
      </c>
      <c r="CO192" s="185" t="e">
        <f t="shared" si="751"/>
        <v>#DIV/0!</v>
      </c>
      <c r="CP192" s="185" t="e">
        <f t="shared" si="751"/>
        <v>#DIV/0!</v>
      </c>
      <c r="CQ192" s="185" t="e">
        <f>CQ191/CN191-1</f>
        <v>#DIV/0!</v>
      </c>
      <c r="CR192" s="185" t="e">
        <f t="shared" ref="CR192:CS192" si="752">CR191/CQ191-1</f>
        <v>#DIV/0!</v>
      </c>
      <c r="CS192" s="185" t="e">
        <f t="shared" si="752"/>
        <v>#DIV/0!</v>
      </c>
      <c r="CT192" s="185" t="e">
        <f t="shared" ref="CT192" si="753">CT191/CS191-1</f>
        <v>#DIV/0!</v>
      </c>
      <c r="CU192" s="185" t="e">
        <f t="shared" ref="CU192" si="754">CU191/CT191-1</f>
        <v>#DIV/0!</v>
      </c>
      <c r="CV192" s="185" t="e">
        <f t="shared" ref="CV192:CW192" si="755">CV191/CU191-1</f>
        <v>#DIV/0!</v>
      </c>
      <c r="CW192" s="185" t="e">
        <f t="shared" si="755"/>
        <v>#DIV/0!</v>
      </c>
      <c r="CX192" s="159"/>
      <c r="CY192" s="159"/>
      <c r="CZ192" s="159"/>
      <c r="DA192" s="159"/>
      <c r="DB192" s="159"/>
      <c r="DC192" s="169"/>
      <c r="DD192" s="169"/>
      <c r="DE192" s="169"/>
      <c r="DF192" s="169"/>
      <c r="DG192" s="169"/>
      <c r="DH192" s="169"/>
    </row>
    <row r="193" spans="1:112">
      <c r="A193" s="226" t="s">
        <v>269</v>
      </c>
      <c r="B193" s="185"/>
      <c r="C193" s="185"/>
      <c r="D193" s="185"/>
      <c r="E193" s="185"/>
      <c r="F193" s="185"/>
      <c r="G193" s="185"/>
      <c r="H193" s="185"/>
      <c r="I193" s="185"/>
      <c r="J193" s="185"/>
      <c r="K193" s="185"/>
      <c r="L193" s="185"/>
      <c r="M193" s="185"/>
      <c r="N193" s="185"/>
      <c r="O193" s="185"/>
      <c r="P193" s="185"/>
      <c r="Q193" s="185"/>
      <c r="R193" s="185"/>
      <c r="S193" s="185"/>
      <c r="T193" s="185"/>
      <c r="U193" s="185"/>
      <c r="V193" s="185"/>
      <c r="W193" s="185"/>
      <c r="X193" s="185"/>
      <c r="Y193" s="185"/>
      <c r="Z193" s="185"/>
      <c r="AA193" s="185"/>
      <c r="AB193" s="185"/>
      <c r="AC193" s="250"/>
      <c r="AD193" s="250"/>
      <c r="AE193" s="250"/>
      <c r="AF193" s="250"/>
      <c r="AG193" s="250"/>
      <c r="AH193" s="250"/>
      <c r="AI193" s="250"/>
      <c r="AJ193" s="250"/>
      <c r="AK193" s="250"/>
      <c r="AL193" s="250"/>
      <c r="AM193" s="250"/>
      <c r="AN193" s="250"/>
      <c r="AO193" s="250"/>
      <c r="AP193" s="250"/>
      <c r="AQ193" s="250"/>
      <c r="AR193" s="250"/>
      <c r="AS193" s="250"/>
      <c r="AT193" s="250"/>
      <c r="AU193" s="265">
        <f>13.4/1.15</f>
        <v>11.65217391304348</v>
      </c>
      <c r="AV193" s="265"/>
      <c r="AW193" s="265"/>
      <c r="AX193" s="265"/>
      <c r="AY193" s="265"/>
      <c r="AZ193" s="265">
        <f>AU193*(1+AZ194)</f>
        <v>7.9234782608695662</v>
      </c>
      <c r="BA193" s="265"/>
      <c r="BB193" s="265"/>
      <c r="BC193" s="265"/>
      <c r="BD193" s="265"/>
      <c r="BE193" s="265">
        <f>AZ193*(1+BE194)</f>
        <v>6.5764869565217392</v>
      </c>
      <c r="BF193" s="265"/>
      <c r="BG193" s="265"/>
      <c r="BH193" s="265"/>
      <c r="BI193" s="265"/>
      <c r="BJ193" s="265">
        <f>BE193*(1+BJ194)</f>
        <v>5.5143843130434789</v>
      </c>
      <c r="BK193" s="265"/>
      <c r="BL193" s="265"/>
      <c r="BM193" s="265"/>
      <c r="BN193" s="265"/>
      <c r="BO193" s="265">
        <f>BJ193*(1+BO194)</f>
        <v>4.6683398998147831</v>
      </c>
      <c r="BP193" s="265"/>
      <c r="BQ193" s="265"/>
      <c r="BR193" s="265"/>
      <c r="BS193" s="265"/>
      <c r="BT193" s="265">
        <f>BO193*(1+BT194)</f>
        <v>3.9879118531421542</v>
      </c>
      <c r="BU193" s="266"/>
      <c r="BV193" s="266"/>
      <c r="BW193" s="266"/>
      <c r="BX193" s="266"/>
      <c r="BY193" s="265">
        <f>BT193*(1+BY194)</f>
        <v>3.4357214012404818</v>
      </c>
      <c r="BZ193" s="266"/>
      <c r="CA193" s="266"/>
      <c r="CB193" s="266"/>
      <c r="CC193" s="266"/>
      <c r="CD193" s="265">
        <f>BY193*(1+CD194)</f>
        <v>3.0789232905329174</v>
      </c>
      <c r="CE193" s="266"/>
      <c r="CF193" s="266"/>
      <c r="CG193" s="266"/>
      <c r="CH193" s="266"/>
      <c r="CI193" s="265">
        <f>CD193*(1+CI194)</f>
        <v>2.8231274596651352</v>
      </c>
      <c r="CJ193" s="266"/>
      <c r="CK193" s="266"/>
      <c r="CL193" s="266"/>
      <c r="CM193" s="266"/>
      <c r="CN193" s="265">
        <f>CI193*(1+CN194)</f>
        <v>2.6354919348929151</v>
      </c>
      <c r="CO193" s="266"/>
      <c r="CP193" s="266"/>
      <c r="CQ193" s="265">
        <f>CN193*(1+CQ194)</f>
        <v>2.4953602775584658</v>
      </c>
      <c r="CR193" s="265">
        <f t="shared" ref="CR193:CS193" si="756">CQ193*(1+CR194)</f>
        <v>2.3892157003852397</v>
      </c>
      <c r="CS193" s="265">
        <f t="shared" si="756"/>
        <v>2.2875861711450147</v>
      </c>
      <c r="CT193" s="265">
        <f t="shared" ref="CT193" si="757">CS193*(1+CT194)</f>
        <v>2.1902796342624593</v>
      </c>
      <c r="CU193" s="265">
        <f t="shared" ref="CU193" si="758">CT193*(1+CU194)</f>
        <v>2.0971122035869225</v>
      </c>
      <c r="CV193" s="265">
        <f t="shared" ref="CV193:CW193" si="759">CU193*(1+CV194)</f>
        <v>2.0079078148914586</v>
      </c>
      <c r="CW193" s="265">
        <f t="shared" si="759"/>
        <v>1.9224978931534236</v>
      </c>
      <c r="CX193" s="159"/>
      <c r="CY193" s="159"/>
      <c r="CZ193" s="159"/>
      <c r="DA193" s="159"/>
      <c r="DB193" s="159"/>
      <c r="DC193" s="169"/>
      <c r="DD193" s="169"/>
      <c r="DE193" s="169"/>
      <c r="DF193" s="169"/>
      <c r="DG193" s="169"/>
      <c r="DH193" s="169"/>
    </row>
    <row r="194" spans="1:112">
      <c r="A194" s="226" t="s">
        <v>270</v>
      </c>
      <c r="B194" s="185"/>
      <c r="C194" s="185"/>
      <c r="D194" s="185"/>
      <c r="E194" s="185"/>
      <c r="F194" s="185"/>
      <c r="G194" s="185"/>
      <c r="H194" s="185"/>
      <c r="I194" s="185"/>
      <c r="J194" s="185"/>
      <c r="K194" s="185"/>
      <c r="L194" s="185"/>
      <c r="M194" s="185"/>
      <c r="N194" s="185"/>
      <c r="O194" s="185"/>
      <c r="P194" s="185"/>
      <c r="Q194" s="185"/>
      <c r="R194" s="185"/>
      <c r="S194" s="185"/>
      <c r="T194" s="185"/>
      <c r="U194" s="185"/>
      <c r="V194" s="185"/>
      <c r="W194" s="185"/>
      <c r="X194" s="185"/>
      <c r="Y194" s="185"/>
      <c r="Z194" s="185"/>
      <c r="AA194" s="185"/>
      <c r="AB194" s="185"/>
      <c r="AC194" s="185"/>
      <c r="AD194" s="185"/>
      <c r="AE194" s="185"/>
      <c r="AF194" s="185"/>
      <c r="AG194" s="185"/>
      <c r="AH194" s="185"/>
      <c r="AI194" s="185"/>
      <c r="AJ194" s="185"/>
      <c r="AK194" s="185"/>
      <c r="AL194" s="185"/>
      <c r="AM194" s="185"/>
      <c r="AN194" s="185"/>
      <c r="AO194" s="185"/>
      <c r="AP194" s="185"/>
      <c r="AQ194" s="185"/>
      <c r="AR194" s="185"/>
      <c r="AS194" s="185"/>
      <c r="AT194" s="185"/>
      <c r="AU194" s="185"/>
      <c r="AV194" s="185"/>
      <c r="AW194" s="185"/>
      <c r="AX194" s="185"/>
      <c r="AY194" s="185"/>
      <c r="AZ194" s="267">
        <v>-0.32</v>
      </c>
      <c r="BA194" s="185"/>
      <c r="BB194" s="185"/>
      <c r="BC194" s="185"/>
      <c r="BD194" s="185"/>
      <c r="BE194" s="267">
        <v>-0.17</v>
      </c>
      <c r="BF194" s="185"/>
      <c r="BG194" s="185"/>
      <c r="BH194" s="185"/>
      <c r="BI194" s="185"/>
      <c r="BJ194" s="267">
        <f>BE194*0.95</f>
        <v>-0.1615</v>
      </c>
      <c r="BK194" s="185"/>
      <c r="BL194" s="185"/>
      <c r="BM194" s="185"/>
      <c r="BN194" s="185"/>
      <c r="BO194" s="267">
        <f>BJ194*0.95</f>
        <v>-0.15342500000000001</v>
      </c>
      <c r="BP194" s="185"/>
      <c r="BQ194" s="185"/>
      <c r="BR194" s="185"/>
      <c r="BS194" s="185"/>
      <c r="BT194" s="267">
        <f>BO194*0.95</f>
        <v>-0.14575374999999999</v>
      </c>
      <c r="BU194" s="185"/>
      <c r="BV194" s="185"/>
      <c r="BW194" s="185"/>
      <c r="BX194" s="185"/>
      <c r="BY194" s="267">
        <f>BT194*0.95</f>
        <v>-0.13846606249999999</v>
      </c>
      <c r="BZ194" s="185"/>
      <c r="CA194" s="185"/>
      <c r="CB194" s="185"/>
      <c r="CC194" s="185"/>
      <c r="CD194" s="268">
        <f>BY194*0.75</f>
        <v>-0.10384954687499999</v>
      </c>
      <c r="CE194" s="185"/>
      <c r="CF194" s="185"/>
      <c r="CG194" s="185"/>
      <c r="CH194" s="185"/>
      <c r="CI194" s="268">
        <f>CD194*0.8</f>
        <v>-8.3079637499999998E-2</v>
      </c>
      <c r="CJ194" s="185"/>
      <c r="CK194" s="185"/>
      <c r="CL194" s="185"/>
      <c r="CM194" s="185"/>
      <c r="CN194" s="268">
        <f>CI194*0.8</f>
        <v>-6.6463709999999995E-2</v>
      </c>
      <c r="CO194" s="185"/>
      <c r="CP194" s="185"/>
      <c r="CQ194" s="268">
        <f>CN194*0.8</f>
        <v>-5.3170967999999999E-2</v>
      </c>
      <c r="CR194" s="268">
        <f>CQ194*0.8</f>
        <v>-4.2536774400000005E-2</v>
      </c>
      <c r="CS194" s="268">
        <f>CR194</f>
        <v>-4.2536774400000005E-2</v>
      </c>
      <c r="CT194" s="268">
        <f t="shared" ref="CT194:CV194" si="760">CS194</f>
        <v>-4.2536774400000005E-2</v>
      </c>
      <c r="CU194" s="268">
        <f t="shared" si="760"/>
        <v>-4.2536774400000005E-2</v>
      </c>
      <c r="CV194" s="268">
        <f t="shared" si="760"/>
        <v>-4.2536774400000005E-2</v>
      </c>
      <c r="CW194" s="268">
        <f t="shared" ref="CW194" si="761">CV194</f>
        <v>-4.2536774400000005E-2</v>
      </c>
      <c r="CX194" s="159"/>
      <c r="CY194" s="159"/>
      <c r="CZ194" s="159"/>
      <c r="DA194" s="159"/>
      <c r="DB194" s="159"/>
      <c r="DC194" s="169"/>
      <c r="DD194" s="169"/>
      <c r="DE194" s="169"/>
      <c r="DF194" s="169"/>
      <c r="DG194" s="169"/>
      <c r="DH194" s="169"/>
    </row>
    <row r="195" spans="1:112">
      <c r="A195" s="226" t="s">
        <v>271</v>
      </c>
      <c r="B195" s="185"/>
      <c r="C195" s="185"/>
      <c r="D195" s="185"/>
      <c r="E195" s="185"/>
      <c r="F195" s="185"/>
      <c r="G195" s="185"/>
      <c r="H195" s="185"/>
      <c r="I195" s="185"/>
      <c r="J195" s="185"/>
      <c r="K195" s="185"/>
      <c r="L195" s="185"/>
      <c r="M195" s="185"/>
      <c r="N195" s="185"/>
      <c r="O195" s="185"/>
      <c r="P195" s="185"/>
      <c r="Q195" s="185"/>
      <c r="R195" s="185"/>
      <c r="S195" s="185"/>
      <c r="T195" s="185"/>
      <c r="U195" s="185"/>
      <c r="V195" s="185"/>
      <c r="W195" s="185"/>
      <c r="X195" s="185"/>
      <c r="Y195" s="185"/>
      <c r="Z195" s="185"/>
      <c r="AA195" s="185"/>
      <c r="AB195" s="185"/>
      <c r="AC195" s="185"/>
      <c r="AD195" s="185"/>
      <c r="AE195" s="185"/>
      <c r="AF195" s="185"/>
      <c r="AG195" s="185"/>
      <c r="AH195" s="185"/>
      <c r="AI195" s="185"/>
      <c r="AJ195" s="185"/>
      <c r="AK195" s="185"/>
      <c r="AL195" s="185"/>
      <c r="AM195" s="185"/>
      <c r="AN195" s="185"/>
      <c r="AO195" s="185"/>
      <c r="AP195" s="185"/>
      <c r="AQ195" s="185"/>
      <c r="AR195" s="185"/>
      <c r="AS195" s="185"/>
      <c r="AT195" s="185"/>
      <c r="AU195" s="185"/>
      <c r="AV195" s="185"/>
      <c r="AW195" s="185"/>
      <c r="AX195" s="185"/>
      <c r="AY195" s="185"/>
      <c r="AZ195" s="185">
        <v>0.29460323033707858</v>
      </c>
      <c r="BA195" s="185"/>
      <c r="BB195" s="185"/>
      <c r="BC195" s="185"/>
      <c r="BD195" s="185"/>
      <c r="BE195" s="185">
        <v>0.17676193820224714</v>
      </c>
      <c r="BF195" s="185"/>
      <c r="BG195" s="185"/>
      <c r="BH195" s="185"/>
      <c r="BI195" s="185"/>
      <c r="BJ195" s="185">
        <v>0.16792384129213478</v>
      </c>
      <c r="BK195" s="185"/>
      <c r="BL195" s="185"/>
      <c r="BM195" s="185"/>
      <c r="BN195" s="185"/>
      <c r="BO195" s="185">
        <v>0.16792384129213478</v>
      </c>
      <c r="BP195" s="185"/>
      <c r="BQ195" s="185"/>
      <c r="BR195" s="185"/>
      <c r="BS195" s="185"/>
      <c r="BT195" s="185"/>
      <c r="BU195" s="185"/>
      <c r="BV195" s="185"/>
      <c r="BW195" s="185"/>
      <c r="BX195" s="185"/>
      <c r="BY195" s="185"/>
      <c r="BZ195" s="185"/>
      <c r="CA195" s="185"/>
      <c r="CB195" s="185"/>
      <c r="CC195" s="185"/>
      <c r="CD195" s="185">
        <v>0.13613026067415701</v>
      </c>
      <c r="CE195" s="185"/>
      <c r="CF195" s="185"/>
      <c r="CG195" s="185"/>
      <c r="CH195" s="185"/>
      <c r="CI195" s="185">
        <v>0.12835328777431501</v>
      </c>
      <c r="CJ195" s="185"/>
      <c r="CK195" s="185"/>
      <c r="CL195" s="185"/>
      <c r="CM195" s="185"/>
      <c r="CN195" s="185">
        <v>0.12835328777431501</v>
      </c>
      <c r="CO195" s="185"/>
      <c r="CP195" s="185"/>
      <c r="CQ195" s="185">
        <v>0.112799341974631</v>
      </c>
      <c r="CR195" s="185">
        <v>0.105022369074789</v>
      </c>
      <c r="CS195" s="185">
        <v>9.7245396174947193E-2</v>
      </c>
      <c r="CT195" s="185">
        <v>9.7245396174947193E-2</v>
      </c>
      <c r="CU195" s="185">
        <v>9.7245396174947193E-2</v>
      </c>
      <c r="CV195" s="185">
        <v>9.7245396174947193E-2</v>
      </c>
      <c r="CW195" s="185">
        <v>9.7245396174947193E-2</v>
      </c>
      <c r="CX195" s="159"/>
      <c r="CY195" s="159"/>
      <c r="CZ195" s="159"/>
      <c r="DA195" s="159"/>
      <c r="DB195" s="159"/>
      <c r="DC195" s="169"/>
      <c r="DD195" s="169"/>
      <c r="DE195" s="169"/>
      <c r="DF195" s="169"/>
      <c r="DG195" s="169"/>
      <c r="DH195" s="169"/>
    </row>
    <row r="196" spans="1:112">
      <c r="A196" s="226"/>
      <c r="B196" s="185"/>
      <c r="C196" s="185"/>
      <c r="D196" s="185"/>
      <c r="E196" s="185"/>
      <c r="F196" s="185"/>
      <c r="G196" s="185"/>
      <c r="H196" s="185"/>
      <c r="I196" s="185"/>
      <c r="J196" s="185"/>
      <c r="K196" s="185"/>
      <c r="L196" s="185"/>
      <c r="M196" s="185"/>
      <c r="N196" s="185"/>
      <c r="O196" s="185"/>
      <c r="P196" s="185"/>
      <c r="Q196" s="185"/>
      <c r="R196" s="185"/>
      <c r="S196" s="185"/>
      <c r="T196" s="185"/>
      <c r="U196" s="185"/>
      <c r="V196" s="185"/>
      <c r="W196" s="185"/>
      <c r="X196" s="185"/>
      <c r="Y196" s="185"/>
      <c r="Z196" s="185"/>
      <c r="AA196" s="185"/>
      <c r="AB196" s="185"/>
      <c r="AC196" s="185"/>
      <c r="AD196" s="185"/>
      <c r="AE196" s="185"/>
      <c r="AF196" s="185"/>
      <c r="AG196" s="185"/>
      <c r="AH196" s="185"/>
      <c r="AI196" s="185"/>
      <c r="AJ196" s="185"/>
      <c r="AK196" s="185"/>
      <c r="AL196" s="185"/>
      <c r="AM196" s="185"/>
      <c r="AN196" s="185"/>
      <c r="AO196" s="185"/>
      <c r="AP196" s="185"/>
      <c r="AQ196" s="185"/>
      <c r="AR196" s="185"/>
      <c r="AS196" s="185"/>
      <c r="AT196" s="185"/>
      <c r="AU196" s="185"/>
      <c r="AV196" s="185"/>
      <c r="AW196" s="185"/>
      <c r="AX196" s="185"/>
      <c r="AY196" s="185"/>
      <c r="AZ196" s="185"/>
      <c r="BA196" s="185"/>
      <c r="BB196" s="185"/>
      <c r="BC196" s="185"/>
      <c r="BD196" s="185"/>
      <c r="BE196" s="185"/>
      <c r="BF196" s="185"/>
      <c r="BG196" s="185"/>
      <c r="BH196" s="185"/>
      <c r="BI196" s="185"/>
      <c r="BJ196" s="185"/>
      <c r="BK196" s="185"/>
      <c r="BL196" s="185"/>
      <c r="BM196" s="185"/>
      <c r="BN196" s="185"/>
      <c r="BO196" s="185"/>
      <c r="BP196" s="185"/>
      <c r="BQ196" s="185"/>
      <c r="BR196" s="185"/>
      <c r="BS196" s="185"/>
      <c r="BT196" s="185"/>
      <c r="BU196" s="185"/>
      <c r="BV196" s="185"/>
      <c r="BW196" s="185"/>
      <c r="BX196" s="185"/>
      <c r="BY196" s="185"/>
      <c r="BZ196" s="185"/>
      <c r="CA196" s="185"/>
      <c r="CB196" s="185"/>
      <c r="CC196" s="185"/>
      <c r="CD196" s="185"/>
      <c r="CE196" s="185"/>
      <c r="CF196" s="185"/>
      <c r="CG196" s="185"/>
      <c r="CH196" s="185"/>
      <c r="CI196" s="185"/>
      <c r="CJ196" s="185"/>
      <c r="CK196" s="185"/>
      <c r="CL196" s="185"/>
      <c r="CM196" s="185"/>
      <c r="CN196" s="185"/>
      <c r="CO196" s="185"/>
      <c r="CP196" s="185"/>
      <c r="CQ196" s="185"/>
      <c r="CR196" s="185"/>
      <c r="CS196" s="185"/>
      <c r="CT196" s="185"/>
      <c r="CU196" s="185"/>
      <c r="CV196" s="185"/>
      <c r="CW196" s="185"/>
      <c r="CX196" s="159"/>
      <c r="CY196" s="159"/>
      <c r="CZ196" s="159"/>
      <c r="DA196" s="159"/>
      <c r="DB196" s="159"/>
      <c r="DC196" s="169"/>
      <c r="DD196" s="169"/>
      <c r="DE196" s="169"/>
      <c r="DF196" s="169"/>
      <c r="DG196" s="169"/>
      <c r="DH196" s="169"/>
    </row>
    <row r="197" spans="1:112">
      <c r="A197" s="226" t="s">
        <v>603</v>
      </c>
      <c r="B197" s="185"/>
      <c r="C197" s="185"/>
      <c r="D197" s="185"/>
      <c r="E197" s="185"/>
      <c r="F197" s="185"/>
      <c r="G197" s="185"/>
      <c r="H197" s="185"/>
      <c r="I197" s="185"/>
      <c r="J197" s="185"/>
      <c r="K197" s="185"/>
      <c r="L197" s="185"/>
      <c r="M197" s="185"/>
      <c r="N197" s="185"/>
      <c r="O197" s="185"/>
      <c r="P197" s="185"/>
      <c r="Q197" s="185"/>
      <c r="R197" s="185"/>
      <c r="S197" s="185"/>
      <c r="T197" s="185"/>
      <c r="U197" s="185"/>
      <c r="V197" s="185"/>
      <c r="W197" s="185"/>
      <c r="X197" s="185"/>
      <c r="Y197" s="185"/>
      <c r="Z197" s="185"/>
      <c r="AA197" s="185"/>
      <c r="AB197" s="185"/>
      <c r="AC197" s="185"/>
      <c r="AD197" s="185"/>
      <c r="AE197" s="185"/>
      <c r="AF197" s="185"/>
      <c r="AG197" s="185"/>
      <c r="AH197" s="185"/>
      <c r="AI197" s="185"/>
      <c r="AJ197" s="185"/>
      <c r="AK197" s="185"/>
      <c r="AL197" s="185"/>
      <c r="AM197" s="185"/>
      <c r="AN197" s="185"/>
      <c r="AO197" s="185"/>
      <c r="AP197" s="185"/>
      <c r="AQ197" s="185"/>
      <c r="AR197" s="185"/>
      <c r="AS197" s="185"/>
      <c r="AT197" s="185"/>
      <c r="AU197" s="185"/>
      <c r="AV197" s="269">
        <f>AV203*3*AVERAGE(AU117:AV117)/1000</f>
        <v>151.51851000000002</v>
      </c>
      <c r="AW197" s="269">
        <f>AW203*3*AVERAGE(AV117:AW117)/1000</f>
        <v>174.05595</v>
      </c>
      <c r="AX197" s="269">
        <f>AX203*3*AVERAGE(AW117:AX117)/1000</f>
        <v>189.492615</v>
      </c>
      <c r="AY197" s="269">
        <f>AY203*3*AVERAGE(AX117:AY117)/1000</f>
        <v>222.08256</v>
      </c>
      <c r="AZ197" s="185"/>
      <c r="BA197" s="269">
        <f>BA203*3*AVERAGE(AZ117:BA117)/1000</f>
        <v>248.34195000000005</v>
      </c>
      <c r="BB197" s="269">
        <f>BB203*3*AVERAGE(BA117:BB117)/1000</f>
        <v>292.13538</v>
      </c>
      <c r="BC197" s="269">
        <f>BC203*3*AVERAGE(BB117:BC117)/1000</f>
        <v>344.79571499999997</v>
      </c>
      <c r="BD197" s="269">
        <f>BD203*3*AVERAGE(BC117:BD117)/1000</f>
        <v>353.30021999999997</v>
      </c>
      <c r="BE197" s="185"/>
      <c r="BF197" s="269">
        <f>BF203*3*AVERAGE(BE117:BF117)/1000</f>
        <v>377.78129999999993</v>
      </c>
      <c r="BG197" s="269">
        <f>BG203*3*AVERAGE(BF117:BG117)/1000</f>
        <v>444.26132999999993</v>
      </c>
      <c r="BH197" s="269">
        <f>BH203*3*AVERAGE(BG117:BH117)/1000</f>
        <v>498.98382000000004</v>
      </c>
      <c r="BI197" s="269">
        <f>BI203*3*AVERAGE(BH117:BI117)/1000</f>
        <v>498.53742</v>
      </c>
      <c r="BJ197" s="185"/>
      <c r="BK197" s="269">
        <f>BK203*3*AVERAGE(BJ117:BK117)/1000</f>
        <v>563.580465</v>
      </c>
      <c r="BL197" s="269">
        <f>BL203*3*AVERAGE(BK117:BL117)/1000</f>
        <v>722.23745999999994</v>
      </c>
      <c r="BM197" s="269">
        <f>BM203*3*AVERAGE(BL117:BM117)/1000</f>
        <v>661.67575499999998</v>
      </c>
      <c r="BN197" s="269">
        <f>BN203*3*AVERAGE(BM117:BN117)/1000</f>
        <v>688.92075</v>
      </c>
      <c r="BO197" s="185"/>
      <c r="BP197" s="269">
        <f>BP203*3*AVERAGE(BO117:BP117)/1000</f>
        <v>728.42210999999998</v>
      </c>
      <c r="BQ197" s="269">
        <f t="shared" ref="BQ197:CP197" si="762">BQ203*3*AVERAGE(BP117:BQ117)/1000</f>
        <v>836.8223999999999</v>
      </c>
      <c r="BR197" s="269">
        <f t="shared" si="762"/>
        <v>858.99297000000001</v>
      </c>
      <c r="BS197" s="269">
        <f t="shared" si="762"/>
        <v>843.95939999999996</v>
      </c>
      <c r="BT197" s="185"/>
      <c r="BU197" s="269">
        <f t="shared" si="762"/>
        <v>836.13419999999996</v>
      </c>
      <c r="BV197" s="269">
        <f t="shared" si="762"/>
        <v>857.66804999999977</v>
      </c>
      <c r="BW197" s="269">
        <f t="shared" si="762"/>
        <v>915.75285000000008</v>
      </c>
      <c r="BX197" s="269">
        <f t="shared" si="762"/>
        <v>933.81960000000004</v>
      </c>
      <c r="BY197" s="185"/>
      <c r="BZ197" s="269">
        <f t="shared" si="762"/>
        <v>889.32060000000001</v>
      </c>
      <c r="CA197" s="269">
        <f t="shared" si="762"/>
        <v>921.66930000000013</v>
      </c>
      <c r="CB197" s="269">
        <f t="shared" si="762"/>
        <v>958.83704999999986</v>
      </c>
      <c r="CC197" s="269">
        <f t="shared" si="762"/>
        <v>1022.5257</v>
      </c>
      <c r="CD197" s="185"/>
      <c r="CE197" s="269">
        <f t="shared" si="762"/>
        <v>1103.6392499999999</v>
      </c>
      <c r="CF197" s="269">
        <f t="shared" si="762"/>
        <v>1116.2447999999997</v>
      </c>
      <c r="CG197" s="269">
        <f t="shared" si="762"/>
        <v>1145.1394500000001</v>
      </c>
      <c r="CH197" s="269">
        <f t="shared" si="762"/>
        <v>1200.1828500000001</v>
      </c>
      <c r="CI197" s="185"/>
      <c r="CJ197" s="269">
        <f t="shared" si="762"/>
        <v>1291.8618000000001</v>
      </c>
      <c r="CK197" s="269">
        <f t="shared" si="762"/>
        <v>1356.3763499999998</v>
      </c>
      <c r="CL197" s="269">
        <f t="shared" si="762"/>
        <v>1429.2255</v>
      </c>
      <c r="CM197" s="269">
        <f t="shared" si="762"/>
        <v>1575.9841500000002</v>
      </c>
      <c r="CN197" s="185"/>
      <c r="CO197" s="269">
        <f t="shared" si="762"/>
        <v>1632.1702500000001</v>
      </c>
      <c r="CP197" s="269">
        <f t="shared" si="762"/>
        <v>1663.2936</v>
      </c>
      <c r="CQ197" s="185"/>
      <c r="CR197" s="185"/>
      <c r="CS197" s="185"/>
      <c r="CT197" s="185"/>
      <c r="CU197" s="185"/>
      <c r="CV197" s="185"/>
      <c r="CW197" s="185"/>
      <c r="CX197" s="159"/>
      <c r="CY197" s="159"/>
      <c r="CZ197" s="159"/>
      <c r="DA197" s="159"/>
      <c r="DB197" s="159"/>
      <c r="DC197" s="169"/>
      <c r="DD197" s="169"/>
      <c r="DE197" s="169"/>
      <c r="DF197" s="169"/>
      <c r="DG197" s="169"/>
      <c r="DH197" s="169"/>
    </row>
    <row r="198" spans="1:112">
      <c r="A198" s="226"/>
      <c r="B198" s="185"/>
      <c r="C198" s="185"/>
      <c r="D198" s="185"/>
      <c r="E198" s="185"/>
      <c r="F198" s="185"/>
      <c r="G198" s="185"/>
      <c r="H198" s="185"/>
      <c r="I198" s="185"/>
      <c r="J198" s="185"/>
      <c r="K198" s="185"/>
      <c r="L198" s="185"/>
      <c r="M198" s="185"/>
      <c r="N198" s="185"/>
      <c r="O198" s="185"/>
      <c r="P198" s="185"/>
      <c r="Q198" s="185"/>
      <c r="R198" s="185"/>
      <c r="S198" s="185"/>
      <c r="T198" s="185"/>
      <c r="U198" s="185"/>
      <c r="V198" s="185"/>
      <c r="W198" s="185"/>
      <c r="X198" s="185"/>
      <c r="Y198" s="185"/>
      <c r="Z198" s="185"/>
      <c r="AA198" s="185"/>
      <c r="AB198" s="185"/>
      <c r="AC198" s="185"/>
      <c r="AD198" s="185"/>
      <c r="AE198" s="185"/>
      <c r="AF198" s="185"/>
      <c r="AG198" s="185"/>
      <c r="AH198" s="185"/>
      <c r="AI198" s="185"/>
      <c r="AJ198" s="185"/>
      <c r="AK198" s="185"/>
      <c r="AL198" s="185"/>
      <c r="AM198" s="185"/>
      <c r="AN198" s="185"/>
      <c r="AO198" s="185"/>
      <c r="AP198" s="185"/>
      <c r="AQ198" s="185"/>
      <c r="AR198" s="185"/>
      <c r="AS198" s="185"/>
      <c r="AT198" s="185"/>
      <c r="AU198" s="185"/>
      <c r="AV198" s="185"/>
      <c r="AW198" s="185"/>
      <c r="AX198" s="185"/>
      <c r="AY198" s="185"/>
      <c r="AZ198" s="185"/>
      <c r="BA198" s="185"/>
      <c r="BB198" s="185"/>
      <c r="BC198" s="185"/>
      <c r="BD198" s="185"/>
      <c r="BE198" s="185"/>
      <c r="BF198" s="185"/>
      <c r="BG198" s="185"/>
      <c r="BH198" s="185"/>
      <c r="BI198" s="185"/>
      <c r="BJ198" s="185"/>
      <c r="BK198" s="185"/>
      <c r="BL198" s="185"/>
      <c r="BM198" s="185"/>
      <c r="BN198" s="185"/>
      <c r="BO198" s="185"/>
      <c r="BP198" s="185"/>
      <c r="BQ198" s="185"/>
      <c r="BR198" s="185"/>
      <c r="BS198" s="185"/>
      <c r="BT198" s="185"/>
      <c r="BU198" s="185"/>
      <c r="BV198" s="185"/>
      <c r="BW198" s="185"/>
      <c r="BX198" s="185"/>
      <c r="BY198" s="185"/>
      <c r="BZ198" s="185"/>
      <c r="CA198" s="185"/>
      <c r="CB198" s="185"/>
      <c r="CC198" s="185"/>
      <c r="CD198" s="185"/>
      <c r="CE198" s="185"/>
      <c r="CF198" s="185"/>
      <c r="CG198" s="185"/>
      <c r="CH198" s="185"/>
      <c r="CI198" s="185"/>
      <c r="CJ198" s="185"/>
      <c r="CK198" s="185"/>
      <c r="CL198" s="185"/>
      <c r="CM198" s="185"/>
      <c r="CN198" s="185"/>
      <c r="CO198" s="185"/>
      <c r="CP198" s="185"/>
      <c r="CQ198" s="185"/>
      <c r="CR198" s="185"/>
      <c r="CS198" s="185"/>
      <c r="CT198" s="185"/>
      <c r="CU198" s="185"/>
      <c r="CV198" s="185"/>
      <c r="CW198" s="185"/>
      <c r="CX198" s="159"/>
      <c r="CY198" s="159"/>
      <c r="CZ198" s="159"/>
      <c r="DA198" s="159"/>
      <c r="DB198" s="159"/>
      <c r="DC198" s="169"/>
      <c r="DD198" s="169"/>
      <c r="DE198" s="169"/>
      <c r="DF198" s="169"/>
      <c r="DG198" s="169"/>
      <c r="DH198" s="169"/>
    </row>
    <row r="199" spans="1:112">
      <c r="A199" s="226"/>
      <c r="B199" s="185"/>
      <c r="C199" s="185"/>
      <c r="D199" s="185"/>
      <c r="E199" s="185"/>
      <c r="F199" s="185"/>
      <c r="G199" s="185"/>
      <c r="H199" s="185"/>
      <c r="I199" s="185"/>
      <c r="J199" s="185"/>
      <c r="K199" s="185"/>
      <c r="L199" s="185"/>
      <c r="M199" s="185"/>
      <c r="N199" s="185"/>
      <c r="O199" s="185"/>
      <c r="P199" s="185"/>
      <c r="Q199" s="185"/>
      <c r="R199" s="185"/>
      <c r="S199" s="185"/>
      <c r="T199" s="185"/>
      <c r="U199" s="185"/>
      <c r="V199" s="185"/>
      <c r="W199" s="185"/>
      <c r="X199" s="185"/>
      <c r="Y199" s="185"/>
      <c r="Z199" s="185"/>
      <c r="AA199" s="185"/>
      <c r="AB199" s="185"/>
      <c r="AC199" s="185"/>
      <c r="AD199" s="185"/>
      <c r="AE199" s="185"/>
      <c r="AF199" s="185"/>
      <c r="AG199" s="185"/>
      <c r="AH199" s="185"/>
      <c r="AI199" s="185"/>
      <c r="AJ199" s="185"/>
      <c r="AK199" s="185"/>
      <c r="AL199" s="185"/>
      <c r="AM199" s="185"/>
      <c r="AN199" s="185"/>
      <c r="AO199" s="185"/>
      <c r="AP199" s="185"/>
      <c r="AQ199" s="185"/>
      <c r="AR199" s="185"/>
      <c r="AS199" s="185"/>
      <c r="AT199" s="185"/>
      <c r="AU199" s="185"/>
      <c r="AV199" s="185"/>
      <c r="AW199" s="185"/>
      <c r="AX199" s="185"/>
      <c r="AY199" s="185"/>
      <c r="AZ199" s="185"/>
      <c r="BA199" s="185"/>
      <c r="BB199" s="185"/>
      <c r="BC199" s="185"/>
      <c r="BD199" s="185"/>
      <c r="BE199" s="185"/>
      <c r="BF199" s="185"/>
      <c r="BG199" s="185"/>
      <c r="BH199" s="185"/>
      <c r="BI199" s="185"/>
      <c r="BJ199" s="185"/>
      <c r="BK199" s="185"/>
      <c r="BL199" s="185"/>
      <c r="BM199" s="185"/>
      <c r="BN199" s="185"/>
      <c r="BO199" s="185"/>
      <c r="BP199" s="185"/>
      <c r="BQ199" s="185"/>
      <c r="BR199" s="185"/>
      <c r="BS199" s="185"/>
      <c r="BT199" s="185"/>
      <c r="BU199" s="185"/>
      <c r="BV199" s="185"/>
      <c r="BW199" s="185"/>
      <c r="BX199" s="185"/>
      <c r="BY199" s="185"/>
      <c r="BZ199" s="185"/>
      <c r="CA199" s="185"/>
      <c r="CB199" s="185"/>
      <c r="CC199" s="185"/>
      <c r="CD199" s="185"/>
      <c r="CE199" s="185"/>
      <c r="CF199" s="185"/>
      <c r="CG199" s="185"/>
      <c r="CH199" s="185"/>
      <c r="CI199" s="185"/>
      <c r="CJ199" s="185"/>
      <c r="CK199" s="185"/>
      <c r="CL199" s="185"/>
      <c r="CM199" s="185"/>
      <c r="CN199" s="185"/>
      <c r="CO199" s="185"/>
      <c r="CP199" s="185"/>
      <c r="CQ199" s="185"/>
      <c r="CR199" s="185"/>
      <c r="CS199" s="185"/>
      <c r="CT199" s="185"/>
      <c r="CU199" s="185"/>
      <c r="CV199" s="185"/>
      <c r="CW199" s="185"/>
      <c r="CX199" s="159"/>
      <c r="CY199" s="159"/>
      <c r="CZ199" s="159"/>
      <c r="DA199" s="159"/>
      <c r="DB199" s="159"/>
      <c r="DC199" s="169"/>
      <c r="DD199" s="169"/>
      <c r="DE199" s="169"/>
      <c r="DF199" s="169"/>
      <c r="DG199" s="169"/>
      <c r="DH199" s="169"/>
    </row>
    <row r="200" spans="1:112">
      <c r="A200" s="226" t="s">
        <v>272</v>
      </c>
      <c r="B200" s="717"/>
      <c r="C200" s="717"/>
      <c r="D200" s="717"/>
      <c r="E200" s="717"/>
      <c r="F200" s="717"/>
      <c r="G200" s="717"/>
      <c r="H200" s="717"/>
      <c r="I200" s="717"/>
      <c r="J200" s="717"/>
      <c r="K200" s="717"/>
      <c r="L200" s="717"/>
      <c r="M200" s="717"/>
      <c r="N200" s="717"/>
      <c r="O200" s="717"/>
      <c r="P200" s="717"/>
      <c r="Q200" s="717"/>
      <c r="R200" s="717"/>
      <c r="S200" s="717"/>
      <c r="T200" s="717"/>
      <c r="U200" s="717"/>
      <c r="V200" s="717"/>
      <c r="W200" s="717"/>
      <c r="X200" s="717"/>
      <c r="Y200" s="717"/>
      <c r="Z200" s="717"/>
      <c r="AA200" s="717"/>
      <c r="AB200" s="699"/>
      <c r="AC200" s="699"/>
      <c r="AD200" s="699"/>
      <c r="AE200" s="699"/>
      <c r="AF200" s="699"/>
      <c r="AG200" s="699"/>
      <c r="AH200" s="699"/>
      <c r="AI200" s="699"/>
      <c r="AJ200" s="718">
        <v>8800</v>
      </c>
      <c r="AK200" s="718">
        <f>AJ200</f>
        <v>8800</v>
      </c>
      <c r="AL200" s="718">
        <v>9000</v>
      </c>
      <c r="AM200" s="718">
        <v>9100</v>
      </c>
      <c r="AN200" s="718">
        <v>9000</v>
      </c>
      <c r="AO200" s="718">
        <v>8800</v>
      </c>
      <c r="AP200" s="718">
        <f>AO200</f>
        <v>8800</v>
      </c>
      <c r="AQ200" s="718">
        <v>8500</v>
      </c>
      <c r="AR200" s="718">
        <v>8400</v>
      </c>
      <c r="AS200" s="718">
        <v>8500</v>
      </c>
      <c r="AT200" s="718">
        <v>8700</v>
      </c>
      <c r="AU200" s="710">
        <f>AT200</f>
        <v>8700</v>
      </c>
      <c r="AV200" s="710">
        <v>8600</v>
      </c>
      <c r="AW200" s="710">
        <f>'[3]Domestic Mobile Operations'!X$7</f>
        <v>8500</v>
      </c>
      <c r="AX200" s="710">
        <f>'[3]Domestic Mobile Operations'!Y$7</f>
        <v>8300</v>
      </c>
      <c r="AY200" s="710">
        <f>'[3]Domestic Mobile Operations'!Z$7</f>
        <v>8200</v>
      </c>
      <c r="AZ200" s="710">
        <f>AY200</f>
        <v>8200</v>
      </c>
      <c r="BA200" s="710">
        <f>'[3]Domestic Mobile Operations'!AA$7</f>
        <v>8000</v>
      </c>
      <c r="BB200" s="710">
        <f>'[3]Domestic Mobile Operations'!AB$7</f>
        <v>8200</v>
      </c>
      <c r="BC200" s="710">
        <f>'[3]Domestic Mobile Operations'!AC$7</f>
        <v>8300</v>
      </c>
      <c r="BD200" s="710">
        <f>'[3]Domestic Mobile Operations'!AD$7</f>
        <v>8400</v>
      </c>
      <c r="BE200" s="711">
        <f>BD200</f>
        <v>8400</v>
      </c>
      <c r="BF200" s="710">
        <f>'[3]Domestic Mobile Operations'!AE$7</f>
        <v>8400</v>
      </c>
      <c r="BG200" s="710">
        <f>'[3]Domestic Mobile Operations'!AF$7</f>
        <v>8400</v>
      </c>
      <c r="BH200" s="710">
        <f>'[3]Domestic Mobile Operations'!AG$7</f>
        <v>8500</v>
      </c>
      <c r="BI200" s="710">
        <f>'[3]Domestic Mobile Operations'!AH$7</f>
        <v>8700</v>
      </c>
      <c r="BJ200" s="711">
        <f>BI200</f>
        <v>8700</v>
      </c>
      <c r="BK200" s="710">
        <f>'[3]Domestic Mobile Operations'!AI$7</f>
        <v>8300</v>
      </c>
      <c r="BL200" s="710">
        <f>'[3]Domestic Mobile Operations'!AJ$7</f>
        <v>8400</v>
      </c>
      <c r="BM200" s="710">
        <f>'[3]Domestic Mobile Operations'!AK$7</f>
        <v>8600</v>
      </c>
      <c r="BN200" s="710">
        <f>'[3]Domestic Mobile Operations'!AL$7</f>
        <v>8800</v>
      </c>
      <c r="BO200" s="711">
        <f>BN200</f>
        <v>8800</v>
      </c>
      <c r="BP200" s="710">
        <f>'[3]Domestic Mobile Operations'!AM$7</f>
        <v>8900</v>
      </c>
      <c r="BQ200" s="710">
        <f>'[3]Domestic Mobile Operations'!AN$7</f>
        <v>8500</v>
      </c>
      <c r="BR200" s="710">
        <f>'[3]Domestic Mobile Operations'!AO$7</f>
        <v>8800</v>
      </c>
      <c r="BS200" s="710">
        <f>'[3]Domestic Mobile Operations'!AP$7</f>
        <v>8500</v>
      </c>
      <c r="BT200" s="711">
        <f>BS200</f>
        <v>8500</v>
      </c>
      <c r="BU200" s="719">
        <f>'[3]Domestic Mobile Operations'!AQ$7</f>
        <v>8500</v>
      </c>
      <c r="BV200" s="719">
        <f>'[3]Domestic Mobile Operations'!AR$7</f>
        <v>0</v>
      </c>
      <c r="BW200" s="719">
        <f>'[3]Domestic Mobile Operations'!AS$7</f>
        <v>0</v>
      </c>
      <c r="BX200" s="719">
        <f>'[3]Domestic Mobile Operations'!AT$7</f>
        <v>0</v>
      </c>
      <c r="BY200" s="711">
        <f>BX200</f>
        <v>0</v>
      </c>
      <c r="BZ200" s="719">
        <f>'[3]Domestic Mobile Operations'!AU$7</f>
        <v>0</v>
      </c>
      <c r="CA200" s="719">
        <f>'[3]Domestic Mobile Operations'!AV$7</f>
        <v>0</v>
      </c>
      <c r="CB200" s="719">
        <f>'[3]Domestic Mobile Operations'!AW$7</f>
        <v>0</v>
      </c>
      <c r="CC200" s="719">
        <f>'[3]Domestic Mobile Operations'!AX$7</f>
        <v>0</v>
      </c>
      <c r="CD200" s="711">
        <f>BY200*(1+CD201)</f>
        <v>0</v>
      </c>
      <c r="CE200" s="719">
        <f>'[3]Domestic Mobile Operations'!AY$7</f>
        <v>0</v>
      </c>
      <c r="CF200" s="719">
        <f>'[3]Domestic Mobile Operations'!AZ$7</f>
        <v>0</v>
      </c>
      <c r="CG200" s="719">
        <f>'[3]Domestic Mobile Operations'!BA$7</f>
        <v>0</v>
      </c>
      <c r="CH200" s="719">
        <f>'[3]Domestic Mobile Operations'!BB$7</f>
        <v>0</v>
      </c>
      <c r="CI200" s="711">
        <f>CD200*(1+CI201)</f>
        <v>0</v>
      </c>
      <c r="CJ200" s="719">
        <f>'[3]Domestic Mobile Operations'!BC$7</f>
        <v>0</v>
      </c>
      <c r="CK200" s="719">
        <f>'[3]Domestic Mobile Operations'!BD$7</f>
        <v>0</v>
      </c>
      <c r="CL200" s="719">
        <f>'[3]Domestic Mobile Operations'!BE$7</f>
        <v>0</v>
      </c>
      <c r="CM200" s="719">
        <f>'[3]Domestic Mobile Operations'!BF$7</f>
        <v>0</v>
      </c>
      <c r="CN200" s="711">
        <f>CI200*(1+CN201)</f>
        <v>0</v>
      </c>
      <c r="CO200" s="719">
        <f>'[3]Domestic Mobile Operations'!BG$7</f>
        <v>0</v>
      </c>
      <c r="CP200" s="719">
        <f>'[3]Domestic Mobile Operations'!BH$7</f>
        <v>0</v>
      </c>
      <c r="CQ200" s="711">
        <f>CN200*(1+CQ201)</f>
        <v>0</v>
      </c>
      <c r="CR200" s="711">
        <f t="shared" ref="CR200:CS200" si="763">CQ200*(1+CR201)</f>
        <v>0</v>
      </c>
      <c r="CS200" s="711">
        <f t="shared" si="763"/>
        <v>0</v>
      </c>
      <c r="CT200" s="711">
        <f t="shared" ref="CT200" si="764">CS200*(1+CT201)</f>
        <v>0</v>
      </c>
      <c r="CU200" s="711">
        <f t="shared" ref="CU200" si="765">CT200*(1+CU201)</f>
        <v>0</v>
      </c>
      <c r="CV200" s="711">
        <f t="shared" ref="CV200:CW200" si="766">CU200*(1+CV201)</f>
        <v>0</v>
      </c>
      <c r="CW200" s="711">
        <f t="shared" si="766"/>
        <v>0</v>
      </c>
      <c r="CX200" s="159"/>
      <c r="CY200" s="159"/>
      <c r="CZ200" s="159"/>
      <c r="DA200" s="159"/>
      <c r="DB200" s="159"/>
      <c r="DC200" s="169"/>
      <c r="DD200" s="169"/>
      <c r="DE200" s="169"/>
      <c r="DF200" s="169"/>
      <c r="DG200" s="169"/>
      <c r="DH200" s="169"/>
    </row>
    <row r="201" spans="1:112">
      <c r="A201" s="226" t="s">
        <v>270</v>
      </c>
      <c r="B201" s="185"/>
      <c r="C201" s="185"/>
      <c r="D201" s="185"/>
      <c r="E201" s="185"/>
      <c r="F201" s="185"/>
      <c r="G201" s="185"/>
      <c r="H201" s="185"/>
      <c r="I201" s="185"/>
      <c r="J201" s="185"/>
      <c r="K201" s="185"/>
      <c r="L201" s="185"/>
      <c r="M201" s="185"/>
      <c r="N201" s="185"/>
      <c r="O201" s="185"/>
      <c r="P201" s="185"/>
      <c r="Q201" s="185"/>
      <c r="R201" s="185"/>
      <c r="S201" s="185"/>
      <c r="T201" s="185"/>
      <c r="U201" s="185"/>
      <c r="V201" s="185"/>
      <c r="W201" s="185"/>
      <c r="X201" s="185"/>
      <c r="Y201" s="185"/>
      <c r="Z201" s="185"/>
      <c r="AA201" s="185"/>
      <c r="AB201" s="185"/>
      <c r="AC201" s="185"/>
      <c r="AD201" s="185"/>
      <c r="AE201" s="185"/>
      <c r="AF201" s="185"/>
      <c r="AG201" s="185"/>
      <c r="AH201" s="185"/>
      <c r="AI201" s="185"/>
      <c r="AJ201" s="185"/>
      <c r="AK201" s="185"/>
      <c r="AL201" s="185"/>
      <c r="AM201" s="185"/>
      <c r="AN201" s="185"/>
      <c r="AO201" s="185">
        <f t="shared" ref="AO201:AZ201" si="767">AO200/AJ200-1</f>
        <v>0</v>
      </c>
      <c r="AP201" s="185">
        <f t="shared" si="767"/>
        <v>0</v>
      </c>
      <c r="AQ201" s="185">
        <f t="shared" si="767"/>
        <v>-5.555555555555558E-2</v>
      </c>
      <c r="AR201" s="185">
        <f t="shared" si="767"/>
        <v>-7.6923076923076872E-2</v>
      </c>
      <c r="AS201" s="185">
        <f t="shared" si="767"/>
        <v>-5.555555555555558E-2</v>
      </c>
      <c r="AT201" s="185">
        <f t="shared" si="767"/>
        <v>-1.1363636363636354E-2</v>
      </c>
      <c r="AU201" s="185">
        <f t="shared" si="767"/>
        <v>-1.1363636363636354E-2</v>
      </c>
      <c r="AV201" s="185">
        <f t="shared" si="767"/>
        <v>1.1764705882352899E-2</v>
      </c>
      <c r="AW201" s="185">
        <f t="shared" si="767"/>
        <v>1.1904761904761862E-2</v>
      </c>
      <c r="AX201" s="185">
        <f t="shared" si="767"/>
        <v>-2.352941176470591E-2</v>
      </c>
      <c r="AY201" s="185">
        <f t="shared" si="767"/>
        <v>-5.7471264367816133E-2</v>
      </c>
      <c r="AZ201" s="185">
        <f t="shared" si="767"/>
        <v>-5.7471264367816133E-2</v>
      </c>
      <c r="BA201" s="185">
        <f t="shared" ref="BA201:CP201" si="768">BA200/AV200-1</f>
        <v>-6.9767441860465129E-2</v>
      </c>
      <c r="BB201" s="185">
        <f t="shared" si="768"/>
        <v>-3.5294117647058809E-2</v>
      </c>
      <c r="BC201" s="185">
        <f t="shared" si="768"/>
        <v>0</v>
      </c>
      <c r="BD201" s="185">
        <f t="shared" si="768"/>
        <v>2.4390243902439046E-2</v>
      </c>
      <c r="BE201" s="185">
        <f t="shared" si="768"/>
        <v>2.4390243902439046E-2</v>
      </c>
      <c r="BF201" s="185">
        <f t="shared" si="768"/>
        <v>5.0000000000000044E-2</v>
      </c>
      <c r="BG201" s="185">
        <f t="shared" si="768"/>
        <v>2.4390243902439046E-2</v>
      </c>
      <c r="BH201" s="185">
        <f t="shared" si="768"/>
        <v>2.4096385542168752E-2</v>
      </c>
      <c r="BI201" s="185">
        <f t="shared" si="768"/>
        <v>3.5714285714285809E-2</v>
      </c>
      <c r="BJ201" s="185">
        <f t="shared" si="768"/>
        <v>3.5714285714285809E-2</v>
      </c>
      <c r="BK201" s="185">
        <f t="shared" si="768"/>
        <v>-1.1904761904761862E-2</v>
      </c>
      <c r="BL201" s="185">
        <f t="shared" si="768"/>
        <v>0</v>
      </c>
      <c r="BM201" s="185">
        <f t="shared" si="768"/>
        <v>1.1764705882352899E-2</v>
      </c>
      <c r="BN201" s="185">
        <f t="shared" si="768"/>
        <v>1.1494252873563315E-2</v>
      </c>
      <c r="BO201" s="185">
        <f t="shared" si="768"/>
        <v>1.1494252873563315E-2</v>
      </c>
      <c r="BP201" s="185">
        <f t="shared" si="768"/>
        <v>7.2289156626506035E-2</v>
      </c>
      <c r="BQ201" s="185">
        <f t="shared" si="768"/>
        <v>1.1904761904761862E-2</v>
      </c>
      <c r="BR201" s="185">
        <f t="shared" si="768"/>
        <v>2.3255813953488413E-2</v>
      </c>
      <c r="BS201" s="185">
        <f t="shared" si="768"/>
        <v>-3.4090909090909061E-2</v>
      </c>
      <c r="BT201" s="185">
        <f t="shared" si="768"/>
        <v>-3.4090909090909061E-2</v>
      </c>
      <c r="BU201" s="185">
        <f t="shared" si="768"/>
        <v>-4.49438202247191E-2</v>
      </c>
      <c r="BV201" s="185">
        <f t="shared" si="768"/>
        <v>-1</v>
      </c>
      <c r="BW201" s="185">
        <f t="shared" si="768"/>
        <v>-1</v>
      </c>
      <c r="BX201" s="185">
        <f t="shared" si="768"/>
        <v>-1</v>
      </c>
      <c r="BY201" s="185">
        <f t="shared" si="768"/>
        <v>-1</v>
      </c>
      <c r="BZ201" s="185">
        <f t="shared" si="768"/>
        <v>-1</v>
      </c>
      <c r="CA201" s="185" t="e">
        <f t="shared" si="768"/>
        <v>#DIV/0!</v>
      </c>
      <c r="CB201" s="185" t="e">
        <f t="shared" si="768"/>
        <v>#DIV/0!</v>
      </c>
      <c r="CC201" s="185" t="e">
        <f t="shared" si="768"/>
        <v>#DIV/0!</v>
      </c>
      <c r="CD201" s="267">
        <v>0.01</v>
      </c>
      <c r="CE201" s="185" t="e">
        <f t="shared" si="768"/>
        <v>#DIV/0!</v>
      </c>
      <c r="CF201" s="185" t="e">
        <f t="shared" si="768"/>
        <v>#DIV/0!</v>
      </c>
      <c r="CG201" s="185" t="e">
        <f t="shared" si="768"/>
        <v>#DIV/0!</v>
      </c>
      <c r="CH201" s="185" t="e">
        <f t="shared" si="768"/>
        <v>#DIV/0!</v>
      </c>
      <c r="CI201" s="267">
        <v>0.01</v>
      </c>
      <c r="CJ201" s="185" t="e">
        <f t="shared" si="768"/>
        <v>#DIV/0!</v>
      </c>
      <c r="CK201" s="185" t="e">
        <f t="shared" si="768"/>
        <v>#DIV/0!</v>
      </c>
      <c r="CL201" s="185" t="e">
        <f t="shared" si="768"/>
        <v>#DIV/0!</v>
      </c>
      <c r="CM201" s="185" t="e">
        <f t="shared" si="768"/>
        <v>#DIV/0!</v>
      </c>
      <c r="CN201" s="267">
        <v>0.01</v>
      </c>
      <c r="CO201" s="185" t="e">
        <f t="shared" si="768"/>
        <v>#DIV/0!</v>
      </c>
      <c r="CP201" s="185" t="e">
        <f t="shared" si="768"/>
        <v>#DIV/0!</v>
      </c>
      <c r="CQ201" s="267">
        <v>0.01</v>
      </c>
      <c r="CR201" s="267">
        <v>0.01</v>
      </c>
      <c r="CS201" s="267">
        <v>0.01</v>
      </c>
      <c r="CT201" s="267">
        <v>0.01</v>
      </c>
      <c r="CU201" s="267">
        <v>0.01</v>
      </c>
      <c r="CV201" s="267">
        <v>0.01</v>
      </c>
      <c r="CW201" s="267">
        <v>0.01</v>
      </c>
      <c r="CX201" s="159"/>
      <c r="CY201" s="159"/>
      <c r="CZ201" s="159"/>
      <c r="DA201" s="159"/>
      <c r="DB201" s="159"/>
      <c r="DC201" s="169"/>
      <c r="DD201" s="169"/>
      <c r="DE201" s="169"/>
      <c r="DF201" s="169"/>
      <c r="DG201" s="169"/>
      <c r="DH201" s="169"/>
    </row>
    <row r="202" spans="1:112">
      <c r="A202" s="226"/>
      <c r="B202" s="185"/>
      <c r="C202" s="185"/>
      <c r="D202" s="185"/>
      <c r="E202" s="185"/>
      <c r="F202" s="185"/>
      <c r="G202" s="185"/>
      <c r="H202" s="185"/>
      <c r="I202" s="185"/>
      <c r="J202" s="185"/>
      <c r="K202" s="185"/>
      <c r="L202" s="185"/>
      <c r="M202" s="185"/>
      <c r="N202" s="185"/>
      <c r="O202" s="185"/>
      <c r="P202" s="185"/>
      <c r="Q202" s="185"/>
      <c r="R202" s="185"/>
      <c r="S202" s="185"/>
      <c r="T202" s="185"/>
      <c r="U202" s="185"/>
      <c r="V202" s="185"/>
      <c r="W202" s="185"/>
      <c r="X202" s="185"/>
      <c r="Y202" s="185"/>
      <c r="Z202" s="185"/>
      <c r="AA202" s="185"/>
      <c r="AB202" s="185"/>
      <c r="AC202" s="185"/>
      <c r="AD202" s="185"/>
      <c r="AE202" s="185"/>
      <c r="AF202" s="185"/>
      <c r="AG202" s="185"/>
      <c r="AH202" s="185"/>
      <c r="AI202" s="185"/>
      <c r="AJ202" s="185"/>
      <c r="AK202" s="185"/>
      <c r="AL202" s="185"/>
      <c r="AM202" s="185"/>
      <c r="AN202" s="185"/>
      <c r="AO202" s="185"/>
      <c r="AP202" s="185"/>
      <c r="AQ202" s="185"/>
      <c r="AR202" s="185"/>
      <c r="AS202" s="185"/>
      <c r="AT202" s="185"/>
      <c r="AU202" s="185"/>
      <c r="AV202" s="185"/>
      <c r="AW202" s="185"/>
      <c r="AX202" s="185"/>
      <c r="AY202" s="185"/>
      <c r="AZ202" s="185"/>
      <c r="BA202" s="185"/>
      <c r="BB202" s="185"/>
      <c r="BC202" s="185"/>
      <c r="BD202" s="185"/>
      <c r="BE202" s="185"/>
      <c r="BF202" s="185"/>
      <c r="BG202" s="185"/>
      <c r="BH202" s="185"/>
      <c r="BI202" s="185"/>
      <c r="BJ202" s="185"/>
      <c r="BK202" s="185"/>
      <c r="BL202" s="185"/>
      <c r="BM202" s="185"/>
      <c r="BN202" s="185"/>
      <c r="BO202" s="185"/>
      <c r="BP202" s="185"/>
      <c r="BQ202" s="185"/>
      <c r="BR202" s="185"/>
      <c r="BS202" s="185"/>
      <c r="BT202" s="185"/>
      <c r="BU202" s="185"/>
      <c r="BV202" s="185"/>
      <c r="BW202" s="185"/>
      <c r="BX202" s="185"/>
      <c r="BY202" s="185"/>
      <c r="BZ202" s="185"/>
      <c r="CA202" s="185"/>
      <c r="CB202" s="185"/>
      <c r="CC202" s="185"/>
      <c r="CD202" s="185"/>
      <c r="CE202" s="185"/>
      <c r="CF202" s="185"/>
      <c r="CG202" s="185"/>
      <c r="CH202" s="185"/>
      <c r="CI202" s="185"/>
      <c r="CJ202" s="185"/>
      <c r="CK202" s="185"/>
      <c r="CL202" s="185"/>
      <c r="CM202" s="185"/>
      <c r="CN202" s="185"/>
      <c r="CO202" s="185"/>
      <c r="CP202" s="185"/>
      <c r="CQ202" s="185"/>
      <c r="CR202" s="185"/>
      <c r="CS202" s="185"/>
      <c r="CT202" s="185"/>
      <c r="CU202" s="185"/>
      <c r="CV202" s="185"/>
      <c r="CW202" s="185"/>
      <c r="CX202" s="159"/>
      <c r="CY202" s="159"/>
      <c r="CZ202" s="159"/>
      <c r="DA202" s="159"/>
      <c r="DB202" s="159"/>
      <c r="DC202" s="169"/>
      <c r="DD202" s="169"/>
      <c r="DE202" s="169"/>
      <c r="DF202" s="169"/>
      <c r="DG202" s="169"/>
      <c r="DH202" s="169"/>
    </row>
    <row r="203" spans="1:112">
      <c r="A203" s="226" t="s">
        <v>602</v>
      </c>
      <c r="B203" s="185"/>
      <c r="C203" s="185"/>
      <c r="D203" s="185"/>
      <c r="E203" s="185"/>
      <c r="F203" s="185"/>
      <c r="G203" s="185"/>
      <c r="H203" s="185"/>
      <c r="I203" s="185"/>
      <c r="J203" s="185"/>
      <c r="K203" s="185"/>
      <c r="L203" s="185"/>
      <c r="M203" s="185"/>
      <c r="N203" s="185"/>
      <c r="O203" s="185"/>
      <c r="P203" s="185"/>
      <c r="Q203" s="185"/>
      <c r="R203" s="185"/>
      <c r="S203" s="185"/>
      <c r="T203" s="185"/>
      <c r="U203" s="185"/>
      <c r="V203" s="185"/>
      <c r="W203" s="185"/>
      <c r="X203" s="185"/>
      <c r="Y203" s="185"/>
      <c r="Z203" s="185"/>
      <c r="AA203" s="185"/>
      <c r="AB203" s="185"/>
      <c r="AC203" s="185"/>
      <c r="AD203" s="185"/>
      <c r="AE203" s="185"/>
      <c r="AF203" s="185"/>
      <c r="AG203" s="185"/>
      <c r="AH203" s="185"/>
      <c r="AI203" s="185"/>
      <c r="AJ203" s="185"/>
      <c r="AK203" s="185"/>
      <c r="AL203" s="185"/>
      <c r="AM203" s="185"/>
      <c r="AN203" s="185"/>
      <c r="AO203" s="270">
        <f>'[3]Domestic Mobile Operations'!R$37</f>
        <v>0</v>
      </c>
      <c r="AP203" s="267"/>
      <c r="AQ203" s="270">
        <f>'[3]Domestic Mobile Operations'!S$38</f>
        <v>1.63</v>
      </c>
      <c r="AR203" s="270">
        <f>'[3]Domestic Mobile Operations'!T$38</f>
        <v>2.21</v>
      </c>
      <c r="AS203" s="270">
        <f>'[3]Domestic Mobile Operations'!U$38</f>
        <v>2.84</v>
      </c>
      <c r="AT203" s="270">
        <f>'[3]Domestic Mobile Operations'!V$38</f>
        <v>3.66</v>
      </c>
      <c r="AU203" s="270">
        <f>AU191*1000/AVERAGE(AU200,AT200)/AU182</f>
        <v>2.7142337164750958</v>
      </c>
      <c r="AV203" s="270">
        <f>'[3]Domestic Mobile Operations'!W$38</f>
        <v>4.29</v>
      </c>
      <c r="AW203" s="270">
        <f>'[3]Domestic Mobile Operations'!X$38</f>
        <v>5.0199999999999996</v>
      </c>
      <c r="AX203" s="270">
        <f>'[3]Domestic Mobile Operations'!Y$38</f>
        <v>5.59</v>
      </c>
      <c r="AY203" s="270">
        <f>'[3]Domestic Mobile Operations'!Z$38</f>
        <v>6.72</v>
      </c>
      <c r="AZ203" s="185"/>
      <c r="BA203" s="270">
        <f>'[3]Domestic Mobile Operations'!AA$38</f>
        <v>7.65</v>
      </c>
      <c r="BB203" s="270">
        <f>'[3]Domestic Mobile Operations'!AB$38</f>
        <v>9.08</v>
      </c>
      <c r="BC203" s="270">
        <f>'[3]Domestic Mobile Operations'!AC$38</f>
        <v>10.67</v>
      </c>
      <c r="BD203" s="270">
        <f>'[3]Domestic Mobile Operations'!AD$38</f>
        <v>10.92</v>
      </c>
      <c r="BE203" s="185"/>
      <c r="BF203" s="270">
        <f>'[3]Domestic Mobile Operations'!AE$38</f>
        <v>11.7</v>
      </c>
      <c r="BG203" s="270">
        <f>'[3]Domestic Mobile Operations'!AF$38</f>
        <v>13.67</v>
      </c>
      <c r="BH203" s="270">
        <f>'[3]Domestic Mobile Operations'!AG$38</f>
        <v>15.16</v>
      </c>
      <c r="BI203" s="270">
        <f>'[3]Domestic Mobile Operations'!AH$38</f>
        <v>14.99</v>
      </c>
      <c r="BJ203" s="185"/>
      <c r="BK203" s="270">
        <f>'[3]Domestic Mobile Operations'!AI$38</f>
        <v>16.809999999999999</v>
      </c>
      <c r="BL203" s="270">
        <f>'[3]Domestic Mobile Operations'!AJ$38</f>
        <v>21.07</v>
      </c>
      <c r="BM203" s="270">
        <f>'[3]Domestic Mobile Operations'!AK$38</f>
        <v>19.489999999999998</v>
      </c>
      <c r="BN203" s="270">
        <f>'[3]Domestic Mobile Operations'!AL$38</f>
        <v>20.75</v>
      </c>
      <c r="BO203" s="185"/>
      <c r="BP203" s="270">
        <f>'[3]Domestic Mobile Operations'!AM$38</f>
        <v>21.58</v>
      </c>
      <c r="BQ203" s="270">
        <f>'[3]Domestic Mobile Operations'!AN$38</f>
        <v>24.4</v>
      </c>
      <c r="BR203" s="270">
        <f>'[3]Domestic Mobile Operations'!AO$38</f>
        <v>24.97</v>
      </c>
      <c r="BS203" s="270">
        <f>'[3]Domestic Mobile Operations'!AP$38</f>
        <v>24.4</v>
      </c>
      <c r="BT203" s="185"/>
      <c r="BU203" s="270">
        <f>'[3]Domestic Mobile Operations'!AQ$38</f>
        <v>24.2</v>
      </c>
      <c r="BV203" s="270">
        <f>'[3]Domestic Mobile Operations'!AR$38</f>
        <v>24.9</v>
      </c>
      <c r="BW203" s="270">
        <f>'[3]Domestic Mobile Operations'!AS$38</f>
        <v>26.3</v>
      </c>
      <c r="BX203" s="270">
        <f>'[3]Domestic Mobile Operations'!AT$38</f>
        <v>26.6</v>
      </c>
      <c r="BY203" s="185"/>
      <c r="BZ203" s="270">
        <f>'[3]Domestic Mobile Operations'!AU$38</f>
        <v>25.2</v>
      </c>
      <c r="CA203" s="270">
        <f>'[3]Domestic Mobile Operations'!AV$38</f>
        <v>26.1</v>
      </c>
      <c r="CB203" s="270">
        <f>'[3]Domestic Mobile Operations'!AW$38</f>
        <v>26.9</v>
      </c>
      <c r="CC203" s="270">
        <f>'[3]Domestic Mobile Operations'!AX$38</f>
        <v>27.8</v>
      </c>
      <c r="CD203" s="185"/>
      <c r="CE203" s="270">
        <f>'[3]Domestic Mobile Operations'!AY$38</f>
        <v>29.5</v>
      </c>
      <c r="CF203" s="270">
        <f>'[3]Domestic Mobile Operations'!AZ$38</f>
        <v>29.7</v>
      </c>
      <c r="CG203" s="270">
        <f>'[3]Domestic Mobile Operations'!BA$38</f>
        <v>30.1</v>
      </c>
      <c r="CH203" s="270">
        <f>'[3]Domestic Mobile Operations'!BB$38</f>
        <v>31.3</v>
      </c>
      <c r="CI203" s="185"/>
      <c r="CJ203" s="270">
        <f>'[3]Domestic Mobile Operations'!BC$38</f>
        <v>33.200000000000003</v>
      </c>
      <c r="CK203" s="270">
        <f>'[3]Domestic Mobile Operations'!BD$38</f>
        <v>34.299999999999997</v>
      </c>
      <c r="CL203" s="270">
        <f>'[3]Domestic Mobile Operations'!BE$38</f>
        <v>35.799999999999997</v>
      </c>
      <c r="CM203" s="270">
        <f>'[3]Domestic Mobile Operations'!BF$38</f>
        <v>39.1</v>
      </c>
      <c r="CN203" s="185"/>
      <c r="CO203" s="270">
        <f>'[3]Domestic Mobile Operations'!BG$38</f>
        <v>40.1</v>
      </c>
      <c r="CP203" s="270">
        <f>'[3]Domestic Mobile Operations'!BH$38</f>
        <v>40.799999999999997</v>
      </c>
      <c r="CQ203" s="185"/>
      <c r="CR203" s="185"/>
      <c r="CS203" s="185"/>
      <c r="CT203" s="185"/>
      <c r="CU203" s="185"/>
      <c r="CV203" s="185"/>
      <c r="CW203" s="185"/>
      <c r="CX203" s="159"/>
      <c r="CY203" s="159"/>
      <c r="CZ203" s="159"/>
      <c r="DA203" s="159"/>
      <c r="DB203" s="159"/>
      <c r="DC203" s="169"/>
      <c r="DD203" s="169"/>
      <c r="DE203" s="169"/>
      <c r="DF203" s="169"/>
      <c r="DG203" s="169"/>
      <c r="DH203" s="169"/>
    </row>
    <row r="204" spans="1:112">
      <c r="A204" s="226" t="s">
        <v>532</v>
      </c>
      <c r="B204" s="185"/>
      <c r="C204" s="185"/>
      <c r="D204" s="185"/>
      <c r="E204" s="185"/>
      <c r="F204" s="185"/>
      <c r="G204" s="185"/>
      <c r="H204" s="185"/>
      <c r="I204" s="185"/>
      <c r="J204" s="185"/>
      <c r="K204" s="185"/>
      <c r="L204" s="185"/>
      <c r="M204" s="185"/>
      <c r="N204" s="185"/>
      <c r="O204" s="185"/>
      <c r="P204" s="185"/>
      <c r="Q204" s="185"/>
      <c r="R204" s="185"/>
      <c r="S204" s="185"/>
      <c r="T204" s="185"/>
      <c r="U204" s="185"/>
      <c r="V204" s="185"/>
      <c r="W204" s="185"/>
      <c r="X204" s="185"/>
      <c r="Y204" s="185"/>
      <c r="Z204" s="185"/>
      <c r="AA204" s="185"/>
      <c r="AB204" s="185"/>
      <c r="AC204" s="185"/>
      <c r="AD204" s="185"/>
      <c r="AE204" s="185"/>
      <c r="AF204" s="185"/>
      <c r="AG204" s="185"/>
      <c r="AH204" s="185"/>
      <c r="AI204" s="185"/>
      <c r="AJ204" s="185"/>
      <c r="AK204" s="185"/>
      <c r="AL204" s="185"/>
      <c r="AM204" s="185"/>
      <c r="AN204" s="185"/>
      <c r="AO204" s="185"/>
      <c r="AP204" s="185"/>
      <c r="AQ204" s="185"/>
      <c r="AR204" s="185"/>
      <c r="AS204" s="185"/>
      <c r="AT204" s="185"/>
      <c r="AU204" s="271"/>
      <c r="AV204" s="185">
        <f>AV203/AQ203-1</f>
        <v>1.6319018404907979</v>
      </c>
      <c r="AW204" s="185">
        <f>AW203/AR203-1</f>
        <v>1.2714932126696832</v>
      </c>
      <c r="AX204" s="185">
        <f>AX203/AS203-1</f>
        <v>0.96830985915492973</v>
      </c>
      <c r="AY204" s="185">
        <f>AY203/AT203-1</f>
        <v>0.83606557377049162</v>
      </c>
      <c r="AZ204" s="185"/>
      <c r="BA204" s="185">
        <f>BA203/AV203-1</f>
        <v>0.78321678321678334</v>
      </c>
      <c r="BB204" s="185">
        <f>BB203/AW203-1</f>
        <v>0.80876494023904399</v>
      </c>
      <c r="BC204" s="185">
        <f>BC203/AX203-1</f>
        <v>0.90876565295169942</v>
      </c>
      <c r="BD204" s="185">
        <f>BD203/AY203-1</f>
        <v>0.625</v>
      </c>
      <c r="BE204" s="185"/>
      <c r="BF204" s="185">
        <f>BF203/BA203-1</f>
        <v>0.52941176470588225</v>
      </c>
      <c r="BG204" s="185">
        <f>BG203/BB203-1</f>
        <v>0.50550660792951541</v>
      </c>
      <c r="BH204" s="185">
        <f>BH203/BC203-1</f>
        <v>0.42080599812558583</v>
      </c>
      <c r="BI204" s="185">
        <f>BI203/BD203-1</f>
        <v>0.37271062271062272</v>
      </c>
      <c r="BJ204" s="185"/>
      <c r="BK204" s="185">
        <f>BK203/BF203-1</f>
        <v>0.43675213675213675</v>
      </c>
      <c r="BL204" s="185">
        <f>BL203/BG203-1</f>
        <v>0.54133138258961222</v>
      </c>
      <c r="BM204" s="185">
        <f>BM203/BH203-1</f>
        <v>0.28562005277044844</v>
      </c>
      <c r="BN204" s="185">
        <f>BN203/BI203-1</f>
        <v>0.38425617078052032</v>
      </c>
      <c r="BO204" s="185"/>
      <c r="BP204" s="185">
        <f>BP203/BK203-1</f>
        <v>0.28375966686496135</v>
      </c>
      <c r="BQ204" s="185">
        <f>BQ203/BL203-1</f>
        <v>0.15804461319411467</v>
      </c>
      <c r="BR204" s="185">
        <f>BR203/BM203-1</f>
        <v>0.28116983068240131</v>
      </c>
      <c r="BS204" s="185">
        <f>BS203/BN203-1</f>
        <v>0.1759036144578312</v>
      </c>
      <c r="BT204" s="185"/>
      <c r="BU204" s="185">
        <f>BU203/BP203-1</f>
        <v>0.12140871177015766</v>
      </c>
      <c r="BV204" s="185">
        <f>BV203/BQ203-1</f>
        <v>2.0491803278688492E-2</v>
      </c>
      <c r="BW204" s="185">
        <f>BW203/BR203-1</f>
        <v>5.3263916700040159E-2</v>
      </c>
      <c r="BX204" s="185">
        <f>BX203/BS203-1</f>
        <v>9.0163934426229719E-2</v>
      </c>
      <c r="BY204" s="185"/>
      <c r="BZ204" s="185">
        <f>BZ203/BU203-1</f>
        <v>4.1322314049586861E-2</v>
      </c>
      <c r="CA204" s="185">
        <f>CA203/BV203-1</f>
        <v>4.8192771084337505E-2</v>
      </c>
      <c r="CB204" s="185">
        <f>CB203/BW203-1</f>
        <v>2.281368821292773E-2</v>
      </c>
      <c r="CC204" s="185">
        <f>CC203/BX203-1</f>
        <v>4.5112781954887105E-2</v>
      </c>
      <c r="CD204" s="185"/>
      <c r="CE204" s="185">
        <f>CE203/BZ203-1</f>
        <v>0.17063492063492069</v>
      </c>
      <c r="CF204" s="185">
        <f>CF203/CA203-1</f>
        <v>0.13793103448275845</v>
      </c>
      <c r="CG204" s="185">
        <f>CG203/CB203-1</f>
        <v>0.11895910780669161</v>
      </c>
      <c r="CH204" s="185">
        <f>CH203/CC203-1</f>
        <v>0.12589928057553967</v>
      </c>
      <c r="CI204" s="185"/>
      <c r="CJ204" s="185">
        <f>CJ203/CE203-1</f>
        <v>0.12542372881355934</v>
      </c>
      <c r="CK204" s="185">
        <f>CK203/CF203-1</f>
        <v>0.15488215488215484</v>
      </c>
      <c r="CL204" s="185">
        <f>CL203/CG203-1</f>
        <v>0.1893687707641194</v>
      </c>
      <c r="CM204" s="185">
        <f>CM203/CH203-1</f>
        <v>0.24920127795527147</v>
      </c>
      <c r="CN204" s="185"/>
      <c r="CO204" s="185">
        <f>CO203/CJ203-1</f>
        <v>0.20783132530120474</v>
      </c>
      <c r="CP204" s="185">
        <f>CP203/CK203-1</f>
        <v>0.18950437317784252</v>
      </c>
      <c r="CQ204" s="185"/>
      <c r="CR204" s="185"/>
      <c r="CS204" s="185"/>
      <c r="CT204" s="185"/>
      <c r="CU204" s="185"/>
      <c r="CV204" s="185"/>
      <c r="CW204" s="185"/>
      <c r="CX204" s="159"/>
      <c r="CY204" s="159"/>
      <c r="CZ204" s="159"/>
      <c r="DA204" s="159"/>
      <c r="DB204" s="159"/>
      <c r="DC204" s="169"/>
      <c r="DD204" s="169"/>
      <c r="DE204" s="169"/>
      <c r="DF204" s="169"/>
      <c r="DG204" s="169"/>
      <c r="DH204" s="169"/>
    </row>
    <row r="205" spans="1:112">
      <c r="A205" s="226" t="s">
        <v>531</v>
      </c>
      <c r="B205" s="185"/>
      <c r="C205" s="185"/>
      <c r="D205" s="185"/>
      <c r="E205" s="185"/>
      <c r="F205" s="185"/>
      <c r="G205" s="185"/>
      <c r="H205" s="185"/>
      <c r="I205" s="185"/>
      <c r="J205" s="185"/>
      <c r="K205" s="185"/>
      <c r="L205" s="185"/>
      <c r="M205" s="185"/>
      <c r="N205" s="185"/>
      <c r="O205" s="185"/>
      <c r="P205" s="185"/>
      <c r="Q205" s="185"/>
      <c r="R205" s="185"/>
      <c r="S205" s="185"/>
      <c r="T205" s="185"/>
      <c r="U205" s="185"/>
      <c r="V205" s="185"/>
      <c r="W205" s="185"/>
      <c r="X205" s="185"/>
      <c r="Y205" s="185"/>
      <c r="Z205" s="185"/>
      <c r="AA205" s="185"/>
      <c r="AB205" s="185"/>
      <c r="AC205" s="185"/>
      <c r="AD205" s="185"/>
      <c r="AE205" s="185"/>
      <c r="AF205" s="185"/>
      <c r="AG205" s="185"/>
      <c r="AH205" s="185"/>
      <c r="AI205" s="185"/>
      <c r="AJ205" s="185"/>
      <c r="AK205" s="185"/>
      <c r="AL205" s="185"/>
      <c r="AM205" s="185"/>
      <c r="AN205" s="185"/>
      <c r="AO205" s="270">
        <v>1.88</v>
      </c>
      <c r="AP205" s="270"/>
      <c r="AQ205" s="270">
        <v>1.93</v>
      </c>
      <c r="AR205" s="270">
        <v>2.95</v>
      </c>
      <c r="AS205" s="270">
        <v>3.67</v>
      </c>
      <c r="AT205" s="270">
        <v>4.93</v>
      </c>
      <c r="AU205" s="272">
        <f>AVERAGE(AQ205:AT205)</f>
        <v>3.37</v>
      </c>
      <c r="AV205" s="272">
        <v>6.2</v>
      </c>
      <c r="AW205" s="272">
        <f>'[3]Domestic Mobile Operations'!X$40</f>
        <v>7.13</v>
      </c>
      <c r="AX205" s="272">
        <f>'[3]Domestic Mobile Operations'!Y$40</f>
        <v>7.75</v>
      </c>
      <c r="AY205" s="272">
        <f>'[3]Domestic Mobile Operations'!Z$40</f>
        <v>8.8800000000000008</v>
      </c>
      <c r="AZ205" s="185"/>
      <c r="BA205" s="272">
        <f>'[3]Domestic Mobile Operations'!AA$40</f>
        <v>9.8800000000000008</v>
      </c>
      <c r="BB205" s="272">
        <f>'[3]Domestic Mobile Operations'!AB$40</f>
        <v>11.17</v>
      </c>
      <c r="BC205" s="272">
        <f>'[3]Domestic Mobile Operations'!AC$40</f>
        <v>11.66</v>
      </c>
      <c r="BD205" s="272">
        <f>'[3]Domestic Mobile Operations'!AD$40</f>
        <v>12.16</v>
      </c>
      <c r="BE205" s="185"/>
      <c r="BF205" s="272">
        <f>'[3]Domestic Mobile Operations'!AE$40</f>
        <v>12.17</v>
      </c>
      <c r="BG205" s="272">
        <f>'[3]Domestic Mobile Operations'!AF$40</f>
        <v>13.59</v>
      </c>
      <c r="BH205" s="272">
        <f>'[3]Domestic Mobile Operations'!AG$40</f>
        <v>15.06</v>
      </c>
      <c r="BI205" s="272">
        <f>'[3]Domestic Mobile Operations'!AH$40</f>
        <v>15.42</v>
      </c>
      <c r="BJ205" s="185"/>
      <c r="BK205" s="272">
        <f>'[3]Domestic Mobile Operations'!AI$40</f>
        <v>16.68</v>
      </c>
      <c r="BL205" s="272">
        <f>'[3]Domestic Mobile Operations'!AJ$40</f>
        <v>18.62</v>
      </c>
      <c r="BM205" s="272">
        <f>'[3]Domestic Mobile Operations'!AK$40</f>
        <v>20.21</v>
      </c>
      <c r="BN205" s="272">
        <f>'[3]Domestic Mobile Operations'!AL$40</f>
        <v>23.33</v>
      </c>
      <c r="BO205" s="185"/>
      <c r="BP205" s="272">
        <f>'[3]Domestic Mobile Operations'!AM$40</f>
        <v>22.81</v>
      </c>
      <c r="BQ205" s="272">
        <f>'[3]Domestic Mobile Operations'!AN$40</f>
        <v>25.59</v>
      </c>
      <c r="BR205" s="272">
        <f>'[3]Domestic Mobile Operations'!AO$40</f>
        <v>28.04</v>
      </c>
      <c r="BS205" s="272">
        <f>'[3]Domestic Mobile Operations'!AP$40</f>
        <v>27.4</v>
      </c>
      <c r="BT205" s="185"/>
      <c r="BU205" s="273">
        <f>'[3]Domestic Mobile Operations'!AQ$40</f>
        <v>27.2</v>
      </c>
      <c r="BV205" s="273">
        <f>'[3]Domestic Mobile Operations'!AR$40</f>
        <v>27.9</v>
      </c>
      <c r="BW205" s="273">
        <f>'[3]Domestic Mobile Operations'!AS$40</f>
        <v>29.1</v>
      </c>
      <c r="BX205" s="273">
        <f>'[3]Domestic Mobile Operations'!AT$40</f>
        <v>29.3</v>
      </c>
      <c r="BY205" s="185"/>
      <c r="BZ205" s="273">
        <f>'[3]Domestic Mobile Operations'!AU$40</f>
        <v>27.5</v>
      </c>
      <c r="CA205" s="273">
        <f>'[3]Domestic Mobile Operations'!AV$40</f>
        <v>28.4</v>
      </c>
      <c r="CB205" s="273">
        <f>'[3]Domestic Mobile Operations'!AW$40</f>
        <v>29.5</v>
      </c>
      <c r="CC205" s="273">
        <f>'[3]Domestic Mobile Operations'!AX$40</f>
        <v>30.4</v>
      </c>
      <c r="CD205" s="185"/>
      <c r="CE205" s="273">
        <f>'[3]Domestic Mobile Operations'!AY$40</f>
        <v>32</v>
      </c>
      <c r="CF205" s="273">
        <f>'[3]Domestic Mobile Operations'!AZ$40</f>
        <v>32.5</v>
      </c>
      <c r="CG205" s="273">
        <f>'[3]Domestic Mobile Operations'!BA$40</f>
        <v>32.799999999999997</v>
      </c>
      <c r="CH205" s="273">
        <f>'[3]Domestic Mobile Operations'!BB$40</f>
        <v>33.799999999999997</v>
      </c>
      <c r="CI205" s="185"/>
      <c r="CJ205" s="273">
        <f>'[3]Domestic Mobile Operations'!BC$40</f>
        <v>35</v>
      </c>
      <c r="CK205" s="273">
        <f>'[3]Domestic Mobile Operations'!BD$40</f>
        <v>36.6</v>
      </c>
      <c r="CL205" s="273">
        <f>'[3]Domestic Mobile Operations'!BE$40</f>
        <v>38.4</v>
      </c>
      <c r="CM205" s="273">
        <f>'[3]Domestic Mobile Operations'!BF$40</f>
        <v>42</v>
      </c>
      <c r="CN205" s="185"/>
      <c r="CO205" s="273">
        <f>'[3]Domestic Mobile Operations'!BG$40</f>
        <v>42.6</v>
      </c>
      <c r="CP205" s="273">
        <f>'[3]Domestic Mobile Operations'!BH$40</f>
        <v>44.8</v>
      </c>
      <c r="CQ205" s="185"/>
      <c r="CR205" s="185"/>
      <c r="CS205" s="185"/>
      <c r="CT205" s="185"/>
      <c r="CU205" s="185"/>
      <c r="CV205" s="185"/>
      <c r="CW205" s="185"/>
      <c r="CX205" s="159"/>
      <c r="CY205" s="159"/>
      <c r="CZ205" s="159"/>
      <c r="DA205" s="159"/>
      <c r="DB205" s="159"/>
      <c r="DC205" s="169"/>
      <c r="DD205" s="169"/>
      <c r="DE205" s="169"/>
      <c r="DF205" s="169"/>
      <c r="DG205" s="169"/>
      <c r="DH205" s="169"/>
    </row>
    <row r="206" spans="1:112">
      <c r="A206" s="226"/>
      <c r="B206" s="185"/>
      <c r="C206" s="185"/>
      <c r="D206" s="185"/>
      <c r="E206" s="185"/>
      <c r="F206" s="185"/>
      <c r="G206" s="185"/>
      <c r="H206" s="185"/>
      <c r="I206" s="185"/>
      <c r="J206" s="185"/>
      <c r="K206" s="185"/>
      <c r="L206" s="185"/>
      <c r="M206" s="185"/>
      <c r="N206" s="185"/>
      <c r="O206" s="185"/>
      <c r="P206" s="185"/>
      <c r="Q206" s="185"/>
      <c r="R206" s="185"/>
      <c r="S206" s="185"/>
      <c r="T206" s="185"/>
      <c r="U206" s="185"/>
      <c r="V206" s="185"/>
      <c r="W206" s="185"/>
      <c r="X206" s="185"/>
      <c r="Y206" s="185"/>
      <c r="Z206" s="185"/>
      <c r="AA206" s="185"/>
      <c r="AB206" s="185"/>
      <c r="AC206" s="185"/>
      <c r="AD206" s="185"/>
      <c r="AE206" s="185"/>
      <c r="AF206" s="185"/>
      <c r="AG206" s="185"/>
      <c r="AH206" s="185"/>
      <c r="AI206" s="185"/>
      <c r="AJ206" s="185"/>
      <c r="AK206" s="185"/>
      <c r="AL206" s="185"/>
      <c r="AM206" s="185"/>
      <c r="AN206" s="185"/>
      <c r="AO206" s="185"/>
      <c r="AP206" s="185"/>
      <c r="AQ206" s="185"/>
      <c r="AR206" s="185"/>
      <c r="AS206" s="185"/>
      <c r="AT206" s="185">
        <f t="shared" ref="AT206:AY206" si="769">AT205/AO205-1</f>
        <v>1.6223404255319149</v>
      </c>
      <c r="AU206" s="185" t="e">
        <f t="shared" si="769"/>
        <v>#DIV/0!</v>
      </c>
      <c r="AV206" s="185">
        <f t="shared" si="769"/>
        <v>2.2124352331606221</v>
      </c>
      <c r="AW206" s="185">
        <f t="shared" si="769"/>
        <v>1.4169491525423727</v>
      </c>
      <c r="AX206" s="185">
        <f t="shared" si="769"/>
        <v>1.111716621253406</v>
      </c>
      <c r="AY206" s="185">
        <f t="shared" si="769"/>
        <v>0.80121703853955406</v>
      </c>
      <c r="AZ206" s="185"/>
      <c r="BA206" s="185">
        <f>BA205/AV205-1</f>
        <v>0.59354838709677438</v>
      </c>
      <c r="BB206" s="185">
        <f>BB205/AW205-1</f>
        <v>0.56661991584852744</v>
      </c>
      <c r="BC206" s="185">
        <f>BC205/AX205-1</f>
        <v>0.50451612903225818</v>
      </c>
      <c r="BD206" s="185">
        <f>BD205/AY205-1</f>
        <v>0.36936936936936937</v>
      </c>
      <c r="BE206" s="185"/>
      <c r="BF206" s="185">
        <f>BF205/BA205-1</f>
        <v>0.23178137651821862</v>
      </c>
      <c r="BG206" s="185">
        <f>BG205/BB205-1</f>
        <v>0.21665174574753809</v>
      </c>
      <c r="BH206" s="185">
        <f>BH205/BC205-1</f>
        <v>0.29159519725557459</v>
      </c>
      <c r="BI206" s="185">
        <f>BI205/BD205-1</f>
        <v>0.26809210526315796</v>
      </c>
      <c r="BJ206" s="185"/>
      <c r="BK206" s="185">
        <f>BK205/BF205-1</f>
        <v>0.37058340180772387</v>
      </c>
      <c r="BL206" s="185">
        <f>BL205/BG205-1</f>
        <v>0.3701250919793968</v>
      </c>
      <c r="BM206" s="185">
        <f>BM205/BH205-1</f>
        <v>0.34196547144754308</v>
      </c>
      <c r="BN206" s="185">
        <f>BN205/BI205-1</f>
        <v>0.51297016861219191</v>
      </c>
      <c r="BO206" s="185"/>
      <c r="BP206" s="185">
        <f>BP205/BK205-1</f>
        <v>0.36750599520383687</v>
      </c>
      <c r="BQ206" s="185">
        <f>BQ205/BL205-1</f>
        <v>0.37432867883995691</v>
      </c>
      <c r="BR206" s="185">
        <f>BR205/BM205-1</f>
        <v>0.38743196437407224</v>
      </c>
      <c r="BS206" s="185">
        <f>BS205/BN205-1</f>
        <v>0.17445349335619387</v>
      </c>
      <c r="BT206" s="185"/>
      <c r="BU206" s="185">
        <f>BU205/BP205-1</f>
        <v>0.19245944761069711</v>
      </c>
      <c r="BV206" s="185">
        <f>BV205/BQ205-1</f>
        <v>9.026963657678766E-2</v>
      </c>
      <c r="BW206" s="185">
        <f>BW205/BR205-1</f>
        <v>3.7803138373751821E-2</v>
      </c>
      <c r="BX206" s="185">
        <f>BX205/BS205-1</f>
        <v>6.9343065693430628E-2</v>
      </c>
      <c r="BY206" s="185"/>
      <c r="BZ206" s="185">
        <f>BZ205/BU205-1</f>
        <v>1.1029411764705843E-2</v>
      </c>
      <c r="CA206" s="185">
        <f>CA205/BV205-1</f>
        <v>1.7921146953405076E-2</v>
      </c>
      <c r="CB206" s="185">
        <f>CB205/BW205-1</f>
        <v>1.3745704467353903E-2</v>
      </c>
      <c r="CC206" s="185">
        <f>CC205/BX205-1</f>
        <v>3.7542662116040848E-2</v>
      </c>
      <c r="CD206" s="185"/>
      <c r="CE206" s="185">
        <f>CE205/BZ205-1</f>
        <v>0.16363636363636358</v>
      </c>
      <c r="CF206" s="185">
        <f>CF205/CA205-1</f>
        <v>0.14436619718309873</v>
      </c>
      <c r="CG206" s="185">
        <f>CG205/CB205-1</f>
        <v>0.11186440677966103</v>
      </c>
      <c r="CH206" s="185">
        <f>CH205/CC205-1</f>
        <v>0.11184210526315774</v>
      </c>
      <c r="CI206" s="185"/>
      <c r="CJ206" s="185">
        <f>CJ205/CE205-1</f>
        <v>9.375E-2</v>
      </c>
      <c r="CK206" s="185">
        <f>CK205/CF205-1</f>
        <v>0.12615384615384628</v>
      </c>
      <c r="CL206" s="185">
        <f>CL205/CG205-1</f>
        <v>0.17073170731707332</v>
      </c>
      <c r="CM206" s="185">
        <f>CM205/CH205-1</f>
        <v>0.24260355029585812</v>
      </c>
      <c r="CN206" s="185"/>
      <c r="CO206" s="185">
        <f>CO205/CJ205-1</f>
        <v>0.21714285714285708</v>
      </c>
      <c r="CP206" s="185">
        <f>CP205/CK205-1</f>
        <v>0.22404371584699434</v>
      </c>
      <c r="CQ206" s="185"/>
      <c r="CR206" s="185"/>
      <c r="CS206" s="185"/>
      <c r="CT206" s="185"/>
      <c r="CU206" s="185"/>
      <c r="CV206" s="185"/>
      <c r="CW206" s="185"/>
      <c r="CX206" s="159"/>
      <c r="CY206" s="159"/>
      <c r="CZ206" s="159"/>
      <c r="DA206" s="159"/>
      <c r="DB206" s="159"/>
      <c r="DC206" s="169"/>
      <c r="DD206" s="169"/>
      <c r="DE206" s="169"/>
      <c r="DF206" s="169"/>
      <c r="DG206" s="169"/>
      <c r="DH206" s="169"/>
    </row>
    <row r="207" spans="1:112">
      <c r="A207" s="226" t="s">
        <v>530</v>
      </c>
      <c r="B207" s="717"/>
      <c r="C207" s="717"/>
      <c r="D207" s="717"/>
      <c r="E207" s="717"/>
      <c r="F207" s="717"/>
      <c r="G207" s="717"/>
      <c r="H207" s="717"/>
      <c r="I207" s="717"/>
      <c r="J207" s="717"/>
      <c r="K207" s="717"/>
      <c r="L207" s="717"/>
      <c r="M207" s="717"/>
      <c r="N207" s="717"/>
      <c r="O207" s="717"/>
      <c r="P207" s="717"/>
      <c r="Q207" s="717"/>
      <c r="R207" s="717"/>
      <c r="S207" s="717"/>
      <c r="T207" s="717"/>
      <c r="U207" s="717"/>
      <c r="V207" s="717"/>
      <c r="W207" s="717"/>
      <c r="X207" s="717"/>
      <c r="Y207" s="717"/>
      <c r="Z207" s="717"/>
      <c r="AA207" s="717"/>
      <c r="AB207" s="717"/>
      <c r="AC207" s="699"/>
      <c r="AD207" s="699"/>
      <c r="AE207" s="699"/>
      <c r="AF207" s="699"/>
      <c r="AG207" s="699"/>
      <c r="AH207" s="699"/>
      <c r="AI207" s="699"/>
      <c r="AJ207" s="699"/>
      <c r="AK207" s="699"/>
      <c r="AL207" s="699"/>
      <c r="AM207" s="699"/>
      <c r="AN207" s="699"/>
      <c r="AO207" s="718">
        <v>1.44</v>
      </c>
      <c r="AP207" s="718">
        <f>AO207</f>
        <v>1.44</v>
      </c>
      <c r="AQ207" s="718">
        <v>1.55</v>
      </c>
      <c r="AR207" s="718">
        <v>2</v>
      </c>
      <c r="AS207" s="718">
        <v>2.6</v>
      </c>
      <c r="AT207" s="718">
        <v>3.27</v>
      </c>
      <c r="AU207" s="710">
        <f>AVERAGE(AQ207:AT207)</f>
        <v>2.355</v>
      </c>
      <c r="AV207" s="710">
        <v>3.7</v>
      </c>
      <c r="AW207" s="710">
        <f>'[3]Domestic Mobile Operations'!X$39</f>
        <v>4.29</v>
      </c>
      <c r="AX207" s="710">
        <f>'[3]Domestic Mobile Operations'!Y$39</f>
        <v>4.78</v>
      </c>
      <c r="AY207" s="710">
        <f>'[3]Domestic Mobile Operations'!Z$39</f>
        <v>5.87</v>
      </c>
      <c r="AZ207" s="710">
        <f>AVERAGE(AV207:AY207)</f>
        <v>4.66</v>
      </c>
      <c r="BA207" s="710">
        <f>'[3]Domestic Mobile Operations'!AA$39</f>
        <v>6.73</v>
      </c>
      <c r="BB207" s="710">
        <f>'[3]Domestic Mobile Operations'!AB$39</f>
        <v>8.1999999999999993</v>
      </c>
      <c r="BC207" s="710">
        <f>'[3]Domestic Mobile Operations'!AC$39</f>
        <v>10.24</v>
      </c>
      <c r="BD207" s="710">
        <f>'[3]Domestic Mobile Operations'!AD$39</f>
        <v>10.36</v>
      </c>
      <c r="BE207" s="711">
        <f>AVERAGE(BA207:BD207)</f>
        <v>8.8825000000000003</v>
      </c>
      <c r="BF207" s="710">
        <f>'[3]Domestic Mobile Operations'!AE$39</f>
        <v>11.47</v>
      </c>
      <c r="BG207" s="710">
        <f>'[3]Domestic Mobile Operations'!AF$39</f>
        <v>13.72</v>
      </c>
      <c r="BH207" s="710">
        <f>'[3]Domestic Mobile Operations'!AG$39</f>
        <v>15.21</v>
      </c>
      <c r="BI207" s="710">
        <f>'[3]Domestic Mobile Operations'!AH$39</f>
        <v>14.75</v>
      </c>
      <c r="BJ207" s="711">
        <f>AVERAGE(BF207:BI207)</f>
        <v>13.787500000000001</v>
      </c>
      <c r="BK207" s="710">
        <f>'[3]Domestic Mobile Operations'!AI$39</f>
        <v>16.89</v>
      </c>
      <c r="BL207" s="710">
        <f>'[3]Domestic Mobile Operations'!AJ$39</f>
        <v>22.53</v>
      </c>
      <c r="BM207" s="710">
        <f>'[3]Domestic Mobile Operations'!AK$39</f>
        <v>19.07</v>
      </c>
      <c r="BN207" s="710">
        <f>'[3]Domestic Mobile Operations'!AL$39</f>
        <v>19.29</v>
      </c>
      <c r="BO207" s="711">
        <f>AVERAGE(BK207:BN207)</f>
        <v>19.445</v>
      </c>
      <c r="BP207" s="710">
        <f>'[3]Domestic Mobile Operations'!AM$39</f>
        <v>20.89</v>
      </c>
      <c r="BQ207" s="710">
        <f>'[3]Domestic Mobile Operations'!AN$39</f>
        <v>23.72</v>
      </c>
      <c r="BR207" s="710">
        <f>'[3]Domestic Mobile Operations'!AO$39</f>
        <v>23.21</v>
      </c>
      <c r="BS207" s="710">
        <f>'[3]Domestic Mobile Operations'!AP$39</f>
        <v>22.6</v>
      </c>
      <c r="BT207" s="711">
        <f>AVERAGE(BP207:BS207)</f>
        <v>22.604999999999997</v>
      </c>
      <c r="BU207" s="719">
        <f>'[3]Domestic Mobile Operations'!AQ$39</f>
        <v>22.3</v>
      </c>
      <c r="BV207" s="719">
        <f>'[3]Domestic Mobile Operations'!AR$39</f>
        <v>23.2</v>
      </c>
      <c r="BW207" s="719">
        <f>'[3]Domestic Mobile Operations'!AS$39</f>
        <v>24.6</v>
      </c>
      <c r="BX207" s="719">
        <f>'[3]Domestic Mobile Operations'!AT$39</f>
        <v>24.9</v>
      </c>
      <c r="BY207" s="711">
        <f>AVERAGE(BU207:BX207)</f>
        <v>23.75</v>
      </c>
      <c r="BZ207" s="719">
        <f>'[3]Domestic Mobile Operations'!AU$39</f>
        <v>23.7</v>
      </c>
      <c r="CA207" s="719">
        <f>'[3]Domestic Mobile Operations'!AV$39</f>
        <v>24.7</v>
      </c>
      <c r="CB207" s="719">
        <f>'[3]Domestic Mobile Operations'!AW$39</f>
        <v>25.2</v>
      </c>
      <c r="CC207" s="719">
        <f>'[3]Domestic Mobile Operations'!AX$39</f>
        <v>26.2</v>
      </c>
      <c r="CD207" s="711">
        <f>AVERAGE(BZ207:CC207)</f>
        <v>24.95</v>
      </c>
      <c r="CE207" s="719">
        <f>'[3]Domestic Mobile Operations'!AY$39</f>
        <v>27.9</v>
      </c>
      <c r="CF207" s="719">
        <f>'[3]Domestic Mobile Operations'!AZ$39</f>
        <v>27.9</v>
      </c>
      <c r="CG207" s="719">
        <f>'[3]Domestic Mobile Operations'!BA$39</f>
        <v>28.2</v>
      </c>
      <c r="CH207" s="719">
        <f>'[3]Domestic Mobile Operations'!BB$39</f>
        <v>29.5</v>
      </c>
      <c r="CI207" s="711">
        <f>AVERAGE(CE207:CH207)</f>
        <v>28.375</v>
      </c>
      <c r="CJ207" s="719">
        <f>'[3]Domestic Mobile Operations'!BC$39</f>
        <v>31.9</v>
      </c>
      <c r="CK207" s="719">
        <f>'[3]Domestic Mobile Operations'!BD$39</f>
        <v>32.700000000000003</v>
      </c>
      <c r="CL207" s="719">
        <f>'[3]Domestic Mobile Operations'!BE$39</f>
        <v>34</v>
      </c>
      <c r="CM207" s="719">
        <f>'[3]Domestic Mobile Operations'!BF$39</f>
        <v>37.1</v>
      </c>
      <c r="CN207" s="711">
        <f>AVERAGE(CJ207:CM207)</f>
        <v>33.924999999999997</v>
      </c>
      <c r="CO207" s="719">
        <f>'[3]Domestic Mobile Operations'!BG$39</f>
        <v>38.299999999999997</v>
      </c>
      <c r="CP207" s="719">
        <f>'[3]Domestic Mobile Operations'!BH$39</f>
        <v>37.9</v>
      </c>
      <c r="CQ207" s="711">
        <f>CN207*(1+CQ208)</f>
        <v>40.560550660792948</v>
      </c>
      <c r="CR207" s="711">
        <f t="shared" ref="CR207:CS207" si="770">CQ207*(1+CR208)</f>
        <v>48.493979953036146</v>
      </c>
      <c r="CS207" s="711">
        <f t="shared" si="770"/>
        <v>57.979146076008853</v>
      </c>
      <c r="CT207" s="711">
        <f t="shared" ref="CT207" si="771">CS207*(1+CT208)</f>
        <v>69.319560550787671</v>
      </c>
      <c r="CU207" s="711">
        <f t="shared" ref="CU207" si="772">CT207*(1+CU208)</f>
        <v>82.878100147505606</v>
      </c>
      <c r="CV207" s="711">
        <f t="shared" ref="CV207:CW207" si="773">CU207*(1+CV208)</f>
        <v>99.088618414242376</v>
      </c>
      <c r="CW207" s="711">
        <f t="shared" si="773"/>
        <v>118.46982835958316</v>
      </c>
      <c r="CX207" s="159"/>
      <c r="CY207" s="159"/>
      <c r="CZ207" s="159"/>
      <c r="DA207" s="159"/>
      <c r="DB207" s="159"/>
      <c r="DC207" s="169"/>
      <c r="DD207" s="169"/>
      <c r="DE207" s="169"/>
      <c r="DF207" s="169"/>
      <c r="DG207" s="169"/>
      <c r="DH207" s="169"/>
    </row>
    <row r="208" spans="1:112">
      <c r="A208" s="226"/>
      <c r="B208" s="185"/>
      <c r="C208" s="185"/>
      <c r="D208" s="185"/>
      <c r="E208" s="185"/>
      <c r="F208" s="185"/>
      <c r="G208" s="185"/>
      <c r="H208" s="185"/>
      <c r="I208" s="185"/>
      <c r="J208" s="185"/>
      <c r="K208" s="185"/>
      <c r="L208" s="185"/>
      <c r="M208" s="185"/>
      <c r="N208" s="185"/>
      <c r="O208" s="185"/>
      <c r="P208" s="185"/>
      <c r="Q208" s="185"/>
      <c r="R208" s="185"/>
      <c r="S208" s="185"/>
      <c r="T208" s="185"/>
      <c r="U208" s="185"/>
      <c r="V208" s="185"/>
      <c r="W208" s="185"/>
      <c r="X208" s="185"/>
      <c r="Y208" s="185"/>
      <c r="Z208" s="185"/>
      <c r="AA208" s="185"/>
      <c r="AB208" s="185"/>
      <c r="AC208" s="185"/>
      <c r="AD208" s="185"/>
      <c r="AE208" s="185"/>
      <c r="AF208" s="185"/>
      <c r="AG208" s="185"/>
      <c r="AH208" s="185"/>
      <c r="AI208" s="185"/>
      <c r="AJ208" s="185"/>
      <c r="AK208" s="185"/>
      <c r="AL208" s="185"/>
      <c r="AM208" s="185"/>
      <c r="AN208" s="185"/>
      <c r="AO208" s="185"/>
      <c r="AP208" s="185"/>
      <c r="AQ208" s="185"/>
      <c r="AR208" s="185"/>
      <c r="AS208" s="185"/>
      <c r="AT208" s="185">
        <f t="shared" ref="AT208:BE208" si="774">AT207/AO207-1</f>
        <v>1.2708333333333335</v>
      </c>
      <c r="AU208" s="185">
        <f t="shared" si="774"/>
        <v>0.63541666666666674</v>
      </c>
      <c r="AV208" s="185">
        <f t="shared" si="774"/>
        <v>1.3870967741935485</v>
      </c>
      <c r="AW208" s="185">
        <f t="shared" si="774"/>
        <v>1.145</v>
      </c>
      <c r="AX208" s="185">
        <f t="shared" si="774"/>
        <v>0.83846153846153859</v>
      </c>
      <c r="AY208" s="185">
        <f t="shared" si="774"/>
        <v>0.7951070336391437</v>
      </c>
      <c r="AZ208" s="185">
        <f t="shared" si="774"/>
        <v>0.97876857749469215</v>
      </c>
      <c r="BA208" s="185">
        <f t="shared" si="774"/>
        <v>0.81891891891891899</v>
      </c>
      <c r="BB208" s="185">
        <f t="shared" si="774"/>
        <v>0.91142191142191131</v>
      </c>
      <c r="BC208" s="185">
        <f t="shared" si="774"/>
        <v>1.1422594142259412</v>
      </c>
      <c r="BD208" s="185">
        <f t="shared" si="774"/>
        <v>0.76490630323679709</v>
      </c>
      <c r="BE208" s="185">
        <f t="shared" si="774"/>
        <v>0.9061158798283262</v>
      </c>
      <c r="BF208" s="185">
        <f t="shared" ref="BF208:CP208" si="775">BF207/BA207-1</f>
        <v>0.70430906389301629</v>
      </c>
      <c r="BG208" s="185">
        <f t="shared" si="775"/>
        <v>0.67317073170731723</v>
      </c>
      <c r="BH208" s="185">
        <f t="shared" si="775"/>
        <v>0.4853515625</v>
      </c>
      <c r="BI208" s="185">
        <f t="shared" si="775"/>
        <v>0.42374517374517384</v>
      </c>
      <c r="BJ208" s="185">
        <f t="shared" si="775"/>
        <v>0.55220940050661427</v>
      </c>
      <c r="BK208" s="185">
        <f t="shared" si="775"/>
        <v>0.47253705318221439</v>
      </c>
      <c r="BL208" s="185">
        <f t="shared" si="775"/>
        <v>0.64212827988338184</v>
      </c>
      <c r="BM208" s="185">
        <f t="shared" si="775"/>
        <v>0.25378040762656151</v>
      </c>
      <c r="BN208" s="185">
        <f t="shared" si="775"/>
        <v>0.30779661016949156</v>
      </c>
      <c r="BO208" s="185">
        <f t="shared" si="775"/>
        <v>0.41033544877606509</v>
      </c>
      <c r="BP208" s="185">
        <f t="shared" si="775"/>
        <v>0.23682652457075193</v>
      </c>
      <c r="BQ208" s="185">
        <f t="shared" si="775"/>
        <v>5.2818464269862364E-2</v>
      </c>
      <c r="BR208" s="185">
        <f t="shared" si="775"/>
        <v>0.21709491347666487</v>
      </c>
      <c r="BS208" s="185">
        <f t="shared" si="775"/>
        <v>0.17159149818558861</v>
      </c>
      <c r="BT208" s="185">
        <f t="shared" si="775"/>
        <v>0.16250964258164036</v>
      </c>
      <c r="BU208" s="185">
        <f t="shared" si="775"/>
        <v>6.7496409765438026E-2</v>
      </c>
      <c r="BV208" s="185">
        <f t="shared" si="775"/>
        <v>-2.1922428330522714E-2</v>
      </c>
      <c r="BW208" s="185">
        <f t="shared" si="775"/>
        <v>5.9887979319259044E-2</v>
      </c>
      <c r="BX208" s="185">
        <f t="shared" si="775"/>
        <v>0.1017699115044246</v>
      </c>
      <c r="BY208" s="185">
        <f t="shared" si="775"/>
        <v>5.0652510506525195E-2</v>
      </c>
      <c r="BZ208" s="185">
        <f t="shared" si="775"/>
        <v>6.2780269058295923E-2</v>
      </c>
      <c r="CA208" s="185">
        <f t="shared" si="775"/>
        <v>6.4655172413793149E-2</v>
      </c>
      <c r="CB208" s="185">
        <f t="shared" si="775"/>
        <v>2.4390243902439046E-2</v>
      </c>
      <c r="CC208" s="185">
        <f t="shared" si="775"/>
        <v>5.2208835341365445E-2</v>
      </c>
      <c r="CD208" s="185">
        <f t="shared" si="775"/>
        <v>5.0526315789473752E-2</v>
      </c>
      <c r="CE208" s="185">
        <f t="shared" si="775"/>
        <v>0.17721518987341778</v>
      </c>
      <c r="CF208" s="185">
        <f t="shared" si="775"/>
        <v>0.12955465587044523</v>
      </c>
      <c r="CG208" s="185">
        <f t="shared" si="775"/>
        <v>0.11904761904761907</v>
      </c>
      <c r="CH208" s="185">
        <f t="shared" si="775"/>
        <v>0.12595419847328237</v>
      </c>
      <c r="CI208" s="185">
        <f t="shared" si="775"/>
        <v>0.13727454909819636</v>
      </c>
      <c r="CJ208" s="185">
        <f t="shared" si="775"/>
        <v>0.14336917562724016</v>
      </c>
      <c r="CK208" s="185">
        <f t="shared" si="775"/>
        <v>0.17204301075268824</v>
      </c>
      <c r="CL208" s="185">
        <f t="shared" si="775"/>
        <v>0.20567375886524819</v>
      </c>
      <c r="CM208" s="185">
        <f t="shared" si="775"/>
        <v>0.25762711864406795</v>
      </c>
      <c r="CN208" s="185">
        <f t="shared" si="775"/>
        <v>0.19559471365638759</v>
      </c>
      <c r="CO208" s="185">
        <f t="shared" si="775"/>
        <v>0.20062695924764884</v>
      </c>
      <c r="CP208" s="185">
        <f t="shared" si="775"/>
        <v>0.15902140672782861</v>
      </c>
      <c r="CQ208" s="267">
        <f>CN208</f>
        <v>0.19559471365638759</v>
      </c>
      <c r="CR208" s="267">
        <f>CQ208</f>
        <v>0.19559471365638759</v>
      </c>
      <c r="CS208" s="267">
        <f>CR208</f>
        <v>0.19559471365638759</v>
      </c>
      <c r="CT208" s="267">
        <f t="shared" ref="CT208:CV208" si="776">CS208</f>
        <v>0.19559471365638759</v>
      </c>
      <c r="CU208" s="267">
        <f t="shared" si="776"/>
        <v>0.19559471365638759</v>
      </c>
      <c r="CV208" s="267">
        <f t="shared" si="776"/>
        <v>0.19559471365638759</v>
      </c>
      <c r="CW208" s="267">
        <f t="shared" ref="CW208" si="777">CV208</f>
        <v>0.19559471365638759</v>
      </c>
      <c r="CX208" s="159"/>
      <c r="CY208" s="159"/>
      <c r="CZ208" s="159"/>
      <c r="DA208" s="159"/>
      <c r="DB208" s="159"/>
      <c r="DC208" s="169"/>
      <c r="DD208" s="169"/>
      <c r="DE208" s="169"/>
      <c r="DF208" s="169"/>
      <c r="DG208" s="169"/>
      <c r="DH208" s="169"/>
    </row>
    <row r="209" spans="1:112">
      <c r="A209" s="226"/>
      <c r="B209" s="185"/>
      <c r="C209" s="185"/>
      <c r="D209" s="185"/>
      <c r="E209" s="185"/>
      <c r="F209" s="185"/>
      <c r="G209" s="185"/>
      <c r="H209" s="185"/>
      <c r="I209" s="185"/>
      <c r="J209" s="185"/>
      <c r="K209" s="185"/>
      <c r="L209" s="185"/>
      <c r="M209" s="185"/>
      <c r="N209" s="185"/>
      <c r="O209" s="185"/>
      <c r="P209" s="185"/>
      <c r="Q209" s="185"/>
      <c r="R209" s="185"/>
      <c r="S209" s="185"/>
      <c r="T209" s="185"/>
      <c r="U209" s="185"/>
      <c r="V209" s="185"/>
      <c r="W209" s="185"/>
      <c r="X209" s="185"/>
      <c r="Y209" s="185"/>
      <c r="Z209" s="185"/>
      <c r="AA209" s="185"/>
      <c r="AB209" s="185"/>
      <c r="AC209" s="185"/>
      <c r="AD209" s="185"/>
      <c r="AE209" s="185"/>
      <c r="AF209" s="185"/>
      <c r="AG209" s="185"/>
      <c r="AH209" s="185"/>
      <c r="AI209" s="185"/>
      <c r="AJ209" s="185"/>
      <c r="AK209" s="185"/>
      <c r="AL209" s="185"/>
      <c r="AM209" s="185"/>
      <c r="AN209" s="185"/>
      <c r="AO209" s="185"/>
      <c r="AP209" s="185"/>
      <c r="AQ209" s="185"/>
      <c r="AR209" s="185">
        <f>AR207/AQ207-1</f>
        <v>0.29032258064516125</v>
      </c>
      <c r="AS209" s="185">
        <f>AS207/AR207-1</f>
        <v>0.30000000000000004</v>
      </c>
      <c r="AT209" s="185">
        <f>AT207/AS207-1</f>
        <v>0.25769230769230766</v>
      </c>
      <c r="AU209" s="185"/>
      <c r="AV209" s="185">
        <f>AV207/AU207-1</f>
        <v>0.57112526539278141</v>
      </c>
      <c r="AW209" s="185">
        <f>AW207/AV207-1</f>
        <v>0.15945945945945939</v>
      </c>
      <c r="AX209" s="185">
        <f>AX207/AW207-1</f>
        <v>0.11421911421911424</v>
      </c>
      <c r="AY209" s="185">
        <f>AY207/AX207-1</f>
        <v>0.22803347280334729</v>
      </c>
      <c r="AZ209" s="185"/>
      <c r="BA209" s="185">
        <f>BA207/AZ207-1</f>
        <v>0.44420600858369097</v>
      </c>
      <c r="BB209" s="185">
        <f>BB207/BA207-1</f>
        <v>0.21842496285289736</v>
      </c>
      <c r="BC209" s="185">
        <f>BC207/BB207-1</f>
        <v>0.24878048780487827</v>
      </c>
      <c r="BD209" s="185">
        <f>BD207/BC207-1</f>
        <v>1.171875E-2</v>
      </c>
      <c r="BE209" s="185"/>
      <c r="BF209" s="185">
        <f>BF207/BE207-1</f>
        <v>0.29130312412046155</v>
      </c>
      <c r="BG209" s="185">
        <f>BG207/BF207-1</f>
        <v>0.19616390584132515</v>
      </c>
      <c r="BH209" s="185">
        <f>BH207/BG207-1</f>
        <v>0.10860058309037912</v>
      </c>
      <c r="BI209" s="185">
        <f>BI207/BH207-1</f>
        <v>-3.0243261012491862E-2</v>
      </c>
      <c r="BJ209" s="185"/>
      <c r="BK209" s="185">
        <f>BK207/BJ207-1</f>
        <v>0.22502266545784222</v>
      </c>
      <c r="BL209" s="185">
        <f>BL207/BK207-1</f>
        <v>0.3339253996447602</v>
      </c>
      <c r="BM209" s="185">
        <f>BM207/BL207-1</f>
        <v>-0.15357301375943189</v>
      </c>
      <c r="BN209" s="185">
        <f>BN207/BM207-1</f>
        <v>1.1536444677503921E-2</v>
      </c>
      <c r="BO209" s="185"/>
      <c r="BP209" s="185">
        <f>BP207/BO207-1</f>
        <v>7.4312162509642565E-2</v>
      </c>
      <c r="BQ209" s="185">
        <f>BQ207/BP207-1</f>
        <v>0.13547151747247477</v>
      </c>
      <c r="BR209" s="185">
        <f>BR207/BQ207-1</f>
        <v>-2.1500843170320305E-2</v>
      </c>
      <c r="BS209" s="185">
        <f>BS207/BR207-1</f>
        <v>-2.6281775096940962E-2</v>
      </c>
      <c r="BT209" s="185"/>
      <c r="BU209" s="185">
        <f>BU207/BT207-1</f>
        <v>-1.3492590134925764E-2</v>
      </c>
      <c r="BV209" s="185">
        <f>BV207/BU207-1</f>
        <v>4.0358744394618729E-2</v>
      </c>
      <c r="BW209" s="185">
        <f>BW207/BV207-1</f>
        <v>6.0344827586207073E-2</v>
      </c>
      <c r="BX209" s="185">
        <f>BX207/BW207-1</f>
        <v>1.2195121951219301E-2</v>
      </c>
      <c r="BY209" s="185"/>
      <c r="BZ209" s="185">
        <f>BZ207/BY207-1</f>
        <v>-2.1052631578947212E-3</v>
      </c>
      <c r="CA209" s="185">
        <f>CA207/BZ207-1</f>
        <v>4.2194092827004148E-2</v>
      </c>
      <c r="CB209" s="185">
        <f>CB207/CA207-1</f>
        <v>2.0242914979757165E-2</v>
      </c>
      <c r="CC209" s="185">
        <f>CC207/CB207-1</f>
        <v>3.9682539682539764E-2</v>
      </c>
      <c r="CD209" s="185"/>
      <c r="CE209" s="185">
        <f>CE207/CD207-1</f>
        <v>0.11823647294589179</v>
      </c>
      <c r="CF209" s="185">
        <f>CF207/CE207-1</f>
        <v>0</v>
      </c>
      <c r="CG209" s="185">
        <f>CG207/CF207-1</f>
        <v>1.0752688172043001E-2</v>
      </c>
      <c r="CH209" s="185">
        <f>CH207/CG207-1</f>
        <v>4.6099290780141855E-2</v>
      </c>
      <c r="CI209" s="185"/>
      <c r="CJ209" s="185">
        <f>CJ207/CI207-1</f>
        <v>0.12422907488986779</v>
      </c>
      <c r="CK209" s="185">
        <f>CK207/CJ207-1</f>
        <v>2.5078369905956244E-2</v>
      </c>
      <c r="CL209" s="185">
        <f>CL207/CK207-1</f>
        <v>3.9755351681957096E-2</v>
      </c>
      <c r="CM209" s="185">
        <f>CM207/CL207-1</f>
        <v>9.1176470588235414E-2</v>
      </c>
      <c r="CN209" s="185"/>
      <c r="CO209" s="185">
        <f>CO207/CN207-1</f>
        <v>0.12896094325718499</v>
      </c>
      <c r="CP209" s="185">
        <f>CP207/CO207-1</f>
        <v>-1.0443864229764954E-2</v>
      </c>
      <c r="CQ209" s="185"/>
      <c r="CR209" s="185"/>
      <c r="CS209" s="185"/>
      <c r="CT209" s="185"/>
      <c r="CU209" s="185"/>
      <c r="CV209" s="185"/>
      <c r="CW209" s="185"/>
      <c r="CX209" s="159"/>
      <c r="CY209" s="159"/>
      <c r="CZ209" s="159"/>
      <c r="DA209" s="159"/>
      <c r="DB209" s="159"/>
      <c r="DC209" s="169"/>
      <c r="DD209" s="169"/>
      <c r="DE209" s="169"/>
      <c r="DF209" s="169"/>
      <c r="DG209" s="169"/>
      <c r="DH209" s="169"/>
    </row>
    <row r="210" spans="1:112" s="168" customFormat="1">
      <c r="A210" s="274" t="s">
        <v>273</v>
      </c>
      <c r="B210" s="213"/>
      <c r="C210" s="213"/>
      <c r="D210" s="213"/>
      <c r="E210" s="213"/>
      <c r="F210" s="213"/>
      <c r="G210" s="213"/>
      <c r="H210" s="213"/>
      <c r="I210" s="213"/>
      <c r="J210" s="213"/>
      <c r="K210" s="213"/>
      <c r="L210" s="213"/>
      <c r="M210" s="213"/>
      <c r="N210" s="213"/>
      <c r="O210" s="213"/>
      <c r="P210" s="213"/>
      <c r="Q210" s="213"/>
      <c r="R210" s="213"/>
      <c r="S210" s="213"/>
      <c r="T210" s="213"/>
      <c r="U210" s="213"/>
      <c r="V210" s="213"/>
      <c r="W210" s="213"/>
      <c r="X210" s="213"/>
      <c r="Y210" s="213"/>
      <c r="Z210" s="213"/>
      <c r="AA210" s="213"/>
      <c r="AB210" s="253"/>
      <c r="AC210" s="253"/>
      <c r="AD210" s="253"/>
      <c r="AE210" s="253"/>
      <c r="AF210" s="213"/>
      <c r="AG210" s="213"/>
      <c r="AH210" s="213"/>
      <c r="AI210" s="213"/>
      <c r="AJ210" s="213"/>
      <c r="AK210" s="213"/>
      <c r="AL210" s="213"/>
      <c r="AM210" s="213"/>
      <c r="AN210" s="213"/>
      <c r="AO210" s="213">
        <f>AO117*AO211</f>
        <v>8504.9800000000014</v>
      </c>
      <c r="AP210" s="213">
        <f>AO210</f>
        <v>8504.9800000000014</v>
      </c>
      <c r="AQ210" s="213">
        <f>AQ117*AQ211</f>
        <v>8247.7000000000007</v>
      </c>
      <c r="AR210" s="213">
        <f>AR117*AR211</f>
        <v>8329.32</v>
      </c>
      <c r="AS210" s="213">
        <f>AS117*AS211</f>
        <v>8673.119999999999</v>
      </c>
      <c r="AT210" s="213">
        <f>AT117*AT211</f>
        <v>8825.24</v>
      </c>
      <c r="AU210" s="213">
        <f>AT210</f>
        <v>8825.24</v>
      </c>
      <c r="AV210" s="213">
        <f>AV117*AV211</f>
        <v>9063.6</v>
      </c>
      <c r="AW210" s="213">
        <f>AW117*AW211</f>
        <v>9006.5557756624657</v>
      </c>
      <c r="AX210" s="213">
        <f>AX117*AX211</f>
        <v>8730.8143757210055</v>
      </c>
      <c r="AY210" s="213">
        <f>AY117*AY211</f>
        <v>8785.0045189793527</v>
      </c>
      <c r="AZ210" s="213">
        <f>AY210</f>
        <v>8785.0045189793527</v>
      </c>
      <c r="BA210" s="213">
        <f>BA117*BA211</f>
        <v>8785.48</v>
      </c>
      <c r="BB210" s="213">
        <f>BB117*BB211</f>
        <v>8910.0499999999993</v>
      </c>
      <c r="BC210" s="213">
        <f>BC117*BC211</f>
        <v>9078.7199999999993</v>
      </c>
      <c r="BD210" s="213">
        <f>BD117*BD211</f>
        <v>9146.85</v>
      </c>
      <c r="BE210" s="213">
        <f>BD210</f>
        <v>9146.85</v>
      </c>
      <c r="BF210" s="213">
        <f>BF117*BF211</f>
        <v>9150.25</v>
      </c>
      <c r="BG210" s="213">
        <f>BG117*BG211</f>
        <v>9265.85</v>
      </c>
      <c r="BH210" s="213">
        <f>BH117*BH211</f>
        <v>9385.6999999999989</v>
      </c>
      <c r="BI210" s="213">
        <f>BI117*BI211</f>
        <v>9460.5</v>
      </c>
      <c r="BJ210" s="213">
        <f>BI210</f>
        <v>9460.5</v>
      </c>
      <c r="BK210" s="213">
        <f>BK117*BK211</f>
        <v>9537.85</v>
      </c>
      <c r="BL210" s="213">
        <f>BL117*BL211</f>
        <v>9886.35</v>
      </c>
      <c r="BM210" s="213">
        <f>BM117*BM211</f>
        <v>9351.6999999999989</v>
      </c>
      <c r="BN210" s="213">
        <f>BN117*BN211</f>
        <v>9462.1999999999989</v>
      </c>
      <c r="BO210" s="213">
        <f>BN210</f>
        <v>9462.1999999999989</v>
      </c>
      <c r="BP210" s="213">
        <f>BP117*BP211</f>
        <v>9665.35</v>
      </c>
      <c r="BQ210" s="213">
        <f>BQ117*BQ211</f>
        <v>9769.0499999999993</v>
      </c>
      <c r="BR210" s="213">
        <f>BR117*BR211</f>
        <v>9724.85</v>
      </c>
      <c r="BS210" s="213">
        <f>BS117*BS211</f>
        <v>9875.2999999999993</v>
      </c>
      <c r="BT210" s="213">
        <f>BS210</f>
        <v>9875.2999999999993</v>
      </c>
      <c r="BU210" s="213">
        <f>BU117*BU211</f>
        <v>9703.6</v>
      </c>
      <c r="BV210" s="213">
        <f>BV117*BV211</f>
        <v>0</v>
      </c>
      <c r="BW210" s="213">
        <f>BW117*BW211</f>
        <v>0</v>
      </c>
      <c r="BX210" s="213">
        <f>BX117*BX211</f>
        <v>0</v>
      </c>
      <c r="BY210" s="213">
        <f>BX210</f>
        <v>0</v>
      </c>
      <c r="BZ210" s="213">
        <f>BZ117*BZ211</f>
        <v>0</v>
      </c>
      <c r="CA210" s="213">
        <f>CA117*CA211</f>
        <v>0</v>
      </c>
      <c r="CB210" s="213">
        <f>CB117*CB211</f>
        <v>0</v>
      </c>
      <c r="CC210" s="213">
        <f>CC117*CC211</f>
        <v>0</v>
      </c>
      <c r="CD210" s="213">
        <f>CD200*1.05</f>
        <v>0</v>
      </c>
      <c r="CE210" s="213">
        <f>CE117*CE211</f>
        <v>0</v>
      </c>
      <c r="CF210" s="213">
        <f>CF117*CF211</f>
        <v>0</v>
      </c>
      <c r="CG210" s="213">
        <f>CG117*CG211</f>
        <v>0</v>
      </c>
      <c r="CH210" s="213">
        <f>CH117*CH211</f>
        <v>0</v>
      </c>
      <c r="CI210" s="213">
        <f>CI200*1.05</f>
        <v>0</v>
      </c>
      <c r="CJ210" s="213">
        <f>CJ117*CJ211</f>
        <v>0</v>
      </c>
      <c r="CK210" s="213">
        <f>CK117*CK211</f>
        <v>0</v>
      </c>
      <c r="CL210" s="213">
        <f>CL117*CL211</f>
        <v>0</v>
      </c>
      <c r="CM210" s="213">
        <f>CM117*CM211</f>
        <v>0</v>
      </c>
      <c r="CN210" s="213">
        <f>CN200*1.05</f>
        <v>0</v>
      </c>
      <c r="CO210" s="213">
        <f>CO117*CO211</f>
        <v>0</v>
      </c>
      <c r="CP210" s="213">
        <f>CP117*CP211</f>
        <v>0</v>
      </c>
      <c r="CQ210" s="213">
        <f>CQ200*1.03</f>
        <v>0</v>
      </c>
      <c r="CR210" s="213">
        <f>CR200*1.03</f>
        <v>0</v>
      </c>
      <c r="CS210" s="213">
        <f>CS200*1.03</f>
        <v>0</v>
      </c>
      <c r="CT210" s="213">
        <f t="shared" ref="CT210:CV210" si="778">CT200*1.03</f>
        <v>0</v>
      </c>
      <c r="CU210" s="213">
        <f t="shared" si="778"/>
        <v>0</v>
      </c>
      <c r="CV210" s="213">
        <f t="shared" si="778"/>
        <v>0</v>
      </c>
      <c r="CW210" s="213">
        <f t="shared" ref="CW210" si="779">CW200*1.03</f>
        <v>0</v>
      </c>
      <c r="DG210" s="213"/>
      <c r="DH210" s="213"/>
    </row>
    <row r="211" spans="1:112">
      <c r="A211" s="226" t="s">
        <v>274</v>
      </c>
      <c r="B211" s="185"/>
      <c r="C211" s="185"/>
      <c r="D211" s="185"/>
      <c r="E211" s="185"/>
      <c r="F211" s="185"/>
      <c r="G211" s="185"/>
      <c r="H211" s="185"/>
      <c r="I211" s="185"/>
      <c r="J211" s="185"/>
      <c r="K211" s="185"/>
      <c r="L211" s="185"/>
      <c r="M211" s="185"/>
      <c r="N211" s="185"/>
      <c r="O211" s="185"/>
      <c r="P211" s="185"/>
      <c r="Q211" s="185"/>
      <c r="R211" s="185"/>
      <c r="S211" s="185"/>
      <c r="T211" s="185"/>
      <c r="U211" s="185"/>
      <c r="V211" s="185"/>
      <c r="W211" s="185"/>
      <c r="X211" s="185"/>
      <c r="Y211" s="185"/>
      <c r="Z211" s="185"/>
      <c r="AA211" s="185"/>
      <c r="AB211" s="185"/>
      <c r="AC211" s="185"/>
      <c r="AD211" s="185"/>
      <c r="AE211" s="185"/>
      <c r="AF211" s="185"/>
      <c r="AG211" s="185"/>
      <c r="AH211" s="185"/>
      <c r="AI211" s="185"/>
      <c r="AJ211" s="185"/>
      <c r="AK211" s="185"/>
      <c r="AL211" s="185"/>
      <c r="AM211" s="185"/>
      <c r="AN211" s="185"/>
      <c r="AO211" s="267">
        <v>0.67</v>
      </c>
      <c r="AP211" s="267">
        <f>AP210/AP117</f>
        <v>0.67000000000000015</v>
      </c>
      <c r="AQ211" s="267">
        <v>0.67</v>
      </c>
      <c r="AR211" s="267">
        <v>0.68</v>
      </c>
      <c r="AS211" s="267">
        <v>0.72</v>
      </c>
      <c r="AT211" s="267">
        <v>0.74</v>
      </c>
      <c r="AU211" s="267">
        <v>0.74</v>
      </c>
      <c r="AV211" s="267">
        <v>0.78</v>
      </c>
      <c r="AW211" s="267">
        <f>'[3]Domestic Mobile Operations'!X$9</f>
        <v>0.78351942372009264</v>
      </c>
      <c r="AX211" s="267">
        <f>'[3]Domestic Mobile Operations'!Y$9</f>
        <v>0.78627651078179084</v>
      </c>
      <c r="AY211" s="267">
        <f>'[3]Domestic Mobile Operations'!Z$9</f>
        <v>0.80389865656838877</v>
      </c>
      <c r="AZ211" s="267">
        <f>AY211</f>
        <v>0.80389865656838877</v>
      </c>
      <c r="BA211" s="267">
        <f>'[3]Domestic Mobile Operations'!AA$9</f>
        <v>0.82</v>
      </c>
      <c r="BB211" s="267">
        <f>'[3]Domestic Mobile Operations'!AB$9</f>
        <v>0.83</v>
      </c>
      <c r="BC211" s="267">
        <f>'[3]Domestic Mobile Operations'!AC$9</f>
        <v>0.84</v>
      </c>
      <c r="BD211" s="267">
        <f>'[3]Domestic Mobile Operations'!AD$9</f>
        <v>0.85</v>
      </c>
      <c r="BE211" s="185">
        <f>BE210/BE117</f>
        <v>0.85000000000000009</v>
      </c>
      <c r="BF211" s="267">
        <f>'[3]Domestic Mobile Operations'!AE$9</f>
        <v>0.85</v>
      </c>
      <c r="BG211" s="267">
        <f>'[3]Domestic Mobile Operations'!AF$9</f>
        <v>0.85</v>
      </c>
      <c r="BH211" s="267">
        <f>'[3]Domestic Mobile Operations'!AG$9</f>
        <v>0.85</v>
      </c>
      <c r="BI211" s="267">
        <f>'[3]Domestic Mobile Operations'!AH$9</f>
        <v>0.85</v>
      </c>
      <c r="BJ211" s="185">
        <f>BJ210/BJ117</f>
        <v>0.85</v>
      </c>
      <c r="BK211" s="267">
        <f>'[3]Domestic Mobile Operations'!AI$9</f>
        <v>0.85</v>
      </c>
      <c r="BL211" s="267">
        <f>'[3]Domestic Mobile Operations'!AJ$9</f>
        <v>0.85</v>
      </c>
      <c r="BM211" s="267">
        <f>'[3]Domestic Mobile Operations'!AK$9</f>
        <v>0.85</v>
      </c>
      <c r="BN211" s="267">
        <f>'[3]Domestic Mobile Operations'!AL$9</f>
        <v>0.85</v>
      </c>
      <c r="BO211" s="185">
        <f>BO210/BO117</f>
        <v>0.84999999999999987</v>
      </c>
      <c r="BP211" s="267">
        <f>'[3]Domestic Mobile Operations'!AM$9</f>
        <v>0.85</v>
      </c>
      <c r="BQ211" s="267">
        <f>'[3]Domestic Mobile Operations'!AN$9</f>
        <v>0.85</v>
      </c>
      <c r="BR211" s="267">
        <f>'[3]Domestic Mobile Operations'!AO$9</f>
        <v>0.85</v>
      </c>
      <c r="BS211" s="267">
        <f>'[3]Domestic Mobile Operations'!AP$9</f>
        <v>0.85</v>
      </c>
      <c r="BT211" s="185">
        <f>BT210/BT117</f>
        <v>0.85</v>
      </c>
      <c r="BU211" s="267">
        <f>'[3]Domestic Mobile Operations'!AQ$9</f>
        <v>0.85</v>
      </c>
      <c r="BV211" s="267">
        <f>'[3]Domestic Mobile Operations'!AR$9</f>
        <v>0</v>
      </c>
      <c r="BW211" s="267">
        <f>'[3]Domestic Mobile Operations'!AS$9</f>
        <v>0</v>
      </c>
      <c r="BX211" s="267">
        <f>'[3]Domestic Mobile Operations'!AT$9</f>
        <v>0</v>
      </c>
      <c r="BY211" s="185">
        <f>BY210/BY117</f>
        <v>0</v>
      </c>
      <c r="BZ211" s="267">
        <f>'[3]Domestic Mobile Operations'!AU$9</f>
        <v>0</v>
      </c>
      <c r="CA211" s="267">
        <f>'[3]Domestic Mobile Operations'!AV$9</f>
        <v>0</v>
      </c>
      <c r="CB211" s="267">
        <f>'[3]Domestic Mobile Operations'!AW$9</f>
        <v>0</v>
      </c>
      <c r="CC211" s="267">
        <f>'[3]Domestic Mobile Operations'!AX$9</f>
        <v>0</v>
      </c>
      <c r="CD211" s="185">
        <f t="shared" ref="CD211:CS211" si="780">CD210/CD117</f>
        <v>0</v>
      </c>
      <c r="CE211" s="267">
        <f>'[3]Domestic Mobile Operations'!AY$9</f>
        <v>0</v>
      </c>
      <c r="CF211" s="267">
        <f>'[3]Domestic Mobile Operations'!AZ$9</f>
        <v>0</v>
      </c>
      <c r="CG211" s="267">
        <f>'[3]Domestic Mobile Operations'!BA$9</f>
        <v>0</v>
      </c>
      <c r="CH211" s="267">
        <f>'[3]Domestic Mobile Operations'!BB$9</f>
        <v>0</v>
      </c>
      <c r="CI211" s="185">
        <f t="shared" si="780"/>
        <v>0</v>
      </c>
      <c r="CJ211" s="267">
        <f>'[3]Domestic Mobile Operations'!BC$9</f>
        <v>0</v>
      </c>
      <c r="CK211" s="267">
        <f>'[3]Domestic Mobile Operations'!BD$9</f>
        <v>0</v>
      </c>
      <c r="CL211" s="267">
        <f>'[3]Domestic Mobile Operations'!BE$9</f>
        <v>0</v>
      </c>
      <c r="CM211" s="267">
        <f>'[3]Domestic Mobile Operations'!BF$9</f>
        <v>0</v>
      </c>
      <c r="CN211" s="185">
        <f t="shared" ref="CN211" si="781">CN210/CN117</f>
        <v>0</v>
      </c>
      <c r="CO211" s="267">
        <f>'[3]Domestic Mobile Operations'!BG$9</f>
        <v>0</v>
      </c>
      <c r="CP211" s="267">
        <f>'[3]Domestic Mobile Operations'!BH$9</f>
        <v>0</v>
      </c>
      <c r="CQ211" s="185">
        <f t="shared" si="780"/>
        <v>0</v>
      </c>
      <c r="CR211" s="185">
        <f t="shared" si="780"/>
        <v>0</v>
      </c>
      <c r="CS211" s="185">
        <f t="shared" si="780"/>
        <v>0</v>
      </c>
      <c r="CT211" s="185">
        <f t="shared" ref="CT211:CV211" si="782">CT210/CT117</f>
        <v>0</v>
      </c>
      <c r="CU211" s="185">
        <f t="shared" si="782"/>
        <v>0</v>
      </c>
      <c r="CV211" s="185">
        <f t="shared" si="782"/>
        <v>0</v>
      </c>
      <c r="CW211" s="185">
        <f t="shared" ref="CW211" si="783">CW210/CW117</f>
        <v>0</v>
      </c>
      <c r="CX211" s="159"/>
      <c r="CY211" s="159"/>
      <c r="CZ211" s="159"/>
      <c r="DA211" s="159"/>
      <c r="DB211" s="159"/>
      <c r="DC211" s="169"/>
      <c r="DD211" s="169"/>
      <c r="DE211" s="169"/>
      <c r="DF211" s="169"/>
      <c r="DG211" s="169"/>
      <c r="DH211" s="169"/>
    </row>
    <row r="212" spans="1:112">
      <c r="A212" s="226"/>
      <c r="B212" s="185"/>
      <c r="C212" s="185"/>
      <c r="D212" s="185"/>
      <c r="E212" s="185"/>
      <c r="F212" s="185"/>
      <c r="G212" s="185"/>
      <c r="H212" s="185"/>
      <c r="I212" s="185"/>
      <c r="J212" s="185"/>
      <c r="K212" s="185"/>
      <c r="L212" s="185"/>
      <c r="M212" s="185"/>
      <c r="N212" s="185"/>
      <c r="O212" s="185"/>
      <c r="P212" s="185"/>
      <c r="Q212" s="185"/>
      <c r="R212" s="185"/>
      <c r="S212" s="185"/>
      <c r="T212" s="185"/>
      <c r="U212" s="185"/>
      <c r="V212" s="185"/>
      <c r="W212" s="185"/>
      <c r="X212" s="185"/>
      <c r="Y212" s="185"/>
      <c r="Z212" s="185"/>
      <c r="AA212" s="185"/>
      <c r="AB212" s="185"/>
      <c r="AC212" s="185"/>
      <c r="AD212" s="185"/>
      <c r="AE212" s="185"/>
      <c r="AF212" s="275"/>
      <c r="AG212" s="185"/>
      <c r="AH212" s="185"/>
      <c r="AI212" s="185"/>
      <c r="AJ212" s="185"/>
      <c r="AK212" s="185"/>
      <c r="AL212" s="185"/>
      <c r="AM212" s="185"/>
      <c r="AN212" s="185"/>
      <c r="AO212" s="185"/>
      <c r="AP212" s="185"/>
      <c r="AQ212" s="185"/>
      <c r="AR212" s="185"/>
      <c r="AS212" s="185">
        <f t="shared" ref="AS212:BD212" si="784">AS211/AO211-1</f>
        <v>7.4626865671641784E-2</v>
      </c>
      <c r="AT212" s="185">
        <f t="shared" si="784"/>
        <v>0.10447761194029814</v>
      </c>
      <c r="AU212" s="185">
        <f t="shared" si="784"/>
        <v>0.10447761194029836</v>
      </c>
      <c r="AV212" s="185">
        <f t="shared" si="784"/>
        <v>0.14705882352941169</v>
      </c>
      <c r="AW212" s="185">
        <f t="shared" si="784"/>
        <v>8.8221421833462044E-2</v>
      </c>
      <c r="AX212" s="185">
        <f t="shared" si="784"/>
        <v>6.2535825380798382E-2</v>
      </c>
      <c r="AY212" s="185">
        <f t="shared" si="784"/>
        <v>8.6349535903228025E-2</v>
      </c>
      <c r="AZ212" s="185">
        <f t="shared" si="784"/>
        <v>3.0639303292806064E-2</v>
      </c>
      <c r="BA212" s="185">
        <f t="shared" si="784"/>
        <v>4.655988757330376E-2</v>
      </c>
      <c r="BB212" s="185">
        <f t="shared" si="784"/>
        <v>5.560828616733704E-2</v>
      </c>
      <c r="BC212" s="185">
        <f t="shared" si="784"/>
        <v>4.4907829036208824E-2</v>
      </c>
      <c r="BD212" s="185">
        <f t="shared" si="784"/>
        <v>5.7347207953306611E-2</v>
      </c>
      <c r="BE212" s="185"/>
      <c r="BF212" s="185">
        <f>BF211/BB211-1</f>
        <v>2.4096385542168752E-2</v>
      </c>
      <c r="BG212" s="185">
        <f>BG211/BC211-1</f>
        <v>1.1904761904761862E-2</v>
      </c>
      <c r="BH212" s="185">
        <f>BH211/BD211-1</f>
        <v>0</v>
      </c>
      <c r="BI212" s="185">
        <f>BI211/BE211-1</f>
        <v>0</v>
      </c>
      <c r="BJ212" s="185"/>
      <c r="BK212" s="185">
        <f>BK211/BG211-1</f>
        <v>0</v>
      </c>
      <c r="BL212" s="185">
        <f>BL211/BH211-1</f>
        <v>0</v>
      </c>
      <c r="BM212" s="185">
        <f>BM211/BI211-1</f>
        <v>0</v>
      </c>
      <c r="BN212" s="185">
        <f>BN211/BJ211-1</f>
        <v>0</v>
      </c>
      <c r="BO212" s="185"/>
      <c r="BP212" s="185">
        <f>BP211/BL211-1</f>
        <v>0</v>
      </c>
      <c r="BQ212" s="185">
        <f>BQ211/BM211-1</f>
        <v>0</v>
      </c>
      <c r="BR212" s="185">
        <f>BR211/BN211-1</f>
        <v>0</v>
      </c>
      <c r="BS212" s="185">
        <f>BS211/BO211-1</f>
        <v>0</v>
      </c>
      <c r="BT212" s="185"/>
      <c r="BU212" s="185">
        <f>BU211/BQ211-1</f>
        <v>0</v>
      </c>
      <c r="BV212" s="185">
        <f>BV211/BR211-1</f>
        <v>-1</v>
      </c>
      <c r="BW212" s="185">
        <f>BW211/BS211-1</f>
        <v>-1</v>
      </c>
      <c r="BX212" s="185">
        <f>BX211/BT211-1</f>
        <v>-1</v>
      </c>
      <c r="BY212" s="185"/>
      <c r="BZ212" s="185" t="e">
        <f>BZ211/BV211-1</f>
        <v>#DIV/0!</v>
      </c>
      <c r="CA212" s="185" t="e">
        <f>CA211/BW211-1</f>
        <v>#DIV/0!</v>
      </c>
      <c r="CB212" s="185" t="e">
        <f>CB211/BX211-1</f>
        <v>#DIV/0!</v>
      </c>
      <c r="CC212" s="185" t="e">
        <f>CC211/BY211-1</f>
        <v>#DIV/0!</v>
      </c>
      <c r="CD212" s="185"/>
      <c r="CE212" s="185" t="e">
        <f>CE211/CA211-1</f>
        <v>#DIV/0!</v>
      </c>
      <c r="CF212" s="185" t="e">
        <f>CF211/CB211-1</f>
        <v>#DIV/0!</v>
      </c>
      <c r="CG212" s="185" t="e">
        <f>CG211/CC211-1</f>
        <v>#DIV/0!</v>
      </c>
      <c r="CH212" s="185" t="e">
        <f>CH211/CD211-1</f>
        <v>#DIV/0!</v>
      </c>
      <c r="CI212" s="185"/>
      <c r="CJ212" s="185" t="e">
        <f>CJ211/CF211-1</f>
        <v>#DIV/0!</v>
      </c>
      <c r="CK212" s="185" t="e">
        <f>CK211/CG211-1</f>
        <v>#DIV/0!</v>
      </c>
      <c r="CL212" s="185" t="e">
        <f>CL211/CH211-1</f>
        <v>#DIV/0!</v>
      </c>
      <c r="CM212" s="185" t="e">
        <f>CM211/CI211-1</f>
        <v>#DIV/0!</v>
      </c>
      <c r="CN212" s="185"/>
      <c r="CO212" s="185" t="e">
        <f>CO211/CK211-1</f>
        <v>#DIV/0!</v>
      </c>
      <c r="CP212" s="185" t="e">
        <f>CP211/CL211-1</f>
        <v>#DIV/0!</v>
      </c>
      <c r="CQ212" s="185"/>
      <c r="CR212" s="185"/>
      <c r="CS212" s="185"/>
      <c r="CT212" s="185"/>
      <c r="CU212" s="185"/>
      <c r="CV212" s="185"/>
      <c r="CW212" s="185"/>
      <c r="CX212" s="159"/>
      <c r="CY212" s="159"/>
      <c r="CZ212" s="159"/>
      <c r="DA212" s="159"/>
      <c r="DB212" s="159"/>
      <c r="DC212" s="169"/>
      <c r="DD212" s="169"/>
      <c r="DE212" s="169"/>
      <c r="DF212" s="169"/>
      <c r="DG212" s="169"/>
      <c r="DH212" s="169"/>
    </row>
    <row r="213" spans="1:112">
      <c r="A213" s="226"/>
      <c r="B213" s="185"/>
      <c r="C213" s="185"/>
      <c r="D213" s="185"/>
      <c r="E213" s="185"/>
      <c r="F213" s="185"/>
      <c r="G213" s="185"/>
      <c r="H213" s="185"/>
      <c r="I213" s="185"/>
      <c r="J213" s="185"/>
      <c r="K213" s="185"/>
      <c r="L213" s="185"/>
      <c r="M213" s="185"/>
      <c r="N213" s="185"/>
      <c r="O213" s="185"/>
      <c r="P213" s="185"/>
      <c r="Q213" s="185"/>
      <c r="R213" s="185"/>
      <c r="S213" s="185"/>
      <c r="T213" s="185"/>
      <c r="U213" s="185"/>
      <c r="V213" s="185"/>
      <c r="W213" s="185"/>
      <c r="X213" s="185"/>
      <c r="Y213" s="185"/>
      <c r="Z213" s="185"/>
      <c r="AA213" s="185"/>
      <c r="AB213" s="185"/>
      <c r="AC213" s="185"/>
      <c r="AD213" s="185"/>
      <c r="AE213" s="185"/>
      <c r="AF213" s="185"/>
      <c r="AG213" s="185"/>
      <c r="AH213" s="185"/>
      <c r="AI213" s="185"/>
      <c r="AJ213" s="185"/>
      <c r="AK213" s="185"/>
      <c r="AL213" s="185"/>
      <c r="AM213" s="185"/>
      <c r="AN213" s="185"/>
      <c r="AO213" s="185"/>
      <c r="AP213" s="185"/>
      <c r="AQ213" s="185"/>
      <c r="AR213" s="185"/>
      <c r="AS213" s="185"/>
      <c r="AT213" s="185"/>
      <c r="AU213" s="185"/>
      <c r="AV213" s="185"/>
      <c r="AW213" s="185"/>
      <c r="AX213" s="185"/>
      <c r="AY213" s="185"/>
      <c r="AZ213" s="185"/>
      <c r="BA213" s="185"/>
      <c r="BB213" s="185"/>
      <c r="BC213" s="185"/>
      <c r="BD213" s="185"/>
      <c r="BE213" s="185"/>
      <c r="BF213" s="185"/>
      <c r="BG213" s="185"/>
      <c r="BH213" s="185"/>
      <c r="BI213" s="185"/>
      <c r="BJ213" s="185"/>
      <c r="BK213" s="185"/>
      <c r="BL213" s="185"/>
      <c r="BM213" s="185"/>
      <c r="BN213" s="185"/>
      <c r="BO213" s="185"/>
      <c r="BP213" s="185"/>
      <c r="BQ213" s="185"/>
      <c r="BR213" s="185"/>
      <c r="BS213" s="185"/>
      <c r="BT213" s="185"/>
      <c r="BU213" s="185"/>
      <c r="BV213" s="185"/>
      <c r="BW213" s="185"/>
      <c r="BX213" s="185"/>
      <c r="BY213" s="185"/>
      <c r="BZ213" s="185"/>
      <c r="CA213" s="185"/>
      <c r="CB213" s="185"/>
      <c r="CC213" s="185"/>
      <c r="CD213" s="185"/>
      <c r="CE213" s="185"/>
      <c r="CF213" s="185"/>
      <c r="CG213" s="185"/>
      <c r="CH213" s="185"/>
      <c r="CI213" s="185"/>
      <c r="CJ213" s="185"/>
      <c r="CK213" s="185"/>
      <c r="CL213" s="185"/>
      <c r="CM213" s="185"/>
      <c r="CN213" s="185"/>
      <c r="CO213" s="185"/>
      <c r="CP213" s="185"/>
      <c r="CQ213" s="185"/>
      <c r="CR213" s="185"/>
      <c r="CS213" s="185"/>
      <c r="CT213" s="185"/>
      <c r="CU213" s="185"/>
      <c r="CV213" s="185"/>
      <c r="CW213" s="185"/>
      <c r="CX213" s="159"/>
      <c r="CY213" s="159"/>
      <c r="CZ213" s="159"/>
      <c r="DA213" s="159"/>
      <c r="DB213" s="159"/>
      <c r="DC213" s="169"/>
      <c r="DD213" s="169"/>
      <c r="DE213" s="169"/>
      <c r="DF213" s="169"/>
      <c r="DG213" s="169"/>
      <c r="DH213" s="169"/>
    </row>
    <row r="214" spans="1:112">
      <c r="A214" s="226"/>
      <c r="B214" s="185"/>
      <c r="C214" s="185"/>
      <c r="D214" s="185"/>
      <c r="E214" s="185"/>
      <c r="F214" s="185"/>
      <c r="G214" s="185"/>
      <c r="H214" s="185"/>
      <c r="I214" s="185"/>
      <c r="J214" s="185"/>
      <c r="K214" s="185"/>
      <c r="L214" s="185"/>
      <c r="M214" s="185"/>
      <c r="N214" s="185"/>
      <c r="O214" s="185"/>
      <c r="P214" s="185"/>
      <c r="Q214" s="185"/>
      <c r="R214" s="185"/>
      <c r="S214" s="185"/>
      <c r="T214" s="185"/>
      <c r="U214" s="185"/>
      <c r="V214" s="185"/>
      <c r="W214" s="185"/>
      <c r="X214" s="185"/>
      <c r="Y214" s="185"/>
      <c r="Z214" s="185"/>
      <c r="AA214" s="185"/>
      <c r="AB214" s="185"/>
      <c r="AC214" s="185"/>
      <c r="AD214" s="185"/>
      <c r="AE214" s="185"/>
      <c r="AF214" s="185"/>
      <c r="AG214" s="185"/>
      <c r="AH214" s="185"/>
      <c r="AI214" s="185"/>
      <c r="AJ214" s="185"/>
      <c r="AK214" s="185"/>
      <c r="AL214" s="185"/>
      <c r="AM214" s="185"/>
      <c r="AN214" s="185"/>
      <c r="AO214" s="185"/>
      <c r="AP214" s="185"/>
      <c r="AQ214" s="185"/>
      <c r="AR214" s="185"/>
      <c r="AS214" s="185"/>
      <c r="AT214" s="185"/>
      <c r="AU214" s="185"/>
      <c r="AV214" s="185"/>
      <c r="AW214" s="185"/>
      <c r="AX214" s="185"/>
      <c r="AY214" s="185"/>
      <c r="AZ214" s="185"/>
      <c r="BA214" s="185"/>
      <c r="BB214" s="185"/>
      <c r="BC214" s="185"/>
      <c r="BD214" s="185"/>
      <c r="BE214" s="185"/>
      <c r="BF214" s="185"/>
      <c r="BG214" s="185"/>
      <c r="BH214" s="185"/>
      <c r="BI214" s="185"/>
      <c r="BJ214" s="185"/>
      <c r="BK214" s="185"/>
      <c r="BL214" s="185"/>
      <c r="BM214" s="185"/>
      <c r="BN214" s="185"/>
      <c r="BO214" s="185"/>
      <c r="BP214" s="185"/>
      <c r="BQ214" s="185"/>
      <c r="BR214" s="185"/>
      <c r="BS214" s="185"/>
      <c r="BT214" s="185"/>
      <c r="BU214" s="185"/>
      <c r="BV214" s="185"/>
      <c r="BW214" s="185"/>
      <c r="BX214" s="185"/>
      <c r="BY214" s="185"/>
      <c r="BZ214" s="185"/>
      <c r="CA214" s="185"/>
      <c r="CB214" s="185"/>
      <c r="CC214" s="185"/>
      <c r="CD214" s="185"/>
      <c r="CE214" s="185"/>
      <c r="CF214" s="185"/>
      <c r="CG214" s="185"/>
      <c r="CH214" s="185"/>
      <c r="CI214" s="185"/>
      <c r="CJ214" s="185"/>
      <c r="CK214" s="185"/>
      <c r="CL214" s="185"/>
      <c r="CM214" s="185"/>
      <c r="CN214" s="185"/>
      <c r="CO214" s="185"/>
      <c r="CP214" s="185"/>
      <c r="CQ214" s="185"/>
      <c r="CR214" s="185"/>
      <c r="CS214" s="185"/>
      <c r="CT214" s="185"/>
      <c r="CU214" s="185"/>
      <c r="CV214" s="185"/>
      <c r="CW214" s="185"/>
      <c r="CX214" s="159"/>
      <c r="CY214" s="159"/>
      <c r="CZ214" s="159"/>
      <c r="DA214" s="159"/>
      <c r="DB214" s="159"/>
      <c r="DC214" s="169"/>
      <c r="DD214" s="169"/>
      <c r="DE214" s="169"/>
      <c r="DF214" s="169"/>
      <c r="DG214" s="169"/>
      <c r="DH214" s="169"/>
    </row>
    <row r="215" spans="1:112">
      <c r="A215" s="226"/>
      <c r="B215" s="185"/>
      <c r="C215" s="185"/>
      <c r="D215" s="185"/>
      <c r="E215" s="185"/>
      <c r="F215" s="185"/>
      <c r="G215" s="185"/>
      <c r="H215" s="185"/>
      <c r="I215" s="185"/>
      <c r="J215" s="185"/>
      <c r="K215" s="185"/>
      <c r="L215" s="185"/>
      <c r="M215" s="185"/>
      <c r="N215" s="185"/>
      <c r="O215" s="185"/>
      <c r="P215" s="185"/>
      <c r="Q215" s="185"/>
      <c r="R215" s="185"/>
      <c r="S215" s="185"/>
      <c r="T215" s="185"/>
      <c r="U215" s="185"/>
      <c r="V215" s="185"/>
      <c r="W215" s="185"/>
      <c r="X215" s="185"/>
      <c r="Y215" s="185"/>
      <c r="Z215" s="185"/>
      <c r="AA215" s="185"/>
      <c r="AB215" s="185"/>
      <c r="AC215" s="185"/>
      <c r="AD215" s="185"/>
      <c r="AE215" s="185"/>
      <c r="AF215" s="185"/>
      <c r="AG215" s="185"/>
      <c r="AH215" s="185"/>
      <c r="AI215" s="185"/>
      <c r="AJ215" s="185"/>
      <c r="AK215" s="185"/>
      <c r="AL215" s="185"/>
      <c r="AM215" s="185"/>
      <c r="AN215" s="185"/>
      <c r="AO215" s="185"/>
      <c r="AP215" s="185"/>
      <c r="AQ215" s="185"/>
      <c r="AR215" s="185"/>
      <c r="AS215" s="185"/>
      <c r="AT215" s="185"/>
      <c r="AU215" s="185"/>
      <c r="AV215" s="185"/>
      <c r="AW215" s="185"/>
      <c r="AX215" s="185"/>
      <c r="AY215" s="185"/>
      <c r="AZ215" s="185"/>
      <c r="BA215" s="185"/>
      <c r="BB215" s="185"/>
      <c r="BC215" s="185"/>
      <c r="BD215" s="185"/>
      <c r="BE215" s="185"/>
      <c r="BF215" s="185"/>
      <c r="BG215" s="185"/>
      <c r="BH215" s="185"/>
      <c r="BI215" s="185"/>
      <c r="BJ215" s="185"/>
      <c r="BK215" s="185"/>
      <c r="BL215" s="185"/>
      <c r="BM215" s="185"/>
      <c r="BN215" s="185"/>
      <c r="BO215" s="185"/>
      <c r="BP215" s="185"/>
      <c r="BQ215" s="185"/>
      <c r="BR215" s="185"/>
      <c r="BS215" s="185"/>
      <c r="BT215" s="185"/>
      <c r="BU215" s="185"/>
      <c r="BV215" s="185"/>
      <c r="BW215" s="185"/>
      <c r="BX215" s="185"/>
      <c r="BY215" s="185"/>
      <c r="BZ215" s="185"/>
      <c r="CA215" s="185"/>
      <c r="CB215" s="185"/>
      <c r="CC215" s="185"/>
      <c r="CD215" s="185"/>
      <c r="CE215" s="185"/>
      <c r="CF215" s="185"/>
      <c r="CG215" s="185"/>
      <c r="CH215" s="185"/>
      <c r="CI215" s="185"/>
      <c r="CJ215" s="185"/>
      <c r="CK215" s="185"/>
      <c r="CL215" s="185"/>
      <c r="CM215" s="185"/>
      <c r="CN215" s="185"/>
      <c r="CO215" s="185"/>
      <c r="CP215" s="185"/>
      <c r="CQ215" s="185"/>
      <c r="CR215" s="185"/>
      <c r="CS215" s="185"/>
      <c r="CT215" s="185"/>
      <c r="CU215" s="185"/>
      <c r="CV215" s="185"/>
      <c r="CW215" s="185"/>
      <c r="CX215" s="159"/>
      <c r="CY215" s="159"/>
      <c r="CZ215" s="159"/>
      <c r="DA215" s="159"/>
      <c r="DB215" s="159"/>
      <c r="DC215" s="169"/>
      <c r="DD215" s="169"/>
      <c r="DE215" s="169"/>
      <c r="DF215" s="169"/>
      <c r="DG215" s="169"/>
      <c r="DH215" s="169"/>
    </row>
    <row r="216" spans="1:112">
      <c r="A216" s="276"/>
      <c r="B216" s="255"/>
      <c r="C216" s="255"/>
      <c r="D216" s="255"/>
      <c r="E216" s="255"/>
      <c r="F216" s="255"/>
      <c r="G216" s="255"/>
      <c r="H216" s="255"/>
      <c r="I216" s="255"/>
      <c r="J216" s="255"/>
      <c r="K216" s="255"/>
      <c r="L216" s="255"/>
      <c r="M216" s="255"/>
      <c r="N216" s="255"/>
      <c r="O216" s="255"/>
      <c r="P216" s="255"/>
      <c r="Q216" s="255"/>
      <c r="R216" s="255"/>
      <c r="S216" s="255"/>
      <c r="T216" s="255"/>
      <c r="U216" s="255"/>
      <c r="V216" s="255"/>
      <c r="W216" s="255"/>
      <c r="X216" s="255"/>
      <c r="Y216" s="255"/>
      <c r="Z216" s="255"/>
      <c r="AA216" s="255"/>
      <c r="AB216" s="255"/>
      <c r="AC216" s="255"/>
      <c r="AD216" s="255"/>
      <c r="AE216" s="255"/>
      <c r="AF216" s="255"/>
      <c r="AG216" s="255"/>
      <c r="AH216" s="255"/>
      <c r="AI216" s="255"/>
      <c r="AJ216" s="255"/>
      <c r="AK216" s="255"/>
      <c r="AL216" s="255"/>
      <c r="AM216" s="255"/>
      <c r="AN216" s="255"/>
      <c r="AO216" s="255"/>
      <c r="AP216" s="255"/>
      <c r="AQ216" s="255"/>
      <c r="AR216" s="255"/>
      <c r="AS216" s="255"/>
      <c r="AT216" s="255"/>
      <c r="AU216" s="255"/>
      <c r="AV216" s="255"/>
      <c r="AW216" s="255"/>
      <c r="AX216" s="255"/>
      <c r="AY216" s="255"/>
      <c r="AZ216" s="255"/>
      <c r="BA216" s="255"/>
      <c r="BB216" s="255"/>
      <c r="BC216" s="255"/>
      <c r="BD216" s="255"/>
      <c r="BE216" s="255"/>
      <c r="BF216" s="255"/>
      <c r="BG216" s="255"/>
      <c r="BH216" s="255"/>
      <c r="BI216" s="255"/>
      <c r="BJ216" s="255"/>
      <c r="BK216" s="255"/>
      <c r="BL216" s="255"/>
      <c r="BM216" s="255"/>
      <c r="BN216" s="255"/>
      <c r="BO216" s="255"/>
      <c r="BP216" s="255"/>
      <c r="BQ216" s="255"/>
      <c r="BR216" s="255"/>
      <c r="BS216" s="255"/>
      <c r="BT216" s="255"/>
      <c r="BU216" s="255"/>
      <c r="BV216" s="255"/>
      <c r="BW216" s="255"/>
      <c r="BX216" s="255"/>
      <c r="BY216" s="255"/>
      <c r="BZ216" s="255"/>
      <c r="CA216" s="255"/>
      <c r="CB216" s="255"/>
      <c r="CC216" s="255"/>
      <c r="CD216" s="255"/>
      <c r="CE216" s="255"/>
      <c r="CF216" s="255"/>
      <c r="CG216" s="255"/>
      <c r="CH216" s="255"/>
      <c r="CI216" s="255"/>
      <c r="CJ216" s="255"/>
      <c r="CK216" s="255"/>
      <c r="CL216" s="255"/>
      <c r="CM216" s="255"/>
      <c r="CN216" s="255"/>
      <c r="CO216" s="255"/>
      <c r="CP216" s="255"/>
      <c r="CQ216" s="255"/>
      <c r="CR216" s="255"/>
      <c r="CS216" s="255"/>
      <c r="CT216" s="255"/>
      <c r="CU216" s="255"/>
      <c r="CV216" s="255"/>
      <c r="CW216" s="255"/>
      <c r="CX216" s="159"/>
      <c r="CY216" s="159"/>
      <c r="CZ216" s="159"/>
      <c r="DA216" s="159"/>
      <c r="DB216" s="159"/>
      <c r="DC216" s="169"/>
      <c r="DD216" s="169"/>
      <c r="DE216" s="169"/>
      <c r="DF216" s="169"/>
      <c r="DG216" s="169"/>
      <c r="DH216" s="169"/>
    </row>
    <row r="217" spans="1:112">
      <c r="A217" s="164" t="s">
        <v>249</v>
      </c>
      <c r="B217" s="164">
        <f>B133</f>
        <v>2007</v>
      </c>
      <c r="C217" s="164"/>
      <c r="D217" s="164"/>
      <c r="E217" s="164"/>
      <c r="F217" s="164"/>
      <c r="G217" s="164">
        <f>B217+1</f>
        <v>2008</v>
      </c>
      <c r="H217" s="164"/>
      <c r="I217" s="164"/>
      <c r="J217" s="164"/>
      <c r="K217" s="164"/>
      <c r="L217" s="164">
        <f>G217+1</f>
        <v>2009</v>
      </c>
      <c r="M217" s="164"/>
      <c r="N217" s="164"/>
      <c r="O217" s="164"/>
      <c r="P217" s="164"/>
      <c r="Q217" s="164">
        <f>L217+1</f>
        <v>2010</v>
      </c>
      <c r="R217" s="164"/>
      <c r="S217" s="164"/>
      <c r="T217" s="164"/>
      <c r="U217" s="164"/>
      <c r="V217" s="164">
        <f>Q217+1</f>
        <v>2011</v>
      </c>
      <c r="W217" s="164"/>
      <c r="X217" s="164"/>
      <c r="Y217" s="164"/>
      <c r="Z217" s="164"/>
      <c r="AA217" s="164">
        <f>V217+1</f>
        <v>2012</v>
      </c>
      <c r="AB217" s="164"/>
      <c r="AC217" s="164"/>
      <c r="AD217" s="164"/>
      <c r="AE217" s="164"/>
      <c r="AF217" s="164">
        <f>AA217+1</f>
        <v>2013</v>
      </c>
      <c r="AG217" s="164"/>
      <c r="AH217" s="164"/>
      <c r="AI217" s="164"/>
      <c r="AJ217" s="164"/>
      <c r="AK217" s="164">
        <f>AF217+1</f>
        <v>2014</v>
      </c>
      <c r="AL217" s="164"/>
      <c r="AM217" s="164"/>
      <c r="AN217" s="164"/>
      <c r="AO217" s="164"/>
      <c r="AP217" s="164">
        <f>AK217+1</f>
        <v>2015</v>
      </c>
      <c r="AQ217" s="164"/>
      <c r="AR217" s="164"/>
      <c r="AS217" s="164"/>
      <c r="AT217" s="164"/>
      <c r="AU217" s="164">
        <f>AP217+1</f>
        <v>2016</v>
      </c>
      <c r="AV217" s="164"/>
      <c r="AW217" s="164"/>
      <c r="AX217" s="164"/>
      <c r="AY217" s="164"/>
      <c r="AZ217" s="164">
        <f>AU217+1</f>
        <v>2017</v>
      </c>
      <c r="BA217" s="164"/>
      <c r="BB217" s="164"/>
      <c r="BC217" s="164"/>
      <c r="BD217" s="164"/>
      <c r="BE217" s="164">
        <f>AZ217+1</f>
        <v>2018</v>
      </c>
      <c r="BF217" s="164"/>
      <c r="BG217" s="164"/>
      <c r="BH217" s="164"/>
      <c r="BI217" s="164"/>
      <c r="BJ217" s="164">
        <f>BE217+1</f>
        <v>2019</v>
      </c>
      <c r="BK217" s="164"/>
      <c r="BL217" s="164"/>
      <c r="BM217" s="164"/>
      <c r="BN217" s="164"/>
      <c r="BO217" s="164">
        <f>BJ217+1</f>
        <v>2020</v>
      </c>
      <c r="BP217" s="164"/>
      <c r="BQ217" s="164"/>
      <c r="BR217" s="164"/>
      <c r="BS217" s="164"/>
      <c r="BT217" s="164">
        <f>BO217+1</f>
        <v>2021</v>
      </c>
      <c r="BU217" s="164"/>
      <c r="BV217" s="164"/>
      <c r="BW217" s="164"/>
      <c r="BX217" s="164"/>
      <c r="BY217" s="164">
        <f>BT217+1</f>
        <v>2022</v>
      </c>
      <c r="BZ217" s="164"/>
      <c r="CA217" s="164"/>
      <c r="CB217" s="164"/>
      <c r="CC217" s="164"/>
      <c r="CD217" s="164">
        <f>BY217+1</f>
        <v>2023</v>
      </c>
      <c r="CE217" s="164"/>
      <c r="CF217" s="164"/>
      <c r="CG217" s="164"/>
      <c r="CH217" s="164"/>
      <c r="CI217" s="164">
        <f>CD217+1</f>
        <v>2024</v>
      </c>
      <c r="CJ217" s="164"/>
      <c r="CK217" s="164"/>
      <c r="CL217" s="164"/>
      <c r="CM217" s="164"/>
      <c r="CN217" s="164">
        <f>CI217+1</f>
        <v>2025</v>
      </c>
      <c r="CO217" s="164"/>
      <c r="CP217" s="164"/>
      <c r="CQ217" s="164">
        <f>CN217+1</f>
        <v>2026</v>
      </c>
      <c r="CR217" s="164">
        <f t="shared" ref="CR217:CS217" si="785">CQ217+1</f>
        <v>2027</v>
      </c>
      <c r="CS217" s="164">
        <f t="shared" si="785"/>
        <v>2028</v>
      </c>
      <c r="CT217" s="164">
        <f t="shared" ref="CT217" si="786">CS217+1</f>
        <v>2029</v>
      </c>
      <c r="CU217" s="164">
        <f t="shared" ref="CU217" si="787">CT217+1</f>
        <v>2030</v>
      </c>
      <c r="CV217" s="164">
        <f t="shared" ref="CV217:CW217" si="788">CU217+1</f>
        <v>2031</v>
      </c>
      <c r="CW217" s="164">
        <f t="shared" si="788"/>
        <v>2032</v>
      </c>
      <c r="CX217" s="159"/>
      <c r="CY217" s="159"/>
      <c r="CZ217" s="159"/>
      <c r="DA217" s="159"/>
      <c r="DB217" s="159"/>
      <c r="DC217" s="169"/>
      <c r="DD217" s="169"/>
      <c r="DE217" s="169"/>
      <c r="DF217" s="169"/>
      <c r="DG217" s="169"/>
      <c r="DH217" s="169"/>
    </row>
    <row r="218" spans="1:112">
      <c r="A218" s="203"/>
      <c r="B218" s="203"/>
      <c r="C218" s="203"/>
      <c r="D218" s="203"/>
      <c r="E218" s="203"/>
      <c r="F218" s="203"/>
      <c r="G218" s="203"/>
      <c r="H218" s="203"/>
      <c r="I218" s="203"/>
      <c r="J218" s="203"/>
      <c r="K218" s="203"/>
      <c r="L218" s="203"/>
      <c r="M218" s="203"/>
      <c r="N218" s="203"/>
      <c r="O218" s="203"/>
      <c r="P218" s="203"/>
      <c r="Q218" s="203"/>
      <c r="R218" s="203"/>
      <c r="S218" s="203"/>
      <c r="T218" s="203"/>
      <c r="U218" s="203"/>
      <c r="V218" s="203"/>
      <c r="W218" s="203"/>
      <c r="X218" s="203"/>
      <c r="Y218" s="203"/>
      <c r="Z218" s="203"/>
      <c r="AA218" s="203"/>
      <c r="AB218" s="203"/>
      <c r="AC218" s="203"/>
      <c r="AD218" s="203"/>
      <c r="AE218" s="203"/>
      <c r="AF218" s="203"/>
      <c r="AG218" s="203"/>
      <c r="AH218" s="203"/>
      <c r="AI218" s="203"/>
      <c r="AJ218" s="203"/>
      <c r="AK218" s="203"/>
      <c r="AL218" s="203"/>
      <c r="AM218" s="203"/>
      <c r="AN218" s="203"/>
      <c r="AO218" s="203"/>
      <c r="AP218" s="203"/>
      <c r="AQ218" s="203"/>
      <c r="AR218" s="203"/>
      <c r="AS218" s="203"/>
      <c r="AT218" s="203"/>
      <c r="AU218" s="203"/>
      <c r="AV218" s="203"/>
      <c r="AW218" s="203"/>
      <c r="AX218" s="203"/>
      <c r="AY218" s="203"/>
      <c r="AZ218" s="203"/>
      <c r="BA218" s="203"/>
      <c r="BB218" s="203"/>
      <c r="BC218" s="203"/>
      <c r="BD218" s="203"/>
      <c r="BE218" s="203"/>
      <c r="BF218" s="203"/>
      <c r="BG218" s="203"/>
      <c r="BH218" s="203"/>
      <c r="BI218" s="203"/>
      <c r="BJ218" s="203"/>
      <c r="BK218" s="203"/>
      <c r="BL218" s="203"/>
      <c r="BM218" s="203"/>
      <c r="BN218" s="203"/>
      <c r="BO218" s="203"/>
      <c r="BP218" s="203"/>
      <c r="BQ218" s="203"/>
      <c r="BR218" s="203"/>
      <c r="BS218" s="203"/>
      <c r="BT218" s="203"/>
      <c r="BU218" s="203"/>
      <c r="BV218" s="203"/>
      <c r="BW218" s="203"/>
      <c r="BX218" s="203"/>
      <c r="BY218" s="203"/>
      <c r="BZ218" s="203"/>
      <c r="CA218" s="203"/>
      <c r="CB218" s="203"/>
      <c r="CC218" s="203"/>
      <c r="CD218" s="203"/>
      <c r="CE218" s="203"/>
      <c r="CF218" s="203"/>
      <c r="CG218" s="203"/>
      <c r="CH218" s="203"/>
      <c r="CI218" s="203"/>
      <c r="CJ218" s="203"/>
      <c r="CK218" s="203"/>
      <c r="CL218" s="203"/>
      <c r="CM218" s="203"/>
      <c r="CN218" s="203"/>
      <c r="CO218" s="203"/>
      <c r="CP218" s="203"/>
      <c r="CQ218" s="203"/>
      <c r="CR218" s="203"/>
      <c r="CS218" s="203"/>
      <c r="CT218" s="203"/>
      <c r="CU218" s="203"/>
      <c r="CV218" s="203"/>
      <c r="CW218" s="203"/>
      <c r="CX218" s="159"/>
      <c r="CY218" s="159"/>
      <c r="CZ218" s="159"/>
      <c r="DA218" s="159"/>
      <c r="DB218" s="159"/>
      <c r="DC218" s="169"/>
      <c r="DD218" s="169"/>
      <c r="DE218" s="169"/>
      <c r="DF218" s="169"/>
      <c r="DG218" s="169"/>
      <c r="DH218" s="169"/>
    </row>
    <row r="219" spans="1:112">
      <c r="A219" s="536" t="s">
        <v>751</v>
      </c>
      <c r="B219" s="203"/>
      <c r="C219" s="203"/>
      <c r="D219" s="203"/>
      <c r="E219" s="203"/>
      <c r="F219" s="203"/>
      <c r="G219" s="203"/>
      <c r="H219" s="203"/>
      <c r="I219" s="203"/>
      <c r="J219" s="203"/>
      <c r="K219" s="203"/>
      <c r="L219" s="203"/>
      <c r="M219" s="203"/>
      <c r="N219" s="203"/>
      <c r="O219" s="203"/>
      <c r="P219" s="203"/>
      <c r="Q219" s="203"/>
      <c r="R219" s="203"/>
      <c r="S219" s="203"/>
      <c r="T219" s="203"/>
      <c r="U219" s="203"/>
      <c r="V219" s="203"/>
      <c r="W219" s="203"/>
      <c r="X219" s="203"/>
      <c r="Y219" s="203"/>
      <c r="Z219" s="203"/>
      <c r="AA219" s="203"/>
      <c r="AB219" s="203"/>
      <c r="AC219" s="203"/>
      <c r="AD219" s="203"/>
      <c r="AE219" s="203"/>
      <c r="AF219" s="203"/>
      <c r="AG219" s="203"/>
      <c r="AH219" s="203"/>
      <c r="AI219" s="203"/>
      <c r="AJ219" s="203"/>
      <c r="AK219" s="203"/>
      <c r="AL219" s="203"/>
      <c r="AM219" s="203"/>
      <c r="AN219" s="203"/>
      <c r="AO219" s="203"/>
      <c r="AP219" s="203"/>
      <c r="AQ219" s="203"/>
      <c r="AR219" s="203"/>
      <c r="AS219" s="203"/>
      <c r="AT219" s="203"/>
      <c r="AU219" s="203"/>
      <c r="AV219" s="203"/>
      <c r="AW219" s="203"/>
      <c r="AX219" s="203"/>
      <c r="AY219" s="203"/>
      <c r="AZ219" s="203"/>
      <c r="BA219" s="203"/>
      <c r="BB219" s="203"/>
      <c r="BC219" s="203"/>
      <c r="BD219" s="203"/>
      <c r="BE219" s="203"/>
      <c r="BF219" s="203"/>
      <c r="BG219" s="203"/>
      <c r="BH219" s="203"/>
      <c r="BI219" s="203"/>
      <c r="BJ219" s="203"/>
      <c r="BK219" s="203"/>
      <c r="BL219" s="203"/>
      <c r="BM219" s="203"/>
      <c r="BN219" s="203"/>
      <c r="BO219" s="203"/>
      <c r="BP219" s="203"/>
      <c r="BQ219" s="203"/>
      <c r="BR219" s="203"/>
      <c r="BS219" s="203"/>
      <c r="BT219" s="203"/>
      <c r="BU219" s="203"/>
      <c r="BV219" s="203"/>
      <c r="BW219" s="203"/>
      <c r="BX219" s="203"/>
      <c r="BY219" s="203"/>
      <c r="BZ219" s="203"/>
      <c r="CA219" s="203"/>
      <c r="CB219" s="203"/>
      <c r="CC219" s="203"/>
      <c r="CD219" s="203"/>
      <c r="CE219" s="203"/>
      <c r="CF219" s="203"/>
      <c r="CG219" s="203"/>
      <c r="CH219" s="203"/>
      <c r="CI219" s="203"/>
      <c r="CJ219" s="203"/>
      <c r="CK219" s="203"/>
      <c r="CL219" s="203"/>
      <c r="CM219" s="203"/>
      <c r="CN219" s="203"/>
      <c r="CO219" s="203"/>
      <c r="CP219" s="203"/>
      <c r="CQ219" s="203"/>
      <c r="CR219" s="203"/>
      <c r="CS219" s="203"/>
      <c r="CT219" s="203"/>
      <c r="CU219" s="203"/>
      <c r="CV219" s="203"/>
      <c r="CW219" s="203"/>
      <c r="CX219" s="159"/>
      <c r="CY219" s="159"/>
      <c r="CZ219" s="159"/>
      <c r="DA219" s="159"/>
      <c r="DB219" s="159"/>
      <c r="DC219" s="169"/>
      <c r="DD219" s="169"/>
      <c r="DE219" s="169"/>
      <c r="DF219" s="169"/>
      <c r="DG219" s="169"/>
      <c r="DH219" s="169"/>
    </row>
    <row r="220" spans="1:112" hidden="1" outlineLevel="1">
      <c r="A220" s="277" t="s">
        <v>250</v>
      </c>
      <c r="B220" s="204"/>
      <c r="C220" s="204"/>
      <c r="D220" s="204"/>
      <c r="E220" s="204"/>
      <c r="F220" s="204"/>
      <c r="G220" s="204"/>
      <c r="H220" s="204"/>
      <c r="I220" s="204"/>
      <c r="J220" s="204"/>
      <c r="K220" s="204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251">
        <v>1160</v>
      </c>
      <c r="X220" s="251">
        <v>1162</v>
      </c>
      <c r="Y220" s="251">
        <v>1167</v>
      </c>
      <c r="Z220" s="251">
        <v>1182</v>
      </c>
      <c r="AA220" s="251">
        <f>SUM(W220:Z220)</f>
        <v>4671</v>
      </c>
      <c r="AB220" s="251">
        <v>1147</v>
      </c>
      <c r="AC220" s="251">
        <v>1134</v>
      </c>
      <c r="AD220" s="251">
        <v>1148</v>
      </c>
      <c r="AE220" s="251">
        <v>1126</v>
      </c>
      <c r="AF220" s="251">
        <v>4555</v>
      </c>
      <c r="AG220" s="251">
        <v>1096</v>
      </c>
      <c r="AH220" s="251">
        <v>1088</v>
      </c>
      <c r="AI220" s="251">
        <v>1090</v>
      </c>
      <c r="AJ220" s="251">
        <v>1096</v>
      </c>
      <c r="AK220" s="251">
        <v>4370</v>
      </c>
      <c r="AL220" s="167"/>
      <c r="AM220" s="167"/>
      <c r="AN220" s="167"/>
      <c r="AO220" s="167"/>
      <c r="AP220" s="167"/>
      <c r="AQ220" s="167"/>
      <c r="AR220" s="167"/>
      <c r="AS220" s="167"/>
      <c r="AT220" s="167"/>
      <c r="AU220" s="167">
        <f>AU125*AU129</f>
        <v>3717.5752921789108</v>
      </c>
      <c r="AV220" s="167"/>
      <c r="AW220" s="167"/>
      <c r="AX220" s="167"/>
      <c r="AY220" s="167"/>
      <c r="AZ220" s="167">
        <f>AZ125*AZ129</f>
        <v>3246.9635703884701</v>
      </c>
      <c r="BA220" s="167"/>
      <c r="BB220" s="167"/>
      <c r="BC220" s="167"/>
      <c r="BD220" s="167"/>
      <c r="BE220" s="167">
        <f>BE125*BE129</f>
        <v>2781.0060415041285</v>
      </c>
      <c r="BF220" s="167"/>
      <c r="BG220" s="167"/>
      <c r="BH220" s="167"/>
      <c r="BI220" s="167"/>
      <c r="BJ220" s="167">
        <f>BJ125*BJ129</f>
        <v>2668.2456772461283</v>
      </c>
      <c r="BK220" s="167"/>
      <c r="BL220" s="167"/>
      <c r="BM220" s="167"/>
      <c r="BN220" s="167"/>
      <c r="BO220" s="167">
        <f>BO125*BO129</f>
        <v>2579.4208256667466</v>
      </c>
      <c r="BP220" s="167"/>
      <c r="BQ220" s="167"/>
      <c r="BR220" s="167"/>
      <c r="BS220" s="167"/>
      <c r="BT220" s="167">
        <f>BT125*BT129</f>
        <v>2505.7470887158797</v>
      </c>
      <c r="BU220" s="213"/>
      <c r="BV220" s="213"/>
      <c r="BW220" s="213"/>
      <c r="BX220" s="213"/>
      <c r="BY220" s="167">
        <f>BY125*BY129</f>
        <v>2445.4123996153016</v>
      </c>
      <c r="BZ220" s="213"/>
      <c r="CA220" s="213"/>
      <c r="CB220" s="213"/>
      <c r="CC220" s="213"/>
      <c r="CD220" s="167">
        <f t="shared" ref="CD220:CS220" si="789">CD125*CD129</f>
        <v>2413.4887950644297</v>
      </c>
      <c r="CE220" s="213"/>
      <c r="CF220" s="213"/>
      <c r="CG220" s="213"/>
      <c r="CH220" s="213"/>
      <c r="CI220" s="167">
        <f t="shared" si="789"/>
        <v>2397.2010251919837</v>
      </c>
      <c r="CJ220" s="213"/>
      <c r="CK220" s="213"/>
      <c r="CL220" s="213"/>
      <c r="CM220" s="213"/>
      <c r="CN220" s="167">
        <f t="shared" ref="CN220" si="790">CN125*CN129</f>
        <v>2368.0885197709144</v>
      </c>
      <c r="CO220" s="213"/>
      <c r="CP220" s="213"/>
      <c r="CQ220" s="167">
        <f t="shared" si="789"/>
        <v>2340.2710333195459</v>
      </c>
      <c r="CR220" s="167">
        <f t="shared" si="789"/>
        <v>2267.9013838921405</v>
      </c>
      <c r="CS220" s="167">
        <f t="shared" si="789"/>
        <v>2202.8220007030241</v>
      </c>
      <c r="CT220" s="167">
        <f t="shared" ref="CT220:CV220" si="791">CT125*CT129</f>
        <v>2138.1899308637271</v>
      </c>
      <c r="CU220" s="167">
        <f t="shared" si="791"/>
        <v>2074.2282558276734</v>
      </c>
      <c r="CV220" s="167">
        <f t="shared" si="791"/>
        <v>2011.1209555570756</v>
      </c>
      <c r="CW220" s="167">
        <f t="shared" ref="CW220" si="792">CW125*CW129</f>
        <v>1949.0183845186655</v>
      </c>
      <c r="CX220" s="159"/>
      <c r="CY220" s="159"/>
      <c r="CZ220" s="159"/>
      <c r="DA220" s="159"/>
      <c r="DB220" s="159"/>
      <c r="DC220" s="169"/>
      <c r="DD220" s="169"/>
      <c r="DE220" s="169"/>
      <c r="DF220" s="169"/>
      <c r="DG220" s="169"/>
      <c r="DH220" s="169"/>
    </row>
    <row r="221" spans="1:112" hidden="1" outlineLevel="1">
      <c r="A221" s="277" t="s">
        <v>561</v>
      </c>
      <c r="B221" s="204"/>
      <c r="C221" s="204"/>
      <c r="D221" s="204"/>
      <c r="E221" s="204"/>
      <c r="F221" s="204"/>
      <c r="G221" s="204"/>
      <c r="H221" s="204"/>
      <c r="I221" s="204"/>
      <c r="J221" s="204"/>
      <c r="K221" s="204"/>
      <c r="L221" s="204"/>
      <c r="M221" s="204"/>
      <c r="N221" s="204"/>
      <c r="O221" s="204"/>
      <c r="P221" s="204"/>
      <c r="Q221" s="204"/>
      <c r="R221" s="204"/>
      <c r="S221" s="204"/>
      <c r="T221" s="204"/>
      <c r="U221" s="204"/>
      <c r="V221" s="204"/>
      <c r="W221" s="204" t="e">
        <f t="shared" ref="W221:AK221" si="793">W220/R220-1</f>
        <v>#DIV/0!</v>
      </c>
      <c r="X221" s="204" t="e">
        <f t="shared" si="793"/>
        <v>#DIV/0!</v>
      </c>
      <c r="Y221" s="204" t="e">
        <f t="shared" si="793"/>
        <v>#DIV/0!</v>
      </c>
      <c r="Z221" s="204" t="e">
        <f t="shared" si="793"/>
        <v>#DIV/0!</v>
      </c>
      <c r="AA221" s="204" t="e">
        <f t="shared" si="793"/>
        <v>#DIV/0!</v>
      </c>
      <c r="AB221" s="204">
        <f t="shared" si="793"/>
        <v>-1.1206896551724133E-2</v>
      </c>
      <c r="AC221" s="204">
        <f t="shared" si="793"/>
        <v>-2.4096385542168641E-2</v>
      </c>
      <c r="AD221" s="204">
        <f t="shared" si="793"/>
        <v>-1.6281062553556103E-2</v>
      </c>
      <c r="AE221" s="204">
        <f t="shared" si="793"/>
        <v>-4.7377326565143818E-2</v>
      </c>
      <c r="AF221" s="204">
        <f t="shared" si="793"/>
        <v>-2.4834082637550825E-2</v>
      </c>
      <c r="AG221" s="204">
        <f t="shared" si="793"/>
        <v>-4.4463818657367038E-2</v>
      </c>
      <c r="AH221" s="204">
        <f t="shared" si="793"/>
        <v>-4.0564373897707284E-2</v>
      </c>
      <c r="AI221" s="204">
        <f t="shared" si="793"/>
        <v>-5.0522648083623722E-2</v>
      </c>
      <c r="AJ221" s="204">
        <f t="shared" si="793"/>
        <v>-2.6642984014209614E-2</v>
      </c>
      <c r="AK221" s="204">
        <f t="shared" si="793"/>
        <v>-4.0614709110867175E-2</v>
      </c>
      <c r="AL221" s="204"/>
      <c r="AM221" s="204"/>
      <c r="AN221" s="204"/>
      <c r="AO221" s="204"/>
      <c r="AP221" s="204"/>
      <c r="AQ221" s="204"/>
      <c r="AR221" s="204"/>
      <c r="AS221" s="204"/>
      <c r="AT221" s="204"/>
      <c r="AU221" s="204" t="e">
        <f>AU220/AP220-1</f>
        <v>#DIV/0!</v>
      </c>
      <c r="AV221" s="204"/>
      <c r="AW221" s="204"/>
      <c r="AX221" s="204"/>
      <c r="AY221" s="204"/>
      <c r="AZ221" s="204">
        <f>AZ220/AU220-1</f>
        <v>-0.1265910398050365</v>
      </c>
      <c r="BA221" s="204"/>
      <c r="BB221" s="204"/>
      <c r="BC221" s="204"/>
      <c r="BD221" s="204"/>
      <c r="BE221" s="204">
        <f>BE220/AZ220-1</f>
        <v>-0.14350562264811428</v>
      </c>
      <c r="BF221" s="204"/>
      <c r="BG221" s="204"/>
      <c r="BH221" s="204"/>
      <c r="BI221" s="204"/>
      <c r="BJ221" s="204">
        <f>BJ220/BE220-1</f>
        <v>-4.0546608880077439E-2</v>
      </c>
      <c r="BK221" s="204"/>
      <c r="BL221" s="204"/>
      <c r="BM221" s="204"/>
      <c r="BN221" s="204"/>
      <c r="BO221" s="204">
        <f>BO220/BJ220-1</f>
        <v>-3.32896076012974E-2</v>
      </c>
      <c r="BP221" s="204"/>
      <c r="BQ221" s="204"/>
      <c r="BR221" s="204"/>
      <c r="BS221" s="204"/>
      <c r="BT221" s="204">
        <f>BT220/BO220-1</f>
        <v>-2.856212379840084E-2</v>
      </c>
      <c r="BU221" s="185"/>
      <c r="BV221" s="185"/>
      <c r="BW221" s="185"/>
      <c r="BX221" s="185"/>
      <c r="BY221" s="204">
        <f>BY220/BT220-1</f>
        <v>-2.4078523076923042E-2</v>
      </c>
      <c r="BZ221" s="185"/>
      <c r="CA221" s="185"/>
      <c r="CB221" s="185"/>
      <c r="CC221" s="185"/>
      <c r="CD221" s="204">
        <f>CD220/BY220-1</f>
        <v>-1.3054487069704024E-2</v>
      </c>
      <c r="CE221" s="185"/>
      <c r="CF221" s="185"/>
      <c r="CG221" s="185"/>
      <c r="CH221" s="185"/>
      <c r="CI221" s="204">
        <f>CI220/CD220-1</f>
        <v>-6.7486411810796509E-3</v>
      </c>
      <c r="CJ221" s="185"/>
      <c r="CK221" s="185"/>
      <c r="CL221" s="185"/>
      <c r="CM221" s="185"/>
      <c r="CN221" s="204">
        <f>CN220/CI220-1</f>
        <v>-1.2144373840628497E-2</v>
      </c>
      <c r="CO221" s="185"/>
      <c r="CP221" s="185"/>
      <c r="CQ221" s="204">
        <f>CQ220/CN220-1</f>
        <v>-1.1746810230750748E-2</v>
      </c>
      <c r="CR221" s="204">
        <f t="shared" ref="CR221:CS221" si="794">CR220/CQ220-1</f>
        <v>-3.0923618844588718E-2</v>
      </c>
      <c r="CS221" s="204">
        <f t="shared" si="794"/>
        <v>-2.8695861139000689E-2</v>
      </c>
      <c r="CT221" s="204">
        <f t="shared" ref="CT221" si="795">CT220/CS220-1</f>
        <v>-2.9340577594862305E-2</v>
      </c>
      <c r="CU221" s="204">
        <f t="shared" ref="CU221" si="796">CU220/CT220-1</f>
        <v>-2.9913935199487263E-2</v>
      </c>
      <c r="CV221" s="204">
        <f t="shared" ref="CV221:CW221" si="797">CV220/CU220-1</f>
        <v>-3.0424472375831235E-2</v>
      </c>
      <c r="CW221" s="204">
        <f t="shared" si="797"/>
        <v>-3.0879580299141174E-2</v>
      </c>
      <c r="CX221" s="159"/>
      <c r="CY221" s="159"/>
      <c r="CZ221" s="159"/>
      <c r="DA221" s="159"/>
      <c r="DB221" s="159"/>
      <c r="DC221" s="169"/>
      <c r="DD221" s="169"/>
      <c r="DE221" s="169"/>
      <c r="DF221" s="169"/>
      <c r="DG221" s="169"/>
      <c r="DH221" s="169"/>
    </row>
    <row r="222" spans="1:112" hidden="1" outlineLevel="1">
      <c r="A222" s="277" t="s">
        <v>562</v>
      </c>
      <c r="B222" s="204"/>
      <c r="C222" s="204"/>
      <c r="D222" s="204"/>
      <c r="E222" s="204"/>
      <c r="F222" s="204"/>
      <c r="G222" s="204"/>
      <c r="H222" s="204"/>
      <c r="I222" s="204"/>
      <c r="J222" s="204"/>
      <c r="K222" s="204"/>
      <c r="L222" s="167"/>
      <c r="M222" s="167"/>
      <c r="N222" s="167"/>
      <c r="O222" s="167"/>
      <c r="P222" s="167"/>
      <c r="Q222" s="167"/>
      <c r="R222" s="167"/>
      <c r="S222" s="167"/>
      <c r="T222" s="167"/>
      <c r="U222" s="167"/>
      <c r="V222" s="167"/>
      <c r="W222" s="251">
        <v>383</v>
      </c>
      <c r="X222" s="251">
        <v>421</v>
      </c>
      <c r="Y222" s="251">
        <v>419</v>
      </c>
      <c r="Z222" s="251">
        <v>460</v>
      </c>
      <c r="AA222" s="251">
        <v>1683</v>
      </c>
      <c r="AB222" s="251">
        <v>466</v>
      </c>
      <c r="AC222" s="251">
        <v>495</v>
      </c>
      <c r="AD222" s="251">
        <v>506</v>
      </c>
      <c r="AE222" s="251">
        <v>524</v>
      </c>
      <c r="AF222" s="251">
        <v>1991</v>
      </c>
      <c r="AG222" s="251">
        <v>524</v>
      </c>
      <c r="AH222" s="251">
        <v>566</v>
      </c>
      <c r="AI222" s="251">
        <v>589</v>
      </c>
      <c r="AJ222" s="251">
        <v>638</v>
      </c>
      <c r="AK222" s="251">
        <v>2317</v>
      </c>
      <c r="AL222" s="167"/>
      <c r="AM222" s="167"/>
      <c r="AN222" s="167"/>
      <c r="AO222" s="167"/>
      <c r="AP222" s="167"/>
      <c r="AQ222" s="167"/>
      <c r="AR222" s="167"/>
      <c r="AS222" s="167"/>
      <c r="AT222" s="167"/>
      <c r="AU222" s="167">
        <f>AU191*AU193</f>
        <v>3301.8299130434789</v>
      </c>
      <c r="AV222" s="167"/>
      <c r="AW222" s="167"/>
      <c r="AX222" s="167"/>
      <c r="AY222" s="167"/>
      <c r="AZ222" s="167">
        <f>AZ191*AZ193</f>
        <v>3744.0336417391309</v>
      </c>
      <c r="BA222" s="167"/>
      <c r="BB222" s="167"/>
      <c r="BC222" s="167"/>
      <c r="BD222" s="167"/>
      <c r="BE222" s="167">
        <f>BE191*BE193</f>
        <v>5818.1982809739129</v>
      </c>
      <c r="BF222" s="167"/>
      <c r="BG222" s="167"/>
      <c r="BH222" s="167"/>
      <c r="BI222" s="167"/>
      <c r="BJ222" s="167">
        <f>BJ191*BJ193</f>
        <v>7800.6342632705246</v>
      </c>
      <c r="BK222" s="167"/>
      <c r="BL222" s="167"/>
      <c r="BM222" s="167"/>
      <c r="BN222" s="167"/>
      <c r="BO222" s="167">
        <f>BO191*BO193</f>
        <v>9531.4662819493369</v>
      </c>
      <c r="BP222" s="167"/>
      <c r="BQ222" s="167"/>
      <c r="BR222" s="167"/>
      <c r="BS222" s="167"/>
      <c r="BT222" s="167">
        <f>BT191*BT193</f>
        <v>9357.2323843008944</v>
      </c>
      <c r="BU222" s="213"/>
      <c r="BV222" s="213"/>
      <c r="BW222" s="213"/>
      <c r="BX222" s="213"/>
      <c r="BY222" s="167">
        <f>BY191*BY193</f>
        <v>4161.5175472525334</v>
      </c>
      <c r="BZ222" s="213"/>
      <c r="CA222" s="213"/>
      <c r="CB222" s="213"/>
      <c r="CC222" s="213"/>
      <c r="CD222" s="167">
        <f t="shared" ref="CD222:CS222" si="798">CD191*CD193</f>
        <v>0</v>
      </c>
      <c r="CE222" s="213"/>
      <c r="CF222" s="213"/>
      <c r="CG222" s="213"/>
      <c r="CH222" s="213"/>
      <c r="CI222" s="167">
        <f t="shared" si="798"/>
        <v>0</v>
      </c>
      <c r="CJ222" s="213"/>
      <c r="CK222" s="213"/>
      <c r="CL222" s="213"/>
      <c r="CM222" s="213"/>
      <c r="CN222" s="167">
        <f t="shared" ref="CN222" si="799">CN191*CN193</f>
        <v>0</v>
      </c>
      <c r="CO222" s="213"/>
      <c r="CP222" s="213"/>
      <c r="CQ222" s="167">
        <f t="shared" si="798"/>
        <v>0</v>
      </c>
      <c r="CR222" s="167">
        <f t="shared" si="798"/>
        <v>0</v>
      </c>
      <c r="CS222" s="167">
        <f t="shared" si="798"/>
        <v>0</v>
      </c>
      <c r="CT222" s="167">
        <f t="shared" ref="CT222:CV222" si="800">CT191*CT193</f>
        <v>0</v>
      </c>
      <c r="CU222" s="167">
        <f t="shared" si="800"/>
        <v>0</v>
      </c>
      <c r="CV222" s="167">
        <f t="shared" si="800"/>
        <v>0</v>
      </c>
      <c r="CW222" s="167">
        <f t="shared" ref="CW222" si="801">CW191*CW193</f>
        <v>0</v>
      </c>
      <c r="CX222" s="159"/>
      <c r="CY222" s="159"/>
      <c r="CZ222" s="159"/>
      <c r="DA222" s="159"/>
      <c r="DB222" s="159"/>
      <c r="DC222" s="169"/>
      <c r="DD222" s="169"/>
      <c r="DE222" s="169"/>
      <c r="DF222" s="169"/>
      <c r="DG222" s="169"/>
      <c r="DH222" s="169"/>
    </row>
    <row r="223" spans="1:112" hidden="1" outlineLevel="1">
      <c r="A223" s="277" t="s">
        <v>561</v>
      </c>
      <c r="B223" s="204"/>
      <c r="C223" s="204"/>
      <c r="D223" s="204"/>
      <c r="E223" s="204"/>
      <c r="F223" s="204"/>
      <c r="G223" s="204"/>
      <c r="H223" s="204"/>
      <c r="I223" s="204"/>
      <c r="J223" s="204"/>
      <c r="K223" s="204"/>
      <c r="L223" s="204"/>
      <c r="M223" s="204"/>
      <c r="N223" s="204"/>
      <c r="O223" s="204"/>
      <c r="P223" s="204"/>
      <c r="Q223" s="204"/>
      <c r="R223" s="204"/>
      <c r="S223" s="204"/>
      <c r="T223" s="204"/>
      <c r="U223" s="204"/>
      <c r="V223" s="204"/>
      <c r="W223" s="204" t="e">
        <f t="shared" ref="W223:AK223" si="802">W222/R222-1</f>
        <v>#DIV/0!</v>
      </c>
      <c r="X223" s="204" t="e">
        <f t="shared" si="802"/>
        <v>#DIV/0!</v>
      </c>
      <c r="Y223" s="204" t="e">
        <f t="shared" si="802"/>
        <v>#DIV/0!</v>
      </c>
      <c r="Z223" s="204" t="e">
        <f t="shared" si="802"/>
        <v>#DIV/0!</v>
      </c>
      <c r="AA223" s="204" t="e">
        <f t="shared" si="802"/>
        <v>#DIV/0!</v>
      </c>
      <c r="AB223" s="204">
        <f t="shared" si="802"/>
        <v>0.2167101827676241</v>
      </c>
      <c r="AC223" s="204">
        <f t="shared" si="802"/>
        <v>0.17577197149643697</v>
      </c>
      <c r="AD223" s="204">
        <f t="shared" si="802"/>
        <v>0.20763723150357993</v>
      </c>
      <c r="AE223" s="204">
        <f t="shared" si="802"/>
        <v>0.13913043478260878</v>
      </c>
      <c r="AF223" s="204">
        <f t="shared" si="802"/>
        <v>0.18300653594771243</v>
      </c>
      <c r="AG223" s="204">
        <f t="shared" si="802"/>
        <v>0.12446351931330479</v>
      </c>
      <c r="AH223" s="204">
        <f t="shared" si="802"/>
        <v>0.14343434343434347</v>
      </c>
      <c r="AI223" s="204">
        <f t="shared" si="802"/>
        <v>0.16403162055335962</v>
      </c>
      <c r="AJ223" s="204">
        <f t="shared" si="802"/>
        <v>0.21755725190839703</v>
      </c>
      <c r="AK223" s="204">
        <f t="shared" si="802"/>
        <v>0.16373681567051723</v>
      </c>
      <c r="AL223" s="204"/>
      <c r="AM223" s="204"/>
      <c r="AN223" s="204"/>
      <c r="AO223" s="204"/>
      <c r="AP223" s="204"/>
      <c r="AQ223" s="204"/>
      <c r="AR223" s="204"/>
      <c r="AS223" s="204"/>
      <c r="AT223" s="204"/>
      <c r="AU223" s="204"/>
      <c r="AV223" s="204"/>
      <c r="AW223" s="204"/>
      <c r="AX223" s="204"/>
      <c r="AY223" s="204"/>
      <c r="AZ223" s="204">
        <f>AZ222/AU222-1</f>
        <v>0.13392686490263461</v>
      </c>
      <c r="BA223" s="204"/>
      <c r="BB223" s="204"/>
      <c r="BC223" s="204"/>
      <c r="BD223" s="204"/>
      <c r="BE223" s="204">
        <f>BE222/AZ222-1</f>
        <v>0.55399198770856062</v>
      </c>
      <c r="BF223" s="204"/>
      <c r="BG223" s="204"/>
      <c r="BH223" s="204"/>
      <c r="BI223" s="204"/>
      <c r="BJ223" s="204">
        <f>BJ222/BE222-1</f>
        <v>0.34073022034662759</v>
      </c>
      <c r="BK223" s="204"/>
      <c r="BL223" s="204"/>
      <c r="BM223" s="204"/>
      <c r="BN223" s="204"/>
      <c r="BO223" s="204">
        <f>BO222/BJ222-1</f>
        <v>0.221883498221225</v>
      </c>
      <c r="BP223" s="204"/>
      <c r="BQ223" s="204"/>
      <c r="BR223" s="204"/>
      <c r="BS223" s="204"/>
      <c r="BT223" s="204">
        <f>BT222/BO222-1</f>
        <v>-1.8279862981670059E-2</v>
      </c>
      <c r="BU223" s="185"/>
      <c r="BV223" s="185"/>
      <c r="BW223" s="185"/>
      <c r="BX223" s="185"/>
      <c r="BY223" s="204">
        <f>BY222/BT222-1</f>
        <v>-0.55526192186543066</v>
      </c>
      <c r="BZ223" s="185"/>
      <c r="CA223" s="185"/>
      <c r="CB223" s="185"/>
      <c r="CC223" s="185"/>
      <c r="CD223" s="204">
        <f>CD222/BY222-1</f>
        <v>-1</v>
      </c>
      <c r="CE223" s="185"/>
      <c r="CF223" s="185"/>
      <c r="CG223" s="185"/>
      <c r="CH223" s="185"/>
      <c r="CI223" s="204" t="e">
        <f>CI222/CD222-1</f>
        <v>#DIV/0!</v>
      </c>
      <c r="CJ223" s="185"/>
      <c r="CK223" s="185"/>
      <c r="CL223" s="185"/>
      <c r="CM223" s="185"/>
      <c r="CN223" s="204" t="e">
        <f>CN222/CI222-1</f>
        <v>#DIV/0!</v>
      </c>
      <c r="CO223" s="185"/>
      <c r="CP223" s="185"/>
      <c r="CQ223" s="204" t="e">
        <f>CQ222/CN222-1</f>
        <v>#DIV/0!</v>
      </c>
      <c r="CR223" s="204" t="e">
        <f t="shared" ref="CR223:CS223" si="803">CR222/CQ222-1</f>
        <v>#DIV/0!</v>
      </c>
      <c r="CS223" s="204" t="e">
        <f t="shared" si="803"/>
        <v>#DIV/0!</v>
      </c>
      <c r="CT223" s="204" t="e">
        <f t="shared" ref="CT223" si="804">CT222/CS222-1</f>
        <v>#DIV/0!</v>
      </c>
      <c r="CU223" s="204" t="e">
        <f t="shared" ref="CU223" si="805">CU222/CT222-1</f>
        <v>#DIV/0!</v>
      </c>
      <c r="CV223" s="204" t="e">
        <f t="shared" ref="CV223:CW223" si="806">CV222/CU222-1</f>
        <v>#DIV/0!</v>
      </c>
      <c r="CW223" s="204" t="e">
        <f t="shared" si="806"/>
        <v>#DIV/0!</v>
      </c>
      <c r="CX223" s="159"/>
      <c r="CY223" s="159"/>
      <c r="CZ223" s="159"/>
      <c r="DA223" s="159"/>
      <c r="DB223" s="159"/>
      <c r="DC223" s="169"/>
      <c r="DD223" s="169"/>
      <c r="DE223" s="169"/>
      <c r="DF223" s="169"/>
      <c r="DG223" s="169"/>
      <c r="DH223" s="169"/>
    </row>
    <row r="224" spans="1:112" hidden="1" outlineLevel="1">
      <c r="A224" s="277" t="s">
        <v>251</v>
      </c>
      <c r="B224" s="204"/>
      <c r="C224" s="204"/>
      <c r="D224" s="204"/>
      <c r="E224" s="204"/>
      <c r="F224" s="204"/>
      <c r="G224" s="204"/>
      <c r="H224" s="204"/>
      <c r="I224" s="204"/>
      <c r="J224" s="204"/>
      <c r="K224" s="204"/>
      <c r="L224" s="167"/>
      <c r="M224" s="167">
        <v>173</v>
      </c>
      <c r="N224" s="167">
        <v>168</v>
      </c>
      <c r="O224" s="167">
        <v>177</v>
      </c>
      <c r="P224" s="167">
        <v>186</v>
      </c>
      <c r="Q224" s="167"/>
      <c r="R224" s="167"/>
      <c r="S224" s="167"/>
      <c r="T224" s="167"/>
      <c r="U224" s="167"/>
      <c r="V224" s="167"/>
      <c r="W224" s="251">
        <v>365</v>
      </c>
      <c r="X224" s="251">
        <v>355</v>
      </c>
      <c r="Y224" s="251">
        <v>355</v>
      </c>
      <c r="Z224" s="251">
        <v>342</v>
      </c>
      <c r="AA224" s="251">
        <f>SUM(W224:Z224)</f>
        <v>1417</v>
      </c>
      <c r="AB224" s="251">
        <v>320</v>
      </c>
      <c r="AC224" s="251">
        <v>298</v>
      </c>
      <c r="AD224" s="251">
        <v>275</v>
      </c>
      <c r="AE224" s="251">
        <v>257</v>
      </c>
      <c r="AF224" s="251">
        <v>1150</v>
      </c>
      <c r="AG224" s="251">
        <v>223</v>
      </c>
      <c r="AH224" s="251">
        <v>205</v>
      </c>
      <c r="AI224" s="251">
        <v>184</v>
      </c>
      <c r="AJ224" s="251">
        <v>171</v>
      </c>
      <c r="AK224" s="251">
        <v>783</v>
      </c>
      <c r="AL224" s="167"/>
      <c r="AM224" s="167"/>
      <c r="AN224" s="167"/>
      <c r="AO224" s="167"/>
      <c r="AP224" s="167"/>
      <c r="AQ224" s="167"/>
      <c r="AR224" s="167"/>
      <c r="AS224" s="167"/>
      <c r="AT224" s="167"/>
      <c r="AU224" s="167">
        <f>AU118*AU179*AU182/1000</f>
        <v>354.72528199195176</v>
      </c>
      <c r="AV224" s="167"/>
      <c r="AW224" s="167"/>
      <c r="AX224" s="167"/>
      <c r="AY224" s="167"/>
      <c r="AZ224" s="167">
        <f>AZ118*AZ179*AZ182/1000</f>
        <v>246.96054817152915</v>
      </c>
      <c r="BA224" s="167"/>
      <c r="BB224" s="167"/>
      <c r="BC224" s="167"/>
      <c r="BD224" s="167"/>
      <c r="BE224" s="167">
        <f>BE118*BE179*BE182/1000</f>
        <v>181.63794872676687</v>
      </c>
      <c r="BF224" s="167"/>
      <c r="BG224" s="167"/>
      <c r="BH224" s="167"/>
      <c r="BI224" s="167"/>
      <c r="BJ224" s="167">
        <f>BJ118*BJ179*BJ182/1000</f>
        <v>146.20537957596841</v>
      </c>
      <c r="BK224" s="167"/>
      <c r="BL224" s="167"/>
      <c r="BM224" s="167"/>
      <c r="BN224" s="167"/>
      <c r="BO224" s="167">
        <f>BO118*BO179*BO182/1000</f>
        <v>121.58569535143666</v>
      </c>
      <c r="BP224" s="167"/>
      <c r="BQ224" s="167"/>
      <c r="BR224" s="167"/>
      <c r="BS224" s="167"/>
      <c r="BT224" s="167">
        <f>BT118*BT179*BT182/1000</f>
        <v>103.87068493507962</v>
      </c>
      <c r="BU224" s="213"/>
      <c r="BV224" s="213"/>
      <c r="BW224" s="213"/>
      <c r="BX224" s="213"/>
      <c r="BY224" s="167">
        <f>BY118*BY179*BY182/1000</f>
        <v>90.895427849676778</v>
      </c>
      <c r="BZ224" s="213"/>
      <c r="CA224" s="213"/>
      <c r="CB224" s="213"/>
      <c r="CC224" s="213"/>
      <c r="CD224" s="167">
        <f t="shared" ref="CD224:CS224" si="807">CD118*CD179*CD182/1000</f>
        <v>80.439503699988919</v>
      </c>
      <c r="CE224" s="213"/>
      <c r="CF224" s="213"/>
      <c r="CG224" s="213"/>
      <c r="CH224" s="213"/>
      <c r="CI224" s="167">
        <f t="shared" si="807"/>
        <v>71.641177862957235</v>
      </c>
      <c r="CJ224" s="213"/>
      <c r="CK224" s="213"/>
      <c r="CL224" s="213"/>
      <c r="CM224" s="213"/>
      <c r="CN224" s="167">
        <f t="shared" ref="CN224" si="808">CN118*CN179*CN182/1000</f>
        <v>63.458581854546125</v>
      </c>
      <c r="CO224" s="213"/>
      <c r="CP224" s="213"/>
      <c r="CQ224" s="167">
        <f t="shared" si="807"/>
        <v>55.659386245369419</v>
      </c>
      <c r="CR224" s="167">
        <f t="shared" si="807"/>
        <v>47.871413132456567</v>
      </c>
      <c r="CS224" s="167">
        <f t="shared" si="807"/>
        <v>41.26779960244717</v>
      </c>
      <c r="CT224" s="167">
        <f t="shared" ref="CT224:CV224" si="809">CT118*CT179*CT182/1000</f>
        <v>35.551506886278261</v>
      </c>
      <c r="CU224" s="167">
        <f t="shared" si="809"/>
        <v>30.608926980416303</v>
      </c>
      <c r="CV224" s="167">
        <f t="shared" si="809"/>
        <v>26.339624323362997</v>
      </c>
      <c r="CW224" s="167">
        <f t="shared" ref="CW224" si="810">CW118*CW179*CW182/1000</f>
        <v>22.655160676605625</v>
      </c>
      <c r="CX224" s="159"/>
      <c r="CY224" s="159"/>
      <c r="CZ224" s="159"/>
      <c r="DA224" s="159"/>
      <c r="DB224" s="159"/>
      <c r="DC224" s="169"/>
      <c r="DD224" s="169"/>
      <c r="DE224" s="169"/>
      <c r="DF224" s="169"/>
      <c r="DG224" s="169"/>
      <c r="DH224" s="169"/>
    </row>
    <row r="225" spans="1:152" hidden="1" outlineLevel="1">
      <c r="A225" s="277" t="s">
        <v>198</v>
      </c>
      <c r="B225" s="204"/>
      <c r="C225" s="204"/>
      <c r="D225" s="204"/>
      <c r="E225" s="204"/>
      <c r="F225" s="204"/>
      <c r="G225" s="204"/>
      <c r="H225" s="204"/>
      <c r="I225" s="204"/>
      <c r="J225" s="204"/>
      <c r="K225" s="204"/>
      <c r="L225" s="167"/>
      <c r="M225" s="167">
        <v>38</v>
      </c>
      <c r="N225" s="167">
        <v>35</v>
      </c>
      <c r="O225" s="167">
        <v>35</v>
      </c>
      <c r="P225" s="167">
        <v>36</v>
      </c>
      <c r="Q225" s="167"/>
      <c r="R225" s="167"/>
      <c r="S225" s="167"/>
      <c r="T225" s="167"/>
      <c r="U225" s="167"/>
      <c r="V225" s="167"/>
      <c r="W225" s="167"/>
      <c r="X225" s="167"/>
      <c r="Y225" s="167"/>
      <c r="Z225" s="167"/>
      <c r="AA225" s="167"/>
      <c r="AB225" s="167"/>
      <c r="AC225" s="167"/>
      <c r="AD225" s="167"/>
      <c r="AE225" s="167"/>
      <c r="AF225" s="167"/>
      <c r="AG225" s="167"/>
      <c r="AH225" s="167"/>
      <c r="AI225" s="167"/>
      <c r="AJ225" s="167"/>
      <c r="AK225" s="167"/>
      <c r="AL225" s="167"/>
      <c r="AM225" s="167"/>
      <c r="AN225" s="167"/>
      <c r="AO225" s="167"/>
      <c r="AP225" s="167"/>
      <c r="AQ225" s="167"/>
      <c r="AR225" s="167"/>
      <c r="AS225" s="167"/>
      <c r="AT225" s="167"/>
      <c r="AU225" s="167">
        <f>AU118*AU180*AU182/1000</f>
        <v>48.799512785658507</v>
      </c>
      <c r="AV225" s="167"/>
      <c r="AW225" s="167"/>
      <c r="AX225" s="167"/>
      <c r="AY225" s="167"/>
      <c r="AZ225" s="167">
        <f>AZ118*AZ180*AZ182/1000</f>
        <v>-210.35276029913047</v>
      </c>
      <c r="BA225" s="167"/>
      <c r="BB225" s="167"/>
      <c r="BC225" s="167"/>
      <c r="BD225" s="167"/>
      <c r="BE225" s="167">
        <f>BE118*BE180*BE182/1000</f>
        <v>-1948.8072712048086</v>
      </c>
      <c r="BF225" s="167"/>
      <c r="BG225" s="167"/>
      <c r="BH225" s="167"/>
      <c r="BI225" s="167"/>
      <c r="BJ225" s="167">
        <f>BJ118*BJ180*BJ182/1000+BJ231</f>
        <v>-3490.4248200926213</v>
      </c>
      <c r="BK225" s="167"/>
      <c r="BL225" s="167"/>
      <c r="BM225" s="167"/>
      <c r="BN225" s="167"/>
      <c r="BO225" s="167">
        <f>BO118*BO180*BO182/1000+BO231</f>
        <v>-5604.437252967522</v>
      </c>
      <c r="BP225" s="167"/>
      <c r="BQ225" s="167"/>
      <c r="BR225" s="167"/>
      <c r="BS225" s="167"/>
      <c r="BT225" s="167">
        <f>BT118*BT180*BT182/1000+BT231</f>
        <v>-5251.4617079518539</v>
      </c>
      <c r="BU225" s="213"/>
      <c r="BV225" s="213"/>
      <c r="BW225" s="213"/>
      <c r="BX225" s="213"/>
      <c r="BY225" s="167">
        <f>BY118*BY180*BY182/1000+BY231</f>
        <v>-672.6873747175116</v>
      </c>
      <c r="BZ225" s="213"/>
      <c r="CA225" s="213"/>
      <c r="CB225" s="213"/>
      <c r="CC225" s="213"/>
      <c r="CD225" s="167">
        <f t="shared" ref="CD225:CW225" si="811">CD118*CD180*CD182/1000+CD231</f>
        <v>3689.8041012355811</v>
      </c>
      <c r="CE225" s="213"/>
      <c r="CF225" s="213"/>
      <c r="CG225" s="213"/>
      <c r="CH225" s="213"/>
      <c r="CI225" s="167">
        <f t="shared" si="811"/>
        <v>3703.6493469450602</v>
      </c>
      <c r="CJ225" s="213"/>
      <c r="CK225" s="213"/>
      <c r="CL225" s="213"/>
      <c r="CM225" s="213"/>
      <c r="CN225" s="167">
        <f t="shared" ref="CN225" si="812">CN118*CN180*CN182/1000+CN231</f>
        <v>3698.1633983745401</v>
      </c>
      <c r="CO225" s="213"/>
      <c r="CP225" s="213"/>
      <c r="CQ225" s="167">
        <f t="shared" si="811"/>
        <v>3905.3103565775841</v>
      </c>
      <c r="CR225" s="167">
        <f t="shared" si="811"/>
        <v>4065.236269755374</v>
      </c>
      <c r="CS225" s="167">
        <f t="shared" si="811"/>
        <v>4256.7930341371666</v>
      </c>
      <c r="CT225" s="167">
        <f t="shared" si="811"/>
        <v>4444.4768376862412</v>
      </c>
      <c r="CU225" s="167">
        <f t="shared" si="811"/>
        <v>4628.5196300092539</v>
      </c>
      <c r="CV225" s="167">
        <f t="shared" si="811"/>
        <v>4809.1496439583625</v>
      </c>
      <c r="CW225" s="167">
        <f t="shared" si="811"/>
        <v>4986.589822428974</v>
      </c>
      <c r="CX225" s="159"/>
      <c r="CY225" s="159"/>
      <c r="CZ225" s="159"/>
      <c r="DA225" s="159"/>
      <c r="DB225" s="159"/>
      <c r="DC225" s="169"/>
      <c r="DD225" s="169"/>
      <c r="DE225" s="169"/>
      <c r="DF225" s="169"/>
      <c r="DG225" s="169"/>
      <c r="DH225" s="169"/>
    </row>
    <row r="226" spans="1:152" hidden="1" outlineLevel="1">
      <c r="A226" s="277" t="s">
        <v>198</v>
      </c>
      <c r="B226" s="204"/>
      <c r="C226" s="204"/>
      <c r="D226" s="204"/>
      <c r="E226" s="204"/>
      <c r="F226" s="204"/>
      <c r="G226" s="204"/>
      <c r="H226" s="204"/>
      <c r="I226" s="204"/>
      <c r="J226" s="204"/>
      <c r="K226" s="204"/>
      <c r="L226" s="167"/>
      <c r="M226" s="167"/>
      <c r="N226" s="167"/>
      <c r="O226" s="167"/>
      <c r="P226" s="167"/>
      <c r="Q226" s="167"/>
      <c r="R226" s="167"/>
      <c r="S226" s="167"/>
      <c r="T226" s="167"/>
      <c r="U226" s="167"/>
      <c r="V226" s="167"/>
      <c r="W226" s="167">
        <f t="shared" ref="W226:AK226" si="813">W227-W224-W222-W220</f>
        <v>120</v>
      </c>
      <c r="X226" s="167">
        <f t="shared" si="813"/>
        <v>158.25</v>
      </c>
      <c r="Y226" s="167">
        <f t="shared" si="813"/>
        <v>41.880000000000109</v>
      </c>
      <c r="Z226" s="167">
        <f t="shared" si="813"/>
        <v>33.511999999999944</v>
      </c>
      <c r="AA226" s="167">
        <f t="shared" si="813"/>
        <v>353.64199999999983</v>
      </c>
      <c r="AB226" s="167">
        <f t="shared" si="813"/>
        <v>14.663000000000011</v>
      </c>
      <c r="AC226" s="167">
        <f t="shared" si="813"/>
        <v>5.6210000000000946</v>
      </c>
      <c r="AD226" s="167">
        <f t="shared" si="813"/>
        <v>21.192000000000007</v>
      </c>
      <c r="AE226" s="167">
        <f t="shared" si="813"/>
        <v>11.79099999999994</v>
      </c>
      <c r="AF226" s="167">
        <f t="shared" si="813"/>
        <v>53.267000000000735</v>
      </c>
      <c r="AG226" s="167">
        <f t="shared" si="813"/>
        <v>-7.3599999999999</v>
      </c>
      <c r="AH226" s="167">
        <f t="shared" si="813"/>
        <v>16.224999999999909</v>
      </c>
      <c r="AI226" s="167">
        <f t="shared" si="813"/>
        <v>-1.7999999999999545</v>
      </c>
      <c r="AJ226" s="167">
        <f t="shared" si="813"/>
        <v>-5.4000000000000909</v>
      </c>
      <c r="AK226" s="167">
        <f t="shared" si="813"/>
        <v>1.6649999999990541</v>
      </c>
      <c r="AL226" s="167"/>
      <c r="AM226" s="167"/>
      <c r="AN226" s="167"/>
      <c r="AO226" s="167"/>
      <c r="AP226" s="167"/>
      <c r="AQ226" s="167"/>
      <c r="AR226" s="167"/>
      <c r="AS226" s="167"/>
      <c r="AT226" s="204"/>
      <c r="AU226" s="204"/>
      <c r="AV226" s="204"/>
      <c r="AW226" s="204"/>
      <c r="AX226" s="167"/>
      <c r="AY226" s="167"/>
      <c r="AZ226" s="204"/>
      <c r="BA226" s="204"/>
      <c r="BB226" s="204"/>
      <c r="BC226" s="204"/>
      <c r="BD226" s="204"/>
      <c r="BE226" s="204"/>
      <c r="BF226" s="204"/>
      <c r="BG226" s="204"/>
      <c r="BH226" s="204"/>
      <c r="BI226" s="204"/>
      <c r="BJ226" s="204"/>
      <c r="BK226" s="204"/>
      <c r="BL226" s="204"/>
      <c r="BM226" s="204"/>
      <c r="BN226" s="204"/>
      <c r="BO226" s="204"/>
      <c r="BP226" s="204"/>
      <c r="BQ226" s="204"/>
      <c r="BR226" s="204"/>
      <c r="BS226" s="204"/>
      <c r="BT226" s="204"/>
      <c r="BU226" s="185"/>
      <c r="BV226" s="185"/>
      <c r="BW226" s="185"/>
      <c r="BX226" s="185"/>
      <c r="BY226" s="204"/>
      <c r="BZ226" s="185"/>
      <c r="CA226" s="185"/>
      <c r="CB226" s="185"/>
      <c r="CC226" s="185"/>
      <c r="CD226" s="204"/>
      <c r="CE226" s="185"/>
      <c r="CF226" s="185"/>
      <c r="CG226" s="185"/>
      <c r="CH226" s="185"/>
      <c r="CI226" s="204"/>
      <c r="CJ226" s="185"/>
      <c r="CK226" s="185"/>
      <c r="CL226" s="185"/>
      <c r="CM226" s="185"/>
      <c r="CN226" s="204"/>
      <c r="CO226" s="185"/>
      <c r="CP226" s="185"/>
      <c r="CQ226" s="204"/>
      <c r="CR226" s="204"/>
      <c r="CS226" s="204"/>
      <c r="CT226" s="204"/>
      <c r="CU226" s="204"/>
      <c r="CV226" s="204"/>
      <c r="CW226" s="204"/>
      <c r="CX226" s="159"/>
      <c r="CY226" s="159"/>
      <c r="CZ226" s="159"/>
      <c r="DA226" s="159"/>
      <c r="DB226" s="159"/>
      <c r="DC226" s="169"/>
      <c r="DD226" s="169"/>
      <c r="DE226" s="169"/>
      <c r="DF226" s="169"/>
      <c r="DG226" s="169"/>
      <c r="DH226" s="169"/>
    </row>
    <row r="227" spans="1:152" hidden="1" outlineLevel="1">
      <c r="A227" s="278" t="s">
        <v>566</v>
      </c>
      <c r="B227" s="231">
        <f>B118*B170*12/1000</f>
        <v>5789.5680000000002</v>
      </c>
      <c r="C227" s="231"/>
      <c r="D227" s="231"/>
      <c r="E227" s="231"/>
      <c r="F227" s="231">
        <f>F118*F170*3/1000</f>
        <v>1978.569</v>
      </c>
      <c r="G227" s="231">
        <f>G118*G170*12/1000</f>
        <v>7383.2835600000008</v>
      </c>
      <c r="H227" s="231">
        <f>H118*H170*3/1000</f>
        <v>1890.0083999999999</v>
      </c>
      <c r="I227" s="231">
        <f>I118*I170*3/1000</f>
        <v>1905.8592000000001</v>
      </c>
      <c r="J227" s="231">
        <f>J118*J170*3/1000</f>
        <v>1945.2552000000003</v>
      </c>
      <c r="K227" s="231">
        <f>K118*K170*3/1000</f>
        <v>1982.145</v>
      </c>
      <c r="L227" s="231">
        <f>L118*L170*12/1000</f>
        <v>7869.1459499999992</v>
      </c>
      <c r="M227" s="231">
        <f>M118*M170*3/1000</f>
        <v>1948.596</v>
      </c>
      <c r="N227" s="231">
        <f>N118*N170*3/1000</f>
        <v>1963.143</v>
      </c>
      <c r="O227" s="231">
        <f>O118*O170*3/1000</f>
        <v>1947.4559999999999</v>
      </c>
      <c r="P227" s="231">
        <f>P118*P170*3/1000</f>
        <v>2019.7065</v>
      </c>
      <c r="Q227" s="231">
        <f>Q118*Q170*12/1000</f>
        <v>8030.97</v>
      </c>
      <c r="R227" s="231">
        <f>R118*R170*3/1000</f>
        <v>1962.2294999999999</v>
      </c>
      <c r="S227" s="231">
        <f>S118*S170*3/1000</f>
        <v>1950.6735000000001</v>
      </c>
      <c r="T227" s="231">
        <f>T118*T170*3/1000</f>
        <v>2061.288</v>
      </c>
      <c r="U227" s="231">
        <f>U118*U170*3/1000</f>
        <v>2059.587</v>
      </c>
      <c r="V227" s="231">
        <f>V118*V170*12/1000</f>
        <v>8326.9680000000008</v>
      </c>
      <c r="W227" s="231">
        <f>W118*W170*3/1000</f>
        <v>2028</v>
      </c>
      <c r="X227" s="231">
        <f>X118*X170*3/1000</f>
        <v>2096.25</v>
      </c>
      <c r="Y227" s="231">
        <f>Y118*Y170*3/1000</f>
        <v>1982.88</v>
      </c>
      <c r="Z227" s="231">
        <f>Z118*Z170*3/1000</f>
        <v>2017.5119999999999</v>
      </c>
      <c r="AA227" s="231">
        <f>SUM(W227:Z227)</f>
        <v>8124.6419999999998</v>
      </c>
      <c r="AB227" s="231">
        <f>AB118*AB170*3/1000</f>
        <v>1947.663</v>
      </c>
      <c r="AC227" s="231">
        <f>AC118*AC170*3/1000</f>
        <v>1932.6210000000001</v>
      </c>
      <c r="AD227" s="231">
        <f>AD118*AD170*3/1000</f>
        <v>1950.192</v>
      </c>
      <c r="AE227" s="231">
        <f>AE118*AE170*3/1000</f>
        <v>1918.7909999999999</v>
      </c>
      <c r="AF227" s="231">
        <f>SUM(AB227:AE227)</f>
        <v>7749.2670000000007</v>
      </c>
      <c r="AG227" s="231">
        <f>AG118*AG170*3/1000</f>
        <v>1835.64</v>
      </c>
      <c r="AH227" s="231">
        <f>AH118*AH170*3/1000</f>
        <v>1875.2249999999999</v>
      </c>
      <c r="AI227" s="231">
        <f>AI118*AI170*3/1000</f>
        <v>1861.2</v>
      </c>
      <c r="AJ227" s="231">
        <f>AJ118*AJ170*3/1000</f>
        <v>1899.6</v>
      </c>
      <c r="AK227" s="231">
        <f>SUM(AG227:AJ227)</f>
        <v>7471.6649999999991</v>
      </c>
      <c r="AL227" s="230">
        <f>AL118*AL170*3/1000</f>
        <v>1884.4559999999999</v>
      </c>
      <c r="AM227" s="230">
        <f>AM118*AM170*3/1000</f>
        <v>1870.2945</v>
      </c>
      <c r="AN227" s="230">
        <f>AN118*AN170*3/1000</f>
        <v>1938.8565000000001</v>
      </c>
      <c r="AO227" s="230">
        <f>AO118*AO170*3/1000</f>
        <v>1935.3</v>
      </c>
      <c r="AP227" s="231">
        <f>SUM(AL227:AO227)</f>
        <v>7628.9070000000002</v>
      </c>
      <c r="AQ227" s="230">
        <f>AQ118*AQ170*3/1000</f>
        <v>1875.3</v>
      </c>
      <c r="AR227" s="230">
        <f>AR118*AR170*3/1000</f>
        <v>1805.0864999999999</v>
      </c>
      <c r="AS227" s="230">
        <f>AS118*AS170*3/1000</f>
        <v>1822.125</v>
      </c>
      <c r="AT227" s="230">
        <f>AT118*AT170*3/1000</f>
        <v>1920.36</v>
      </c>
      <c r="AU227" s="231">
        <f>SUM(AQ227:AT227)</f>
        <v>7422.8714999999993</v>
      </c>
      <c r="AV227" s="231">
        <f t="shared" ref="AV227:BD227" si="814">AV386+AV387</f>
        <v>1942</v>
      </c>
      <c r="AW227" s="231">
        <f t="shared" si="814"/>
        <v>1928</v>
      </c>
      <c r="AX227" s="231">
        <f t="shared" si="814"/>
        <v>1944</v>
      </c>
      <c r="AY227" s="231">
        <f t="shared" si="814"/>
        <v>1897</v>
      </c>
      <c r="AZ227" s="231">
        <f t="shared" si="814"/>
        <v>7711</v>
      </c>
      <c r="BA227" s="231">
        <f t="shared" si="814"/>
        <v>1834</v>
      </c>
      <c r="BB227" s="231">
        <f t="shared" si="814"/>
        <v>1863</v>
      </c>
      <c r="BC227" s="231">
        <f t="shared" si="814"/>
        <v>1876</v>
      </c>
      <c r="BD227" s="231">
        <f t="shared" si="814"/>
        <v>1898</v>
      </c>
      <c r="BE227" s="231">
        <f>SUM(BA227:BD227)</f>
        <v>7471</v>
      </c>
      <c r="BF227" s="231">
        <f>BF386+BF387</f>
        <v>1797</v>
      </c>
      <c r="BG227" s="231">
        <f>BG386+BG387</f>
        <v>1763</v>
      </c>
      <c r="BH227" s="231">
        <f>BH386+BH387</f>
        <v>1773</v>
      </c>
      <c r="BI227" s="231">
        <f>BI386+BI387</f>
        <v>1772</v>
      </c>
      <c r="BJ227" s="231">
        <f>BJ232</f>
        <v>7124.6605</v>
      </c>
      <c r="BK227" s="231">
        <f>BK386+BK387</f>
        <v>1698</v>
      </c>
      <c r="BL227" s="231">
        <f>BL386+BL387</f>
        <v>1660</v>
      </c>
      <c r="BM227" s="231">
        <f>BM386+BM387</f>
        <v>1673</v>
      </c>
      <c r="BN227" s="231">
        <f>BN386+BN387</f>
        <v>1663</v>
      </c>
      <c r="BO227" s="231">
        <f>BO232</f>
        <v>6628.0355500000005</v>
      </c>
      <c r="BP227" s="231">
        <f>BP386+BP387</f>
        <v>1664</v>
      </c>
      <c r="BQ227" s="231">
        <f>BQ386+BQ387</f>
        <v>1687</v>
      </c>
      <c r="BR227" s="231">
        <f>BR386+BR387</f>
        <v>1715</v>
      </c>
      <c r="BS227" s="231">
        <f>BS386+BS387</f>
        <v>1674</v>
      </c>
      <c r="BT227" s="231">
        <f>BT232</f>
        <v>6715.3884499999995</v>
      </c>
      <c r="BU227" s="209">
        <f>BU386+BU387</f>
        <v>1442</v>
      </c>
      <c r="BV227" s="209">
        <f>BV386+BV387</f>
        <v>1489</v>
      </c>
      <c r="BW227" s="209">
        <f>BW386+BW387</f>
        <v>1506</v>
      </c>
      <c r="BX227" s="209">
        <f>BX386+BX387</f>
        <v>1531</v>
      </c>
      <c r="BY227" s="231">
        <f>BY232</f>
        <v>6025.1380000000008</v>
      </c>
      <c r="BZ227" s="209">
        <f>BZ386+BZ387</f>
        <v>1525</v>
      </c>
      <c r="CA227" s="209">
        <f>CA386+CA387</f>
        <v>1522</v>
      </c>
      <c r="CB227" s="209">
        <f>CB386+CB387</f>
        <v>1534</v>
      </c>
      <c r="CC227" s="209">
        <f>CC386+CC387</f>
        <v>1558</v>
      </c>
      <c r="CD227" s="231">
        <f t="shared" ref="CD227:CW227" si="815">CD232</f>
        <v>6183.7324000000008</v>
      </c>
      <c r="CE227" s="209">
        <f>CE386+CE387</f>
        <v>1560</v>
      </c>
      <c r="CF227" s="209">
        <f>CF386+CF387</f>
        <v>1564</v>
      </c>
      <c r="CG227" s="209">
        <f>CG386+CG387</f>
        <v>1566</v>
      </c>
      <c r="CH227" s="209">
        <f>CH386+CH387</f>
        <v>1575</v>
      </c>
      <c r="CI227" s="231">
        <f t="shared" si="815"/>
        <v>6172.4915500000006</v>
      </c>
      <c r="CJ227" s="209">
        <f>CJ386+CJ387</f>
        <v>1519</v>
      </c>
      <c r="CK227" s="209">
        <f>CK386+CK387</f>
        <v>1543</v>
      </c>
      <c r="CL227" s="209">
        <f>CL386+CL387</f>
        <v>1568</v>
      </c>
      <c r="CM227" s="209">
        <f>CM386+CM387</f>
        <v>1600</v>
      </c>
      <c r="CN227" s="231">
        <f t="shared" ref="CN227" si="816">CN232</f>
        <v>6129.7104999999992</v>
      </c>
      <c r="CO227" s="209">
        <f>CO386+CO387</f>
        <v>1572</v>
      </c>
      <c r="CP227" s="209">
        <f>CP386+CP387</f>
        <v>1584</v>
      </c>
      <c r="CQ227" s="231">
        <f t="shared" si="815"/>
        <v>6301.2407761425002</v>
      </c>
      <c r="CR227" s="231">
        <f t="shared" si="815"/>
        <v>6381.0090667799705</v>
      </c>
      <c r="CS227" s="231">
        <f t="shared" si="815"/>
        <v>6500.8828344426383</v>
      </c>
      <c r="CT227" s="231">
        <f t="shared" si="815"/>
        <v>6618.2182754362475</v>
      </c>
      <c r="CU227" s="231">
        <f t="shared" si="815"/>
        <v>6733.3568128173429</v>
      </c>
      <c r="CV227" s="231">
        <f t="shared" si="815"/>
        <v>6846.6102238388012</v>
      </c>
      <c r="CW227" s="231">
        <f t="shared" si="815"/>
        <v>6958.263367624244</v>
      </c>
      <c r="CX227" s="159"/>
      <c r="CY227" s="159"/>
      <c r="CZ227" s="159"/>
      <c r="DA227" s="159"/>
      <c r="DB227" s="159"/>
      <c r="DC227" s="169"/>
      <c r="DD227" s="169"/>
      <c r="DE227" s="169"/>
      <c r="DF227" s="169"/>
      <c r="DG227" s="169"/>
      <c r="DH227" s="169"/>
    </row>
    <row r="228" spans="1:152" hidden="1" outlineLevel="1">
      <c r="A228" s="278" t="s">
        <v>561</v>
      </c>
      <c r="B228" s="217"/>
      <c r="C228" s="217"/>
      <c r="D228" s="217"/>
      <c r="E228" s="217"/>
      <c r="F228" s="217"/>
      <c r="G228" s="217"/>
      <c r="H228" s="217"/>
      <c r="I228" s="217"/>
      <c r="J228" s="217"/>
      <c r="K228" s="217"/>
      <c r="L228" s="217"/>
      <c r="M228" s="217"/>
      <c r="N228" s="217"/>
      <c r="O228" s="217"/>
      <c r="P228" s="217"/>
      <c r="Q228" s="217">
        <f t="shared" ref="Q228:CP228" si="817">Q227/L227-1</f>
        <v>2.056437268138378E-2</v>
      </c>
      <c r="R228" s="217">
        <f t="shared" si="817"/>
        <v>6.996575996255805E-3</v>
      </c>
      <c r="S228" s="217">
        <f t="shared" si="817"/>
        <v>-6.3518042241446082E-3</v>
      </c>
      <c r="T228" s="217">
        <f t="shared" si="817"/>
        <v>5.8451641526175768E-2</v>
      </c>
      <c r="U228" s="217">
        <f t="shared" si="817"/>
        <v>1.9745690772396962E-2</v>
      </c>
      <c r="V228" s="217">
        <f t="shared" si="817"/>
        <v>3.6857067079070216E-2</v>
      </c>
      <c r="W228" s="217">
        <f t="shared" si="817"/>
        <v>3.3518250541030081E-2</v>
      </c>
      <c r="X228" s="217">
        <f t="shared" si="817"/>
        <v>7.4628839731508023E-2</v>
      </c>
      <c r="Y228" s="217">
        <f t="shared" si="817"/>
        <v>-3.8038352719270585E-2</v>
      </c>
      <c r="Z228" s="217">
        <f t="shared" si="817"/>
        <v>-2.0428852969066158E-2</v>
      </c>
      <c r="AA228" s="217">
        <f t="shared" si="817"/>
        <v>-2.4297679539539541E-2</v>
      </c>
      <c r="AB228" s="217">
        <f t="shared" si="817"/>
        <v>-3.9613905325443732E-2</v>
      </c>
      <c r="AC228" s="217">
        <f t="shared" si="817"/>
        <v>-7.8057960644007163E-2</v>
      </c>
      <c r="AD228" s="217">
        <f t="shared" si="817"/>
        <v>-1.6485112563544013E-2</v>
      </c>
      <c r="AE228" s="217">
        <f t="shared" si="817"/>
        <v>-4.8932050961778661E-2</v>
      </c>
      <c r="AF228" s="217">
        <f t="shared" si="817"/>
        <v>-4.6202035732774371E-2</v>
      </c>
      <c r="AG228" s="217">
        <f t="shared" si="817"/>
        <v>-5.7516623769101716E-2</v>
      </c>
      <c r="AH228" s="217">
        <f t="shared" si="817"/>
        <v>-2.9698528578547045E-2</v>
      </c>
      <c r="AI228" s="217">
        <f t="shared" si="817"/>
        <v>-4.5632430037657823E-2</v>
      </c>
      <c r="AJ228" s="217">
        <f t="shared" si="817"/>
        <v>-1.0001610389041904E-2</v>
      </c>
      <c r="AK228" s="217">
        <f t="shared" si="817"/>
        <v>-3.5823001065778404E-2</v>
      </c>
      <c r="AL228" s="217">
        <f t="shared" si="817"/>
        <v>2.6593449696018734E-2</v>
      </c>
      <c r="AM228" s="217">
        <f t="shared" si="817"/>
        <v>-2.6292844858616382E-3</v>
      </c>
      <c r="AN228" s="217">
        <f t="shared" si="817"/>
        <v>4.1723887814313354E-2</v>
      </c>
      <c r="AO228" s="217">
        <f t="shared" si="817"/>
        <v>1.8793430195830796E-2</v>
      </c>
      <c r="AP228" s="217">
        <f t="shared" si="817"/>
        <v>2.1045108419609493E-2</v>
      </c>
      <c r="AQ228" s="217">
        <f t="shared" si="817"/>
        <v>-4.858696621199976E-3</v>
      </c>
      <c r="AR228" s="217">
        <f t="shared" si="817"/>
        <v>-3.4865097448556925E-2</v>
      </c>
      <c r="AS228" s="217">
        <f t="shared" si="817"/>
        <v>-6.0206363905735194E-2</v>
      </c>
      <c r="AT228" s="217">
        <f t="shared" si="817"/>
        <v>-7.7197333746705787E-3</v>
      </c>
      <c r="AU228" s="217">
        <f t="shared" si="817"/>
        <v>-2.7007210862578512E-2</v>
      </c>
      <c r="AV228" s="217">
        <f t="shared" si="817"/>
        <v>3.5567642510531572E-2</v>
      </c>
      <c r="AW228" s="217">
        <f t="shared" si="817"/>
        <v>6.8092858707879067E-2</v>
      </c>
      <c r="AX228" s="217">
        <f t="shared" si="817"/>
        <v>6.6886190574192206E-2</v>
      </c>
      <c r="AY228" s="217">
        <f t="shared" si="817"/>
        <v>-1.216438584432078E-2</v>
      </c>
      <c r="AZ228" s="217">
        <f t="shared" si="817"/>
        <v>3.881631252811002E-2</v>
      </c>
      <c r="BA228" s="217">
        <f t="shared" si="817"/>
        <v>-5.5612770339855788E-2</v>
      </c>
      <c r="BB228" s="217">
        <f t="shared" si="817"/>
        <v>-3.3713692946058083E-2</v>
      </c>
      <c r="BC228" s="217">
        <f t="shared" si="817"/>
        <v>-3.4979423868312765E-2</v>
      </c>
      <c r="BD228" s="217">
        <f t="shared" si="817"/>
        <v>5.2714812862419969E-4</v>
      </c>
      <c r="BE228" s="217">
        <f t="shared" si="817"/>
        <v>-3.1124367786279361E-2</v>
      </c>
      <c r="BF228" s="217">
        <f t="shared" si="817"/>
        <v>-2.0174482006543037E-2</v>
      </c>
      <c r="BG228" s="217">
        <f t="shared" si="817"/>
        <v>-5.3676865271068186E-2</v>
      </c>
      <c r="BH228" s="217">
        <f t="shared" si="817"/>
        <v>-5.4904051172707913E-2</v>
      </c>
      <c r="BI228" s="217">
        <f t="shared" si="817"/>
        <v>-6.6385669125395119E-2</v>
      </c>
      <c r="BJ228" s="217">
        <f>BJ227/BE227-1</f>
        <v>-4.6357850354704855E-2</v>
      </c>
      <c r="BK228" s="217">
        <f t="shared" si="817"/>
        <v>-5.5091819699499167E-2</v>
      </c>
      <c r="BL228" s="217">
        <f t="shared" si="817"/>
        <v>-5.8423142370958581E-2</v>
      </c>
      <c r="BM228" s="217">
        <f t="shared" si="817"/>
        <v>-5.6401579244218847E-2</v>
      </c>
      <c r="BN228" s="217">
        <f t="shared" si="817"/>
        <v>-6.1512415349887162E-2</v>
      </c>
      <c r="BO228" s="217">
        <f>BO227/BJ227-1</f>
        <v>-6.9705068753802335E-2</v>
      </c>
      <c r="BP228" s="217">
        <f t="shared" si="817"/>
        <v>-2.0023557126030656E-2</v>
      </c>
      <c r="BQ228" s="217">
        <f t="shared" si="817"/>
        <v>1.6265060240963747E-2</v>
      </c>
      <c r="BR228" s="217">
        <f t="shared" si="817"/>
        <v>2.5104602510460206E-2</v>
      </c>
      <c r="BS228" s="217">
        <f t="shared" si="817"/>
        <v>6.6145520144318404E-3</v>
      </c>
      <c r="BT228" s="217">
        <f>BT227/BO227-1</f>
        <v>1.3179304688551108E-2</v>
      </c>
      <c r="BU228" s="212">
        <f t="shared" si="817"/>
        <v>-0.13341346153846156</v>
      </c>
      <c r="BV228" s="212">
        <f t="shared" si="817"/>
        <v>-0.11736810906935391</v>
      </c>
      <c r="BW228" s="212">
        <f t="shared" si="817"/>
        <v>-0.12186588921282804</v>
      </c>
      <c r="BX228" s="212">
        <f t="shared" si="817"/>
        <v>-8.5424133811230596E-2</v>
      </c>
      <c r="BY228" s="217">
        <f>BY227/BT227-1</f>
        <v>-0.10278637716035599</v>
      </c>
      <c r="BZ228" s="212">
        <f t="shared" si="817"/>
        <v>5.7558945908460446E-2</v>
      </c>
      <c r="CA228" s="212">
        <f t="shared" si="817"/>
        <v>2.2162525184687754E-2</v>
      </c>
      <c r="CB228" s="212">
        <f t="shared" si="817"/>
        <v>1.8592297476759612E-2</v>
      </c>
      <c r="CC228" s="212">
        <f t="shared" si="817"/>
        <v>1.7635532331809367E-2</v>
      </c>
      <c r="CD228" s="217">
        <f>CD227/BY227-1</f>
        <v>2.6322119095031571E-2</v>
      </c>
      <c r="CE228" s="212">
        <f t="shared" si="817"/>
        <v>2.2950819672131084E-2</v>
      </c>
      <c r="CF228" s="212">
        <f t="shared" si="817"/>
        <v>2.7595269382391541E-2</v>
      </c>
      <c r="CG228" s="212">
        <f t="shared" si="817"/>
        <v>2.0860495436766602E-2</v>
      </c>
      <c r="CH228" s="212">
        <f t="shared" si="817"/>
        <v>1.0911424903722766E-2</v>
      </c>
      <c r="CI228" s="217">
        <f>CI227/CD227-1</f>
        <v>-1.8178099039344309E-3</v>
      </c>
      <c r="CJ228" s="212">
        <f t="shared" si="817"/>
        <v>-2.62820512820513E-2</v>
      </c>
      <c r="CK228" s="212">
        <f t="shared" si="817"/>
        <v>-1.3427109974424534E-2</v>
      </c>
      <c r="CL228" s="212">
        <f t="shared" si="817"/>
        <v>1.2771392081736277E-3</v>
      </c>
      <c r="CM228" s="212">
        <f t="shared" si="817"/>
        <v>1.5873015873015817E-2</v>
      </c>
      <c r="CN228" s="217">
        <f>CN227/CI227-1</f>
        <v>-6.9309207883810897E-3</v>
      </c>
      <c r="CO228" s="212">
        <f t="shared" si="817"/>
        <v>3.489137590520075E-2</v>
      </c>
      <c r="CP228" s="212">
        <f t="shared" si="817"/>
        <v>2.657161373946848E-2</v>
      </c>
      <c r="CQ228" s="217">
        <f>CQ227/CN227-1</f>
        <v>2.7983422078824205E-2</v>
      </c>
      <c r="CR228" s="217">
        <f t="shared" ref="CR228:CS228" si="818">CR227/CQ227-1</f>
        <v>1.2659140234648092E-2</v>
      </c>
      <c r="CS228" s="217">
        <f t="shared" si="818"/>
        <v>1.8786020582032936E-2</v>
      </c>
      <c r="CT228" s="217">
        <f t="shared" ref="CT228" si="819">CT227/CS227-1</f>
        <v>1.8049154858160055E-2</v>
      </c>
      <c r="CU228" s="217">
        <f t="shared" ref="CU228" si="820">CU227/CT227-1</f>
        <v>1.7397210637255078E-2</v>
      </c>
      <c r="CV228" s="217">
        <f t="shared" ref="CV228:CW228" si="821">CV227/CU227-1</f>
        <v>1.6819754866677084E-2</v>
      </c>
      <c r="CW228" s="217">
        <f t="shared" si="821"/>
        <v>1.6307799061889616E-2</v>
      </c>
      <c r="CX228" s="159"/>
      <c r="CY228" s="159"/>
      <c r="CZ228" s="159"/>
      <c r="DA228" s="159"/>
      <c r="DB228" s="159"/>
      <c r="DC228" s="169"/>
      <c r="DD228" s="169"/>
      <c r="DE228" s="169"/>
      <c r="DF228" s="169"/>
      <c r="DG228" s="169"/>
      <c r="DH228" s="169"/>
    </row>
    <row r="229" spans="1:152" hidden="1" outlineLevel="1">
      <c r="A229" s="235"/>
      <c r="B229" s="217"/>
      <c r="C229" s="217"/>
      <c r="D229" s="217"/>
      <c r="E229" s="217"/>
      <c r="F229" s="217"/>
      <c r="G229" s="217"/>
      <c r="H229" s="217"/>
      <c r="I229" s="217"/>
      <c r="J229" s="217"/>
      <c r="K229" s="217"/>
      <c r="L229" s="217"/>
      <c r="M229" s="217"/>
      <c r="N229" s="217"/>
      <c r="O229" s="217"/>
      <c r="P229" s="217"/>
      <c r="Q229" s="217"/>
      <c r="R229" s="217"/>
      <c r="S229" s="217"/>
      <c r="T229" s="217"/>
      <c r="U229" s="217"/>
      <c r="V229" s="217"/>
      <c r="W229" s="217"/>
      <c r="X229" s="217"/>
      <c r="Y229" s="217"/>
      <c r="Z229" s="217"/>
      <c r="AA229" s="217"/>
      <c r="AB229" s="217"/>
      <c r="AC229" s="217"/>
      <c r="AD229" s="217"/>
      <c r="AE229" s="217"/>
      <c r="AF229" s="217"/>
      <c r="AG229" s="217"/>
      <c r="AH229" s="217"/>
      <c r="AI229" s="217"/>
      <c r="AJ229" s="217"/>
      <c r="AK229" s="217"/>
      <c r="AL229" s="217"/>
      <c r="AM229" s="217"/>
      <c r="AN229" s="217"/>
      <c r="AO229" s="217"/>
      <c r="AP229" s="217"/>
      <c r="AQ229" s="217"/>
      <c r="AR229" s="217"/>
      <c r="AS229" s="217"/>
      <c r="AT229" s="217"/>
      <c r="AU229" s="217"/>
      <c r="AV229" s="217"/>
      <c r="AW229" s="217"/>
      <c r="AX229" s="217"/>
      <c r="AY229" s="217"/>
      <c r="AZ229" s="217"/>
      <c r="BA229" s="217"/>
      <c r="BB229" s="217"/>
      <c r="BC229" s="217"/>
      <c r="BD229" s="217"/>
      <c r="BE229" s="217"/>
      <c r="BF229" s="217"/>
      <c r="BG229" s="217"/>
      <c r="BH229" s="217"/>
      <c r="BI229" s="217"/>
      <c r="BJ229" s="217"/>
      <c r="BK229" s="217"/>
      <c r="BL229" s="217"/>
      <c r="BM229" s="217"/>
      <c r="BN229" s="217"/>
      <c r="BO229" s="217"/>
      <c r="BP229" s="217"/>
      <c r="BQ229" s="217"/>
      <c r="BR229" s="217"/>
      <c r="BS229" s="217"/>
      <c r="BT229" s="217"/>
      <c r="BU229" s="212"/>
      <c r="BV229" s="212"/>
      <c r="BW229" s="212"/>
      <c r="BX229" s="212"/>
      <c r="BY229" s="217"/>
      <c r="BZ229" s="212"/>
      <c r="CA229" s="212"/>
      <c r="CB229" s="212"/>
      <c r="CC229" s="212"/>
      <c r="CD229" s="217"/>
      <c r="CE229" s="212"/>
      <c r="CF229" s="212"/>
      <c r="CG229" s="212"/>
      <c r="CH229" s="212"/>
      <c r="CI229" s="217"/>
      <c r="CJ229" s="212"/>
      <c r="CK229" s="212"/>
      <c r="CL229" s="212"/>
      <c r="CM229" s="212"/>
      <c r="CN229" s="217"/>
      <c r="CO229" s="212"/>
      <c r="CP229" s="212"/>
      <c r="CQ229" s="217"/>
      <c r="CR229" s="217"/>
      <c r="CS229" s="217"/>
      <c r="CT229" s="217"/>
      <c r="CU229" s="217"/>
      <c r="CV229" s="217"/>
      <c r="CW229" s="217"/>
      <c r="CX229" s="159"/>
      <c r="CY229" s="159"/>
      <c r="CZ229" s="159"/>
      <c r="DA229" s="159"/>
      <c r="DB229" s="159"/>
      <c r="DC229" s="169"/>
      <c r="DD229" s="169"/>
      <c r="DE229" s="169"/>
      <c r="DF229" s="169"/>
      <c r="DG229" s="169"/>
      <c r="DH229" s="169"/>
    </row>
    <row r="230" spans="1:152" hidden="1" outlineLevel="1">
      <c r="A230" s="277" t="s">
        <v>564</v>
      </c>
      <c r="B230" s="284"/>
      <c r="C230" s="284"/>
      <c r="D230" s="284"/>
      <c r="E230" s="284"/>
      <c r="F230" s="285"/>
      <c r="G230" s="285"/>
      <c r="H230" s="285"/>
      <c r="I230" s="285"/>
      <c r="J230" s="285"/>
      <c r="K230" s="285"/>
      <c r="L230" s="285"/>
      <c r="M230" s="285"/>
      <c r="N230" s="285"/>
      <c r="O230" s="285"/>
      <c r="P230" s="285"/>
      <c r="Q230" s="285"/>
      <c r="R230" s="285"/>
      <c r="S230" s="285"/>
      <c r="T230" s="285"/>
      <c r="U230" s="285"/>
      <c r="V230" s="285"/>
      <c r="W230" s="285"/>
      <c r="X230" s="285"/>
      <c r="Y230" s="285"/>
      <c r="Z230" s="285"/>
      <c r="AA230" s="201"/>
      <c r="AB230" s="201"/>
      <c r="AC230" s="201"/>
      <c r="AD230" s="201"/>
      <c r="AE230" s="201"/>
      <c r="AF230" s="201"/>
      <c r="AG230" s="201"/>
      <c r="AH230" s="201"/>
      <c r="AI230" s="201"/>
      <c r="AJ230" s="201"/>
      <c r="AK230" s="201"/>
      <c r="AL230" s="201"/>
      <c r="AM230" s="201"/>
      <c r="AN230" s="201"/>
      <c r="AO230" s="201"/>
      <c r="AP230" s="201"/>
      <c r="AQ230" s="201"/>
      <c r="AR230" s="201"/>
      <c r="AS230" s="201"/>
      <c r="AT230" s="201"/>
      <c r="AU230" s="201"/>
      <c r="AV230" s="201"/>
      <c r="AW230" s="201"/>
      <c r="AX230" s="201"/>
      <c r="AY230" s="201"/>
      <c r="AZ230" s="201"/>
      <c r="BA230" s="159">
        <f>BA170*BA118*3/1000</f>
        <v>1655.6130000000001</v>
      </c>
      <c r="BB230" s="159">
        <f>BB170*BB118*3/1000</f>
        <v>1705.1955</v>
      </c>
      <c r="BC230" s="159">
        <f>BC170*BC118*3/1000</f>
        <v>1712.6685</v>
      </c>
      <c r="BD230" s="159">
        <f>BD170*BD118*3/1000</f>
        <v>1714.7355</v>
      </c>
      <c r="BE230" s="159">
        <f>SUM(BA230:BD230)</f>
        <v>6788.2124999999996</v>
      </c>
      <c r="BF230" s="159">
        <f>BF170*BF118*3/1000</f>
        <v>1646.739</v>
      </c>
      <c r="BG230" s="159">
        <f>BG170*BG118*3/1000</f>
        <v>1657.4490000000001</v>
      </c>
      <c r="BH230" s="159">
        <f>BH170*BH118*3/1000</f>
        <v>1678.6395</v>
      </c>
      <c r="BI230" s="159">
        <f>BI170*BI118*3/1000</f>
        <v>1696.1579999999999</v>
      </c>
      <c r="BJ230" s="159">
        <f>BJ170*BJ118*12/1000</f>
        <v>6698.6459999999997</v>
      </c>
      <c r="BK230" s="159">
        <f>BK170*BK118*3/1000</f>
        <v>1642.7985000000001</v>
      </c>
      <c r="BL230" s="159">
        <f>BL170*BL118*3/1000</f>
        <v>1611.066</v>
      </c>
      <c r="BM230" s="159">
        <f>BM170*BM118*3/1000</f>
        <v>1653.3406500000001</v>
      </c>
      <c r="BN230" s="159">
        <f>BN170*BN118*3/1000</f>
        <v>1603.6082999999999</v>
      </c>
      <c r="BO230" s="159">
        <f>BO170*BO118*12/1000</f>
        <v>6444.8490000000002</v>
      </c>
      <c r="BP230" s="159">
        <f>BP170*BP118*3/1000</f>
        <v>1599.9632999999999</v>
      </c>
      <c r="BQ230" s="159">
        <f>BQ170*BQ118*3/1000</f>
        <v>1611.912</v>
      </c>
      <c r="BR230" s="159">
        <f>BR170*BR118*3/1000</f>
        <v>1603.0866000000001</v>
      </c>
      <c r="BS230" s="159">
        <f>BS170*BS118*3/1000</f>
        <v>1587.6121499999999</v>
      </c>
      <c r="BT230" s="159">
        <f>BT170*BT118*12/1000</f>
        <v>6377.9624999999996</v>
      </c>
      <c r="BU230" s="159">
        <f>BU170*BU118*3/1000</f>
        <v>1596.2562000000003</v>
      </c>
      <c r="BV230" s="159">
        <f>BV170*BV118*3/1000</f>
        <v>1643.0026500000001</v>
      </c>
      <c r="BW230" s="159">
        <f>BW170*BW118*3/1000</f>
        <v>1646.9623499999998</v>
      </c>
      <c r="BX230" s="159">
        <f>BX170*BX118*3/1000</f>
        <v>1678.0667999999998</v>
      </c>
      <c r="BY230" s="159">
        <f>BY170*BY118*12/1000</f>
        <v>6621.4260000000004</v>
      </c>
      <c r="BZ230" s="159">
        <f>BZ170*BZ118*3/1000</f>
        <v>1655.1244500000003</v>
      </c>
      <c r="CA230" s="159">
        <f>CA170*CA118*3/1000</f>
        <v>1659.711</v>
      </c>
      <c r="CB230" s="159">
        <f>CB170*CB118*3/1000</f>
        <v>1664.59815</v>
      </c>
      <c r="CC230" s="159">
        <f>CC170*CC118*3/1000</f>
        <v>1684.5927000000001</v>
      </c>
      <c r="CD230" s="159">
        <f t="shared" ref="CD230:CW230" si="822">CD170*CD118*12/1000</f>
        <v>6780.0204000000003</v>
      </c>
      <c r="CE230" s="159">
        <f>CE170*CE118*3/1000</f>
        <v>1672.2940500000002</v>
      </c>
      <c r="CF230" s="159">
        <f>CF170*CF118*3/1000</f>
        <v>1680.0048000000004</v>
      </c>
      <c r="CG230" s="159">
        <f>CG170*CG118*3/1000</f>
        <v>1681.5669</v>
      </c>
      <c r="CH230" s="159">
        <f>CH170*CH118*3/1000</f>
        <v>1706.33025</v>
      </c>
      <c r="CI230" s="159">
        <f t="shared" si="822"/>
        <v>6768.7795500000011</v>
      </c>
      <c r="CJ230" s="159">
        <f>CJ170*CJ118*3/1000</f>
        <v>1649.8475999999998</v>
      </c>
      <c r="CK230" s="159">
        <f>CK170*CK118*3/1000</f>
        <v>1684.5957000000001</v>
      </c>
      <c r="CL230" s="159">
        <f>CL170*CL118*3/1000</f>
        <v>1692.7139999999999</v>
      </c>
      <c r="CM230" s="159">
        <f>CM170*CM118*3/1000</f>
        <v>1729.1488499999998</v>
      </c>
      <c r="CN230" s="159">
        <f t="shared" ref="CN230" si="823">CN170*CN118*12/1000</f>
        <v>6725.9984999999997</v>
      </c>
      <c r="CO230" s="159">
        <f>CO170*CO118*3/1000</f>
        <v>1693.2239999999999</v>
      </c>
      <c r="CP230" s="159">
        <f>CP170*CP118*3/1000</f>
        <v>1716.2907000000002</v>
      </c>
      <c r="CQ230" s="159">
        <f t="shared" si="822"/>
        <v>6897.5287761425006</v>
      </c>
      <c r="CR230" s="159">
        <f t="shared" si="822"/>
        <v>6977.2970667799709</v>
      </c>
      <c r="CS230" s="159">
        <f t="shared" si="822"/>
        <v>7097.1708344426379</v>
      </c>
      <c r="CT230" s="159">
        <f t="shared" si="822"/>
        <v>7214.5062754362471</v>
      </c>
      <c r="CU230" s="159">
        <f t="shared" si="822"/>
        <v>7329.6448128173424</v>
      </c>
      <c r="CV230" s="159">
        <f t="shared" si="822"/>
        <v>7442.8982238388007</v>
      </c>
      <c r="CW230" s="159">
        <f t="shared" si="822"/>
        <v>7554.5513676242444</v>
      </c>
      <c r="CX230" s="159"/>
      <c r="CY230" s="159"/>
      <c r="CZ230" s="159"/>
      <c r="DA230" s="159"/>
      <c r="DB230" s="159"/>
      <c r="DC230" s="165"/>
      <c r="DD230" s="165"/>
      <c r="ED230" s="221"/>
      <c r="EE230" s="221"/>
      <c r="EQ230" s="221"/>
      <c r="ER230" s="221"/>
      <c r="ES230" s="221"/>
      <c r="EU230" s="286"/>
      <c r="EV230" s="287"/>
    </row>
    <row r="231" spans="1:152" hidden="1" outlineLevel="1">
      <c r="A231" s="277" t="s">
        <v>565</v>
      </c>
      <c r="B231" s="284"/>
      <c r="C231" s="284"/>
      <c r="D231" s="284"/>
      <c r="E231" s="284"/>
      <c r="F231" s="285"/>
      <c r="G231" s="285"/>
      <c r="H231" s="285"/>
      <c r="I231" s="285"/>
      <c r="J231" s="285"/>
      <c r="K231" s="285"/>
      <c r="L231" s="285"/>
      <c r="M231" s="285"/>
      <c r="N231" s="285"/>
      <c r="O231" s="285"/>
      <c r="P231" s="285"/>
      <c r="Q231" s="285"/>
      <c r="R231" s="285"/>
      <c r="S231" s="285"/>
      <c r="T231" s="285"/>
      <c r="U231" s="285"/>
      <c r="V231" s="285"/>
      <c r="W231" s="285"/>
      <c r="X231" s="285"/>
      <c r="Y231" s="285"/>
      <c r="Z231" s="285"/>
      <c r="AA231" s="201"/>
      <c r="AB231" s="201"/>
      <c r="AC231" s="201"/>
      <c r="AD231" s="201"/>
      <c r="AE231" s="201"/>
      <c r="AF231" s="201"/>
      <c r="AG231" s="201"/>
      <c r="AH231" s="201"/>
      <c r="AI231" s="201"/>
      <c r="AJ231" s="201"/>
      <c r="AK231" s="201"/>
      <c r="AL231" s="201"/>
      <c r="AM231" s="201"/>
      <c r="AN231" s="201"/>
      <c r="AO231" s="201"/>
      <c r="AP231" s="201"/>
      <c r="AQ231" s="201"/>
      <c r="AR231" s="201"/>
      <c r="AS231" s="201"/>
      <c r="AT231" s="201"/>
      <c r="AU231" s="201"/>
      <c r="AV231" s="201"/>
      <c r="AW231" s="201"/>
      <c r="AX231" s="201"/>
      <c r="AY231" s="201"/>
      <c r="AZ231" s="201"/>
      <c r="BA231" s="159">
        <f>BA382-BA230</f>
        <v>178.38699999999994</v>
      </c>
      <c r="BB231" s="159">
        <f>BB382-BB230</f>
        <v>157.80449999999996</v>
      </c>
      <c r="BC231" s="159">
        <f>BC382-BC230</f>
        <v>163.33150000000001</v>
      </c>
      <c r="BD231" s="159">
        <f>BD382-BD230</f>
        <v>183.2645</v>
      </c>
      <c r="BE231" s="159">
        <f>SUM(BA231:BD231)</f>
        <v>682.78749999999991</v>
      </c>
      <c r="BF231" s="159">
        <f>BF382-BF230</f>
        <v>150.26099999999997</v>
      </c>
      <c r="BG231" s="159">
        <f>BG382-BG230</f>
        <v>105.55099999999993</v>
      </c>
      <c r="BH231" s="159">
        <f>BH382-BH230</f>
        <v>94.360500000000002</v>
      </c>
      <c r="BI231" s="159">
        <f>BI382-BI230</f>
        <v>75.842000000000098</v>
      </c>
      <c r="BJ231" s="159">
        <f>SUM(BF231:BI231)</f>
        <v>426.0145</v>
      </c>
      <c r="BK231" s="159">
        <f>BK382-BK230</f>
        <v>55.201499999999896</v>
      </c>
      <c r="BL231" s="159">
        <f>BL382-BL230</f>
        <v>48.933999999999969</v>
      </c>
      <c r="BM231" s="159">
        <f>BM382-BM230</f>
        <v>19.659349999999904</v>
      </c>
      <c r="BN231" s="159">
        <f>BN382-BN230</f>
        <v>59.391700000000128</v>
      </c>
      <c r="BO231" s="159">
        <f>SUM(BK231:BN231)</f>
        <v>183.1865499999999</v>
      </c>
      <c r="BP231" s="159">
        <f>BP382-BP230</f>
        <v>64.03670000000011</v>
      </c>
      <c r="BQ231" s="159">
        <f>BQ382-BQ230</f>
        <v>75.087999999999965</v>
      </c>
      <c r="BR231" s="159">
        <f>BR382-BR230</f>
        <v>111.91339999999991</v>
      </c>
      <c r="BS231" s="159">
        <f>BS382-BS230</f>
        <v>86.387850000000071</v>
      </c>
      <c r="BT231" s="159">
        <f>SUM(BP231:BS231)</f>
        <v>337.42595000000006</v>
      </c>
      <c r="BU231" s="159">
        <f>BU382-BU230</f>
        <v>-154.25620000000026</v>
      </c>
      <c r="BV231" s="159">
        <f>BV382-BV230</f>
        <v>-154.00265000000013</v>
      </c>
      <c r="BW231" s="159">
        <f>BW382-BW230</f>
        <v>-140.96234999999979</v>
      </c>
      <c r="BX231" s="159">
        <f>BX382-BX230</f>
        <v>-147.06679999999983</v>
      </c>
      <c r="BY231" s="159">
        <f>SUM(BU231:BX231)</f>
        <v>-596.28800000000001</v>
      </c>
      <c r="BZ231" s="159">
        <f>BZ382-BZ230</f>
        <v>-130.12445000000025</v>
      </c>
      <c r="CA231" s="159">
        <f>CA382-CA230</f>
        <v>-137.71100000000001</v>
      </c>
      <c r="CB231" s="159">
        <f>CB382-CB230</f>
        <v>-130.59815000000003</v>
      </c>
      <c r="CC231" s="159">
        <f>CC382-CC230</f>
        <v>-126.59270000000015</v>
      </c>
      <c r="CD231" s="288">
        <f>BY231</f>
        <v>-596.28800000000001</v>
      </c>
      <c r="CE231" s="159">
        <f>CE382-CE230</f>
        <v>-112.2940500000002</v>
      </c>
      <c r="CF231" s="159">
        <f>CF382-CF230</f>
        <v>-116.00480000000039</v>
      </c>
      <c r="CG231" s="159">
        <f>CG382-CG230</f>
        <v>-115.56690000000003</v>
      </c>
      <c r="CH231" s="159">
        <f>CH382-CH230</f>
        <v>-131.33024999999998</v>
      </c>
      <c r="CI231" s="288">
        <f>CD231</f>
        <v>-596.28800000000001</v>
      </c>
      <c r="CJ231" s="159">
        <f>CJ382-CJ230</f>
        <v>-130.84759999999983</v>
      </c>
      <c r="CK231" s="159">
        <f>CK382-CK230</f>
        <v>-141.59570000000008</v>
      </c>
      <c r="CL231" s="159">
        <f>CL382-CL230</f>
        <v>-124.71399999999994</v>
      </c>
      <c r="CM231" s="159">
        <f>CM382-CM230</f>
        <v>-129.14884999999981</v>
      </c>
      <c r="CN231" s="288">
        <f>CI231</f>
        <v>-596.28800000000001</v>
      </c>
      <c r="CO231" s="159">
        <f>CO382-CO230</f>
        <v>-121.22399999999993</v>
      </c>
      <c r="CP231" s="159">
        <f>CP382-CP230</f>
        <v>-132.29070000000024</v>
      </c>
      <c r="CQ231" s="288">
        <f>CN231</f>
        <v>-596.28800000000001</v>
      </c>
      <c r="CR231" s="288">
        <f t="shared" ref="CR231:CS231" si="824">CQ231</f>
        <v>-596.28800000000001</v>
      </c>
      <c r="CS231" s="288">
        <f t="shared" si="824"/>
        <v>-596.28800000000001</v>
      </c>
      <c r="CT231" s="288">
        <f t="shared" ref="CT231" si="825">CS231</f>
        <v>-596.28800000000001</v>
      </c>
      <c r="CU231" s="288">
        <f t="shared" ref="CU231" si="826">CT231</f>
        <v>-596.28800000000001</v>
      </c>
      <c r="CV231" s="288">
        <f t="shared" ref="CV231:CW231" si="827">CU231</f>
        <v>-596.28800000000001</v>
      </c>
      <c r="CW231" s="288">
        <f t="shared" si="827"/>
        <v>-596.28800000000001</v>
      </c>
      <c r="CX231" s="159"/>
      <c r="CY231" s="159"/>
      <c r="CZ231" s="159"/>
      <c r="DA231" s="159"/>
      <c r="DB231" s="159"/>
      <c r="DC231" s="165"/>
      <c r="DD231" s="165"/>
      <c r="ED231" s="221"/>
      <c r="EE231" s="221"/>
      <c r="EQ231" s="221"/>
      <c r="ER231" s="221"/>
      <c r="ES231" s="221"/>
      <c r="EU231" s="286"/>
      <c r="EV231" s="287"/>
    </row>
    <row r="232" spans="1:152" hidden="1" outlineLevel="1">
      <c r="A232" s="289" t="s">
        <v>566</v>
      </c>
      <c r="B232" s="290"/>
      <c r="C232" s="290"/>
      <c r="D232" s="290"/>
      <c r="E232" s="290"/>
      <c r="F232" s="290"/>
      <c r="G232" s="290"/>
      <c r="H232" s="290"/>
      <c r="I232" s="290"/>
      <c r="J232" s="290"/>
      <c r="K232" s="290"/>
      <c r="L232" s="290"/>
      <c r="M232" s="290"/>
      <c r="N232" s="290"/>
      <c r="O232" s="290"/>
      <c r="P232" s="290"/>
      <c r="Q232" s="290"/>
      <c r="R232" s="290"/>
      <c r="S232" s="290"/>
      <c r="T232" s="290"/>
      <c r="U232" s="290"/>
      <c r="V232" s="290"/>
      <c r="W232" s="290"/>
      <c r="X232" s="290"/>
      <c r="Y232" s="290"/>
      <c r="Z232" s="290"/>
      <c r="AA232" s="290"/>
      <c r="AB232" s="290"/>
      <c r="AC232" s="290"/>
      <c r="AD232" s="290"/>
      <c r="AE232" s="290"/>
      <c r="AF232" s="290"/>
      <c r="AG232" s="290"/>
      <c r="AH232" s="290"/>
      <c r="AI232" s="290"/>
      <c r="AJ232" s="290"/>
      <c r="AK232" s="290"/>
      <c r="AL232" s="290"/>
      <c r="AM232" s="290"/>
      <c r="AN232" s="290"/>
      <c r="AO232" s="290"/>
      <c r="AP232" s="290"/>
      <c r="AQ232" s="290"/>
      <c r="AR232" s="290"/>
      <c r="AS232" s="290"/>
      <c r="AT232" s="290"/>
      <c r="AU232" s="290"/>
      <c r="AV232" s="290"/>
      <c r="AW232" s="290"/>
      <c r="AX232" s="290"/>
      <c r="AY232" s="290"/>
      <c r="AZ232" s="290"/>
      <c r="BA232" s="214">
        <f t="shared" ref="BA232:CS232" si="828">BA230+BA231</f>
        <v>1834</v>
      </c>
      <c r="BB232" s="214">
        <f t="shared" si="828"/>
        <v>1863</v>
      </c>
      <c r="BC232" s="214">
        <f t="shared" si="828"/>
        <v>1876</v>
      </c>
      <c r="BD232" s="214">
        <f t="shared" si="828"/>
        <v>1898</v>
      </c>
      <c r="BE232" s="214">
        <f>BE230+BE231</f>
        <v>7471</v>
      </c>
      <c r="BF232" s="214">
        <f t="shared" si="828"/>
        <v>1797</v>
      </c>
      <c r="BG232" s="214">
        <f t="shared" si="828"/>
        <v>1763</v>
      </c>
      <c r="BH232" s="214">
        <f t="shared" si="828"/>
        <v>1773</v>
      </c>
      <c r="BI232" s="214">
        <f t="shared" si="828"/>
        <v>1772</v>
      </c>
      <c r="BJ232" s="214">
        <f t="shared" si="828"/>
        <v>7124.6605</v>
      </c>
      <c r="BK232" s="214">
        <f t="shared" si="828"/>
        <v>1698</v>
      </c>
      <c r="BL232" s="214">
        <f t="shared" si="828"/>
        <v>1660</v>
      </c>
      <c r="BM232" s="214">
        <f t="shared" si="828"/>
        <v>1673</v>
      </c>
      <c r="BN232" s="214">
        <f t="shared" si="828"/>
        <v>1663</v>
      </c>
      <c r="BO232" s="214">
        <f t="shared" si="828"/>
        <v>6628.0355500000005</v>
      </c>
      <c r="BP232" s="214">
        <f t="shared" si="828"/>
        <v>1664</v>
      </c>
      <c r="BQ232" s="214">
        <f t="shared" si="828"/>
        <v>1687</v>
      </c>
      <c r="BR232" s="214">
        <f t="shared" si="828"/>
        <v>1715</v>
      </c>
      <c r="BS232" s="214">
        <f t="shared" si="828"/>
        <v>1674</v>
      </c>
      <c r="BT232" s="214">
        <f t="shared" si="828"/>
        <v>6715.3884499999995</v>
      </c>
      <c r="BU232" s="214">
        <f t="shared" si="828"/>
        <v>1442</v>
      </c>
      <c r="BV232" s="214">
        <f t="shared" si="828"/>
        <v>1489</v>
      </c>
      <c r="BW232" s="214">
        <f t="shared" ref="BW232:BZ232" si="829">BW230+BW231</f>
        <v>1506</v>
      </c>
      <c r="BX232" s="214">
        <f t="shared" si="829"/>
        <v>1531</v>
      </c>
      <c r="BY232" s="214">
        <f t="shared" si="829"/>
        <v>6025.1380000000008</v>
      </c>
      <c r="BZ232" s="214">
        <f t="shared" si="829"/>
        <v>1525</v>
      </c>
      <c r="CA232" s="214">
        <f t="shared" ref="CA232:CB232" si="830">CA230+CA231</f>
        <v>1522</v>
      </c>
      <c r="CB232" s="214">
        <f t="shared" si="830"/>
        <v>1534</v>
      </c>
      <c r="CC232" s="214">
        <f t="shared" ref="CC232:CE232" si="831">CC230+CC231</f>
        <v>1558</v>
      </c>
      <c r="CD232" s="214">
        <f t="shared" si="828"/>
        <v>6183.7324000000008</v>
      </c>
      <c r="CE232" s="214">
        <f t="shared" si="831"/>
        <v>1560</v>
      </c>
      <c r="CF232" s="214">
        <f t="shared" ref="CF232:CG232" si="832">CF230+CF231</f>
        <v>1564</v>
      </c>
      <c r="CG232" s="214">
        <f t="shared" si="832"/>
        <v>1566</v>
      </c>
      <c r="CH232" s="214">
        <f t="shared" ref="CH232" si="833">CH230+CH231</f>
        <v>1575</v>
      </c>
      <c r="CI232" s="214">
        <f t="shared" si="828"/>
        <v>6172.4915500000006</v>
      </c>
      <c r="CJ232" s="214">
        <f t="shared" si="828"/>
        <v>1519</v>
      </c>
      <c r="CK232" s="214">
        <f t="shared" ref="CK232:CL232" si="834">CK230+CK231</f>
        <v>1543</v>
      </c>
      <c r="CL232" s="214">
        <f t="shared" si="834"/>
        <v>1568</v>
      </c>
      <c r="CM232" s="214">
        <f t="shared" ref="CM232:CP232" si="835">CM230+CM231</f>
        <v>1600</v>
      </c>
      <c r="CN232" s="214">
        <f t="shared" si="835"/>
        <v>6129.7104999999992</v>
      </c>
      <c r="CO232" s="214">
        <f t="shared" si="835"/>
        <v>1572</v>
      </c>
      <c r="CP232" s="214">
        <f t="shared" si="835"/>
        <v>1584</v>
      </c>
      <c r="CQ232" s="214">
        <f t="shared" si="828"/>
        <v>6301.2407761425002</v>
      </c>
      <c r="CR232" s="214">
        <f t="shared" si="828"/>
        <v>6381.0090667799705</v>
      </c>
      <c r="CS232" s="214">
        <f t="shared" si="828"/>
        <v>6500.8828344426383</v>
      </c>
      <c r="CT232" s="214">
        <f t="shared" ref="CT232:CV232" si="836">CT230+CT231</f>
        <v>6618.2182754362475</v>
      </c>
      <c r="CU232" s="214">
        <f t="shared" si="836"/>
        <v>6733.3568128173429</v>
      </c>
      <c r="CV232" s="214">
        <f t="shared" si="836"/>
        <v>6846.6102238388012</v>
      </c>
      <c r="CW232" s="214">
        <f t="shared" ref="CW232" si="837">CW230+CW231</f>
        <v>6958.263367624244</v>
      </c>
      <c r="CX232" s="159"/>
      <c r="CY232" s="159"/>
      <c r="CZ232" s="159"/>
      <c r="DA232" s="159"/>
      <c r="DB232" s="159"/>
      <c r="DC232" s="169"/>
      <c r="DD232" s="169"/>
      <c r="DE232" s="169"/>
      <c r="DF232" s="169"/>
      <c r="DG232" s="169"/>
      <c r="DH232" s="169"/>
    </row>
    <row r="233" spans="1:152" hidden="1" outlineLevel="1">
      <c r="A233" s="278" t="s">
        <v>561</v>
      </c>
      <c r="B233" s="217"/>
      <c r="C233" s="217"/>
      <c r="D233" s="217"/>
      <c r="E233" s="217"/>
      <c r="F233" s="217"/>
      <c r="G233" s="217"/>
      <c r="H233" s="217"/>
      <c r="I233" s="217"/>
      <c r="J233" s="217"/>
      <c r="K233" s="217"/>
      <c r="L233" s="217"/>
      <c r="M233" s="217"/>
      <c r="N233" s="217"/>
      <c r="O233" s="217"/>
      <c r="P233" s="217"/>
      <c r="Q233" s="217"/>
      <c r="R233" s="217"/>
      <c r="S233" s="217"/>
      <c r="T233" s="217"/>
      <c r="U233" s="217"/>
      <c r="V233" s="217"/>
      <c r="W233" s="217"/>
      <c r="X233" s="217"/>
      <c r="Y233" s="217"/>
      <c r="Z233" s="217"/>
      <c r="AA233" s="217"/>
      <c r="AB233" s="217"/>
      <c r="AC233" s="217"/>
      <c r="AD233" s="217"/>
      <c r="AE233" s="217"/>
      <c r="AF233" s="217"/>
      <c r="AG233" s="217"/>
      <c r="AH233" s="217"/>
      <c r="AI233" s="217"/>
      <c r="AJ233" s="217"/>
      <c r="AK233" s="217"/>
      <c r="AL233" s="217"/>
      <c r="AM233" s="217"/>
      <c r="AN233" s="217"/>
      <c r="AO233" s="217"/>
      <c r="AP233" s="217"/>
      <c r="AQ233" s="217"/>
      <c r="AR233" s="217"/>
      <c r="AS233" s="217"/>
      <c r="AT233" s="217"/>
      <c r="AU233" s="217"/>
      <c r="AV233" s="217"/>
      <c r="AW233" s="217"/>
      <c r="AX233" s="217"/>
      <c r="AY233" s="217"/>
      <c r="AZ233" s="217"/>
      <c r="BA233" s="217"/>
      <c r="BB233" s="217"/>
      <c r="BC233" s="217"/>
      <c r="BD233" s="217"/>
      <c r="BE233" s="217"/>
      <c r="BF233" s="217"/>
      <c r="BG233" s="217"/>
      <c r="BH233" s="217"/>
      <c r="BI233" s="217"/>
      <c r="BJ233" s="217">
        <f>BJ232/BE232-1</f>
        <v>-4.6357850354704855E-2</v>
      </c>
      <c r="BK233" s="217"/>
      <c r="BL233" s="217"/>
      <c r="BM233" s="217"/>
      <c r="BN233" s="217"/>
      <c r="BO233" s="217">
        <f>BO232/BJ232-1</f>
        <v>-6.9705068753802335E-2</v>
      </c>
      <c r="BP233" s="217">
        <f t="shared" ref="BP233:CP233" si="838">BP232/BK232-1</f>
        <v>-2.0023557126030656E-2</v>
      </c>
      <c r="BQ233" s="217">
        <f t="shared" si="838"/>
        <v>1.6265060240963747E-2</v>
      </c>
      <c r="BR233" s="217">
        <f t="shared" si="838"/>
        <v>2.5104602510460206E-2</v>
      </c>
      <c r="BS233" s="217">
        <f t="shared" si="838"/>
        <v>6.6145520144318404E-3</v>
      </c>
      <c r="BT233" s="217">
        <f>BT232/BO232-1</f>
        <v>1.3179304688551108E-2</v>
      </c>
      <c r="BU233" s="212">
        <f t="shared" si="838"/>
        <v>-0.13341346153846156</v>
      </c>
      <c r="BV233" s="212">
        <f t="shared" si="838"/>
        <v>-0.11736810906935391</v>
      </c>
      <c r="BW233" s="212">
        <f t="shared" si="838"/>
        <v>-0.12186588921282804</v>
      </c>
      <c r="BX233" s="212">
        <f t="shared" si="838"/>
        <v>-8.5424133811230596E-2</v>
      </c>
      <c r="BY233" s="217">
        <f>BY232/BT232-1</f>
        <v>-0.10278637716035599</v>
      </c>
      <c r="BZ233" s="212">
        <f t="shared" si="838"/>
        <v>5.7558945908460446E-2</v>
      </c>
      <c r="CA233" s="212">
        <f t="shared" si="838"/>
        <v>2.2162525184687754E-2</v>
      </c>
      <c r="CB233" s="212">
        <f t="shared" si="838"/>
        <v>1.8592297476759612E-2</v>
      </c>
      <c r="CC233" s="212">
        <f t="shared" si="838"/>
        <v>1.7635532331809367E-2</v>
      </c>
      <c r="CD233" s="217">
        <f>CD232/BY232-1</f>
        <v>2.6322119095031571E-2</v>
      </c>
      <c r="CE233" s="212">
        <f t="shared" si="838"/>
        <v>2.2950819672131084E-2</v>
      </c>
      <c r="CF233" s="212">
        <f t="shared" si="838"/>
        <v>2.7595269382391541E-2</v>
      </c>
      <c r="CG233" s="212">
        <f t="shared" si="838"/>
        <v>2.0860495436766602E-2</v>
      </c>
      <c r="CH233" s="212">
        <f t="shared" si="838"/>
        <v>1.0911424903722766E-2</v>
      </c>
      <c r="CI233" s="217">
        <f>CI232/CD232-1</f>
        <v>-1.8178099039344309E-3</v>
      </c>
      <c r="CJ233" s="212">
        <f t="shared" si="838"/>
        <v>-2.62820512820513E-2</v>
      </c>
      <c r="CK233" s="212">
        <f t="shared" si="838"/>
        <v>-1.3427109974424534E-2</v>
      </c>
      <c r="CL233" s="212">
        <f t="shared" si="838"/>
        <v>1.2771392081736277E-3</v>
      </c>
      <c r="CM233" s="212">
        <f t="shared" si="838"/>
        <v>1.5873015873015817E-2</v>
      </c>
      <c r="CN233" s="217">
        <f>CN232/CI232-1</f>
        <v>-6.9309207883810897E-3</v>
      </c>
      <c r="CO233" s="212">
        <f t="shared" si="838"/>
        <v>3.489137590520075E-2</v>
      </c>
      <c r="CP233" s="212">
        <f t="shared" si="838"/>
        <v>2.657161373946848E-2</v>
      </c>
      <c r="CQ233" s="217">
        <f>CQ232/CN232-1</f>
        <v>2.7983422078824205E-2</v>
      </c>
      <c r="CR233" s="217">
        <f t="shared" ref="CR233:CS233" si="839">CR232/CQ232-1</f>
        <v>1.2659140234648092E-2</v>
      </c>
      <c r="CS233" s="217">
        <f t="shared" si="839"/>
        <v>1.8786020582032936E-2</v>
      </c>
      <c r="CT233" s="217">
        <f t="shared" ref="CT233" si="840">CT232/CS232-1</f>
        <v>1.8049154858160055E-2</v>
      </c>
      <c r="CU233" s="217">
        <f t="shared" ref="CU233" si="841">CU232/CT232-1</f>
        <v>1.7397210637255078E-2</v>
      </c>
      <c r="CV233" s="217">
        <f t="shared" ref="CV233:CW233" si="842">CV232/CU232-1</f>
        <v>1.6819754866677084E-2</v>
      </c>
      <c r="CW233" s="217">
        <f t="shared" si="842"/>
        <v>1.6307799061889616E-2</v>
      </c>
      <c r="CX233" s="159"/>
      <c r="CY233" s="159"/>
      <c r="CZ233" s="159"/>
      <c r="DA233" s="159"/>
      <c r="DB233" s="159"/>
      <c r="DC233" s="169"/>
      <c r="DD233" s="169"/>
      <c r="DE233" s="169"/>
      <c r="DF233" s="169"/>
      <c r="DG233" s="169"/>
      <c r="DH233" s="169"/>
    </row>
    <row r="234" spans="1:152" collapsed="1">
      <c r="A234" s="235"/>
      <c r="B234" s="204"/>
      <c r="C234" s="204"/>
      <c r="D234" s="204"/>
      <c r="E234" s="204"/>
      <c r="F234" s="204"/>
      <c r="G234" s="204"/>
      <c r="H234" s="204"/>
      <c r="I234" s="204"/>
      <c r="J234" s="204"/>
      <c r="K234" s="204"/>
      <c r="L234" s="204"/>
      <c r="M234" s="204"/>
      <c r="N234" s="204"/>
      <c r="O234" s="204"/>
      <c r="P234" s="204"/>
      <c r="Q234" s="204"/>
      <c r="R234" s="204"/>
      <c r="S234" s="204"/>
      <c r="T234" s="204"/>
      <c r="U234" s="204"/>
      <c r="V234" s="204"/>
      <c r="W234" s="204"/>
      <c r="X234" s="204"/>
      <c r="Y234" s="204"/>
      <c r="Z234" s="204"/>
      <c r="AA234" s="204"/>
      <c r="AB234" s="204"/>
      <c r="AC234" s="204"/>
      <c r="AD234" s="204"/>
      <c r="AE234" s="204"/>
      <c r="AF234" s="204"/>
      <c r="AG234" s="204"/>
      <c r="AH234" s="204"/>
      <c r="AI234" s="204"/>
      <c r="AJ234" s="204"/>
      <c r="AK234" s="204"/>
      <c r="AL234" s="204"/>
      <c r="AM234" s="204"/>
      <c r="AN234" s="204"/>
      <c r="AO234" s="204"/>
      <c r="AP234" s="204"/>
      <c r="AQ234" s="204"/>
      <c r="AR234" s="204"/>
      <c r="AS234" s="204"/>
      <c r="AT234" s="204"/>
      <c r="AU234" s="204"/>
      <c r="AV234" s="204"/>
      <c r="AW234" s="204"/>
      <c r="AX234" s="204"/>
      <c r="AY234" s="204"/>
      <c r="AZ234" s="204"/>
      <c r="BA234" s="204"/>
      <c r="BB234" s="204"/>
      <c r="BC234" s="204"/>
      <c r="BD234" s="204"/>
      <c r="BE234" s="204"/>
      <c r="BF234" s="204"/>
      <c r="BG234" s="204"/>
      <c r="BH234" s="204"/>
      <c r="BI234" s="204"/>
      <c r="BJ234" s="204"/>
      <c r="BK234" s="204"/>
      <c r="BL234" s="204"/>
      <c r="BM234" s="204"/>
      <c r="BN234" s="204"/>
      <c r="BO234" s="204"/>
      <c r="BP234" s="204"/>
      <c r="BQ234" s="204"/>
      <c r="BR234" s="204"/>
      <c r="BS234" s="204"/>
      <c r="BT234" s="204"/>
      <c r="BU234" s="185"/>
      <c r="BV234" s="185"/>
      <c r="BW234" s="185"/>
      <c r="BX234" s="185"/>
      <c r="BY234" s="204"/>
      <c r="BZ234" s="185"/>
      <c r="CA234" s="185"/>
      <c r="CB234" s="185"/>
      <c r="CC234" s="185"/>
      <c r="CD234" s="204"/>
      <c r="CE234" s="185"/>
      <c r="CF234" s="185"/>
      <c r="CG234" s="185"/>
      <c r="CH234" s="185"/>
      <c r="CI234" s="204"/>
      <c r="CJ234" s="185"/>
      <c r="CK234" s="185"/>
      <c r="CL234" s="185"/>
      <c r="CM234" s="185"/>
      <c r="CN234" s="204"/>
      <c r="CO234" s="185"/>
      <c r="CP234" s="185"/>
      <c r="CQ234" s="204"/>
      <c r="CR234" s="204"/>
      <c r="CS234" s="204"/>
      <c r="CT234" s="204"/>
      <c r="CU234" s="204"/>
      <c r="CV234" s="204"/>
      <c r="CW234" s="204"/>
      <c r="CX234" s="159"/>
      <c r="CY234" s="159"/>
      <c r="CZ234" s="159"/>
      <c r="DA234" s="159"/>
      <c r="DB234" s="159"/>
      <c r="DC234" s="169"/>
      <c r="DD234" s="169"/>
      <c r="DE234" s="169"/>
      <c r="DF234" s="169"/>
      <c r="DG234" s="169"/>
      <c r="DH234" s="169"/>
    </row>
    <row r="235" spans="1:152">
      <c r="A235" s="279" t="s">
        <v>673</v>
      </c>
      <c r="B235" s="204"/>
      <c r="C235" s="204"/>
      <c r="D235" s="204"/>
      <c r="E235" s="204"/>
      <c r="F235" s="204"/>
      <c r="G235" s="204"/>
      <c r="H235" s="204"/>
      <c r="I235" s="204"/>
      <c r="J235" s="204"/>
      <c r="K235" s="204"/>
      <c r="L235" s="204"/>
      <c r="M235" s="204"/>
      <c r="N235" s="204"/>
      <c r="O235" s="204"/>
      <c r="P235" s="204"/>
      <c r="Q235" s="204"/>
      <c r="R235" s="204"/>
      <c r="S235" s="204"/>
      <c r="T235" s="204"/>
      <c r="U235" s="204"/>
      <c r="V235" s="204"/>
      <c r="W235" s="204"/>
      <c r="X235" s="204"/>
      <c r="Y235" s="204"/>
      <c r="Z235" s="204"/>
      <c r="AA235" s="204"/>
      <c r="AB235" s="204"/>
      <c r="AC235" s="204"/>
      <c r="AD235" s="204"/>
      <c r="AE235" s="204"/>
      <c r="AF235" s="204"/>
      <c r="AG235" s="204"/>
      <c r="AH235" s="204"/>
      <c r="AI235" s="204"/>
      <c r="AJ235" s="204"/>
      <c r="AK235" s="204"/>
      <c r="AL235" s="204"/>
      <c r="AM235" s="204"/>
      <c r="AN235" s="204"/>
      <c r="AO235" s="204"/>
      <c r="AP235" s="204"/>
      <c r="AQ235" s="204"/>
      <c r="AR235" s="204"/>
      <c r="AS235" s="204"/>
      <c r="AT235" s="204"/>
      <c r="AU235" s="204"/>
      <c r="AV235" s="204"/>
      <c r="AW235" s="204"/>
      <c r="AX235" s="204"/>
      <c r="AY235" s="204"/>
      <c r="AZ235" s="204"/>
      <c r="BA235" s="204"/>
      <c r="BB235" s="204"/>
      <c r="BC235" s="204"/>
      <c r="BD235" s="204"/>
      <c r="BE235" s="204"/>
      <c r="BF235" s="204"/>
      <c r="BG235" s="204"/>
      <c r="BH235" s="204"/>
      <c r="BI235" s="204"/>
      <c r="BJ235" s="204"/>
      <c r="BK235" s="204"/>
      <c r="BL235" s="204"/>
      <c r="BM235" s="204"/>
      <c r="BN235" s="204"/>
      <c r="BO235" s="204"/>
      <c r="BP235" s="204"/>
      <c r="BQ235" s="204"/>
      <c r="BR235" s="204"/>
      <c r="BS235" s="204"/>
      <c r="BT235" s="204"/>
      <c r="BU235" s="185"/>
      <c r="BV235" s="185"/>
      <c r="BW235" s="185"/>
      <c r="BX235" s="185"/>
      <c r="BY235" s="204"/>
      <c r="BZ235" s="185"/>
      <c r="CA235" s="185"/>
      <c r="CB235" s="185"/>
      <c r="CC235" s="185"/>
      <c r="CD235" s="204"/>
      <c r="CE235" s="185"/>
      <c r="CF235" s="185"/>
      <c r="CG235" s="185"/>
      <c r="CH235" s="185"/>
      <c r="CI235" s="204"/>
      <c r="CJ235" s="185"/>
      <c r="CK235" s="185"/>
      <c r="CL235" s="185"/>
      <c r="CM235" s="185"/>
      <c r="CN235" s="204"/>
      <c r="CO235" s="185"/>
      <c r="CP235" s="185"/>
      <c r="CQ235" s="204"/>
      <c r="CR235" s="204"/>
      <c r="CS235" s="204"/>
      <c r="CT235" s="204"/>
      <c r="CU235" s="204"/>
      <c r="CV235" s="204"/>
      <c r="CW235" s="204"/>
      <c r="CX235" s="159"/>
      <c r="CY235" s="159"/>
      <c r="CZ235" s="159"/>
      <c r="DA235" s="159"/>
      <c r="DB235" s="159"/>
      <c r="DC235" s="169"/>
      <c r="DD235" s="169"/>
      <c r="DE235" s="169"/>
      <c r="DF235" s="169"/>
      <c r="DG235" s="169"/>
      <c r="DH235" s="169"/>
    </row>
    <row r="236" spans="1:152" s="1002" customFormat="1">
      <c r="A236" s="999" t="s">
        <v>606</v>
      </c>
      <c r="B236" s="1000"/>
      <c r="C236" s="1000"/>
      <c r="D236" s="1000"/>
      <c r="E236" s="1000"/>
      <c r="F236" s="1000"/>
      <c r="G236" s="1000"/>
      <c r="H236" s="1000"/>
      <c r="I236" s="1000"/>
      <c r="J236" s="1000"/>
      <c r="K236" s="1000"/>
      <c r="L236" s="1000"/>
      <c r="M236" s="1000"/>
      <c r="N236" s="1000"/>
      <c r="O236" s="1000"/>
      <c r="P236" s="1000"/>
      <c r="Q236" s="1000"/>
      <c r="R236" s="1000"/>
      <c r="S236" s="1000"/>
      <c r="T236" s="1000"/>
      <c r="U236" s="1000"/>
      <c r="V236" s="1000"/>
      <c r="W236" s="1000"/>
      <c r="X236" s="1000"/>
      <c r="Y236" s="1000"/>
      <c r="Z236" s="1000"/>
      <c r="AA236" s="1000"/>
      <c r="AB236" s="1000"/>
      <c r="AC236" s="1000"/>
      <c r="AD236" s="1000"/>
      <c r="AE236" s="1000"/>
      <c r="AF236" s="1000"/>
      <c r="AG236" s="1000"/>
      <c r="AH236" s="1000"/>
      <c r="AI236" s="1000"/>
      <c r="AJ236" s="1000"/>
      <c r="AK236" s="1000"/>
      <c r="AL236" s="1000"/>
      <c r="AM236" s="1000"/>
      <c r="AN236" s="1000"/>
      <c r="AO236" s="1000"/>
      <c r="AP236" s="1000"/>
      <c r="AQ236" s="1000"/>
      <c r="AR236" s="1000"/>
      <c r="AS236" s="1000"/>
      <c r="AT236" s="1000"/>
      <c r="AU236" s="1000"/>
      <c r="AV236" s="1000"/>
      <c r="AW236" s="1000"/>
      <c r="AX236" s="1000"/>
      <c r="AY236" s="1000"/>
      <c r="AZ236" s="1000"/>
      <c r="BA236" s="1001">
        <f>BA166</f>
        <v>35</v>
      </c>
      <c r="BB236" s="1001">
        <f t="shared" ref="BB236:BD236" si="843">BB166</f>
        <v>37</v>
      </c>
      <c r="BC236" s="1001">
        <f t="shared" si="843"/>
        <v>36</v>
      </c>
      <c r="BD236" s="1001">
        <f t="shared" si="843"/>
        <v>37</v>
      </c>
      <c r="BE236" s="1001">
        <f>BE166</f>
        <v>36.25</v>
      </c>
      <c r="BF236" s="1001">
        <f>BF166</f>
        <v>35</v>
      </c>
      <c r="BG236" s="1001">
        <f t="shared" ref="BG236:BI236" si="844">BG166</f>
        <v>35</v>
      </c>
      <c r="BH236" s="1001">
        <f t="shared" si="844"/>
        <v>35</v>
      </c>
      <c r="BI236" s="1001">
        <f t="shared" si="844"/>
        <v>35</v>
      </c>
      <c r="BJ236" s="1001">
        <f>BJ166</f>
        <v>35</v>
      </c>
      <c r="BK236" s="1001">
        <f>BK166</f>
        <v>32</v>
      </c>
      <c r="BL236" s="1001">
        <f t="shared" ref="BL236:BN236" si="845">BL166</f>
        <v>30.6</v>
      </c>
      <c r="BM236" s="1001">
        <f t="shared" si="845"/>
        <v>33.1</v>
      </c>
      <c r="BN236" s="1001">
        <f t="shared" si="845"/>
        <v>32.4</v>
      </c>
      <c r="BO236" s="1001">
        <f>BO166</f>
        <v>32.024999999999999</v>
      </c>
      <c r="BP236" s="1001">
        <f>BP166</f>
        <v>31.6</v>
      </c>
      <c r="BQ236" s="1001">
        <f t="shared" ref="BQ236:BS236" si="846">BQ166</f>
        <v>31</v>
      </c>
      <c r="BR236" s="1001">
        <f t="shared" si="846"/>
        <v>30.5</v>
      </c>
      <c r="BS236" s="1001">
        <f t="shared" si="846"/>
        <v>29.7</v>
      </c>
      <c r="BT236" s="1001">
        <f>BT166</f>
        <v>30.7</v>
      </c>
      <c r="BU236" s="1001">
        <f>BU166</f>
        <v>30.2</v>
      </c>
      <c r="BV236" s="1001">
        <f t="shared" ref="BV236:BX236" si="847">BV166</f>
        <v>31.8</v>
      </c>
      <c r="BW236" s="1001">
        <f t="shared" si="847"/>
        <v>31.3</v>
      </c>
      <c r="BX236" s="1001">
        <f t="shared" si="847"/>
        <v>31.8</v>
      </c>
      <c r="BY236" s="1001">
        <f t="shared" ref="BY236:CW236" si="848">BY166</f>
        <v>31.274999999999999</v>
      </c>
      <c r="BZ236" s="1001">
        <f t="shared" si="848"/>
        <v>30.7</v>
      </c>
      <c r="CA236" s="1001">
        <f t="shared" ref="CA236:CB236" si="849">CA166</f>
        <v>30.8</v>
      </c>
      <c r="CB236" s="1001">
        <f t="shared" si="849"/>
        <v>30.7</v>
      </c>
      <c r="CC236" s="1001">
        <f t="shared" ref="CC236:CD236" si="850">CC166</f>
        <v>29.6</v>
      </c>
      <c r="CD236" s="1001">
        <f t="shared" si="850"/>
        <v>30.450000000000003</v>
      </c>
      <c r="CE236" s="1001">
        <f t="shared" ref="CE236:CF236" si="851">CE166</f>
        <v>28.7</v>
      </c>
      <c r="CF236" s="1001">
        <f t="shared" si="851"/>
        <v>28.9</v>
      </c>
      <c r="CG236" s="1001">
        <f t="shared" ref="CG236:CJ236" si="852">CG166</f>
        <v>28.4</v>
      </c>
      <c r="CH236" s="1001">
        <f t="shared" si="852"/>
        <v>28.1</v>
      </c>
      <c r="CI236" s="1001">
        <f t="shared" si="852"/>
        <v>28.524999999999999</v>
      </c>
      <c r="CJ236" s="1001">
        <f t="shared" si="852"/>
        <v>26.3</v>
      </c>
      <c r="CK236" s="1001">
        <f t="shared" ref="CK236:CL236" si="853">CK166</f>
        <v>26.8</v>
      </c>
      <c r="CL236" s="1001">
        <f t="shared" si="853"/>
        <v>27</v>
      </c>
      <c r="CM236" s="1001">
        <f t="shared" ref="CM236:CP236" si="854">CM166</f>
        <v>27.3</v>
      </c>
      <c r="CN236" s="1001">
        <f t="shared" si="854"/>
        <v>26.849999999999998</v>
      </c>
      <c r="CO236" s="1001">
        <f t="shared" si="854"/>
        <v>26.4</v>
      </c>
      <c r="CP236" s="1001">
        <f t="shared" si="854"/>
        <v>27</v>
      </c>
      <c r="CQ236" s="1001">
        <f>CQ166</f>
        <v>26.849999999999998</v>
      </c>
      <c r="CR236" s="1001">
        <f t="shared" si="848"/>
        <v>26.849999999999998</v>
      </c>
      <c r="CS236" s="1001">
        <f t="shared" si="848"/>
        <v>26.849999999999998</v>
      </c>
      <c r="CT236" s="1001">
        <f t="shared" si="848"/>
        <v>26.849999999999998</v>
      </c>
      <c r="CU236" s="1001">
        <f t="shared" si="848"/>
        <v>26.849999999999998</v>
      </c>
      <c r="CV236" s="1001">
        <f t="shared" si="848"/>
        <v>26.849999999999998</v>
      </c>
      <c r="CW236" s="1001">
        <f t="shared" si="848"/>
        <v>26.849999999999998</v>
      </c>
    </row>
    <row r="237" spans="1:152" s="169" customFormat="1">
      <c r="A237" s="280" t="s">
        <v>669</v>
      </c>
      <c r="B237" s="720"/>
      <c r="C237" s="720"/>
      <c r="D237" s="720"/>
      <c r="E237" s="720"/>
      <c r="F237" s="720"/>
      <c r="G237" s="720"/>
      <c r="H237" s="720"/>
      <c r="I237" s="720"/>
      <c r="J237" s="720"/>
      <c r="K237" s="720"/>
      <c r="L237" s="720"/>
      <c r="M237" s="720"/>
      <c r="N237" s="720"/>
      <c r="O237" s="720"/>
      <c r="P237" s="720"/>
      <c r="Q237" s="720"/>
      <c r="R237" s="720"/>
      <c r="S237" s="720"/>
      <c r="T237" s="720"/>
      <c r="U237" s="720"/>
      <c r="V237" s="720"/>
      <c r="W237" s="720"/>
      <c r="X237" s="720"/>
      <c r="Y237" s="720"/>
      <c r="Z237" s="720"/>
      <c r="AA237" s="720"/>
      <c r="AB237" s="720"/>
      <c r="AC237" s="720"/>
      <c r="AD237" s="720"/>
      <c r="AE237" s="720"/>
      <c r="AF237" s="720"/>
      <c r="AG237" s="720"/>
      <c r="AH237" s="720"/>
      <c r="AI237" s="720"/>
      <c r="AJ237" s="720"/>
      <c r="AK237" s="720"/>
      <c r="AL237" s="720"/>
      <c r="AM237" s="720"/>
      <c r="AN237" s="720"/>
      <c r="AO237" s="720"/>
      <c r="AP237" s="720"/>
      <c r="AQ237" s="720"/>
      <c r="AR237" s="720"/>
      <c r="AS237" s="720"/>
      <c r="AT237" s="720"/>
      <c r="AU237" s="720"/>
      <c r="AV237" s="720"/>
      <c r="AW237" s="720"/>
      <c r="AX237" s="720"/>
      <c r="AY237" s="720"/>
      <c r="AZ237" s="720"/>
      <c r="BA237" s="691">
        <f>BA111</f>
        <v>8288</v>
      </c>
      <c r="BB237" s="691">
        <f t="shared" ref="BB237:BD237" si="855">BB111</f>
        <v>8184.5</v>
      </c>
      <c r="BC237" s="691">
        <f t="shared" si="855"/>
        <v>7979</v>
      </c>
      <c r="BD237" s="691">
        <f t="shared" si="855"/>
        <v>7802.5</v>
      </c>
      <c r="BE237" s="691">
        <f>BE111</f>
        <v>7802.5</v>
      </c>
      <c r="BF237" s="691">
        <f>BF111</f>
        <v>7600</v>
      </c>
      <c r="BG237" s="691">
        <f t="shared" ref="BG237:BI237" si="856">BG111</f>
        <v>7589.5</v>
      </c>
      <c r="BH237" s="691">
        <f t="shared" si="856"/>
        <v>7582</v>
      </c>
      <c r="BI237" s="691">
        <f t="shared" si="856"/>
        <v>7473</v>
      </c>
      <c r="BJ237" s="691">
        <f>BJ111</f>
        <v>7473</v>
      </c>
      <c r="BK237" s="691">
        <f>BK111</f>
        <v>7416</v>
      </c>
      <c r="BL237" s="691">
        <f t="shared" ref="BL237:BN237" si="857">BL111</f>
        <v>7646.5</v>
      </c>
      <c r="BM237" s="691">
        <f t="shared" si="857"/>
        <v>7304</v>
      </c>
      <c r="BN237" s="691">
        <f t="shared" si="857"/>
        <v>7284</v>
      </c>
      <c r="BO237" s="691">
        <f>BO111</f>
        <v>7284</v>
      </c>
      <c r="BP237" s="691">
        <f>BP111</f>
        <v>7376.5</v>
      </c>
      <c r="BQ237" s="691">
        <f t="shared" ref="BQ237:BS237" si="858">BQ111</f>
        <v>7595</v>
      </c>
      <c r="BR237" s="691">
        <f t="shared" si="858"/>
        <v>7240.5</v>
      </c>
      <c r="BS237" s="691">
        <f t="shared" si="858"/>
        <v>7276</v>
      </c>
      <c r="BT237" s="691">
        <f>BT111</f>
        <v>7276</v>
      </c>
      <c r="BU237" s="691">
        <f>BU111</f>
        <v>7228.5</v>
      </c>
      <c r="BV237" s="691">
        <f t="shared" ref="BV237:BX237" si="859">BV111</f>
        <v>7254.5</v>
      </c>
      <c r="BW237" s="691">
        <f t="shared" si="859"/>
        <v>7261</v>
      </c>
      <c r="BX237" s="691">
        <f t="shared" si="859"/>
        <v>7253</v>
      </c>
      <c r="BY237" s="691">
        <f t="shared" ref="BY237:CW237" si="860">BY111</f>
        <v>7253</v>
      </c>
      <c r="BZ237" s="691">
        <f t="shared" si="860"/>
        <v>7109</v>
      </c>
      <c r="CA237" s="691">
        <f t="shared" ref="CA237:CB237" si="861">CA111</f>
        <v>7090.5</v>
      </c>
      <c r="CB237" s="691">
        <f t="shared" si="861"/>
        <v>7186.5</v>
      </c>
      <c r="CC237" s="691">
        <f t="shared" ref="CC237:CD237" si="862">CC111</f>
        <v>7368</v>
      </c>
      <c r="CD237" s="691">
        <f t="shared" si="862"/>
        <v>7368</v>
      </c>
      <c r="CE237" s="691">
        <f t="shared" ref="CE237:CF237" si="863">CE111</f>
        <v>7261.5</v>
      </c>
      <c r="CF237" s="691">
        <f t="shared" si="863"/>
        <v>7264.5</v>
      </c>
      <c r="CG237" s="691">
        <f t="shared" ref="CG237:CJ237" si="864">CG111</f>
        <v>7339.5</v>
      </c>
      <c r="CH237" s="691">
        <f t="shared" si="864"/>
        <v>7513.5</v>
      </c>
      <c r="CI237" s="691">
        <f t="shared" si="864"/>
        <v>7513.5</v>
      </c>
      <c r="CJ237" s="691">
        <f t="shared" si="864"/>
        <v>7481.5</v>
      </c>
      <c r="CK237" s="691">
        <f t="shared" ref="CK237:CL237" si="865">CK111</f>
        <v>7549</v>
      </c>
      <c r="CL237" s="691">
        <f t="shared" si="865"/>
        <v>7533.5</v>
      </c>
      <c r="CM237" s="691">
        <f t="shared" ref="CM237:CP237" si="866">CM111</f>
        <v>7511.5</v>
      </c>
      <c r="CN237" s="691">
        <f t="shared" si="866"/>
        <v>7511.5</v>
      </c>
      <c r="CO237" s="691">
        <f t="shared" si="866"/>
        <v>7589.5</v>
      </c>
      <c r="CP237" s="691">
        <f t="shared" si="866"/>
        <v>7496</v>
      </c>
      <c r="CQ237" s="691">
        <f t="shared" si="860"/>
        <v>7588.6595310075263</v>
      </c>
      <c r="CR237" s="691">
        <f t="shared" si="860"/>
        <v>7616.1543427479246</v>
      </c>
      <c r="CS237" s="691">
        <f t="shared" si="860"/>
        <v>7661.1603642782284</v>
      </c>
      <c r="CT237" s="691">
        <f t="shared" si="860"/>
        <v>7701.090663780682</v>
      </c>
      <c r="CU237" s="691">
        <f t="shared" si="860"/>
        <v>7736.4265722599375</v>
      </c>
      <c r="CV237" s="691">
        <f t="shared" si="860"/>
        <v>7767.6011771537433</v>
      </c>
      <c r="CW237" s="691">
        <f t="shared" si="860"/>
        <v>7795.004122924779</v>
      </c>
    </row>
    <row r="238" spans="1:152" s="382" customFormat="1">
      <c r="A238" s="282" t="s">
        <v>668</v>
      </c>
      <c r="B238" s="721"/>
      <c r="C238" s="721"/>
      <c r="D238" s="721"/>
      <c r="E238" s="721"/>
      <c r="F238" s="721"/>
      <c r="G238" s="721"/>
      <c r="H238" s="721"/>
      <c r="I238" s="721"/>
      <c r="J238" s="721"/>
      <c r="K238" s="721"/>
      <c r="L238" s="721"/>
      <c r="M238" s="721"/>
      <c r="N238" s="721"/>
      <c r="O238" s="721"/>
      <c r="P238" s="721"/>
      <c r="Q238" s="721"/>
      <c r="R238" s="721"/>
      <c r="S238" s="721"/>
      <c r="T238" s="721"/>
      <c r="U238" s="721"/>
      <c r="V238" s="721"/>
      <c r="W238" s="721"/>
      <c r="X238" s="721"/>
      <c r="Y238" s="721"/>
      <c r="Z238" s="721"/>
      <c r="AA238" s="721"/>
      <c r="AB238" s="721"/>
      <c r="AC238" s="721"/>
      <c r="AD238" s="721"/>
      <c r="AE238" s="721"/>
      <c r="AF238" s="721"/>
      <c r="AG238" s="721"/>
      <c r="AH238" s="721"/>
      <c r="AI238" s="721"/>
      <c r="AJ238" s="721"/>
      <c r="AK238" s="721"/>
      <c r="AL238" s="721"/>
      <c r="AM238" s="721"/>
      <c r="AN238" s="721"/>
      <c r="AO238" s="721"/>
      <c r="AP238" s="721"/>
      <c r="AQ238" s="721"/>
      <c r="AR238" s="721"/>
      <c r="AS238" s="721"/>
      <c r="AT238" s="721"/>
      <c r="AU238" s="721"/>
      <c r="AV238" s="721"/>
      <c r="AW238" s="721"/>
      <c r="AX238" s="721"/>
      <c r="AY238" s="721"/>
      <c r="AZ238" s="721"/>
      <c r="BA238" s="706">
        <f>BA236*BA237*3/1000</f>
        <v>870.24</v>
      </c>
      <c r="BB238" s="706">
        <f t="shared" ref="BB238" si="867">BB236*BB237*3/1000</f>
        <v>908.47950000000003</v>
      </c>
      <c r="BC238" s="706">
        <f t="shared" ref="BC238" si="868">BC236*BC237*3/1000</f>
        <v>861.73199999999997</v>
      </c>
      <c r="BD238" s="706">
        <f t="shared" ref="BD238" si="869">BD236*BD237*3/1000</f>
        <v>866.07749999999999</v>
      </c>
      <c r="BE238" s="706">
        <f>BE236*BE237*12/1000</f>
        <v>3394.0875000000001</v>
      </c>
      <c r="BF238" s="706">
        <f>BF236*BF237*3/1000</f>
        <v>798</v>
      </c>
      <c r="BG238" s="706">
        <f t="shared" ref="BG238" si="870">BG236*BG237*3/1000</f>
        <v>796.89750000000004</v>
      </c>
      <c r="BH238" s="706">
        <f t="shared" ref="BH238" si="871">BH236*BH237*3/1000</f>
        <v>796.11</v>
      </c>
      <c r="BI238" s="706">
        <f t="shared" ref="BI238" si="872">BI236*BI237*3/1000</f>
        <v>784.66499999999996</v>
      </c>
      <c r="BJ238" s="706">
        <f>BJ236*BJ237*12/1000</f>
        <v>3138.66</v>
      </c>
      <c r="BK238" s="706">
        <f>BK236*BK237*3/1000</f>
        <v>711.93600000000004</v>
      </c>
      <c r="BL238" s="706">
        <f t="shared" ref="BL238" si="873">BL236*BL237*3/1000</f>
        <v>701.94870000000003</v>
      </c>
      <c r="BM238" s="706">
        <f t="shared" ref="BM238" si="874">BM236*BM237*3/1000</f>
        <v>725.2872000000001</v>
      </c>
      <c r="BN238" s="706">
        <f t="shared" ref="BN238" si="875">BN236*BN237*3/1000</f>
        <v>708.00479999999993</v>
      </c>
      <c r="BO238" s="706">
        <f>BO236*BO237*12/1000</f>
        <v>2799.2411999999999</v>
      </c>
      <c r="BP238" s="706">
        <f>BP236*BP237*3/1000</f>
        <v>699.29220000000009</v>
      </c>
      <c r="BQ238" s="706">
        <f t="shared" ref="BQ238" si="876">BQ236*BQ237*3/1000</f>
        <v>706.33500000000004</v>
      </c>
      <c r="BR238" s="706">
        <f t="shared" ref="BR238" si="877">BR236*BR237*3/1000</f>
        <v>662.50575000000003</v>
      </c>
      <c r="BS238" s="706">
        <f t="shared" ref="BS238" si="878">BS236*BS237*3/1000</f>
        <v>648.29160000000002</v>
      </c>
      <c r="BT238" s="706">
        <f>BT236*BT237*12/1000</f>
        <v>2680.4784</v>
      </c>
      <c r="BU238" s="706">
        <f>BU236*BU237*3/1000</f>
        <v>654.90210000000002</v>
      </c>
      <c r="BV238" s="706">
        <f t="shared" ref="BV238:BX238" si="879">BV236*BV237*3/1000</f>
        <v>692.0793000000001</v>
      </c>
      <c r="BW238" s="706">
        <f t="shared" si="879"/>
        <v>681.80790000000002</v>
      </c>
      <c r="BX238" s="706">
        <f t="shared" si="879"/>
        <v>691.93619999999999</v>
      </c>
      <c r="BY238" s="706">
        <f>BY236*BY237*12/1000</f>
        <v>2722.0508999999997</v>
      </c>
      <c r="BZ238" s="706">
        <f>BZ236*BZ237*3/1000</f>
        <v>654.73889999999994</v>
      </c>
      <c r="CA238" s="706">
        <f>CA236*CA237*3/1000</f>
        <v>655.16219999999998</v>
      </c>
      <c r="CB238" s="706">
        <f>CB236*CB237*3/1000</f>
        <v>661.87664999999993</v>
      </c>
      <c r="CC238" s="706">
        <f>CC236*CC237*3/1000</f>
        <v>654.27840000000003</v>
      </c>
      <c r="CD238" s="706">
        <f>CD236*CD237*12/1000</f>
        <v>2692.2672000000002</v>
      </c>
      <c r="CE238" s="706">
        <f>CE236*CE237*3/1000</f>
        <v>625.21514999999988</v>
      </c>
      <c r="CF238" s="706">
        <f>CF236*CF237*3/1000</f>
        <v>629.83214999999996</v>
      </c>
      <c r="CG238" s="706">
        <f>CG236*CG237*3/1000</f>
        <v>625.32539999999995</v>
      </c>
      <c r="CH238" s="706">
        <f>CH236*CH237*3/1000</f>
        <v>633.38805000000002</v>
      </c>
      <c r="CI238" s="706">
        <f>CI236*CI237*12/1000</f>
        <v>2571.8710499999997</v>
      </c>
      <c r="CJ238" s="706">
        <f>CJ236*CJ237*3/1000</f>
        <v>590.2903500000001</v>
      </c>
      <c r="CK238" s="706">
        <f>CK236*CK237*3/1000</f>
        <v>606.93960000000004</v>
      </c>
      <c r="CL238" s="706">
        <f>CL236*CL237*3/1000</f>
        <v>610.21349999999995</v>
      </c>
      <c r="CM238" s="706">
        <f>CM236*CM237*3/1000</f>
        <v>615.19185000000004</v>
      </c>
      <c r="CN238" s="706">
        <f>CN236*CN237*12/1000</f>
        <v>2420.2052999999996</v>
      </c>
      <c r="CO238" s="706">
        <f>CO236*CO237*3/1000</f>
        <v>601.08839999999987</v>
      </c>
      <c r="CP238" s="706">
        <f>CP236*CP237*3/1000</f>
        <v>607.17600000000004</v>
      </c>
      <c r="CQ238" s="706">
        <f>CQ236*CQ237*12/1000</f>
        <v>2445.066100890625</v>
      </c>
      <c r="CR238" s="706">
        <f t="shared" ref="CR238:CS238" si="880">CR236*CR237*12/1000</f>
        <v>2453.9249292333811</v>
      </c>
      <c r="CS238" s="706">
        <f t="shared" si="880"/>
        <v>2468.4258693704446</v>
      </c>
      <c r="CT238" s="706">
        <f t="shared" ref="CT238" si="881">CT236*CT237*12/1000</f>
        <v>2481.2914118701356</v>
      </c>
      <c r="CU238" s="706">
        <f t="shared" ref="CU238" si="882">CU236*CU237*12/1000</f>
        <v>2492.6766415821517</v>
      </c>
      <c r="CV238" s="706">
        <f t="shared" ref="CV238:CW238" si="883">CV236*CV237*12/1000</f>
        <v>2502.721099278936</v>
      </c>
      <c r="CW238" s="706">
        <f t="shared" si="883"/>
        <v>2511.5503284063639</v>
      </c>
    </row>
    <row r="239" spans="1:152" s="169" customFormat="1">
      <c r="A239" s="280" t="s">
        <v>0</v>
      </c>
      <c r="B239" s="252"/>
      <c r="C239" s="252"/>
      <c r="D239" s="252"/>
      <c r="E239" s="252"/>
      <c r="F239" s="252"/>
      <c r="G239" s="252"/>
      <c r="H239" s="252"/>
      <c r="I239" s="252"/>
      <c r="J239" s="252"/>
      <c r="K239" s="252"/>
      <c r="L239" s="252"/>
      <c r="M239" s="252"/>
      <c r="N239" s="252"/>
      <c r="O239" s="252"/>
      <c r="P239" s="252"/>
      <c r="Q239" s="252"/>
      <c r="R239" s="252"/>
      <c r="S239" s="252"/>
      <c r="T239" s="252"/>
      <c r="U239" s="252"/>
      <c r="V239" s="252"/>
      <c r="W239" s="252"/>
      <c r="X239" s="252"/>
      <c r="Y239" s="252"/>
      <c r="Z239" s="252"/>
      <c r="AA239" s="252"/>
      <c r="AB239" s="252"/>
      <c r="AC239" s="252"/>
      <c r="AD239" s="252"/>
      <c r="AE239" s="252"/>
      <c r="AF239" s="252"/>
      <c r="AG239" s="252"/>
      <c r="AH239" s="252"/>
      <c r="AI239" s="252"/>
      <c r="AJ239" s="252"/>
      <c r="AK239" s="252"/>
      <c r="AL239" s="252"/>
      <c r="AM239" s="252"/>
      <c r="AN239" s="252"/>
      <c r="AO239" s="252"/>
      <c r="AP239" s="252"/>
      <c r="AQ239" s="252"/>
      <c r="AR239" s="252"/>
      <c r="AS239" s="252"/>
      <c r="AT239" s="252"/>
      <c r="AU239" s="252"/>
      <c r="AV239" s="252"/>
      <c r="AW239" s="252"/>
      <c r="AX239" s="252"/>
      <c r="AY239" s="252"/>
      <c r="AZ239" s="252"/>
      <c r="BA239" s="204" t="e">
        <f>BA238/AV238-1</f>
        <v>#DIV/0!</v>
      </c>
      <c r="BB239" s="204" t="e">
        <f t="shared" ref="BB239" si="884">BB238/AW238-1</f>
        <v>#DIV/0!</v>
      </c>
      <c r="BC239" s="204" t="e">
        <f t="shared" ref="BC239" si="885">BC238/AX238-1</f>
        <v>#DIV/0!</v>
      </c>
      <c r="BD239" s="204" t="e">
        <f t="shared" ref="BD239" si="886">BD238/AY238-1</f>
        <v>#DIV/0!</v>
      </c>
      <c r="BE239" s="204" t="e">
        <f>BE238/AZ238-1</f>
        <v>#DIV/0!</v>
      </c>
      <c r="BF239" s="204">
        <f>BF238/BA238-1</f>
        <v>-8.3011583011583068E-2</v>
      </c>
      <c r="BG239" s="204">
        <f t="shared" ref="BG239" si="887">BG238/BB238-1</f>
        <v>-0.1228228044771511</v>
      </c>
      <c r="BH239" s="204">
        <f t="shared" ref="BH239" si="888">BH238/BC238-1</f>
        <v>-7.6151286014677355E-2</v>
      </c>
      <c r="BI239" s="204">
        <f t="shared" ref="BI239" si="889">BI238/BD238-1</f>
        <v>-9.4001402876763396E-2</v>
      </c>
      <c r="BJ239" s="204">
        <f>BJ238/BE238-1</f>
        <v>-7.5256604315593001E-2</v>
      </c>
      <c r="BK239" s="204">
        <f>BK238/BF238-1</f>
        <v>-0.10784962406015031</v>
      </c>
      <c r="BL239" s="204">
        <f t="shared" ref="BL239" si="890">BL238/BG238-1</f>
        <v>-0.11914807111328618</v>
      </c>
      <c r="BM239" s="204">
        <f t="shared" ref="BM239" si="891">BM238/BH238-1</f>
        <v>-8.8961073218524978E-2</v>
      </c>
      <c r="BN239" s="204">
        <f t="shared" ref="BN239" si="892">BN238/BI238-1</f>
        <v>-9.7697998508917916E-2</v>
      </c>
      <c r="BO239" s="204">
        <f>BO238/BJ238-1</f>
        <v>-0.10814130871136085</v>
      </c>
      <c r="BP239" s="204">
        <f>BP238/BK238-1</f>
        <v>-1.775974244875933E-2</v>
      </c>
      <c r="BQ239" s="204">
        <f t="shared" ref="BQ239" si="893">BQ238/BL238-1</f>
        <v>6.248747237511898E-3</v>
      </c>
      <c r="BR239" s="204">
        <f t="shared" ref="BR239" si="894">BR238/BM238-1</f>
        <v>-8.6560813426736383E-2</v>
      </c>
      <c r="BS239" s="204">
        <f t="shared" ref="BS239" si="895">BS238/BN238-1</f>
        <v>-8.4340106168771634E-2</v>
      </c>
      <c r="BT239" s="204">
        <f>BT238/BO238-1</f>
        <v>-4.2426783372579657E-2</v>
      </c>
      <c r="BU239" s="204">
        <f>BU238/BP238-1</f>
        <v>-6.3478614519080989E-2</v>
      </c>
      <c r="BV239" s="204">
        <f t="shared" ref="BV239:BX239" si="896">BV238/BQ238-1</f>
        <v>-2.0182632886661334E-2</v>
      </c>
      <c r="BW239" s="204">
        <f t="shared" si="896"/>
        <v>2.9135067884316523E-2</v>
      </c>
      <c r="BX239" s="204">
        <f t="shared" si="896"/>
        <v>6.7322482660580496E-2</v>
      </c>
      <c r="BY239" s="204">
        <f t="shared" ref="BY239:CP239" si="897">BY238/BT238-1</f>
        <v>1.5509358329468315E-2</v>
      </c>
      <c r="BZ239" s="204">
        <f t="shared" si="897"/>
        <v>-2.4919755181740388E-4</v>
      </c>
      <c r="CA239" s="204">
        <f t="shared" si="897"/>
        <v>-5.3342297623986346E-2</v>
      </c>
      <c r="CB239" s="204">
        <f t="shared" si="897"/>
        <v>-2.9232940832747856E-2</v>
      </c>
      <c r="CC239" s="204">
        <f t="shared" si="897"/>
        <v>-5.4423803813126059E-2</v>
      </c>
      <c r="CD239" s="204">
        <f t="shared" si="897"/>
        <v>-1.0941639629148514E-2</v>
      </c>
      <c r="CE239" s="204">
        <f t="shared" si="897"/>
        <v>-4.5092402482882932E-2</v>
      </c>
      <c r="CF239" s="204">
        <f t="shared" si="897"/>
        <v>-3.8662257987411408E-2</v>
      </c>
      <c r="CG239" s="204">
        <f t="shared" si="897"/>
        <v>-5.5223658365950778E-2</v>
      </c>
      <c r="CH239" s="204">
        <f t="shared" si="897"/>
        <v>-3.1928839466502379E-2</v>
      </c>
      <c r="CI239" s="204">
        <f t="shared" si="897"/>
        <v>-4.4719242577408558E-2</v>
      </c>
      <c r="CJ239" s="204">
        <f t="shared" si="897"/>
        <v>-5.5860450598485656E-2</v>
      </c>
      <c r="CK239" s="204">
        <f t="shared" si="897"/>
        <v>-3.6347064848944122E-2</v>
      </c>
      <c r="CL239" s="204">
        <f t="shared" si="897"/>
        <v>-2.4166457975319688E-2</v>
      </c>
      <c r="CM239" s="204">
        <f t="shared" si="897"/>
        <v>-2.8728360126150099E-2</v>
      </c>
      <c r="CN239" s="204">
        <f t="shared" si="897"/>
        <v>-5.897097756903491E-2</v>
      </c>
      <c r="CO239" s="204">
        <f t="shared" si="897"/>
        <v>1.829277744418456E-2</v>
      </c>
      <c r="CP239" s="204">
        <f t="shared" si="897"/>
        <v>3.894950996772284E-4</v>
      </c>
      <c r="CQ239" s="204">
        <f>CQ238/CN238-1</f>
        <v>1.0272186781272286E-2</v>
      </c>
      <c r="CR239" s="204">
        <f t="shared" ref="CR239:CS239" si="898">CR238/CQ238-1</f>
        <v>3.6231447237886627E-3</v>
      </c>
      <c r="CS239" s="204">
        <f t="shared" si="898"/>
        <v>5.9092843323425015E-3</v>
      </c>
      <c r="CT239" s="204">
        <f t="shared" ref="CT239" si="899">CT238/CS238-1</f>
        <v>5.2120432942035499E-3</v>
      </c>
      <c r="CU239" s="204">
        <f t="shared" ref="CU239" si="900">CU238/CT238-1</f>
        <v>4.5884290968609687E-3</v>
      </c>
      <c r="CV239" s="204">
        <f t="shared" ref="CV239:CW239" si="901">CV238/CU238-1</f>
        <v>4.0295871230249247E-3</v>
      </c>
      <c r="CW239" s="204">
        <f t="shared" si="901"/>
        <v>3.527851796978787E-3</v>
      </c>
    </row>
    <row r="240" spans="1:152" s="169" customFormat="1">
      <c r="A240" s="282"/>
      <c r="B240" s="252"/>
      <c r="C240" s="252"/>
      <c r="D240" s="252"/>
      <c r="E240" s="252"/>
      <c r="F240" s="252"/>
      <c r="G240" s="252"/>
      <c r="H240" s="252"/>
      <c r="I240" s="252"/>
      <c r="J240" s="252"/>
      <c r="K240" s="252"/>
      <c r="L240" s="252"/>
      <c r="M240" s="252"/>
      <c r="N240" s="252"/>
      <c r="O240" s="252"/>
      <c r="P240" s="252"/>
      <c r="Q240" s="252"/>
      <c r="R240" s="252"/>
      <c r="S240" s="252"/>
      <c r="T240" s="252"/>
      <c r="U240" s="252"/>
      <c r="V240" s="252"/>
      <c r="W240" s="252"/>
      <c r="X240" s="252"/>
      <c r="Y240" s="252"/>
      <c r="Z240" s="252"/>
      <c r="AA240" s="252"/>
      <c r="AB240" s="252"/>
      <c r="AC240" s="252"/>
      <c r="AD240" s="252"/>
      <c r="AE240" s="252"/>
      <c r="AF240" s="252"/>
      <c r="AG240" s="252"/>
      <c r="AH240" s="252"/>
      <c r="AI240" s="252"/>
      <c r="AJ240" s="252"/>
      <c r="AK240" s="252"/>
      <c r="AL240" s="252"/>
      <c r="AM240" s="252"/>
      <c r="AN240" s="252"/>
      <c r="AO240" s="252"/>
      <c r="AP240" s="252"/>
      <c r="AQ240" s="252"/>
      <c r="AR240" s="252"/>
      <c r="AS240" s="252"/>
      <c r="AT240" s="252"/>
      <c r="AU240" s="252"/>
      <c r="AV240" s="252"/>
      <c r="AW240" s="252"/>
      <c r="AX240" s="252"/>
      <c r="AY240" s="252"/>
      <c r="AZ240" s="252"/>
      <c r="BA240" s="252"/>
      <c r="BB240" s="252"/>
      <c r="BC240" s="252"/>
      <c r="BD240" s="252"/>
      <c r="BE240" s="231"/>
      <c r="BF240" s="252"/>
      <c r="BG240" s="252"/>
      <c r="BH240" s="252"/>
      <c r="BI240" s="252"/>
      <c r="BJ240" s="231"/>
      <c r="BK240" s="252"/>
      <c r="BL240" s="252"/>
      <c r="BM240" s="252"/>
      <c r="BN240" s="252"/>
      <c r="BO240" s="231"/>
      <c r="BP240" s="252"/>
      <c r="BQ240" s="252"/>
      <c r="BR240" s="252"/>
      <c r="BS240" s="252"/>
      <c r="BT240" s="231"/>
      <c r="BU240" s="281"/>
      <c r="BV240" s="281"/>
      <c r="BW240" s="281"/>
      <c r="BX240" s="281"/>
      <c r="BY240" s="231"/>
      <c r="BZ240" s="281"/>
      <c r="CA240" s="281"/>
      <c r="CB240" s="281"/>
      <c r="CC240" s="281"/>
      <c r="CD240" s="231"/>
      <c r="CE240" s="281"/>
      <c r="CF240" s="281"/>
      <c r="CG240" s="281"/>
      <c r="CH240" s="281"/>
      <c r="CI240" s="231"/>
      <c r="CJ240" s="281"/>
      <c r="CK240" s="281"/>
      <c r="CL240" s="281"/>
      <c r="CM240" s="281"/>
      <c r="CN240" s="231"/>
      <c r="CO240" s="281"/>
      <c r="CP240" s="281"/>
      <c r="CQ240" s="231"/>
      <c r="CR240" s="231"/>
      <c r="CS240" s="231"/>
      <c r="CT240" s="231"/>
      <c r="CU240" s="231"/>
      <c r="CV240" s="231"/>
      <c r="CW240" s="231"/>
    </row>
    <row r="241" spans="1:112" s="246" customFormat="1">
      <c r="A241" s="658" t="s">
        <v>607</v>
      </c>
      <c r="B241" s="720"/>
      <c r="C241" s="720"/>
      <c r="D241" s="720"/>
      <c r="E241" s="720"/>
      <c r="F241" s="720"/>
      <c r="G241" s="720"/>
      <c r="H241" s="720"/>
      <c r="I241" s="720"/>
      <c r="J241" s="720"/>
      <c r="K241" s="720"/>
      <c r="L241" s="720"/>
      <c r="M241" s="720"/>
      <c r="N241" s="720"/>
      <c r="O241" s="720"/>
      <c r="P241" s="720"/>
      <c r="Q241" s="720"/>
      <c r="R241" s="720"/>
      <c r="S241" s="720"/>
      <c r="T241" s="720"/>
      <c r="U241" s="720"/>
      <c r="V241" s="720"/>
      <c r="W241" s="720"/>
      <c r="X241" s="720"/>
      <c r="Y241" s="720"/>
      <c r="Z241" s="720"/>
      <c r="AA241" s="720"/>
      <c r="AB241" s="720"/>
      <c r="AC241" s="720"/>
      <c r="AD241" s="720"/>
      <c r="AE241" s="720"/>
      <c r="AF241" s="720"/>
      <c r="AG241" s="720"/>
      <c r="AH241" s="720"/>
      <c r="AI241" s="720"/>
      <c r="AJ241" s="720"/>
      <c r="AK241" s="720"/>
      <c r="AL241" s="720"/>
      <c r="AM241" s="720"/>
      <c r="AN241" s="720"/>
      <c r="AO241" s="720"/>
      <c r="AP241" s="720"/>
      <c r="AQ241" s="720"/>
      <c r="AR241" s="720"/>
      <c r="AS241" s="720"/>
      <c r="AT241" s="720"/>
      <c r="AU241" s="720"/>
      <c r="AV241" s="720"/>
      <c r="AW241" s="720"/>
      <c r="AX241" s="720"/>
      <c r="AY241" s="720"/>
      <c r="AZ241" s="720"/>
      <c r="BA241" s="691">
        <f>BA168</f>
        <v>92</v>
      </c>
      <c r="BB241" s="691">
        <f t="shared" ref="BB241:BD241" si="902">BB168</f>
        <v>94</v>
      </c>
      <c r="BC241" s="691">
        <f t="shared" si="902"/>
        <v>93</v>
      </c>
      <c r="BD241" s="691">
        <f t="shared" si="902"/>
        <v>94</v>
      </c>
      <c r="BE241" s="691">
        <f>BE168</f>
        <v>93.25</v>
      </c>
      <c r="BF241" s="691">
        <f>BF168</f>
        <v>88</v>
      </c>
      <c r="BG241" s="691">
        <f t="shared" ref="BG241:BI241" si="903">BG168</f>
        <v>86</v>
      </c>
      <c r="BH241" s="691">
        <f t="shared" si="903"/>
        <v>85</v>
      </c>
      <c r="BI241" s="691">
        <f t="shared" si="903"/>
        <v>84</v>
      </c>
      <c r="BJ241" s="691">
        <f>BJ168</f>
        <v>85.75</v>
      </c>
      <c r="BK241" s="691">
        <f>BK168</f>
        <v>81</v>
      </c>
      <c r="BL241" s="691">
        <f t="shared" ref="BL241:BN241" si="904">BL168</f>
        <v>79.5</v>
      </c>
      <c r="BM241" s="691">
        <f t="shared" si="904"/>
        <v>78.400000000000006</v>
      </c>
      <c r="BN241" s="691">
        <f t="shared" si="904"/>
        <v>77.3</v>
      </c>
      <c r="BO241" s="691">
        <f>BO168</f>
        <v>79.05</v>
      </c>
      <c r="BP241" s="691">
        <f>BP168</f>
        <v>76</v>
      </c>
      <c r="BQ241" s="691">
        <f t="shared" ref="BQ241:BS241" si="905">BQ168</f>
        <v>75.400000000000006</v>
      </c>
      <c r="BR241" s="691">
        <f t="shared" si="905"/>
        <v>75</v>
      </c>
      <c r="BS241" s="691">
        <f t="shared" si="905"/>
        <v>73.400000000000006</v>
      </c>
      <c r="BT241" s="691">
        <f>BT168</f>
        <v>74.95</v>
      </c>
      <c r="BU241" s="691">
        <f>BU168</f>
        <v>72.5</v>
      </c>
      <c r="BV241" s="691">
        <f t="shared" ref="BV241:BX241" si="906">BV168</f>
        <v>72.7</v>
      </c>
      <c r="BW241" s="691">
        <f t="shared" si="906"/>
        <v>72.8</v>
      </c>
      <c r="BX241" s="691">
        <f t="shared" si="906"/>
        <v>72.7</v>
      </c>
      <c r="BY241" s="691">
        <f t="shared" ref="BY241:CW241" si="907">BY168</f>
        <v>72.674999999999997</v>
      </c>
      <c r="BZ241" s="691">
        <f t="shared" si="907"/>
        <v>71.3</v>
      </c>
      <c r="CA241" s="691">
        <f t="shared" ref="CA241:CB241" si="908">CA168</f>
        <v>71</v>
      </c>
      <c r="CB241" s="691">
        <f t="shared" si="908"/>
        <v>70.2</v>
      </c>
      <c r="CC241" s="691">
        <f t="shared" ref="CC241:CD241" si="909">CC168</f>
        <v>69.8</v>
      </c>
      <c r="CD241" s="691">
        <f t="shared" si="909"/>
        <v>70.575000000000003</v>
      </c>
      <c r="CE241" s="691">
        <f t="shared" ref="CE241:CF241" si="910">CE168</f>
        <v>68.3</v>
      </c>
      <c r="CF241" s="691">
        <f t="shared" si="910"/>
        <v>67.5</v>
      </c>
      <c r="CG241" s="691">
        <f t="shared" ref="CG241:CJ241" si="911">CG168</f>
        <v>67</v>
      </c>
      <c r="CH241" s="691">
        <f t="shared" si="911"/>
        <v>67.599999999999994</v>
      </c>
      <c r="CI241" s="691">
        <f t="shared" si="911"/>
        <v>67.599999999999994</v>
      </c>
      <c r="CJ241" s="691">
        <f t="shared" si="911"/>
        <v>64.599999999999994</v>
      </c>
      <c r="CK241" s="691">
        <f t="shared" ref="CK241:CL241" si="912">CK168</f>
        <v>64</v>
      </c>
      <c r="CL241" s="691">
        <f t="shared" si="912"/>
        <v>63</v>
      </c>
      <c r="CM241" s="691">
        <f t="shared" ref="CM241:CP241" si="913">CM168</f>
        <v>63.1</v>
      </c>
      <c r="CN241" s="691">
        <f t="shared" si="913"/>
        <v>63.674999999999997</v>
      </c>
      <c r="CO241" s="691">
        <f t="shared" si="913"/>
        <v>61.1</v>
      </c>
      <c r="CP241" s="691">
        <f t="shared" si="913"/>
        <v>60.7</v>
      </c>
      <c r="CQ241" s="691">
        <f t="shared" si="907"/>
        <v>62.274149999999999</v>
      </c>
      <c r="CR241" s="691">
        <f t="shared" si="907"/>
        <v>62.274149999999999</v>
      </c>
      <c r="CS241" s="691">
        <f t="shared" si="907"/>
        <v>62.585520749999993</v>
      </c>
      <c r="CT241" s="691">
        <f t="shared" si="907"/>
        <v>62.898448353749984</v>
      </c>
      <c r="CU241" s="691">
        <f t="shared" si="907"/>
        <v>63.212940595518724</v>
      </c>
      <c r="CV241" s="691">
        <f t="shared" si="907"/>
        <v>63.529005298496308</v>
      </c>
      <c r="CW241" s="691">
        <f t="shared" si="907"/>
        <v>63.846650324988786</v>
      </c>
    </row>
    <row r="242" spans="1:112" s="169" customFormat="1">
      <c r="A242" s="280" t="s">
        <v>669</v>
      </c>
      <c r="B242" s="720"/>
      <c r="C242" s="720"/>
      <c r="D242" s="720"/>
      <c r="E242" s="720"/>
      <c r="F242" s="720"/>
      <c r="G242" s="720"/>
      <c r="H242" s="720"/>
      <c r="I242" s="720"/>
      <c r="J242" s="720"/>
      <c r="K242" s="720"/>
      <c r="L242" s="720"/>
      <c r="M242" s="720"/>
      <c r="N242" s="720"/>
      <c r="O242" s="720"/>
      <c r="P242" s="720"/>
      <c r="Q242" s="720"/>
      <c r="R242" s="720"/>
      <c r="S242" s="720"/>
      <c r="T242" s="720"/>
      <c r="U242" s="720"/>
      <c r="V242" s="720"/>
      <c r="W242" s="720"/>
      <c r="X242" s="720"/>
      <c r="Y242" s="720"/>
      <c r="Z242" s="720"/>
      <c r="AA242" s="720"/>
      <c r="AB242" s="720"/>
      <c r="AC242" s="720"/>
      <c r="AD242" s="720"/>
      <c r="AE242" s="720"/>
      <c r="AF242" s="720"/>
      <c r="AG242" s="720"/>
      <c r="AH242" s="720"/>
      <c r="AI242" s="720"/>
      <c r="AJ242" s="720"/>
      <c r="AK242" s="720"/>
      <c r="AL242" s="720"/>
      <c r="AM242" s="720"/>
      <c r="AN242" s="720"/>
      <c r="AO242" s="720"/>
      <c r="AP242" s="720"/>
      <c r="AQ242" s="720"/>
      <c r="AR242" s="720"/>
      <c r="AS242" s="720"/>
      <c r="AT242" s="720"/>
      <c r="AU242" s="720"/>
      <c r="AV242" s="720"/>
      <c r="AW242" s="720"/>
      <c r="AX242" s="720"/>
      <c r="AY242" s="720"/>
      <c r="AZ242" s="720"/>
      <c r="BA242" s="691">
        <f>BA105</f>
        <v>2926</v>
      </c>
      <c r="BB242" s="691">
        <f t="shared" ref="BB242:BD242" si="914">BB105</f>
        <v>2988.5</v>
      </c>
      <c r="BC242" s="691">
        <f t="shared" si="914"/>
        <v>3062</v>
      </c>
      <c r="BD242" s="691">
        <f t="shared" si="914"/>
        <v>3147.5</v>
      </c>
      <c r="BE242" s="691">
        <f>BE105</f>
        <v>3042</v>
      </c>
      <c r="BF242" s="691">
        <f>BF105</f>
        <v>3255.5</v>
      </c>
      <c r="BG242" s="691">
        <f t="shared" ref="BG242:BI242" si="915">BG105</f>
        <v>3379.5</v>
      </c>
      <c r="BH242" s="691">
        <f t="shared" si="915"/>
        <v>3509.5</v>
      </c>
      <c r="BI242" s="691">
        <f t="shared" si="915"/>
        <v>3668</v>
      </c>
      <c r="BJ242" s="691">
        <f>BJ105</f>
        <v>3472.5</v>
      </c>
      <c r="BK242" s="691">
        <f>BK105</f>
        <v>3794</v>
      </c>
      <c r="BL242" s="691">
        <f t="shared" ref="BL242:BN242" si="916">BL105</f>
        <v>3817</v>
      </c>
      <c r="BM242" s="691">
        <f t="shared" si="916"/>
        <v>3828</v>
      </c>
      <c r="BN242" s="691">
        <f t="shared" si="916"/>
        <v>3897</v>
      </c>
      <c r="BO242" s="691">
        <f>BO105</f>
        <v>3847</v>
      </c>
      <c r="BP242" s="691">
        <f>BP105</f>
        <v>3972.5</v>
      </c>
      <c r="BQ242" s="691">
        <f t="shared" ref="BQ242:BS242" si="917">BQ105</f>
        <v>4069.5</v>
      </c>
      <c r="BR242" s="691">
        <f t="shared" si="917"/>
        <v>4120</v>
      </c>
      <c r="BS242" s="691">
        <f t="shared" si="917"/>
        <v>4183</v>
      </c>
      <c r="BT242" s="691">
        <f>BT105</f>
        <v>4099</v>
      </c>
      <c r="BU242" s="691">
        <f>BU105</f>
        <v>4291.5</v>
      </c>
      <c r="BV242" s="691">
        <f t="shared" ref="BV242:BX242" si="918">BV105</f>
        <v>4361</v>
      </c>
      <c r="BW242" s="691">
        <f t="shared" si="918"/>
        <v>4438</v>
      </c>
      <c r="BX242" s="691">
        <f t="shared" si="918"/>
        <v>4534.5</v>
      </c>
      <c r="BY242" s="691">
        <f t="shared" ref="BY242:CW242" si="919">BY105</f>
        <v>4425</v>
      </c>
      <c r="BZ242" s="691">
        <f t="shared" si="919"/>
        <v>4627</v>
      </c>
      <c r="CA242" s="691">
        <f t="shared" ref="CA242:CB242" si="920">CA105</f>
        <v>4692</v>
      </c>
      <c r="CB242" s="691">
        <f t="shared" si="920"/>
        <v>4773</v>
      </c>
      <c r="CC242" s="691">
        <f t="shared" ref="CC242:CD242" si="921">CC105</f>
        <v>4873.5</v>
      </c>
      <c r="CD242" s="691">
        <f t="shared" si="921"/>
        <v>4756.5</v>
      </c>
      <c r="CE242" s="691">
        <f t="shared" ref="CE242:CF242" si="922">CE105</f>
        <v>4977.5</v>
      </c>
      <c r="CF242" s="691">
        <f t="shared" si="922"/>
        <v>5081</v>
      </c>
      <c r="CG242" s="691">
        <f t="shared" ref="CG242:CJ242" si="923">CG105</f>
        <v>5186</v>
      </c>
      <c r="CH242" s="691">
        <f t="shared" si="923"/>
        <v>5315.5</v>
      </c>
      <c r="CI242" s="691">
        <f t="shared" si="923"/>
        <v>5155</v>
      </c>
      <c r="CJ242" s="691">
        <f t="shared" si="923"/>
        <v>5468.5</v>
      </c>
      <c r="CK242" s="691">
        <f t="shared" ref="CK242:CL242" si="924">CK105</f>
        <v>5598</v>
      </c>
      <c r="CL242" s="691">
        <f t="shared" si="924"/>
        <v>5720.5</v>
      </c>
      <c r="CM242" s="691">
        <f t="shared" ref="CM242:CP242" si="925">CM105</f>
        <v>5856.5</v>
      </c>
      <c r="CN242" s="691">
        <f t="shared" si="925"/>
        <v>5653.5</v>
      </c>
      <c r="CO242" s="691">
        <f t="shared" si="925"/>
        <v>5968.5</v>
      </c>
      <c r="CP242" s="691">
        <f t="shared" si="925"/>
        <v>6087</v>
      </c>
      <c r="CQ242" s="691">
        <f t="shared" si="919"/>
        <v>5958.1472612791922</v>
      </c>
      <c r="CR242" s="691">
        <f t="shared" si="919"/>
        <v>6053.0361013178417</v>
      </c>
      <c r="CS242" s="691">
        <f t="shared" si="919"/>
        <v>6163.2266132314544</v>
      </c>
      <c r="CT242" s="691">
        <f t="shared" si="919"/>
        <v>6270.9745993332835</v>
      </c>
      <c r="CU242" s="691">
        <f t="shared" si="919"/>
        <v>6376.5532363928833</v>
      </c>
      <c r="CV242" s="691">
        <f t="shared" si="919"/>
        <v>6480.2120718298047</v>
      </c>
      <c r="CW242" s="691">
        <f t="shared" si="919"/>
        <v>6582.1790878981992</v>
      </c>
    </row>
    <row r="243" spans="1:112" s="382" customFormat="1">
      <c r="A243" s="282" t="s">
        <v>670</v>
      </c>
      <c r="B243" s="721"/>
      <c r="C243" s="721"/>
      <c r="D243" s="721"/>
      <c r="E243" s="721"/>
      <c r="F243" s="721"/>
      <c r="G243" s="721"/>
      <c r="H243" s="721"/>
      <c r="I243" s="721"/>
      <c r="J243" s="721"/>
      <c r="K243" s="721"/>
      <c r="L243" s="721"/>
      <c r="M243" s="721"/>
      <c r="N243" s="721"/>
      <c r="O243" s="721"/>
      <c r="P243" s="721"/>
      <c r="Q243" s="721"/>
      <c r="R243" s="721"/>
      <c r="S243" s="721"/>
      <c r="T243" s="721"/>
      <c r="U243" s="721"/>
      <c r="V243" s="721"/>
      <c r="W243" s="721"/>
      <c r="X243" s="721"/>
      <c r="Y243" s="721"/>
      <c r="Z243" s="721"/>
      <c r="AA243" s="721"/>
      <c r="AB243" s="721"/>
      <c r="AC243" s="721"/>
      <c r="AD243" s="721"/>
      <c r="AE243" s="721"/>
      <c r="AF243" s="721"/>
      <c r="AG243" s="721"/>
      <c r="AH243" s="721"/>
      <c r="AI243" s="721"/>
      <c r="AJ243" s="721"/>
      <c r="AK243" s="721"/>
      <c r="AL243" s="721"/>
      <c r="AM243" s="721"/>
      <c r="AN243" s="721"/>
      <c r="AO243" s="721"/>
      <c r="AP243" s="721"/>
      <c r="AQ243" s="721"/>
      <c r="AR243" s="721"/>
      <c r="AS243" s="721"/>
      <c r="AT243" s="721"/>
      <c r="AU243" s="721"/>
      <c r="AV243" s="721"/>
      <c r="AW243" s="721"/>
      <c r="AX243" s="721"/>
      <c r="AY243" s="721"/>
      <c r="AZ243" s="721"/>
      <c r="BA243" s="706">
        <f>BA241*BA242*3/1000</f>
        <v>807.57600000000002</v>
      </c>
      <c r="BB243" s="706">
        <f t="shared" ref="BB243" si="926">BB241*BB242*3/1000</f>
        <v>842.75699999999995</v>
      </c>
      <c r="BC243" s="706">
        <f t="shared" ref="BC243" si="927">BC241*BC242*3/1000</f>
        <v>854.298</v>
      </c>
      <c r="BD243" s="706">
        <f t="shared" ref="BD243" si="928">BD241*BD242*3/1000</f>
        <v>887.59500000000003</v>
      </c>
      <c r="BE243" s="706">
        <f>BE241*BE242*12/1000</f>
        <v>3403.998</v>
      </c>
      <c r="BF243" s="706">
        <f>BF241*BF242*3/1000</f>
        <v>859.452</v>
      </c>
      <c r="BG243" s="706">
        <f t="shared" ref="BG243" si="929">BG241*BG242*3/1000</f>
        <v>871.91099999999994</v>
      </c>
      <c r="BH243" s="706">
        <f t="shared" ref="BH243" si="930">BH241*BH242*3/1000</f>
        <v>894.92250000000001</v>
      </c>
      <c r="BI243" s="706">
        <f t="shared" ref="BI243" si="931">BI241*BI242*3/1000</f>
        <v>924.33600000000001</v>
      </c>
      <c r="BJ243" s="706">
        <f>BJ241*BJ242*12/1000</f>
        <v>3573.2024999999999</v>
      </c>
      <c r="BK243" s="706">
        <f>BK241*BK242*3/1000</f>
        <v>921.94200000000001</v>
      </c>
      <c r="BL243" s="706">
        <f t="shared" ref="BL243" si="932">BL241*BL242*3/1000</f>
        <v>910.35450000000003</v>
      </c>
      <c r="BM243" s="706">
        <f t="shared" ref="BM243" si="933">BM241*BM242*3/1000</f>
        <v>900.3456000000001</v>
      </c>
      <c r="BN243" s="706">
        <f t="shared" ref="BN243" si="934">BN241*BN242*3/1000</f>
        <v>903.71429999999998</v>
      </c>
      <c r="BO243" s="706">
        <f>BO241*BO242*12/1000</f>
        <v>3649.2641999999996</v>
      </c>
      <c r="BP243" s="706">
        <f>BP241*BP242*3/1000</f>
        <v>905.73</v>
      </c>
      <c r="BQ243" s="706">
        <f t="shared" ref="BQ243" si="935">BQ241*BQ242*3/1000</f>
        <v>920.5209000000001</v>
      </c>
      <c r="BR243" s="706">
        <f t="shared" ref="BR243" si="936">BR241*BR242*3/1000</f>
        <v>927</v>
      </c>
      <c r="BS243" s="706">
        <f t="shared" ref="BS243" si="937">BS241*BS242*3/1000</f>
        <v>921.09660000000008</v>
      </c>
      <c r="BT243" s="706">
        <f>BT241*BT242*12/1000</f>
        <v>3686.6405999999997</v>
      </c>
      <c r="BU243" s="706">
        <f>BU241*BU242*3/1000</f>
        <v>933.40125</v>
      </c>
      <c r="BV243" s="706">
        <f t="shared" ref="BV243:BX243" si="938">BV241*BV242*3/1000</f>
        <v>951.1341000000001</v>
      </c>
      <c r="BW243" s="706">
        <f t="shared" si="938"/>
        <v>969.25919999999996</v>
      </c>
      <c r="BX243" s="706">
        <f t="shared" si="938"/>
        <v>988.97445000000005</v>
      </c>
      <c r="BY243" s="706">
        <f>BY241*BY242*12/1000</f>
        <v>3859.0425</v>
      </c>
      <c r="BZ243" s="706">
        <f>BZ241*BZ242*3/1000</f>
        <v>989.71529999999996</v>
      </c>
      <c r="CA243" s="706">
        <f>CA241*CA242*3/1000</f>
        <v>999.39599999999996</v>
      </c>
      <c r="CB243" s="706">
        <f>CB241*CB242*3/1000</f>
        <v>1005.1938</v>
      </c>
      <c r="CC243" s="706">
        <f>CC241*CC242*3/1000</f>
        <v>1020.5108999999999</v>
      </c>
      <c r="CD243" s="706">
        <f>CD241*CD242*12/1000</f>
        <v>4028.2798499999994</v>
      </c>
      <c r="CE243" s="706">
        <f>CE241*CE242*3/1000</f>
        <v>1019.88975</v>
      </c>
      <c r="CF243" s="706">
        <f>CF241*CF242*3/1000</f>
        <v>1028.9024999999999</v>
      </c>
      <c r="CG243" s="706">
        <f>CG241*CG242*3/1000</f>
        <v>1042.386</v>
      </c>
      <c r="CH243" s="706">
        <f>CH241*CH242*3/1000</f>
        <v>1077.9833999999998</v>
      </c>
      <c r="CI243" s="706">
        <f>CI241*CI242*12/1000</f>
        <v>4181.735999999999</v>
      </c>
      <c r="CJ243" s="706">
        <f>CJ241*CJ242*3/1000</f>
        <v>1059.7952999999998</v>
      </c>
      <c r="CK243" s="706">
        <f>CK241*CK242*3/1000</f>
        <v>1074.816</v>
      </c>
      <c r="CL243" s="706">
        <f>CL241*CL242*3/1000</f>
        <v>1081.1745000000001</v>
      </c>
      <c r="CM243" s="706">
        <f>CM241*CM242*3/1000</f>
        <v>1108.6354500000002</v>
      </c>
      <c r="CN243" s="706">
        <f>CN241*CN242*12/1000</f>
        <v>4319.8393499999993</v>
      </c>
      <c r="CO243" s="706">
        <f>CO241*CO242*3/1000</f>
        <v>1094.0260499999999</v>
      </c>
      <c r="CP243" s="706">
        <f>CP241*CP242*3/1000</f>
        <v>1108.4427000000003</v>
      </c>
      <c r="CQ243" s="706">
        <f t="shared" ref="CQ243:CS243" si="939">CQ241*CQ242*12/1000</f>
        <v>4452.4626752518752</v>
      </c>
      <c r="CR243" s="706">
        <f t="shared" si="939"/>
        <v>4523.3721375465893</v>
      </c>
      <c r="CS243" s="706">
        <f t="shared" si="939"/>
        <v>4628.7449650721919</v>
      </c>
      <c r="CT243" s="706">
        <f t="shared" ref="CT243" si="940">CT241*CT242*12/1000</f>
        <v>4733.2148635661106</v>
      </c>
      <c r="CU243" s="706">
        <f t="shared" ref="CU243" si="941">CU241*CU242*12/1000</f>
        <v>4836.9681712351912</v>
      </c>
      <c r="CV243" s="706">
        <f t="shared" ref="CV243:CW243" si="942">CV241*CV242*12/1000</f>
        <v>4940.1771245598648</v>
      </c>
      <c r="CW243" s="706">
        <f t="shared" si="942"/>
        <v>5043.0010392178801</v>
      </c>
    </row>
    <row r="244" spans="1:112" s="169" customFormat="1">
      <c r="A244" s="280" t="s">
        <v>0</v>
      </c>
      <c r="B244" s="252"/>
      <c r="C244" s="252"/>
      <c r="D244" s="252"/>
      <c r="E244" s="252"/>
      <c r="F244" s="252"/>
      <c r="G244" s="252"/>
      <c r="H244" s="252"/>
      <c r="I244" s="252"/>
      <c r="J244" s="252"/>
      <c r="K244" s="252"/>
      <c r="L244" s="252"/>
      <c r="M244" s="252"/>
      <c r="N244" s="252"/>
      <c r="O244" s="252"/>
      <c r="P244" s="252"/>
      <c r="Q244" s="252"/>
      <c r="R244" s="252"/>
      <c r="S244" s="252"/>
      <c r="T244" s="252"/>
      <c r="U244" s="252"/>
      <c r="V244" s="252"/>
      <c r="W244" s="252"/>
      <c r="X244" s="252"/>
      <c r="Y244" s="252"/>
      <c r="Z244" s="252"/>
      <c r="AA244" s="252"/>
      <c r="AB244" s="252"/>
      <c r="AC244" s="252"/>
      <c r="AD244" s="252"/>
      <c r="AE244" s="252"/>
      <c r="AF244" s="252"/>
      <c r="AG244" s="252"/>
      <c r="AH244" s="252"/>
      <c r="AI244" s="252"/>
      <c r="AJ244" s="252"/>
      <c r="AK244" s="252"/>
      <c r="AL244" s="252"/>
      <c r="AM244" s="252"/>
      <c r="AN244" s="252"/>
      <c r="AO244" s="252"/>
      <c r="AP244" s="252"/>
      <c r="AQ244" s="252"/>
      <c r="AR244" s="252"/>
      <c r="AS244" s="252"/>
      <c r="AT244" s="252"/>
      <c r="AU244" s="252"/>
      <c r="AV244" s="252"/>
      <c r="AW244" s="252"/>
      <c r="AX244" s="252"/>
      <c r="AY244" s="252"/>
      <c r="AZ244" s="252"/>
      <c r="BA244" s="204" t="e">
        <f>BA243/AV243-1</f>
        <v>#DIV/0!</v>
      </c>
      <c r="BB244" s="204" t="e">
        <f t="shared" ref="BB244" si="943">BB243/AW243-1</f>
        <v>#DIV/0!</v>
      </c>
      <c r="BC244" s="204" t="e">
        <f t="shared" ref="BC244" si="944">BC243/AX243-1</f>
        <v>#DIV/0!</v>
      </c>
      <c r="BD244" s="204" t="e">
        <f t="shared" ref="BD244" si="945">BD243/AY243-1</f>
        <v>#DIV/0!</v>
      </c>
      <c r="BE244" s="204" t="e">
        <f>BE243/AZ243-1</f>
        <v>#DIV/0!</v>
      </c>
      <c r="BF244" s="204">
        <f>BF243/BA243-1</f>
        <v>6.4236678653154522E-2</v>
      </c>
      <c r="BG244" s="204">
        <f t="shared" ref="BG244" si="946">BG243/BB243-1</f>
        <v>3.459360171437309E-2</v>
      </c>
      <c r="BH244" s="204">
        <f t="shared" ref="BH244" si="947">BH243/BC243-1</f>
        <v>4.7553078668099547E-2</v>
      </c>
      <c r="BI244" s="204">
        <f t="shared" ref="BI244" si="948">BI243/BD243-1</f>
        <v>4.139387896506852E-2</v>
      </c>
      <c r="BJ244" s="204">
        <f>BJ243/BE243-1</f>
        <v>4.9707579146638592E-2</v>
      </c>
      <c r="BK244" s="204">
        <f>BK243/BF243-1</f>
        <v>7.2709121626338691E-2</v>
      </c>
      <c r="BL244" s="204">
        <f t="shared" ref="BL244" si="949">BL243/BG243-1</f>
        <v>4.4091082690779215E-2</v>
      </c>
      <c r="BM244" s="204">
        <f t="shared" ref="BM244" si="950">BM243/BH243-1</f>
        <v>6.059854344929505E-3</v>
      </c>
      <c r="BN244" s="204">
        <f t="shared" ref="BN244" si="951">BN243/BI243-1</f>
        <v>-2.2309744508490437E-2</v>
      </c>
      <c r="BO244" s="204">
        <f>BO243/BJ243-1</f>
        <v>2.128670289467216E-2</v>
      </c>
      <c r="BP244" s="204">
        <f>BP243/BK243-1</f>
        <v>-1.7584620290647335E-2</v>
      </c>
      <c r="BQ244" s="204">
        <f t="shared" ref="BQ244" si="952">BQ243/BL243-1</f>
        <v>1.1167517708760677E-2</v>
      </c>
      <c r="BR244" s="204">
        <f t="shared" ref="BR244" si="953">BR243/BM243-1</f>
        <v>2.9604631821380512E-2</v>
      </c>
      <c r="BS244" s="204">
        <f t="shared" ref="BS244" si="954">BS243/BN243-1</f>
        <v>1.9234286765186903E-2</v>
      </c>
      <c r="BT244" s="204">
        <f>BT243/BO243-1</f>
        <v>1.0242174299136764E-2</v>
      </c>
      <c r="BU244" s="204">
        <f>BU243/BP243-1</f>
        <v>3.0551323242025807E-2</v>
      </c>
      <c r="BV244" s="204">
        <f t="shared" ref="BV244:BX244" si="955">BV243/BQ243-1</f>
        <v>3.3256387769142526E-2</v>
      </c>
      <c r="BW244" s="204">
        <f t="shared" si="955"/>
        <v>4.558705501618121E-2</v>
      </c>
      <c r="BX244" s="204">
        <f t="shared" si="955"/>
        <v>7.3692433562343007E-2</v>
      </c>
      <c r="BY244" s="204">
        <f t="shared" ref="BY244:CP244" si="956">BY243/BT243-1</f>
        <v>4.6763956323814249E-2</v>
      </c>
      <c r="BZ244" s="204">
        <f t="shared" si="956"/>
        <v>6.0332091905812124E-2</v>
      </c>
      <c r="CA244" s="204">
        <f t="shared" si="956"/>
        <v>5.0741425420453234E-2</v>
      </c>
      <c r="CB244" s="204">
        <f t="shared" si="956"/>
        <v>3.707429343977342E-2</v>
      </c>
      <c r="CC244" s="204">
        <f t="shared" si="956"/>
        <v>3.188803310338284E-2</v>
      </c>
      <c r="CD244" s="204">
        <f t="shared" si="956"/>
        <v>4.3854751534868841E-2</v>
      </c>
      <c r="CE244" s="204">
        <f t="shared" si="956"/>
        <v>3.0488010036825886E-2</v>
      </c>
      <c r="CF244" s="204">
        <f t="shared" si="956"/>
        <v>2.9524332696948985E-2</v>
      </c>
      <c r="CG244" s="204">
        <f t="shared" si="956"/>
        <v>3.7000029248091204E-2</v>
      </c>
      <c r="CH244" s="204">
        <f t="shared" si="956"/>
        <v>5.6317379853561667E-2</v>
      </c>
      <c r="CI244" s="204">
        <f t="shared" si="956"/>
        <v>3.8094709333563292E-2</v>
      </c>
      <c r="CJ244" s="204">
        <f t="shared" si="956"/>
        <v>3.9127317437987585E-2</v>
      </c>
      <c r="CK244" s="204">
        <f t="shared" si="956"/>
        <v>4.4623761726694244E-2</v>
      </c>
      <c r="CL244" s="204">
        <f t="shared" si="956"/>
        <v>3.7211263389953508E-2</v>
      </c>
      <c r="CM244" s="204">
        <f t="shared" si="956"/>
        <v>2.8434621534988658E-2</v>
      </c>
      <c r="CN244" s="204">
        <f t="shared" si="956"/>
        <v>3.3025363150614995E-2</v>
      </c>
      <c r="CO244" s="204">
        <f t="shared" si="956"/>
        <v>3.2299397817673103E-2</v>
      </c>
      <c r="CP244" s="204">
        <f t="shared" si="956"/>
        <v>3.1286006162915658E-2</v>
      </c>
      <c r="CQ244" s="204">
        <f>CQ243/CN243-1</f>
        <v>3.0700985501203037E-2</v>
      </c>
      <c r="CR244" s="204">
        <f t="shared" ref="CR244" si="957">CR243/CQ243-1</f>
        <v>1.5925897074634765E-2</v>
      </c>
      <c r="CS244" s="204">
        <f t="shared" ref="CS244" si="958">CS243/CR243-1</f>
        <v>2.3295193126152025E-2</v>
      </c>
      <c r="CT244" s="204">
        <f t="shared" ref="CT244" si="959">CT243/CS243-1</f>
        <v>2.2569810884426111E-2</v>
      </c>
      <c r="CU244" s="204">
        <f t="shared" ref="CU244" si="960">CU243/CT243-1</f>
        <v>2.1920261526203078E-2</v>
      </c>
      <c r="CV244" s="204">
        <f t="shared" ref="CV244:CW244" si="961">CV243/CU243-1</f>
        <v>2.1337529971448443E-2</v>
      </c>
      <c r="CW244" s="204">
        <f t="shared" si="961"/>
        <v>2.081381134025162E-2</v>
      </c>
    </row>
    <row r="245" spans="1:112" s="169" customFormat="1">
      <c r="A245" s="235"/>
      <c r="B245" s="252"/>
      <c r="C245" s="252"/>
      <c r="D245" s="252"/>
      <c r="E245" s="252"/>
      <c r="F245" s="252"/>
      <c r="G245" s="252"/>
      <c r="H245" s="252"/>
      <c r="I245" s="252"/>
      <c r="J245" s="252"/>
      <c r="K245" s="252"/>
      <c r="L245" s="252"/>
      <c r="M245" s="252"/>
      <c r="N245" s="252"/>
      <c r="O245" s="252"/>
      <c r="P245" s="252"/>
      <c r="Q245" s="252"/>
      <c r="R245" s="252"/>
      <c r="S245" s="252"/>
      <c r="T245" s="252"/>
      <c r="U245" s="252"/>
      <c r="V245" s="252"/>
      <c r="W245" s="252"/>
      <c r="X245" s="252"/>
      <c r="Y245" s="252"/>
      <c r="Z245" s="252"/>
      <c r="AA245" s="252"/>
      <c r="AB245" s="252"/>
      <c r="AC245" s="252"/>
      <c r="AD245" s="252"/>
      <c r="AE245" s="252"/>
      <c r="AF245" s="252"/>
      <c r="AG245" s="252"/>
      <c r="AH245" s="252"/>
      <c r="AI245" s="252"/>
      <c r="AJ245" s="252"/>
      <c r="AK245" s="252"/>
      <c r="AL245" s="252"/>
      <c r="AM245" s="252"/>
      <c r="AN245" s="252"/>
      <c r="AO245" s="252"/>
      <c r="AP245" s="252"/>
      <c r="AQ245" s="252"/>
      <c r="AR245" s="252"/>
      <c r="AS245" s="252"/>
      <c r="AT245" s="252"/>
      <c r="AU245" s="252"/>
      <c r="AV245" s="252"/>
      <c r="AW245" s="252"/>
      <c r="AX245" s="252"/>
      <c r="AY245" s="252"/>
      <c r="AZ245" s="252"/>
      <c r="BA245" s="252"/>
      <c r="BB245" s="252"/>
      <c r="BC245" s="252"/>
      <c r="BD245" s="252"/>
      <c r="BE245" s="252"/>
      <c r="BF245" s="252"/>
      <c r="BG245" s="252"/>
      <c r="BH245" s="252"/>
      <c r="BI245" s="252"/>
      <c r="BJ245" s="252"/>
      <c r="BK245" s="252"/>
      <c r="BL245" s="252"/>
      <c r="BM245" s="252"/>
      <c r="BN245" s="252"/>
      <c r="BO245" s="252"/>
      <c r="BP245" s="252"/>
      <c r="BQ245" s="252"/>
      <c r="BR245" s="252"/>
      <c r="BS245" s="252"/>
      <c r="BT245" s="252"/>
      <c r="BU245" s="281"/>
      <c r="BV245" s="281"/>
      <c r="BW245" s="281"/>
      <c r="BX245" s="281"/>
      <c r="BY245" s="252"/>
      <c r="BZ245" s="281"/>
      <c r="CA245" s="281"/>
      <c r="CB245" s="281"/>
      <c r="CC245" s="281"/>
      <c r="CD245" s="252"/>
      <c r="CE245" s="281"/>
      <c r="CF245" s="281"/>
      <c r="CG245" s="281"/>
      <c r="CH245" s="281"/>
      <c r="CI245" s="252"/>
      <c r="CJ245" s="281"/>
      <c r="CK245" s="281"/>
      <c r="CL245" s="281"/>
      <c r="CM245" s="281"/>
      <c r="CN245" s="252"/>
      <c r="CO245" s="281"/>
      <c r="CP245" s="281"/>
      <c r="CQ245" s="204"/>
      <c r="CR245" s="204"/>
      <c r="CS245" s="204"/>
      <c r="CT245" s="204"/>
      <c r="CU245" s="204"/>
      <c r="CV245" s="204"/>
      <c r="CW245" s="204"/>
    </row>
    <row r="246" spans="1:112" s="169" customFormat="1">
      <c r="A246" s="226" t="s">
        <v>701</v>
      </c>
      <c r="B246" s="720"/>
      <c r="C246" s="720"/>
      <c r="D246" s="720"/>
      <c r="E246" s="720"/>
      <c r="F246" s="720"/>
      <c r="G246" s="720"/>
      <c r="H246" s="720"/>
      <c r="I246" s="720"/>
      <c r="J246" s="720"/>
      <c r="K246" s="720"/>
      <c r="L246" s="720"/>
      <c r="M246" s="720"/>
      <c r="N246" s="720"/>
      <c r="O246" s="720"/>
      <c r="P246" s="720"/>
      <c r="Q246" s="720"/>
      <c r="R246" s="720"/>
      <c r="S246" s="720"/>
      <c r="T246" s="720"/>
      <c r="U246" s="720"/>
      <c r="V246" s="720"/>
      <c r="W246" s="720"/>
      <c r="X246" s="720"/>
      <c r="Y246" s="720"/>
      <c r="Z246" s="720"/>
      <c r="AA246" s="720"/>
      <c r="AB246" s="720"/>
      <c r="AC246" s="720"/>
      <c r="AD246" s="720"/>
      <c r="AE246" s="720"/>
      <c r="AF246" s="720"/>
      <c r="AG246" s="720"/>
      <c r="AH246" s="720"/>
      <c r="AI246" s="720"/>
      <c r="AJ246" s="720"/>
      <c r="AK246" s="720"/>
      <c r="AL246" s="720"/>
      <c r="AM246" s="720"/>
      <c r="AN246" s="720"/>
      <c r="AO246" s="720"/>
      <c r="AP246" s="720"/>
      <c r="AQ246" s="720"/>
      <c r="AR246" s="720"/>
      <c r="AS246" s="720"/>
      <c r="AT246" s="720"/>
      <c r="AU246" s="720"/>
      <c r="AV246" s="720"/>
      <c r="AW246" s="720"/>
      <c r="AX246" s="720"/>
      <c r="AY246" s="720"/>
      <c r="AZ246" s="720"/>
      <c r="BA246" s="720"/>
      <c r="BB246" s="720"/>
      <c r="BC246" s="720"/>
      <c r="BD246" s="720"/>
      <c r="BE246" s="720"/>
      <c r="BF246" s="720"/>
      <c r="BG246" s="720"/>
      <c r="BH246" s="720"/>
      <c r="BI246" s="720"/>
      <c r="BJ246" s="720"/>
      <c r="BK246" s="720"/>
      <c r="BL246" s="720"/>
      <c r="BM246" s="720"/>
      <c r="BN246" s="720"/>
      <c r="BO246" s="720"/>
      <c r="BP246" s="720"/>
      <c r="BQ246" s="720"/>
      <c r="BR246" s="720"/>
      <c r="BS246" s="720"/>
      <c r="BT246" s="720">
        <f>BT238</f>
        <v>2680.4784</v>
      </c>
      <c r="BU246" s="720">
        <f t="shared" ref="BU246:BX246" si="962">BU238</f>
        <v>654.90210000000002</v>
      </c>
      <c r="BV246" s="720">
        <f t="shared" si="962"/>
        <v>692.0793000000001</v>
      </c>
      <c r="BW246" s="720">
        <f t="shared" si="962"/>
        <v>681.80790000000002</v>
      </c>
      <c r="BX246" s="720">
        <f t="shared" si="962"/>
        <v>691.93619999999999</v>
      </c>
      <c r="BY246" s="720">
        <f>BY238</f>
        <v>2722.0508999999997</v>
      </c>
      <c r="BZ246" s="720">
        <f t="shared" ref="BZ246:CW246" si="963">BZ238</f>
        <v>654.73889999999994</v>
      </c>
      <c r="CA246" s="720">
        <f t="shared" ref="CA246:CB246" si="964">CA238</f>
        <v>655.16219999999998</v>
      </c>
      <c r="CB246" s="720">
        <f t="shared" si="964"/>
        <v>661.87664999999993</v>
      </c>
      <c r="CC246" s="720">
        <f t="shared" ref="CC246:CE246" si="965">CC238</f>
        <v>654.27840000000003</v>
      </c>
      <c r="CD246" s="720">
        <f>CD238</f>
        <v>2692.2672000000002</v>
      </c>
      <c r="CE246" s="720">
        <f t="shared" si="965"/>
        <v>625.21514999999988</v>
      </c>
      <c r="CF246" s="720">
        <f t="shared" ref="CF246:CG246" si="966">CF238</f>
        <v>629.83214999999996</v>
      </c>
      <c r="CG246" s="720">
        <f t="shared" si="966"/>
        <v>625.32539999999995</v>
      </c>
      <c r="CH246" s="720">
        <f t="shared" ref="CH246" si="967">CH238</f>
        <v>633.38805000000002</v>
      </c>
      <c r="CI246" s="720">
        <f>CI238</f>
        <v>2571.8710499999997</v>
      </c>
      <c r="CJ246" s="720">
        <f t="shared" ref="CJ246:CK246" si="968">CJ238</f>
        <v>590.2903500000001</v>
      </c>
      <c r="CK246" s="720">
        <f t="shared" si="968"/>
        <v>606.93960000000004</v>
      </c>
      <c r="CL246" s="720">
        <f t="shared" ref="CL246:CM246" si="969">CL238</f>
        <v>610.21349999999995</v>
      </c>
      <c r="CM246" s="720">
        <f t="shared" si="969"/>
        <v>615.19185000000004</v>
      </c>
      <c r="CN246" s="720">
        <f>CN238</f>
        <v>2420.2052999999996</v>
      </c>
      <c r="CO246" s="720">
        <f t="shared" ref="CO246:CP246" si="970">CO238</f>
        <v>601.08839999999987</v>
      </c>
      <c r="CP246" s="720">
        <f t="shared" si="970"/>
        <v>607.17600000000004</v>
      </c>
      <c r="CQ246" s="720">
        <f t="shared" si="963"/>
        <v>2445.066100890625</v>
      </c>
      <c r="CR246" s="720">
        <f t="shared" si="963"/>
        <v>2453.9249292333811</v>
      </c>
      <c r="CS246" s="720">
        <f t="shared" si="963"/>
        <v>2468.4258693704446</v>
      </c>
      <c r="CT246" s="720">
        <f t="shared" si="963"/>
        <v>2481.2914118701356</v>
      </c>
      <c r="CU246" s="720">
        <f t="shared" si="963"/>
        <v>2492.6766415821517</v>
      </c>
      <c r="CV246" s="720">
        <f t="shared" si="963"/>
        <v>2502.721099278936</v>
      </c>
      <c r="CW246" s="720">
        <f t="shared" si="963"/>
        <v>2511.5503284063639</v>
      </c>
    </row>
    <row r="247" spans="1:112" s="169" customFormat="1">
      <c r="A247" s="226" t="s">
        <v>639</v>
      </c>
      <c r="B247" s="720"/>
      <c r="C247" s="720"/>
      <c r="D247" s="720"/>
      <c r="E247" s="720"/>
      <c r="F247" s="720"/>
      <c r="G247" s="720"/>
      <c r="H247" s="720"/>
      <c r="I247" s="720"/>
      <c r="J247" s="720"/>
      <c r="K247" s="720"/>
      <c r="L247" s="720"/>
      <c r="M247" s="720"/>
      <c r="N247" s="720"/>
      <c r="O247" s="720"/>
      <c r="P247" s="720"/>
      <c r="Q247" s="720"/>
      <c r="R247" s="720"/>
      <c r="S247" s="720"/>
      <c r="T247" s="720"/>
      <c r="U247" s="720"/>
      <c r="V247" s="720"/>
      <c r="W247" s="720"/>
      <c r="X247" s="720"/>
      <c r="Y247" s="720"/>
      <c r="Z247" s="720"/>
      <c r="AA247" s="720"/>
      <c r="AB247" s="720"/>
      <c r="AC247" s="720"/>
      <c r="AD247" s="720"/>
      <c r="AE247" s="720"/>
      <c r="AF247" s="720"/>
      <c r="AG247" s="720"/>
      <c r="AH247" s="720"/>
      <c r="AI247" s="720"/>
      <c r="AJ247" s="720"/>
      <c r="AK247" s="720"/>
      <c r="AL247" s="720"/>
      <c r="AM247" s="720"/>
      <c r="AN247" s="720"/>
      <c r="AO247" s="720"/>
      <c r="AP247" s="720"/>
      <c r="AQ247" s="720"/>
      <c r="AR247" s="720"/>
      <c r="AS247" s="720"/>
      <c r="AT247" s="720"/>
      <c r="AU247" s="720"/>
      <c r="AV247" s="720"/>
      <c r="AW247" s="720"/>
      <c r="AX247" s="720"/>
      <c r="AY247" s="720"/>
      <c r="AZ247" s="720"/>
      <c r="BA247" s="720"/>
      <c r="BB247" s="720"/>
      <c r="BC247" s="720"/>
      <c r="BD247" s="720"/>
      <c r="BE247" s="720"/>
      <c r="BF247" s="720"/>
      <c r="BG247" s="720"/>
      <c r="BH247" s="720"/>
      <c r="BI247" s="720"/>
      <c r="BJ247" s="720"/>
      <c r="BK247" s="720"/>
      <c r="BL247" s="720"/>
      <c r="BM247" s="720"/>
      <c r="BN247" s="720"/>
      <c r="BO247" s="720"/>
      <c r="BP247" s="720"/>
      <c r="BQ247" s="720"/>
      <c r="BR247" s="720"/>
      <c r="BS247" s="720"/>
      <c r="BT247" s="720">
        <f>BT248-BT246</f>
        <v>34.521600000000035</v>
      </c>
      <c r="BU247" s="720">
        <f t="shared" ref="BU247:BX247" si="971">BU248-BU246</f>
        <v>2.0978999999999814</v>
      </c>
      <c r="BV247" s="720">
        <f t="shared" si="971"/>
        <v>-13.079300000000103</v>
      </c>
      <c r="BW247" s="720">
        <f t="shared" si="971"/>
        <v>-5.8079000000000178</v>
      </c>
      <c r="BX247" s="720">
        <f t="shared" si="971"/>
        <v>-10.936199999999985</v>
      </c>
      <c r="BY247" s="720">
        <f t="shared" ref="BY247:CD247" si="972">BY248-BY246</f>
        <v>-29.050899999999729</v>
      </c>
      <c r="BZ247" s="720">
        <f t="shared" si="972"/>
        <v>6.2611000000000558</v>
      </c>
      <c r="CA247" s="720">
        <f t="shared" si="972"/>
        <v>-4.1621999999999844</v>
      </c>
      <c r="CB247" s="720">
        <f t="shared" si="972"/>
        <v>-9.8766499999999269</v>
      </c>
      <c r="CC247" s="720">
        <f t="shared" si="972"/>
        <v>0.72159999999996671</v>
      </c>
      <c r="CD247" s="720">
        <f t="shared" si="972"/>
        <v>-73.26720000000023</v>
      </c>
      <c r="CE247" s="720">
        <f t="shared" ref="CE247:CF247" si="973">CE248-CE246</f>
        <v>23.78485000000012</v>
      </c>
      <c r="CF247" s="720">
        <f t="shared" si="973"/>
        <v>18.167850000000044</v>
      </c>
      <c r="CG247" s="720">
        <f t="shared" ref="CG247:CJ247" si="974">CG248-CG246</f>
        <v>15.674600000000055</v>
      </c>
      <c r="CH247" s="720">
        <f t="shared" si="974"/>
        <v>-6.3880500000000211</v>
      </c>
      <c r="CI247" s="720">
        <f t="shared" si="974"/>
        <v>-6.871049999999741</v>
      </c>
      <c r="CJ247" s="720">
        <f t="shared" si="974"/>
        <v>4.7096499999998969</v>
      </c>
      <c r="CK247" s="720">
        <f t="shared" ref="CK247:CL247" si="975">CK248-CK246</f>
        <v>3.0603999999999587</v>
      </c>
      <c r="CL247" s="720">
        <f t="shared" si="975"/>
        <v>5.7865000000000464</v>
      </c>
      <c r="CM247" s="720">
        <f t="shared" ref="CM247:CP247" si="976">CM248-CM246</f>
        <v>8.8081499999999551</v>
      </c>
      <c r="CN247" s="720">
        <f t="shared" si="976"/>
        <v>24.794700000000375</v>
      </c>
      <c r="CO247" s="720">
        <f t="shared" si="976"/>
        <v>7.911600000000135</v>
      </c>
      <c r="CP247" s="720">
        <f t="shared" si="976"/>
        <v>4.8239999999999554</v>
      </c>
      <c r="CQ247" s="722">
        <f>CN247/CN246*CQ246</f>
        <v>25.049395789585994</v>
      </c>
      <c r="CR247" s="722">
        <f t="shared" ref="CR247:CW247" si="977">CQ247/CQ246*CR246</f>
        <v>25.140153375775125</v>
      </c>
      <c r="CS247" s="722">
        <f t="shared" si="977"/>
        <v>25.28871369023128</v>
      </c>
      <c r="CT247" s="722">
        <f t="shared" si="977"/>
        <v>25.420519560839484</v>
      </c>
      <c r="CU247" s="722">
        <f t="shared" si="977"/>
        <v>25.537159812449762</v>
      </c>
      <c r="CV247" s="722">
        <f t="shared" si="977"/>
        <v>25.640064022788639</v>
      </c>
      <c r="CW247" s="722">
        <f t="shared" si="977"/>
        <v>25.730518368726084</v>
      </c>
    </row>
    <row r="248" spans="1:112" s="382" customFormat="1">
      <c r="A248" s="283" t="s">
        <v>702</v>
      </c>
      <c r="B248" s="724"/>
      <c r="C248" s="724"/>
      <c r="D248" s="724"/>
      <c r="E248" s="724"/>
      <c r="F248" s="724"/>
      <c r="G248" s="724"/>
      <c r="H248" s="724"/>
      <c r="I248" s="724"/>
      <c r="J248" s="724"/>
      <c r="K248" s="724"/>
      <c r="L248" s="724"/>
      <c r="M248" s="724"/>
      <c r="N248" s="724"/>
      <c r="O248" s="724"/>
      <c r="P248" s="724"/>
      <c r="Q248" s="724"/>
      <c r="R248" s="724"/>
      <c r="S248" s="724"/>
      <c r="T248" s="724"/>
      <c r="U248" s="724"/>
      <c r="V248" s="724"/>
      <c r="W248" s="724"/>
      <c r="X248" s="724"/>
      <c r="Y248" s="724"/>
      <c r="Z248" s="724"/>
      <c r="AA248" s="724"/>
      <c r="AB248" s="724"/>
      <c r="AC248" s="724"/>
      <c r="AD248" s="724"/>
      <c r="AE248" s="724"/>
      <c r="AF248" s="724"/>
      <c r="AG248" s="724"/>
      <c r="AH248" s="724"/>
      <c r="AI248" s="724"/>
      <c r="AJ248" s="724"/>
      <c r="AK248" s="724"/>
      <c r="AL248" s="724"/>
      <c r="AM248" s="724"/>
      <c r="AN248" s="724"/>
      <c r="AO248" s="724"/>
      <c r="AP248" s="724"/>
      <c r="AQ248" s="724"/>
      <c r="AR248" s="724"/>
      <c r="AS248" s="724"/>
      <c r="AT248" s="724"/>
      <c r="AU248" s="724"/>
      <c r="AV248" s="724"/>
      <c r="AW248" s="724"/>
      <c r="AX248" s="724"/>
      <c r="AY248" s="724"/>
      <c r="AZ248" s="724"/>
      <c r="BA248" s="724"/>
      <c r="BB248" s="724"/>
      <c r="BC248" s="724"/>
      <c r="BD248" s="724"/>
      <c r="BE248" s="724"/>
      <c r="BF248" s="724"/>
      <c r="BG248" s="724"/>
      <c r="BH248" s="724"/>
      <c r="BI248" s="724"/>
      <c r="BJ248" s="724"/>
      <c r="BK248" s="724"/>
      <c r="BL248" s="724"/>
      <c r="BM248" s="724"/>
      <c r="BN248" s="724"/>
      <c r="BO248" s="724"/>
      <c r="BP248" s="724"/>
      <c r="BQ248" s="724"/>
      <c r="BR248" s="724"/>
      <c r="BS248" s="724"/>
      <c r="BT248" s="724">
        <f>BT409</f>
        <v>2715</v>
      </c>
      <c r="BU248" s="724">
        <f t="shared" ref="BU248:BX248" si="978">BU409</f>
        <v>657</v>
      </c>
      <c r="BV248" s="724">
        <f t="shared" si="978"/>
        <v>679</v>
      </c>
      <c r="BW248" s="724">
        <f t="shared" si="978"/>
        <v>676</v>
      </c>
      <c r="BX248" s="724">
        <f t="shared" si="978"/>
        <v>681</v>
      </c>
      <c r="BY248" s="724">
        <f t="shared" ref="BY248:CD248" si="979">BY409</f>
        <v>2693</v>
      </c>
      <c r="BZ248" s="724">
        <f t="shared" si="979"/>
        <v>661</v>
      </c>
      <c r="CA248" s="724">
        <f t="shared" si="979"/>
        <v>651</v>
      </c>
      <c r="CB248" s="724">
        <f t="shared" si="979"/>
        <v>652</v>
      </c>
      <c r="CC248" s="724">
        <f t="shared" si="979"/>
        <v>655</v>
      </c>
      <c r="CD248" s="724">
        <f t="shared" si="979"/>
        <v>2619</v>
      </c>
      <c r="CE248" s="724">
        <f t="shared" ref="CE248:CF248" si="980">CE409</f>
        <v>649</v>
      </c>
      <c r="CF248" s="724">
        <f t="shared" si="980"/>
        <v>648</v>
      </c>
      <c r="CG248" s="724">
        <f t="shared" ref="CG248:CJ248" si="981">CG409</f>
        <v>641</v>
      </c>
      <c r="CH248" s="724">
        <f t="shared" si="981"/>
        <v>627</v>
      </c>
      <c r="CI248" s="724">
        <f t="shared" si="981"/>
        <v>2565</v>
      </c>
      <c r="CJ248" s="724">
        <f t="shared" si="981"/>
        <v>595</v>
      </c>
      <c r="CK248" s="724">
        <f t="shared" ref="CK248:CL248" si="982">CK409</f>
        <v>610</v>
      </c>
      <c r="CL248" s="724">
        <f t="shared" si="982"/>
        <v>616</v>
      </c>
      <c r="CM248" s="724">
        <f t="shared" ref="CM248:CP248" si="983">CM409</f>
        <v>624</v>
      </c>
      <c r="CN248" s="724">
        <f t="shared" si="983"/>
        <v>2445</v>
      </c>
      <c r="CO248" s="724">
        <f t="shared" si="983"/>
        <v>609</v>
      </c>
      <c r="CP248" s="724">
        <f t="shared" si="983"/>
        <v>612</v>
      </c>
      <c r="CQ248" s="724">
        <f t="shared" ref="CQ248:CW248" si="984">CQ246+CQ247</f>
        <v>2470.115496680211</v>
      </c>
      <c r="CR248" s="724">
        <f t="shared" si="984"/>
        <v>2479.0650826091564</v>
      </c>
      <c r="CS248" s="724">
        <f t="shared" si="984"/>
        <v>2493.714583060676</v>
      </c>
      <c r="CT248" s="724">
        <f t="shared" si="984"/>
        <v>2506.7119314309753</v>
      </c>
      <c r="CU248" s="724">
        <f t="shared" si="984"/>
        <v>2518.2138013946014</v>
      </c>
      <c r="CV248" s="724">
        <f t="shared" si="984"/>
        <v>2528.3611633017244</v>
      </c>
      <c r="CW248" s="724">
        <f t="shared" si="984"/>
        <v>2537.2808467750901</v>
      </c>
    </row>
    <row r="249" spans="1:112">
      <c r="A249" s="226" t="s">
        <v>0</v>
      </c>
      <c r="B249" s="204"/>
      <c r="C249" s="204"/>
      <c r="D249" s="204"/>
      <c r="E249" s="204"/>
      <c r="F249" s="204"/>
      <c r="G249" s="204"/>
      <c r="H249" s="204"/>
      <c r="I249" s="204"/>
      <c r="J249" s="204"/>
      <c r="K249" s="204"/>
      <c r="L249" s="204"/>
      <c r="M249" s="204"/>
      <c r="N249" s="204"/>
      <c r="O249" s="204"/>
      <c r="P249" s="204"/>
      <c r="Q249" s="204"/>
      <c r="R249" s="204"/>
      <c r="S249" s="204"/>
      <c r="T249" s="204"/>
      <c r="U249" s="204"/>
      <c r="V249" s="204"/>
      <c r="W249" s="204"/>
      <c r="X249" s="204"/>
      <c r="Y249" s="204"/>
      <c r="Z249" s="204"/>
      <c r="AA249" s="204"/>
      <c r="AB249" s="204"/>
      <c r="AC249" s="204"/>
      <c r="AD249" s="204"/>
      <c r="AE249" s="204"/>
      <c r="AF249" s="204"/>
      <c r="AG249" s="204"/>
      <c r="AH249" s="204"/>
      <c r="AI249" s="204"/>
      <c r="AJ249" s="204"/>
      <c r="AK249" s="204"/>
      <c r="AL249" s="204"/>
      <c r="AM249" s="204"/>
      <c r="AN249" s="204"/>
      <c r="AO249" s="204"/>
      <c r="AP249" s="204"/>
      <c r="AQ249" s="204"/>
      <c r="AR249" s="204"/>
      <c r="AS249" s="204"/>
      <c r="AT249" s="204"/>
      <c r="AU249" s="204"/>
      <c r="AV249" s="204"/>
      <c r="AW249" s="204"/>
      <c r="AX249" s="204"/>
      <c r="AY249" s="204"/>
      <c r="AZ249" s="204"/>
      <c r="BA249" s="204"/>
      <c r="BB249" s="204"/>
      <c r="BC249" s="204"/>
      <c r="BD249" s="204"/>
      <c r="BE249" s="204"/>
      <c r="BF249" s="204"/>
      <c r="BG249" s="204"/>
      <c r="BH249" s="204"/>
      <c r="BI249" s="204"/>
      <c r="BJ249" s="204"/>
      <c r="BK249" s="204"/>
      <c r="BL249" s="204"/>
      <c r="BM249" s="204"/>
      <c r="BN249" s="204"/>
      <c r="BO249" s="204"/>
      <c r="BP249" s="204"/>
      <c r="BQ249" s="204"/>
      <c r="BR249" s="204"/>
      <c r="BS249" s="204"/>
      <c r="BT249" s="204"/>
      <c r="BU249" s="204" t="e">
        <f>BU248/BP248-1</f>
        <v>#DIV/0!</v>
      </c>
      <c r="BV249" s="204" t="e">
        <f t="shared" ref="BV249" si="985">BV248/BQ248-1</f>
        <v>#DIV/0!</v>
      </c>
      <c r="BW249" s="204" t="e">
        <f t="shared" ref="BW249" si="986">BW248/BR248-1</f>
        <v>#DIV/0!</v>
      </c>
      <c r="BX249" s="204" t="e">
        <f t="shared" ref="BX249" si="987">BX248/BS248-1</f>
        <v>#DIV/0!</v>
      </c>
      <c r="BY249" s="204">
        <f>BY248/BT248-1</f>
        <v>-8.1031307550644138E-3</v>
      </c>
      <c r="BZ249" s="204">
        <f t="shared" ref="BZ249" si="988">BZ248/BU248-1</f>
        <v>6.0882800608828003E-3</v>
      </c>
      <c r="CA249" s="204">
        <f t="shared" ref="CA249" si="989">CA248/BV248-1</f>
        <v>-4.123711340206182E-2</v>
      </c>
      <c r="CB249" s="204">
        <f t="shared" ref="CB249" si="990">CB248/BW248-1</f>
        <v>-3.5502958579881616E-2</v>
      </c>
      <c r="CC249" s="204">
        <f t="shared" ref="CC249:CP249" si="991">CC248/BX248-1</f>
        <v>-3.8179148311306865E-2</v>
      </c>
      <c r="CD249" s="204">
        <f>CD248/BY248-1</f>
        <v>-2.7478648347567747E-2</v>
      </c>
      <c r="CE249" s="204">
        <f t="shared" si="991"/>
        <v>-1.8154311649016597E-2</v>
      </c>
      <c r="CF249" s="204">
        <f t="shared" si="991"/>
        <v>-4.6082949308755561E-3</v>
      </c>
      <c r="CG249" s="204">
        <f t="shared" si="991"/>
        <v>-1.6871165644171793E-2</v>
      </c>
      <c r="CH249" s="204">
        <f t="shared" si="991"/>
        <v>-4.2748091603053484E-2</v>
      </c>
      <c r="CI249" s="204">
        <f>CI248/CD248-1</f>
        <v>-2.0618556701030966E-2</v>
      </c>
      <c r="CJ249" s="204">
        <f t="shared" si="991"/>
        <v>-8.3204930662557741E-2</v>
      </c>
      <c r="CK249" s="204">
        <f t="shared" si="991"/>
        <v>-5.8641975308642014E-2</v>
      </c>
      <c r="CL249" s="204">
        <f t="shared" si="991"/>
        <v>-3.9001560062402518E-2</v>
      </c>
      <c r="CM249" s="204">
        <f t="shared" si="991"/>
        <v>-4.784688995215336E-3</v>
      </c>
      <c r="CN249" s="204">
        <f>CN248/CI248-1</f>
        <v>-4.6783625730994149E-2</v>
      </c>
      <c r="CO249" s="204">
        <f t="shared" si="991"/>
        <v>2.3529411764705799E-2</v>
      </c>
      <c r="CP249" s="204">
        <f t="shared" si="991"/>
        <v>3.2786885245901232E-3</v>
      </c>
      <c r="CQ249" s="204">
        <f>CQ248/CN248-1</f>
        <v>1.0272186781272286E-2</v>
      </c>
      <c r="CR249" s="204">
        <f t="shared" ref="CR249" si="992">CR248/CQ248-1</f>
        <v>3.6231447237886627E-3</v>
      </c>
      <c r="CS249" s="204">
        <f t="shared" ref="CS249" si="993">CS248/CR248-1</f>
        <v>5.9092843323425015E-3</v>
      </c>
      <c r="CT249" s="204">
        <f t="shared" ref="CT249" si="994">CT248/CS248-1</f>
        <v>5.212043294203772E-3</v>
      </c>
      <c r="CU249" s="204">
        <f t="shared" ref="CU249" si="995">CU248/CT248-1</f>
        <v>4.5884290968609687E-3</v>
      </c>
      <c r="CV249" s="204">
        <f t="shared" ref="CV249" si="996">CV248/CU248-1</f>
        <v>4.0295871230247027E-3</v>
      </c>
      <c r="CW249" s="204">
        <f t="shared" ref="CW249" si="997">CW248/CV248-1</f>
        <v>3.5278517969790091E-3</v>
      </c>
      <c r="CX249" s="159"/>
      <c r="CY249" s="159"/>
      <c r="CZ249" s="159"/>
      <c r="DA249" s="159"/>
      <c r="DB249" s="159"/>
      <c r="DC249" s="169"/>
      <c r="DD249" s="169"/>
      <c r="DE249" s="169"/>
      <c r="DF249" s="169"/>
      <c r="DG249" s="169"/>
      <c r="DH249" s="169"/>
    </row>
    <row r="250" spans="1:112">
      <c r="A250" s="226"/>
      <c r="B250" s="204"/>
      <c r="C250" s="204"/>
      <c r="D250" s="204"/>
      <c r="E250" s="204"/>
      <c r="F250" s="204"/>
      <c r="G250" s="204"/>
      <c r="H250" s="204"/>
      <c r="I250" s="204"/>
      <c r="J250" s="204"/>
      <c r="K250" s="204"/>
      <c r="L250" s="204"/>
      <c r="M250" s="204"/>
      <c r="N250" s="204"/>
      <c r="O250" s="204"/>
      <c r="P250" s="204"/>
      <c r="Q250" s="204"/>
      <c r="R250" s="204"/>
      <c r="S250" s="204"/>
      <c r="T250" s="204"/>
      <c r="U250" s="204"/>
      <c r="V250" s="204"/>
      <c r="W250" s="204"/>
      <c r="X250" s="204"/>
      <c r="Y250" s="204"/>
      <c r="Z250" s="204"/>
      <c r="AA250" s="204"/>
      <c r="AB250" s="204"/>
      <c r="AC250" s="204"/>
      <c r="AD250" s="204"/>
      <c r="AE250" s="204"/>
      <c r="AF250" s="204"/>
      <c r="AG250" s="204"/>
      <c r="AH250" s="204"/>
      <c r="AI250" s="204"/>
      <c r="AJ250" s="204"/>
      <c r="AK250" s="204"/>
      <c r="AL250" s="204"/>
      <c r="AM250" s="204"/>
      <c r="AN250" s="204"/>
      <c r="AO250" s="204"/>
      <c r="AP250" s="204"/>
      <c r="AQ250" s="204"/>
      <c r="AR250" s="204"/>
      <c r="AS250" s="204"/>
      <c r="AT250" s="204"/>
      <c r="AU250" s="204"/>
      <c r="AV250" s="204"/>
      <c r="AW250" s="204"/>
      <c r="AX250" s="204"/>
      <c r="AY250" s="204"/>
      <c r="AZ250" s="204"/>
      <c r="BA250" s="204"/>
      <c r="BB250" s="204"/>
      <c r="BC250" s="204"/>
      <c r="BD250" s="204"/>
      <c r="BE250" s="204"/>
      <c r="BF250" s="204"/>
      <c r="BG250" s="204"/>
      <c r="BH250" s="204"/>
      <c r="BI250" s="204"/>
      <c r="BJ250" s="204"/>
      <c r="BK250" s="204"/>
      <c r="BL250" s="204"/>
      <c r="BM250" s="204"/>
      <c r="BN250" s="204"/>
      <c r="BO250" s="204"/>
      <c r="BP250" s="204"/>
      <c r="BQ250" s="204"/>
      <c r="BR250" s="204"/>
      <c r="BS250" s="204"/>
      <c r="BT250" s="204"/>
      <c r="BU250" s="204"/>
      <c r="BV250" s="204"/>
      <c r="BW250" s="204"/>
      <c r="BX250" s="204"/>
      <c r="BY250" s="204"/>
      <c r="BZ250" s="204"/>
      <c r="CA250" s="204"/>
      <c r="CB250" s="204"/>
      <c r="CC250" s="204"/>
      <c r="CD250" s="204"/>
      <c r="CE250" s="204"/>
      <c r="CF250" s="204"/>
      <c r="CG250" s="204"/>
      <c r="CH250" s="204"/>
      <c r="CI250" s="204"/>
      <c r="CJ250" s="204"/>
      <c r="CK250" s="204"/>
      <c r="CL250" s="204"/>
      <c r="CM250" s="204"/>
      <c r="CN250" s="204"/>
      <c r="CO250" s="204"/>
      <c r="CP250" s="204"/>
      <c r="CQ250" s="204"/>
      <c r="CR250" s="204"/>
      <c r="CS250" s="204"/>
      <c r="CT250" s="204"/>
      <c r="CU250" s="204"/>
      <c r="CV250" s="204"/>
      <c r="CW250" s="204"/>
      <c r="CX250" s="159"/>
      <c r="CY250" s="159"/>
      <c r="CZ250" s="159"/>
      <c r="DA250" s="159"/>
      <c r="DB250" s="159"/>
      <c r="DC250" s="169"/>
      <c r="DD250" s="169"/>
      <c r="DE250" s="169"/>
      <c r="DF250" s="169"/>
      <c r="DG250" s="169"/>
      <c r="DH250" s="169"/>
    </row>
    <row r="251" spans="1:112" s="169" customFormat="1">
      <c r="A251" s="226" t="s">
        <v>703</v>
      </c>
      <c r="B251" s="720"/>
      <c r="C251" s="720"/>
      <c r="D251" s="720"/>
      <c r="E251" s="720"/>
      <c r="F251" s="720"/>
      <c r="G251" s="720"/>
      <c r="H251" s="720"/>
      <c r="I251" s="720"/>
      <c r="J251" s="720"/>
      <c r="K251" s="720"/>
      <c r="L251" s="720"/>
      <c r="M251" s="720"/>
      <c r="N251" s="720"/>
      <c r="O251" s="720"/>
      <c r="P251" s="720"/>
      <c r="Q251" s="720"/>
      <c r="R251" s="720"/>
      <c r="S251" s="720"/>
      <c r="T251" s="720"/>
      <c r="U251" s="720"/>
      <c r="V251" s="720"/>
      <c r="W251" s="720"/>
      <c r="X251" s="720"/>
      <c r="Y251" s="720"/>
      <c r="Z251" s="720"/>
      <c r="AA251" s="720"/>
      <c r="AB251" s="720"/>
      <c r="AC251" s="720"/>
      <c r="AD251" s="720"/>
      <c r="AE251" s="720"/>
      <c r="AF251" s="720"/>
      <c r="AG251" s="720"/>
      <c r="AH251" s="720"/>
      <c r="AI251" s="720"/>
      <c r="AJ251" s="720"/>
      <c r="AK251" s="720"/>
      <c r="AL251" s="720"/>
      <c r="AM251" s="720"/>
      <c r="AN251" s="720"/>
      <c r="AO251" s="720"/>
      <c r="AP251" s="720"/>
      <c r="AQ251" s="720"/>
      <c r="AR251" s="720"/>
      <c r="AS251" s="720"/>
      <c r="AT251" s="720"/>
      <c r="AU251" s="720"/>
      <c r="AV251" s="720"/>
      <c r="AW251" s="720"/>
      <c r="AX251" s="720"/>
      <c r="AY251" s="720"/>
      <c r="AZ251" s="720"/>
      <c r="BA251" s="720"/>
      <c r="BB251" s="720"/>
      <c r="BC251" s="720"/>
      <c r="BD251" s="720"/>
      <c r="BE251" s="720"/>
      <c r="BF251" s="720"/>
      <c r="BG251" s="720"/>
      <c r="BH251" s="720"/>
      <c r="BI251" s="720"/>
      <c r="BJ251" s="720"/>
      <c r="BK251" s="720"/>
      <c r="BL251" s="720"/>
      <c r="BM251" s="720"/>
      <c r="BN251" s="720"/>
      <c r="BO251" s="720"/>
      <c r="BP251" s="720"/>
      <c r="BQ251" s="720"/>
      <c r="BR251" s="720"/>
      <c r="BS251" s="720"/>
      <c r="BT251" s="720">
        <f>BT243</f>
        <v>3686.6405999999997</v>
      </c>
      <c r="BU251" s="720">
        <f t="shared" ref="BU251:BX251" si="998">BU243</f>
        <v>933.40125</v>
      </c>
      <c r="BV251" s="720">
        <f t="shared" si="998"/>
        <v>951.1341000000001</v>
      </c>
      <c r="BW251" s="720">
        <f t="shared" si="998"/>
        <v>969.25919999999996</v>
      </c>
      <c r="BX251" s="720">
        <f t="shared" si="998"/>
        <v>988.97445000000005</v>
      </c>
      <c r="BY251" s="720">
        <f t="shared" ref="BY251:CD251" si="999">BY243</f>
        <v>3859.0425</v>
      </c>
      <c r="BZ251" s="720">
        <f t="shared" si="999"/>
        <v>989.71529999999996</v>
      </c>
      <c r="CA251" s="720">
        <f t="shared" si="999"/>
        <v>999.39599999999996</v>
      </c>
      <c r="CB251" s="720">
        <f t="shared" si="999"/>
        <v>1005.1938</v>
      </c>
      <c r="CC251" s="720">
        <f t="shared" si="999"/>
        <v>1020.5108999999999</v>
      </c>
      <c r="CD251" s="720">
        <f t="shared" si="999"/>
        <v>4028.2798499999994</v>
      </c>
      <c r="CE251" s="720">
        <f t="shared" ref="CE251:CF251" si="1000">CE243</f>
        <v>1019.88975</v>
      </c>
      <c r="CF251" s="720">
        <f t="shared" si="1000"/>
        <v>1028.9024999999999</v>
      </c>
      <c r="CG251" s="720">
        <f t="shared" ref="CG251:CJ251" si="1001">CG243</f>
        <v>1042.386</v>
      </c>
      <c r="CH251" s="720">
        <f t="shared" si="1001"/>
        <v>1077.9833999999998</v>
      </c>
      <c r="CI251" s="720">
        <f t="shared" si="1001"/>
        <v>4181.735999999999</v>
      </c>
      <c r="CJ251" s="720">
        <f t="shared" si="1001"/>
        <v>1059.7952999999998</v>
      </c>
      <c r="CK251" s="720">
        <f t="shared" ref="CK251:CL251" si="1002">CK243</f>
        <v>1074.816</v>
      </c>
      <c r="CL251" s="720">
        <f t="shared" si="1002"/>
        <v>1081.1745000000001</v>
      </c>
      <c r="CM251" s="720">
        <f t="shared" ref="CM251:CP251" si="1003">CM243</f>
        <v>1108.6354500000002</v>
      </c>
      <c r="CN251" s="720">
        <f t="shared" si="1003"/>
        <v>4319.8393499999993</v>
      </c>
      <c r="CO251" s="720">
        <f t="shared" si="1003"/>
        <v>1094.0260499999999</v>
      </c>
      <c r="CP251" s="720">
        <f t="shared" si="1003"/>
        <v>1108.4427000000003</v>
      </c>
      <c r="CQ251" s="720">
        <f>CQ243</f>
        <v>4452.4626752518752</v>
      </c>
      <c r="CR251" s="720">
        <f t="shared" ref="CR251:CW251" si="1004">CR243</f>
        <v>4523.3721375465893</v>
      </c>
      <c r="CS251" s="720">
        <f t="shared" si="1004"/>
        <v>4628.7449650721919</v>
      </c>
      <c r="CT251" s="720">
        <f t="shared" si="1004"/>
        <v>4733.2148635661106</v>
      </c>
      <c r="CU251" s="720">
        <f t="shared" si="1004"/>
        <v>4836.9681712351912</v>
      </c>
      <c r="CV251" s="720">
        <f t="shared" si="1004"/>
        <v>4940.1771245598648</v>
      </c>
      <c r="CW251" s="720">
        <f t="shared" si="1004"/>
        <v>5043.0010392178801</v>
      </c>
    </row>
    <row r="252" spans="1:112" s="169" customFormat="1">
      <c r="A252" s="226" t="s">
        <v>639</v>
      </c>
      <c r="B252" s="720"/>
      <c r="C252" s="720"/>
      <c r="D252" s="720"/>
      <c r="E252" s="720"/>
      <c r="F252" s="720"/>
      <c r="G252" s="720"/>
      <c r="H252" s="720"/>
      <c r="I252" s="720"/>
      <c r="J252" s="720"/>
      <c r="K252" s="720"/>
      <c r="L252" s="720"/>
      <c r="M252" s="720"/>
      <c r="N252" s="720"/>
      <c r="O252" s="720"/>
      <c r="P252" s="720"/>
      <c r="Q252" s="720"/>
      <c r="R252" s="720"/>
      <c r="S252" s="720"/>
      <c r="T252" s="720"/>
      <c r="U252" s="720"/>
      <c r="V252" s="720"/>
      <c r="W252" s="720"/>
      <c r="X252" s="720"/>
      <c r="Y252" s="720"/>
      <c r="Z252" s="720"/>
      <c r="AA252" s="720"/>
      <c r="AB252" s="720"/>
      <c r="AC252" s="720"/>
      <c r="AD252" s="720"/>
      <c r="AE252" s="720"/>
      <c r="AF252" s="720"/>
      <c r="AG252" s="720"/>
      <c r="AH252" s="720"/>
      <c r="AI252" s="720"/>
      <c r="AJ252" s="720"/>
      <c r="AK252" s="720"/>
      <c r="AL252" s="720"/>
      <c r="AM252" s="720"/>
      <c r="AN252" s="720"/>
      <c r="AO252" s="720"/>
      <c r="AP252" s="720"/>
      <c r="AQ252" s="720"/>
      <c r="AR252" s="720"/>
      <c r="AS252" s="720"/>
      <c r="AT252" s="720"/>
      <c r="AU252" s="720"/>
      <c r="AV252" s="720"/>
      <c r="AW252" s="720"/>
      <c r="AX252" s="720"/>
      <c r="AY252" s="720"/>
      <c r="AZ252" s="720"/>
      <c r="BA252" s="720"/>
      <c r="BB252" s="720"/>
      <c r="BC252" s="720"/>
      <c r="BD252" s="720"/>
      <c r="BE252" s="720"/>
      <c r="BF252" s="720"/>
      <c r="BG252" s="720"/>
      <c r="BH252" s="720"/>
      <c r="BI252" s="720"/>
      <c r="BJ252" s="720"/>
      <c r="BK252" s="720"/>
      <c r="BL252" s="720"/>
      <c r="BM252" s="720"/>
      <c r="BN252" s="720"/>
      <c r="BO252" s="720"/>
      <c r="BP252" s="720"/>
      <c r="BQ252" s="720"/>
      <c r="BR252" s="720"/>
      <c r="BS252" s="720"/>
      <c r="BT252" s="720">
        <f>BT253-BT251</f>
        <v>-623.64059999999972</v>
      </c>
      <c r="BU252" s="720">
        <f t="shared" ref="BU252:BX252" si="1005">BU253-BU251</f>
        <v>-148.40125</v>
      </c>
      <c r="BV252" s="720">
        <f t="shared" si="1005"/>
        <v>-141.1341000000001</v>
      </c>
      <c r="BW252" s="720">
        <f t="shared" si="1005"/>
        <v>-139.25919999999996</v>
      </c>
      <c r="BX252" s="720">
        <f t="shared" si="1005"/>
        <v>-138.97445000000005</v>
      </c>
      <c r="BY252" s="720">
        <f t="shared" ref="BY252:CD252" si="1006">BY253-BY251</f>
        <v>-584.04250000000002</v>
      </c>
      <c r="BZ252" s="720">
        <f t="shared" si="1006"/>
        <v>-125.71529999999996</v>
      </c>
      <c r="CA252" s="720">
        <f t="shared" si="1006"/>
        <v>-128.39599999999996</v>
      </c>
      <c r="CB252" s="720">
        <f t="shared" si="1006"/>
        <v>-123.19380000000001</v>
      </c>
      <c r="CC252" s="720">
        <f t="shared" si="1006"/>
        <v>-117.51089999999988</v>
      </c>
      <c r="CD252" s="720">
        <f t="shared" si="1006"/>
        <v>-508.27984999999944</v>
      </c>
      <c r="CE252" s="720">
        <f t="shared" ref="CE252:CF252" si="1007">CE253-CE251</f>
        <v>-108.88975000000005</v>
      </c>
      <c r="CF252" s="720">
        <f t="shared" si="1007"/>
        <v>-112.90249999999992</v>
      </c>
      <c r="CG252" s="720">
        <f t="shared" ref="CG252:CJ252" si="1008">CG253-CG251</f>
        <v>-117.38599999999997</v>
      </c>
      <c r="CH252" s="720">
        <f t="shared" si="1008"/>
        <v>-129.98339999999985</v>
      </c>
      <c r="CI252" s="720">
        <f t="shared" si="1008"/>
        <v>-481.73599999999897</v>
      </c>
      <c r="CJ252" s="720">
        <f t="shared" si="1008"/>
        <v>-135.79529999999977</v>
      </c>
      <c r="CK252" s="720">
        <f t="shared" ref="CK252:CL252" si="1009">CK253-CK251</f>
        <v>-141.81600000000003</v>
      </c>
      <c r="CL252" s="720">
        <f t="shared" si="1009"/>
        <v>-129.17450000000008</v>
      </c>
      <c r="CM252" s="720">
        <f t="shared" ref="CM252:CP252" si="1010">CM253-CM251</f>
        <v>-132.63545000000022</v>
      </c>
      <c r="CN252" s="720">
        <f t="shared" si="1010"/>
        <v>-534.83934999999929</v>
      </c>
      <c r="CO252" s="720">
        <f t="shared" si="1010"/>
        <v>-131.02604999999994</v>
      </c>
      <c r="CP252" s="720">
        <f t="shared" si="1010"/>
        <v>-136.44270000000029</v>
      </c>
      <c r="CQ252" s="722">
        <f>CN252/CN251*CQ251</f>
        <v>-551.2594451298221</v>
      </c>
      <c r="CR252" s="722">
        <f t="shared" ref="CR252" si="1011">CQ252/CQ251*CR251</f>
        <v>-560.03874631437986</v>
      </c>
      <c r="CS252" s="722">
        <f t="shared" ref="CS252" si="1012">CR252/CR251*CS251</f>
        <v>-573.08495706790131</v>
      </c>
      <c r="CT252" s="722">
        <f t="shared" ref="CT252" si="1013">CS252/CS251*CT251</f>
        <v>-586.01937616963323</v>
      </c>
      <c r="CU252" s="722">
        <f t="shared" ref="CU252" si="1014">CT252/CT251*CU251</f>
        <v>-598.86507415469396</v>
      </c>
      <c r="CV252" s="722">
        <f t="shared" ref="CV252" si="1015">CU252/CU251*CV251</f>
        <v>-611.64337562332355</v>
      </c>
      <c r="CW252" s="722">
        <f t="shared" ref="CW252" si="1016">CV252/CV251*CW251</f>
        <v>-624.37400545106198</v>
      </c>
    </row>
    <row r="253" spans="1:112" s="382" customFormat="1">
      <c r="A253" s="283" t="s">
        <v>704</v>
      </c>
      <c r="B253" s="724"/>
      <c r="C253" s="724"/>
      <c r="D253" s="724"/>
      <c r="E253" s="724"/>
      <c r="F253" s="724"/>
      <c r="G253" s="724"/>
      <c r="H253" s="724"/>
      <c r="I253" s="724"/>
      <c r="J253" s="724"/>
      <c r="K253" s="724"/>
      <c r="L253" s="724"/>
      <c r="M253" s="724"/>
      <c r="N253" s="724"/>
      <c r="O253" s="724"/>
      <c r="P253" s="724"/>
      <c r="Q253" s="724"/>
      <c r="R253" s="724"/>
      <c r="S253" s="724"/>
      <c r="T253" s="724"/>
      <c r="U253" s="724"/>
      <c r="V253" s="724"/>
      <c r="W253" s="724"/>
      <c r="X253" s="724"/>
      <c r="Y253" s="724"/>
      <c r="Z253" s="724"/>
      <c r="AA253" s="724"/>
      <c r="AB253" s="724"/>
      <c r="AC253" s="724"/>
      <c r="AD253" s="724"/>
      <c r="AE253" s="724"/>
      <c r="AF253" s="724"/>
      <c r="AG253" s="724"/>
      <c r="AH253" s="724"/>
      <c r="AI253" s="724"/>
      <c r="AJ253" s="724"/>
      <c r="AK253" s="724"/>
      <c r="AL253" s="724"/>
      <c r="AM253" s="724"/>
      <c r="AN253" s="724"/>
      <c r="AO253" s="724"/>
      <c r="AP253" s="724"/>
      <c r="AQ253" s="724"/>
      <c r="AR253" s="724"/>
      <c r="AS253" s="724"/>
      <c r="AT253" s="724"/>
      <c r="AU253" s="724"/>
      <c r="AV253" s="724"/>
      <c r="AW253" s="724"/>
      <c r="AX253" s="724"/>
      <c r="AY253" s="724"/>
      <c r="AZ253" s="724"/>
      <c r="BA253" s="724"/>
      <c r="BB253" s="724"/>
      <c r="BC253" s="724"/>
      <c r="BD253" s="724"/>
      <c r="BE253" s="724"/>
      <c r="BF253" s="724"/>
      <c r="BG253" s="724"/>
      <c r="BH253" s="724"/>
      <c r="BI253" s="724"/>
      <c r="BJ253" s="724"/>
      <c r="BK253" s="724"/>
      <c r="BL253" s="724"/>
      <c r="BM253" s="724"/>
      <c r="BN253" s="724"/>
      <c r="BO253" s="724"/>
      <c r="BP253" s="724"/>
      <c r="BQ253" s="724"/>
      <c r="BR253" s="724"/>
      <c r="BS253" s="724"/>
      <c r="BT253" s="724">
        <f>BT408</f>
        <v>3063</v>
      </c>
      <c r="BU253" s="724">
        <f t="shared" ref="BU253:BX253" si="1017">BU408</f>
        <v>785</v>
      </c>
      <c r="BV253" s="724">
        <f t="shared" si="1017"/>
        <v>810</v>
      </c>
      <c r="BW253" s="724">
        <f t="shared" si="1017"/>
        <v>830</v>
      </c>
      <c r="BX253" s="724">
        <f t="shared" si="1017"/>
        <v>850</v>
      </c>
      <c r="BY253" s="724">
        <f t="shared" ref="BY253:CD253" si="1018">BY408</f>
        <v>3275</v>
      </c>
      <c r="BZ253" s="724">
        <f t="shared" si="1018"/>
        <v>864</v>
      </c>
      <c r="CA253" s="724">
        <f t="shared" si="1018"/>
        <v>871</v>
      </c>
      <c r="CB253" s="724">
        <f t="shared" si="1018"/>
        <v>882</v>
      </c>
      <c r="CC253" s="724">
        <f t="shared" si="1018"/>
        <v>903</v>
      </c>
      <c r="CD253" s="724">
        <f t="shared" si="1018"/>
        <v>3520</v>
      </c>
      <c r="CE253" s="724">
        <f t="shared" ref="CE253:CF253" si="1019">CE408</f>
        <v>911</v>
      </c>
      <c r="CF253" s="724">
        <f t="shared" si="1019"/>
        <v>916</v>
      </c>
      <c r="CG253" s="724">
        <f t="shared" ref="CG253:CJ253" si="1020">CG408</f>
        <v>925</v>
      </c>
      <c r="CH253" s="724">
        <f t="shared" si="1020"/>
        <v>948</v>
      </c>
      <c r="CI253" s="724">
        <f t="shared" si="1020"/>
        <v>3700</v>
      </c>
      <c r="CJ253" s="724">
        <f t="shared" si="1020"/>
        <v>924</v>
      </c>
      <c r="CK253" s="724">
        <f t="shared" ref="CK253:CL253" si="1021">CK408</f>
        <v>933</v>
      </c>
      <c r="CL253" s="724">
        <f t="shared" si="1021"/>
        <v>952</v>
      </c>
      <c r="CM253" s="724">
        <f t="shared" ref="CM253:CP253" si="1022">CM408</f>
        <v>976</v>
      </c>
      <c r="CN253" s="724">
        <f t="shared" si="1022"/>
        <v>3785</v>
      </c>
      <c r="CO253" s="724">
        <f t="shared" si="1022"/>
        <v>963</v>
      </c>
      <c r="CP253" s="724">
        <f t="shared" si="1022"/>
        <v>972</v>
      </c>
      <c r="CQ253" s="724">
        <f t="shared" ref="CQ253" si="1023">CQ251+CQ252</f>
        <v>3901.2032301220534</v>
      </c>
      <c r="CR253" s="724">
        <f t="shared" ref="CR253" si="1024">CR251+CR252</f>
        <v>3963.3333912322096</v>
      </c>
      <c r="CS253" s="724">
        <f t="shared" ref="CS253" si="1025">CS251+CS252</f>
        <v>4055.6600080042908</v>
      </c>
      <c r="CT253" s="724">
        <f t="shared" ref="CT253" si="1026">CT251+CT252</f>
        <v>4147.1954873964769</v>
      </c>
      <c r="CU253" s="724">
        <f t="shared" ref="CU253" si="1027">CU251+CU252</f>
        <v>4238.1030970804968</v>
      </c>
      <c r="CV253" s="724">
        <f t="shared" ref="CV253" si="1028">CV251+CV252</f>
        <v>4328.5337489365411</v>
      </c>
      <c r="CW253" s="724">
        <f t="shared" ref="CW253" si="1029">CW251+CW252</f>
        <v>4418.6270337668184</v>
      </c>
    </row>
    <row r="254" spans="1:112" s="161" customFormat="1">
      <c r="A254" s="160" t="s">
        <v>0</v>
      </c>
      <c r="B254" s="204"/>
      <c r="C254" s="204"/>
      <c r="D254" s="204"/>
      <c r="E254" s="204"/>
      <c r="F254" s="204"/>
      <c r="G254" s="204"/>
      <c r="H254" s="204"/>
      <c r="I254" s="204"/>
      <c r="J254" s="204"/>
      <c r="K254" s="204"/>
      <c r="L254" s="204"/>
      <c r="M254" s="204"/>
      <c r="N254" s="204"/>
      <c r="O254" s="204"/>
      <c r="P254" s="204"/>
      <c r="Q254" s="204"/>
      <c r="R254" s="204"/>
      <c r="S254" s="204"/>
      <c r="T254" s="204"/>
      <c r="U254" s="204"/>
      <c r="V254" s="204"/>
      <c r="W254" s="204"/>
      <c r="X254" s="204"/>
      <c r="Y254" s="204"/>
      <c r="Z254" s="204"/>
      <c r="AA254" s="204"/>
      <c r="AB254" s="204"/>
      <c r="AC254" s="204"/>
      <c r="AD254" s="204"/>
      <c r="AE254" s="204"/>
      <c r="AF254" s="204"/>
      <c r="AG254" s="204"/>
      <c r="AH254" s="204"/>
      <c r="AI254" s="204"/>
      <c r="AJ254" s="204"/>
      <c r="AK254" s="204"/>
      <c r="AL254" s="204"/>
      <c r="AM254" s="204"/>
      <c r="AN254" s="204"/>
      <c r="AO254" s="204"/>
      <c r="AP254" s="204"/>
      <c r="AQ254" s="204"/>
      <c r="AR254" s="204"/>
      <c r="AS254" s="204"/>
      <c r="AT254" s="204"/>
      <c r="AU254" s="204"/>
      <c r="AV254" s="204"/>
      <c r="AW254" s="204"/>
      <c r="AX254" s="204"/>
      <c r="AY254" s="204"/>
      <c r="AZ254" s="204"/>
      <c r="BA254" s="204"/>
      <c r="BB254" s="204"/>
      <c r="BC254" s="204"/>
      <c r="BD254" s="204"/>
      <c r="BE254" s="204"/>
      <c r="BF254" s="204"/>
      <c r="BG254" s="204"/>
      <c r="BH254" s="204"/>
      <c r="BI254" s="204"/>
      <c r="BJ254" s="204"/>
      <c r="BK254" s="204"/>
      <c r="BL254" s="204"/>
      <c r="BM254" s="204"/>
      <c r="BN254" s="204"/>
      <c r="BO254" s="204"/>
      <c r="BP254" s="204"/>
      <c r="BQ254" s="204"/>
      <c r="BR254" s="204"/>
      <c r="BS254" s="204"/>
      <c r="BT254" s="204"/>
      <c r="BU254" s="204" t="e">
        <f>BU253/BP253-1</f>
        <v>#DIV/0!</v>
      </c>
      <c r="BV254" s="204" t="e">
        <f t="shared" ref="BV254" si="1030">BV253/BQ253-1</f>
        <v>#DIV/0!</v>
      </c>
      <c r="BW254" s="204" t="e">
        <f t="shared" ref="BW254" si="1031">BW253/BR253-1</f>
        <v>#DIV/0!</v>
      </c>
      <c r="BX254" s="204" t="e">
        <f t="shared" ref="BX254" si="1032">BX253/BS253-1</f>
        <v>#DIV/0!</v>
      </c>
      <c r="BY254" s="204">
        <f>BY253/BT253-1</f>
        <v>6.9213189683317022E-2</v>
      </c>
      <c r="BZ254" s="204">
        <f t="shared" ref="BZ254" si="1033">BZ253/BU253-1</f>
        <v>0.10063694267515921</v>
      </c>
      <c r="CA254" s="204">
        <f t="shared" ref="CA254" si="1034">CA253/BV253-1</f>
        <v>7.5308641975308621E-2</v>
      </c>
      <c r="CB254" s="204">
        <f t="shared" ref="CB254" si="1035">CB253/BW253-1</f>
        <v>6.2650602409638489E-2</v>
      </c>
      <c r="CC254" s="204">
        <f t="shared" ref="CC254:CP254" si="1036">CC253/BX253-1</f>
        <v>6.23529411764705E-2</v>
      </c>
      <c r="CD254" s="204">
        <f>CD253/BY253-1</f>
        <v>7.4809160305343569E-2</v>
      </c>
      <c r="CE254" s="204">
        <f t="shared" si="1036"/>
        <v>5.439814814814814E-2</v>
      </c>
      <c r="CF254" s="204">
        <f t="shared" si="1036"/>
        <v>5.1664753157290466E-2</v>
      </c>
      <c r="CG254" s="204">
        <f t="shared" si="1036"/>
        <v>4.8752834467120199E-2</v>
      </c>
      <c r="CH254" s="204">
        <f t="shared" si="1036"/>
        <v>4.9833887043189362E-2</v>
      </c>
      <c r="CI254" s="204">
        <f>CI253/CD253-1</f>
        <v>5.1136363636363535E-2</v>
      </c>
      <c r="CJ254" s="204">
        <f t="shared" si="1036"/>
        <v>1.4270032930845167E-2</v>
      </c>
      <c r="CK254" s="204">
        <f t="shared" si="1036"/>
        <v>1.8558951965065518E-2</v>
      </c>
      <c r="CL254" s="204">
        <f t="shared" si="1036"/>
        <v>2.9189189189189113E-2</v>
      </c>
      <c r="CM254" s="204">
        <f t="shared" si="1036"/>
        <v>2.9535864978903037E-2</v>
      </c>
      <c r="CN254" s="204">
        <f>CN253/CI253-1</f>
        <v>2.2972972972973071E-2</v>
      </c>
      <c r="CO254" s="204">
        <f t="shared" si="1036"/>
        <v>4.2207792207792139E-2</v>
      </c>
      <c r="CP254" s="204">
        <f t="shared" si="1036"/>
        <v>4.1800643086816747E-2</v>
      </c>
      <c r="CQ254" s="204">
        <f>CQ253/CN253-1</f>
        <v>3.0700985501203037E-2</v>
      </c>
      <c r="CR254" s="204">
        <f t="shared" ref="CR254" si="1037">CR253/CQ253-1</f>
        <v>1.5925897074634765E-2</v>
      </c>
      <c r="CS254" s="204">
        <f t="shared" ref="CS254" si="1038">CS253/CR253-1</f>
        <v>2.3295193126152025E-2</v>
      </c>
      <c r="CT254" s="204">
        <f t="shared" ref="CT254" si="1039">CT253/CS253-1</f>
        <v>2.2569810884425889E-2</v>
      </c>
      <c r="CU254" s="204">
        <f t="shared" ref="CU254" si="1040">CU253/CT253-1</f>
        <v>2.1920261526203078E-2</v>
      </c>
      <c r="CV254" s="204">
        <f t="shared" ref="CV254" si="1041">CV253/CU253-1</f>
        <v>2.1337529971448665E-2</v>
      </c>
      <c r="CW254" s="204">
        <f t="shared" ref="CW254" si="1042">CW253/CV253-1</f>
        <v>2.081381134025162E-2</v>
      </c>
      <c r="DG254" s="185"/>
      <c r="DH254" s="185"/>
    </row>
    <row r="255" spans="1:112" s="169" customFormat="1">
      <c r="A255" s="226"/>
      <c r="B255" s="252"/>
      <c r="C255" s="252"/>
      <c r="D255" s="252"/>
      <c r="E255" s="252"/>
      <c r="F255" s="252"/>
      <c r="G255" s="252"/>
      <c r="H255" s="252"/>
      <c r="I255" s="252"/>
      <c r="J255" s="252"/>
      <c r="K255" s="252"/>
      <c r="L255" s="252"/>
      <c r="M255" s="252"/>
      <c r="N255" s="252"/>
      <c r="O255" s="252"/>
      <c r="P255" s="252"/>
      <c r="Q255" s="252"/>
      <c r="R255" s="252"/>
      <c r="S255" s="252"/>
      <c r="T255" s="252"/>
      <c r="U255" s="252"/>
      <c r="V255" s="252"/>
      <c r="W255" s="252"/>
      <c r="X255" s="252"/>
      <c r="Y255" s="252"/>
      <c r="Z255" s="252"/>
      <c r="AA255" s="252"/>
      <c r="AB255" s="252"/>
      <c r="AC255" s="252"/>
      <c r="AD255" s="252"/>
      <c r="AE255" s="252"/>
      <c r="AF255" s="252"/>
      <c r="AG255" s="252"/>
      <c r="AH255" s="252"/>
      <c r="AI255" s="252"/>
      <c r="AJ255" s="252"/>
      <c r="AK255" s="252"/>
      <c r="AL255" s="252"/>
      <c r="AM255" s="252"/>
      <c r="AN255" s="252"/>
      <c r="AO255" s="252"/>
      <c r="AP255" s="252"/>
      <c r="AQ255" s="252"/>
      <c r="AR255" s="252"/>
      <c r="AS255" s="252"/>
      <c r="AT255" s="252"/>
      <c r="AU255" s="252"/>
      <c r="AV255" s="252"/>
      <c r="AW255" s="252"/>
      <c r="AX255" s="252"/>
      <c r="AY255" s="252"/>
      <c r="AZ255" s="252"/>
      <c r="BA255" s="252"/>
      <c r="BB255" s="252"/>
      <c r="BC255" s="252"/>
      <c r="BD255" s="252"/>
      <c r="BE255" s="252"/>
      <c r="BF255" s="252"/>
      <c r="BG255" s="252"/>
      <c r="BH255" s="252"/>
      <c r="BI255" s="252"/>
      <c r="BJ255" s="252"/>
      <c r="BK255" s="252"/>
      <c r="BL255" s="252"/>
      <c r="BM255" s="252"/>
      <c r="BN255" s="252"/>
      <c r="BO255" s="252"/>
      <c r="BP255" s="252"/>
      <c r="BQ255" s="252"/>
      <c r="BR255" s="252"/>
      <c r="BS255" s="252"/>
      <c r="BT255" s="252"/>
      <c r="BU255" s="252"/>
      <c r="BV255" s="252"/>
      <c r="BW255" s="252"/>
      <c r="BX255" s="252"/>
      <c r="BY255" s="252"/>
      <c r="BZ255" s="281"/>
      <c r="CA255" s="281"/>
      <c r="CB255" s="281"/>
      <c r="CC255" s="281"/>
      <c r="CD255" s="252"/>
      <c r="CE255" s="281"/>
      <c r="CF255" s="281"/>
      <c r="CG255" s="281"/>
      <c r="CH255" s="281"/>
      <c r="CI255" s="252"/>
      <c r="CJ255" s="281"/>
      <c r="CK255" s="281"/>
      <c r="CL255" s="281"/>
      <c r="CM255" s="281"/>
      <c r="CN255" s="252"/>
      <c r="CO255" s="281"/>
      <c r="CP255" s="281"/>
      <c r="CQ255" s="297"/>
      <c r="CR255" s="297"/>
      <c r="CS255" s="297"/>
      <c r="CT255" s="297"/>
      <c r="CU255" s="297"/>
      <c r="CV255" s="297"/>
      <c r="CW255" s="297"/>
    </row>
    <row r="256" spans="1:112" s="169" customFormat="1">
      <c r="A256" s="235" t="s">
        <v>671</v>
      </c>
      <c r="B256" s="720"/>
      <c r="C256" s="720"/>
      <c r="D256" s="720"/>
      <c r="E256" s="720"/>
      <c r="F256" s="720"/>
      <c r="G256" s="720"/>
      <c r="H256" s="720"/>
      <c r="I256" s="720"/>
      <c r="J256" s="720"/>
      <c r="K256" s="720"/>
      <c r="L256" s="720"/>
      <c r="M256" s="720"/>
      <c r="N256" s="720"/>
      <c r="O256" s="720"/>
      <c r="P256" s="720"/>
      <c r="Q256" s="720"/>
      <c r="R256" s="720"/>
      <c r="S256" s="720"/>
      <c r="T256" s="720"/>
      <c r="U256" s="720"/>
      <c r="V256" s="720"/>
      <c r="W256" s="720"/>
      <c r="X256" s="720"/>
      <c r="Y256" s="720"/>
      <c r="Z256" s="720"/>
      <c r="AA256" s="720"/>
      <c r="AB256" s="720"/>
      <c r="AC256" s="720"/>
      <c r="AD256" s="720"/>
      <c r="AE256" s="720"/>
      <c r="AF256" s="720"/>
      <c r="AG256" s="720"/>
      <c r="AH256" s="720"/>
      <c r="AI256" s="720"/>
      <c r="AJ256" s="720"/>
      <c r="AK256" s="720"/>
      <c r="AL256" s="720"/>
      <c r="AM256" s="720"/>
      <c r="AN256" s="720"/>
      <c r="AO256" s="720"/>
      <c r="AP256" s="720"/>
      <c r="AQ256" s="720"/>
      <c r="AR256" s="720"/>
      <c r="AS256" s="720"/>
      <c r="AT256" s="720"/>
      <c r="AU256" s="720"/>
      <c r="AV256" s="720"/>
      <c r="AW256" s="720"/>
      <c r="AX256" s="720"/>
      <c r="AY256" s="720"/>
      <c r="AZ256" s="720"/>
      <c r="BA256" s="720"/>
      <c r="BB256" s="720"/>
      <c r="BC256" s="720"/>
      <c r="BD256" s="720"/>
      <c r="BE256" s="720"/>
      <c r="BF256" s="720"/>
      <c r="BG256" s="720"/>
      <c r="BH256" s="720"/>
      <c r="BI256" s="720"/>
      <c r="BJ256" s="720"/>
      <c r="BK256" s="720"/>
      <c r="BL256" s="720"/>
      <c r="BM256" s="720"/>
      <c r="BN256" s="720"/>
      <c r="BO256" s="720"/>
      <c r="BP256" s="720"/>
      <c r="BQ256" s="720"/>
      <c r="BR256" s="720"/>
      <c r="BS256" s="720"/>
      <c r="BT256" s="706">
        <f>BT238+BT243</f>
        <v>6367.1189999999997</v>
      </c>
      <c r="BU256" s="706">
        <f t="shared" ref="BU256:BX256" si="1043">BU238+BU243</f>
        <v>1588.3033500000001</v>
      </c>
      <c r="BV256" s="706">
        <f t="shared" si="1043"/>
        <v>1643.2134000000001</v>
      </c>
      <c r="BW256" s="706">
        <f t="shared" si="1043"/>
        <v>1651.0671</v>
      </c>
      <c r="BX256" s="706">
        <f t="shared" si="1043"/>
        <v>1680.91065</v>
      </c>
      <c r="BY256" s="706">
        <f t="shared" ref="BY256:CD256" si="1044">BY238+BY243</f>
        <v>6581.0933999999997</v>
      </c>
      <c r="BZ256" s="706">
        <f t="shared" si="1044"/>
        <v>1644.4541999999999</v>
      </c>
      <c r="CA256" s="706">
        <f t="shared" si="1044"/>
        <v>1654.5581999999999</v>
      </c>
      <c r="CB256" s="706">
        <f t="shared" si="1044"/>
        <v>1667.0704499999999</v>
      </c>
      <c r="CC256" s="706">
        <f t="shared" si="1044"/>
        <v>1674.7892999999999</v>
      </c>
      <c r="CD256" s="706">
        <f t="shared" si="1044"/>
        <v>6720.5470499999992</v>
      </c>
      <c r="CE256" s="706">
        <f t="shared" ref="CE256:CF256" si="1045">CE238+CE243</f>
        <v>1645.1048999999998</v>
      </c>
      <c r="CF256" s="706">
        <f t="shared" si="1045"/>
        <v>1658.7346499999999</v>
      </c>
      <c r="CG256" s="706">
        <f t="shared" ref="CG256:CJ256" si="1046">CG238+CG243</f>
        <v>1667.7113999999999</v>
      </c>
      <c r="CH256" s="706">
        <f t="shared" si="1046"/>
        <v>1711.3714499999999</v>
      </c>
      <c r="CI256" s="706">
        <f t="shared" si="1046"/>
        <v>6753.6070499999987</v>
      </c>
      <c r="CJ256" s="706">
        <f t="shared" si="1046"/>
        <v>1650.08565</v>
      </c>
      <c r="CK256" s="706">
        <f t="shared" ref="CK256:CL256" si="1047">CK238+CK243</f>
        <v>1681.7556</v>
      </c>
      <c r="CL256" s="706">
        <f t="shared" si="1047"/>
        <v>1691.3879999999999</v>
      </c>
      <c r="CM256" s="706">
        <f t="shared" ref="CM256:CP256" si="1048">CM238+CM243</f>
        <v>1723.8273000000004</v>
      </c>
      <c r="CN256" s="706">
        <f t="shared" si="1048"/>
        <v>6740.0446499999989</v>
      </c>
      <c r="CO256" s="706">
        <f t="shared" si="1048"/>
        <v>1695.1144499999998</v>
      </c>
      <c r="CP256" s="706">
        <f t="shared" si="1048"/>
        <v>1715.6187000000004</v>
      </c>
      <c r="CQ256" s="706">
        <f t="shared" ref="CQ256:CS256" si="1049">CQ238+CQ243</f>
        <v>6897.5287761425006</v>
      </c>
      <c r="CR256" s="706">
        <f t="shared" si="1049"/>
        <v>6977.2970667799709</v>
      </c>
      <c r="CS256" s="706">
        <f t="shared" si="1049"/>
        <v>7097.170834442637</v>
      </c>
      <c r="CT256" s="706">
        <f t="shared" ref="CT256:CV256" si="1050">CT238+CT243</f>
        <v>7214.5062754362461</v>
      </c>
      <c r="CU256" s="706">
        <f t="shared" si="1050"/>
        <v>7329.6448128173433</v>
      </c>
      <c r="CV256" s="706">
        <f t="shared" si="1050"/>
        <v>7442.8982238388007</v>
      </c>
      <c r="CW256" s="706">
        <f t="shared" ref="CW256" si="1051">CW238+CW243</f>
        <v>7554.5513676242444</v>
      </c>
    </row>
    <row r="257" spans="1:112" s="169" customFormat="1">
      <c r="A257" s="226" t="s">
        <v>639</v>
      </c>
      <c r="B257" s="720"/>
      <c r="C257" s="720"/>
      <c r="D257" s="720"/>
      <c r="E257" s="720"/>
      <c r="F257" s="720"/>
      <c r="G257" s="720"/>
      <c r="H257" s="720"/>
      <c r="I257" s="720"/>
      <c r="J257" s="720"/>
      <c r="K257" s="720"/>
      <c r="L257" s="720"/>
      <c r="M257" s="720"/>
      <c r="N257" s="720"/>
      <c r="O257" s="720"/>
      <c r="P257" s="720"/>
      <c r="Q257" s="720"/>
      <c r="R257" s="720"/>
      <c r="S257" s="720"/>
      <c r="T257" s="720"/>
      <c r="U257" s="720"/>
      <c r="V257" s="720"/>
      <c r="W257" s="720"/>
      <c r="X257" s="720"/>
      <c r="Y257" s="720"/>
      <c r="Z257" s="720"/>
      <c r="AA257" s="720"/>
      <c r="AB257" s="720"/>
      <c r="AC257" s="720"/>
      <c r="AD257" s="720"/>
      <c r="AE257" s="720"/>
      <c r="AF257" s="720"/>
      <c r="AG257" s="720"/>
      <c r="AH257" s="720"/>
      <c r="AI257" s="720"/>
      <c r="AJ257" s="720"/>
      <c r="AK257" s="720"/>
      <c r="AL257" s="720"/>
      <c r="AM257" s="720"/>
      <c r="AN257" s="720"/>
      <c r="AO257" s="720"/>
      <c r="AP257" s="720"/>
      <c r="AQ257" s="720"/>
      <c r="AR257" s="720"/>
      <c r="AS257" s="720"/>
      <c r="AT257" s="720"/>
      <c r="AU257" s="720"/>
      <c r="AV257" s="720"/>
      <c r="AW257" s="720"/>
      <c r="AX257" s="720"/>
      <c r="AY257" s="720"/>
      <c r="AZ257" s="720"/>
      <c r="BA257" s="720"/>
      <c r="BB257" s="720"/>
      <c r="BC257" s="720"/>
      <c r="BD257" s="720"/>
      <c r="BE257" s="720"/>
      <c r="BF257" s="720"/>
      <c r="BG257" s="720"/>
      <c r="BH257" s="720"/>
      <c r="BI257" s="720"/>
      <c r="BJ257" s="720"/>
      <c r="BK257" s="720"/>
      <c r="BL257" s="720"/>
      <c r="BM257" s="720"/>
      <c r="BN257" s="720"/>
      <c r="BO257" s="720"/>
      <c r="BP257" s="720"/>
      <c r="BQ257" s="720"/>
      <c r="BR257" s="720"/>
      <c r="BS257" s="720"/>
      <c r="BT257" s="720">
        <f>BT258-BT256</f>
        <v>-589.11899999999969</v>
      </c>
      <c r="BU257" s="720">
        <f t="shared" ref="BU257:BX257" si="1052">BU258-BU256</f>
        <v>-146.30335000000014</v>
      </c>
      <c r="BV257" s="720">
        <f t="shared" si="1052"/>
        <v>-154.21340000000009</v>
      </c>
      <c r="BW257" s="720">
        <f t="shared" si="1052"/>
        <v>-145.06709999999998</v>
      </c>
      <c r="BX257" s="720">
        <f t="shared" si="1052"/>
        <v>-149.91065000000003</v>
      </c>
      <c r="BY257" s="720">
        <f t="shared" ref="BY257:CD257" si="1053">BY258-BY256</f>
        <v>-613.09339999999975</v>
      </c>
      <c r="BZ257" s="720">
        <f t="shared" si="1053"/>
        <v>-119.4541999999999</v>
      </c>
      <c r="CA257" s="720">
        <f t="shared" si="1053"/>
        <v>-132.55819999999994</v>
      </c>
      <c r="CB257" s="720">
        <f t="shared" si="1053"/>
        <v>-133.07044999999994</v>
      </c>
      <c r="CC257" s="720">
        <f t="shared" si="1053"/>
        <v>-116.78929999999991</v>
      </c>
      <c r="CD257" s="720">
        <f t="shared" si="1053"/>
        <v>-581.54704999999922</v>
      </c>
      <c r="CE257" s="720">
        <f t="shared" ref="CE257:CF257" si="1054">CE258-CE256</f>
        <v>-85.104899999999816</v>
      </c>
      <c r="CF257" s="720">
        <f t="shared" si="1054"/>
        <v>-94.734649999999874</v>
      </c>
      <c r="CG257" s="720">
        <f t="shared" ref="CG257:CJ257" si="1055">CG258-CG256</f>
        <v>-101.71139999999991</v>
      </c>
      <c r="CH257" s="720">
        <f t="shared" si="1055"/>
        <v>-136.37144999999987</v>
      </c>
      <c r="CI257" s="720">
        <f t="shared" si="1055"/>
        <v>-488.60704999999871</v>
      </c>
      <c r="CJ257" s="720">
        <f t="shared" si="1055"/>
        <v>-131.08564999999999</v>
      </c>
      <c r="CK257" s="720">
        <f t="shared" ref="CK257:CL257" si="1056">CK258-CK256</f>
        <v>-138.75559999999996</v>
      </c>
      <c r="CL257" s="720">
        <f t="shared" si="1056"/>
        <v>-123.38799999999992</v>
      </c>
      <c r="CM257" s="720">
        <f t="shared" ref="CM257:CP257" si="1057">CM258-CM256</f>
        <v>-123.82730000000038</v>
      </c>
      <c r="CN257" s="720">
        <f t="shared" si="1057"/>
        <v>-510.04464999999891</v>
      </c>
      <c r="CO257" s="720">
        <f t="shared" si="1057"/>
        <v>-123.11444999999981</v>
      </c>
      <c r="CP257" s="720">
        <f t="shared" si="1057"/>
        <v>-131.61870000000044</v>
      </c>
      <c r="CQ257" s="705">
        <f t="shared" ref="CQ257:CW257" si="1058">CQ247+CQ252</f>
        <v>-526.21004934023608</v>
      </c>
      <c r="CR257" s="705">
        <f t="shared" si="1058"/>
        <v>-534.89859293860479</v>
      </c>
      <c r="CS257" s="705">
        <f t="shared" si="1058"/>
        <v>-547.79624337767007</v>
      </c>
      <c r="CT257" s="705">
        <f t="shared" si="1058"/>
        <v>-560.59885660879377</v>
      </c>
      <c r="CU257" s="705">
        <f t="shared" si="1058"/>
        <v>-573.32791434224418</v>
      </c>
      <c r="CV257" s="705">
        <f t="shared" si="1058"/>
        <v>-586.00331160053486</v>
      </c>
      <c r="CW257" s="705">
        <f t="shared" si="1058"/>
        <v>-598.64348708233592</v>
      </c>
    </row>
    <row r="258" spans="1:112" s="382" customFormat="1" ht="13.5" thickBot="1">
      <c r="A258" s="435" t="s">
        <v>672</v>
      </c>
      <c r="B258" s="871"/>
      <c r="C258" s="871"/>
      <c r="D258" s="871"/>
      <c r="E258" s="871"/>
      <c r="F258" s="871"/>
      <c r="G258" s="871"/>
      <c r="H258" s="871"/>
      <c r="I258" s="871"/>
      <c r="J258" s="871"/>
      <c r="K258" s="871"/>
      <c r="L258" s="871"/>
      <c r="M258" s="871"/>
      <c r="N258" s="871"/>
      <c r="O258" s="871"/>
      <c r="P258" s="871"/>
      <c r="Q258" s="871"/>
      <c r="R258" s="871"/>
      <c r="S258" s="871"/>
      <c r="T258" s="871"/>
      <c r="U258" s="871"/>
      <c r="V258" s="871"/>
      <c r="W258" s="871"/>
      <c r="X258" s="871"/>
      <c r="Y258" s="871"/>
      <c r="Z258" s="871"/>
      <c r="AA258" s="871"/>
      <c r="AB258" s="871"/>
      <c r="AC258" s="871"/>
      <c r="AD258" s="871"/>
      <c r="AE258" s="871"/>
      <c r="AF258" s="871"/>
      <c r="AG258" s="871"/>
      <c r="AH258" s="871"/>
      <c r="AI258" s="871"/>
      <c r="AJ258" s="871"/>
      <c r="AK258" s="871"/>
      <c r="AL258" s="871"/>
      <c r="AM258" s="871"/>
      <c r="AN258" s="871"/>
      <c r="AO258" s="871"/>
      <c r="AP258" s="871"/>
      <c r="AQ258" s="871"/>
      <c r="AR258" s="871"/>
      <c r="AS258" s="871"/>
      <c r="AT258" s="871"/>
      <c r="AU258" s="871"/>
      <c r="AV258" s="871"/>
      <c r="AW258" s="871"/>
      <c r="AX258" s="871"/>
      <c r="AY258" s="871"/>
      <c r="AZ258" s="871"/>
      <c r="BA258" s="871"/>
      <c r="BB258" s="871"/>
      <c r="BC258" s="871"/>
      <c r="BD258" s="871"/>
      <c r="BE258" s="871"/>
      <c r="BF258" s="871"/>
      <c r="BG258" s="871"/>
      <c r="BH258" s="871"/>
      <c r="BI258" s="871"/>
      <c r="BJ258" s="871"/>
      <c r="BK258" s="871"/>
      <c r="BL258" s="871"/>
      <c r="BM258" s="871"/>
      <c r="BN258" s="871"/>
      <c r="BO258" s="871"/>
      <c r="BP258" s="871"/>
      <c r="BQ258" s="871"/>
      <c r="BR258" s="871"/>
      <c r="BS258" s="871"/>
      <c r="BT258" s="871">
        <f>BT408+BT409</f>
        <v>5778</v>
      </c>
      <c r="BU258" s="871">
        <f>BU408+BU409</f>
        <v>1442</v>
      </c>
      <c r="BV258" s="871">
        <f t="shared" ref="BV258:BX258" si="1059">BV408+BV409</f>
        <v>1489</v>
      </c>
      <c r="BW258" s="871">
        <f t="shared" si="1059"/>
        <v>1506</v>
      </c>
      <c r="BX258" s="871">
        <f t="shared" si="1059"/>
        <v>1531</v>
      </c>
      <c r="BY258" s="871">
        <f t="shared" ref="BY258:CD258" si="1060">BY408+BY409</f>
        <v>5968</v>
      </c>
      <c r="BZ258" s="871">
        <f t="shared" si="1060"/>
        <v>1525</v>
      </c>
      <c r="CA258" s="871">
        <f t="shared" si="1060"/>
        <v>1522</v>
      </c>
      <c r="CB258" s="871">
        <f t="shared" si="1060"/>
        <v>1534</v>
      </c>
      <c r="CC258" s="871">
        <f t="shared" si="1060"/>
        <v>1558</v>
      </c>
      <c r="CD258" s="871">
        <f t="shared" si="1060"/>
        <v>6139</v>
      </c>
      <c r="CE258" s="871">
        <f t="shared" ref="CE258:CF258" si="1061">CE408+CE409</f>
        <v>1560</v>
      </c>
      <c r="CF258" s="871">
        <f t="shared" si="1061"/>
        <v>1564</v>
      </c>
      <c r="CG258" s="871">
        <f t="shared" ref="CG258:CJ258" si="1062">CG408+CG409</f>
        <v>1566</v>
      </c>
      <c r="CH258" s="871">
        <f t="shared" si="1062"/>
        <v>1575</v>
      </c>
      <c r="CI258" s="871">
        <f t="shared" si="1062"/>
        <v>6265</v>
      </c>
      <c r="CJ258" s="871">
        <f t="shared" si="1062"/>
        <v>1519</v>
      </c>
      <c r="CK258" s="871">
        <f t="shared" ref="CK258:CL258" si="1063">CK408+CK409</f>
        <v>1543</v>
      </c>
      <c r="CL258" s="871">
        <f t="shared" si="1063"/>
        <v>1568</v>
      </c>
      <c r="CM258" s="871">
        <f t="shared" ref="CM258:CP258" si="1064">CM408+CM409</f>
        <v>1600</v>
      </c>
      <c r="CN258" s="871">
        <f t="shared" si="1064"/>
        <v>6230</v>
      </c>
      <c r="CO258" s="871">
        <f t="shared" si="1064"/>
        <v>1572</v>
      </c>
      <c r="CP258" s="871">
        <f t="shared" si="1064"/>
        <v>1584</v>
      </c>
      <c r="CQ258" s="871">
        <f t="shared" ref="CQ258:CS258" si="1065">SUM(CQ256:CQ257)</f>
        <v>6371.3187268022648</v>
      </c>
      <c r="CR258" s="871">
        <f t="shared" si="1065"/>
        <v>6442.3984738413665</v>
      </c>
      <c r="CS258" s="871">
        <f t="shared" si="1065"/>
        <v>6549.3745910649668</v>
      </c>
      <c r="CT258" s="871">
        <f t="shared" ref="CT258" si="1066">SUM(CT256:CT257)</f>
        <v>6653.9074188274526</v>
      </c>
      <c r="CU258" s="871">
        <f t="shared" ref="CU258" si="1067">SUM(CU256:CU257)</f>
        <v>6756.3168984750992</v>
      </c>
      <c r="CV258" s="871">
        <f t="shared" ref="CV258:CW258" si="1068">SUM(CV256:CV257)</f>
        <v>6856.8949122382655</v>
      </c>
      <c r="CW258" s="871">
        <f t="shared" si="1068"/>
        <v>6955.9078805419085</v>
      </c>
    </row>
    <row r="259" spans="1:112" ht="13.5" thickTop="1">
      <c r="A259" s="226" t="s">
        <v>0</v>
      </c>
      <c r="B259" s="204"/>
      <c r="C259" s="204"/>
      <c r="D259" s="204"/>
      <c r="E259" s="204"/>
      <c r="F259" s="204"/>
      <c r="G259" s="204"/>
      <c r="H259" s="204"/>
      <c r="I259" s="204"/>
      <c r="J259" s="204"/>
      <c r="K259" s="204"/>
      <c r="L259" s="204"/>
      <c r="M259" s="204"/>
      <c r="N259" s="204"/>
      <c r="O259" s="204"/>
      <c r="P259" s="204"/>
      <c r="Q259" s="204"/>
      <c r="R259" s="204"/>
      <c r="S259" s="204"/>
      <c r="T259" s="204"/>
      <c r="U259" s="204"/>
      <c r="V259" s="204"/>
      <c r="W259" s="204"/>
      <c r="X259" s="204"/>
      <c r="Y259" s="204"/>
      <c r="Z259" s="204"/>
      <c r="AA259" s="204"/>
      <c r="AB259" s="204"/>
      <c r="AC259" s="204"/>
      <c r="AD259" s="204"/>
      <c r="AE259" s="204"/>
      <c r="AF259" s="204"/>
      <c r="AG259" s="204"/>
      <c r="AH259" s="204"/>
      <c r="AI259" s="204"/>
      <c r="AJ259" s="204"/>
      <c r="AK259" s="204"/>
      <c r="AL259" s="204"/>
      <c r="AM259" s="204"/>
      <c r="AN259" s="204"/>
      <c r="AO259" s="204"/>
      <c r="AP259" s="204"/>
      <c r="AQ259" s="204"/>
      <c r="AR259" s="204"/>
      <c r="AS259" s="204"/>
      <c r="AT259" s="204"/>
      <c r="AU259" s="204"/>
      <c r="AV259" s="204"/>
      <c r="AW259" s="204"/>
      <c r="AX259" s="204"/>
      <c r="AY259" s="204"/>
      <c r="AZ259" s="204"/>
      <c r="BA259" s="204"/>
      <c r="BB259" s="204"/>
      <c r="BC259" s="204"/>
      <c r="BD259" s="204"/>
      <c r="BE259" s="204"/>
      <c r="BF259" s="204"/>
      <c r="BG259" s="204"/>
      <c r="BH259" s="204"/>
      <c r="BI259" s="204"/>
      <c r="BJ259" s="204"/>
      <c r="BK259" s="204"/>
      <c r="BL259" s="204"/>
      <c r="BM259" s="204"/>
      <c r="BN259" s="204"/>
      <c r="BO259" s="204"/>
      <c r="BP259" s="204"/>
      <c r="BQ259" s="204"/>
      <c r="BR259" s="204"/>
      <c r="BS259" s="204"/>
      <c r="BT259" s="204"/>
      <c r="BU259" s="204" t="e">
        <f>BU258/BP258-1</f>
        <v>#DIV/0!</v>
      </c>
      <c r="BV259" s="204" t="e">
        <f t="shared" ref="BV259:CP259" si="1069">BV258/BQ258-1</f>
        <v>#DIV/0!</v>
      </c>
      <c r="BW259" s="204" t="e">
        <f t="shared" si="1069"/>
        <v>#DIV/0!</v>
      </c>
      <c r="BX259" s="204" t="e">
        <f t="shared" si="1069"/>
        <v>#DIV/0!</v>
      </c>
      <c r="BY259" s="204">
        <f>BY258/BT258-1</f>
        <v>3.2883350640360076E-2</v>
      </c>
      <c r="BZ259" s="204">
        <f t="shared" si="1069"/>
        <v>5.7558945908460446E-2</v>
      </c>
      <c r="CA259" s="204">
        <f t="shared" si="1069"/>
        <v>2.2162525184687754E-2</v>
      </c>
      <c r="CB259" s="204">
        <f t="shared" si="1069"/>
        <v>1.8592297476759612E-2</v>
      </c>
      <c r="CC259" s="204">
        <f t="shared" si="1069"/>
        <v>1.7635532331809367E-2</v>
      </c>
      <c r="CD259" s="204">
        <f>CD258/BY258-1</f>
        <v>2.8652815013404886E-2</v>
      </c>
      <c r="CE259" s="204">
        <f t="shared" si="1069"/>
        <v>2.2950819672131084E-2</v>
      </c>
      <c r="CF259" s="204">
        <f t="shared" si="1069"/>
        <v>2.7595269382391541E-2</v>
      </c>
      <c r="CG259" s="204">
        <f t="shared" si="1069"/>
        <v>2.0860495436766602E-2</v>
      </c>
      <c r="CH259" s="204">
        <f t="shared" si="1069"/>
        <v>1.0911424903722766E-2</v>
      </c>
      <c r="CI259" s="204">
        <f>CI258/CD258-1</f>
        <v>2.0524515393386622E-2</v>
      </c>
      <c r="CJ259" s="204">
        <f t="shared" si="1069"/>
        <v>-2.62820512820513E-2</v>
      </c>
      <c r="CK259" s="204">
        <f t="shared" si="1069"/>
        <v>-1.3427109974424534E-2</v>
      </c>
      <c r="CL259" s="204">
        <f t="shared" si="1069"/>
        <v>1.2771392081736277E-3</v>
      </c>
      <c r="CM259" s="204">
        <f t="shared" si="1069"/>
        <v>1.5873015873015817E-2</v>
      </c>
      <c r="CN259" s="204">
        <f>CN258/CI258-1</f>
        <v>-5.5865921787709993E-3</v>
      </c>
      <c r="CO259" s="204">
        <f t="shared" si="1069"/>
        <v>3.489137590520075E-2</v>
      </c>
      <c r="CP259" s="204">
        <f t="shared" si="1069"/>
        <v>2.657161373946848E-2</v>
      </c>
      <c r="CQ259" s="204">
        <f>CQ258/CN258-1</f>
        <v>2.2683583756382797E-2</v>
      </c>
      <c r="CR259" s="204">
        <f t="shared" ref="CR259" si="1070">CR258/CQ258-1</f>
        <v>1.115620644437243E-2</v>
      </c>
      <c r="CS259" s="204">
        <f t="shared" ref="CS259" si="1071">CS258/CR258-1</f>
        <v>1.6605014057724743E-2</v>
      </c>
      <c r="CT259" s="204">
        <f t="shared" ref="CT259" si="1072">CT258/CS258-1</f>
        <v>1.5960734312722824E-2</v>
      </c>
      <c r="CU259" s="204">
        <f t="shared" ref="CU259" si="1073">CU258/CT258-1</f>
        <v>1.5390878351850157E-2</v>
      </c>
      <c r="CV259" s="204">
        <f t="shared" ref="CV259:CW259" si="1074">CV258/CU258-1</f>
        <v>1.4886515134579836E-2</v>
      </c>
      <c r="CW259" s="204">
        <f t="shared" si="1074"/>
        <v>1.4439913338459398E-2</v>
      </c>
      <c r="CX259" s="159"/>
      <c r="CY259" s="159"/>
      <c r="CZ259" s="159"/>
      <c r="DA259" s="159"/>
      <c r="DB259" s="159"/>
      <c r="DC259" s="169"/>
      <c r="DD259" s="169"/>
      <c r="DE259" s="169"/>
      <c r="DF259" s="169"/>
      <c r="DG259" s="169"/>
      <c r="DH259" s="169"/>
    </row>
    <row r="260" spans="1:112">
      <c r="A260" s="235"/>
      <c r="B260" s="204"/>
      <c r="C260" s="204"/>
      <c r="D260" s="204"/>
      <c r="E260" s="204"/>
      <c r="F260" s="204"/>
      <c r="G260" s="204"/>
      <c r="H260" s="204"/>
      <c r="I260" s="204"/>
      <c r="J260" s="204"/>
      <c r="K260" s="204"/>
      <c r="L260" s="204"/>
      <c r="M260" s="204"/>
      <c r="N260" s="204"/>
      <c r="O260" s="204"/>
      <c r="P260" s="204"/>
      <c r="Q260" s="204"/>
      <c r="R260" s="204"/>
      <c r="S260" s="204"/>
      <c r="T260" s="204"/>
      <c r="U260" s="204"/>
      <c r="V260" s="204"/>
      <c r="W260" s="204"/>
      <c r="X260" s="204"/>
      <c r="Y260" s="204"/>
      <c r="Z260" s="204"/>
      <c r="AA260" s="204"/>
      <c r="AB260" s="204"/>
      <c r="AC260" s="204"/>
      <c r="AD260" s="204"/>
      <c r="AE260" s="204"/>
      <c r="AF260" s="204"/>
      <c r="AG260" s="204"/>
      <c r="AH260" s="204"/>
      <c r="AI260" s="204"/>
      <c r="AJ260" s="204"/>
      <c r="AK260" s="204"/>
      <c r="AL260" s="204"/>
      <c r="AM260" s="204"/>
      <c r="AN260" s="204"/>
      <c r="AO260" s="204"/>
      <c r="AP260" s="204"/>
      <c r="AQ260" s="204"/>
      <c r="AR260" s="204"/>
      <c r="AS260" s="204"/>
      <c r="AT260" s="204"/>
      <c r="AU260" s="204"/>
      <c r="AV260" s="204"/>
      <c r="AW260" s="204"/>
      <c r="AX260" s="204"/>
      <c r="AY260" s="204"/>
      <c r="AZ260" s="204"/>
      <c r="BA260" s="204"/>
      <c r="BB260" s="204"/>
      <c r="BC260" s="204"/>
      <c r="BD260" s="204"/>
      <c r="BE260" s="204"/>
      <c r="BF260" s="204"/>
      <c r="BG260" s="204"/>
      <c r="BH260" s="204"/>
      <c r="BI260" s="204"/>
      <c r="BJ260" s="204"/>
      <c r="BK260" s="204"/>
      <c r="BL260" s="204"/>
      <c r="BM260" s="204"/>
      <c r="BN260" s="204"/>
      <c r="BO260" s="204"/>
      <c r="BP260" s="204"/>
      <c r="BQ260" s="204"/>
      <c r="BR260" s="204"/>
      <c r="BS260" s="204"/>
      <c r="BT260" s="204"/>
      <c r="BU260" s="185"/>
      <c r="BV260" s="185"/>
      <c r="BW260" s="185"/>
      <c r="BX260" s="185"/>
      <c r="BY260" s="204"/>
      <c r="BZ260" s="185"/>
      <c r="CA260" s="185"/>
      <c r="CB260" s="185"/>
      <c r="CC260" s="185"/>
      <c r="CD260" s="204"/>
      <c r="CE260" s="185"/>
      <c r="CF260" s="185"/>
      <c r="CG260" s="185"/>
      <c r="CH260" s="185"/>
      <c r="CI260" s="204"/>
      <c r="CJ260" s="185"/>
      <c r="CK260" s="185"/>
      <c r="CL260" s="185"/>
      <c r="CM260" s="185"/>
      <c r="CN260" s="204"/>
      <c r="CO260" s="185"/>
      <c r="CP260" s="185"/>
      <c r="CQ260" s="204"/>
      <c r="CR260" s="204"/>
      <c r="CS260" s="204"/>
      <c r="CT260" s="204"/>
      <c r="CU260" s="204"/>
      <c r="CV260" s="204"/>
      <c r="CW260" s="204"/>
      <c r="CX260" s="159"/>
      <c r="CY260" s="159"/>
      <c r="CZ260" s="159"/>
      <c r="DA260" s="159"/>
      <c r="DB260" s="159"/>
      <c r="DC260" s="169"/>
      <c r="DD260" s="169"/>
      <c r="DE260" s="169"/>
      <c r="DF260" s="169"/>
      <c r="DG260" s="169"/>
      <c r="DH260" s="169"/>
    </row>
    <row r="261" spans="1:112">
      <c r="A261" s="235"/>
      <c r="B261" s="204"/>
      <c r="C261" s="204"/>
      <c r="D261" s="204"/>
      <c r="E261" s="204"/>
      <c r="F261" s="204"/>
      <c r="G261" s="204"/>
      <c r="H261" s="204"/>
      <c r="I261" s="204"/>
      <c r="J261" s="204"/>
      <c r="K261" s="204"/>
      <c r="L261" s="204"/>
      <c r="M261" s="204"/>
      <c r="N261" s="204"/>
      <c r="O261" s="204"/>
      <c r="P261" s="204"/>
      <c r="Q261" s="204"/>
      <c r="R261" s="204"/>
      <c r="S261" s="204"/>
      <c r="T261" s="204"/>
      <c r="U261" s="204"/>
      <c r="V261" s="204"/>
      <c r="W261" s="204"/>
      <c r="X261" s="204"/>
      <c r="Y261" s="204"/>
      <c r="Z261" s="204"/>
      <c r="AA261" s="204"/>
      <c r="AB261" s="204"/>
      <c r="AC261" s="204"/>
      <c r="AD261" s="204"/>
      <c r="AE261" s="204"/>
      <c r="AF261" s="204"/>
      <c r="AG261" s="204"/>
      <c r="AH261" s="204"/>
      <c r="AI261" s="204"/>
      <c r="AJ261" s="204"/>
      <c r="AK261" s="204"/>
      <c r="AL261" s="204"/>
      <c r="AM261" s="204"/>
      <c r="AN261" s="204"/>
      <c r="AO261" s="204"/>
      <c r="AP261" s="204"/>
      <c r="AQ261" s="204"/>
      <c r="AR261" s="204"/>
      <c r="AS261" s="204"/>
      <c r="AT261" s="204"/>
      <c r="AU261" s="204"/>
      <c r="AV261" s="204"/>
      <c r="AW261" s="204"/>
      <c r="AX261" s="204"/>
      <c r="AY261" s="204"/>
      <c r="AZ261" s="204"/>
      <c r="BA261" s="204"/>
      <c r="BB261" s="204"/>
      <c r="BC261" s="204"/>
      <c r="BD261" s="204"/>
      <c r="BE261" s="204"/>
      <c r="BF261" s="204"/>
      <c r="BG261" s="204"/>
      <c r="BH261" s="204"/>
      <c r="BI261" s="204"/>
      <c r="BJ261" s="204"/>
      <c r="BK261" s="204"/>
      <c r="BL261" s="204"/>
      <c r="BM261" s="204"/>
      <c r="BN261" s="204"/>
      <c r="BO261" s="204"/>
      <c r="BP261" s="204"/>
      <c r="BQ261" s="204"/>
      <c r="BR261" s="204"/>
      <c r="BS261" s="204"/>
      <c r="BT261" s="204"/>
      <c r="BU261" s="185"/>
      <c r="BV261" s="185"/>
      <c r="BW261" s="185"/>
      <c r="BX261" s="185"/>
      <c r="BY261" s="204"/>
      <c r="BZ261" s="185"/>
      <c r="CA261" s="185"/>
      <c r="CB261" s="185"/>
      <c r="CC261" s="185"/>
      <c r="CD261" s="204"/>
      <c r="CE261" s="185"/>
      <c r="CF261" s="185"/>
      <c r="CG261" s="185"/>
      <c r="CH261" s="185"/>
      <c r="CI261" s="204"/>
      <c r="CJ261" s="185"/>
      <c r="CK261" s="185"/>
      <c r="CL261" s="185"/>
      <c r="CM261" s="185"/>
      <c r="CN261" s="204"/>
      <c r="CO261" s="185"/>
      <c r="CP261" s="185"/>
      <c r="CQ261" s="204"/>
      <c r="CR261" s="204"/>
      <c r="CS261" s="204"/>
      <c r="CT261" s="204"/>
      <c r="CU261" s="204"/>
      <c r="CV261" s="204"/>
      <c r="CW261" s="204"/>
      <c r="CX261" s="159"/>
      <c r="CY261" s="159"/>
      <c r="CZ261" s="159"/>
      <c r="DA261" s="159"/>
      <c r="DB261" s="159"/>
      <c r="DC261" s="169"/>
      <c r="DD261" s="169"/>
      <c r="DE261" s="169"/>
      <c r="DF261" s="169"/>
      <c r="DG261" s="169"/>
      <c r="DH261" s="169"/>
    </row>
    <row r="262" spans="1:112">
      <c r="A262" s="279" t="s">
        <v>619</v>
      </c>
      <c r="B262" s="204"/>
      <c r="C262" s="204"/>
      <c r="D262" s="204"/>
      <c r="E262" s="204"/>
      <c r="F262" s="204"/>
      <c r="G262" s="204"/>
      <c r="H262" s="204"/>
      <c r="I262" s="204"/>
      <c r="J262" s="204"/>
      <c r="K262" s="204"/>
      <c r="L262" s="204"/>
      <c r="M262" s="204"/>
      <c r="N262" s="204"/>
      <c r="O262" s="204"/>
      <c r="P262" s="204"/>
      <c r="Q262" s="204"/>
      <c r="R262" s="204"/>
      <c r="S262" s="204"/>
      <c r="T262" s="204"/>
      <c r="U262" s="204"/>
      <c r="V262" s="204"/>
      <c r="W262" s="204"/>
      <c r="X262" s="204"/>
      <c r="Y262" s="204"/>
      <c r="Z262" s="204"/>
      <c r="AA262" s="204"/>
      <c r="AB262" s="204"/>
      <c r="AC262" s="204"/>
      <c r="AD262" s="204"/>
      <c r="AE262" s="204"/>
      <c r="AF262" s="204"/>
      <c r="AG262" s="204"/>
      <c r="AH262" s="204"/>
      <c r="AI262" s="204"/>
      <c r="AJ262" s="204"/>
      <c r="AK262" s="204"/>
      <c r="AL262" s="204"/>
      <c r="AM262" s="204"/>
      <c r="AN262" s="204"/>
      <c r="AO262" s="204"/>
      <c r="AP262" s="204"/>
      <c r="AQ262" s="204"/>
      <c r="AR262" s="204"/>
      <c r="AS262" s="204"/>
      <c r="AT262" s="204"/>
      <c r="AU262" s="204"/>
      <c r="AV262" s="204"/>
      <c r="AW262" s="204"/>
      <c r="AX262" s="204"/>
      <c r="AY262" s="204"/>
      <c r="AZ262" s="204"/>
      <c r="BA262" s="204"/>
      <c r="BB262" s="204"/>
      <c r="BC262" s="204"/>
      <c r="BD262" s="204"/>
      <c r="BE262" s="204"/>
      <c r="BF262" s="204"/>
      <c r="BG262" s="204"/>
      <c r="BH262" s="204"/>
      <c r="BI262" s="204"/>
      <c r="BJ262" s="204"/>
      <c r="BK262" s="204"/>
      <c r="BL262" s="204"/>
      <c r="BM262" s="204"/>
      <c r="BN262" s="204"/>
      <c r="BO262" s="204"/>
      <c r="BP262" s="204"/>
      <c r="BQ262" s="204"/>
      <c r="BR262" s="204"/>
      <c r="BS262" s="204"/>
      <c r="BT262" s="204"/>
      <c r="BU262" s="185"/>
      <c r="BV262" s="185"/>
      <c r="BW262" s="185"/>
      <c r="BX262" s="185"/>
      <c r="BY262" s="204"/>
      <c r="BZ262" s="185"/>
      <c r="CA262" s="185"/>
      <c r="CB262" s="185"/>
      <c r="CC262" s="185"/>
      <c r="CD262" s="204"/>
      <c r="CE262" s="185"/>
      <c r="CF262" s="185"/>
      <c r="CG262" s="185"/>
      <c r="CH262" s="185"/>
      <c r="CI262" s="204"/>
      <c r="CJ262" s="185"/>
      <c r="CK262" s="185"/>
      <c r="CL262" s="185"/>
      <c r="CM262" s="185"/>
      <c r="CN262" s="204"/>
      <c r="CO262" s="185"/>
      <c r="CP262" s="185"/>
      <c r="CQ262" s="204"/>
      <c r="CR262" s="204"/>
      <c r="CS262" s="204"/>
      <c r="CT262" s="204"/>
      <c r="CU262" s="204"/>
      <c r="CV262" s="204"/>
      <c r="CW262" s="204"/>
      <c r="CX262" s="159"/>
      <c r="CY262" s="159"/>
      <c r="CZ262" s="159"/>
      <c r="DA262" s="159"/>
      <c r="DB262" s="159"/>
      <c r="DC262" s="169"/>
      <c r="DD262" s="169"/>
      <c r="DE262" s="169"/>
      <c r="DF262" s="169"/>
      <c r="DG262" s="169"/>
      <c r="DH262" s="169"/>
    </row>
    <row r="263" spans="1:112">
      <c r="A263" s="235"/>
      <c r="B263" s="204"/>
      <c r="C263" s="204"/>
      <c r="D263" s="204"/>
      <c r="E263" s="204"/>
      <c r="F263" s="204"/>
      <c r="G263" s="204"/>
      <c r="H263" s="204"/>
      <c r="I263" s="204"/>
      <c r="J263" s="204"/>
      <c r="K263" s="204"/>
      <c r="L263" s="204"/>
      <c r="M263" s="204"/>
      <c r="N263" s="204"/>
      <c r="O263" s="204"/>
      <c r="P263" s="204"/>
      <c r="Q263" s="204"/>
      <c r="R263" s="204"/>
      <c r="S263" s="204"/>
      <c r="T263" s="204"/>
      <c r="U263" s="204"/>
      <c r="V263" s="204"/>
      <c r="W263" s="204"/>
      <c r="X263" s="204"/>
      <c r="Y263" s="204"/>
      <c r="Z263" s="204"/>
      <c r="AA263" s="204"/>
      <c r="AB263" s="204"/>
      <c r="AC263" s="204"/>
      <c r="AD263" s="204"/>
      <c r="AE263" s="204"/>
      <c r="AF263" s="204"/>
      <c r="AG263" s="204"/>
      <c r="AH263" s="204"/>
      <c r="AI263" s="204"/>
      <c r="AJ263" s="204"/>
      <c r="AK263" s="204"/>
      <c r="AL263" s="204"/>
      <c r="AM263" s="204"/>
      <c r="AN263" s="204"/>
      <c r="AO263" s="204"/>
      <c r="AP263" s="204"/>
      <c r="AQ263" s="204"/>
      <c r="AR263" s="204"/>
      <c r="AS263" s="204"/>
      <c r="AT263" s="204"/>
      <c r="AU263" s="204"/>
      <c r="AV263" s="204"/>
      <c r="AW263" s="204"/>
      <c r="AX263" s="204"/>
      <c r="AY263" s="204"/>
      <c r="AZ263" s="204"/>
      <c r="BA263" s="204"/>
      <c r="BB263" s="204"/>
      <c r="BC263" s="204"/>
      <c r="BD263" s="204"/>
      <c r="BE263" s="204"/>
      <c r="BF263" s="204"/>
      <c r="BG263" s="204"/>
      <c r="BH263" s="204"/>
      <c r="BI263" s="204"/>
      <c r="BJ263" s="204"/>
      <c r="BK263" s="204"/>
      <c r="BL263" s="204"/>
      <c r="BM263" s="204"/>
      <c r="BN263" s="204"/>
      <c r="BO263" s="204"/>
      <c r="BP263" s="204"/>
      <c r="BQ263" s="204"/>
      <c r="BR263" s="204"/>
      <c r="BS263" s="204"/>
      <c r="BT263" s="204"/>
      <c r="BU263" s="185"/>
      <c r="BV263" s="185"/>
      <c r="BW263" s="185"/>
      <c r="BX263" s="185"/>
      <c r="BY263" s="204"/>
      <c r="BZ263" s="185"/>
      <c r="CA263" s="185"/>
      <c r="CB263" s="185"/>
      <c r="CC263" s="185"/>
      <c r="CD263" s="204"/>
      <c r="CE263" s="185"/>
      <c r="CF263" s="185"/>
      <c r="CG263" s="185"/>
      <c r="CH263" s="185"/>
      <c r="CI263" s="204"/>
      <c r="CJ263" s="185"/>
      <c r="CK263" s="185"/>
      <c r="CL263" s="185"/>
      <c r="CM263" s="185"/>
      <c r="CN263" s="204"/>
      <c r="CO263" s="185"/>
      <c r="CP263" s="185"/>
      <c r="CQ263" s="204"/>
      <c r="CR263" s="204"/>
      <c r="CS263" s="204"/>
      <c r="CT263" s="204"/>
      <c r="CU263" s="204"/>
      <c r="CV263" s="204"/>
      <c r="CW263" s="204"/>
      <c r="CX263" s="159"/>
      <c r="CY263" s="159"/>
      <c r="CZ263" s="159"/>
      <c r="DA263" s="159"/>
      <c r="DB263" s="159"/>
      <c r="DC263" s="169"/>
      <c r="DD263" s="169"/>
      <c r="DE263" s="169"/>
      <c r="DF263" s="169"/>
      <c r="DG263" s="169"/>
      <c r="DH263" s="169"/>
    </row>
    <row r="264" spans="1:112" s="221" customFormat="1">
      <c r="A264" s="235" t="s">
        <v>637</v>
      </c>
      <c r="B264" s="721"/>
      <c r="C264" s="721"/>
      <c r="D264" s="721"/>
      <c r="E264" s="721"/>
      <c r="F264" s="721"/>
      <c r="G264" s="721"/>
      <c r="H264" s="721"/>
      <c r="I264" s="721"/>
      <c r="J264" s="721"/>
      <c r="K264" s="721"/>
      <c r="L264" s="721"/>
      <c r="M264" s="721"/>
      <c r="N264" s="721"/>
      <c r="O264" s="721"/>
      <c r="P264" s="721"/>
      <c r="Q264" s="721"/>
      <c r="R264" s="721"/>
      <c r="S264" s="721"/>
      <c r="T264" s="721"/>
      <c r="U264" s="721"/>
      <c r="V264" s="721"/>
      <c r="W264" s="721"/>
      <c r="X264" s="721"/>
      <c r="Y264" s="721"/>
      <c r="Z264" s="721"/>
      <c r="AA264" s="721"/>
      <c r="AB264" s="721"/>
      <c r="AC264" s="721"/>
      <c r="AD264" s="721"/>
      <c r="AE264" s="721"/>
      <c r="AF264" s="721"/>
      <c r="AG264" s="721"/>
      <c r="AH264" s="721"/>
      <c r="AI264" s="721"/>
      <c r="AJ264" s="721"/>
      <c r="AK264" s="721"/>
      <c r="AL264" s="721"/>
      <c r="AM264" s="721"/>
      <c r="AN264" s="721"/>
      <c r="AO264" s="721"/>
      <c r="AP264" s="721"/>
      <c r="AQ264" s="721"/>
      <c r="AR264" s="721"/>
      <c r="AS264" s="721"/>
      <c r="AT264" s="721"/>
      <c r="AU264" s="721"/>
      <c r="AV264" s="721"/>
      <c r="AW264" s="721"/>
      <c r="AX264" s="721"/>
      <c r="AY264" s="721"/>
      <c r="AZ264" s="721"/>
      <c r="BA264" s="721"/>
      <c r="BB264" s="721"/>
      <c r="BC264" s="721"/>
      <c r="BD264" s="721"/>
      <c r="BE264" s="721"/>
      <c r="BF264" s="721"/>
      <c r="BG264" s="721"/>
      <c r="BH264" s="721"/>
      <c r="BI264" s="721"/>
      <c r="BJ264" s="721"/>
      <c r="BK264" s="721"/>
      <c r="BL264" s="725">
        <f>'[3]Domestic Mobile Operations'!AJ26</f>
        <v>105</v>
      </c>
      <c r="BM264" s="725">
        <f>'[3]Domestic Mobile Operations'!AK26</f>
        <v>102</v>
      </c>
      <c r="BN264" s="725">
        <f>'[3]Domestic Mobile Operations'!AL26</f>
        <v>107</v>
      </c>
      <c r="BO264" s="694">
        <f>AVERAGE(BK264:BN264)</f>
        <v>104.66666666666667</v>
      </c>
      <c r="BP264" s="725">
        <f>'[3]Domestic Mobile Operations'!AM26</f>
        <v>108.1</v>
      </c>
      <c r="BQ264" s="725">
        <f>'[3]Domestic Mobile Operations'!AN26</f>
        <v>108.9</v>
      </c>
      <c r="BR264" s="725">
        <f>'[3]Domestic Mobile Operations'!AO26</f>
        <v>108.4</v>
      </c>
      <c r="BS264" s="725">
        <f>'[3]Domestic Mobile Operations'!AP26</f>
        <v>109.5</v>
      </c>
      <c r="BT264" s="694">
        <f>BT412*1000/BT271/12</f>
        <v>107.88690476190476</v>
      </c>
      <c r="BU264" s="725">
        <f>'[3]Domestic Mobile Operations'!AQ26</f>
        <v>107.8</v>
      </c>
      <c r="BV264" s="725">
        <f>'[3]Domestic Mobile Operations'!AR26</f>
        <v>108.3</v>
      </c>
      <c r="BW264" s="725">
        <f>'[3]Domestic Mobile Operations'!AS26</f>
        <v>108</v>
      </c>
      <c r="BX264" s="725">
        <f>'[3]Domestic Mobile Operations'!AT26</f>
        <v>108.5</v>
      </c>
      <c r="BY264" s="694">
        <f>BY412*1000/BY271/12</f>
        <v>108.38729571384521</v>
      </c>
      <c r="BZ264" s="725">
        <f>'[3]Domestic Mobile Operations'!AU26</f>
        <v>107.1</v>
      </c>
      <c r="CA264" s="725">
        <f>'[3]Domestic Mobile Operations'!AV26</f>
        <v>107.4</v>
      </c>
      <c r="CB264" s="725">
        <f>'[3]Domestic Mobile Operations'!AW26</f>
        <v>108.9</v>
      </c>
      <c r="CC264" s="725">
        <f>'[3]Domestic Mobile Operations'!AX26</f>
        <v>108.3</v>
      </c>
      <c r="CD264" s="694">
        <f>CD412*1000/CD271/12</f>
        <v>106.58761528326745</v>
      </c>
      <c r="CE264" s="725">
        <f>'[3]Domestic Mobile Operations'!AY26</f>
        <v>109.6</v>
      </c>
      <c r="CF264" s="725">
        <f>'[3]Domestic Mobile Operations'!AZ26</f>
        <v>109.9</v>
      </c>
      <c r="CG264" s="725">
        <f>'[3]Domestic Mobile Operations'!BA26</f>
        <v>108.6</v>
      </c>
      <c r="CH264" s="725">
        <f>'[3]Domestic Mobile Operations'!BB26</f>
        <v>109.4</v>
      </c>
      <c r="CI264" s="694">
        <f>CI412*1000/CI271/12</f>
        <v>105.51986676183678</v>
      </c>
      <c r="CJ264" s="725">
        <f>'[3]Domestic Mobile Operations'!BC26</f>
        <v>110.5</v>
      </c>
      <c r="CK264" s="725">
        <f>'[3]Domestic Mobile Operations'!BD26</f>
        <v>110.9</v>
      </c>
      <c r="CL264" s="725">
        <f>'[3]Domestic Mobile Operations'!BE26</f>
        <v>110.5</v>
      </c>
      <c r="CM264" s="725">
        <f>'[3]Domestic Mobile Operations'!BF26</f>
        <v>109.6</v>
      </c>
      <c r="CN264" s="694">
        <f>CN412*1000/CN271/12</f>
        <v>106.03964960811435</v>
      </c>
      <c r="CO264" s="725">
        <f>'[3]Domestic Mobile Operations'!BG26</f>
        <v>110</v>
      </c>
      <c r="CP264" s="725">
        <f>'[3]Domestic Mobile Operations'!BH26</f>
        <v>110.5</v>
      </c>
      <c r="CQ264" s="686">
        <f>CN264*(1+CQ265)</f>
        <v>108.16044260027664</v>
      </c>
      <c r="CR264" s="686">
        <f t="shared" ref="CR264:CW264" si="1075">CQ264*(1+CR265)</f>
        <v>108.16044260027664</v>
      </c>
      <c r="CS264" s="686">
        <f t="shared" si="1075"/>
        <v>108.16044260027664</v>
      </c>
      <c r="CT264" s="686">
        <f t="shared" si="1075"/>
        <v>108.16044260027664</v>
      </c>
      <c r="CU264" s="686">
        <f t="shared" si="1075"/>
        <v>108.16044260027664</v>
      </c>
      <c r="CV264" s="686">
        <f t="shared" si="1075"/>
        <v>108.16044260027664</v>
      </c>
      <c r="CW264" s="686">
        <f t="shared" si="1075"/>
        <v>108.16044260027664</v>
      </c>
      <c r="CX264" s="165"/>
      <c r="CY264" s="165"/>
      <c r="CZ264" s="165"/>
      <c r="DA264" s="165"/>
      <c r="DB264" s="165"/>
      <c r="DC264" s="382"/>
      <c r="DD264" s="382"/>
      <c r="DE264" s="382"/>
      <c r="DF264" s="382"/>
      <c r="DG264" s="382"/>
      <c r="DH264" s="382"/>
    </row>
    <row r="265" spans="1:112">
      <c r="A265" s="226" t="s">
        <v>0</v>
      </c>
      <c r="B265" s="204"/>
      <c r="C265" s="204"/>
      <c r="D265" s="204"/>
      <c r="E265" s="204"/>
      <c r="F265" s="204"/>
      <c r="G265" s="204"/>
      <c r="H265" s="204"/>
      <c r="I265" s="204"/>
      <c r="J265" s="204"/>
      <c r="K265" s="204"/>
      <c r="L265" s="204"/>
      <c r="M265" s="204"/>
      <c r="N265" s="204"/>
      <c r="O265" s="204"/>
      <c r="P265" s="204"/>
      <c r="Q265" s="204"/>
      <c r="R265" s="204"/>
      <c r="S265" s="204"/>
      <c r="T265" s="204"/>
      <c r="U265" s="204"/>
      <c r="V265" s="204"/>
      <c r="W265" s="204"/>
      <c r="X265" s="204"/>
      <c r="Y265" s="204"/>
      <c r="Z265" s="204"/>
      <c r="AA265" s="204"/>
      <c r="AB265" s="204"/>
      <c r="AC265" s="204"/>
      <c r="AD265" s="204"/>
      <c r="AE265" s="204"/>
      <c r="AF265" s="204"/>
      <c r="AG265" s="204"/>
      <c r="AH265" s="204"/>
      <c r="AI265" s="204"/>
      <c r="AJ265" s="204"/>
      <c r="AK265" s="204"/>
      <c r="AL265" s="204"/>
      <c r="AM265" s="204"/>
      <c r="AN265" s="204"/>
      <c r="AO265" s="204"/>
      <c r="AP265" s="204"/>
      <c r="AQ265" s="204"/>
      <c r="AR265" s="204"/>
      <c r="AS265" s="204"/>
      <c r="AT265" s="204"/>
      <c r="AU265" s="204"/>
      <c r="AV265" s="204"/>
      <c r="AW265" s="204"/>
      <c r="AX265" s="204"/>
      <c r="AY265" s="204"/>
      <c r="AZ265" s="204"/>
      <c r="BA265" s="204"/>
      <c r="BB265" s="204"/>
      <c r="BC265" s="204"/>
      <c r="BD265" s="204"/>
      <c r="BE265" s="204"/>
      <c r="BF265" s="204"/>
      <c r="BG265" s="204"/>
      <c r="BH265" s="204"/>
      <c r="BI265" s="204"/>
      <c r="BJ265" s="204"/>
      <c r="BK265" s="204"/>
      <c r="BL265" s="365"/>
      <c r="BM265" s="365"/>
      <c r="BN265" s="365"/>
      <c r="BO265" s="204"/>
      <c r="BP265" s="204" t="e">
        <f t="shared" ref="BP265:CP265" si="1076">BP264/BK264-1</f>
        <v>#DIV/0!</v>
      </c>
      <c r="BQ265" s="204">
        <f t="shared" si="1076"/>
        <v>3.7142857142857144E-2</v>
      </c>
      <c r="BR265" s="204">
        <f t="shared" si="1076"/>
        <v>6.2745098039215685E-2</v>
      </c>
      <c r="BS265" s="204">
        <f t="shared" si="1076"/>
        <v>2.3364485981308469E-2</v>
      </c>
      <c r="BT265" s="204">
        <f t="shared" si="1076"/>
        <v>3.076660600545944E-2</v>
      </c>
      <c r="BU265" s="185">
        <f t="shared" si="1076"/>
        <v>-2.7752081406104967E-3</v>
      </c>
      <c r="BV265" s="185">
        <f t="shared" si="1076"/>
        <v>-5.5096418732782926E-3</v>
      </c>
      <c r="BW265" s="185">
        <f t="shared" si="1076"/>
        <v>-3.6900369003690647E-3</v>
      </c>
      <c r="BX265" s="185">
        <f t="shared" si="1076"/>
        <v>-9.1324200913242004E-3</v>
      </c>
      <c r="BY265" s="204">
        <f t="shared" si="1076"/>
        <v>4.6381064786755744E-3</v>
      </c>
      <c r="BZ265" s="185">
        <f t="shared" si="1076"/>
        <v>-6.4935064935065512E-3</v>
      </c>
      <c r="CA265" s="185">
        <f t="shared" si="1076"/>
        <v>-8.310249307479145E-3</v>
      </c>
      <c r="CB265" s="185">
        <f t="shared" si="1076"/>
        <v>8.3333333333333037E-3</v>
      </c>
      <c r="CC265" s="185">
        <f t="shared" si="1076"/>
        <v>-1.8433179723502668E-3</v>
      </c>
      <c r="CD265" s="204">
        <f t="shared" si="1076"/>
        <v>-1.6604163972585018E-2</v>
      </c>
      <c r="CE265" s="185">
        <f t="shared" si="1076"/>
        <v>2.3342670401493848E-2</v>
      </c>
      <c r="CF265" s="185">
        <f t="shared" si="1076"/>
        <v>2.3277467411545683E-2</v>
      </c>
      <c r="CG265" s="185">
        <f t="shared" si="1076"/>
        <v>-2.7548209366392573E-3</v>
      </c>
      <c r="CH265" s="185">
        <f t="shared" si="1076"/>
        <v>1.0156971375808066E-2</v>
      </c>
      <c r="CI265" s="204">
        <f t="shared" si="1076"/>
        <v>-1.0017566474238349E-2</v>
      </c>
      <c r="CJ265" s="185">
        <f t="shared" si="1076"/>
        <v>8.2116788321169309E-3</v>
      </c>
      <c r="CK265" s="185">
        <f t="shared" si="1076"/>
        <v>9.099181073703333E-3</v>
      </c>
      <c r="CL265" s="185">
        <f t="shared" si="1076"/>
        <v>1.7495395948434744E-2</v>
      </c>
      <c r="CM265" s="185">
        <f t="shared" si="1076"/>
        <v>1.8281535648994041E-3</v>
      </c>
      <c r="CN265" s="204">
        <f t="shared" si="1076"/>
        <v>4.9259240200780763E-3</v>
      </c>
      <c r="CO265" s="185">
        <f t="shared" si="1076"/>
        <v>-4.5248868778280382E-3</v>
      </c>
      <c r="CP265" s="185">
        <f t="shared" si="1076"/>
        <v>-3.6068530207394867E-3</v>
      </c>
      <c r="CQ265" s="384">
        <v>0.02</v>
      </c>
      <c r="CR265" s="384">
        <v>0</v>
      </c>
      <c r="CS265" s="384">
        <v>0</v>
      </c>
      <c r="CT265" s="384">
        <v>0</v>
      </c>
      <c r="CU265" s="384">
        <v>0</v>
      </c>
      <c r="CV265" s="384">
        <v>0</v>
      </c>
      <c r="CW265" s="384">
        <v>0</v>
      </c>
      <c r="CX265" s="159"/>
      <c r="CY265" s="159"/>
      <c r="CZ265" s="159"/>
      <c r="DA265" s="159"/>
      <c r="DB265" s="159"/>
      <c r="DC265" s="169"/>
      <c r="DD265" s="169"/>
      <c r="DE265" s="169"/>
      <c r="DF265" s="169"/>
      <c r="DG265" s="169"/>
      <c r="DH265" s="169"/>
    </row>
    <row r="266" spans="1:112" s="159" customFormat="1">
      <c r="A266" s="226" t="s">
        <v>692</v>
      </c>
      <c r="B266" s="297"/>
      <c r="C266" s="297"/>
      <c r="D266" s="297"/>
      <c r="E266" s="297"/>
      <c r="F266" s="297"/>
      <c r="G266" s="297"/>
      <c r="H266" s="297"/>
      <c r="I266" s="297"/>
      <c r="J266" s="297"/>
      <c r="K266" s="297"/>
      <c r="L266" s="297"/>
      <c r="M266" s="297"/>
      <c r="N266" s="297"/>
      <c r="O266" s="297"/>
      <c r="P266" s="297"/>
      <c r="Q266" s="297"/>
      <c r="R266" s="297"/>
      <c r="S266" s="297"/>
      <c r="T266" s="297"/>
      <c r="U266" s="297"/>
      <c r="V266" s="297"/>
      <c r="W266" s="297"/>
      <c r="X266" s="297"/>
      <c r="Y266" s="297"/>
      <c r="Z266" s="297"/>
      <c r="AA266" s="297"/>
      <c r="AB266" s="297"/>
      <c r="AC266" s="297"/>
      <c r="AD266" s="297"/>
      <c r="AE266" s="297"/>
      <c r="AF266" s="297"/>
      <c r="AG266" s="297"/>
      <c r="AH266" s="297"/>
      <c r="AI266" s="297"/>
      <c r="AJ266" s="297"/>
      <c r="AK266" s="297"/>
      <c r="AL266" s="297"/>
      <c r="AM266" s="297"/>
      <c r="AN266" s="297"/>
      <c r="AO266" s="297"/>
      <c r="AP266" s="297"/>
      <c r="AQ266" s="297"/>
      <c r="AR266" s="297"/>
      <c r="AS266" s="297"/>
      <c r="AT266" s="297"/>
      <c r="AU266" s="297"/>
      <c r="AV266" s="297"/>
      <c r="AW266" s="297"/>
      <c r="AX266" s="297"/>
      <c r="AY266" s="297"/>
      <c r="AZ266" s="297"/>
      <c r="BA266" s="297"/>
      <c r="BB266" s="297"/>
      <c r="BC266" s="297"/>
      <c r="BD266" s="297"/>
      <c r="BE266" s="297"/>
      <c r="BF266" s="297"/>
      <c r="BG266" s="297"/>
      <c r="BH266" s="297"/>
      <c r="BI266" s="297"/>
      <c r="BJ266" s="297"/>
      <c r="BK266" s="297"/>
      <c r="BL266" s="392">
        <f>BL264/BL168</f>
        <v>1.320754716981132</v>
      </c>
      <c r="BM266" s="392">
        <f t="shared" ref="BM266:BU266" si="1077">BM264/BM168</f>
        <v>1.3010204081632653</v>
      </c>
      <c r="BN266" s="392">
        <f t="shared" si="1077"/>
        <v>1.3842173350582148</v>
      </c>
      <c r="BO266" s="392">
        <f t="shared" si="1077"/>
        <v>1.324056504322159</v>
      </c>
      <c r="BP266" s="392">
        <f t="shared" si="1077"/>
        <v>1.4223684210526315</v>
      </c>
      <c r="BQ266" s="392">
        <f t="shared" si="1077"/>
        <v>1.4442970822281167</v>
      </c>
      <c r="BR266" s="392">
        <f t="shared" si="1077"/>
        <v>1.4453333333333334</v>
      </c>
      <c r="BS266" s="392">
        <f t="shared" si="1077"/>
        <v>1.4918256130790191</v>
      </c>
      <c r="BT266" s="392">
        <f t="shared" si="1077"/>
        <v>1.4394516979573684</v>
      </c>
      <c r="BU266" s="392">
        <f t="shared" si="1077"/>
        <v>1.4868965517241379</v>
      </c>
      <c r="BV266" s="392">
        <f t="shared" ref="BV266:CW266" si="1078">BV264/BV168</f>
        <v>1.4896836313617605</v>
      </c>
      <c r="BW266" s="392">
        <f t="shared" si="1078"/>
        <v>1.4835164835164836</v>
      </c>
      <c r="BX266" s="392">
        <f t="shared" si="1078"/>
        <v>1.4924346629986245</v>
      </c>
      <c r="BY266" s="392">
        <f t="shared" si="1078"/>
        <v>1.4913972578444474</v>
      </c>
      <c r="BZ266" s="392">
        <f t="shared" si="1078"/>
        <v>1.5021037868162692</v>
      </c>
      <c r="CA266" s="392">
        <f t="shared" ref="CA266:CB266" si="1079">CA264/CA168</f>
        <v>1.5126760563380282</v>
      </c>
      <c r="CB266" s="392">
        <f t="shared" si="1079"/>
        <v>1.5512820512820513</v>
      </c>
      <c r="CC266" s="392">
        <f t="shared" ref="CC266:CD266" si="1080">CC264/CC168</f>
        <v>1.5515759312320918</v>
      </c>
      <c r="CD266" s="392">
        <f t="shared" si="1080"/>
        <v>1.5102743929616358</v>
      </c>
      <c r="CE266" s="392">
        <f t="shared" ref="CE266:CF266" si="1081">CE264/CE168</f>
        <v>1.6046852122986823</v>
      </c>
      <c r="CF266" s="392">
        <f t="shared" si="1081"/>
        <v>1.6281481481481481</v>
      </c>
      <c r="CG266" s="392">
        <f t="shared" ref="CG266:CJ266" si="1082">CG264/CG168</f>
        <v>1.6208955223880597</v>
      </c>
      <c r="CH266" s="392">
        <f t="shared" si="1082"/>
        <v>1.6183431952662723</v>
      </c>
      <c r="CI266" s="392">
        <f t="shared" si="1082"/>
        <v>1.5609447745833844</v>
      </c>
      <c r="CJ266" s="392">
        <f t="shared" si="1082"/>
        <v>1.7105263157894739</v>
      </c>
      <c r="CK266" s="392">
        <f t="shared" ref="CK266:CL266" si="1083">CK264/CK168</f>
        <v>1.7328125000000001</v>
      </c>
      <c r="CL266" s="392">
        <f t="shared" si="1083"/>
        <v>1.753968253968254</v>
      </c>
      <c r="CM266" s="392">
        <f t="shared" ref="CM266:CP266" si="1084">CM264/CM168</f>
        <v>1.7369255150554674</v>
      </c>
      <c r="CN266" s="392">
        <f t="shared" si="1084"/>
        <v>1.6653262600410577</v>
      </c>
      <c r="CO266" s="392">
        <f t="shared" si="1084"/>
        <v>1.8003273322422257</v>
      </c>
      <c r="CP266" s="392">
        <f t="shared" si="1084"/>
        <v>1.8204283360790774</v>
      </c>
      <c r="CQ266" s="392">
        <f t="shared" si="1078"/>
        <v>1.7368433386931277</v>
      </c>
      <c r="CR266" s="392">
        <f t="shared" si="1078"/>
        <v>1.7368433386931277</v>
      </c>
      <c r="CS266" s="392">
        <f t="shared" si="1078"/>
        <v>1.7282023270578386</v>
      </c>
      <c r="CT266" s="392">
        <f t="shared" si="1078"/>
        <v>1.7196043055301879</v>
      </c>
      <c r="CU266" s="392">
        <f t="shared" si="1078"/>
        <v>1.7110490602290431</v>
      </c>
      <c r="CV266" s="392">
        <f t="shared" si="1078"/>
        <v>1.7025363783373566</v>
      </c>
      <c r="CW266" s="392">
        <f t="shared" si="1078"/>
        <v>1.6940660480968723</v>
      </c>
    </row>
    <row r="267" spans="1:112">
      <c r="A267" s="235"/>
      <c r="B267" s="204"/>
      <c r="C267" s="204"/>
      <c r="D267" s="204"/>
      <c r="E267" s="204"/>
      <c r="F267" s="204"/>
      <c r="G267" s="204"/>
      <c r="H267" s="204"/>
      <c r="I267" s="204"/>
      <c r="J267" s="204"/>
      <c r="K267" s="204"/>
      <c r="L267" s="204"/>
      <c r="M267" s="204"/>
      <c r="N267" s="204"/>
      <c r="O267" s="204"/>
      <c r="P267" s="204"/>
      <c r="Q267" s="204"/>
      <c r="R267" s="204"/>
      <c r="S267" s="204"/>
      <c r="T267" s="204"/>
      <c r="U267" s="204"/>
      <c r="V267" s="204"/>
      <c r="W267" s="204"/>
      <c r="X267" s="204"/>
      <c r="Y267" s="204"/>
      <c r="Z267" s="204"/>
      <c r="AA267" s="204"/>
      <c r="AB267" s="204"/>
      <c r="AC267" s="204"/>
      <c r="AD267" s="204"/>
      <c r="AE267" s="204"/>
      <c r="AF267" s="204"/>
      <c r="AG267" s="204"/>
      <c r="AH267" s="204"/>
      <c r="AI267" s="204"/>
      <c r="AJ267" s="204"/>
      <c r="AK267" s="204"/>
      <c r="AL267" s="204"/>
      <c r="AM267" s="204"/>
      <c r="AN267" s="204"/>
      <c r="AO267" s="204"/>
      <c r="AP267" s="204"/>
      <c r="AQ267" s="204"/>
      <c r="AR267" s="204"/>
      <c r="AS267" s="204"/>
      <c r="AT267" s="204"/>
      <c r="AU267" s="204"/>
      <c r="AV267" s="204"/>
      <c r="AW267" s="204"/>
      <c r="AX267" s="204"/>
      <c r="AY267" s="204"/>
      <c r="AZ267" s="204"/>
      <c r="BA267" s="204"/>
      <c r="BB267" s="204"/>
      <c r="BC267" s="204"/>
      <c r="BD267" s="204"/>
      <c r="BE267" s="204"/>
      <c r="BF267" s="204"/>
      <c r="BG267" s="204"/>
      <c r="BH267" s="204"/>
      <c r="BI267" s="204"/>
      <c r="BJ267" s="204"/>
      <c r="BK267" s="204"/>
      <c r="BL267" s="204"/>
      <c r="BM267" s="204"/>
      <c r="BN267" s="204"/>
      <c r="BO267" s="204"/>
      <c r="BP267" s="204"/>
      <c r="BQ267" s="204"/>
      <c r="BR267" s="204"/>
      <c r="BS267" s="204"/>
      <c r="BT267" s="204"/>
      <c r="BU267" s="185"/>
      <c r="BV267" s="185"/>
      <c r="BW267" s="185"/>
      <c r="BX267" s="185"/>
      <c r="BY267" s="204"/>
      <c r="BZ267" s="185"/>
      <c r="CA267" s="185"/>
      <c r="CB267" s="185"/>
      <c r="CC267" s="185"/>
      <c r="CD267" s="204"/>
      <c r="CE267" s="185"/>
      <c r="CF267" s="185"/>
      <c r="CG267" s="185"/>
      <c r="CH267" s="185"/>
      <c r="CI267" s="204"/>
      <c r="CJ267" s="185"/>
      <c r="CK267" s="185"/>
      <c r="CL267" s="185"/>
      <c r="CM267" s="185"/>
      <c r="CN267" s="204"/>
      <c r="CO267" s="185"/>
      <c r="CP267" s="185"/>
      <c r="CQ267" s="204"/>
      <c r="CR267" s="204"/>
      <c r="CS267" s="204"/>
      <c r="CT267" s="204"/>
      <c r="CU267" s="204"/>
      <c r="CV267" s="204"/>
      <c r="CW267" s="204"/>
      <c r="CX267" s="159"/>
      <c r="CY267" s="159"/>
      <c r="CZ267" s="159"/>
      <c r="DA267" s="159"/>
      <c r="DB267" s="159"/>
      <c r="DC267" s="169"/>
      <c r="DD267" s="169"/>
      <c r="DE267" s="169"/>
      <c r="DF267" s="169"/>
      <c r="DG267" s="169"/>
      <c r="DH267" s="169"/>
    </row>
    <row r="268" spans="1:112">
      <c r="A268" s="235"/>
      <c r="B268" s="204"/>
      <c r="C268" s="204"/>
      <c r="D268" s="204"/>
      <c r="E268" s="204"/>
      <c r="F268" s="204"/>
      <c r="G268" s="204"/>
      <c r="H268" s="204"/>
      <c r="I268" s="204"/>
      <c r="J268" s="204"/>
      <c r="K268" s="204"/>
      <c r="L268" s="204"/>
      <c r="M268" s="204"/>
      <c r="N268" s="204"/>
      <c r="O268" s="204"/>
      <c r="P268" s="204"/>
      <c r="Q268" s="204"/>
      <c r="R268" s="204"/>
      <c r="S268" s="204"/>
      <c r="T268" s="204"/>
      <c r="U268" s="204"/>
      <c r="V268" s="204"/>
      <c r="W268" s="204"/>
      <c r="X268" s="204"/>
      <c r="Y268" s="204"/>
      <c r="Z268" s="204"/>
      <c r="AA268" s="204"/>
      <c r="AB268" s="204"/>
      <c r="AC268" s="204"/>
      <c r="AD268" s="204"/>
      <c r="AE268" s="204"/>
      <c r="AF268" s="204"/>
      <c r="AG268" s="204"/>
      <c r="AH268" s="204"/>
      <c r="AI268" s="204"/>
      <c r="AJ268" s="204"/>
      <c r="AK268" s="204"/>
      <c r="AL268" s="204"/>
      <c r="AM268" s="204"/>
      <c r="AN268" s="204"/>
      <c r="AO268" s="204"/>
      <c r="AP268" s="204"/>
      <c r="AQ268" s="204"/>
      <c r="AR268" s="204"/>
      <c r="AS268" s="204"/>
      <c r="AT268" s="204"/>
      <c r="AU268" s="204"/>
      <c r="AV268" s="204"/>
      <c r="AW268" s="204"/>
      <c r="AX268" s="204"/>
      <c r="AY268" s="204"/>
      <c r="AZ268" s="204"/>
      <c r="BA268" s="204"/>
      <c r="BB268" s="204"/>
      <c r="BC268" s="204"/>
      <c r="BD268" s="204"/>
      <c r="BE268" s="204"/>
      <c r="BF268" s="204"/>
      <c r="BG268" s="204"/>
      <c r="BH268" s="204"/>
      <c r="BI268" s="204"/>
      <c r="BJ268" s="204"/>
      <c r="BK268" s="204"/>
      <c r="BL268" s="204"/>
      <c r="BM268" s="204"/>
      <c r="BN268" s="204"/>
      <c r="BO268" s="204"/>
      <c r="BP268" s="204"/>
      <c r="BQ268" s="204"/>
      <c r="BR268" s="204"/>
      <c r="BS268" s="204"/>
      <c r="BT268" s="204"/>
      <c r="BU268" s="185"/>
      <c r="BV268" s="185"/>
      <c r="BW268" s="185"/>
      <c r="BX268" s="185"/>
      <c r="BY268" s="204"/>
      <c r="BZ268" s="185"/>
      <c r="CA268" s="185"/>
      <c r="CB268" s="185"/>
      <c r="CC268" s="185"/>
      <c r="CD268" s="204"/>
      <c r="CE268" s="185"/>
      <c r="CF268" s="185"/>
      <c r="CG268" s="185"/>
      <c r="CH268" s="185"/>
      <c r="CI268" s="204"/>
      <c r="CJ268" s="185"/>
      <c r="CK268" s="185"/>
      <c r="CL268" s="185"/>
      <c r="CM268" s="185"/>
      <c r="CN268" s="204"/>
      <c r="CO268" s="185"/>
      <c r="CP268" s="185"/>
      <c r="CQ268" s="204"/>
      <c r="CR268" s="204"/>
      <c r="CS268" s="204"/>
      <c r="CT268" s="204"/>
      <c r="CU268" s="204"/>
      <c r="CV268" s="204"/>
      <c r="CW268" s="204"/>
      <c r="CX268" s="159"/>
      <c r="CY268" s="159"/>
      <c r="CZ268" s="159"/>
      <c r="DA268" s="159"/>
      <c r="DB268" s="159"/>
      <c r="DC268" s="169"/>
      <c r="DD268" s="169"/>
      <c r="DE268" s="169"/>
      <c r="DF268" s="169"/>
      <c r="DG268" s="169"/>
      <c r="DH268" s="169"/>
    </row>
    <row r="269" spans="1:112" s="221" customFormat="1">
      <c r="A269" s="235" t="s">
        <v>675</v>
      </c>
      <c r="B269" s="721"/>
      <c r="C269" s="721"/>
      <c r="D269" s="721"/>
      <c r="E269" s="721"/>
      <c r="F269" s="721"/>
      <c r="G269" s="721"/>
      <c r="H269" s="721"/>
      <c r="I269" s="721"/>
      <c r="J269" s="721"/>
      <c r="K269" s="721"/>
      <c r="L269" s="721"/>
      <c r="M269" s="721"/>
      <c r="N269" s="721"/>
      <c r="O269" s="721"/>
      <c r="P269" s="721"/>
      <c r="Q269" s="721"/>
      <c r="R269" s="721"/>
      <c r="S269" s="721"/>
      <c r="T269" s="721"/>
      <c r="U269" s="721"/>
      <c r="V269" s="721"/>
      <c r="W269" s="721"/>
      <c r="X269" s="721"/>
      <c r="Y269" s="721"/>
      <c r="Z269" s="721"/>
      <c r="AA269" s="721"/>
      <c r="AB269" s="721"/>
      <c r="AC269" s="721"/>
      <c r="AD269" s="721"/>
      <c r="AE269" s="721"/>
      <c r="AF269" s="721"/>
      <c r="AG269" s="721"/>
      <c r="AH269" s="721"/>
      <c r="AI269" s="721"/>
      <c r="AJ269" s="721"/>
      <c r="AK269" s="721"/>
      <c r="AL269" s="721"/>
      <c r="AM269" s="721"/>
      <c r="AN269" s="721"/>
      <c r="AO269" s="721"/>
      <c r="AP269" s="721"/>
      <c r="AQ269" s="721"/>
      <c r="AR269" s="721"/>
      <c r="AS269" s="721"/>
      <c r="AT269" s="721"/>
      <c r="AU269" s="721"/>
      <c r="AV269" s="721"/>
      <c r="AW269" s="721"/>
      <c r="AX269" s="721"/>
      <c r="AY269" s="721"/>
      <c r="AZ269" s="721"/>
      <c r="BA269" s="721"/>
      <c r="BB269" s="721"/>
      <c r="BC269" s="721"/>
      <c r="BD269" s="721"/>
      <c r="BE269" s="721"/>
      <c r="BF269" s="721"/>
      <c r="BG269" s="721"/>
      <c r="BH269" s="721"/>
      <c r="BI269" s="721"/>
      <c r="BJ269" s="721"/>
      <c r="BK269" s="721"/>
      <c r="BL269" s="725">
        <f>'[3]Domestic Mobile Operations'!AJ16</f>
        <v>371</v>
      </c>
      <c r="BM269" s="725">
        <f>'[3]Domestic Mobile Operations'!AK16</f>
        <v>383</v>
      </c>
      <c r="BN269" s="725">
        <f>'[3]Domestic Mobile Operations'!AL16</f>
        <v>402</v>
      </c>
      <c r="BO269" s="694">
        <f>BN269</f>
        <v>402</v>
      </c>
      <c r="BP269" s="725">
        <f>'[3]Domestic Mobile Operations'!AM16</f>
        <v>423</v>
      </c>
      <c r="BQ269" s="725">
        <f>'[3]Domestic Mobile Operations'!AN16</f>
        <v>444</v>
      </c>
      <c r="BR269" s="725">
        <f>'[3]Domestic Mobile Operations'!AO16</f>
        <v>470</v>
      </c>
      <c r="BS269" s="725">
        <f>'[3]Domestic Mobile Operations'!AP16</f>
        <v>494</v>
      </c>
      <c r="BT269" s="694">
        <f>BS269</f>
        <v>494</v>
      </c>
      <c r="BU269" s="725">
        <f>'[3]Domestic Mobile Operations'!AQ16</f>
        <v>520</v>
      </c>
      <c r="BV269" s="725">
        <f>'[3]Domestic Mobile Operations'!AR16</f>
        <v>545</v>
      </c>
      <c r="BW269" s="725">
        <f>'[3]Domestic Mobile Operations'!AS16</f>
        <v>564</v>
      </c>
      <c r="BX269" s="725">
        <f>'[3]Domestic Mobile Operations'!AT16</f>
        <v>587</v>
      </c>
      <c r="BY269" s="694">
        <f>BX269</f>
        <v>587</v>
      </c>
      <c r="BZ269" s="725">
        <f>'[3]Domestic Mobile Operations'!AU16</f>
        <v>612</v>
      </c>
      <c r="CA269" s="725">
        <f>'[3]Domestic Mobile Operations'!AV16</f>
        <v>634</v>
      </c>
      <c r="CB269" s="725">
        <f>'[3]Domestic Mobile Operations'!AW16</f>
        <v>658</v>
      </c>
      <c r="CC269" s="725">
        <f>'[3]Domestic Mobile Operations'!AX16</f>
        <v>678</v>
      </c>
      <c r="CD269" s="694">
        <f>CC269</f>
        <v>678</v>
      </c>
      <c r="CE269" s="725">
        <f>'[3]Domestic Mobile Operations'!AY16</f>
        <v>692</v>
      </c>
      <c r="CF269" s="725">
        <f>'[3]Domestic Mobile Operations'!AZ16</f>
        <v>707</v>
      </c>
      <c r="CG269" s="725">
        <f>'[3]Domestic Mobile Operations'!BA16</f>
        <v>716</v>
      </c>
      <c r="CH269" s="725">
        <f>'[3]Domestic Mobile Operations'!BB16</f>
        <v>723</v>
      </c>
      <c r="CI269" s="694">
        <f>CH269</f>
        <v>723</v>
      </c>
      <c r="CJ269" s="725">
        <f>'[3]Domestic Mobile Operations'!BC16</f>
        <v>727</v>
      </c>
      <c r="CK269" s="725">
        <f>'[3]Domestic Mobile Operations'!BD16</f>
        <v>727</v>
      </c>
      <c r="CL269" s="725">
        <f>'[3]Domestic Mobile Operations'!BE16</f>
        <v>724</v>
      </c>
      <c r="CM269" s="725">
        <f>'[3]Domestic Mobile Operations'!BF16</f>
        <v>723</v>
      </c>
      <c r="CN269" s="694">
        <f>CM269</f>
        <v>723</v>
      </c>
      <c r="CO269" s="725">
        <f>'[3]Domestic Mobile Operations'!BG16</f>
        <v>725</v>
      </c>
      <c r="CP269" s="725">
        <f>'[3]Domestic Mobile Operations'!BH16</f>
        <v>729</v>
      </c>
      <c r="CQ269" s="872">
        <v>780</v>
      </c>
      <c r="CR269" s="872">
        <v>780</v>
      </c>
      <c r="CS269" s="872">
        <f>CR269+40</f>
        <v>820</v>
      </c>
      <c r="CT269" s="872">
        <f t="shared" ref="CT269:CW269" si="1085">CS269+20</f>
        <v>840</v>
      </c>
      <c r="CU269" s="872">
        <f t="shared" si="1085"/>
        <v>860</v>
      </c>
      <c r="CV269" s="872">
        <f t="shared" si="1085"/>
        <v>880</v>
      </c>
      <c r="CW269" s="872">
        <f t="shared" si="1085"/>
        <v>900</v>
      </c>
      <c r="CX269" s="694"/>
      <c r="CY269" s="165"/>
      <c r="CZ269" s="165"/>
      <c r="DA269" s="165"/>
      <c r="DB269" s="165"/>
      <c r="DC269" s="382"/>
      <c r="DD269" s="382"/>
      <c r="DE269" s="382"/>
      <c r="DF269" s="382"/>
      <c r="DG269" s="382"/>
      <c r="DH269" s="382"/>
    </row>
    <row r="270" spans="1:112">
      <c r="A270" s="226" t="s">
        <v>678</v>
      </c>
      <c r="B270" s="720"/>
      <c r="C270" s="720"/>
      <c r="D270" s="720"/>
      <c r="E270" s="720"/>
      <c r="F270" s="720"/>
      <c r="G270" s="720"/>
      <c r="H270" s="720"/>
      <c r="I270" s="720"/>
      <c r="J270" s="720"/>
      <c r="K270" s="720"/>
      <c r="L270" s="720"/>
      <c r="M270" s="720"/>
      <c r="N270" s="720"/>
      <c r="O270" s="720"/>
      <c r="P270" s="720"/>
      <c r="Q270" s="720"/>
      <c r="R270" s="720"/>
      <c r="S270" s="720"/>
      <c r="T270" s="720"/>
      <c r="U270" s="720"/>
      <c r="V270" s="720"/>
      <c r="W270" s="720"/>
      <c r="X270" s="720"/>
      <c r="Y270" s="720"/>
      <c r="Z270" s="720"/>
      <c r="AA270" s="720"/>
      <c r="AB270" s="720"/>
      <c r="AC270" s="720"/>
      <c r="AD270" s="720"/>
      <c r="AE270" s="720"/>
      <c r="AF270" s="720"/>
      <c r="AG270" s="720"/>
      <c r="AH270" s="720"/>
      <c r="AI270" s="720"/>
      <c r="AJ270" s="720"/>
      <c r="AK270" s="720"/>
      <c r="AL270" s="720"/>
      <c r="AM270" s="720"/>
      <c r="AN270" s="720"/>
      <c r="AO270" s="720"/>
      <c r="AP270" s="720"/>
      <c r="AQ270" s="720"/>
      <c r="AR270" s="720"/>
      <c r="AS270" s="720"/>
      <c r="AT270" s="720"/>
      <c r="AU270" s="720"/>
      <c r="AV270" s="720"/>
      <c r="AW270" s="720"/>
      <c r="AX270" s="720"/>
      <c r="AY270" s="720"/>
      <c r="AZ270" s="720"/>
      <c r="BA270" s="720"/>
      <c r="BB270" s="720"/>
      <c r="BC270" s="720"/>
      <c r="BD270" s="720"/>
      <c r="BE270" s="720"/>
      <c r="BF270" s="720"/>
      <c r="BG270" s="720"/>
      <c r="BH270" s="720"/>
      <c r="BI270" s="720"/>
      <c r="BJ270" s="720"/>
      <c r="BK270" s="720"/>
      <c r="BL270" s="694"/>
      <c r="BM270" s="693">
        <f>BM269-BL269</f>
        <v>12</v>
      </c>
      <c r="BN270" s="693">
        <f>BN269-BM269</f>
        <v>19</v>
      </c>
      <c r="BO270" s="694"/>
      <c r="BP270" s="693">
        <f>BP269-BO269</f>
        <v>21</v>
      </c>
      <c r="BQ270" s="693">
        <f t="shared" ref="BQ270:BS270" si="1086">BQ269-BP269</f>
        <v>21</v>
      </c>
      <c r="BR270" s="693">
        <f t="shared" si="1086"/>
        <v>26</v>
      </c>
      <c r="BS270" s="693">
        <f t="shared" si="1086"/>
        <v>24</v>
      </c>
      <c r="BT270" s="694">
        <f>BT269-BO269</f>
        <v>92</v>
      </c>
      <c r="BU270" s="693">
        <f>BU269-BT269</f>
        <v>26</v>
      </c>
      <c r="BV270" s="693">
        <f t="shared" ref="BV270" si="1087">BV269-BU269</f>
        <v>25</v>
      </c>
      <c r="BW270" s="693">
        <f t="shared" ref="BW270" si="1088">BW269-BV269</f>
        <v>19</v>
      </c>
      <c r="BX270" s="693">
        <f t="shared" ref="BX270" si="1089">BX269-BW269</f>
        <v>23</v>
      </c>
      <c r="BY270" s="694">
        <f>BY269-BT269</f>
        <v>93</v>
      </c>
      <c r="BZ270" s="693">
        <f>BZ269-BY269</f>
        <v>25</v>
      </c>
      <c r="CA270" s="693">
        <f t="shared" ref="CA270" si="1090">CA269-BZ269</f>
        <v>22</v>
      </c>
      <c r="CB270" s="693">
        <f t="shared" ref="CB270" si="1091">CB269-CA269</f>
        <v>24</v>
      </c>
      <c r="CC270" s="693">
        <f t="shared" ref="CC270" si="1092">CC269-CB269</f>
        <v>20</v>
      </c>
      <c r="CD270" s="694">
        <f>CD269-BY269</f>
        <v>91</v>
      </c>
      <c r="CE270" s="693">
        <f>CE269-CD269</f>
        <v>14</v>
      </c>
      <c r="CF270" s="693">
        <f>CF269-CE269</f>
        <v>15</v>
      </c>
      <c r="CG270" s="693">
        <f>CG269-CF269</f>
        <v>9</v>
      </c>
      <c r="CH270" s="693">
        <f>CH269-CG269</f>
        <v>7</v>
      </c>
      <c r="CI270" s="694">
        <f>CI269-CD269</f>
        <v>45</v>
      </c>
      <c r="CJ270" s="693">
        <f>CJ269-CI269</f>
        <v>4</v>
      </c>
      <c r="CK270" s="693">
        <f>CK269-CJ269</f>
        <v>0</v>
      </c>
      <c r="CL270" s="693">
        <f>CL269-CK269</f>
        <v>-3</v>
      </c>
      <c r="CM270" s="693">
        <f>CM269-CL269</f>
        <v>-1</v>
      </c>
      <c r="CN270" s="694">
        <f>CN269-CI269</f>
        <v>0</v>
      </c>
      <c r="CO270" s="693">
        <f>CO269-CN269</f>
        <v>2</v>
      </c>
      <c r="CP270" s="693">
        <f>CP269-CO269</f>
        <v>4</v>
      </c>
      <c r="CQ270" s="693">
        <f>CQ269-CN269</f>
        <v>57</v>
      </c>
      <c r="CR270" s="693">
        <f t="shared" ref="CR270:CW270" si="1093">CR269-CQ269</f>
        <v>0</v>
      </c>
      <c r="CS270" s="693">
        <f t="shared" si="1093"/>
        <v>40</v>
      </c>
      <c r="CT270" s="693">
        <f t="shared" si="1093"/>
        <v>20</v>
      </c>
      <c r="CU270" s="693">
        <f t="shared" si="1093"/>
        <v>20</v>
      </c>
      <c r="CV270" s="693">
        <f t="shared" si="1093"/>
        <v>20</v>
      </c>
      <c r="CW270" s="693">
        <f t="shared" si="1093"/>
        <v>20</v>
      </c>
      <c r="CX270" s="159"/>
      <c r="CY270" s="159"/>
      <c r="CZ270" s="159"/>
      <c r="DA270" s="159"/>
      <c r="DB270" s="159"/>
      <c r="DC270" s="169"/>
      <c r="DD270" s="169"/>
      <c r="DE270" s="169"/>
      <c r="DF270" s="169"/>
      <c r="DG270" s="169"/>
      <c r="DH270" s="169"/>
    </row>
    <row r="271" spans="1:112">
      <c r="A271" s="226" t="s">
        <v>676</v>
      </c>
      <c r="B271" s="720"/>
      <c r="C271" s="720"/>
      <c r="D271" s="720"/>
      <c r="E271" s="720"/>
      <c r="F271" s="720"/>
      <c r="G271" s="720"/>
      <c r="H271" s="720"/>
      <c r="I271" s="720"/>
      <c r="J271" s="720"/>
      <c r="K271" s="720"/>
      <c r="L271" s="720"/>
      <c r="M271" s="720"/>
      <c r="N271" s="720"/>
      <c r="O271" s="720"/>
      <c r="P271" s="720"/>
      <c r="Q271" s="720"/>
      <c r="R271" s="720"/>
      <c r="S271" s="720"/>
      <c r="T271" s="720"/>
      <c r="U271" s="720"/>
      <c r="V271" s="720"/>
      <c r="W271" s="720"/>
      <c r="X271" s="720"/>
      <c r="Y271" s="720"/>
      <c r="Z271" s="720"/>
      <c r="AA271" s="720"/>
      <c r="AB271" s="720"/>
      <c r="AC271" s="720"/>
      <c r="AD271" s="720"/>
      <c r="AE271" s="720"/>
      <c r="AF271" s="720"/>
      <c r="AG271" s="720"/>
      <c r="AH271" s="720"/>
      <c r="AI271" s="720"/>
      <c r="AJ271" s="720"/>
      <c r="AK271" s="720"/>
      <c r="AL271" s="720"/>
      <c r="AM271" s="720"/>
      <c r="AN271" s="720"/>
      <c r="AO271" s="720"/>
      <c r="AP271" s="720"/>
      <c r="AQ271" s="720"/>
      <c r="AR271" s="720"/>
      <c r="AS271" s="720"/>
      <c r="AT271" s="720"/>
      <c r="AU271" s="720"/>
      <c r="AV271" s="720"/>
      <c r="AW271" s="720"/>
      <c r="AX271" s="720"/>
      <c r="AY271" s="720"/>
      <c r="AZ271" s="720"/>
      <c r="BA271" s="720"/>
      <c r="BB271" s="720"/>
      <c r="BC271" s="720"/>
      <c r="BD271" s="720"/>
      <c r="BE271" s="720"/>
      <c r="BF271" s="720"/>
      <c r="BG271" s="720"/>
      <c r="BH271" s="720"/>
      <c r="BI271" s="720"/>
      <c r="BJ271" s="720"/>
      <c r="BK271" s="720"/>
      <c r="BL271" s="720"/>
      <c r="BM271" s="720"/>
      <c r="BN271" s="720"/>
      <c r="BO271" s="720"/>
      <c r="BP271" s="720"/>
      <c r="BQ271" s="720"/>
      <c r="BR271" s="720"/>
      <c r="BS271" s="720"/>
      <c r="BT271" s="693">
        <f>AVERAGE(BO269,BT269)</f>
        <v>448</v>
      </c>
      <c r="BU271" s="693">
        <f>AVERAGE(BT269,BU269)</f>
        <v>507</v>
      </c>
      <c r="BV271" s="693">
        <f t="shared" ref="BV271:CP271" si="1094">AVERAGE(BU269,BV269)</f>
        <v>532.5</v>
      </c>
      <c r="BW271" s="693">
        <f t="shared" si="1094"/>
        <v>554.5</v>
      </c>
      <c r="BX271" s="693">
        <f t="shared" si="1094"/>
        <v>575.5</v>
      </c>
      <c r="BY271" s="693">
        <f>AVERAGE(BT269,BY269)</f>
        <v>540.5</v>
      </c>
      <c r="BZ271" s="693">
        <f t="shared" si="1094"/>
        <v>599.5</v>
      </c>
      <c r="CA271" s="693">
        <f t="shared" si="1094"/>
        <v>623</v>
      </c>
      <c r="CB271" s="693">
        <f t="shared" si="1094"/>
        <v>646</v>
      </c>
      <c r="CC271" s="693">
        <f t="shared" si="1094"/>
        <v>668</v>
      </c>
      <c r="CD271" s="693">
        <f>AVERAGE(BY269,CD269)</f>
        <v>632.5</v>
      </c>
      <c r="CE271" s="693">
        <f t="shared" si="1094"/>
        <v>685</v>
      </c>
      <c r="CF271" s="693">
        <f t="shared" si="1094"/>
        <v>699.5</v>
      </c>
      <c r="CG271" s="693">
        <f t="shared" si="1094"/>
        <v>711.5</v>
      </c>
      <c r="CH271" s="693">
        <f t="shared" si="1094"/>
        <v>719.5</v>
      </c>
      <c r="CI271" s="693">
        <f>AVERAGE(CD269,CI269)</f>
        <v>700.5</v>
      </c>
      <c r="CJ271" s="693">
        <f t="shared" si="1094"/>
        <v>725</v>
      </c>
      <c r="CK271" s="693">
        <f t="shared" si="1094"/>
        <v>727</v>
      </c>
      <c r="CL271" s="693">
        <f t="shared" si="1094"/>
        <v>725.5</v>
      </c>
      <c r="CM271" s="693">
        <f t="shared" si="1094"/>
        <v>723.5</v>
      </c>
      <c r="CN271" s="693">
        <f>AVERAGE(CI269,CN269)</f>
        <v>723</v>
      </c>
      <c r="CO271" s="693">
        <f t="shared" si="1094"/>
        <v>724</v>
      </c>
      <c r="CP271" s="693">
        <f t="shared" si="1094"/>
        <v>727</v>
      </c>
      <c r="CQ271" s="693">
        <f>AVERAGE(CN269:CQ269)</f>
        <v>739.25</v>
      </c>
      <c r="CR271" s="693">
        <f t="shared" ref="CR271:CW271" si="1095">AVERAGE(CQ269:CR269)</f>
        <v>780</v>
      </c>
      <c r="CS271" s="693">
        <f t="shared" si="1095"/>
        <v>800</v>
      </c>
      <c r="CT271" s="693">
        <f t="shared" si="1095"/>
        <v>830</v>
      </c>
      <c r="CU271" s="693">
        <f t="shared" si="1095"/>
        <v>850</v>
      </c>
      <c r="CV271" s="693">
        <f t="shared" si="1095"/>
        <v>870</v>
      </c>
      <c r="CW271" s="693">
        <f t="shared" si="1095"/>
        <v>890</v>
      </c>
      <c r="CX271" s="159"/>
      <c r="CY271" s="159"/>
      <c r="CZ271" s="159"/>
      <c r="DA271" s="159"/>
      <c r="DB271" s="159"/>
      <c r="DC271" s="169"/>
      <c r="DD271" s="169"/>
      <c r="DE271" s="169"/>
      <c r="DF271" s="169"/>
      <c r="DG271" s="169"/>
      <c r="DH271" s="169"/>
    </row>
    <row r="272" spans="1:112">
      <c r="A272" s="235"/>
      <c r="B272" s="720"/>
      <c r="C272" s="720"/>
      <c r="D272" s="720"/>
      <c r="E272" s="720"/>
      <c r="F272" s="720"/>
      <c r="G272" s="720"/>
      <c r="H272" s="720"/>
      <c r="I272" s="720"/>
      <c r="J272" s="720"/>
      <c r="K272" s="720"/>
      <c r="L272" s="720"/>
      <c r="M272" s="720"/>
      <c r="N272" s="720"/>
      <c r="O272" s="720"/>
      <c r="P272" s="720"/>
      <c r="Q272" s="720"/>
      <c r="R272" s="720"/>
      <c r="S272" s="720"/>
      <c r="T272" s="720"/>
      <c r="U272" s="720"/>
      <c r="V272" s="720"/>
      <c r="W272" s="720"/>
      <c r="X272" s="720"/>
      <c r="Y272" s="720"/>
      <c r="Z272" s="720"/>
      <c r="AA272" s="720"/>
      <c r="AB272" s="720"/>
      <c r="AC272" s="720"/>
      <c r="AD272" s="720"/>
      <c r="AE272" s="720"/>
      <c r="AF272" s="720"/>
      <c r="AG272" s="720"/>
      <c r="AH272" s="720"/>
      <c r="AI272" s="720"/>
      <c r="AJ272" s="720"/>
      <c r="AK272" s="720"/>
      <c r="AL272" s="720"/>
      <c r="AM272" s="720"/>
      <c r="AN272" s="720"/>
      <c r="AO272" s="720"/>
      <c r="AP272" s="720"/>
      <c r="AQ272" s="720"/>
      <c r="AR272" s="720"/>
      <c r="AS272" s="720"/>
      <c r="AT272" s="720"/>
      <c r="AU272" s="720"/>
      <c r="AV272" s="720"/>
      <c r="AW272" s="720"/>
      <c r="AX272" s="720"/>
      <c r="AY272" s="720"/>
      <c r="AZ272" s="720"/>
      <c r="BA272" s="720"/>
      <c r="BB272" s="720"/>
      <c r="BC272" s="720"/>
      <c r="BD272" s="720"/>
      <c r="BE272" s="720"/>
      <c r="BF272" s="720"/>
      <c r="BG272" s="720"/>
      <c r="BH272" s="720"/>
      <c r="BI272" s="720"/>
      <c r="BJ272" s="720"/>
      <c r="BK272" s="720"/>
      <c r="BL272" s="720"/>
      <c r="BM272" s="720"/>
      <c r="BN272" s="720"/>
      <c r="BO272" s="720"/>
      <c r="BP272" s="720"/>
      <c r="BQ272" s="720"/>
      <c r="BR272" s="720"/>
      <c r="BS272" s="720"/>
      <c r="BT272" s="720"/>
      <c r="BU272" s="717"/>
      <c r="BV272" s="717"/>
      <c r="BW272" s="717"/>
      <c r="BX272" s="717"/>
      <c r="BY272" s="720"/>
      <c r="BZ272" s="717"/>
      <c r="CA272" s="717"/>
      <c r="CB272" s="717"/>
      <c r="CC272" s="717"/>
      <c r="CD272" s="720"/>
      <c r="CE272" s="717"/>
      <c r="CF272" s="717"/>
      <c r="CG272" s="717"/>
      <c r="CH272" s="717"/>
      <c r="CI272" s="720"/>
      <c r="CJ272" s="717"/>
      <c r="CK272" s="717"/>
      <c r="CL272" s="717"/>
      <c r="CM272" s="717"/>
      <c r="CN272" s="720"/>
      <c r="CO272" s="717"/>
      <c r="CP272" s="717"/>
      <c r="CQ272" s="720"/>
      <c r="CR272" s="720"/>
      <c r="CS272" s="720"/>
      <c r="CT272" s="720"/>
      <c r="CU272" s="720"/>
      <c r="CV272" s="720"/>
      <c r="CW272" s="720"/>
      <c r="CX272" s="159"/>
      <c r="CY272" s="159"/>
      <c r="CZ272" s="159"/>
      <c r="DA272" s="159"/>
      <c r="DB272" s="159"/>
      <c r="DC272" s="169"/>
      <c r="DD272" s="169"/>
      <c r="DE272" s="169"/>
      <c r="DF272" s="169"/>
      <c r="DG272" s="169"/>
      <c r="DH272" s="169"/>
    </row>
    <row r="273" spans="1:145">
      <c r="A273" s="235" t="s">
        <v>677</v>
      </c>
      <c r="B273" s="720"/>
      <c r="C273" s="720"/>
      <c r="D273" s="720"/>
      <c r="E273" s="720"/>
      <c r="F273" s="720"/>
      <c r="G273" s="720"/>
      <c r="H273" s="720"/>
      <c r="I273" s="720"/>
      <c r="J273" s="720"/>
      <c r="K273" s="720"/>
      <c r="L273" s="720"/>
      <c r="M273" s="720"/>
      <c r="N273" s="720"/>
      <c r="O273" s="720"/>
      <c r="P273" s="720"/>
      <c r="Q273" s="720"/>
      <c r="R273" s="720"/>
      <c r="S273" s="720"/>
      <c r="T273" s="720"/>
      <c r="U273" s="720"/>
      <c r="V273" s="720"/>
      <c r="W273" s="720"/>
      <c r="X273" s="720"/>
      <c r="Y273" s="720"/>
      <c r="Z273" s="720"/>
      <c r="AA273" s="720"/>
      <c r="AB273" s="720"/>
      <c r="AC273" s="720"/>
      <c r="AD273" s="720"/>
      <c r="AE273" s="720"/>
      <c r="AF273" s="720"/>
      <c r="AG273" s="720"/>
      <c r="AH273" s="720"/>
      <c r="AI273" s="720"/>
      <c r="AJ273" s="720"/>
      <c r="AK273" s="720"/>
      <c r="AL273" s="720"/>
      <c r="AM273" s="720"/>
      <c r="AN273" s="720"/>
      <c r="AO273" s="720"/>
      <c r="AP273" s="720"/>
      <c r="AQ273" s="720"/>
      <c r="AR273" s="720"/>
      <c r="AS273" s="720"/>
      <c r="AT273" s="720"/>
      <c r="AU273" s="720"/>
      <c r="AV273" s="720"/>
      <c r="AW273" s="720"/>
      <c r="AX273" s="720"/>
      <c r="AY273" s="720"/>
      <c r="AZ273" s="720"/>
      <c r="BA273" s="720"/>
      <c r="BB273" s="720"/>
      <c r="BC273" s="720"/>
      <c r="BD273" s="720"/>
      <c r="BE273" s="720"/>
      <c r="BF273" s="720"/>
      <c r="BG273" s="720"/>
      <c r="BH273" s="720"/>
      <c r="BI273" s="720"/>
      <c r="BJ273" s="720"/>
      <c r="BK273" s="720"/>
      <c r="BL273" s="720"/>
      <c r="BM273" s="720"/>
      <c r="BN273" s="720"/>
      <c r="BO273" s="720"/>
      <c r="BP273" s="720"/>
      <c r="BQ273" s="720"/>
      <c r="BR273" s="720"/>
      <c r="BS273" s="720"/>
      <c r="BT273" s="720"/>
      <c r="BU273" s="717">
        <f>BU264*BU271*3/1000</f>
        <v>163.96379999999999</v>
      </c>
      <c r="BV273" s="717">
        <f t="shared" ref="BV273:BW273" si="1096">BV264*BV271*3/1000</f>
        <v>173.00925000000001</v>
      </c>
      <c r="BW273" s="717">
        <f t="shared" si="1096"/>
        <v>179.65799999999999</v>
      </c>
      <c r="BX273" s="717">
        <f>BX264*BX271*3/1000</f>
        <v>187.32525000000001</v>
      </c>
      <c r="BY273" s="693">
        <f>SUM(BU273:BX273)</f>
        <v>703.95629999999994</v>
      </c>
      <c r="BZ273" s="717">
        <f>BZ264*BZ271*3/1000</f>
        <v>192.61934999999997</v>
      </c>
      <c r="CA273" s="717">
        <f>CA264*CA271*3/1000</f>
        <v>200.73059999999998</v>
      </c>
      <c r="CB273" s="717">
        <f>CB264*CB271*3/1000</f>
        <v>211.04820000000001</v>
      </c>
      <c r="CC273" s="717">
        <f>CC264*CC271*3/1000</f>
        <v>217.03319999999999</v>
      </c>
      <c r="CD273" s="693">
        <f>SUM(BZ273:CC273)</f>
        <v>821.43134999999995</v>
      </c>
      <c r="CE273" s="717">
        <f>CE264*CE271*3/1000</f>
        <v>225.22800000000001</v>
      </c>
      <c r="CF273" s="717">
        <f>CF264*CF271*3/1000</f>
        <v>230.62515000000002</v>
      </c>
      <c r="CG273" s="717">
        <f>CG264*CG271*3/1000</f>
        <v>231.80669999999998</v>
      </c>
      <c r="CH273" s="717">
        <f>CH264*CH271*3/1000</f>
        <v>236.13990000000001</v>
      </c>
      <c r="CI273" s="693">
        <f>SUM(CE273:CH273)</f>
        <v>923.79975000000002</v>
      </c>
      <c r="CJ273" s="717">
        <f>CJ264*CJ271*3/1000</f>
        <v>240.33750000000001</v>
      </c>
      <c r="CK273" s="717">
        <f>CK264*CK271*3/1000</f>
        <v>241.87290000000002</v>
      </c>
      <c r="CL273" s="717">
        <f>CL264*CL271*3/1000</f>
        <v>240.50325000000001</v>
      </c>
      <c r="CM273" s="717">
        <f>CM264*CM271*3/1000</f>
        <v>237.88679999999999</v>
      </c>
      <c r="CN273" s="693">
        <f>SUM(CJ273:CM273)</f>
        <v>960.60045000000002</v>
      </c>
      <c r="CO273" s="717">
        <f>CO264*CO271*3/1000</f>
        <v>238.92</v>
      </c>
      <c r="CP273" s="717">
        <f>CP264*CP271*3/1000</f>
        <v>241.00049999999999</v>
      </c>
      <c r="CQ273" s="693">
        <f t="shared" ref="CQ273:CW273" si="1097">CQ264*CQ271*12/1000</f>
        <v>959.49128630705411</v>
      </c>
      <c r="CR273" s="693">
        <f t="shared" si="1097"/>
        <v>1012.3817427385894</v>
      </c>
      <c r="CS273" s="693">
        <f t="shared" si="1097"/>
        <v>1038.3402489626556</v>
      </c>
      <c r="CT273" s="693">
        <f t="shared" si="1097"/>
        <v>1077.2780082987551</v>
      </c>
      <c r="CU273" s="693">
        <f t="shared" si="1097"/>
        <v>1103.2365145228216</v>
      </c>
      <c r="CV273" s="693">
        <f t="shared" si="1097"/>
        <v>1129.1950207468881</v>
      </c>
      <c r="CW273" s="693">
        <f t="shared" si="1097"/>
        <v>1155.1535269709545</v>
      </c>
      <c r="CX273" s="159"/>
      <c r="CY273" s="159"/>
      <c r="CZ273" s="159"/>
      <c r="DA273" s="159"/>
      <c r="DB273" s="159"/>
      <c r="DC273" s="169"/>
      <c r="DD273" s="169"/>
      <c r="DE273" s="169"/>
      <c r="DF273" s="169"/>
      <c r="DG273" s="169"/>
      <c r="DH273" s="169"/>
    </row>
    <row r="274" spans="1:145">
      <c r="A274" s="226" t="s">
        <v>0</v>
      </c>
      <c r="B274" s="204"/>
      <c r="C274" s="204"/>
      <c r="D274" s="204"/>
      <c r="E274" s="204"/>
      <c r="F274" s="204"/>
      <c r="G274" s="204"/>
      <c r="H274" s="204"/>
      <c r="I274" s="204"/>
      <c r="J274" s="204"/>
      <c r="K274" s="204"/>
      <c r="L274" s="204"/>
      <c r="M274" s="204"/>
      <c r="N274" s="204"/>
      <c r="O274" s="204"/>
      <c r="P274" s="204"/>
      <c r="Q274" s="204"/>
      <c r="R274" s="204"/>
      <c r="S274" s="204"/>
      <c r="T274" s="204"/>
      <c r="U274" s="204"/>
      <c r="V274" s="204"/>
      <c r="W274" s="204"/>
      <c r="X274" s="204"/>
      <c r="Y274" s="204"/>
      <c r="Z274" s="204"/>
      <c r="AA274" s="204"/>
      <c r="AB274" s="204"/>
      <c r="AC274" s="204"/>
      <c r="AD274" s="204"/>
      <c r="AE274" s="204"/>
      <c r="AF274" s="204"/>
      <c r="AG274" s="204"/>
      <c r="AH274" s="204"/>
      <c r="AI274" s="204"/>
      <c r="AJ274" s="204"/>
      <c r="AK274" s="204"/>
      <c r="AL274" s="204"/>
      <c r="AM274" s="204"/>
      <c r="AN274" s="204"/>
      <c r="AO274" s="204"/>
      <c r="AP274" s="204"/>
      <c r="AQ274" s="204"/>
      <c r="AR274" s="204"/>
      <c r="AS274" s="204"/>
      <c r="AT274" s="204"/>
      <c r="AU274" s="204"/>
      <c r="AV274" s="204"/>
      <c r="AW274" s="204"/>
      <c r="AX274" s="204"/>
      <c r="AY274" s="204"/>
      <c r="AZ274" s="204"/>
      <c r="BA274" s="204"/>
      <c r="BB274" s="204"/>
      <c r="BC274" s="204"/>
      <c r="BD274" s="204"/>
      <c r="BE274" s="204"/>
      <c r="BF274" s="204"/>
      <c r="BG274" s="204"/>
      <c r="BH274" s="204"/>
      <c r="BI274" s="204"/>
      <c r="BJ274" s="204"/>
      <c r="BK274" s="204"/>
      <c r="BL274" s="204"/>
      <c r="BM274" s="204"/>
      <c r="BN274" s="204"/>
      <c r="BO274" s="204"/>
      <c r="BP274" s="204"/>
      <c r="BQ274" s="204"/>
      <c r="BR274" s="204"/>
      <c r="BS274" s="204"/>
      <c r="BT274" s="204"/>
      <c r="BU274" s="185"/>
      <c r="BV274" s="185"/>
      <c r="BW274" s="185"/>
      <c r="BX274" s="185"/>
      <c r="BY274" s="204"/>
      <c r="BZ274" s="185">
        <f>IFERROR(BZ273/BU273-1,"")</f>
        <v>0.17476754015215534</v>
      </c>
      <c r="CA274" s="185">
        <f t="shared" ref="CA274:CP274" si="1098">IFERROR(CA273/BV273-1,"")</f>
        <v>0.16023045010599124</v>
      </c>
      <c r="CB274" s="185">
        <f t="shared" si="1098"/>
        <v>0.17472197174631821</v>
      </c>
      <c r="CC274" s="185">
        <f t="shared" si="1098"/>
        <v>0.15859020607205898</v>
      </c>
      <c r="CD274" s="185">
        <f t="shared" si="1098"/>
        <v>0.16687832753254717</v>
      </c>
      <c r="CE274" s="185">
        <f t="shared" si="1098"/>
        <v>0.169290624228563</v>
      </c>
      <c r="CF274" s="185">
        <f t="shared" si="1098"/>
        <v>0.14892871340991376</v>
      </c>
      <c r="CG274" s="185">
        <f t="shared" si="1098"/>
        <v>9.8359047838360913E-2</v>
      </c>
      <c r="CH274" s="185">
        <f t="shared" si="1098"/>
        <v>8.8035839677984784E-2</v>
      </c>
      <c r="CI274" s="185">
        <f t="shared" si="1098"/>
        <v>0.12462197845261214</v>
      </c>
      <c r="CJ274" s="185">
        <f t="shared" si="1098"/>
        <v>6.70853535084448E-2</v>
      </c>
      <c r="CK274" s="185">
        <f t="shared" si="1098"/>
        <v>4.8770699986536492E-2</v>
      </c>
      <c r="CL274" s="185">
        <f t="shared" si="1098"/>
        <v>3.75163875763731E-2</v>
      </c>
      <c r="CM274" s="185">
        <f t="shared" si="1098"/>
        <v>7.3977332928487627E-3</v>
      </c>
      <c r="CN274" s="185">
        <f t="shared" si="1098"/>
        <v>3.9836230741564949E-2</v>
      </c>
      <c r="CO274" s="185">
        <f t="shared" si="1098"/>
        <v>-5.8979559993759256E-3</v>
      </c>
      <c r="CP274" s="185">
        <f t="shared" si="1098"/>
        <v>-3.6068530207394867E-3</v>
      </c>
      <c r="CQ274" s="204">
        <f>CQ273/CN273-1</f>
        <v>-1.1546566451701157E-3</v>
      </c>
      <c r="CR274" s="204">
        <f t="shared" ref="CR274" si="1099">CR273/CQ273-1</f>
        <v>5.5123435914778529E-2</v>
      </c>
      <c r="CS274" s="204">
        <f t="shared" ref="CS274" si="1100">CS273/CR273-1</f>
        <v>2.5641025641025328E-2</v>
      </c>
      <c r="CT274" s="204">
        <f t="shared" ref="CT274" si="1101">CT273/CS273-1</f>
        <v>3.7500000000000089E-2</v>
      </c>
      <c r="CU274" s="204">
        <f t="shared" ref="CU274" si="1102">CU273/CT273-1</f>
        <v>2.4096385542168752E-2</v>
      </c>
      <c r="CV274" s="204">
        <f t="shared" ref="CV274" si="1103">CV273/CU273-1</f>
        <v>2.3529411764706021E-2</v>
      </c>
      <c r="CW274" s="204">
        <f t="shared" ref="CW274" si="1104">CW273/CV273-1</f>
        <v>2.2988505747126409E-2</v>
      </c>
      <c r="CX274" s="159"/>
      <c r="CY274" s="159"/>
      <c r="CZ274" s="159"/>
      <c r="DA274" s="159"/>
      <c r="DB274" s="159"/>
      <c r="DC274" s="169"/>
      <c r="DD274" s="169"/>
      <c r="DE274" s="169"/>
      <c r="DF274" s="169"/>
      <c r="DG274" s="169"/>
      <c r="DH274" s="169"/>
    </row>
    <row r="275" spans="1:145">
      <c r="A275" s="235"/>
      <c r="B275" s="204"/>
      <c r="C275" s="204"/>
      <c r="D275" s="204"/>
      <c r="E275" s="204"/>
      <c r="F275" s="204"/>
      <c r="G275" s="204"/>
      <c r="H275" s="204"/>
      <c r="I275" s="204"/>
      <c r="J275" s="204"/>
      <c r="K275" s="204"/>
      <c r="L275" s="204"/>
      <c r="M275" s="204"/>
      <c r="N275" s="204"/>
      <c r="O275" s="204"/>
      <c r="P275" s="204"/>
      <c r="Q275" s="204"/>
      <c r="R275" s="204"/>
      <c r="S275" s="204"/>
      <c r="T275" s="204"/>
      <c r="U275" s="204"/>
      <c r="V275" s="204"/>
      <c r="W275" s="204"/>
      <c r="X275" s="204"/>
      <c r="Y275" s="204"/>
      <c r="Z275" s="204"/>
      <c r="AA275" s="204"/>
      <c r="AB275" s="204"/>
      <c r="AC275" s="204"/>
      <c r="AD275" s="204"/>
      <c r="AE275" s="204"/>
      <c r="AF275" s="204"/>
      <c r="AG275" s="204"/>
      <c r="AH275" s="204"/>
      <c r="AI275" s="204"/>
      <c r="AJ275" s="204"/>
      <c r="AK275" s="204"/>
      <c r="AL275" s="204"/>
      <c r="AM275" s="204"/>
      <c r="AN275" s="204"/>
      <c r="AO275" s="204"/>
      <c r="AP275" s="204"/>
      <c r="AQ275" s="204"/>
      <c r="AR275" s="204"/>
      <c r="AS275" s="204"/>
      <c r="AT275" s="204"/>
      <c r="AU275" s="204"/>
      <c r="AV275" s="204"/>
      <c r="AW275" s="204"/>
      <c r="AX275" s="204"/>
      <c r="AY275" s="204"/>
      <c r="AZ275" s="204"/>
      <c r="BA275" s="204"/>
      <c r="BB275" s="204"/>
      <c r="BC275" s="204"/>
      <c r="BD275" s="204"/>
      <c r="BE275" s="204"/>
      <c r="BF275" s="204"/>
      <c r="BG275" s="204"/>
      <c r="BH275" s="204"/>
      <c r="BI275" s="204"/>
      <c r="BJ275" s="204"/>
      <c r="BK275" s="204"/>
      <c r="BL275" s="204"/>
      <c r="BM275" s="204"/>
      <c r="BN275" s="204"/>
      <c r="BO275" s="204"/>
      <c r="BP275" s="204"/>
      <c r="BQ275" s="204"/>
      <c r="BR275" s="204"/>
      <c r="BS275" s="204"/>
      <c r="BT275" s="204"/>
      <c r="BU275" s="185"/>
      <c r="BV275" s="185"/>
      <c r="BW275" s="185"/>
      <c r="BX275" s="185"/>
      <c r="BY275" s="204"/>
      <c r="BZ275" s="185"/>
      <c r="CA275" s="185"/>
      <c r="CB275" s="185"/>
      <c r="CC275" s="185"/>
      <c r="CD275" s="204"/>
      <c r="CE275" s="185"/>
      <c r="CF275" s="185"/>
      <c r="CG275" s="185"/>
      <c r="CH275" s="185"/>
      <c r="CI275" s="204"/>
      <c r="CJ275" s="185"/>
      <c r="CK275" s="185"/>
      <c r="CL275" s="185"/>
      <c r="CM275" s="185"/>
      <c r="CN275" s="204"/>
      <c r="CO275" s="185"/>
      <c r="CP275" s="185"/>
      <c r="CQ275" s="204"/>
      <c r="CR275" s="204"/>
      <c r="CS275" s="204"/>
      <c r="CT275" s="204"/>
      <c r="CU275" s="204"/>
      <c r="CV275" s="204"/>
      <c r="CW275" s="204"/>
      <c r="CX275" s="159"/>
      <c r="CY275" s="159"/>
      <c r="CZ275" s="159"/>
      <c r="DA275" s="159"/>
      <c r="DB275" s="159"/>
      <c r="DC275" s="169"/>
      <c r="DD275" s="169"/>
      <c r="DE275" s="169"/>
      <c r="DF275" s="169"/>
      <c r="DG275" s="169"/>
      <c r="DH275" s="169"/>
    </row>
    <row r="276" spans="1:145" s="159" customFormat="1">
      <c r="A276" s="226" t="s">
        <v>639</v>
      </c>
      <c r="B276" s="720"/>
      <c r="C276" s="720"/>
      <c r="D276" s="720"/>
      <c r="E276" s="720"/>
      <c r="F276" s="720"/>
      <c r="G276" s="720"/>
      <c r="H276" s="720"/>
      <c r="I276" s="720"/>
      <c r="J276" s="720"/>
      <c r="K276" s="720"/>
      <c r="L276" s="720"/>
      <c r="M276" s="720"/>
      <c r="N276" s="720"/>
      <c r="O276" s="720"/>
      <c r="P276" s="720"/>
      <c r="Q276" s="720"/>
      <c r="R276" s="720"/>
      <c r="S276" s="720"/>
      <c r="T276" s="720"/>
      <c r="U276" s="720"/>
      <c r="V276" s="720"/>
      <c r="W276" s="720"/>
      <c r="X276" s="720"/>
      <c r="Y276" s="720"/>
      <c r="Z276" s="720"/>
      <c r="AA276" s="720"/>
      <c r="AB276" s="720"/>
      <c r="AC276" s="720"/>
      <c r="AD276" s="720"/>
      <c r="AE276" s="720"/>
      <c r="AF276" s="720"/>
      <c r="AG276" s="720"/>
      <c r="AH276" s="720"/>
      <c r="AI276" s="720"/>
      <c r="AJ276" s="720"/>
      <c r="AK276" s="720"/>
      <c r="AL276" s="720"/>
      <c r="AM276" s="720"/>
      <c r="AN276" s="720"/>
      <c r="AO276" s="720"/>
      <c r="AP276" s="720"/>
      <c r="AQ276" s="720"/>
      <c r="AR276" s="720"/>
      <c r="AS276" s="720"/>
      <c r="AT276" s="720"/>
      <c r="AU276" s="720"/>
      <c r="AV276" s="720"/>
      <c r="AW276" s="720"/>
      <c r="AX276" s="720"/>
      <c r="AY276" s="720"/>
      <c r="AZ276" s="720"/>
      <c r="BA276" s="720"/>
      <c r="BB276" s="720"/>
      <c r="BC276" s="720"/>
      <c r="BD276" s="720"/>
      <c r="BE276" s="720"/>
      <c r="BF276" s="720"/>
      <c r="BG276" s="720"/>
      <c r="BH276" s="720"/>
      <c r="BI276" s="720"/>
      <c r="BJ276" s="720"/>
      <c r="BK276" s="720"/>
      <c r="BL276" s="720"/>
      <c r="BM276" s="720"/>
      <c r="BN276" s="720"/>
      <c r="BO276" s="720"/>
      <c r="BP276" s="720"/>
      <c r="BQ276" s="720"/>
      <c r="BR276" s="720"/>
      <c r="BS276" s="720"/>
      <c r="BT276" s="720"/>
      <c r="BU276" s="693">
        <f>BU277-BU273</f>
        <v>-0.963799999999992</v>
      </c>
      <c r="BV276" s="693">
        <f t="shared" ref="BV276:BZ276" si="1105">BV277-BV273</f>
        <v>-9.2500000000086402E-3</v>
      </c>
      <c r="BW276" s="693">
        <f t="shared" si="1105"/>
        <v>0.34200000000001296</v>
      </c>
      <c r="BX276" s="693">
        <f t="shared" si="1105"/>
        <v>-0.32525000000001114</v>
      </c>
      <c r="BY276" s="693">
        <f t="shared" si="1105"/>
        <v>-0.95629999999994197</v>
      </c>
      <c r="BZ276" s="693">
        <f t="shared" si="1105"/>
        <v>-0.61934999999996876</v>
      </c>
      <c r="CA276" s="693">
        <f t="shared" ref="CA276:CB276" si="1106">CA277-CA273</f>
        <v>0.26940000000001874</v>
      </c>
      <c r="CB276" s="693">
        <f t="shared" si="1106"/>
        <v>-10.048200000000008</v>
      </c>
      <c r="CC276" s="693">
        <f t="shared" ref="CC276:CD276" si="1107">CC277-CC273</f>
        <v>-2.0331999999999937</v>
      </c>
      <c r="CD276" s="693">
        <f t="shared" si="1107"/>
        <v>-12.431349999999952</v>
      </c>
      <c r="CE276" s="693">
        <f t="shared" ref="CE276:CF276" si="1108">CE277-CE273</f>
        <v>-9.2280000000000086</v>
      </c>
      <c r="CF276" s="693">
        <f t="shared" si="1108"/>
        <v>-6.6251500000000192</v>
      </c>
      <c r="CG276" s="693">
        <f t="shared" ref="CG276:CJ276" si="1109">CG277-CG273</f>
        <v>-6.806699999999978</v>
      </c>
      <c r="CH276" s="693">
        <f t="shared" si="1109"/>
        <v>-14.139900000000011</v>
      </c>
      <c r="CI276" s="693">
        <f t="shared" si="1109"/>
        <v>-36.799750000000017</v>
      </c>
      <c r="CJ276" s="693">
        <f t="shared" si="1109"/>
        <v>-10.337500000000006</v>
      </c>
      <c r="CK276" s="693">
        <f t="shared" ref="CK276:CL276" si="1110">CK277-CK273</f>
        <v>-241.87290000000002</v>
      </c>
      <c r="CL276" s="693">
        <f t="shared" si="1110"/>
        <v>-240.50325000000001</v>
      </c>
      <c r="CM276" s="693">
        <f t="shared" ref="CM276:CP276" si="1111">CM277-CM273</f>
        <v>-237.88679999999999</v>
      </c>
      <c r="CN276" s="693">
        <f t="shared" si="1111"/>
        <v>-40.600450000000023</v>
      </c>
      <c r="CO276" s="693">
        <f t="shared" si="1111"/>
        <v>-238.92</v>
      </c>
      <c r="CP276" s="693">
        <f t="shared" si="1111"/>
        <v>-241.00049999999999</v>
      </c>
      <c r="CQ276" s="722">
        <f>CN276/CN273*CQ273</f>
        <v>-40.553570420610626</v>
      </c>
      <c r="CR276" s="722">
        <f t="shared" ref="CR276:CW276" si="1112">CQ276/CQ273*CR273</f>
        <v>-42.789022560806615</v>
      </c>
      <c r="CS276" s="722">
        <f t="shared" si="1112"/>
        <v>-43.886176985442674</v>
      </c>
      <c r="CT276" s="722">
        <f t="shared" si="1112"/>
        <v>-45.53190862239677</v>
      </c>
      <c r="CU276" s="722">
        <f t="shared" si="1112"/>
        <v>-46.629063047032844</v>
      </c>
      <c r="CV276" s="722">
        <f t="shared" si="1112"/>
        <v>-47.72621747166891</v>
      </c>
      <c r="CW276" s="722">
        <f t="shared" si="1112"/>
        <v>-48.823371896304984</v>
      </c>
    </row>
    <row r="277" spans="1:145" s="165" customFormat="1">
      <c r="A277" s="283" t="s">
        <v>679</v>
      </c>
      <c r="B277" s="724"/>
      <c r="C277" s="724"/>
      <c r="D277" s="724"/>
      <c r="E277" s="724"/>
      <c r="F277" s="724"/>
      <c r="G277" s="724"/>
      <c r="H277" s="724"/>
      <c r="I277" s="724"/>
      <c r="J277" s="724"/>
      <c r="K277" s="724"/>
      <c r="L277" s="724"/>
      <c r="M277" s="724"/>
      <c r="N277" s="724"/>
      <c r="O277" s="724"/>
      <c r="P277" s="724"/>
      <c r="Q277" s="724"/>
      <c r="R277" s="724"/>
      <c r="S277" s="724"/>
      <c r="T277" s="724"/>
      <c r="U277" s="724"/>
      <c r="V277" s="724"/>
      <c r="W277" s="724"/>
      <c r="X277" s="724"/>
      <c r="Y277" s="724"/>
      <c r="Z277" s="724"/>
      <c r="AA277" s="724"/>
      <c r="AB277" s="724"/>
      <c r="AC277" s="724"/>
      <c r="AD277" s="724"/>
      <c r="AE277" s="724"/>
      <c r="AF277" s="724"/>
      <c r="AG277" s="724"/>
      <c r="AH277" s="724"/>
      <c r="AI277" s="724"/>
      <c r="AJ277" s="724"/>
      <c r="AK277" s="724"/>
      <c r="AL277" s="724"/>
      <c r="AM277" s="724"/>
      <c r="AN277" s="724"/>
      <c r="AO277" s="724"/>
      <c r="AP277" s="724"/>
      <c r="AQ277" s="724"/>
      <c r="AR277" s="724"/>
      <c r="AS277" s="724"/>
      <c r="AT277" s="724"/>
      <c r="AU277" s="724"/>
      <c r="AV277" s="724"/>
      <c r="AW277" s="724"/>
      <c r="AX277" s="724"/>
      <c r="AY277" s="724"/>
      <c r="AZ277" s="724"/>
      <c r="BA277" s="724"/>
      <c r="BB277" s="724"/>
      <c r="BC277" s="724"/>
      <c r="BD277" s="724"/>
      <c r="BE277" s="724"/>
      <c r="BF277" s="724"/>
      <c r="BG277" s="724"/>
      <c r="BH277" s="724"/>
      <c r="BI277" s="724"/>
      <c r="BJ277" s="724"/>
      <c r="BK277" s="724"/>
      <c r="BL277" s="724"/>
      <c r="BM277" s="724"/>
      <c r="BN277" s="724"/>
      <c r="BO277" s="700"/>
      <c r="BP277" s="724"/>
      <c r="BQ277" s="724"/>
      <c r="BR277" s="724"/>
      <c r="BS277" s="724"/>
      <c r="BT277" s="724"/>
      <c r="BU277" s="700">
        <f>BU412</f>
        <v>163</v>
      </c>
      <c r="BV277" s="700">
        <f t="shared" ref="BV277:BX277" si="1113">BV412</f>
        <v>173</v>
      </c>
      <c r="BW277" s="700">
        <f t="shared" si="1113"/>
        <v>180</v>
      </c>
      <c r="BX277" s="700">
        <f t="shared" si="1113"/>
        <v>187</v>
      </c>
      <c r="BY277" s="700">
        <f>BY412</f>
        <v>703</v>
      </c>
      <c r="BZ277" s="700">
        <f t="shared" ref="BZ277:CA277" si="1114">BZ412</f>
        <v>192</v>
      </c>
      <c r="CA277" s="700">
        <f t="shared" si="1114"/>
        <v>201</v>
      </c>
      <c r="CB277" s="700">
        <f t="shared" ref="CB277:CC277" si="1115">CB412</f>
        <v>201</v>
      </c>
      <c r="CC277" s="700">
        <f t="shared" si="1115"/>
        <v>215</v>
      </c>
      <c r="CD277" s="700">
        <f>CD412</f>
        <v>809</v>
      </c>
      <c r="CE277" s="700">
        <f t="shared" ref="CE277:CF277" si="1116">CE412</f>
        <v>216</v>
      </c>
      <c r="CF277" s="700">
        <f t="shared" si="1116"/>
        <v>224</v>
      </c>
      <c r="CG277" s="700">
        <f t="shared" ref="CG277:CH277" si="1117">CG412</f>
        <v>225</v>
      </c>
      <c r="CH277" s="700">
        <f t="shared" si="1117"/>
        <v>222</v>
      </c>
      <c r="CI277" s="700">
        <f>CI412</f>
        <v>887</v>
      </c>
      <c r="CJ277" s="700">
        <f t="shared" ref="CJ277:CK277" si="1118">CJ412</f>
        <v>230</v>
      </c>
      <c r="CK277" s="700">
        <f t="shared" si="1118"/>
        <v>0</v>
      </c>
      <c r="CL277" s="700">
        <f t="shared" ref="CL277:CM277" si="1119">CL412</f>
        <v>0</v>
      </c>
      <c r="CM277" s="700">
        <f t="shared" si="1119"/>
        <v>0</v>
      </c>
      <c r="CN277" s="700">
        <f>CN412</f>
        <v>920</v>
      </c>
      <c r="CO277" s="700">
        <f t="shared" ref="CO277:CP277" si="1120">CO412</f>
        <v>0</v>
      </c>
      <c r="CP277" s="700">
        <f t="shared" si="1120"/>
        <v>0</v>
      </c>
      <c r="CQ277" s="724">
        <f t="shared" ref="CQ277:CW277" si="1121">CQ273+CQ276</f>
        <v>918.93771588644347</v>
      </c>
      <c r="CR277" s="724">
        <f t="shared" si="1121"/>
        <v>969.59272017778278</v>
      </c>
      <c r="CS277" s="724">
        <f t="shared" si="1121"/>
        <v>994.45407197721283</v>
      </c>
      <c r="CT277" s="724">
        <f t="shared" si="1121"/>
        <v>1031.7460996763584</v>
      </c>
      <c r="CU277" s="724">
        <f t="shared" si="1121"/>
        <v>1056.6074514757888</v>
      </c>
      <c r="CV277" s="724">
        <f t="shared" si="1121"/>
        <v>1081.4688032752192</v>
      </c>
      <c r="CW277" s="724">
        <f t="shared" si="1121"/>
        <v>1106.3301550746496</v>
      </c>
    </row>
    <row r="278" spans="1:145">
      <c r="A278" s="235"/>
      <c r="B278" s="204"/>
      <c r="C278" s="204"/>
      <c r="D278" s="204"/>
      <c r="E278" s="204"/>
      <c r="F278" s="204"/>
      <c r="G278" s="204"/>
      <c r="H278" s="204"/>
      <c r="I278" s="204"/>
      <c r="J278" s="204"/>
      <c r="K278" s="204"/>
      <c r="L278" s="204"/>
      <c r="M278" s="204"/>
      <c r="N278" s="204"/>
      <c r="O278" s="204"/>
      <c r="P278" s="204"/>
      <c r="Q278" s="204"/>
      <c r="R278" s="204"/>
      <c r="S278" s="204"/>
      <c r="T278" s="204"/>
      <c r="U278" s="204"/>
      <c r="V278" s="204"/>
      <c r="W278" s="204"/>
      <c r="X278" s="204"/>
      <c r="Y278" s="204"/>
      <c r="Z278" s="204"/>
      <c r="AA278" s="204"/>
      <c r="AB278" s="204"/>
      <c r="AC278" s="204"/>
      <c r="AD278" s="204"/>
      <c r="AE278" s="204"/>
      <c r="AF278" s="204"/>
      <c r="AG278" s="204"/>
      <c r="AH278" s="204"/>
      <c r="AI278" s="204"/>
      <c r="AJ278" s="204"/>
      <c r="AK278" s="204"/>
      <c r="AL278" s="204"/>
      <c r="AM278" s="204"/>
      <c r="AN278" s="204"/>
      <c r="AO278" s="204"/>
      <c r="AP278" s="204"/>
      <c r="AQ278" s="204"/>
      <c r="AR278" s="204"/>
      <c r="AS278" s="204"/>
      <c r="AT278" s="204"/>
      <c r="AU278" s="204"/>
      <c r="AV278" s="204"/>
      <c r="AW278" s="204"/>
      <c r="AX278" s="204"/>
      <c r="AY278" s="204"/>
      <c r="AZ278" s="204"/>
      <c r="BA278" s="204"/>
      <c r="BB278" s="204"/>
      <c r="BC278" s="204"/>
      <c r="BD278" s="204"/>
      <c r="BE278" s="204"/>
      <c r="BF278" s="204"/>
      <c r="BG278" s="204"/>
      <c r="BH278" s="204"/>
      <c r="BI278" s="204"/>
      <c r="BJ278" s="204"/>
      <c r="BK278" s="204"/>
      <c r="BL278" s="204"/>
      <c r="BM278" s="204"/>
      <c r="BN278" s="204"/>
      <c r="BO278" s="204"/>
      <c r="BP278" s="204"/>
      <c r="BQ278" s="204"/>
      <c r="BR278" s="204"/>
      <c r="BS278" s="204"/>
      <c r="BT278" s="204"/>
      <c r="BU278" s="185"/>
      <c r="BV278" s="185"/>
      <c r="BW278" s="185"/>
      <c r="BX278" s="185"/>
      <c r="BY278" s="204"/>
      <c r="BZ278" s="204">
        <f>BZ277/BU277-1</f>
        <v>0.17791411042944794</v>
      </c>
      <c r="CA278" s="204">
        <f>CA277/BV277-1</f>
        <v>0.16184971098265888</v>
      </c>
      <c r="CB278" s="204">
        <f>CB277/BW277-1</f>
        <v>0.1166666666666667</v>
      </c>
      <c r="CC278" s="204">
        <f>CC277/BX277-1</f>
        <v>0.14973262032085555</v>
      </c>
      <c r="CD278" s="204">
        <f>CD277/BY277-1</f>
        <v>0.15078236130867717</v>
      </c>
      <c r="CE278" s="204">
        <f t="shared" ref="CE278:CP278" si="1122">CE277/BZ277-1</f>
        <v>0.125</v>
      </c>
      <c r="CF278" s="204">
        <f t="shared" si="1122"/>
        <v>0.11442786069651745</v>
      </c>
      <c r="CG278" s="204">
        <f t="shared" si="1122"/>
        <v>0.11940298507462677</v>
      </c>
      <c r="CH278" s="204">
        <f t="shared" si="1122"/>
        <v>3.2558139534883734E-2</v>
      </c>
      <c r="CI278" s="204">
        <f>CI277/CD277-1</f>
        <v>9.6415327564894904E-2</v>
      </c>
      <c r="CJ278" s="204">
        <f t="shared" si="1122"/>
        <v>6.4814814814814881E-2</v>
      </c>
      <c r="CK278" s="204">
        <f t="shared" si="1122"/>
        <v>-1</v>
      </c>
      <c r="CL278" s="204">
        <f t="shared" si="1122"/>
        <v>-1</v>
      </c>
      <c r="CM278" s="204">
        <f t="shared" si="1122"/>
        <v>-1</v>
      </c>
      <c r="CN278" s="204">
        <f>CN277/CI277-1</f>
        <v>3.7204058624577208E-2</v>
      </c>
      <c r="CO278" s="204">
        <f t="shared" si="1122"/>
        <v>-1</v>
      </c>
      <c r="CP278" s="204" t="e">
        <f t="shared" si="1122"/>
        <v>#DIV/0!</v>
      </c>
      <c r="CQ278" s="204">
        <f>CQ277/CN277-1</f>
        <v>-1.1546566451701157E-3</v>
      </c>
      <c r="CR278" s="204">
        <f t="shared" ref="CR278:CW278" si="1123">CR277/CQ277-1</f>
        <v>5.5123435914778529E-2</v>
      </c>
      <c r="CS278" s="204">
        <f t="shared" si="1123"/>
        <v>2.5641025641025328E-2</v>
      </c>
      <c r="CT278" s="204">
        <f t="shared" si="1123"/>
        <v>3.7500000000000089E-2</v>
      </c>
      <c r="CU278" s="204">
        <f t="shared" si="1123"/>
        <v>2.4096385542168752E-2</v>
      </c>
      <c r="CV278" s="204">
        <f t="shared" si="1123"/>
        <v>2.3529411764706021E-2</v>
      </c>
      <c r="CW278" s="204">
        <f t="shared" si="1123"/>
        <v>2.2988505747126409E-2</v>
      </c>
      <c r="CX278" s="159"/>
      <c r="CY278" s="159"/>
      <c r="CZ278" s="159"/>
      <c r="DA278" s="159"/>
      <c r="DB278" s="159"/>
      <c r="DC278" s="169"/>
      <c r="DD278" s="169"/>
      <c r="DE278" s="169"/>
      <c r="DF278" s="169"/>
      <c r="DG278" s="169"/>
      <c r="DH278" s="169"/>
    </row>
    <row r="279" spans="1:145">
      <c r="A279" s="235"/>
      <c r="B279" s="204"/>
      <c r="C279" s="204"/>
      <c r="D279" s="204"/>
      <c r="E279" s="204"/>
      <c r="F279" s="204"/>
      <c r="G279" s="204"/>
      <c r="H279" s="204"/>
      <c r="I279" s="204"/>
      <c r="J279" s="204"/>
      <c r="K279" s="204"/>
      <c r="L279" s="204"/>
      <c r="M279" s="204"/>
      <c r="N279" s="204"/>
      <c r="O279" s="204"/>
      <c r="P279" s="204"/>
      <c r="Q279" s="204"/>
      <c r="R279" s="204"/>
      <c r="S279" s="204"/>
      <c r="T279" s="204"/>
      <c r="U279" s="204"/>
      <c r="V279" s="204"/>
      <c r="W279" s="204"/>
      <c r="X279" s="204"/>
      <c r="Y279" s="204"/>
      <c r="Z279" s="204"/>
      <c r="AA279" s="204"/>
      <c r="AB279" s="204"/>
      <c r="AC279" s="204"/>
      <c r="AD279" s="204"/>
      <c r="AE279" s="204"/>
      <c r="AF279" s="204"/>
      <c r="AG279" s="204"/>
      <c r="AH279" s="204"/>
      <c r="AI279" s="204"/>
      <c r="AJ279" s="204"/>
      <c r="AK279" s="204"/>
      <c r="AL279" s="204"/>
      <c r="AM279" s="204"/>
      <c r="AN279" s="204"/>
      <c r="AO279" s="204"/>
      <c r="AP279" s="204"/>
      <c r="AQ279" s="204"/>
      <c r="AR279" s="204"/>
      <c r="AS279" s="204"/>
      <c r="AT279" s="204"/>
      <c r="AU279" s="204"/>
      <c r="AV279" s="204"/>
      <c r="AW279" s="204"/>
      <c r="AX279" s="204"/>
      <c r="AY279" s="204"/>
      <c r="AZ279" s="204"/>
      <c r="BA279" s="204"/>
      <c r="BB279" s="204"/>
      <c r="BC279" s="204"/>
      <c r="BD279" s="204"/>
      <c r="BE279" s="204"/>
      <c r="BF279" s="204"/>
      <c r="BG279" s="204"/>
      <c r="BH279" s="204"/>
      <c r="BI279" s="204"/>
      <c r="BJ279" s="204"/>
      <c r="BK279" s="204"/>
      <c r="BL279" s="204"/>
      <c r="BM279" s="204"/>
      <c r="BN279" s="204"/>
      <c r="BO279" s="204"/>
      <c r="BP279" s="204"/>
      <c r="BQ279" s="204"/>
      <c r="BR279" s="204"/>
      <c r="BS279" s="204"/>
      <c r="BT279" s="204"/>
      <c r="BU279" s="185"/>
      <c r="BV279" s="185"/>
      <c r="BW279" s="185"/>
      <c r="BX279" s="185"/>
      <c r="BY279" s="204"/>
      <c r="BZ279" s="185"/>
      <c r="CA279" s="185"/>
      <c r="CB279" s="185"/>
      <c r="CC279" s="185"/>
      <c r="CD279" s="204"/>
      <c r="CE279" s="185"/>
      <c r="CF279" s="185"/>
      <c r="CG279" s="185"/>
      <c r="CH279" s="185"/>
      <c r="CI279" s="204"/>
      <c r="CJ279" s="185"/>
      <c r="CK279" s="185"/>
      <c r="CL279" s="185"/>
      <c r="CM279" s="185"/>
      <c r="CN279" s="204"/>
      <c r="CO279" s="185"/>
      <c r="CP279" s="185"/>
      <c r="CQ279" s="204"/>
      <c r="CR279" s="204"/>
      <c r="CS279" s="204"/>
      <c r="CT279" s="204"/>
      <c r="CU279" s="204"/>
      <c r="CV279" s="204"/>
      <c r="CW279" s="204"/>
      <c r="CX279" s="159"/>
      <c r="CY279" s="159"/>
      <c r="CZ279" s="159"/>
      <c r="DA279" s="159"/>
      <c r="DB279" s="159"/>
      <c r="DC279" s="169"/>
      <c r="DD279" s="169"/>
      <c r="DE279" s="169"/>
      <c r="DF279" s="169"/>
      <c r="DG279" s="169"/>
      <c r="DH279" s="169"/>
    </row>
    <row r="280" spans="1:145">
      <c r="A280" s="279" t="s">
        <v>584</v>
      </c>
      <c r="B280" s="720"/>
      <c r="C280" s="720"/>
      <c r="D280" s="720"/>
      <c r="E280" s="720"/>
      <c r="F280" s="720"/>
      <c r="G280" s="720"/>
      <c r="H280" s="720"/>
      <c r="I280" s="720"/>
      <c r="J280" s="720"/>
      <c r="K280" s="720"/>
      <c r="L280" s="720"/>
      <c r="M280" s="720"/>
      <c r="N280" s="720"/>
      <c r="O280" s="720"/>
      <c r="P280" s="720"/>
      <c r="Q280" s="720"/>
      <c r="R280" s="720"/>
      <c r="S280" s="720"/>
      <c r="T280" s="720"/>
      <c r="U280" s="720"/>
      <c r="V280" s="720"/>
      <c r="W280" s="720"/>
      <c r="X280" s="720"/>
      <c r="Y280" s="720"/>
      <c r="Z280" s="720"/>
      <c r="AA280" s="720"/>
      <c r="AB280" s="720"/>
      <c r="AC280" s="720"/>
      <c r="AD280" s="720"/>
      <c r="AE280" s="720"/>
      <c r="AF280" s="720"/>
      <c r="AG280" s="720"/>
      <c r="AH280" s="720"/>
      <c r="AI280" s="720"/>
      <c r="AJ280" s="720"/>
      <c r="AK280" s="720"/>
      <c r="AL280" s="720"/>
      <c r="AM280" s="720"/>
      <c r="AN280" s="720"/>
      <c r="AO280" s="720"/>
      <c r="AP280" s="720"/>
      <c r="AQ280" s="720"/>
      <c r="AR280" s="720"/>
      <c r="AS280" s="720"/>
      <c r="AT280" s="720"/>
      <c r="AU280" s="720"/>
      <c r="AV280" s="720"/>
      <c r="AW280" s="720"/>
      <c r="AX280" s="720"/>
      <c r="AY280" s="720"/>
      <c r="AZ280" s="720"/>
      <c r="BA280" s="720"/>
      <c r="BB280" s="720"/>
      <c r="BC280" s="720"/>
      <c r="BD280" s="720"/>
      <c r="BE280" s="720"/>
      <c r="BF280" s="720"/>
      <c r="BG280" s="720"/>
      <c r="BH280" s="720"/>
      <c r="BI280" s="720"/>
      <c r="BJ280" s="720"/>
      <c r="BK280" s="720"/>
      <c r="BL280" s="720"/>
      <c r="BM280" s="720"/>
      <c r="BN280" s="720"/>
      <c r="BO280" s="720"/>
      <c r="BP280" s="720"/>
      <c r="BQ280" s="720"/>
      <c r="BR280" s="720"/>
      <c r="BS280" s="720"/>
      <c r="BT280" s="720"/>
      <c r="BU280" s="717"/>
      <c r="BV280" s="717"/>
      <c r="BW280" s="717"/>
      <c r="BX280" s="717"/>
      <c r="BY280" s="694">
        <f t="shared" ref="BY280:CD280" si="1124">BY426</f>
        <v>1525</v>
      </c>
      <c r="BZ280" s="694">
        <f t="shared" si="1124"/>
        <v>365</v>
      </c>
      <c r="CA280" s="694">
        <f t="shared" si="1124"/>
        <v>362</v>
      </c>
      <c r="CB280" s="694">
        <f t="shared" si="1124"/>
        <v>380</v>
      </c>
      <c r="CC280" s="694">
        <f t="shared" si="1124"/>
        <v>401</v>
      </c>
      <c r="CD280" s="694">
        <f t="shared" si="1124"/>
        <v>1508</v>
      </c>
      <c r="CE280" s="694">
        <f t="shared" ref="CE280:CF280" si="1125">CE426</f>
        <v>387</v>
      </c>
      <c r="CF280" s="694">
        <f t="shared" si="1125"/>
        <v>401</v>
      </c>
      <c r="CG280" s="694">
        <f t="shared" ref="CG280:CJ280" si="1126">CG426</f>
        <v>396</v>
      </c>
      <c r="CH280" s="694">
        <f t="shared" si="1126"/>
        <v>426</v>
      </c>
      <c r="CI280" s="694">
        <f t="shared" si="1126"/>
        <v>1610</v>
      </c>
      <c r="CJ280" s="694">
        <f t="shared" si="1126"/>
        <v>398</v>
      </c>
      <c r="CK280" s="694">
        <f t="shared" ref="CK280:CL280" si="1127">CK426</f>
        <v>407</v>
      </c>
      <c r="CL280" s="694">
        <f t="shared" si="1127"/>
        <v>418</v>
      </c>
      <c r="CM280" s="694">
        <f t="shared" ref="CM280:CP280" si="1128">CM426</f>
        <v>442</v>
      </c>
      <c r="CN280" s="694">
        <f t="shared" si="1128"/>
        <v>1665</v>
      </c>
      <c r="CO280" s="694">
        <f t="shared" si="1128"/>
        <v>419</v>
      </c>
      <c r="CP280" s="694">
        <f t="shared" si="1128"/>
        <v>416</v>
      </c>
      <c r="CQ280" s="693">
        <f>CN280*(1+CQ281)</f>
        <v>1669.1624999999999</v>
      </c>
      <c r="CR280" s="693">
        <f t="shared" ref="CR280" si="1129">CQ280*(1+CR281)</f>
        <v>1752.620625</v>
      </c>
      <c r="CS280" s="693">
        <f t="shared" ref="CS280" si="1130">CR280*(1+CS281)</f>
        <v>1840.25165625</v>
      </c>
      <c r="CT280" s="693">
        <f t="shared" ref="CT280" si="1131">CS280*(1+CT281)</f>
        <v>1932.2642390625001</v>
      </c>
      <c r="CU280" s="693">
        <f t="shared" ref="CU280" si="1132">CT280*(1+CU281)</f>
        <v>2028.8774510156252</v>
      </c>
      <c r="CV280" s="693">
        <f t="shared" ref="CV280" si="1133">CU280*(1+CV281)</f>
        <v>2130.3213235664066</v>
      </c>
      <c r="CW280" s="693">
        <f t="shared" ref="CW280" si="1134">CV280*(1+CW281)</f>
        <v>2236.8373897447268</v>
      </c>
      <c r="CX280" s="159"/>
      <c r="CY280" s="159"/>
      <c r="CZ280" s="159"/>
      <c r="DA280" s="159"/>
      <c r="DB280" s="159"/>
      <c r="DC280" s="169"/>
      <c r="DD280" s="169"/>
      <c r="DE280" s="169"/>
      <c r="DF280" s="169"/>
      <c r="DG280" s="169"/>
      <c r="DH280" s="169"/>
    </row>
    <row r="281" spans="1:145">
      <c r="A281" s="226" t="s">
        <v>700</v>
      </c>
      <c r="B281" s="204"/>
      <c r="C281" s="204"/>
      <c r="D281" s="204"/>
      <c r="E281" s="204"/>
      <c r="F281" s="204"/>
      <c r="G281" s="204"/>
      <c r="H281" s="204"/>
      <c r="I281" s="204"/>
      <c r="J281" s="204"/>
      <c r="K281" s="204"/>
      <c r="L281" s="204"/>
      <c r="M281" s="204"/>
      <c r="N281" s="204"/>
      <c r="O281" s="204"/>
      <c r="P281" s="204"/>
      <c r="Q281" s="204"/>
      <c r="R281" s="204"/>
      <c r="S281" s="204"/>
      <c r="T281" s="204"/>
      <c r="U281" s="204"/>
      <c r="V281" s="204"/>
      <c r="W281" s="204"/>
      <c r="X281" s="204"/>
      <c r="Y281" s="204"/>
      <c r="Z281" s="204"/>
      <c r="AA281" s="204"/>
      <c r="AB281" s="204"/>
      <c r="AC281" s="204"/>
      <c r="AD281" s="204"/>
      <c r="AE281" s="204"/>
      <c r="AF281" s="204"/>
      <c r="AG281" s="204"/>
      <c r="AH281" s="204"/>
      <c r="AI281" s="204"/>
      <c r="AJ281" s="204"/>
      <c r="AK281" s="204"/>
      <c r="AL281" s="204"/>
      <c r="AM281" s="204"/>
      <c r="AN281" s="204"/>
      <c r="AO281" s="204"/>
      <c r="AP281" s="204"/>
      <c r="AQ281" s="204"/>
      <c r="AR281" s="204"/>
      <c r="AS281" s="204"/>
      <c r="AT281" s="204"/>
      <c r="AU281" s="204"/>
      <c r="AV281" s="204"/>
      <c r="AW281" s="204"/>
      <c r="AX281" s="204"/>
      <c r="AY281" s="204"/>
      <c r="AZ281" s="204"/>
      <c r="BA281" s="204"/>
      <c r="BB281" s="204"/>
      <c r="BC281" s="204"/>
      <c r="BD281" s="204"/>
      <c r="BE281" s="204"/>
      <c r="BF281" s="204"/>
      <c r="BG281" s="204"/>
      <c r="BH281" s="204"/>
      <c r="BI281" s="204"/>
      <c r="BJ281" s="204"/>
      <c r="BK281" s="204"/>
      <c r="BL281" s="204"/>
      <c r="BM281" s="204"/>
      <c r="BN281" s="204"/>
      <c r="BO281" s="204"/>
      <c r="BP281" s="204"/>
      <c r="BQ281" s="204"/>
      <c r="BR281" s="204"/>
      <c r="BS281" s="204"/>
      <c r="BT281" s="204"/>
      <c r="BU281" s="185"/>
      <c r="BV281" s="185"/>
      <c r="BW281" s="185"/>
      <c r="BX281" s="185"/>
      <c r="BY281" s="204"/>
      <c r="BZ281" s="185"/>
      <c r="CA281" s="185"/>
      <c r="CB281" s="185"/>
      <c r="CC281" s="185"/>
      <c r="CD281" s="185">
        <f>CD280/BY280-1</f>
        <v>-1.1147540983606596E-2</v>
      </c>
      <c r="CE281" s="185"/>
      <c r="CF281" s="185"/>
      <c r="CG281" s="185"/>
      <c r="CH281" s="185"/>
      <c r="CI281" s="204">
        <f>CI280/CD280-1</f>
        <v>6.7639257294429767E-2</v>
      </c>
      <c r="CJ281" s="185"/>
      <c r="CK281" s="185"/>
      <c r="CL281" s="185"/>
      <c r="CM281" s="185"/>
      <c r="CN281" s="204">
        <f>CN280/CI280-1</f>
        <v>3.4161490683229712E-2</v>
      </c>
      <c r="CO281" s="185"/>
      <c r="CP281" s="185"/>
      <c r="CQ281" s="304">
        <v>2.5000000000000001E-3</v>
      </c>
      <c r="CR281" s="304">
        <v>0.05</v>
      </c>
      <c r="CS281" s="304">
        <v>0.05</v>
      </c>
      <c r="CT281" s="304">
        <v>0.05</v>
      </c>
      <c r="CU281" s="304">
        <v>0.05</v>
      </c>
      <c r="CV281" s="304">
        <v>0.05</v>
      </c>
      <c r="CW281" s="304">
        <v>0.05</v>
      </c>
      <c r="CX281" s="159"/>
      <c r="CY281" s="159"/>
      <c r="CZ281" s="159"/>
      <c r="DA281" s="159"/>
      <c r="DB281" s="159"/>
      <c r="DC281" s="169"/>
      <c r="DD281" s="169"/>
      <c r="DE281" s="169"/>
      <c r="DF281" s="169"/>
      <c r="DG281" s="169"/>
      <c r="DH281" s="169"/>
    </row>
    <row r="282" spans="1:145">
      <c r="A282" s="163" t="s">
        <v>699</v>
      </c>
      <c r="B282" s="721"/>
      <c r="C282" s="721"/>
      <c r="D282" s="721"/>
      <c r="E282" s="721"/>
      <c r="F282" s="721"/>
      <c r="G282" s="721"/>
      <c r="H282" s="721"/>
      <c r="I282" s="721"/>
      <c r="J282" s="721"/>
      <c r="K282" s="721"/>
      <c r="L282" s="721"/>
      <c r="M282" s="721"/>
      <c r="N282" s="721"/>
      <c r="O282" s="721"/>
      <c r="P282" s="721"/>
      <c r="Q282" s="721"/>
      <c r="R282" s="721"/>
      <c r="S282" s="721"/>
      <c r="T282" s="721"/>
      <c r="U282" s="721"/>
      <c r="V282" s="721"/>
      <c r="W282" s="721"/>
      <c r="X282" s="721"/>
      <c r="Y282" s="721"/>
      <c r="Z282" s="721"/>
      <c r="AA282" s="721"/>
      <c r="AB282" s="721"/>
      <c r="AC282" s="721"/>
      <c r="AD282" s="721"/>
      <c r="AE282" s="721"/>
      <c r="AF282" s="721"/>
      <c r="AG282" s="721"/>
      <c r="AH282" s="721"/>
      <c r="AI282" s="721"/>
      <c r="AJ282" s="721"/>
      <c r="AK282" s="721"/>
      <c r="AL282" s="721"/>
      <c r="AM282" s="721"/>
      <c r="AN282" s="721"/>
      <c r="AO282" s="721"/>
      <c r="AP282" s="721"/>
      <c r="AQ282" s="721"/>
      <c r="AR282" s="721"/>
      <c r="AS282" s="721"/>
      <c r="AT282" s="721"/>
      <c r="AU282" s="721"/>
      <c r="AV282" s="721"/>
      <c r="AW282" s="721"/>
      <c r="AX282" s="721"/>
      <c r="AY282" s="721"/>
      <c r="AZ282" s="721"/>
      <c r="BA282" s="721"/>
      <c r="BB282" s="721"/>
      <c r="BC282" s="721"/>
      <c r="BD282" s="721"/>
      <c r="BE282" s="721"/>
      <c r="BF282" s="721"/>
      <c r="BG282" s="721"/>
      <c r="BH282" s="721"/>
      <c r="BI282" s="721"/>
      <c r="BJ282" s="721"/>
      <c r="BK282" s="721"/>
      <c r="BL282" s="721"/>
      <c r="BM282" s="721"/>
      <c r="BN282" s="721"/>
      <c r="BO282" s="726">
        <f>'[4]Enterprise model'!E$52</f>
        <v>1200</v>
      </c>
      <c r="BP282" s="726"/>
      <c r="BQ282" s="726"/>
      <c r="BR282" s="726"/>
      <c r="BS282" s="726"/>
      <c r="BT282" s="726">
        <f>'[4]Enterprise model'!F$52</f>
        <v>1400.5190859077447</v>
      </c>
      <c r="BU282" s="727"/>
      <c r="BV282" s="727"/>
      <c r="BW282" s="727"/>
      <c r="BX282" s="727"/>
      <c r="BY282" s="726">
        <f>'[4]Enterprise model'!G$52</f>
        <v>1606.816249840974</v>
      </c>
      <c r="BZ282" s="727"/>
      <c r="CA282" s="727"/>
      <c r="CB282" s="727"/>
      <c r="CC282" s="727"/>
      <c r="CD282" s="726">
        <f>'[4]Enterprise model'!H$52</f>
        <v>1845.7481232307298</v>
      </c>
      <c r="CE282" s="727"/>
      <c r="CF282" s="727"/>
      <c r="CG282" s="727"/>
      <c r="CH282" s="727"/>
      <c r="CI282" s="726">
        <f>'[4]Enterprise model'!I$52</f>
        <v>2082.050444412539</v>
      </c>
      <c r="CJ282" s="727"/>
      <c r="CK282" s="727"/>
      <c r="CL282" s="727"/>
      <c r="CM282" s="727"/>
      <c r="CN282" s="726">
        <f>'[4]Enterprise model'!N$52</f>
        <v>2908.5251707789303</v>
      </c>
      <c r="CO282" s="727"/>
      <c r="CP282" s="727"/>
      <c r="CQ282" s="726">
        <f>'[4]Enterprise model'!K$52</f>
        <v>2546.18199208947</v>
      </c>
      <c r="CR282" s="726">
        <f>'[4]Enterprise model'!L$52</f>
        <v>2724.9281054742096</v>
      </c>
      <c r="CS282" s="726">
        <f>'[4]Enterprise model'!M$52</f>
        <v>2829.4377414071914</v>
      </c>
      <c r="CT282" s="726">
        <f>'[4]Enterprise model'!N$52</f>
        <v>2908.5251707789303</v>
      </c>
      <c r="CU282" s="726">
        <f>'[4]Enterprise model'!O$52</f>
        <v>2985.9708092393239</v>
      </c>
      <c r="CV282" s="726">
        <f>'[4]Enterprise model'!P$52</f>
        <v>3061.7531989836862</v>
      </c>
      <c r="CW282" s="726">
        <f>'[4]Enterprise model'!Q$52</f>
        <v>3135.8535570843719</v>
      </c>
      <c r="CX282" s="159"/>
      <c r="CY282" s="159" t="s">
        <v>621</v>
      </c>
      <c r="CZ282" s="159"/>
      <c r="DA282" s="159"/>
      <c r="DB282" s="159"/>
      <c r="DC282" s="169"/>
      <c r="DD282" s="169"/>
      <c r="DE282" s="169"/>
      <c r="DF282" s="169"/>
      <c r="DG282" s="169"/>
      <c r="DH282" s="169"/>
    </row>
    <row r="283" spans="1:145">
      <c r="A283" s="235" t="s">
        <v>235</v>
      </c>
      <c r="B283" s="217"/>
      <c r="C283" s="217"/>
      <c r="D283" s="217"/>
      <c r="E283" s="217"/>
      <c r="F283" s="217"/>
      <c r="G283" s="217"/>
      <c r="H283" s="217"/>
      <c r="I283" s="217"/>
      <c r="J283" s="217"/>
      <c r="K283" s="217"/>
      <c r="L283" s="217"/>
      <c r="M283" s="217"/>
      <c r="N283" s="217"/>
      <c r="O283" s="217"/>
      <c r="P283" s="217"/>
      <c r="Q283" s="217"/>
      <c r="R283" s="217"/>
      <c r="S283" s="217"/>
      <c r="T283" s="217"/>
      <c r="U283" s="217"/>
      <c r="V283" s="217"/>
      <c r="W283" s="217"/>
      <c r="X283" s="217"/>
      <c r="Y283" s="217"/>
      <c r="Z283" s="217"/>
      <c r="AA283" s="217"/>
      <c r="AB283" s="217"/>
      <c r="AC283" s="217"/>
      <c r="AD283" s="217"/>
      <c r="AE283" s="217"/>
      <c r="AF283" s="217"/>
      <c r="AG283" s="217"/>
      <c r="AH283" s="217"/>
      <c r="AI283" s="217"/>
      <c r="AJ283" s="217"/>
      <c r="AK283" s="217"/>
      <c r="AL283" s="217"/>
      <c r="AM283" s="217"/>
      <c r="AN283" s="217"/>
      <c r="AO283" s="217"/>
      <c r="AP283" s="217"/>
      <c r="AQ283" s="217"/>
      <c r="AR283" s="217"/>
      <c r="AS283" s="217"/>
      <c r="AT283" s="217"/>
      <c r="AU283" s="217"/>
      <c r="AV283" s="217"/>
      <c r="AW283" s="217"/>
      <c r="AX283" s="217"/>
      <c r="AY283" s="217"/>
      <c r="AZ283" s="217"/>
      <c r="BA283" s="217"/>
      <c r="BB283" s="217"/>
      <c r="BC283" s="217"/>
      <c r="BD283" s="217"/>
      <c r="BE283" s="217"/>
      <c r="BF283" s="217"/>
      <c r="BG283" s="217"/>
      <c r="BH283" s="217"/>
      <c r="BI283" s="217"/>
      <c r="BJ283" s="217"/>
      <c r="BK283" s="217"/>
      <c r="BL283" s="217"/>
      <c r="BM283" s="217"/>
      <c r="BN283" s="217"/>
      <c r="BO283" s="217"/>
      <c r="BP283" s="217"/>
      <c r="BQ283" s="217"/>
      <c r="BR283" s="217"/>
      <c r="BS283" s="217"/>
      <c r="BT283" s="217"/>
      <c r="BU283" s="212"/>
      <c r="BV283" s="212"/>
      <c r="BW283" s="212"/>
      <c r="BX283" s="212"/>
      <c r="BY283" s="217"/>
      <c r="BZ283" s="212"/>
      <c r="CA283" s="212"/>
      <c r="CB283" s="212"/>
      <c r="CC283" s="212"/>
      <c r="CD283" s="217">
        <f>CD282/BY282-1</f>
        <v>0.14869894016406837</v>
      </c>
      <c r="CE283" s="212"/>
      <c r="CF283" s="212"/>
      <c r="CG283" s="212"/>
      <c r="CH283" s="212"/>
      <c r="CI283" s="217">
        <f>CI282/CD282-1</f>
        <v>0.12802522630671542</v>
      </c>
      <c r="CJ283" s="212"/>
      <c r="CK283" s="212"/>
      <c r="CL283" s="212"/>
      <c r="CM283" s="212"/>
      <c r="CN283" s="217">
        <f>CN282/CI282-1</f>
        <v>0.39695230659965364</v>
      </c>
      <c r="CO283" s="212"/>
      <c r="CP283" s="212"/>
      <c r="CQ283" s="217">
        <f>CQ282/CN282-1</f>
        <v>-0.12457969500481281</v>
      </c>
      <c r="CR283" s="217">
        <f t="shared" ref="CR283:CS283" si="1135">CR282/CQ282-1</f>
        <v>7.020162499776994E-2</v>
      </c>
      <c r="CS283" s="217">
        <f t="shared" si="1135"/>
        <v>3.835317185911391E-2</v>
      </c>
      <c r="CT283" s="217">
        <f t="shared" ref="CT283" si="1136">CT282/CS282-1</f>
        <v>2.7951641491996693E-2</v>
      </c>
      <c r="CU283" s="217">
        <f t="shared" ref="CU283" si="1137">CU282/CT282-1</f>
        <v>2.6627116463858291E-2</v>
      </c>
      <c r="CV283" s="217">
        <f t="shared" ref="CV283:CW283" si="1138">CV282/CU282-1</f>
        <v>2.5379481108747992E-2</v>
      </c>
      <c r="CW283" s="217">
        <f t="shared" si="1138"/>
        <v>2.420193702264517E-2</v>
      </c>
      <c r="CX283" s="159"/>
      <c r="CY283" s="159"/>
      <c r="CZ283" s="159"/>
      <c r="DA283" s="159"/>
      <c r="DB283" s="159"/>
      <c r="DC283" s="169"/>
      <c r="DD283" s="169"/>
      <c r="DE283" s="169"/>
      <c r="DF283" s="169"/>
      <c r="DG283" s="169"/>
      <c r="DH283" s="169"/>
    </row>
    <row r="284" spans="1:145">
      <c r="A284" s="235"/>
      <c r="B284" s="217"/>
      <c r="C284" s="217"/>
      <c r="D284" s="217"/>
      <c r="E284" s="217"/>
      <c r="F284" s="217"/>
      <c r="G284" s="217"/>
      <c r="H284" s="217"/>
      <c r="I284" s="217"/>
      <c r="J284" s="217"/>
      <c r="K284" s="217"/>
      <c r="L284" s="217"/>
      <c r="M284" s="217"/>
      <c r="N284" s="217"/>
      <c r="O284" s="217"/>
      <c r="P284" s="217"/>
      <c r="Q284" s="217"/>
      <c r="R284" s="217"/>
      <c r="S284" s="217"/>
      <c r="T284" s="217"/>
      <c r="U284" s="217"/>
      <c r="V284" s="217"/>
      <c r="W284" s="217"/>
      <c r="X284" s="217"/>
      <c r="Y284" s="217"/>
      <c r="Z284" s="217"/>
      <c r="AA284" s="217"/>
      <c r="AB284" s="217"/>
      <c r="AC284" s="217"/>
      <c r="AD284" s="217"/>
      <c r="AE284" s="217"/>
      <c r="AF284" s="217"/>
      <c r="AG284" s="217"/>
      <c r="AH284" s="217"/>
      <c r="AI284" s="217"/>
      <c r="AJ284" s="217"/>
      <c r="AK284" s="217"/>
      <c r="AL284" s="217"/>
      <c r="AM284" s="217"/>
      <c r="AN284" s="217"/>
      <c r="AO284" s="217"/>
      <c r="AP284" s="217"/>
      <c r="AQ284" s="217"/>
      <c r="AR284" s="217"/>
      <c r="AS284" s="217"/>
      <c r="AT284" s="217"/>
      <c r="AU284" s="217"/>
      <c r="AV284" s="217"/>
      <c r="AW284" s="217"/>
      <c r="AX284" s="217"/>
      <c r="AY284" s="217"/>
      <c r="AZ284" s="217"/>
      <c r="BA284" s="217"/>
      <c r="BB284" s="217"/>
      <c r="BC284" s="217"/>
      <c r="BD284" s="217"/>
      <c r="BE284" s="217"/>
      <c r="BF284" s="217"/>
      <c r="BG284" s="217"/>
      <c r="BH284" s="217"/>
      <c r="BI284" s="217"/>
      <c r="BJ284" s="217"/>
      <c r="BK284" s="217"/>
      <c r="BL284" s="217"/>
      <c r="BM284" s="217"/>
      <c r="BN284" s="217"/>
      <c r="BO284" s="217"/>
      <c r="BP284" s="217"/>
      <c r="BQ284" s="217"/>
      <c r="BR284" s="217"/>
      <c r="BS284" s="217"/>
      <c r="BT284" s="217"/>
      <c r="BU284" s="212"/>
      <c r="BV284" s="212"/>
      <c r="BW284" s="212"/>
      <c r="BX284" s="212"/>
      <c r="BY284" s="217"/>
      <c r="BZ284" s="212"/>
      <c r="CA284" s="212"/>
      <c r="CB284" s="212"/>
      <c r="CC284" s="212"/>
      <c r="CD284" s="217"/>
      <c r="CE284" s="212"/>
      <c r="CF284" s="212"/>
      <c r="CG284" s="212"/>
      <c r="CH284" s="212"/>
      <c r="CI284" s="217"/>
      <c r="CJ284" s="212"/>
      <c r="CK284" s="212"/>
      <c r="CL284" s="212"/>
      <c r="CM284" s="212"/>
      <c r="CN284" s="217"/>
      <c r="CO284" s="212"/>
      <c r="CP284" s="212"/>
      <c r="CQ284" s="217"/>
      <c r="CR284" s="217"/>
      <c r="CS284" s="217"/>
      <c r="CT284" s="217"/>
      <c r="CU284" s="217"/>
      <c r="CV284" s="217"/>
      <c r="CW284" s="217"/>
      <c r="CX284" s="159"/>
      <c r="CY284" s="159"/>
      <c r="CZ284" s="159"/>
      <c r="DA284" s="159"/>
      <c r="DB284" s="159"/>
      <c r="DC284" s="169"/>
      <c r="DD284" s="169"/>
      <c r="DE284" s="169"/>
      <c r="DF284" s="169"/>
      <c r="DG284" s="169"/>
      <c r="DH284" s="169"/>
    </row>
    <row r="285" spans="1:145">
      <c r="A285" s="235" t="s">
        <v>585</v>
      </c>
      <c r="B285" s="721"/>
      <c r="C285" s="721"/>
      <c r="D285" s="721"/>
      <c r="E285" s="721"/>
      <c r="F285" s="721"/>
      <c r="G285" s="721"/>
      <c r="H285" s="721"/>
      <c r="I285" s="721"/>
      <c r="J285" s="721"/>
      <c r="K285" s="721"/>
      <c r="L285" s="721"/>
      <c r="M285" s="721"/>
      <c r="N285" s="721"/>
      <c r="O285" s="721"/>
      <c r="P285" s="721"/>
      <c r="Q285" s="721"/>
      <c r="R285" s="721"/>
      <c r="S285" s="721"/>
      <c r="T285" s="721"/>
      <c r="U285" s="721"/>
      <c r="V285" s="721"/>
      <c r="W285" s="721"/>
      <c r="X285" s="721"/>
      <c r="Y285" s="721"/>
      <c r="Z285" s="721"/>
      <c r="AA285" s="721"/>
      <c r="AB285" s="721"/>
      <c r="AC285" s="721"/>
      <c r="AD285" s="721"/>
      <c r="AE285" s="721"/>
      <c r="AF285" s="721"/>
      <c r="AG285" s="721"/>
      <c r="AH285" s="721"/>
      <c r="AI285" s="721"/>
      <c r="AJ285" s="721"/>
      <c r="AK285" s="721"/>
      <c r="AL285" s="721"/>
      <c r="AM285" s="721"/>
      <c r="AN285" s="721"/>
      <c r="AO285" s="721"/>
      <c r="AP285" s="721"/>
      <c r="AQ285" s="721"/>
      <c r="AR285" s="721"/>
      <c r="AS285" s="721"/>
      <c r="AT285" s="721"/>
      <c r="AU285" s="721"/>
      <c r="AV285" s="721"/>
      <c r="AW285" s="721"/>
      <c r="AX285" s="721"/>
      <c r="AY285" s="721"/>
      <c r="AZ285" s="721"/>
      <c r="BA285" s="721"/>
      <c r="BB285" s="721"/>
      <c r="BC285" s="721"/>
      <c r="BD285" s="721"/>
      <c r="BE285" s="721"/>
      <c r="BF285" s="721"/>
      <c r="BG285" s="721"/>
      <c r="BH285" s="721"/>
      <c r="BI285" s="721"/>
      <c r="BJ285" s="721"/>
      <c r="BK285" s="721"/>
      <c r="BL285" s="721"/>
      <c r="BM285" s="721"/>
      <c r="BN285" s="721"/>
      <c r="BO285" s="706">
        <f>BO227-BO282</f>
        <v>5428.0355500000005</v>
      </c>
      <c r="BP285" s="706"/>
      <c r="BQ285" s="706"/>
      <c r="BR285" s="706"/>
      <c r="BS285" s="706"/>
      <c r="BT285" s="706">
        <f>BT227-BT282</f>
        <v>5314.8693640922547</v>
      </c>
      <c r="BU285" s="698"/>
      <c r="BV285" s="698"/>
      <c r="BW285" s="698"/>
      <c r="BX285" s="698"/>
      <c r="BY285" s="706">
        <f>BY227-BY282</f>
        <v>4418.321750159027</v>
      </c>
      <c r="BZ285" s="698"/>
      <c r="CA285" s="698"/>
      <c r="CB285" s="698"/>
      <c r="CC285" s="698"/>
      <c r="CD285" s="706">
        <f t="shared" ref="CD285:CW285" si="1139">CD227-CD282</f>
        <v>4337.9842767692708</v>
      </c>
      <c r="CE285" s="698"/>
      <c r="CF285" s="698"/>
      <c r="CG285" s="698"/>
      <c r="CH285" s="698"/>
      <c r="CI285" s="706">
        <f t="shared" si="1139"/>
        <v>4090.4411055874616</v>
      </c>
      <c r="CJ285" s="698"/>
      <c r="CK285" s="698"/>
      <c r="CL285" s="698"/>
      <c r="CM285" s="698"/>
      <c r="CN285" s="706">
        <f t="shared" ref="CN285" si="1140">CN227-CN282</f>
        <v>3221.185329221069</v>
      </c>
      <c r="CO285" s="698"/>
      <c r="CP285" s="698"/>
      <c r="CQ285" s="706">
        <f t="shared" si="1139"/>
        <v>3755.0587840530302</v>
      </c>
      <c r="CR285" s="706">
        <f t="shared" si="1139"/>
        <v>3656.0809613057609</v>
      </c>
      <c r="CS285" s="706">
        <f t="shared" si="1139"/>
        <v>3671.4450930354469</v>
      </c>
      <c r="CT285" s="706">
        <f t="shared" si="1139"/>
        <v>3709.6931046573172</v>
      </c>
      <c r="CU285" s="706">
        <f t="shared" si="1139"/>
        <v>3747.386003578019</v>
      </c>
      <c r="CV285" s="706">
        <f t="shared" si="1139"/>
        <v>3784.857024855115</v>
      </c>
      <c r="CW285" s="706">
        <f t="shared" si="1139"/>
        <v>3822.4098105398721</v>
      </c>
      <c r="CX285" s="159"/>
      <c r="CY285" s="159"/>
      <c r="CZ285" s="159"/>
      <c r="DA285" s="159"/>
      <c r="DB285" s="159"/>
      <c r="DC285" s="169"/>
      <c r="DD285" s="169"/>
      <c r="DE285" s="169"/>
      <c r="DF285" s="169"/>
      <c r="DG285" s="169"/>
      <c r="DH285" s="169"/>
    </row>
    <row r="286" spans="1:145">
      <c r="A286" s="235" t="s">
        <v>235</v>
      </c>
      <c r="B286" s="204"/>
      <c r="C286" s="204"/>
      <c r="D286" s="204"/>
      <c r="E286" s="204"/>
      <c r="F286" s="204"/>
      <c r="G286" s="204"/>
      <c r="H286" s="204"/>
      <c r="I286" s="204"/>
      <c r="J286" s="204"/>
      <c r="K286" s="204"/>
      <c r="L286" s="204"/>
      <c r="M286" s="204"/>
      <c r="N286" s="204"/>
      <c r="O286" s="204"/>
      <c r="P286" s="204"/>
      <c r="Q286" s="204"/>
      <c r="R286" s="204"/>
      <c r="S286" s="204"/>
      <c r="T286" s="204"/>
      <c r="U286" s="204"/>
      <c r="V286" s="204"/>
      <c r="W286" s="204"/>
      <c r="X286" s="204"/>
      <c r="Y286" s="204"/>
      <c r="Z286" s="204"/>
      <c r="AA286" s="204"/>
      <c r="AB286" s="204"/>
      <c r="AC286" s="204"/>
      <c r="AD286" s="204"/>
      <c r="AE286" s="204"/>
      <c r="AF286" s="204"/>
      <c r="AG286" s="204"/>
      <c r="AH286" s="204"/>
      <c r="AI286" s="204"/>
      <c r="AJ286" s="204"/>
      <c r="AK286" s="204"/>
      <c r="AL286" s="204"/>
      <c r="AM286" s="204"/>
      <c r="AN286" s="204"/>
      <c r="AO286" s="204"/>
      <c r="AP286" s="204"/>
      <c r="AQ286" s="204"/>
      <c r="AR286" s="204"/>
      <c r="AS286" s="204"/>
      <c r="AT286" s="204"/>
      <c r="AU286" s="204"/>
      <c r="AV286" s="204"/>
      <c r="AW286" s="204"/>
      <c r="AX286" s="204"/>
      <c r="AY286" s="204"/>
      <c r="AZ286" s="204"/>
      <c r="BA286" s="204"/>
      <c r="BB286" s="204"/>
      <c r="BC286" s="204"/>
      <c r="BD286" s="204"/>
      <c r="BE286" s="204"/>
      <c r="BF286" s="204"/>
      <c r="BG286" s="204"/>
      <c r="BH286" s="204"/>
      <c r="BI286" s="204"/>
      <c r="BJ286" s="204"/>
      <c r="BK286" s="204"/>
      <c r="BL286" s="204"/>
      <c r="BM286" s="204"/>
      <c r="BN286" s="204"/>
      <c r="BO286" s="204"/>
      <c r="BP286" s="204"/>
      <c r="BQ286" s="204"/>
      <c r="BR286" s="204"/>
      <c r="BS286" s="204"/>
      <c r="BT286" s="204"/>
      <c r="BU286" s="185"/>
      <c r="BV286" s="185"/>
      <c r="BW286" s="185"/>
      <c r="BX286" s="185"/>
      <c r="BY286" s="204"/>
      <c r="BZ286" s="185"/>
      <c r="CA286" s="185"/>
      <c r="CB286" s="185"/>
      <c r="CC286" s="185"/>
      <c r="CD286" s="204"/>
      <c r="CE286" s="185"/>
      <c r="CF286" s="185"/>
      <c r="CG286" s="185"/>
      <c r="CH286" s="185"/>
      <c r="CI286" s="204"/>
      <c r="CJ286" s="185"/>
      <c r="CK286" s="185"/>
      <c r="CL286" s="185"/>
      <c r="CM286" s="185"/>
      <c r="CN286" s="204"/>
      <c r="CO286" s="185"/>
      <c r="CP286" s="185"/>
      <c r="CQ286" s="204"/>
      <c r="CR286" s="204"/>
      <c r="CS286" s="204"/>
      <c r="CT286" s="204"/>
      <c r="CU286" s="204"/>
      <c r="CV286" s="204"/>
      <c r="CW286" s="204"/>
      <c r="CX286" s="159"/>
      <c r="CY286" s="159" t="s">
        <v>556</v>
      </c>
      <c r="CZ286" s="159"/>
      <c r="DA286" s="159"/>
      <c r="DB286" s="159"/>
      <c r="DC286" s="169"/>
      <c r="DD286" s="169"/>
      <c r="DE286" s="169"/>
      <c r="DF286" s="169"/>
      <c r="DG286" s="169"/>
      <c r="DH286" s="169"/>
    </row>
    <row r="287" spans="1:145">
      <c r="A287" s="235"/>
      <c r="B287" s="204"/>
      <c r="C287" s="204"/>
      <c r="D287" s="204"/>
      <c r="E287" s="204"/>
      <c r="F287" s="204"/>
      <c r="G287" s="204"/>
      <c r="H287" s="204"/>
      <c r="I287" s="204"/>
      <c r="J287" s="204"/>
      <c r="K287" s="204"/>
      <c r="L287" s="204"/>
      <c r="M287" s="204"/>
      <c r="N287" s="204"/>
      <c r="O287" s="204"/>
      <c r="P287" s="204"/>
      <c r="Q287" s="204"/>
      <c r="R287" s="204"/>
      <c r="S287" s="204"/>
      <c r="T287" s="204"/>
      <c r="U287" s="204"/>
      <c r="V287" s="204"/>
      <c r="W287" s="204"/>
      <c r="X287" s="204"/>
      <c r="Y287" s="204"/>
      <c r="Z287" s="204"/>
      <c r="AA287" s="204"/>
      <c r="AB287" s="204"/>
      <c r="AC287" s="204"/>
      <c r="AD287" s="204"/>
      <c r="AE287" s="204"/>
      <c r="AF287" s="204"/>
      <c r="AG287" s="204"/>
      <c r="AH287" s="204"/>
      <c r="AI287" s="204"/>
      <c r="AJ287" s="204"/>
      <c r="AK287" s="204"/>
      <c r="AL287" s="204"/>
      <c r="AM287" s="204"/>
      <c r="AN287" s="204"/>
      <c r="AO287" s="204"/>
      <c r="AP287" s="204"/>
      <c r="AQ287" s="204"/>
      <c r="AR287" s="204"/>
      <c r="AS287" s="204"/>
      <c r="AT287" s="204"/>
      <c r="AU287" s="204"/>
      <c r="AV287" s="204"/>
      <c r="AW287" s="204"/>
      <c r="AX287" s="204"/>
      <c r="AY287" s="204"/>
      <c r="AZ287" s="204"/>
      <c r="BA287" s="204"/>
      <c r="BB287" s="204"/>
      <c r="BC287" s="204"/>
      <c r="BD287" s="204"/>
      <c r="BE287" s="204"/>
      <c r="BF287" s="204"/>
      <c r="BG287" s="204"/>
      <c r="BH287" s="204"/>
      <c r="BI287" s="204"/>
      <c r="BJ287" s="204"/>
      <c r="BK287" s="204"/>
      <c r="BL287" s="204"/>
      <c r="BM287" s="204"/>
      <c r="BN287" s="204"/>
      <c r="BO287" s="204"/>
      <c r="BP287" s="204"/>
      <c r="BQ287" s="204"/>
      <c r="BR287" s="204"/>
      <c r="BS287" s="204"/>
      <c r="BT287" s="204"/>
      <c r="BU287" s="185"/>
      <c r="BV287" s="185"/>
      <c r="BW287" s="185"/>
      <c r="BX287" s="185"/>
      <c r="BY287" s="204"/>
      <c r="BZ287" s="185"/>
      <c r="CA287" s="185"/>
      <c r="CB287" s="185"/>
      <c r="CC287" s="185"/>
      <c r="CD287" s="204"/>
      <c r="CE287" s="185"/>
      <c r="CF287" s="185"/>
      <c r="CG287" s="185"/>
      <c r="CH287" s="185"/>
      <c r="CI287" s="204"/>
      <c r="CJ287" s="185"/>
      <c r="CK287" s="185"/>
      <c r="CL287" s="185"/>
      <c r="CM287" s="185"/>
      <c r="CN287" s="204"/>
      <c r="CO287" s="185"/>
      <c r="CP287" s="185"/>
      <c r="CQ287" s="204"/>
      <c r="CR287" s="204"/>
      <c r="CS287" s="204"/>
      <c r="CT287" s="204"/>
      <c r="CU287" s="204"/>
      <c r="CV287" s="204"/>
      <c r="CW287" s="204"/>
      <c r="CX287" s="159"/>
      <c r="CY287" s="159"/>
      <c r="CZ287" s="159"/>
      <c r="DA287" s="159"/>
      <c r="DB287" s="159"/>
      <c r="DC287" s="169"/>
      <c r="DD287" s="169"/>
      <c r="DE287" s="169"/>
      <c r="DF287" s="169"/>
      <c r="DG287" s="169"/>
      <c r="DH287" s="169"/>
    </row>
    <row r="288" spans="1:145">
      <c r="A288" s="199" t="s">
        <v>49</v>
      </c>
      <c r="B288" s="199">
        <f>B217</f>
        <v>2007</v>
      </c>
      <c r="C288" s="199"/>
      <c r="D288" s="199"/>
      <c r="E288" s="199"/>
      <c r="F288" s="199"/>
      <c r="G288" s="199">
        <f>B288+1</f>
        <v>2008</v>
      </c>
      <c r="H288" s="199"/>
      <c r="I288" s="199"/>
      <c r="J288" s="199"/>
      <c r="K288" s="199"/>
      <c r="L288" s="199">
        <f>G288+1</f>
        <v>2009</v>
      </c>
      <c r="M288" s="199"/>
      <c r="N288" s="199"/>
      <c r="O288" s="199"/>
      <c r="P288" s="199"/>
      <c r="Q288" s="199">
        <f>L288+1</f>
        <v>2010</v>
      </c>
      <c r="R288" s="199"/>
      <c r="S288" s="199"/>
      <c r="T288" s="199"/>
      <c r="U288" s="199"/>
      <c r="V288" s="199">
        <f>Q288+1</f>
        <v>2011</v>
      </c>
      <c r="W288" s="199"/>
      <c r="X288" s="199"/>
      <c r="Y288" s="199"/>
      <c r="Z288" s="199"/>
      <c r="AA288" s="199">
        <f>V288+1</f>
        <v>2012</v>
      </c>
      <c r="AB288" s="199"/>
      <c r="AC288" s="199"/>
      <c r="AD288" s="199"/>
      <c r="AE288" s="199"/>
      <c r="AF288" s="199">
        <f>AA288+1</f>
        <v>2013</v>
      </c>
      <c r="AG288" s="199"/>
      <c r="AH288" s="199"/>
      <c r="AI288" s="199"/>
      <c r="AJ288" s="199"/>
      <c r="AK288" s="199">
        <f>AF288+1</f>
        <v>2014</v>
      </c>
      <c r="AL288" s="199"/>
      <c r="AM288" s="199"/>
      <c r="AN288" s="199"/>
      <c r="AO288" s="199"/>
      <c r="AP288" s="199">
        <f>AK288+1</f>
        <v>2015</v>
      </c>
      <c r="AQ288" s="199"/>
      <c r="AR288" s="199"/>
      <c r="AS288" s="199"/>
      <c r="AT288" s="199"/>
      <c r="AU288" s="199">
        <f>AP288+1</f>
        <v>2016</v>
      </c>
      <c r="AV288" s="199"/>
      <c r="AW288" s="199"/>
      <c r="AX288" s="199"/>
      <c r="AY288" s="199"/>
      <c r="AZ288" s="199">
        <f>AU288+1</f>
        <v>2017</v>
      </c>
      <c r="BA288" s="199"/>
      <c r="BB288" s="199"/>
      <c r="BC288" s="199"/>
      <c r="BD288" s="199"/>
      <c r="BE288" s="199">
        <f>AZ288+1</f>
        <v>2018</v>
      </c>
      <c r="BF288" s="199"/>
      <c r="BG288" s="199"/>
      <c r="BH288" s="199"/>
      <c r="BI288" s="199"/>
      <c r="BJ288" s="199">
        <f>BE288+1</f>
        <v>2019</v>
      </c>
      <c r="BK288" s="199"/>
      <c r="BL288" s="199"/>
      <c r="BM288" s="199"/>
      <c r="BN288" s="199"/>
      <c r="BO288" s="199">
        <f>BJ288+1</f>
        <v>2020</v>
      </c>
      <c r="BP288" s="199"/>
      <c r="BQ288" s="199"/>
      <c r="BR288" s="199"/>
      <c r="BS288" s="199"/>
      <c r="BT288" s="199">
        <f>BO288+1</f>
        <v>2021</v>
      </c>
      <c r="BU288" s="199"/>
      <c r="BV288" s="199"/>
      <c r="BW288" s="199"/>
      <c r="BX288" s="199"/>
      <c r="BY288" s="199">
        <f>BT288+1</f>
        <v>2022</v>
      </c>
      <c r="BZ288" s="199"/>
      <c r="CA288" s="199"/>
      <c r="CB288" s="199"/>
      <c r="CC288" s="199"/>
      <c r="CD288" s="199">
        <f>BY288+1</f>
        <v>2023</v>
      </c>
      <c r="CE288" s="199"/>
      <c r="CF288" s="199"/>
      <c r="CG288" s="199"/>
      <c r="CH288" s="199"/>
      <c r="CI288" s="199">
        <f>CD288+1</f>
        <v>2024</v>
      </c>
      <c r="CJ288" s="199"/>
      <c r="CK288" s="199"/>
      <c r="CL288" s="199"/>
      <c r="CM288" s="199"/>
      <c r="CN288" s="199">
        <f>CI288+1</f>
        <v>2025</v>
      </c>
      <c r="CO288" s="199"/>
      <c r="CP288" s="199"/>
      <c r="CQ288" s="199">
        <f>CN288+1</f>
        <v>2026</v>
      </c>
      <c r="CR288" s="199">
        <f t="shared" ref="CR288:CS288" si="1141">CQ288+1</f>
        <v>2027</v>
      </c>
      <c r="CS288" s="199">
        <f t="shared" si="1141"/>
        <v>2028</v>
      </c>
      <c r="CT288" s="199">
        <f t="shared" ref="CT288" si="1142">CS288+1</f>
        <v>2029</v>
      </c>
      <c r="CU288" s="199">
        <f t="shared" ref="CU288" si="1143">CT288+1</f>
        <v>2030</v>
      </c>
      <c r="CV288" s="199">
        <f t="shared" ref="CV288:CW288" si="1144">CU288+1</f>
        <v>2031</v>
      </c>
      <c r="CW288" s="199">
        <f t="shared" si="1144"/>
        <v>2032</v>
      </c>
      <c r="CX288" s="159"/>
      <c r="CY288" s="159"/>
      <c r="CZ288" s="159"/>
      <c r="DA288" s="159"/>
      <c r="DB288" s="159"/>
      <c r="DC288" s="159"/>
      <c r="DD288" s="159"/>
      <c r="ED288" s="895"/>
      <c r="EE288" s="895"/>
      <c r="EF288" s="895"/>
      <c r="EG288" s="895"/>
      <c r="EH288" s="895"/>
      <c r="EI288" s="895"/>
      <c r="EJ288" s="895"/>
      <c r="EK288" s="895"/>
      <c r="EL288" s="895"/>
      <c r="EM288" s="895"/>
      <c r="EN288" s="895"/>
      <c r="EO288" s="895"/>
    </row>
    <row r="289" spans="1:149">
      <c r="A289" s="226" t="s">
        <v>265</v>
      </c>
      <c r="B289" s="693"/>
      <c r="C289" s="693"/>
      <c r="D289" s="693"/>
      <c r="E289" s="693"/>
      <c r="F289" s="693"/>
      <c r="G289" s="693">
        <f>G291/G137*1000</f>
        <v>192.8578424212069</v>
      </c>
      <c r="H289" s="693"/>
      <c r="I289" s="693"/>
      <c r="J289" s="693"/>
      <c r="K289" s="693"/>
      <c r="L289" s="693">
        <f>L291/L137*1000</f>
        <v>49.817441129987934</v>
      </c>
      <c r="M289" s="693"/>
      <c r="N289" s="693"/>
      <c r="O289" s="693"/>
      <c r="P289" s="693"/>
      <c r="Q289" s="693">
        <f>Q291/Q137*1000</f>
        <v>70.776573787518004</v>
      </c>
      <c r="R289" s="693"/>
      <c r="S289" s="693"/>
      <c r="T289" s="693"/>
      <c r="U289" s="693"/>
      <c r="V289" s="693">
        <f>V291/V137*1000</f>
        <v>130.32236237131829</v>
      </c>
      <c r="W289" s="693"/>
      <c r="X289" s="693"/>
      <c r="Y289" s="693"/>
      <c r="Z289" s="693"/>
      <c r="AA289" s="693">
        <f>AA291/AA137*1000</f>
        <v>50.690698976183775</v>
      </c>
      <c r="AB289" s="693"/>
      <c r="AC289" s="693"/>
      <c r="AD289" s="693"/>
      <c r="AE289" s="693"/>
      <c r="AF289" s="693">
        <f>AF291/AF137*1000</f>
        <v>381.95049029690813</v>
      </c>
      <c r="AG289" s="693"/>
      <c r="AH289" s="693"/>
      <c r="AI289" s="693"/>
      <c r="AJ289" s="693"/>
      <c r="AK289" s="693">
        <f>AK291/AK137*1000</f>
        <v>182.55192036472042</v>
      </c>
      <c r="AL289" s="693"/>
      <c r="AM289" s="693"/>
      <c r="AN289" s="693"/>
      <c r="AO289" s="693"/>
      <c r="AP289" s="693">
        <f>AP291/AP137*1000</f>
        <v>243.66482363951653</v>
      </c>
      <c r="AQ289" s="693"/>
      <c r="AR289" s="693"/>
      <c r="AS289" s="693"/>
      <c r="AT289" s="693"/>
      <c r="AU289" s="693">
        <f>AU291/AU137*1000</f>
        <v>377.10063512665459</v>
      </c>
      <c r="AV289" s="693"/>
      <c r="AW289" s="693"/>
      <c r="AX289" s="693"/>
      <c r="AY289" s="693"/>
      <c r="AZ289" s="693">
        <f>AZ291/AZ137*1000</f>
        <v>1060.9761483540615</v>
      </c>
      <c r="BA289" s="693"/>
      <c r="BB289" s="693"/>
      <c r="BC289" s="693"/>
      <c r="BD289" s="693"/>
      <c r="BE289" s="693">
        <f>BE291/BE137*1000</f>
        <v>630.51400889293313</v>
      </c>
      <c r="BF289" s="693"/>
      <c r="BG289" s="693"/>
      <c r="BH289" s="693"/>
      <c r="BI289" s="693"/>
      <c r="BJ289" s="693">
        <f>BJ291/BJ137*1000</f>
        <v>689.60184136428359</v>
      </c>
      <c r="BK289" s="693"/>
      <c r="BL289" s="693"/>
      <c r="BM289" s="693"/>
      <c r="BN289" s="693"/>
      <c r="BO289" s="693">
        <f>BO291/BO137*1000</f>
        <v>655.19243968111493</v>
      </c>
      <c r="BP289" s="693"/>
      <c r="BQ289" s="693"/>
      <c r="BR289" s="693"/>
      <c r="BS289" s="693"/>
      <c r="BT289" s="693">
        <f>BT291/BT137*1000</f>
        <v>514.20258656934789</v>
      </c>
      <c r="BU289" s="693"/>
      <c r="BV289" s="693"/>
      <c r="BW289" s="693"/>
      <c r="BX289" s="693"/>
      <c r="BY289" s="693">
        <f>BY291/BY137*1000</f>
        <v>693.53622330625365</v>
      </c>
      <c r="BZ289" s="693"/>
      <c r="CA289" s="693"/>
      <c r="CB289" s="693"/>
      <c r="CC289" s="693"/>
      <c r="CD289" s="693">
        <f>CD291/CD137*1000</f>
        <v>571.14198561347314</v>
      </c>
      <c r="CE289" s="693"/>
      <c r="CF289" s="693"/>
      <c r="CG289" s="693"/>
      <c r="CH289" s="693"/>
      <c r="CI289" s="693">
        <f>CI291/CI137*1000</f>
        <v>656.18708098245531</v>
      </c>
      <c r="CJ289" s="693"/>
      <c r="CK289" s="693"/>
      <c r="CL289" s="693"/>
      <c r="CM289" s="693"/>
      <c r="CN289" s="693">
        <f>CN291/CN137*1000</f>
        <v>571.98210555808578</v>
      </c>
      <c r="CO289" s="693"/>
      <c r="CP289" s="693"/>
      <c r="CQ289" s="693">
        <f>CN289*(1+CQ290)</f>
        <v>743.57673722551158</v>
      </c>
      <c r="CR289" s="693">
        <f t="shared" ref="CR289:CS289" si="1145">CQ289*(1+CR290)</f>
        <v>743.57673722551158</v>
      </c>
      <c r="CS289" s="693">
        <f t="shared" si="1145"/>
        <v>758.44827197002178</v>
      </c>
      <c r="CT289" s="693">
        <f t="shared" ref="CT289" si="1146">CS289*(1+CT290)</f>
        <v>773.61723740942227</v>
      </c>
      <c r="CU289" s="693">
        <f t="shared" ref="CU289" si="1147">CT289*(1+CU290)</f>
        <v>789.08958215761072</v>
      </c>
      <c r="CV289" s="693">
        <f t="shared" ref="CV289:CW289" si="1148">CU289*(1+CV290)</f>
        <v>804.87137380076297</v>
      </c>
      <c r="CW289" s="693">
        <f t="shared" si="1148"/>
        <v>820.96880127677821</v>
      </c>
      <c r="CX289" s="159"/>
      <c r="CY289" s="159"/>
      <c r="CZ289" s="159"/>
      <c r="DA289" s="159"/>
      <c r="DB289" s="159"/>
      <c r="DC289" s="159"/>
      <c r="DD289" s="159"/>
    </row>
    <row r="290" spans="1:149">
      <c r="A290" s="226" t="s">
        <v>39</v>
      </c>
      <c r="B290" s="204"/>
      <c r="C290" s="204"/>
      <c r="D290" s="204"/>
      <c r="E290" s="204"/>
      <c r="F290" s="204"/>
      <c r="G290" s="204"/>
      <c r="H290" s="204"/>
      <c r="I290" s="204"/>
      <c r="J290" s="204"/>
      <c r="K290" s="204"/>
      <c r="L290" s="204">
        <f>L289/G289-1</f>
        <v>-0.74168827928093661</v>
      </c>
      <c r="M290" s="204"/>
      <c r="N290" s="204"/>
      <c r="O290" s="204"/>
      <c r="P290" s="204"/>
      <c r="Q290" s="204">
        <f>Q289/L289-1</f>
        <v>0.42071877202286867</v>
      </c>
      <c r="R290" s="204"/>
      <c r="S290" s="204"/>
      <c r="T290" s="204"/>
      <c r="U290" s="204"/>
      <c r="V290" s="204">
        <f>V289/Q289-1</f>
        <v>0.84132058670381205</v>
      </c>
      <c r="W290" s="204"/>
      <c r="X290" s="204"/>
      <c r="Y290" s="204"/>
      <c r="Z290" s="204"/>
      <c r="AA290" s="204">
        <f>AA289/V289-1</f>
        <v>-0.61103606431140078</v>
      </c>
      <c r="AB290" s="204"/>
      <c r="AC290" s="204"/>
      <c r="AD290" s="204"/>
      <c r="AE290" s="204"/>
      <c r="AF290" s="204">
        <f>AF289/AA289-1</f>
        <v>6.5349225402546045</v>
      </c>
      <c r="AG290" s="204"/>
      <c r="AH290" s="204"/>
      <c r="AI290" s="204"/>
      <c r="AJ290" s="204"/>
      <c r="AK290" s="204">
        <f>AK289/AF289-1</f>
        <v>-0.5220534467102943</v>
      </c>
      <c r="AL290" s="204"/>
      <c r="AM290" s="204"/>
      <c r="AN290" s="204"/>
      <c r="AO290" s="204"/>
      <c r="AP290" s="204">
        <f>AP289/AK289-1</f>
        <v>0.33476998298729832</v>
      </c>
      <c r="AQ290" s="204"/>
      <c r="AR290" s="204"/>
      <c r="AS290" s="204"/>
      <c r="AT290" s="204"/>
      <c r="AU290" s="204">
        <f>AU289/AP289-1</f>
        <v>0.54762033146214883</v>
      </c>
      <c r="AV290" s="204"/>
      <c r="AW290" s="204"/>
      <c r="AX290" s="204"/>
      <c r="AY290" s="204"/>
      <c r="AZ290" s="204">
        <f>AZ289/AU289-1</f>
        <v>1.8135093116396308</v>
      </c>
      <c r="BA290" s="204"/>
      <c r="BB290" s="204"/>
      <c r="BC290" s="204"/>
      <c r="BD290" s="204"/>
      <c r="BE290" s="204">
        <f>BE289/AZ289-1</f>
        <v>-0.40572273008108906</v>
      </c>
      <c r="BF290" s="204"/>
      <c r="BG290" s="204"/>
      <c r="BH290" s="227"/>
      <c r="BI290" s="227"/>
      <c r="BJ290" s="204">
        <f>BJ289/BE289-1</f>
        <v>9.3713750428952247E-2</v>
      </c>
      <c r="BK290" s="204"/>
      <c r="BL290" s="204"/>
      <c r="BM290" s="204"/>
      <c r="BN290" s="204"/>
      <c r="BO290" s="204">
        <f>BO289/BJ289-1</f>
        <v>-4.9897491014661899E-2</v>
      </c>
      <c r="BP290" s="204"/>
      <c r="BQ290" s="204"/>
      <c r="BR290" s="204"/>
      <c r="BS290" s="204"/>
      <c r="BT290" s="204">
        <f>BT289/BO289-1</f>
        <v>-0.21518846154633198</v>
      </c>
      <c r="BU290" s="185"/>
      <c r="BV290" s="185"/>
      <c r="BW290" s="185"/>
      <c r="BX290" s="185"/>
      <c r="BY290" s="204">
        <f>BY289/BT289-1</f>
        <v>0.34876066636183656</v>
      </c>
      <c r="BZ290" s="185"/>
      <c r="CA290" s="185"/>
      <c r="CB290" s="185"/>
      <c r="CC290" s="185"/>
      <c r="CD290" s="204">
        <f>CD289/BY289-1</f>
        <v>-0.17647850765356965</v>
      </c>
      <c r="CE290" s="185"/>
      <c r="CF290" s="185"/>
      <c r="CG290" s="185"/>
      <c r="CH290" s="185"/>
      <c r="CI290" s="204">
        <f>CI289/CD289-1</f>
        <v>0.14890359579787127</v>
      </c>
      <c r="CJ290" s="185"/>
      <c r="CK290" s="185"/>
      <c r="CL290" s="185"/>
      <c r="CM290" s="185"/>
      <c r="CN290" s="204">
        <f>CN289/CI289-1</f>
        <v>-0.12832464683440015</v>
      </c>
      <c r="CO290" s="185"/>
      <c r="CP290" s="185"/>
      <c r="CQ290" s="228">
        <v>0.3</v>
      </c>
      <c r="CR290" s="228">
        <v>0</v>
      </c>
      <c r="CS290" s="228">
        <v>0.02</v>
      </c>
      <c r="CT290" s="228">
        <f t="shared" ref="CT290" si="1149">CS290</f>
        <v>0.02</v>
      </c>
      <c r="CU290" s="228">
        <f t="shared" ref="CU290" si="1150">CT290</f>
        <v>0.02</v>
      </c>
      <c r="CV290" s="228">
        <f t="shared" ref="CV290" si="1151">CU290</f>
        <v>0.02</v>
      </c>
      <c r="CW290" s="228">
        <f t="shared" ref="CW290" si="1152">CV290</f>
        <v>0.02</v>
      </c>
      <c r="CX290" s="159"/>
      <c r="CY290" s="159"/>
      <c r="CZ290" s="159"/>
      <c r="DA290" s="159"/>
      <c r="DB290" s="159"/>
      <c r="DC290" s="159"/>
      <c r="DD290" s="159"/>
      <c r="ED290" s="221"/>
      <c r="EE290" s="221"/>
      <c r="EF290" s="221"/>
      <c r="EG290" s="221"/>
      <c r="EH290" s="221"/>
      <c r="EI290" s="221"/>
      <c r="EJ290" s="221"/>
      <c r="EK290" s="221"/>
      <c r="EL290" s="221"/>
      <c r="EM290" s="221"/>
      <c r="EN290" s="221"/>
      <c r="EO290" s="221"/>
    </row>
    <row r="291" spans="1:149">
      <c r="A291" s="235" t="s">
        <v>507</v>
      </c>
      <c r="B291" s="694">
        <f>B294-B227</f>
        <v>1433.8319999999994</v>
      </c>
      <c r="C291" s="694"/>
      <c r="D291" s="694"/>
      <c r="E291" s="694"/>
      <c r="F291" s="694">
        <f t="shared" ref="F291:AU291" si="1153">F294-F227</f>
        <v>99.43100000000004</v>
      </c>
      <c r="G291" s="694">
        <f t="shared" si="1153"/>
        <v>554.51643999999942</v>
      </c>
      <c r="H291" s="694">
        <f t="shared" si="1153"/>
        <v>63.991600000000062</v>
      </c>
      <c r="I291" s="694">
        <f t="shared" si="1153"/>
        <v>56.140799999999899</v>
      </c>
      <c r="J291" s="694">
        <f t="shared" si="1153"/>
        <v>67.744799999999714</v>
      </c>
      <c r="K291" s="694">
        <f t="shared" si="1153"/>
        <v>92.855000000000018</v>
      </c>
      <c r="L291" s="694">
        <f t="shared" si="1153"/>
        <v>134.85405000000083</v>
      </c>
      <c r="M291" s="694">
        <f t="shared" si="1153"/>
        <v>74.403999999999996</v>
      </c>
      <c r="N291" s="694">
        <f t="shared" si="1153"/>
        <v>77.856999999999971</v>
      </c>
      <c r="O291" s="694">
        <f t="shared" si="1153"/>
        <v>115.5440000000001</v>
      </c>
      <c r="P291" s="694">
        <f t="shared" si="1153"/>
        <v>132.29349999999999</v>
      </c>
      <c r="Q291" s="694">
        <f t="shared" si="1153"/>
        <v>248.02999999999975</v>
      </c>
      <c r="R291" s="694">
        <f t="shared" si="1153"/>
        <v>75.770500000000084</v>
      </c>
      <c r="S291" s="694">
        <f t="shared" si="1153"/>
        <v>124.3264999999999</v>
      </c>
      <c r="T291" s="694">
        <f t="shared" si="1153"/>
        <v>101.71199999999999</v>
      </c>
      <c r="U291" s="694">
        <f t="shared" si="1153"/>
        <v>110.41300000000001</v>
      </c>
      <c r="V291" s="694">
        <f t="shared" si="1153"/>
        <v>119.03199999999924</v>
      </c>
      <c r="W291" s="694">
        <f t="shared" si="1153"/>
        <v>8</v>
      </c>
      <c r="X291" s="694">
        <f t="shared" si="1153"/>
        <v>-15.25</v>
      </c>
      <c r="Y291" s="694">
        <f t="shared" si="1153"/>
        <v>83.119999999999891</v>
      </c>
      <c r="Z291" s="694">
        <f t="shared" si="1153"/>
        <v>93.488000000000056</v>
      </c>
      <c r="AA291" s="725">
        <f t="shared" si="1153"/>
        <v>169.35800000000017</v>
      </c>
      <c r="AB291" s="725">
        <f t="shared" si="1153"/>
        <v>118.33699999999999</v>
      </c>
      <c r="AC291" s="725">
        <f t="shared" si="1153"/>
        <v>130.37899999999991</v>
      </c>
      <c r="AD291" s="725">
        <f t="shared" si="1153"/>
        <v>100.80799999999999</v>
      </c>
      <c r="AE291" s="725">
        <f t="shared" si="1153"/>
        <v>105.20900000000006</v>
      </c>
      <c r="AF291" s="725">
        <f t="shared" si="1153"/>
        <v>398.10499999999956</v>
      </c>
      <c r="AG291" s="725">
        <f t="shared" si="1153"/>
        <v>117.3599999999999</v>
      </c>
      <c r="AH291" s="725">
        <f t="shared" si="1153"/>
        <v>79.775000000000091</v>
      </c>
      <c r="AI291" s="725">
        <f t="shared" si="1153"/>
        <v>84.799999999999955</v>
      </c>
      <c r="AJ291" s="725">
        <f t="shared" si="1153"/>
        <v>88.400000000000091</v>
      </c>
      <c r="AK291" s="725">
        <f t="shared" si="1153"/>
        <v>385.33500000000095</v>
      </c>
      <c r="AL291" s="725">
        <f t="shared" si="1153"/>
        <v>134.5440000000001</v>
      </c>
      <c r="AM291" s="725">
        <f t="shared" si="1153"/>
        <v>113.70550000000003</v>
      </c>
      <c r="AN291" s="725">
        <f t="shared" si="1153"/>
        <v>107.1434999999999</v>
      </c>
      <c r="AO291" s="725">
        <f t="shared" si="1153"/>
        <v>111.70000000000005</v>
      </c>
      <c r="AP291" s="725">
        <f t="shared" si="1153"/>
        <v>467.09299999999985</v>
      </c>
      <c r="AQ291" s="725">
        <f t="shared" si="1153"/>
        <v>129.70000000000005</v>
      </c>
      <c r="AR291" s="725">
        <f t="shared" si="1153"/>
        <v>128.91350000000011</v>
      </c>
      <c r="AS291" s="725">
        <f t="shared" si="1153"/>
        <v>159.875</v>
      </c>
      <c r="AT291" s="725">
        <f t="shared" si="1153"/>
        <v>107.6400000000001</v>
      </c>
      <c r="AU291" s="725">
        <f t="shared" si="1153"/>
        <v>526.12850000000071</v>
      </c>
      <c r="AV291" s="725">
        <f>'[3]Profit and Loss Highlights'!W$31</f>
        <v>299</v>
      </c>
      <c r="AW291" s="725">
        <f>'[3]Profit and Loss Highlights'!X$31</f>
        <v>266</v>
      </c>
      <c r="AX291" s="725">
        <f>'[3]Profit and Loss Highlights'!Y$31</f>
        <v>243</v>
      </c>
      <c r="AY291" s="725">
        <f>'[3]Profit and Loss Highlights'!Z$31</f>
        <v>340</v>
      </c>
      <c r="AZ291" s="725">
        <f>SUM(AV291:AY291)</f>
        <v>1148</v>
      </c>
      <c r="BA291" s="725">
        <f>'[3]Profit and Loss Highlights'!AA$31</f>
        <v>257</v>
      </c>
      <c r="BB291" s="725">
        <f>'[3]Profit and Loss Highlights'!AB$31</f>
        <v>233</v>
      </c>
      <c r="BC291" s="725">
        <f>'[3]Profit and Loss Highlights'!AC$31</f>
        <v>237</v>
      </c>
      <c r="BD291" s="725">
        <f>'[3]Profit and Loss Highlights'!AD$31</f>
        <v>397</v>
      </c>
      <c r="BE291" s="725">
        <f>SUM(BA291:BD291)</f>
        <v>1124</v>
      </c>
      <c r="BF291" s="725">
        <f>'[3]Profit and Loss Highlights'!AE$31</f>
        <v>285</v>
      </c>
      <c r="BG291" s="725">
        <f>'[3]Profit and Loss Highlights'!AF$31</f>
        <v>288</v>
      </c>
      <c r="BH291" s="725">
        <f>'[3]Profit and Loss Highlights'!AG$31</f>
        <v>345</v>
      </c>
      <c r="BI291" s="725">
        <f>'[3]Profit and Loss Highlights'!AH$31</f>
        <v>598</v>
      </c>
      <c r="BJ291" s="725">
        <f>SUM(BF291:BI291)</f>
        <v>1516</v>
      </c>
      <c r="BK291" s="725">
        <f>'[3]Profit and Loss Highlights'!AI$31</f>
        <v>401</v>
      </c>
      <c r="BL291" s="725">
        <f>'[3]Profit and Loss Highlights'!AJ$31</f>
        <v>251</v>
      </c>
      <c r="BM291" s="725">
        <f>'[3]Profit and Loss Highlights'!AK$31</f>
        <v>273</v>
      </c>
      <c r="BN291" s="725">
        <f>'[3]Profit and Loss Highlights'!AL$31</f>
        <v>316</v>
      </c>
      <c r="BO291" s="725">
        <f>SUM(BK291:BN291)</f>
        <v>1241</v>
      </c>
      <c r="BP291" s="725">
        <f>'[3]Profit and Loss Highlights'!AM$31</f>
        <v>269</v>
      </c>
      <c r="BQ291" s="725">
        <f>'[3]Profit and Loss Highlights'!AN$31</f>
        <v>276</v>
      </c>
      <c r="BR291" s="725">
        <f>'[3]Profit and Loss Highlights'!AO$31</f>
        <v>238</v>
      </c>
      <c r="BS291" s="725">
        <f>'[3]Profit and Loss Highlights'!AP$31</f>
        <v>440</v>
      </c>
      <c r="BT291" s="725">
        <f>SUM(BP291:BS291)</f>
        <v>1223</v>
      </c>
      <c r="BU291" s="725">
        <f>'[3]Profit and Loss Highlights'!AQ$31</f>
        <v>376</v>
      </c>
      <c r="BV291" s="725">
        <f>'[3]Profit and Loss Highlights'!AR$31</f>
        <v>340</v>
      </c>
      <c r="BW291" s="725">
        <f>'[3]Profit and Loss Highlights'!AS$31</f>
        <v>297</v>
      </c>
      <c r="BX291" s="725">
        <f>'[3]Profit and Loss Highlights'!AT$31</f>
        <v>440</v>
      </c>
      <c r="BY291" s="725">
        <f>SUM(BU291:BX291)</f>
        <v>1453</v>
      </c>
      <c r="BZ291" s="725">
        <f>'[3]Profit and Loss Highlights'!AU$31</f>
        <v>414</v>
      </c>
      <c r="CA291" s="725">
        <f>'[3]Profit and Loss Highlights'!AV$31</f>
        <v>357</v>
      </c>
      <c r="CB291" s="725">
        <f>'[3]Profit and Loss Highlights'!AW$31</f>
        <v>297</v>
      </c>
      <c r="CC291" s="725">
        <f>'[3]Profit and Loss Highlights'!AX$31</f>
        <v>540</v>
      </c>
      <c r="CD291" s="725">
        <f>SUM(BZ291:CC291)</f>
        <v>1608</v>
      </c>
      <c r="CE291" s="725">
        <f>'[3]Profit and Loss Highlights'!AY$31</f>
        <v>412</v>
      </c>
      <c r="CF291" s="725">
        <f>'[3]Profit and Loss Highlights'!AZ$31</f>
        <v>370</v>
      </c>
      <c r="CG291" s="725">
        <f>'[3]Profit and Loss Highlights'!BA$31</f>
        <v>363</v>
      </c>
      <c r="CH291" s="725">
        <f>'[3]Profit and Loss Highlights'!BB$31</f>
        <v>523</v>
      </c>
      <c r="CI291" s="725">
        <f>SUM(CE291:CH291)</f>
        <v>1668</v>
      </c>
      <c r="CJ291" s="725">
        <f>'[3]Profit and Loss Highlights'!BC$31</f>
        <v>437</v>
      </c>
      <c r="CK291" s="725">
        <f>'[3]Profit and Loss Highlights'!BD$31</f>
        <v>358</v>
      </c>
      <c r="CL291" s="725">
        <f>'[3]Profit and Loss Highlights'!BE$31</f>
        <v>348</v>
      </c>
      <c r="CM291" s="725">
        <f>'[3]Profit and Loss Highlights'!BF$31</f>
        <v>580</v>
      </c>
      <c r="CN291" s="725">
        <f>SUM(CJ291:CM291)</f>
        <v>1723</v>
      </c>
      <c r="CO291" s="725">
        <f>'[3]Profit and Loss Highlights'!BG$31</f>
        <v>489</v>
      </c>
      <c r="CP291" s="725">
        <f>'[3]Profit and Loss Highlights'!BH$31</f>
        <v>404</v>
      </c>
      <c r="CQ291" s="694">
        <f>CQ289*CQ137/1000</f>
        <v>1891.1696371070805</v>
      </c>
      <c r="CR291" s="694">
        <f t="shared" ref="CR291:CW291" si="1154">CR289*CR137/1000</f>
        <v>1957.4385394257304</v>
      </c>
      <c r="CS291" s="694">
        <f t="shared" si="1154"/>
        <v>2012.5538642355245</v>
      </c>
      <c r="CT291" s="694">
        <f t="shared" si="1154"/>
        <v>2068.5893918696747</v>
      </c>
      <c r="CU291" s="694">
        <f t="shared" si="1154"/>
        <v>2125.604075098508</v>
      </c>
      <c r="CV291" s="694">
        <f t="shared" si="1154"/>
        <v>2183.6555708187434</v>
      </c>
      <c r="CW291" s="694">
        <f t="shared" si="1154"/>
        <v>2242.8004223853263</v>
      </c>
      <c r="CX291" s="159"/>
      <c r="CY291" s="159"/>
      <c r="CZ291" s="159"/>
      <c r="DA291" s="159"/>
      <c r="DB291" s="159"/>
      <c r="DC291" s="294">
        <v>38322</v>
      </c>
      <c r="DD291" s="294">
        <v>38687</v>
      </c>
      <c r="DE291" s="294">
        <v>39052</v>
      </c>
      <c r="DF291" s="294"/>
      <c r="DG291" s="294"/>
      <c r="DH291" s="294"/>
      <c r="DI291" s="294"/>
    </row>
    <row r="292" spans="1:149">
      <c r="A292" s="226" t="s">
        <v>60</v>
      </c>
      <c r="B292" s="204"/>
      <c r="C292" s="204"/>
      <c r="D292" s="204"/>
      <c r="E292" s="204"/>
      <c r="F292" s="204"/>
      <c r="G292" s="204">
        <f>G291/B291-1</f>
        <v>-0.61326261375112312</v>
      </c>
      <c r="H292" s="204"/>
      <c r="I292" s="204"/>
      <c r="J292" s="204"/>
      <c r="K292" s="204"/>
      <c r="L292" s="204">
        <f>L291/G291-1</f>
        <v>-0.75680784144109237</v>
      </c>
      <c r="M292" s="204"/>
      <c r="N292" s="204"/>
      <c r="O292" s="204"/>
      <c r="P292" s="204"/>
      <c r="Q292" s="204">
        <f>Q291/L291-1</f>
        <v>0.83924769037339431</v>
      </c>
      <c r="R292" s="204"/>
      <c r="S292" s="204"/>
      <c r="T292" s="204"/>
      <c r="U292" s="204"/>
      <c r="V292" s="204">
        <f>V291/Q291-1</f>
        <v>-0.52009031165585062</v>
      </c>
      <c r="W292" s="204"/>
      <c r="X292" s="204"/>
      <c r="Y292" s="204"/>
      <c r="Z292" s="204"/>
      <c r="AA292" s="204">
        <f>AA291/V291-1</f>
        <v>0.4227938705558274</v>
      </c>
      <c r="AB292" s="204"/>
      <c r="AC292" s="204"/>
      <c r="AD292" s="204"/>
      <c r="AE292" s="204"/>
      <c r="AF292" s="204">
        <f>AF291/AA291-1</f>
        <v>1.3506713588965336</v>
      </c>
      <c r="AG292" s="204"/>
      <c r="AH292" s="204"/>
      <c r="AI292" s="204"/>
      <c r="AJ292" s="204"/>
      <c r="AK292" s="204">
        <f>AK291/AF291-1</f>
        <v>-3.2076964619883297E-2</v>
      </c>
      <c r="AL292" s="204"/>
      <c r="AM292" s="204"/>
      <c r="AN292" s="204"/>
      <c r="AO292" s="204"/>
      <c r="AP292" s="204">
        <f>AP291/AK291-1</f>
        <v>0.21217382277757979</v>
      </c>
      <c r="AQ292" s="204"/>
      <c r="AR292" s="204"/>
      <c r="AS292" s="204"/>
      <c r="AT292" s="204"/>
      <c r="AU292" s="204">
        <f>AU291/AP291-1</f>
        <v>0.1263891773158683</v>
      </c>
      <c r="AV292" s="204"/>
      <c r="AW292" s="204"/>
      <c r="AX292" s="204"/>
      <c r="AY292" s="204"/>
      <c r="AZ292" s="204">
        <f t="shared" ref="AZ292:CP292" si="1155">AZ291/AU291-1</f>
        <v>1.181976456321979</v>
      </c>
      <c r="BA292" s="204">
        <f t="shared" si="1155"/>
        <v>-0.14046822742474918</v>
      </c>
      <c r="BB292" s="204">
        <f t="shared" si="1155"/>
        <v>-0.12406015037593987</v>
      </c>
      <c r="BC292" s="204">
        <f t="shared" si="1155"/>
        <v>-2.4691358024691357E-2</v>
      </c>
      <c r="BD292" s="204">
        <f t="shared" si="1155"/>
        <v>0.16764705882352948</v>
      </c>
      <c r="BE292" s="204">
        <f t="shared" si="1155"/>
        <v>-2.0905923344947785E-2</v>
      </c>
      <c r="BF292" s="204">
        <f t="shared" si="1155"/>
        <v>0.10894941634241251</v>
      </c>
      <c r="BG292" s="204">
        <f t="shared" si="1155"/>
        <v>0.23605150214592285</v>
      </c>
      <c r="BH292" s="204">
        <f t="shared" si="1155"/>
        <v>0.45569620253164556</v>
      </c>
      <c r="BI292" s="204">
        <f t="shared" si="1155"/>
        <v>0.50629722921914366</v>
      </c>
      <c r="BJ292" s="204">
        <f t="shared" si="1155"/>
        <v>0.3487544483985765</v>
      </c>
      <c r="BK292" s="204">
        <f t="shared" si="1155"/>
        <v>0.40701754385964906</v>
      </c>
      <c r="BL292" s="204">
        <f t="shared" si="1155"/>
        <v>-0.12847222222222221</v>
      </c>
      <c r="BM292" s="204">
        <f t="shared" si="1155"/>
        <v>-0.20869565217391306</v>
      </c>
      <c r="BN292" s="204">
        <f t="shared" si="1155"/>
        <v>-0.47157190635451507</v>
      </c>
      <c r="BO292" s="204">
        <f t="shared" si="1155"/>
        <v>-0.18139841688654357</v>
      </c>
      <c r="BP292" s="204">
        <f t="shared" si="1155"/>
        <v>-0.32917705735660852</v>
      </c>
      <c r="BQ292" s="204">
        <f t="shared" si="1155"/>
        <v>9.960159362549792E-2</v>
      </c>
      <c r="BR292" s="204">
        <f t="shared" si="1155"/>
        <v>-0.12820512820512819</v>
      </c>
      <c r="BS292" s="204">
        <f t="shared" si="1155"/>
        <v>0.39240506329113933</v>
      </c>
      <c r="BT292" s="204">
        <f t="shared" si="1155"/>
        <v>-1.4504431909750148E-2</v>
      </c>
      <c r="BU292" s="185">
        <f t="shared" si="1155"/>
        <v>0.39776951672862459</v>
      </c>
      <c r="BV292" s="185">
        <f t="shared" si="1155"/>
        <v>0.23188405797101441</v>
      </c>
      <c r="BW292" s="185">
        <f t="shared" si="1155"/>
        <v>0.24789915966386555</v>
      </c>
      <c r="BX292" s="185">
        <f t="shared" si="1155"/>
        <v>0</v>
      </c>
      <c r="BY292" s="204">
        <f t="shared" si="1155"/>
        <v>0.18806214227309903</v>
      </c>
      <c r="BZ292" s="185">
        <f t="shared" si="1155"/>
        <v>0.10106382978723394</v>
      </c>
      <c r="CA292" s="185">
        <f t="shared" si="1155"/>
        <v>5.0000000000000044E-2</v>
      </c>
      <c r="CB292" s="185">
        <f t="shared" si="1155"/>
        <v>0</v>
      </c>
      <c r="CC292" s="185">
        <f t="shared" si="1155"/>
        <v>0.22727272727272729</v>
      </c>
      <c r="CD292" s="204">
        <f t="shared" si="1155"/>
        <v>0.10667584308327593</v>
      </c>
      <c r="CE292" s="185">
        <f t="shared" si="1155"/>
        <v>-4.8309178743961567E-3</v>
      </c>
      <c r="CF292" s="185">
        <f t="shared" si="1155"/>
        <v>3.6414565826330625E-2</v>
      </c>
      <c r="CG292" s="185">
        <f t="shared" si="1155"/>
        <v>0.22222222222222232</v>
      </c>
      <c r="CH292" s="185">
        <f t="shared" si="1155"/>
        <v>-3.1481481481481444E-2</v>
      </c>
      <c r="CI292" s="204">
        <f t="shared" si="1155"/>
        <v>3.7313432835820892E-2</v>
      </c>
      <c r="CJ292" s="185">
        <f t="shared" si="1155"/>
        <v>6.0679611650485521E-2</v>
      </c>
      <c r="CK292" s="185">
        <f t="shared" si="1155"/>
        <v>-3.2432432432432434E-2</v>
      </c>
      <c r="CL292" s="185">
        <f t="shared" si="1155"/>
        <v>-4.132231404958675E-2</v>
      </c>
      <c r="CM292" s="185">
        <f t="shared" si="1155"/>
        <v>0.10898661567877621</v>
      </c>
      <c r="CN292" s="204">
        <f t="shared" si="1155"/>
        <v>3.2973621103117523E-2</v>
      </c>
      <c r="CO292" s="185">
        <f t="shared" si="1155"/>
        <v>0.11899313501144171</v>
      </c>
      <c r="CP292" s="185">
        <f t="shared" si="1155"/>
        <v>0.12849162011173187</v>
      </c>
      <c r="CQ292" s="204">
        <f>CQ291/CN291-1</f>
        <v>9.7602807374974176E-2</v>
      </c>
      <c r="CR292" s="204">
        <f t="shared" ref="CR292:CS292" si="1156">CR291/CQ291-1</f>
        <v>3.5041225820451105E-2</v>
      </c>
      <c r="CS292" s="204">
        <f t="shared" si="1156"/>
        <v>2.8156860968908681E-2</v>
      </c>
      <c r="CT292" s="204">
        <f t="shared" ref="CT292" si="1157">CT291/CS291-1</f>
        <v>2.7842995226085687E-2</v>
      </c>
      <c r="CU292" s="204">
        <f t="shared" ref="CU292" si="1158">CU291/CT291-1</f>
        <v>2.7562107517771439E-2</v>
      </c>
      <c r="CV292" s="204">
        <f t="shared" ref="CV292:CW292" si="1159">CV291/CU291-1</f>
        <v>2.7310587329178349E-2</v>
      </c>
      <c r="CW292" s="204">
        <f t="shared" si="1159"/>
        <v>2.7085247489102349E-2</v>
      </c>
      <c r="CX292" s="159"/>
      <c r="CY292" s="159"/>
      <c r="CZ292" s="159"/>
      <c r="DA292" s="159"/>
      <c r="DB292" s="295" t="s">
        <v>51</v>
      </c>
      <c r="DC292" s="896">
        <v>412</v>
      </c>
      <c r="DD292" s="896">
        <v>448</v>
      </c>
      <c r="DE292" s="897">
        <v>487</v>
      </c>
      <c r="DF292" s="897"/>
      <c r="DG292" s="303"/>
      <c r="DH292" s="269"/>
      <c r="DI292" s="269"/>
      <c r="ED292" s="162"/>
      <c r="EE292" s="162"/>
      <c r="EF292" s="162"/>
      <c r="EG292" s="162"/>
      <c r="EH292" s="162"/>
      <c r="EI292" s="162"/>
      <c r="EJ292" s="162"/>
      <c r="EK292" s="162"/>
      <c r="EL292" s="162"/>
      <c r="EM292" s="162"/>
      <c r="EN292" s="162"/>
      <c r="EO292" s="162"/>
    </row>
    <row r="293" spans="1:149">
      <c r="A293" s="235"/>
      <c r="B293" s="204"/>
      <c r="C293" s="204"/>
      <c r="D293" s="204"/>
      <c r="E293" s="204"/>
      <c r="F293" s="204"/>
      <c r="G293" s="204"/>
      <c r="H293" s="204"/>
      <c r="I293" s="204"/>
      <c r="J293" s="204"/>
      <c r="K293" s="204"/>
      <c r="L293" s="204"/>
      <c r="M293" s="204"/>
      <c r="N293" s="204"/>
      <c r="O293" s="204"/>
      <c r="P293" s="204"/>
      <c r="Q293" s="204"/>
      <c r="R293" s="204"/>
      <c r="S293" s="204"/>
      <c r="T293" s="204"/>
      <c r="U293" s="204"/>
      <c r="V293" s="204"/>
      <c r="W293" s="204"/>
      <c r="X293" s="204"/>
      <c r="Y293" s="204"/>
      <c r="Z293" s="204"/>
      <c r="AA293" s="204"/>
      <c r="AB293" s="204"/>
      <c r="AC293" s="204"/>
      <c r="AD293" s="204"/>
      <c r="AE293" s="204"/>
      <c r="AF293" s="204"/>
      <c r="AG293" s="204"/>
      <c r="AH293" s="204"/>
      <c r="AI293" s="204"/>
      <c r="AJ293" s="204"/>
      <c r="AK293" s="204"/>
      <c r="AL293" s="204"/>
      <c r="AM293" s="204"/>
      <c r="AN293" s="204"/>
      <c r="AO293" s="204"/>
      <c r="AP293" s="204"/>
      <c r="AQ293" s="204"/>
      <c r="AR293" s="204"/>
      <c r="AS293" s="204"/>
      <c r="AT293" s="204"/>
      <c r="AU293" s="204"/>
      <c r="AV293" s="204"/>
      <c r="AW293" s="204"/>
      <c r="AX293" s="204"/>
      <c r="AY293" s="204"/>
      <c r="AZ293" s="204"/>
      <c r="BA293" s="204"/>
      <c r="BB293" s="204"/>
      <c r="BC293" s="204"/>
      <c r="BD293" s="204"/>
      <c r="BE293" s="204"/>
      <c r="BF293" s="204"/>
      <c r="BG293" s="204"/>
      <c r="BH293" s="204"/>
      <c r="BI293" s="204"/>
      <c r="BJ293" s="204"/>
      <c r="BK293" s="204"/>
      <c r="BL293" s="204"/>
      <c r="BM293" s="204"/>
      <c r="BN293" s="204"/>
      <c r="BO293" s="204"/>
      <c r="BP293" s="204"/>
      <c r="BQ293" s="204"/>
      <c r="BR293" s="204"/>
      <c r="BS293" s="204"/>
      <c r="BT293" s="204"/>
      <c r="BU293" s="185"/>
      <c r="BV293" s="185"/>
      <c r="BW293" s="185"/>
      <c r="BX293" s="185"/>
      <c r="BY293" s="204"/>
      <c r="BZ293" s="185"/>
      <c r="CA293" s="185"/>
      <c r="CB293" s="185"/>
      <c r="CC293" s="185"/>
      <c r="CD293" s="204"/>
      <c r="CE293" s="185"/>
      <c r="CF293" s="185"/>
      <c r="CG293" s="185"/>
      <c r="CH293" s="185"/>
      <c r="CI293" s="204"/>
      <c r="CJ293" s="185"/>
      <c r="CK293" s="185"/>
      <c r="CL293" s="185"/>
      <c r="CM293" s="185"/>
      <c r="CN293" s="204"/>
      <c r="CO293" s="185"/>
      <c r="CP293" s="185"/>
      <c r="CQ293" s="204"/>
      <c r="CR293" s="204"/>
      <c r="CS293" s="204"/>
      <c r="CT293" s="204"/>
      <c r="CU293" s="204"/>
      <c r="CV293" s="204"/>
      <c r="CW293" s="204"/>
      <c r="CX293" s="159"/>
      <c r="CY293" s="159"/>
      <c r="CZ293" s="159"/>
      <c r="DA293" s="159"/>
      <c r="DB293" s="159"/>
      <c r="DC293" s="169"/>
      <c r="DD293" s="169"/>
      <c r="DE293" s="169"/>
      <c r="DF293" s="169"/>
      <c r="DG293" s="169"/>
      <c r="DH293" s="169"/>
    </row>
    <row r="294" spans="1:149">
      <c r="A294" s="235" t="s">
        <v>555</v>
      </c>
      <c r="B294" s="705">
        <v>7223.4</v>
      </c>
      <c r="C294" s="705"/>
      <c r="D294" s="705"/>
      <c r="E294" s="705"/>
      <c r="F294" s="705">
        <v>2078</v>
      </c>
      <c r="G294" s="705">
        <v>7937.8</v>
      </c>
      <c r="H294" s="705">
        <v>1954</v>
      </c>
      <c r="I294" s="705">
        <v>1962</v>
      </c>
      <c r="J294" s="705">
        <v>2013</v>
      </c>
      <c r="K294" s="705">
        <v>2075</v>
      </c>
      <c r="L294" s="705">
        <v>8004</v>
      </c>
      <c r="M294" s="705">
        <v>2023</v>
      </c>
      <c r="N294" s="705">
        <v>2041</v>
      </c>
      <c r="O294" s="705">
        <v>2063</v>
      </c>
      <c r="P294" s="705">
        <v>2152</v>
      </c>
      <c r="Q294" s="705">
        <v>8279</v>
      </c>
      <c r="R294" s="705">
        <v>2038</v>
      </c>
      <c r="S294" s="705">
        <v>2075</v>
      </c>
      <c r="T294" s="705">
        <v>2163</v>
      </c>
      <c r="U294" s="705">
        <v>2170</v>
      </c>
      <c r="V294" s="705">
        <v>8446</v>
      </c>
      <c r="W294" s="705">
        <v>2036</v>
      </c>
      <c r="X294" s="705">
        <v>2081</v>
      </c>
      <c r="Y294" s="705">
        <v>2066</v>
      </c>
      <c r="Z294" s="705">
        <v>2111</v>
      </c>
      <c r="AA294" s="705">
        <v>8294</v>
      </c>
      <c r="AB294" s="705">
        <v>2066</v>
      </c>
      <c r="AC294" s="705">
        <v>2063</v>
      </c>
      <c r="AD294" s="705">
        <v>2051</v>
      </c>
      <c r="AE294" s="705">
        <v>2024</v>
      </c>
      <c r="AF294" s="705">
        <v>8147.3720000000003</v>
      </c>
      <c r="AG294" s="705">
        <v>1953</v>
      </c>
      <c r="AH294" s="705">
        <v>1955</v>
      </c>
      <c r="AI294" s="705">
        <v>1946</v>
      </c>
      <c r="AJ294" s="705">
        <v>1988</v>
      </c>
      <c r="AK294" s="705">
        <v>7857</v>
      </c>
      <c r="AL294" s="705">
        <v>2019</v>
      </c>
      <c r="AM294" s="705">
        <v>1984</v>
      </c>
      <c r="AN294" s="705">
        <v>2046</v>
      </c>
      <c r="AO294" s="705">
        <v>2047</v>
      </c>
      <c r="AP294" s="705">
        <v>8096</v>
      </c>
      <c r="AQ294" s="705">
        <v>2005</v>
      </c>
      <c r="AR294" s="705">
        <v>1934</v>
      </c>
      <c r="AS294" s="705">
        <v>1982</v>
      </c>
      <c r="AT294" s="705">
        <v>2028</v>
      </c>
      <c r="AU294" s="705">
        <f>SUM(AQ294:AT294)</f>
        <v>7949</v>
      </c>
      <c r="AV294" s="705">
        <v>1994</v>
      </c>
      <c r="AW294" s="705">
        <f>'[3]Profit and Loss Highlights'!X$10</f>
        <v>1928</v>
      </c>
      <c r="AX294" s="705">
        <f>'[3]Profit and Loss Highlights'!Y$10</f>
        <v>1944</v>
      </c>
      <c r="AY294" s="705">
        <f>'[3]Profit and Loss Highlights'!Z$10</f>
        <v>1897</v>
      </c>
      <c r="AZ294" s="705">
        <f>SUM(AV294:AY294)</f>
        <v>7763</v>
      </c>
      <c r="BA294" s="705">
        <f>'[3]Profit and Loss Highlights'!AA$10</f>
        <v>1834</v>
      </c>
      <c r="BB294" s="705">
        <f>'[3]Profit and Loss Highlights'!AB$10</f>
        <v>1863</v>
      </c>
      <c r="BC294" s="705">
        <f>'[3]Profit and Loss Highlights'!AC$10</f>
        <v>1876</v>
      </c>
      <c r="BD294" s="705">
        <f>'[3]Profit and Loss Highlights'!AD$10</f>
        <v>1898</v>
      </c>
      <c r="BE294" s="705">
        <f>SUM(BA294:BD294)</f>
        <v>7471</v>
      </c>
      <c r="BF294" s="705">
        <f>'[3]Profit and Loss Highlights'!AE$10</f>
        <v>1797</v>
      </c>
      <c r="BG294" s="705">
        <f>'[3]Profit and Loss Highlights'!AF$10</f>
        <v>1763</v>
      </c>
      <c r="BH294" s="705">
        <f>'[3]Profit and Loss Highlights'!AG$10</f>
        <v>1773</v>
      </c>
      <c r="BI294" s="705">
        <f>'[3]Profit and Loss Highlights'!AH$10</f>
        <v>1772</v>
      </c>
      <c r="BJ294" s="705">
        <f>SUM(BF294:BI294)</f>
        <v>7105</v>
      </c>
      <c r="BK294" s="705">
        <f>'[3]Profit and Loss Highlights'!AI$10</f>
        <v>1698</v>
      </c>
      <c r="BL294" s="705">
        <f>'[3]Profit and Loss Highlights'!AJ$10</f>
        <v>1660</v>
      </c>
      <c r="BM294" s="705">
        <f>'[3]Profit and Loss Highlights'!AK$10</f>
        <v>1673</v>
      </c>
      <c r="BN294" s="705">
        <f>'[3]Profit and Loss Highlights'!AL$10</f>
        <v>1663</v>
      </c>
      <c r="BO294" s="705">
        <f>SUM(BK294:BN294)</f>
        <v>6694</v>
      </c>
      <c r="BP294" s="705">
        <f>'[3]Profit and Loss Highlights'!AM$10</f>
        <v>1664</v>
      </c>
      <c r="BQ294" s="705">
        <f>'[3]Profit and Loss Highlights'!AN$10</f>
        <v>1687</v>
      </c>
      <c r="BR294" s="705">
        <f>'[3]Profit and Loss Highlights'!AO$10</f>
        <v>1715</v>
      </c>
      <c r="BS294" s="705">
        <f>'[3]Profit and Loss Highlights'!AP$10</f>
        <v>1674</v>
      </c>
      <c r="BT294" s="705">
        <f>SUM(BP294:BS294)</f>
        <v>6740</v>
      </c>
      <c r="BU294" s="707">
        <f>'[3]Profit and Loss Highlights'!AQ$10</f>
        <v>1698</v>
      </c>
      <c r="BV294" s="707">
        <f>'[3]Profit and Loss Highlights'!AR$10</f>
        <v>1748</v>
      </c>
      <c r="BW294" s="707">
        <f>'[3]Profit and Loss Highlights'!AS$10</f>
        <v>1768</v>
      </c>
      <c r="BX294" s="707">
        <f>'[3]Profit and Loss Highlights'!AT$10</f>
        <v>1793</v>
      </c>
      <c r="BY294" s="705">
        <f>SUM(BU294:BX294)</f>
        <v>7007</v>
      </c>
      <c r="BZ294" s="707">
        <f>'[3]Profit and Loss Highlights'!AU$10</f>
        <v>1784</v>
      </c>
      <c r="CA294" s="707">
        <f>'[3]Profit and Loss Highlights'!AV$10</f>
        <v>1779</v>
      </c>
      <c r="CB294" s="707">
        <f>'[3]Profit and Loss Highlights'!AW$10</f>
        <v>1806</v>
      </c>
      <c r="CC294" s="707">
        <f>'[3]Profit and Loss Highlights'!AX$10</f>
        <v>1841</v>
      </c>
      <c r="CD294" s="705">
        <f>SUM(BZ294:CC294)</f>
        <v>7210</v>
      </c>
      <c r="CE294" s="707">
        <f>'[3]Profit and Loss Highlights'!AY$10</f>
        <v>1839</v>
      </c>
      <c r="CF294" s="707">
        <f>'[3]Profit and Loss Highlights'!AZ$10</f>
        <v>1849</v>
      </c>
      <c r="CG294" s="707">
        <f>'[3]Profit and Loss Highlights'!BA$10</f>
        <v>1853</v>
      </c>
      <c r="CH294" s="707">
        <f>'[3]Profit and Loss Highlights'!BB$10</f>
        <v>1867</v>
      </c>
      <c r="CI294" s="705">
        <f>SUM(CE294:CH294)</f>
        <v>7408</v>
      </c>
      <c r="CJ294" s="707">
        <f>'[3]Profit and Loss Highlights'!BC$10</f>
        <v>0</v>
      </c>
      <c r="CK294" s="707">
        <f>'[3]Profit and Loss Highlights'!BD$10</f>
        <v>0</v>
      </c>
      <c r="CL294" s="707">
        <f>'[3]Profit and Loss Highlights'!BE$10</f>
        <v>0</v>
      </c>
      <c r="CM294" s="707">
        <f>'[3]Profit and Loss Highlights'!BF$10</f>
        <v>0</v>
      </c>
      <c r="CN294" s="705">
        <f>SUM(CJ294:CM294)</f>
        <v>0</v>
      </c>
      <c r="CO294" s="707">
        <f>'[3]Profit and Loss Highlights'!BG$10</f>
        <v>0</v>
      </c>
      <c r="CP294" s="707">
        <f>'[3]Profit and Loss Highlights'!BH$10</f>
        <v>0</v>
      </c>
      <c r="CQ294" s="706">
        <f t="shared" ref="CQ294:CW294" si="1160">CQ227</f>
        <v>6301.2407761425002</v>
      </c>
      <c r="CR294" s="706">
        <f t="shared" si="1160"/>
        <v>6381.0090667799705</v>
      </c>
      <c r="CS294" s="706">
        <f t="shared" si="1160"/>
        <v>6500.8828344426383</v>
      </c>
      <c r="CT294" s="706">
        <f t="shared" si="1160"/>
        <v>6618.2182754362475</v>
      </c>
      <c r="CU294" s="706">
        <f t="shared" si="1160"/>
        <v>6733.3568128173429</v>
      </c>
      <c r="CV294" s="706">
        <f t="shared" si="1160"/>
        <v>6846.6102238388012</v>
      </c>
      <c r="CW294" s="706">
        <f t="shared" si="1160"/>
        <v>6958.263367624244</v>
      </c>
      <c r="CX294" s="159"/>
      <c r="CY294" s="159"/>
      <c r="CZ294" s="159"/>
      <c r="DA294" s="159"/>
      <c r="DB294" s="159"/>
      <c r="DC294" s="169"/>
      <c r="DD294" s="169"/>
      <c r="DE294" s="169"/>
      <c r="DF294" s="169"/>
      <c r="DG294" s="169"/>
      <c r="DH294" s="169"/>
    </row>
    <row r="295" spans="1:149">
      <c r="A295" s="226" t="s">
        <v>561</v>
      </c>
      <c r="B295" s="167"/>
      <c r="C295" s="204"/>
      <c r="D295" s="204"/>
      <c r="E295" s="204"/>
      <c r="F295" s="204"/>
      <c r="G295" s="167"/>
      <c r="H295" s="167"/>
      <c r="I295" s="167"/>
      <c r="J295" s="167"/>
      <c r="K295" s="167"/>
      <c r="L295" s="167"/>
      <c r="M295" s="167"/>
      <c r="N295" s="167"/>
      <c r="O295" s="167"/>
      <c r="P295" s="167"/>
      <c r="Q295" s="204">
        <f t="shared" ref="Q295:CP295" si="1161">Q294/L294-1</f>
        <v>3.4357821089455287E-2</v>
      </c>
      <c r="R295" s="204">
        <f t="shared" si="1161"/>
        <v>7.4147305981215883E-3</v>
      </c>
      <c r="S295" s="204">
        <f t="shared" si="1161"/>
        <v>1.6658500734933801E-2</v>
      </c>
      <c r="T295" s="204">
        <f t="shared" si="1161"/>
        <v>4.847309743092576E-2</v>
      </c>
      <c r="U295" s="204">
        <f t="shared" si="1161"/>
        <v>8.3643122676579917E-3</v>
      </c>
      <c r="V295" s="204">
        <f t="shared" si="1161"/>
        <v>2.0171518299311408E-2</v>
      </c>
      <c r="W295" s="204">
        <f t="shared" si="1161"/>
        <v>-9.8135426889112143E-4</v>
      </c>
      <c r="X295" s="204">
        <f t="shared" si="1161"/>
        <v>2.8915662650601526E-3</v>
      </c>
      <c r="Y295" s="204">
        <f t="shared" si="1161"/>
        <v>-4.4845122515025482E-2</v>
      </c>
      <c r="Z295" s="204">
        <f t="shared" si="1161"/>
        <v>-2.7188940092165881E-2</v>
      </c>
      <c r="AA295" s="204">
        <f t="shared" si="1161"/>
        <v>-1.799668482121719E-2</v>
      </c>
      <c r="AB295" s="204">
        <f t="shared" si="1161"/>
        <v>1.4734774066797574E-2</v>
      </c>
      <c r="AC295" s="204">
        <f t="shared" si="1161"/>
        <v>-8.6496876501681585E-3</v>
      </c>
      <c r="AD295" s="204">
        <f t="shared" si="1161"/>
        <v>-7.2604065827686082E-3</v>
      </c>
      <c r="AE295" s="204">
        <f t="shared" si="1161"/>
        <v>-4.1212695405021371E-2</v>
      </c>
      <c r="AF295" s="204">
        <f t="shared" si="1161"/>
        <v>-1.7678803954666034E-2</v>
      </c>
      <c r="AG295" s="204">
        <f t="shared" si="1161"/>
        <v>-5.4695062923523663E-2</v>
      </c>
      <c r="AH295" s="204">
        <f t="shared" si="1161"/>
        <v>-5.2350945225399848E-2</v>
      </c>
      <c r="AI295" s="204">
        <f t="shared" si="1161"/>
        <v>-5.1194539249146742E-2</v>
      </c>
      <c r="AJ295" s="204">
        <f t="shared" si="1161"/>
        <v>-1.7786561264822143E-2</v>
      </c>
      <c r="AK295" s="204">
        <f t="shared" si="1161"/>
        <v>-3.563995850441104E-2</v>
      </c>
      <c r="AL295" s="204">
        <f t="shared" si="1161"/>
        <v>3.3794162826420893E-2</v>
      </c>
      <c r="AM295" s="204">
        <f t="shared" si="1161"/>
        <v>1.4833759590792805E-2</v>
      </c>
      <c r="AN295" s="204">
        <f t="shared" si="1161"/>
        <v>5.1387461459403871E-2</v>
      </c>
      <c r="AO295" s="204">
        <f t="shared" si="1161"/>
        <v>2.9678068410462721E-2</v>
      </c>
      <c r="AP295" s="204">
        <f t="shared" si="1161"/>
        <v>3.0418734886088927E-2</v>
      </c>
      <c r="AQ295" s="204">
        <f t="shared" si="1161"/>
        <v>-6.9341258048538634E-3</v>
      </c>
      <c r="AR295" s="204">
        <f t="shared" si="1161"/>
        <v>-2.5201612903225756E-2</v>
      </c>
      <c r="AS295" s="204">
        <f t="shared" si="1161"/>
        <v>-3.128054740957964E-2</v>
      </c>
      <c r="AT295" s="204">
        <f t="shared" si="1161"/>
        <v>-9.2818759159746245E-3</v>
      </c>
      <c r="AU295" s="204">
        <f t="shared" si="1161"/>
        <v>-1.8157114624505977E-2</v>
      </c>
      <c r="AV295" s="204">
        <f t="shared" si="1161"/>
        <v>-5.4862842892767771E-3</v>
      </c>
      <c r="AW295" s="204">
        <f t="shared" si="1161"/>
        <v>-3.1023784901758056E-3</v>
      </c>
      <c r="AX295" s="204">
        <f t="shared" si="1161"/>
        <v>-1.9172552976791102E-2</v>
      </c>
      <c r="AY295" s="204">
        <f t="shared" si="1161"/>
        <v>-6.4595660749506956E-2</v>
      </c>
      <c r="AZ295" s="204">
        <f t="shared" si="1161"/>
        <v>-2.3399169706881384E-2</v>
      </c>
      <c r="BA295" s="204">
        <f t="shared" si="1161"/>
        <v>-8.0240722166499467E-2</v>
      </c>
      <c r="BB295" s="204">
        <f t="shared" si="1161"/>
        <v>-3.3713692946058083E-2</v>
      </c>
      <c r="BC295" s="204">
        <f t="shared" si="1161"/>
        <v>-3.4979423868312765E-2</v>
      </c>
      <c r="BD295" s="204">
        <f t="shared" si="1161"/>
        <v>5.2714812862419969E-4</v>
      </c>
      <c r="BE295" s="204">
        <f t="shared" si="1161"/>
        <v>-3.7614324359139473E-2</v>
      </c>
      <c r="BF295" s="204">
        <f t="shared" si="1161"/>
        <v>-2.0174482006543037E-2</v>
      </c>
      <c r="BG295" s="204">
        <f t="shared" si="1161"/>
        <v>-5.3676865271068186E-2</v>
      </c>
      <c r="BH295" s="204">
        <f t="shared" si="1161"/>
        <v>-5.4904051172707913E-2</v>
      </c>
      <c r="BI295" s="204">
        <f t="shared" si="1161"/>
        <v>-6.6385669125395119E-2</v>
      </c>
      <c r="BJ295" s="204">
        <f t="shared" si="1161"/>
        <v>-4.8989425779681461E-2</v>
      </c>
      <c r="BK295" s="204">
        <f t="shared" si="1161"/>
        <v>-5.5091819699499167E-2</v>
      </c>
      <c r="BL295" s="204">
        <f t="shared" si="1161"/>
        <v>-5.8423142370958581E-2</v>
      </c>
      <c r="BM295" s="204">
        <f t="shared" si="1161"/>
        <v>-5.6401579244218847E-2</v>
      </c>
      <c r="BN295" s="204">
        <f t="shared" si="1161"/>
        <v>-6.1512415349887162E-2</v>
      </c>
      <c r="BO295" s="204">
        <f>BO294/BJ294-1</f>
        <v>-5.7846586910626274E-2</v>
      </c>
      <c r="BP295" s="204">
        <f t="shared" si="1161"/>
        <v>-2.0023557126030656E-2</v>
      </c>
      <c r="BQ295" s="204">
        <f t="shared" si="1161"/>
        <v>1.6265060240963747E-2</v>
      </c>
      <c r="BR295" s="204">
        <f t="shared" si="1161"/>
        <v>2.5104602510460206E-2</v>
      </c>
      <c r="BS295" s="204">
        <f t="shared" si="1161"/>
        <v>6.6145520144318404E-3</v>
      </c>
      <c r="BT295" s="204">
        <f>BT294/BO294-1</f>
        <v>6.8718255153870089E-3</v>
      </c>
      <c r="BU295" s="185">
        <f t="shared" si="1161"/>
        <v>2.0432692307692291E-2</v>
      </c>
      <c r="BV295" s="185">
        <f t="shared" si="1161"/>
        <v>3.6158861885003057E-2</v>
      </c>
      <c r="BW295" s="185">
        <f t="shared" si="1161"/>
        <v>3.0903790087463578E-2</v>
      </c>
      <c r="BX295" s="185">
        <f t="shared" si="1161"/>
        <v>7.1087216248506557E-2</v>
      </c>
      <c r="BY295" s="204">
        <f>BY294/BT294-1</f>
        <v>3.96142433234421E-2</v>
      </c>
      <c r="BZ295" s="185">
        <f t="shared" si="1161"/>
        <v>5.0647820965842083E-2</v>
      </c>
      <c r="CA295" s="185">
        <f t="shared" si="1161"/>
        <v>1.7734553775743622E-2</v>
      </c>
      <c r="CB295" s="185">
        <f t="shared" si="1161"/>
        <v>2.1493212669683182E-2</v>
      </c>
      <c r="CC295" s="185">
        <f t="shared" si="1161"/>
        <v>2.6770775237032973E-2</v>
      </c>
      <c r="CD295" s="204">
        <f>CD294/BY294-1</f>
        <v>2.8971028971028989E-2</v>
      </c>
      <c r="CE295" s="185">
        <f t="shared" si="1161"/>
        <v>3.0829596412556004E-2</v>
      </c>
      <c r="CF295" s="185">
        <f t="shared" si="1161"/>
        <v>3.9347948285553658E-2</v>
      </c>
      <c r="CG295" s="185">
        <f t="shared" si="1161"/>
        <v>2.6024363233665637E-2</v>
      </c>
      <c r="CH295" s="185">
        <f t="shared" si="1161"/>
        <v>1.4122759369907589E-2</v>
      </c>
      <c r="CI295" s="204">
        <f>CI294/CD294-1</f>
        <v>2.7461858529819638E-2</v>
      </c>
      <c r="CJ295" s="185">
        <f t="shared" si="1161"/>
        <v>-1</v>
      </c>
      <c r="CK295" s="185">
        <f t="shared" si="1161"/>
        <v>-1</v>
      </c>
      <c r="CL295" s="185">
        <f t="shared" si="1161"/>
        <v>-1</v>
      </c>
      <c r="CM295" s="185">
        <f t="shared" si="1161"/>
        <v>-1</v>
      </c>
      <c r="CN295" s="204">
        <f>CN294/CI294-1</f>
        <v>-1</v>
      </c>
      <c r="CO295" s="185" t="e">
        <f t="shared" si="1161"/>
        <v>#DIV/0!</v>
      </c>
      <c r="CP295" s="185" t="e">
        <f t="shared" si="1161"/>
        <v>#DIV/0!</v>
      </c>
      <c r="CQ295" s="204" t="e">
        <f>CQ294/CN294-1</f>
        <v>#DIV/0!</v>
      </c>
      <c r="CR295" s="204">
        <f t="shared" ref="CR295:CS295" si="1162">CR294/CQ294-1</f>
        <v>1.2659140234648092E-2</v>
      </c>
      <c r="CS295" s="204">
        <f t="shared" si="1162"/>
        <v>1.8786020582032936E-2</v>
      </c>
      <c r="CT295" s="204">
        <f t="shared" ref="CT295" si="1163">CT294/CS294-1</f>
        <v>1.8049154858160055E-2</v>
      </c>
      <c r="CU295" s="204">
        <f t="shared" ref="CU295" si="1164">CU294/CT294-1</f>
        <v>1.7397210637255078E-2</v>
      </c>
      <c r="CV295" s="204">
        <f t="shared" ref="CV295:CW295" si="1165">CV294/CU294-1</f>
        <v>1.6819754866677084E-2</v>
      </c>
      <c r="CW295" s="204">
        <f t="shared" si="1165"/>
        <v>1.6307799061889616E-2</v>
      </c>
      <c r="CX295" s="159"/>
      <c r="CY295" s="159"/>
      <c r="CZ295" s="159"/>
      <c r="DA295" s="159"/>
      <c r="DB295" s="159"/>
      <c r="DC295" s="169"/>
      <c r="DD295" s="169"/>
      <c r="DE295" s="169"/>
      <c r="DF295" s="169"/>
      <c r="DG295" s="169"/>
      <c r="DH295" s="169"/>
    </row>
    <row r="296" spans="1:149">
      <c r="A296" s="226"/>
      <c r="B296" s="167"/>
      <c r="C296" s="204"/>
      <c r="D296" s="204"/>
      <c r="E296" s="204"/>
      <c r="F296" s="204"/>
      <c r="G296" s="167"/>
      <c r="H296" s="167"/>
      <c r="I296" s="167"/>
      <c r="J296" s="167"/>
      <c r="K296" s="167"/>
      <c r="L296" s="167"/>
      <c r="M296" s="167"/>
      <c r="N296" s="167"/>
      <c r="O296" s="167"/>
      <c r="P296" s="167"/>
      <c r="Q296" s="204"/>
      <c r="R296" s="204"/>
      <c r="S296" s="204"/>
      <c r="T296" s="204"/>
      <c r="U296" s="204"/>
      <c r="V296" s="204"/>
      <c r="W296" s="204"/>
      <c r="X296" s="204"/>
      <c r="Y296" s="204"/>
      <c r="Z296" s="204"/>
      <c r="AA296" s="204"/>
      <c r="AB296" s="204"/>
      <c r="AC296" s="204"/>
      <c r="AD296" s="204"/>
      <c r="AE296" s="204"/>
      <c r="AF296" s="204"/>
      <c r="AG296" s="204"/>
      <c r="AH296" s="204"/>
      <c r="AI296" s="204"/>
      <c r="AJ296" s="204"/>
      <c r="AK296" s="204"/>
      <c r="AL296" s="204"/>
      <c r="AM296" s="204"/>
      <c r="AN296" s="204"/>
      <c r="AO296" s="204"/>
      <c r="AP296" s="204"/>
      <c r="AQ296" s="204"/>
      <c r="AR296" s="204"/>
      <c r="AS296" s="204"/>
      <c r="AT296" s="204"/>
      <c r="AU296" s="204"/>
      <c r="AV296" s="204"/>
      <c r="AW296" s="204"/>
      <c r="AX296" s="204"/>
      <c r="AY296" s="204"/>
      <c r="AZ296" s="204"/>
      <c r="BA296" s="204"/>
      <c r="BB296" s="204"/>
      <c r="BC296" s="204"/>
      <c r="BD296" s="204"/>
      <c r="BE296" s="204"/>
      <c r="BF296" s="204"/>
      <c r="BG296" s="204"/>
      <c r="BH296" s="204"/>
      <c r="BI296" s="204"/>
      <c r="BJ296" s="204"/>
      <c r="BK296" s="204"/>
      <c r="BL296" s="204"/>
      <c r="BM296" s="204"/>
      <c r="BN296" s="204"/>
      <c r="BO296" s="204"/>
      <c r="BP296" s="204"/>
      <c r="BQ296" s="204"/>
      <c r="BR296" s="204"/>
      <c r="BS296" s="204"/>
      <c r="BT296" s="204"/>
      <c r="BU296" s="185"/>
      <c r="BV296" s="185"/>
      <c r="BW296" s="185"/>
      <c r="BX296" s="185"/>
      <c r="BY296" s="204"/>
      <c r="BZ296" s="185"/>
      <c r="CA296" s="185"/>
      <c r="CB296" s="185"/>
      <c r="CC296" s="185"/>
      <c r="CD296" s="204"/>
      <c r="CE296" s="185"/>
      <c r="CF296" s="185"/>
      <c r="CG296" s="185"/>
      <c r="CH296" s="185"/>
      <c r="CI296" s="204"/>
      <c r="CJ296" s="185"/>
      <c r="CK296" s="185"/>
      <c r="CL296" s="185"/>
      <c r="CM296" s="185"/>
      <c r="CN296" s="204"/>
      <c r="CO296" s="185"/>
      <c r="CP296" s="185"/>
      <c r="CQ296" s="204"/>
      <c r="CR296" s="204"/>
      <c r="CS296" s="204"/>
      <c r="CT296" s="204"/>
      <c r="CU296" s="204"/>
      <c r="CV296" s="204"/>
      <c r="CW296" s="204"/>
      <c r="CX296" s="159"/>
      <c r="CY296" s="159"/>
      <c r="CZ296" s="159"/>
      <c r="DA296" s="159"/>
      <c r="DB296" s="159"/>
      <c r="DC296" s="169"/>
      <c r="DD296" s="169"/>
      <c r="DE296" s="169"/>
      <c r="DF296" s="169"/>
      <c r="DG296" s="169"/>
      <c r="DH296" s="169"/>
    </row>
    <row r="297" spans="1:149" hidden="1" outlineLevel="1">
      <c r="A297" s="199" t="s">
        <v>57</v>
      </c>
      <c r="B297" s="199">
        <f>B288</f>
        <v>2007</v>
      </c>
      <c r="C297" s="199"/>
      <c r="D297" s="199"/>
      <c r="E297" s="199"/>
      <c r="F297" s="199"/>
      <c r="G297" s="199">
        <f>B297+1</f>
        <v>2008</v>
      </c>
      <c r="H297" s="199"/>
      <c r="I297" s="199"/>
      <c r="J297" s="199"/>
      <c r="K297" s="199"/>
      <c r="L297" s="199">
        <f>G297+1</f>
        <v>2009</v>
      </c>
      <c r="M297" s="199"/>
      <c r="N297" s="199"/>
      <c r="O297" s="199"/>
      <c r="P297" s="199"/>
      <c r="Q297" s="199">
        <f>L297+1</f>
        <v>2010</v>
      </c>
      <c r="R297" s="199"/>
      <c r="S297" s="199"/>
      <c r="T297" s="199"/>
      <c r="U297" s="199"/>
      <c r="V297" s="199">
        <f>Q297+1</f>
        <v>2011</v>
      </c>
      <c r="W297" s="199"/>
      <c r="X297" s="199"/>
      <c r="Y297" s="199"/>
      <c r="Z297" s="199"/>
      <c r="AA297" s="199">
        <f>V297+1</f>
        <v>2012</v>
      </c>
      <c r="AB297" s="199"/>
      <c r="AC297" s="199"/>
      <c r="AD297" s="199"/>
      <c r="AE297" s="199"/>
      <c r="AF297" s="199">
        <f>AA297+1</f>
        <v>2013</v>
      </c>
      <c r="AG297" s="199"/>
      <c r="AH297" s="199"/>
      <c r="AI297" s="199"/>
      <c r="AJ297" s="199"/>
      <c r="AK297" s="199">
        <f>AF297+1</f>
        <v>2014</v>
      </c>
      <c r="AL297" s="199"/>
      <c r="AM297" s="199"/>
      <c r="AN297" s="199"/>
      <c r="AO297" s="199"/>
      <c r="AP297" s="199">
        <f>AK297+1</f>
        <v>2015</v>
      </c>
      <c r="AQ297" s="199"/>
      <c r="AR297" s="199"/>
      <c r="AS297" s="199"/>
      <c r="AT297" s="199"/>
      <c r="AU297" s="199">
        <f>AP297+1</f>
        <v>2016</v>
      </c>
      <c r="AV297" s="199"/>
      <c r="AW297" s="199"/>
      <c r="AX297" s="199"/>
      <c r="AY297" s="199"/>
      <c r="AZ297" s="199">
        <f>AU297+1</f>
        <v>2017</v>
      </c>
      <c r="BA297" s="199"/>
      <c r="BB297" s="199"/>
      <c r="BC297" s="199"/>
      <c r="BD297" s="199"/>
      <c r="BE297" s="199">
        <f>AZ297+1</f>
        <v>2018</v>
      </c>
      <c r="BF297" s="199"/>
      <c r="BG297" s="199"/>
      <c r="BH297" s="199"/>
      <c r="BI297" s="199"/>
      <c r="BJ297" s="199">
        <f>BE297+1</f>
        <v>2019</v>
      </c>
      <c r="BK297" s="199"/>
      <c r="BL297" s="199"/>
      <c r="BM297" s="199"/>
      <c r="BN297" s="199"/>
      <c r="BO297" s="199">
        <f>BJ297+1</f>
        <v>2020</v>
      </c>
      <c r="BP297" s="199"/>
      <c r="BQ297" s="199"/>
      <c r="BR297" s="199"/>
      <c r="BS297" s="199"/>
      <c r="BT297" s="199">
        <f>BO297+1</f>
        <v>2021</v>
      </c>
      <c r="BU297" s="199"/>
      <c r="BV297" s="199"/>
      <c r="BW297" s="199"/>
      <c r="BX297" s="199"/>
      <c r="BY297" s="199">
        <f>BT297+1</f>
        <v>2022</v>
      </c>
      <c r="BZ297" s="199"/>
      <c r="CA297" s="199"/>
      <c r="CB297" s="199"/>
      <c r="CC297" s="199"/>
      <c r="CD297" s="199">
        <f>BY297+1</f>
        <v>2023</v>
      </c>
      <c r="CE297" s="199"/>
      <c r="CF297" s="199"/>
      <c r="CG297" s="199"/>
      <c r="CH297" s="199"/>
      <c r="CI297" s="199">
        <f>CD297+1</f>
        <v>2024</v>
      </c>
      <c r="CJ297" s="199"/>
      <c r="CK297" s="199"/>
      <c r="CL297" s="199"/>
      <c r="CM297" s="199"/>
      <c r="CN297" s="199">
        <f>CI297+1</f>
        <v>2025</v>
      </c>
      <c r="CO297" s="199"/>
      <c r="CP297" s="199"/>
      <c r="CQ297" s="199">
        <f>CN297+1</f>
        <v>2026</v>
      </c>
      <c r="CR297" s="199">
        <f t="shared" ref="CR297:CS297" si="1166">CQ297+1</f>
        <v>2027</v>
      </c>
      <c r="CS297" s="199">
        <f t="shared" si="1166"/>
        <v>2028</v>
      </c>
      <c r="CT297" s="199">
        <f t="shared" ref="CT297" si="1167">CS297+1</f>
        <v>2029</v>
      </c>
      <c r="CU297" s="199">
        <f t="shared" ref="CU297" si="1168">CT297+1</f>
        <v>2030</v>
      </c>
      <c r="CV297" s="199">
        <f t="shared" ref="CV297:CW297" si="1169">CU297+1</f>
        <v>2031</v>
      </c>
      <c r="CW297" s="199">
        <f t="shared" si="1169"/>
        <v>2032</v>
      </c>
      <c r="CX297" s="159"/>
      <c r="CY297" s="159"/>
      <c r="CZ297" s="159"/>
      <c r="DA297" s="159"/>
      <c r="DB297" s="226" t="s">
        <v>56</v>
      </c>
      <c r="DC297" s="898">
        <v>262.39999999999998</v>
      </c>
      <c r="DD297" s="899">
        <v>313.2</v>
      </c>
      <c r="DE297" s="899">
        <v>342</v>
      </c>
      <c r="DF297" s="899"/>
      <c r="DG297" s="456"/>
      <c r="DH297" s="456"/>
      <c r="DI297" s="456"/>
    </row>
    <row r="298" spans="1:149" hidden="1" outlineLevel="1">
      <c r="A298" s="226"/>
      <c r="B298" s="204"/>
      <c r="C298" s="204"/>
      <c r="D298" s="204"/>
      <c r="E298" s="204"/>
      <c r="F298" s="204"/>
      <c r="G298" s="204"/>
      <c r="H298" s="204"/>
      <c r="I298" s="204"/>
      <c r="J298" s="204"/>
      <c r="K298" s="204"/>
      <c r="L298" s="204"/>
      <c r="M298" s="204"/>
      <c r="N298" s="204"/>
      <c r="O298" s="204"/>
      <c r="P298" s="204"/>
      <c r="Q298" s="204"/>
      <c r="R298" s="204"/>
      <c r="S298" s="204"/>
      <c r="T298" s="204"/>
      <c r="U298" s="204"/>
      <c r="V298" s="204"/>
      <c r="W298" s="204"/>
      <c r="X298" s="204"/>
      <c r="Y298" s="204"/>
      <c r="Z298" s="204"/>
      <c r="AA298" s="204"/>
      <c r="AB298" s="204"/>
      <c r="AC298" s="204"/>
      <c r="AD298" s="204"/>
      <c r="AE298" s="204"/>
      <c r="AF298" s="204"/>
      <c r="AG298" s="204"/>
      <c r="AH298" s="204"/>
      <c r="AI298" s="204"/>
      <c r="AJ298" s="204"/>
      <c r="AK298" s="204"/>
      <c r="AL298" s="204"/>
      <c r="AM298" s="204"/>
      <c r="AN298" s="204"/>
      <c r="AO298" s="204"/>
      <c r="AP298" s="204"/>
      <c r="AQ298" s="204"/>
      <c r="AR298" s="204"/>
      <c r="AS298" s="204"/>
      <c r="AT298" s="204"/>
      <c r="AU298" s="204"/>
      <c r="AV298" s="204"/>
      <c r="AW298" s="204"/>
      <c r="AX298" s="204"/>
      <c r="AY298" s="204"/>
      <c r="AZ298" s="204"/>
      <c r="BA298" s="204"/>
      <c r="BB298" s="204"/>
      <c r="BC298" s="204"/>
      <c r="BD298" s="204"/>
      <c r="BE298" s="204"/>
      <c r="BF298" s="204"/>
      <c r="BG298" s="204"/>
      <c r="BH298" s="204"/>
      <c r="BI298" s="204"/>
      <c r="BJ298" s="204"/>
      <c r="BK298" s="204"/>
      <c r="BL298" s="204"/>
      <c r="BM298" s="204"/>
      <c r="BN298" s="204"/>
      <c r="BO298" s="204"/>
      <c r="BP298" s="204"/>
      <c r="BQ298" s="204"/>
      <c r="BR298" s="204"/>
      <c r="BS298" s="204"/>
      <c r="BT298" s="204"/>
      <c r="BU298" s="185"/>
      <c r="BV298" s="185"/>
      <c r="BW298" s="185"/>
      <c r="BX298" s="185"/>
      <c r="BY298" s="204"/>
      <c r="BZ298" s="185"/>
      <c r="CA298" s="185"/>
      <c r="CB298" s="185"/>
      <c r="CC298" s="185"/>
      <c r="CD298" s="204"/>
      <c r="CE298" s="185"/>
      <c r="CF298" s="185"/>
      <c r="CG298" s="185"/>
      <c r="CH298" s="185"/>
      <c r="CI298" s="204"/>
      <c r="CJ298" s="185"/>
      <c r="CK298" s="185"/>
      <c r="CL298" s="185"/>
      <c r="CM298" s="185"/>
      <c r="CN298" s="204"/>
      <c r="CO298" s="185"/>
      <c r="CP298" s="185"/>
      <c r="CQ298" s="204"/>
      <c r="CR298" s="204"/>
      <c r="CS298" s="204"/>
      <c r="CT298" s="204"/>
      <c r="CU298" s="204"/>
      <c r="CV298" s="204"/>
      <c r="CW298" s="204"/>
      <c r="CX298" s="159"/>
      <c r="CY298" s="159"/>
      <c r="CZ298" s="159"/>
      <c r="DA298" s="159"/>
      <c r="DB298" s="226" t="s">
        <v>39</v>
      </c>
      <c r="DC298" s="185">
        <v>0.17142857142857126</v>
      </c>
      <c r="DD298" s="185">
        <v>0.19359756097560976</v>
      </c>
      <c r="DE298" s="185">
        <v>9.1954022988505857E-2</v>
      </c>
      <c r="DF298" s="185"/>
      <c r="DG298" s="185"/>
      <c r="DH298" s="185"/>
      <c r="DI298" s="185"/>
    </row>
    <row r="299" spans="1:149" hidden="1" outlineLevel="1">
      <c r="A299" s="203" t="s">
        <v>52</v>
      </c>
      <c r="B299" s="159"/>
      <c r="C299" s="159"/>
      <c r="D299" s="159"/>
      <c r="E299" s="159"/>
      <c r="F299" s="159"/>
      <c r="G299" s="159"/>
      <c r="H299" s="159"/>
      <c r="I299" s="159"/>
      <c r="J299" s="159"/>
      <c r="K299" s="159"/>
      <c r="L299" s="159"/>
      <c r="M299" s="159"/>
      <c r="N299" s="159"/>
      <c r="O299" s="159"/>
      <c r="P299" s="159"/>
      <c r="Q299" s="159"/>
      <c r="R299" s="159"/>
      <c r="S299" s="159"/>
      <c r="T299" s="159"/>
      <c r="U299" s="159"/>
      <c r="V299" s="159"/>
      <c r="W299" s="159"/>
      <c r="X299" s="159"/>
      <c r="Y299" s="159"/>
      <c r="Z299" s="159"/>
      <c r="AA299" s="159"/>
      <c r="AB299" s="159"/>
      <c r="AC299" s="159"/>
      <c r="AD299" s="159"/>
      <c r="AE299" s="159"/>
      <c r="AF299" s="159"/>
      <c r="AG299" s="159"/>
      <c r="AH299" s="159"/>
      <c r="AI299" s="159"/>
      <c r="AJ299" s="159"/>
      <c r="AK299" s="159"/>
      <c r="AL299" s="159"/>
      <c r="AM299" s="159"/>
      <c r="AN299" s="159"/>
      <c r="AO299" s="159"/>
      <c r="AP299" s="159"/>
      <c r="AQ299" s="159"/>
      <c r="AR299" s="159"/>
      <c r="AS299" s="159"/>
      <c r="AT299" s="159"/>
      <c r="AU299" s="159"/>
      <c r="AV299" s="159"/>
      <c r="AW299" s="159"/>
      <c r="AX299" s="159"/>
      <c r="AY299" s="159"/>
      <c r="AZ299" s="159"/>
      <c r="BA299" s="159"/>
      <c r="BB299" s="159"/>
      <c r="BC299" s="159"/>
      <c r="BD299" s="159"/>
      <c r="BE299" s="159"/>
      <c r="BF299" s="159"/>
      <c r="BG299" s="159"/>
      <c r="BH299" s="159"/>
      <c r="BI299" s="159"/>
      <c r="BJ299" s="159"/>
      <c r="BK299" s="159"/>
      <c r="BL299" s="159"/>
      <c r="BM299" s="159"/>
      <c r="BN299" s="159"/>
      <c r="BO299" s="159"/>
      <c r="BP299" s="159"/>
      <c r="BQ299" s="159"/>
      <c r="BR299" s="159"/>
      <c r="BS299" s="159"/>
      <c r="BT299" s="159"/>
      <c r="BU299" s="159"/>
      <c r="BV299" s="159"/>
      <c r="BW299" s="159"/>
      <c r="BX299" s="159"/>
      <c r="BY299" s="159"/>
      <c r="BZ299" s="159"/>
      <c r="CA299" s="159"/>
      <c r="CB299" s="159"/>
      <c r="CC299" s="159"/>
      <c r="CD299" s="159"/>
      <c r="CE299" s="159"/>
      <c r="CF299" s="159"/>
      <c r="CG299" s="159"/>
      <c r="CH299" s="159"/>
      <c r="CI299" s="159"/>
      <c r="CJ299" s="159"/>
      <c r="CK299" s="159"/>
      <c r="CL299" s="159"/>
      <c r="CM299" s="159"/>
      <c r="CN299" s="159"/>
      <c r="CO299" s="159"/>
      <c r="CP299" s="159"/>
      <c r="CQ299" s="159"/>
      <c r="CR299" s="159"/>
      <c r="CS299" s="159"/>
      <c r="CT299" s="159"/>
      <c r="CU299" s="159"/>
      <c r="CV299" s="159"/>
      <c r="CW299" s="159"/>
      <c r="CX299" s="159"/>
      <c r="CY299" s="159"/>
      <c r="CZ299" s="159"/>
      <c r="DA299" s="159"/>
      <c r="DB299" s="159"/>
      <c r="DC299" s="159"/>
      <c r="DD299" s="159"/>
    </row>
    <row r="300" spans="1:149" hidden="1" outlineLevel="1">
      <c r="A300" s="298" t="s">
        <v>53</v>
      </c>
      <c r="B300" s="167"/>
      <c r="C300" s="167"/>
      <c r="D300" s="167"/>
      <c r="E300" s="167"/>
      <c r="F300" s="167"/>
      <c r="G300" s="167"/>
      <c r="H300" s="167"/>
      <c r="I300" s="167"/>
      <c r="J300" s="167"/>
      <c r="K300" s="167"/>
      <c r="L300" s="167"/>
      <c r="M300" s="167"/>
      <c r="N300" s="167"/>
      <c r="O300" s="167"/>
      <c r="P300" s="167"/>
      <c r="Q300" s="167"/>
      <c r="R300" s="167"/>
      <c r="S300" s="167"/>
      <c r="T300" s="167"/>
      <c r="U300" s="167"/>
      <c r="V300" s="167"/>
      <c r="W300" s="167"/>
      <c r="X300" s="167"/>
      <c r="Y300" s="167"/>
      <c r="Z300" s="167"/>
      <c r="AA300" s="167"/>
      <c r="AB300" s="167"/>
      <c r="AC300" s="167"/>
      <c r="AD300" s="167"/>
      <c r="AE300" s="167"/>
      <c r="AF300" s="167"/>
      <c r="AG300" s="167"/>
      <c r="AH300" s="167"/>
      <c r="AI300" s="167"/>
      <c r="AJ300" s="167"/>
      <c r="AK300" s="167"/>
      <c r="AL300" s="167"/>
      <c r="AM300" s="167"/>
      <c r="AN300" s="167"/>
      <c r="AO300" s="167"/>
      <c r="AP300" s="167"/>
      <c r="AQ300" s="167"/>
      <c r="AR300" s="167"/>
      <c r="AS300" s="167"/>
      <c r="AT300" s="167"/>
      <c r="AU300" s="167"/>
      <c r="AV300" s="167"/>
      <c r="AW300" s="167"/>
      <c r="AX300" s="167"/>
      <c r="AY300" s="167"/>
      <c r="AZ300" s="167"/>
      <c r="BA300" s="167"/>
      <c r="BB300" s="167"/>
      <c r="BC300" s="167"/>
      <c r="BD300" s="167"/>
      <c r="BE300" s="167"/>
      <c r="BF300" s="167"/>
      <c r="BG300" s="167"/>
      <c r="BH300" s="167"/>
      <c r="BI300" s="167"/>
      <c r="BJ300" s="167"/>
      <c r="BK300" s="167"/>
      <c r="BL300" s="167"/>
      <c r="BM300" s="167"/>
      <c r="BN300" s="167"/>
      <c r="BO300" s="167"/>
      <c r="BP300" s="167"/>
      <c r="BQ300" s="167"/>
      <c r="BR300" s="167"/>
      <c r="BS300" s="167"/>
      <c r="BT300" s="167"/>
      <c r="BU300" s="213"/>
      <c r="BV300" s="213"/>
      <c r="BW300" s="213"/>
      <c r="BX300" s="213"/>
      <c r="BY300" s="167"/>
      <c r="BZ300" s="213"/>
      <c r="CA300" s="213"/>
      <c r="CB300" s="213"/>
      <c r="CC300" s="213"/>
      <c r="CD300" s="167"/>
      <c r="CE300" s="213"/>
      <c r="CF300" s="213"/>
      <c r="CG300" s="213"/>
      <c r="CH300" s="213"/>
      <c r="CI300" s="167"/>
      <c r="CJ300" s="213"/>
      <c r="CK300" s="213"/>
      <c r="CL300" s="213"/>
      <c r="CM300" s="213"/>
      <c r="CN300" s="167"/>
      <c r="CO300" s="213"/>
      <c r="CP300" s="213"/>
      <c r="CQ300" s="167"/>
      <c r="CR300" s="167"/>
      <c r="CS300" s="167"/>
      <c r="CT300" s="167"/>
      <c r="CU300" s="167"/>
      <c r="CV300" s="167"/>
      <c r="CW300" s="167"/>
      <c r="CX300" s="159"/>
      <c r="CY300" s="159"/>
      <c r="CZ300" s="159"/>
      <c r="DA300" s="159"/>
      <c r="DB300" s="159"/>
      <c r="DC300" s="159"/>
      <c r="DD300" s="159"/>
      <c r="DO300" s="162"/>
      <c r="DP300" s="162"/>
      <c r="DQ300" s="162"/>
      <c r="DR300" s="162"/>
      <c r="DS300" s="162"/>
    </row>
    <row r="301" spans="1:149" hidden="1" outlineLevel="1">
      <c r="A301" s="226" t="s">
        <v>39</v>
      </c>
      <c r="B301" s="204"/>
      <c r="C301" s="204"/>
      <c r="D301" s="204"/>
      <c r="E301" s="204"/>
      <c r="F301" s="204"/>
      <c r="G301" s="204"/>
      <c r="H301" s="204"/>
      <c r="I301" s="204"/>
      <c r="J301" s="204"/>
      <c r="K301" s="204"/>
      <c r="L301" s="204"/>
      <c r="M301" s="204"/>
      <c r="N301" s="204"/>
      <c r="O301" s="204"/>
      <c r="P301" s="204"/>
      <c r="Q301" s="204"/>
      <c r="R301" s="204"/>
      <c r="S301" s="204"/>
      <c r="T301" s="204"/>
      <c r="U301" s="204"/>
      <c r="V301" s="204"/>
      <c r="W301" s="204"/>
      <c r="X301" s="204"/>
      <c r="Y301" s="204"/>
      <c r="Z301" s="204"/>
      <c r="AA301" s="204"/>
      <c r="AB301" s="204"/>
      <c r="AC301" s="204"/>
      <c r="AD301" s="204"/>
      <c r="AE301" s="204"/>
      <c r="AF301" s="204"/>
      <c r="AG301" s="204"/>
      <c r="AH301" s="204"/>
      <c r="AI301" s="204"/>
      <c r="AJ301" s="204"/>
      <c r="AK301" s="204"/>
      <c r="AL301" s="204"/>
      <c r="AM301" s="204"/>
      <c r="AN301" s="204"/>
      <c r="AO301" s="204"/>
      <c r="AP301" s="204"/>
      <c r="AQ301" s="204"/>
      <c r="AR301" s="204"/>
      <c r="AS301" s="204"/>
      <c r="AT301" s="204"/>
      <c r="AU301" s="204"/>
      <c r="AV301" s="204"/>
      <c r="AW301" s="204"/>
      <c r="AX301" s="204"/>
      <c r="AY301" s="204"/>
      <c r="AZ301" s="204"/>
      <c r="BA301" s="204"/>
      <c r="BB301" s="204"/>
      <c r="BC301" s="204"/>
      <c r="BD301" s="204"/>
      <c r="BE301" s="204"/>
      <c r="BF301" s="204"/>
      <c r="BG301" s="204"/>
      <c r="BH301" s="204"/>
      <c r="BI301" s="204"/>
      <c r="BJ301" s="204"/>
      <c r="BK301" s="204"/>
      <c r="BL301" s="204"/>
      <c r="BM301" s="204"/>
      <c r="BN301" s="204"/>
      <c r="BO301" s="204"/>
      <c r="BP301" s="204"/>
      <c r="BQ301" s="204"/>
      <c r="BR301" s="204"/>
      <c r="BS301" s="204"/>
      <c r="BT301" s="204"/>
      <c r="BU301" s="185"/>
      <c r="BV301" s="185"/>
      <c r="BW301" s="185"/>
      <c r="BX301" s="185"/>
      <c r="BY301" s="204"/>
      <c r="BZ301" s="185"/>
      <c r="CA301" s="185"/>
      <c r="CB301" s="185"/>
      <c r="CC301" s="185"/>
      <c r="CD301" s="204"/>
      <c r="CE301" s="185"/>
      <c r="CF301" s="185"/>
      <c r="CG301" s="185"/>
      <c r="CH301" s="185"/>
      <c r="CI301" s="204"/>
      <c r="CJ301" s="185"/>
      <c r="CK301" s="185"/>
      <c r="CL301" s="185"/>
      <c r="CM301" s="185"/>
      <c r="CN301" s="204"/>
      <c r="CO301" s="185"/>
      <c r="CP301" s="185"/>
      <c r="CQ301" s="204"/>
      <c r="CR301" s="204"/>
      <c r="CS301" s="204"/>
      <c r="CT301" s="204"/>
      <c r="CU301" s="204"/>
      <c r="CV301" s="204"/>
      <c r="CW301" s="204"/>
      <c r="CX301" s="159"/>
      <c r="CY301" s="159"/>
      <c r="CZ301" s="159"/>
      <c r="DA301" s="159"/>
      <c r="DB301" s="159"/>
      <c r="DC301" s="159"/>
      <c r="DD301" s="159"/>
    </row>
    <row r="302" spans="1:149" s="162" customFormat="1" hidden="1" outlineLevel="1">
      <c r="A302" s="295" t="s">
        <v>509</v>
      </c>
      <c r="B302" s="299"/>
      <c r="C302" s="299"/>
      <c r="D302" s="299"/>
      <c r="E302" s="299"/>
      <c r="F302" s="299"/>
      <c r="G302" s="299"/>
      <c r="H302" s="299"/>
      <c r="I302" s="299"/>
      <c r="J302" s="299"/>
      <c r="K302" s="299"/>
      <c r="L302" s="299"/>
      <c r="M302" s="299"/>
      <c r="N302" s="299"/>
      <c r="O302" s="299"/>
      <c r="P302" s="299"/>
      <c r="Q302" s="300">
        <v>1750</v>
      </c>
      <c r="R302" s="300">
        <v>1771.55</v>
      </c>
      <c r="S302" s="300">
        <v>1825.02</v>
      </c>
      <c r="T302" s="300">
        <v>1868.38</v>
      </c>
      <c r="U302" s="300">
        <v>1922.5</v>
      </c>
      <c r="V302" s="300">
        <v>1922.5</v>
      </c>
      <c r="W302" s="300">
        <v>1973.75</v>
      </c>
      <c r="X302" s="300">
        <v>2011.03</v>
      </c>
      <c r="Y302" s="300">
        <v>2028.13</v>
      </c>
      <c r="Z302" s="300">
        <v>2065.5100000000002</v>
      </c>
      <c r="AA302" s="300">
        <v>2065.5100000000002</v>
      </c>
      <c r="AB302" s="300">
        <v>2109</v>
      </c>
      <c r="AC302" s="300">
        <v>2153</v>
      </c>
      <c r="AD302" s="300">
        <v>2184</v>
      </c>
      <c r="AE302" s="300">
        <v>2215</v>
      </c>
      <c r="AF302" s="300">
        <v>2215</v>
      </c>
      <c r="AG302" s="300">
        <v>2230</v>
      </c>
      <c r="AH302" s="300">
        <v>2251</v>
      </c>
      <c r="AI302" s="300">
        <v>2213</v>
      </c>
      <c r="AJ302" s="300">
        <v>2231</v>
      </c>
      <c r="AK302" s="300">
        <v>2231</v>
      </c>
      <c r="AL302" s="300">
        <v>2266</v>
      </c>
      <c r="AM302" s="300">
        <v>2288</v>
      </c>
      <c r="AN302" s="300">
        <v>2294</v>
      </c>
      <c r="AO302" s="300">
        <v>2340</v>
      </c>
      <c r="AP302" s="300">
        <v>2340</v>
      </c>
      <c r="AQ302" s="300">
        <v>2342</v>
      </c>
      <c r="AR302" s="300">
        <v>2387</v>
      </c>
      <c r="AS302" s="300">
        <v>2369</v>
      </c>
      <c r="AT302" s="299"/>
      <c r="AU302" s="300">
        <v>2670.5251605745239</v>
      </c>
      <c r="AV302" s="300"/>
      <c r="AW302" s="300"/>
      <c r="AX302" s="299"/>
      <c r="AY302" s="299"/>
      <c r="AZ302" s="300">
        <v>2931.4378144624702</v>
      </c>
      <c r="BA302" s="300"/>
      <c r="BB302" s="300"/>
      <c r="BC302" s="300"/>
      <c r="BD302" s="300"/>
      <c r="BE302" s="300">
        <v>3202.4561442831637</v>
      </c>
      <c r="BF302" s="300"/>
      <c r="BG302" s="299"/>
      <c r="BH302" s="299"/>
      <c r="BI302" s="299"/>
      <c r="BJ302" s="300">
        <v>3476.3075480771631</v>
      </c>
      <c r="BK302" s="300"/>
      <c r="BL302" s="300"/>
      <c r="BM302" s="300"/>
      <c r="BN302" s="300"/>
      <c r="BO302" s="300">
        <v>3749.2503231949804</v>
      </c>
      <c r="BP302" s="300"/>
      <c r="BQ302" s="300"/>
      <c r="BR302" s="300"/>
      <c r="BS302" s="300"/>
      <c r="BT302" s="300">
        <v>3749.2503231949804</v>
      </c>
      <c r="BU302" s="301"/>
      <c r="BV302" s="301"/>
      <c r="BW302" s="301"/>
      <c r="BX302" s="301"/>
      <c r="BY302" s="300">
        <v>4273.7736135678069</v>
      </c>
      <c r="BZ302" s="301"/>
      <c r="CA302" s="301"/>
      <c r="CB302" s="301"/>
      <c r="CC302" s="301"/>
      <c r="CD302" s="300">
        <v>4538.0549907171198</v>
      </c>
      <c r="CE302" s="301"/>
      <c r="CF302" s="301"/>
      <c r="CG302" s="301"/>
      <c r="CH302" s="301"/>
      <c r="CI302" s="300">
        <v>4800.3166359035304</v>
      </c>
      <c r="CJ302" s="301"/>
      <c r="CK302" s="301"/>
      <c r="CL302" s="301"/>
      <c r="CM302" s="301"/>
      <c r="CN302" s="300">
        <v>4800.3166359035304</v>
      </c>
      <c r="CO302" s="301"/>
      <c r="CP302" s="301"/>
      <c r="CQ302" s="300">
        <v>5324.8399262763596</v>
      </c>
      <c r="CR302" s="300">
        <v>5587.1015714627702</v>
      </c>
      <c r="CS302" s="300">
        <v>5849.3632166491898</v>
      </c>
      <c r="CT302" s="300">
        <v>5849.3632166491898</v>
      </c>
      <c r="CU302" s="300">
        <v>5849.3632166491898</v>
      </c>
      <c r="CV302" s="300">
        <v>5849.3632166491898</v>
      </c>
      <c r="CW302" s="300">
        <v>5849.3632166491898</v>
      </c>
      <c r="DC302" s="900">
        <f t="shared" ref="DC302:DE302" si="1170">DB302+1</f>
        <v>1</v>
      </c>
      <c r="DD302" s="900">
        <f t="shared" si="1170"/>
        <v>2</v>
      </c>
      <c r="DE302" s="900">
        <f t="shared" si="1170"/>
        <v>3</v>
      </c>
      <c r="DF302" s="900"/>
      <c r="DG302" s="900"/>
      <c r="DH302" s="900"/>
      <c r="DI302" s="900"/>
      <c r="DJ302" s="900"/>
      <c r="DK302" s="900"/>
      <c r="DL302" s="900"/>
      <c r="DM302" s="900"/>
      <c r="DO302" s="163"/>
      <c r="DP302" s="163"/>
      <c r="DQ302" s="163"/>
      <c r="DR302" s="163"/>
      <c r="DS302" s="163"/>
      <c r="ED302" s="163"/>
      <c r="EE302" s="163"/>
      <c r="EF302" s="163"/>
      <c r="EG302" s="163"/>
      <c r="EH302" s="163"/>
      <c r="EI302" s="163"/>
      <c r="EJ302" s="163"/>
      <c r="EK302" s="163"/>
      <c r="EL302" s="163"/>
      <c r="EM302" s="163"/>
      <c r="EN302" s="163"/>
      <c r="EO302" s="163"/>
      <c r="EP302" s="163"/>
      <c r="EQ302" s="163"/>
      <c r="ER302" s="163"/>
      <c r="ES302" s="163"/>
    </row>
    <row r="303" spans="1:149" hidden="1" outlineLevel="1">
      <c r="A303" s="226" t="s">
        <v>39</v>
      </c>
      <c r="B303" s="204"/>
      <c r="C303" s="204"/>
      <c r="D303" s="204"/>
      <c r="E303" s="204"/>
      <c r="F303" s="204"/>
      <c r="G303" s="204"/>
      <c r="H303" s="204"/>
      <c r="I303" s="204"/>
      <c r="J303" s="204"/>
      <c r="K303" s="204"/>
      <c r="L303" s="204"/>
      <c r="M303" s="204"/>
      <c r="N303" s="204"/>
      <c r="O303" s="204"/>
      <c r="P303" s="204"/>
      <c r="Q303" s="204"/>
      <c r="R303" s="204"/>
      <c r="S303" s="204"/>
      <c r="T303" s="204"/>
      <c r="U303" s="204"/>
      <c r="V303" s="204">
        <f>V302/Q302-1</f>
        <v>9.8571428571428532E-2</v>
      </c>
      <c r="W303" s="204"/>
      <c r="X303" s="204"/>
      <c r="Y303" s="204"/>
      <c r="Z303" s="204"/>
      <c r="AA303" s="204">
        <f>AA302/V302-1</f>
        <v>7.4387516254876607E-2</v>
      </c>
      <c r="AB303" s="204"/>
      <c r="AC303" s="204"/>
      <c r="AD303" s="204"/>
      <c r="AE303" s="204"/>
      <c r="AF303" s="204">
        <f>AF302/AA302-1</f>
        <v>7.2374377272441004E-2</v>
      </c>
      <c r="AG303" s="204"/>
      <c r="AH303" s="204"/>
      <c r="AI303" s="204"/>
      <c r="AJ303" s="204"/>
      <c r="AK303" s="204">
        <f>AK302/AF302-1</f>
        <v>7.2234762979683786E-3</v>
      </c>
      <c r="AL303" s="204"/>
      <c r="AM303" s="204"/>
      <c r="AN303" s="204"/>
      <c r="AO303" s="204"/>
      <c r="AP303" s="204">
        <f>AP302/AK302-1</f>
        <v>4.8857014791573228E-2</v>
      </c>
      <c r="AQ303" s="204"/>
      <c r="AR303" s="204"/>
      <c r="AS303" s="204"/>
      <c r="AT303" s="204"/>
      <c r="AU303" s="204">
        <f>AU302/AP302-1</f>
        <v>0.1412500686215914</v>
      </c>
      <c r="AV303" s="204"/>
      <c r="AW303" s="204"/>
      <c r="AX303" s="204"/>
      <c r="AY303" s="204"/>
      <c r="AZ303" s="204">
        <f>AZ302/AU302-1</f>
        <v>9.7700878366491439E-2</v>
      </c>
      <c r="BA303" s="204"/>
      <c r="BB303" s="204"/>
      <c r="BC303" s="204"/>
      <c r="BD303" s="204"/>
      <c r="BE303" s="204">
        <f>BE302/AZ302-1</f>
        <v>9.2452355115160145E-2</v>
      </c>
      <c r="BF303" s="204"/>
      <c r="BG303" s="204"/>
      <c r="BH303" s="204"/>
      <c r="BI303" s="204"/>
      <c r="BJ303" s="204">
        <f>BJ302/BE302-1</f>
        <v>8.5512928657231591E-2</v>
      </c>
      <c r="BK303" s="204"/>
      <c r="BL303" s="204"/>
      <c r="BM303" s="204"/>
      <c r="BN303" s="204"/>
      <c r="BO303" s="204">
        <f>BO302/BJ302-1</f>
        <v>7.8515140373235814E-2</v>
      </c>
      <c r="BP303" s="204"/>
      <c r="BQ303" s="204"/>
      <c r="BR303" s="204"/>
      <c r="BS303" s="204"/>
      <c r="BT303" s="204">
        <f>BT302/BO302-1</f>
        <v>0</v>
      </c>
      <c r="BU303" s="185"/>
      <c r="BV303" s="185"/>
      <c r="BW303" s="185"/>
      <c r="BX303" s="185"/>
      <c r="BY303" s="204">
        <f>BY302/BT302-1</f>
        <v>0.13990084554446236</v>
      </c>
      <c r="BZ303" s="185"/>
      <c r="CA303" s="185"/>
      <c r="CB303" s="185"/>
      <c r="CC303" s="185"/>
      <c r="CD303" s="204">
        <f>CD302/BY302-1</f>
        <v>6.1837944880914542E-2</v>
      </c>
      <c r="CE303" s="185"/>
      <c r="CF303" s="185"/>
      <c r="CG303" s="185"/>
      <c r="CH303" s="185"/>
      <c r="CI303" s="204">
        <f>CI302/CD302-1</f>
        <v>5.7791641071534672E-2</v>
      </c>
      <c r="CJ303" s="185"/>
      <c r="CK303" s="185"/>
      <c r="CL303" s="185"/>
      <c r="CM303" s="185"/>
      <c r="CN303" s="204">
        <f>CN302/CI302-1</f>
        <v>0</v>
      </c>
      <c r="CO303" s="185"/>
      <c r="CP303" s="185"/>
      <c r="CQ303" s="204">
        <f>CQ302/CN302-1</f>
        <v>0.1092684775103594</v>
      </c>
      <c r="CR303" s="204">
        <f t="shared" ref="CR303:CS303" si="1171">CR302/CQ302-1</f>
        <v>4.9252493749574411E-2</v>
      </c>
      <c r="CS303" s="204">
        <f t="shared" si="1171"/>
        <v>4.6940554387980615E-2</v>
      </c>
      <c r="CT303" s="204">
        <f t="shared" ref="CT303" si="1172">CT302/CS302-1</f>
        <v>0</v>
      </c>
      <c r="CU303" s="204">
        <f t="shared" ref="CU303" si="1173">CU302/CT302-1</f>
        <v>0</v>
      </c>
      <c r="CV303" s="204">
        <f t="shared" ref="CV303:CW303" si="1174">CV302/CU302-1</f>
        <v>0</v>
      </c>
      <c r="CW303" s="204">
        <f t="shared" si="1174"/>
        <v>0</v>
      </c>
      <c r="CX303" s="159"/>
      <c r="CY303" s="159"/>
      <c r="CZ303" s="159"/>
      <c r="DA303" s="159"/>
      <c r="DB303" s="295" t="s">
        <v>55</v>
      </c>
      <c r="DC303" s="307" t="e">
        <f>(DF306/((DF299+DE299)/2)*1000)/12</f>
        <v>#DIV/0!</v>
      </c>
      <c r="DD303" s="307" t="e">
        <f>(DG306/((DG299+DF299)/2)*1000)/12</f>
        <v>#DIV/0!</v>
      </c>
      <c r="DE303" s="307" t="e">
        <f>(DH306/((DH299+DG299)/2)*1000)/12</f>
        <v>#DIV/0!</v>
      </c>
      <c r="DF303" s="307"/>
      <c r="DG303" s="307"/>
      <c r="DH303" s="307"/>
      <c r="DI303" s="307"/>
      <c r="DJ303" s="307"/>
      <c r="DK303" s="307"/>
      <c r="DL303" s="307"/>
      <c r="DM303" s="307"/>
    </row>
    <row r="304" spans="1:149" hidden="1" outlineLevel="1">
      <c r="A304" s="295" t="s">
        <v>511</v>
      </c>
      <c r="B304" s="299"/>
      <c r="C304" s="299"/>
      <c r="D304" s="299"/>
      <c r="E304" s="299"/>
      <c r="F304" s="299"/>
      <c r="G304" s="299"/>
      <c r="H304" s="299"/>
      <c r="I304" s="299"/>
      <c r="J304" s="299"/>
      <c r="K304" s="299"/>
      <c r="L304" s="299"/>
      <c r="M304" s="299"/>
      <c r="N304" s="299"/>
      <c r="O304" s="299"/>
      <c r="P304" s="299"/>
      <c r="Q304" s="299">
        <f t="shared" ref="Q304:AP304" si="1175">Q302/Q306</f>
        <v>1804.1237113402062</v>
      </c>
      <c r="R304" s="299" t="e">
        <f t="shared" si="1175"/>
        <v>#DIV/0!</v>
      </c>
      <c r="S304" s="299" t="e">
        <f t="shared" si="1175"/>
        <v>#DIV/0!</v>
      </c>
      <c r="T304" s="299" t="e">
        <f t="shared" si="1175"/>
        <v>#DIV/0!</v>
      </c>
      <c r="U304" s="299" t="e">
        <f t="shared" si="1175"/>
        <v>#DIV/0!</v>
      </c>
      <c r="V304" s="299">
        <f t="shared" si="1175"/>
        <v>1992.2279792746115</v>
      </c>
      <c r="W304" s="299" t="e">
        <f t="shared" si="1175"/>
        <v>#DIV/0!</v>
      </c>
      <c r="X304" s="299" t="e">
        <f t="shared" si="1175"/>
        <v>#DIV/0!</v>
      </c>
      <c r="Y304" s="299" t="e">
        <f t="shared" si="1175"/>
        <v>#DIV/0!</v>
      </c>
      <c r="Z304" s="299" t="e">
        <f t="shared" si="1175"/>
        <v>#DIV/0!</v>
      </c>
      <c r="AA304" s="299">
        <f t="shared" si="1175"/>
        <v>2151.572916666667</v>
      </c>
      <c r="AB304" s="299" t="e">
        <f t="shared" si="1175"/>
        <v>#DIV/0!</v>
      </c>
      <c r="AC304" s="299" t="e">
        <f t="shared" si="1175"/>
        <v>#DIV/0!</v>
      </c>
      <c r="AD304" s="299" t="e">
        <f t="shared" si="1175"/>
        <v>#DIV/0!</v>
      </c>
      <c r="AE304" s="299" t="e">
        <f t="shared" si="1175"/>
        <v>#DIV/0!</v>
      </c>
      <c r="AF304" s="299">
        <f t="shared" si="1175"/>
        <v>2319.3717277486912</v>
      </c>
      <c r="AG304" s="299" t="e">
        <f t="shared" si="1175"/>
        <v>#DIV/0!</v>
      </c>
      <c r="AH304" s="299" t="e">
        <f t="shared" si="1175"/>
        <v>#DIV/0!</v>
      </c>
      <c r="AI304" s="299" t="e">
        <f t="shared" si="1175"/>
        <v>#DIV/0!</v>
      </c>
      <c r="AJ304" s="299" t="e">
        <f t="shared" si="1175"/>
        <v>#DIV/0!</v>
      </c>
      <c r="AK304" s="299">
        <f t="shared" si="1175"/>
        <v>2348.4210526315792</v>
      </c>
      <c r="AL304" s="299" t="e">
        <f t="shared" si="1175"/>
        <v>#DIV/0!</v>
      </c>
      <c r="AM304" s="299" t="e">
        <f t="shared" si="1175"/>
        <v>#DIV/0!</v>
      </c>
      <c r="AN304" s="299" t="e">
        <f t="shared" si="1175"/>
        <v>#DIV/0!</v>
      </c>
      <c r="AO304" s="299" t="e">
        <f t="shared" si="1175"/>
        <v>#DIV/0!</v>
      </c>
      <c r="AP304" s="299">
        <f t="shared" si="1175"/>
        <v>2476.1904761904761</v>
      </c>
      <c r="AQ304" s="299"/>
      <c r="AR304" s="299"/>
      <c r="AS304" s="299"/>
      <c r="AT304" s="299"/>
      <c r="AU304" s="299">
        <f>AU302/AU306</f>
        <v>2837.9651015669756</v>
      </c>
      <c r="AV304" s="299"/>
      <c r="AW304" s="299"/>
      <c r="AX304" s="299"/>
      <c r="AY304" s="299"/>
      <c r="AZ304" s="299">
        <f>AZ302/AZ306</f>
        <v>3125.200228638028</v>
      </c>
      <c r="BA304" s="299"/>
      <c r="BB304" s="299"/>
      <c r="BC304" s="299"/>
      <c r="BD304" s="299"/>
      <c r="BE304" s="299">
        <f>BE302/BE306</f>
        <v>3425.0867853295872</v>
      </c>
      <c r="BF304" s="299"/>
      <c r="BG304" s="299"/>
      <c r="BH304" s="299"/>
      <c r="BI304" s="299"/>
      <c r="BJ304" s="299">
        <f>BJ302/BJ306</f>
        <v>3729.9437211128361</v>
      </c>
      <c r="BK304" s="299"/>
      <c r="BL304" s="299"/>
      <c r="BM304" s="299"/>
      <c r="BN304" s="299"/>
      <c r="BO304" s="299">
        <f>BO302/BO306</f>
        <v>4035.7915212001944</v>
      </c>
      <c r="BP304" s="299"/>
      <c r="BQ304" s="299"/>
      <c r="BR304" s="299"/>
      <c r="BS304" s="299"/>
      <c r="BT304" s="299">
        <f>BT302/BT306</f>
        <v>4048.8664397354005</v>
      </c>
      <c r="BU304" s="303"/>
      <c r="BV304" s="303"/>
      <c r="BW304" s="303"/>
      <c r="BX304" s="303"/>
      <c r="BY304" s="299">
        <f t="shared" ref="BY304:CS304" si="1176">BY302/BY306</f>
        <v>4625.2961185798777</v>
      </c>
      <c r="BZ304" s="303"/>
      <c r="CA304" s="303"/>
      <c r="CB304" s="303"/>
      <c r="CC304" s="303"/>
      <c r="CD304" s="299">
        <f t="shared" si="1176"/>
        <v>4927.3126935039309</v>
      </c>
      <c r="CE304" s="303"/>
      <c r="CF304" s="303"/>
      <c r="CG304" s="303"/>
      <c r="CH304" s="303"/>
      <c r="CI304" s="299">
        <f t="shared" si="1176"/>
        <v>5223.413096739424</v>
      </c>
      <c r="CJ304" s="303"/>
      <c r="CK304" s="303"/>
      <c r="CL304" s="303"/>
      <c r="CM304" s="303"/>
      <c r="CN304" s="299">
        <f t="shared" ref="CN304" si="1177">CN302/CN306</f>
        <v>5234.8054917159552</v>
      </c>
      <c r="CO304" s="303"/>
      <c r="CP304" s="303"/>
      <c r="CQ304" s="299">
        <f t="shared" si="1176"/>
        <v>5825.8642519435016</v>
      </c>
      <c r="CR304" s="299">
        <f t="shared" si="1176"/>
        <v>6126.2078634460204</v>
      </c>
      <c r="CS304" s="299">
        <f t="shared" si="1176"/>
        <v>6427.871666647462</v>
      </c>
      <c r="CT304" s="299">
        <f t="shared" ref="CT304:CV304" si="1178">CT302/CT306</f>
        <v>6442.0299742832494</v>
      </c>
      <c r="CU304" s="299">
        <f t="shared" si="1178"/>
        <v>6456.250791003521</v>
      </c>
      <c r="CV304" s="299">
        <f t="shared" si="1178"/>
        <v>6470.5345316915818</v>
      </c>
      <c r="CW304" s="299">
        <f t="shared" ref="CW304" si="1179">CW302/CW306</f>
        <v>6484.8816149104105</v>
      </c>
      <c r="CX304" s="159"/>
      <c r="CY304" s="159"/>
      <c r="CZ304" s="159"/>
      <c r="DA304" s="159"/>
      <c r="DB304" s="159"/>
      <c r="DC304" s="159"/>
      <c r="DD304" s="159"/>
      <c r="EG304" s="221"/>
      <c r="EH304" s="221"/>
      <c r="EI304" s="221"/>
      <c r="EJ304" s="221"/>
    </row>
    <row r="305" spans="1:152" hidden="1" outlineLevel="1">
      <c r="A305" s="226" t="s">
        <v>39</v>
      </c>
      <c r="B305" s="204"/>
      <c r="C305" s="204"/>
      <c r="D305" s="204"/>
      <c r="E305" s="204"/>
      <c r="F305" s="204"/>
      <c r="G305" s="204"/>
      <c r="H305" s="204"/>
      <c r="I305" s="204"/>
      <c r="J305" s="204"/>
      <c r="K305" s="204"/>
      <c r="L305" s="204"/>
      <c r="M305" s="204"/>
      <c r="N305" s="204"/>
      <c r="O305" s="204"/>
      <c r="P305" s="204"/>
      <c r="Q305" s="204"/>
      <c r="R305" s="204"/>
      <c r="S305" s="204"/>
      <c r="T305" s="204"/>
      <c r="U305" s="204"/>
      <c r="V305" s="204">
        <f>V304/Q304-1</f>
        <v>0.10426350851221322</v>
      </c>
      <c r="W305" s="204"/>
      <c r="X305" s="204"/>
      <c r="Y305" s="204"/>
      <c r="Z305" s="204"/>
      <c r="AA305" s="204">
        <f>AA304/V304-1</f>
        <v>7.9983284568704072E-2</v>
      </c>
      <c r="AB305" s="204"/>
      <c r="AC305" s="204"/>
      <c r="AD305" s="204"/>
      <c r="AE305" s="204"/>
      <c r="AF305" s="204">
        <f>AF304/AA304-1</f>
        <v>7.798890280789883E-2</v>
      </c>
      <c r="AG305" s="204"/>
      <c r="AH305" s="204"/>
      <c r="AI305" s="204"/>
      <c r="AJ305" s="204"/>
      <c r="AK305" s="204">
        <f>AK304/AF304-1</f>
        <v>1.2524652489010357E-2</v>
      </c>
      <c r="AL305" s="204"/>
      <c r="AM305" s="204"/>
      <c r="AN305" s="204"/>
      <c r="AO305" s="204"/>
      <c r="AP305" s="204">
        <f>AP304/AK304-1</f>
        <v>5.4406522806343283E-2</v>
      </c>
      <c r="AQ305" s="204"/>
      <c r="AR305" s="204"/>
      <c r="AS305" s="204"/>
      <c r="AT305" s="204"/>
      <c r="AU305" s="204">
        <f>AU304/AP304-1</f>
        <v>0.14610129101743241</v>
      </c>
      <c r="AV305" s="204"/>
      <c r="AW305" s="204"/>
      <c r="AX305" s="204"/>
      <c r="AY305" s="204"/>
      <c r="AZ305" s="204">
        <f>AZ304/AU304-1</f>
        <v>0.10121164876638411</v>
      </c>
      <c r="BA305" s="204"/>
      <c r="BB305" s="204"/>
      <c r="BC305" s="204"/>
      <c r="BD305" s="204"/>
      <c r="BE305" s="204">
        <f>BE304/AZ304-1</f>
        <v>9.595754983745497E-2</v>
      </c>
      <c r="BF305" s="204"/>
      <c r="BG305" s="204"/>
      <c r="BH305" s="204"/>
      <c r="BI305" s="204"/>
      <c r="BJ305" s="204">
        <f>BJ304/BE304-1</f>
        <v>8.9007068985527349E-2</v>
      </c>
      <c r="BK305" s="204"/>
      <c r="BL305" s="204"/>
      <c r="BM305" s="204"/>
      <c r="BN305" s="204"/>
      <c r="BO305" s="204">
        <f>BO304/BJ304-1</f>
        <v>8.1997966445485071E-2</v>
      </c>
      <c r="BP305" s="204"/>
      <c r="BQ305" s="204"/>
      <c r="BR305" s="204"/>
      <c r="BS305" s="204"/>
      <c r="BT305" s="204">
        <f>BT304/BO304-1</f>
        <v>3.2397408207343048E-3</v>
      </c>
      <c r="BU305" s="185"/>
      <c r="BV305" s="185"/>
      <c r="BW305" s="185"/>
      <c r="BX305" s="185"/>
      <c r="BY305" s="204">
        <f>BY304/BT304-1</f>
        <v>0.14236816339196112</v>
      </c>
      <c r="BZ305" s="185"/>
      <c r="CA305" s="185"/>
      <c r="CB305" s="185"/>
      <c r="CC305" s="185"/>
      <c r="CD305" s="204">
        <f>CD304/BY304-1</f>
        <v>6.5296700401699326E-2</v>
      </c>
      <c r="CE305" s="185"/>
      <c r="CF305" s="185"/>
      <c r="CG305" s="185"/>
      <c r="CH305" s="185"/>
      <c r="CI305" s="204">
        <f>CI304/CD304-1</f>
        <v>6.0093690344813266E-2</v>
      </c>
      <c r="CJ305" s="185"/>
      <c r="CK305" s="185"/>
      <c r="CL305" s="185"/>
      <c r="CM305" s="185"/>
      <c r="CN305" s="204">
        <f>CN304/CI304-1</f>
        <v>2.1810250817884125E-3</v>
      </c>
      <c r="CO305" s="185"/>
      <c r="CP305" s="185"/>
      <c r="CQ305" s="204">
        <f>CQ304/CN304-1</f>
        <v>0.11290940249124692</v>
      </c>
      <c r="CR305" s="204">
        <f t="shared" ref="CR305:CS305" si="1180">CR304/CQ304-1</f>
        <v>5.1553486060428533E-2</v>
      </c>
      <c r="CS305" s="204">
        <f t="shared" si="1180"/>
        <v>4.9241522639382751E-2</v>
      </c>
      <c r="CT305" s="204">
        <f t="shared" ref="CT305" si="1181">CT304/CS304-1</f>
        <v>2.2026431718060735E-3</v>
      </c>
      <c r="CU305" s="204">
        <f t="shared" ref="CU305" si="1182">CU304/CT304-1</f>
        <v>2.2075055187638082E-3</v>
      </c>
      <c r="CV305" s="204">
        <f t="shared" ref="CV305:CW305" si="1183">CV304/CU304-1</f>
        <v>2.2123893805310324E-3</v>
      </c>
      <c r="CW305" s="204">
        <f t="shared" si="1183"/>
        <v>2.2172949002217113E-3</v>
      </c>
      <c r="CX305" s="159"/>
      <c r="CY305" s="159"/>
      <c r="CZ305" s="159"/>
      <c r="DA305" s="159"/>
      <c r="DB305" s="159"/>
      <c r="DC305" s="159"/>
      <c r="DD305" s="159"/>
    </row>
    <row r="306" spans="1:152" hidden="1" outlineLevel="1">
      <c r="A306" s="226" t="s">
        <v>510</v>
      </c>
      <c r="B306" s="204"/>
      <c r="C306" s="204"/>
      <c r="D306" s="204"/>
      <c r="E306" s="204"/>
      <c r="F306" s="204"/>
      <c r="G306" s="204"/>
      <c r="H306" s="204"/>
      <c r="I306" s="204"/>
      <c r="J306" s="204"/>
      <c r="K306" s="204"/>
      <c r="L306" s="204"/>
      <c r="M306" s="204"/>
      <c r="N306" s="204"/>
      <c r="O306" s="204"/>
      <c r="P306" s="204"/>
      <c r="Q306" s="204">
        <v>0.97</v>
      </c>
      <c r="R306" s="204"/>
      <c r="S306" s="204"/>
      <c r="T306" s="204"/>
      <c r="U306" s="204"/>
      <c r="V306" s="204">
        <f>Q306-0.5%</f>
        <v>0.96499999999999997</v>
      </c>
      <c r="W306" s="204"/>
      <c r="X306" s="204"/>
      <c r="Y306" s="204"/>
      <c r="Z306" s="204"/>
      <c r="AA306" s="204">
        <f>V306-0.5%</f>
        <v>0.96</v>
      </c>
      <c r="AB306" s="204"/>
      <c r="AC306" s="204"/>
      <c r="AD306" s="204"/>
      <c r="AE306" s="204"/>
      <c r="AF306" s="204">
        <f>AA306-0.5%</f>
        <v>0.95499999999999996</v>
      </c>
      <c r="AG306" s="204"/>
      <c r="AH306" s="204"/>
      <c r="AI306" s="204"/>
      <c r="AJ306" s="204"/>
      <c r="AK306" s="204">
        <f>AF306-0.5%</f>
        <v>0.95</v>
      </c>
      <c r="AL306" s="204"/>
      <c r="AM306" s="204"/>
      <c r="AN306" s="204"/>
      <c r="AO306" s="204"/>
      <c r="AP306" s="204">
        <f>AK306-0.5%</f>
        <v>0.94499999999999995</v>
      </c>
      <c r="AQ306" s="204"/>
      <c r="AR306" s="204"/>
      <c r="AS306" s="204"/>
      <c r="AT306" s="204"/>
      <c r="AU306" s="304">
        <f>AP306-0.4%</f>
        <v>0.94099999999999995</v>
      </c>
      <c r="AV306" s="304"/>
      <c r="AW306" s="304"/>
      <c r="AX306" s="204"/>
      <c r="AY306" s="204"/>
      <c r="AZ306" s="304">
        <f>AU306-0.3%</f>
        <v>0.93799999999999994</v>
      </c>
      <c r="BA306" s="304"/>
      <c r="BB306" s="304"/>
      <c r="BC306" s="304"/>
      <c r="BD306" s="304"/>
      <c r="BE306" s="304">
        <f>AZ306-0.3%</f>
        <v>0.93499999999999994</v>
      </c>
      <c r="BF306" s="304"/>
      <c r="BG306" s="204"/>
      <c r="BH306" s="204"/>
      <c r="BI306" s="204"/>
      <c r="BJ306" s="304">
        <f>BE306-0.3%</f>
        <v>0.93199999999999994</v>
      </c>
      <c r="BK306" s="304"/>
      <c r="BL306" s="304"/>
      <c r="BM306" s="304"/>
      <c r="BN306" s="304"/>
      <c r="BO306" s="304">
        <f>BJ306-0.3%</f>
        <v>0.92899999999999994</v>
      </c>
      <c r="BP306" s="304"/>
      <c r="BQ306" s="304"/>
      <c r="BR306" s="304"/>
      <c r="BS306" s="304"/>
      <c r="BT306" s="304">
        <f>BO306-0.3%</f>
        <v>0.92599999999999993</v>
      </c>
      <c r="BU306" s="267"/>
      <c r="BV306" s="267"/>
      <c r="BW306" s="267"/>
      <c r="BX306" s="267"/>
      <c r="BY306" s="304">
        <f>BT306-0.2%</f>
        <v>0.92399999999999993</v>
      </c>
      <c r="BZ306" s="267"/>
      <c r="CA306" s="267"/>
      <c r="CB306" s="267"/>
      <c r="CC306" s="267"/>
      <c r="CD306" s="304">
        <f>BY306-0.3%</f>
        <v>0.92099999999999993</v>
      </c>
      <c r="CE306" s="267"/>
      <c r="CF306" s="267"/>
      <c r="CG306" s="267"/>
      <c r="CH306" s="267"/>
      <c r="CI306" s="304">
        <f>CD306-0.2%</f>
        <v>0.91899999999999993</v>
      </c>
      <c r="CJ306" s="267"/>
      <c r="CK306" s="267"/>
      <c r="CL306" s="267"/>
      <c r="CM306" s="267"/>
      <c r="CN306" s="304">
        <f>CI306-0.2%</f>
        <v>0.91699999999999993</v>
      </c>
      <c r="CO306" s="267"/>
      <c r="CP306" s="267"/>
      <c r="CQ306" s="304">
        <f>CN306-0.3%</f>
        <v>0.91399999999999992</v>
      </c>
      <c r="CR306" s="304">
        <f>CQ306-0.2%</f>
        <v>0.91199999999999992</v>
      </c>
      <c r="CS306" s="304">
        <f>CR306-0.2%</f>
        <v>0.90999999999999992</v>
      </c>
      <c r="CT306" s="304">
        <f t="shared" ref="CT306:CV306" si="1184">CS306-0.2%</f>
        <v>0.90799999999999992</v>
      </c>
      <c r="CU306" s="304">
        <f t="shared" si="1184"/>
        <v>0.90599999999999992</v>
      </c>
      <c r="CV306" s="304">
        <f t="shared" si="1184"/>
        <v>0.90399999999999991</v>
      </c>
      <c r="CW306" s="304">
        <f t="shared" ref="CW306" si="1185">CV306-0.2%</f>
        <v>0.90199999999999991</v>
      </c>
      <c r="CX306" s="159"/>
      <c r="CY306" s="159"/>
      <c r="CZ306" s="159"/>
      <c r="DA306" s="159"/>
      <c r="DB306" s="159"/>
      <c r="DC306" s="159"/>
      <c r="DD306" s="159"/>
    </row>
    <row r="307" spans="1:152" hidden="1" outlineLevel="1">
      <c r="A307" s="226"/>
      <c r="B307" s="204"/>
      <c r="C307" s="204"/>
      <c r="D307" s="204"/>
      <c r="E307" s="204"/>
      <c r="F307" s="204"/>
      <c r="G307" s="204"/>
      <c r="H307" s="204"/>
      <c r="I307" s="204"/>
      <c r="J307" s="204"/>
      <c r="K307" s="204"/>
      <c r="L307" s="204"/>
      <c r="M307" s="204"/>
      <c r="N307" s="204"/>
      <c r="O307" s="204"/>
      <c r="P307" s="204"/>
      <c r="Q307" s="204"/>
      <c r="R307" s="204"/>
      <c r="S307" s="204"/>
      <c r="T307" s="204"/>
      <c r="U307" s="204"/>
      <c r="V307" s="204"/>
      <c r="W307" s="204"/>
      <c r="X307" s="204"/>
      <c r="Y307" s="204"/>
      <c r="Z307" s="204"/>
      <c r="AA307" s="204"/>
      <c r="AB307" s="204"/>
      <c r="AC307" s="204"/>
      <c r="AD307" s="204"/>
      <c r="AE307" s="204"/>
      <c r="AF307" s="204"/>
      <c r="AG307" s="204"/>
      <c r="AH307" s="204"/>
      <c r="AI307" s="204"/>
      <c r="AJ307" s="204"/>
      <c r="AK307" s="204"/>
      <c r="AL307" s="204"/>
      <c r="AM307" s="204"/>
      <c r="AN307" s="204"/>
      <c r="AO307" s="204"/>
      <c r="AP307" s="204"/>
      <c r="AQ307" s="204"/>
      <c r="AR307" s="204"/>
      <c r="AS307" s="204"/>
      <c r="AT307" s="204"/>
      <c r="AU307" s="204"/>
      <c r="AV307" s="204"/>
      <c r="AW307" s="204"/>
      <c r="AX307" s="204"/>
      <c r="AY307" s="204"/>
      <c r="AZ307" s="204"/>
      <c r="BA307" s="204"/>
      <c r="BB307" s="204"/>
      <c r="BC307" s="204"/>
      <c r="BD307" s="204"/>
      <c r="BE307" s="204"/>
      <c r="BF307" s="204"/>
      <c r="BG307" s="204"/>
      <c r="BH307" s="204"/>
      <c r="BI307" s="204"/>
      <c r="BJ307" s="204"/>
      <c r="BK307" s="204"/>
      <c r="BL307" s="204"/>
      <c r="BM307" s="204"/>
      <c r="BN307" s="204"/>
      <c r="BO307" s="204"/>
      <c r="BP307" s="204"/>
      <c r="BQ307" s="204"/>
      <c r="BR307" s="204"/>
      <c r="BS307" s="204"/>
      <c r="BT307" s="204"/>
      <c r="BU307" s="185"/>
      <c r="BV307" s="185"/>
      <c r="BW307" s="185"/>
      <c r="BX307" s="185"/>
      <c r="BY307" s="204"/>
      <c r="BZ307" s="185"/>
      <c r="CA307" s="185"/>
      <c r="CB307" s="185"/>
      <c r="CC307" s="185"/>
      <c r="CD307" s="204"/>
      <c r="CE307" s="185"/>
      <c r="CF307" s="185"/>
      <c r="CG307" s="185"/>
      <c r="CH307" s="185"/>
      <c r="CI307" s="204"/>
      <c r="CJ307" s="185"/>
      <c r="CK307" s="185"/>
      <c r="CL307" s="185"/>
      <c r="CM307" s="185"/>
      <c r="CN307" s="204"/>
      <c r="CO307" s="185"/>
      <c r="CP307" s="185"/>
      <c r="CQ307" s="204"/>
      <c r="CR307" s="204"/>
      <c r="CS307" s="204"/>
      <c r="CT307" s="204"/>
      <c r="CU307" s="204"/>
      <c r="CV307" s="204"/>
      <c r="CW307" s="204"/>
      <c r="CX307" s="159"/>
      <c r="CY307" s="159"/>
      <c r="CZ307" s="159"/>
      <c r="DA307" s="159"/>
      <c r="DB307" s="159"/>
      <c r="DC307" s="159"/>
      <c r="DD307" s="159"/>
    </row>
    <row r="308" spans="1:152" hidden="1" outlineLevel="1">
      <c r="A308" s="295" t="s">
        <v>512</v>
      </c>
      <c r="B308" s="299"/>
      <c r="C308" s="299"/>
      <c r="D308" s="299"/>
      <c r="E308" s="299"/>
      <c r="F308" s="299"/>
      <c r="G308" s="299"/>
      <c r="H308" s="299"/>
      <c r="I308" s="299"/>
      <c r="J308" s="299"/>
      <c r="K308" s="299"/>
      <c r="L308" s="297"/>
      <c r="M308" s="297"/>
      <c r="N308" s="297"/>
      <c r="O308" s="297"/>
      <c r="P308" s="297"/>
      <c r="Q308" s="299"/>
      <c r="R308" s="299"/>
      <c r="S308" s="299"/>
      <c r="T308" s="299"/>
      <c r="U308" s="299"/>
      <c r="V308" s="299"/>
      <c r="W308" s="299">
        <v>627</v>
      </c>
      <c r="X308" s="299">
        <v>614</v>
      </c>
      <c r="Y308" s="299">
        <v>710</v>
      </c>
      <c r="Z308" s="299">
        <v>679</v>
      </c>
      <c r="AA308" s="299"/>
      <c r="AB308" s="296">
        <v>31</v>
      </c>
      <c r="AC308" s="296">
        <v>36</v>
      </c>
      <c r="AD308" s="296">
        <v>43</v>
      </c>
      <c r="AE308" s="296">
        <v>52</v>
      </c>
      <c r="AF308" s="296">
        <v>52</v>
      </c>
      <c r="AG308" s="296">
        <v>59</v>
      </c>
      <c r="AH308" s="296">
        <v>66</v>
      </c>
      <c r="AI308" s="296">
        <v>72</v>
      </c>
      <c r="AJ308" s="296">
        <v>80</v>
      </c>
      <c r="AK308" s="296">
        <v>80</v>
      </c>
      <c r="AL308" s="296">
        <v>89</v>
      </c>
      <c r="AM308" s="296">
        <v>99</v>
      </c>
      <c r="AN308" s="296">
        <v>107</v>
      </c>
      <c r="AO308" s="296">
        <v>118</v>
      </c>
      <c r="AP308" s="296">
        <v>118</v>
      </c>
      <c r="AQ308" s="296">
        <v>126</v>
      </c>
      <c r="AR308" s="296">
        <v>133</v>
      </c>
      <c r="AS308" s="296">
        <v>139</v>
      </c>
      <c r="AT308" s="305">
        <v>146</v>
      </c>
      <c r="AU308" s="305">
        <f>AT308</f>
        <v>146</v>
      </c>
      <c r="AV308" s="305">
        <v>153</v>
      </c>
      <c r="AW308" s="305">
        <f>'[3]Domestic Mobile Operations'!X$16</f>
        <v>159</v>
      </c>
      <c r="AX308" s="305">
        <f>'[3]Domestic Mobile Operations'!Y$16</f>
        <v>163</v>
      </c>
      <c r="AY308" s="305">
        <f>'[3]Domestic Mobile Operations'!Z$16</f>
        <v>172</v>
      </c>
      <c r="AZ308" s="305">
        <f>AY308</f>
        <v>172</v>
      </c>
      <c r="BA308" s="305">
        <f>'[3]Domestic Mobile Operations'!AA$16</f>
        <v>184</v>
      </c>
      <c r="BB308" s="305">
        <f>'[3]Domestic Mobile Operations'!AB$16</f>
        <v>194</v>
      </c>
      <c r="BC308" s="305">
        <f>'[3]Domestic Mobile Operations'!AC$16</f>
        <v>202</v>
      </c>
      <c r="BD308" s="305">
        <f>'[3]Domestic Mobile Operations'!AD$16</f>
        <v>226</v>
      </c>
      <c r="BE308" s="297">
        <f>BE310*BE304</f>
        <v>197.06741553536622</v>
      </c>
      <c r="BF308" s="305">
        <f>'[3]Domestic Mobile Operations'!AF$16</f>
        <v>279</v>
      </c>
      <c r="BG308" s="297"/>
      <c r="BH308" s="297"/>
      <c r="BI308" s="297"/>
      <c r="BJ308" s="297">
        <f>BJ310*BJ304</f>
        <v>289.20668300697889</v>
      </c>
      <c r="BK308" s="305">
        <f>'[3]Domestic Mobile Operations'!AJ$16</f>
        <v>371</v>
      </c>
      <c r="BL308" s="305">
        <f>'[3]Domestic Mobile Operations'!AK$16</f>
        <v>383</v>
      </c>
      <c r="BM308" s="305">
        <f>'[3]Domestic Mobile Operations'!AL$16</f>
        <v>402</v>
      </c>
      <c r="BN308" s="305" t="e">
        <f>'[3]Domestic Mobile Operations'!#REF!</f>
        <v>#REF!</v>
      </c>
      <c r="BO308" s="297">
        <f>BO310*BO304</f>
        <v>393.6368733199991</v>
      </c>
      <c r="BP308" s="297"/>
      <c r="BQ308" s="297"/>
      <c r="BR308" s="297"/>
      <c r="BS308" s="297"/>
      <c r="BT308" s="297">
        <f>BT310*BT304</f>
        <v>475.88948356174819</v>
      </c>
      <c r="BU308" s="269"/>
      <c r="BV308" s="269"/>
      <c r="BW308" s="269"/>
      <c r="BX308" s="269"/>
      <c r="BY308" s="297">
        <f t="shared" ref="BY308:CS308" si="1186">BY310*BY304</f>
        <v>636.14691768558066</v>
      </c>
      <c r="BZ308" s="269"/>
      <c r="CA308" s="269"/>
      <c r="CB308" s="269"/>
      <c r="CC308" s="269"/>
      <c r="CD308" s="297">
        <f t="shared" si="1186"/>
        <v>679.32764994566173</v>
      </c>
      <c r="CE308" s="269"/>
      <c r="CF308" s="269"/>
      <c r="CG308" s="269"/>
      <c r="CH308" s="269"/>
      <c r="CI308" s="297">
        <f t="shared" si="1186"/>
        <v>719.28038653470946</v>
      </c>
      <c r="CJ308" s="269"/>
      <c r="CK308" s="269"/>
      <c r="CL308" s="269"/>
      <c r="CM308" s="269"/>
      <c r="CN308" s="297">
        <f t="shared" ref="CN308" si="1187">CN310*CN304</f>
        <v>719.97668751662741</v>
      </c>
      <c r="CO308" s="269"/>
      <c r="CP308" s="269"/>
      <c r="CQ308" s="297">
        <f t="shared" si="1186"/>
        <v>794.47198348448956</v>
      </c>
      <c r="CR308" s="297">
        <f t="shared" si="1186"/>
        <v>825.21943737138156</v>
      </c>
      <c r="CS308" s="297">
        <f t="shared" si="1186"/>
        <v>851.9274437014268</v>
      </c>
      <c r="CT308" s="297">
        <f t="shared" ref="CT308:CV308" si="1188">CT310*CT304</f>
        <v>839.84620425722289</v>
      </c>
      <c r="CU308" s="297">
        <f t="shared" si="1188"/>
        <v>827.71162600752587</v>
      </c>
      <c r="CV308" s="297">
        <f t="shared" si="1188"/>
        <v>815.52335493371504</v>
      </c>
      <c r="CW308" s="297">
        <f t="shared" ref="CW308" si="1189">CW310*CW304</f>
        <v>803.28103387731551</v>
      </c>
      <c r="CX308" s="159"/>
      <c r="CY308" s="159"/>
      <c r="CZ308" s="159"/>
      <c r="DA308" s="159"/>
      <c r="DB308" s="159"/>
      <c r="DC308" s="159"/>
      <c r="DD308" s="159"/>
    </row>
    <row r="309" spans="1:152" hidden="1" outlineLevel="1">
      <c r="A309" s="226" t="s">
        <v>39</v>
      </c>
      <c r="B309" s="204"/>
      <c r="C309" s="204"/>
      <c r="D309" s="204"/>
      <c r="E309" s="204"/>
      <c r="F309" s="204"/>
      <c r="G309" s="204"/>
      <c r="H309" s="204"/>
      <c r="I309" s="204"/>
      <c r="J309" s="204"/>
      <c r="K309" s="204"/>
      <c r="L309" s="204"/>
      <c r="M309" s="204"/>
      <c r="N309" s="204"/>
      <c r="O309" s="204"/>
      <c r="P309" s="204"/>
      <c r="Q309" s="204"/>
      <c r="R309" s="204"/>
      <c r="S309" s="204"/>
      <c r="T309" s="204"/>
      <c r="U309" s="204"/>
      <c r="V309" s="204"/>
      <c r="W309" s="204"/>
      <c r="X309" s="204"/>
      <c r="Y309" s="204"/>
      <c r="Z309" s="204"/>
      <c r="AA309" s="204"/>
      <c r="AB309" s="204"/>
      <c r="AC309" s="204"/>
      <c r="AD309" s="204"/>
      <c r="AE309" s="204"/>
      <c r="AF309" s="204" t="e">
        <f>AF308/AA308-1</f>
        <v>#DIV/0!</v>
      </c>
      <c r="AG309" s="204"/>
      <c r="AH309" s="204"/>
      <c r="AI309" s="204"/>
      <c r="AJ309" s="204"/>
      <c r="AK309" s="204">
        <f>AK308/AF308-1</f>
        <v>0.53846153846153855</v>
      </c>
      <c r="AL309" s="204"/>
      <c r="AM309" s="204"/>
      <c r="AN309" s="204"/>
      <c r="AO309" s="204"/>
      <c r="AP309" s="204">
        <f>AP308/AK308-1</f>
        <v>0.47500000000000009</v>
      </c>
      <c r="AQ309" s="204"/>
      <c r="AR309" s="204"/>
      <c r="AS309" s="204"/>
      <c r="AT309" s="204"/>
      <c r="AU309" s="204">
        <f>AU308/AP308-1</f>
        <v>0.23728813559322037</v>
      </c>
      <c r="AV309" s="204"/>
      <c r="AW309" s="204"/>
      <c r="AX309" s="204"/>
      <c r="AY309" s="204"/>
      <c r="AZ309" s="204">
        <f>AZ308/AU308-1</f>
        <v>0.17808219178082196</v>
      </c>
      <c r="BA309" s="204"/>
      <c r="BB309" s="204"/>
      <c r="BC309" s="204"/>
      <c r="BD309" s="204"/>
      <c r="BE309" s="204">
        <f>BE308/AZ308-1</f>
        <v>0.14574078799631529</v>
      </c>
      <c r="BF309" s="204"/>
      <c r="BG309" s="204"/>
      <c r="BH309" s="204"/>
      <c r="BI309" s="204"/>
      <c r="BJ309" s="204">
        <f>BJ308/BE308-1</f>
        <v>0.46755201625444331</v>
      </c>
      <c r="BK309" s="204"/>
      <c r="BL309" s="204"/>
      <c r="BM309" s="204"/>
      <c r="BN309" s="204"/>
      <c r="BO309" s="204">
        <f>BO308/BJ308-1</f>
        <v>0.36109189880131565</v>
      </c>
      <c r="BP309" s="204"/>
      <c r="BQ309" s="204"/>
      <c r="BR309" s="204"/>
      <c r="BS309" s="204"/>
      <c r="BT309" s="204">
        <f>BT308/BO308-1</f>
        <v>0.20895555222765805</v>
      </c>
      <c r="BU309" s="185"/>
      <c r="BV309" s="185"/>
      <c r="BW309" s="185"/>
      <c r="BX309" s="185"/>
      <c r="BY309" s="204">
        <f>BY308/BT308-1</f>
        <v>0.33675346831453679</v>
      </c>
      <c r="BZ309" s="185"/>
      <c r="CA309" s="185"/>
      <c r="CB309" s="185"/>
      <c r="CC309" s="185"/>
      <c r="CD309" s="204">
        <f>CD308/BY308-1</f>
        <v>6.7878552987697516E-2</v>
      </c>
      <c r="CE309" s="185"/>
      <c r="CF309" s="185"/>
      <c r="CG309" s="185"/>
      <c r="CH309" s="185"/>
      <c r="CI309" s="204">
        <f>CI308/CD308-1</f>
        <v>5.8812174938328354E-2</v>
      </c>
      <c r="CJ309" s="185"/>
      <c r="CK309" s="185"/>
      <c r="CL309" s="185"/>
      <c r="CM309" s="185"/>
      <c r="CN309" s="204">
        <f>CN308/CI308-1</f>
        <v>9.680522296353633E-4</v>
      </c>
      <c r="CO309" s="185"/>
      <c r="CP309" s="185"/>
      <c r="CQ309" s="204">
        <f>CQ308/CN308-1</f>
        <v>0.10346903901126892</v>
      </c>
      <c r="CR309" s="204">
        <f t="shared" ref="CR309:CS309" si="1190">CR308/CQ308-1</f>
        <v>3.8701747230954764E-2</v>
      </c>
      <c r="CS309" s="204">
        <f t="shared" si="1190"/>
        <v>3.2364732482695446E-2</v>
      </c>
      <c r="CT309" s="204">
        <f t="shared" ref="CT309" si="1191">CT308/CS308-1</f>
        <v>-1.4181066161824463E-2</v>
      </c>
      <c r="CU309" s="204">
        <f t="shared" ref="CU309" si="1192">CU308/CT308-1</f>
        <v>-1.4448571879215777E-2</v>
      </c>
      <c r="CV309" s="204">
        <f t="shared" ref="CV309:CW309" si="1193">CV308/CU308-1</f>
        <v>-1.4725262628726199E-2</v>
      </c>
      <c r="CW309" s="204">
        <f t="shared" si="1193"/>
        <v>-1.5011613073171337E-2</v>
      </c>
      <c r="CX309" s="159"/>
      <c r="CY309" s="159"/>
      <c r="CZ309" s="159"/>
      <c r="DA309" s="159"/>
      <c r="DB309" s="159"/>
      <c r="DC309" s="159"/>
      <c r="DD309" s="159"/>
    </row>
    <row r="310" spans="1:152" hidden="1" outlineLevel="1">
      <c r="A310" s="226" t="s">
        <v>58</v>
      </c>
      <c r="B310" s="204"/>
      <c r="C310" s="204"/>
      <c r="D310" s="204"/>
      <c r="E310" s="204"/>
      <c r="F310" s="204"/>
      <c r="G310" s="204"/>
      <c r="H310" s="204"/>
      <c r="I310" s="204"/>
      <c r="J310" s="204"/>
      <c r="K310" s="204"/>
      <c r="L310" s="204"/>
      <c r="M310" s="204" t="e">
        <f>M308/(M304)</f>
        <v>#DIV/0!</v>
      </c>
      <c r="N310" s="204" t="e">
        <f>N308/(N304)</f>
        <v>#DIV/0!</v>
      </c>
      <c r="O310" s="204" t="e">
        <f>O308/(O304)</f>
        <v>#DIV/0!</v>
      </c>
      <c r="P310" s="204" t="e">
        <f>P308/(P304)</f>
        <v>#DIV/0!</v>
      </c>
      <c r="Q310" s="204"/>
      <c r="R310" s="204"/>
      <c r="S310" s="204"/>
      <c r="T310" s="204"/>
      <c r="U310" s="204"/>
      <c r="V310" s="204"/>
      <c r="W310" s="204"/>
      <c r="X310" s="204"/>
      <c r="Y310" s="204"/>
      <c r="Z310" s="204"/>
      <c r="AA310" s="204"/>
      <c r="AB310" s="204" t="e">
        <f t="shared" ref="AB310:AP310" si="1194">AB308/(AB304)</f>
        <v>#DIV/0!</v>
      </c>
      <c r="AC310" s="204" t="e">
        <f t="shared" si="1194"/>
        <v>#DIV/0!</v>
      </c>
      <c r="AD310" s="204" t="e">
        <f t="shared" si="1194"/>
        <v>#DIV/0!</v>
      </c>
      <c r="AE310" s="204" t="e">
        <f t="shared" si="1194"/>
        <v>#DIV/0!</v>
      </c>
      <c r="AF310" s="204">
        <f t="shared" si="1194"/>
        <v>2.2419864559819411E-2</v>
      </c>
      <c r="AG310" s="204" t="e">
        <f t="shared" si="1194"/>
        <v>#DIV/0!</v>
      </c>
      <c r="AH310" s="204" t="e">
        <f t="shared" si="1194"/>
        <v>#DIV/0!</v>
      </c>
      <c r="AI310" s="204" t="e">
        <f t="shared" si="1194"/>
        <v>#DIV/0!</v>
      </c>
      <c r="AJ310" s="204" t="e">
        <f t="shared" si="1194"/>
        <v>#DIV/0!</v>
      </c>
      <c r="AK310" s="204">
        <f t="shared" si="1194"/>
        <v>3.4065441506051092E-2</v>
      </c>
      <c r="AL310" s="204" t="e">
        <f t="shared" si="1194"/>
        <v>#DIV/0!</v>
      </c>
      <c r="AM310" s="204" t="e">
        <f t="shared" si="1194"/>
        <v>#DIV/0!</v>
      </c>
      <c r="AN310" s="204" t="e">
        <f t="shared" si="1194"/>
        <v>#DIV/0!</v>
      </c>
      <c r="AO310" s="204" t="e">
        <f t="shared" si="1194"/>
        <v>#DIV/0!</v>
      </c>
      <c r="AP310" s="204">
        <f t="shared" si="1194"/>
        <v>4.7653846153846158E-2</v>
      </c>
      <c r="AQ310" s="204"/>
      <c r="AR310" s="204"/>
      <c r="AS310" s="204"/>
      <c r="AT310" s="204"/>
      <c r="AU310" s="204">
        <f>AU308/(AU304)</f>
        <v>5.1445311966446118E-2</v>
      </c>
      <c r="AV310" s="204"/>
      <c r="AW310" s="204"/>
      <c r="AX310" s="204"/>
      <c r="AY310" s="204"/>
      <c r="AZ310" s="204">
        <f>AZ308/(AZ304)</f>
        <v>5.5036473638989246E-2</v>
      </c>
      <c r="BA310" s="204"/>
      <c r="BB310" s="204"/>
      <c r="BC310" s="204"/>
      <c r="BD310" s="204"/>
      <c r="BE310" s="204">
        <f>AZ310+BE311</f>
        <v>5.7536473638989248E-2</v>
      </c>
      <c r="BF310" s="204"/>
      <c r="BG310" s="204"/>
      <c r="BH310" s="204"/>
      <c r="BI310" s="204"/>
      <c r="BJ310" s="204">
        <f>BE310+BJ311</f>
        <v>7.7536473638989245E-2</v>
      </c>
      <c r="BK310" s="204"/>
      <c r="BL310" s="204"/>
      <c r="BM310" s="204"/>
      <c r="BN310" s="204"/>
      <c r="BO310" s="204">
        <f>BJ310+BO311</f>
        <v>9.7536473638989249E-2</v>
      </c>
      <c r="BP310" s="204"/>
      <c r="BQ310" s="204"/>
      <c r="BR310" s="204"/>
      <c r="BS310" s="204"/>
      <c r="BT310" s="204">
        <f>BO310+BT311</f>
        <v>0.11753647363898925</v>
      </c>
      <c r="BU310" s="185"/>
      <c r="BV310" s="185"/>
      <c r="BW310" s="185"/>
      <c r="BX310" s="185"/>
      <c r="BY310" s="204">
        <f>BT310+BY311</f>
        <v>0.13753647363898924</v>
      </c>
      <c r="BZ310" s="185"/>
      <c r="CA310" s="185"/>
      <c r="CB310" s="185"/>
      <c r="CC310" s="185"/>
      <c r="CD310" s="204">
        <f>BY310+CD311</f>
        <v>0.13786980697232257</v>
      </c>
      <c r="CE310" s="185"/>
      <c r="CF310" s="185"/>
      <c r="CG310" s="185"/>
      <c r="CH310" s="185"/>
      <c r="CI310" s="204">
        <f>CD310+CI311</f>
        <v>0.13770314030565589</v>
      </c>
      <c r="CJ310" s="185"/>
      <c r="CK310" s="185"/>
      <c r="CL310" s="185"/>
      <c r="CM310" s="185"/>
      <c r="CN310" s="204">
        <f>CI310+CN311</f>
        <v>0.13753647363898922</v>
      </c>
      <c r="CO310" s="185"/>
      <c r="CP310" s="185"/>
      <c r="CQ310" s="204">
        <f>CN310+CQ311</f>
        <v>0.13636980697232254</v>
      </c>
      <c r="CR310" s="204">
        <f t="shared" ref="CR310:CS310" si="1195">CQ310+CR311</f>
        <v>0.13470314030565586</v>
      </c>
      <c r="CS310" s="204">
        <f t="shared" si="1195"/>
        <v>0.13253647363898918</v>
      </c>
      <c r="CT310" s="204">
        <f t="shared" ref="CT310" si="1196">CS310+CT311</f>
        <v>0.13036980697232251</v>
      </c>
      <c r="CU310" s="204">
        <f t="shared" ref="CU310" si="1197">CT310+CU311</f>
        <v>0.12820314030565583</v>
      </c>
      <c r="CV310" s="204">
        <f t="shared" ref="CV310:CW310" si="1198">CU310+CV311</f>
        <v>0.12603647363898915</v>
      </c>
      <c r="CW310" s="204">
        <f t="shared" si="1198"/>
        <v>0.12386980697232249</v>
      </c>
      <c r="CX310" s="159"/>
      <c r="CY310" s="159"/>
      <c r="CZ310" s="159"/>
      <c r="DA310" s="159"/>
      <c r="DB310" s="159"/>
      <c r="DC310" s="159"/>
      <c r="DD310" s="159"/>
    </row>
    <row r="311" spans="1:152" hidden="1" outlineLevel="1">
      <c r="A311" s="226" t="s">
        <v>59</v>
      </c>
      <c r="B311" s="204"/>
      <c r="C311" s="204"/>
      <c r="D311" s="204"/>
      <c r="E311" s="204"/>
      <c r="F311" s="204"/>
      <c r="G311" s="204"/>
      <c r="H311" s="204"/>
      <c r="I311" s="204"/>
      <c r="J311" s="204"/>
      <c r="K311" s="204"/>
      <c r="L311" s="204"/>
      <c r="M311" s="204"/>
      <c r="N311" s="204"/>
      <c r="O311" s="204"/>
      <c r="P311" s="204"/>
      <c r="Q311" s="204"/>
      <c r="R311" s="204"/>
      <c r="S311" s="204"/>
      <c r="T311" s="204"/>
      <c r="U311" s="204"/>
      <c r="V311" s="204"/>
      <c r="W311" s="204"/>
      <c r="X311" s="204"/>
      <c r="Y311" s="204"/>
      <c r="Z311" s="204"/>
      <c r="AA311" s="204"/>
      <c r="AB311" s="204"/>
      <c r="AC311" s="204"/>
      <c r="AD311" s="204"/>
      <c r="AE311" s="204"/>
      <c r="AF311" s="204">
        <f>AF310-AA310</f>
        <v>2.2419864559819411E-2</v>
      </c>
      <c r="AG311" s="204"/>
      <c r="AH311" s="204"/>
      <c r="AI311" s="204"/>
      <c r="AJ311" s="204"/>
      <c r="AK311" s="204">
        <f>AK310-AF310</f>
        <v>1.1645576946231681E-2</v>
      </c>
      <c r="AL311" s="204"/>
      <c r="AM311" s="204"/>
      <c r="AN311" s="204"/>
      <c r="AO311" s="204"/>
      <c r="AP311" s="204">
        <f>AP310-AK310</f>
        <v>1.3588404647795066E-2</v>
      </c>
      <c r="AQ311" s="204"/>
      <c r="AR311" s="204"/>
      <c r="AS311" s="204"/>
      <c r="AT311" s="204"/>
      <c r="AU311" s="204">
        <f>AU310-AP310</f>
        <v>3.7914658125999603E-3</v>
      </c>
      <c r="AV311" s="204"/>
      <c r="AW311" s="204"/>
      <c r="AX311" s="204"/>
      <c r="AY311" s="204"/>
      <c r="AZ311" s="204">
        <f>AZ310-AU310</f>
        <v>3.5911616725431278E-3</v>
      </c>
      <c r="BA311" s="204"/>
      <c r="BB311" s="204"/>
      <c r="BC311" s="204"/>
      <c r="BD311" s="204"/>
      <c r="BE311" s="254">
        <v>2.5000000000000001E-3</v>
      </c>
      <c r="BF311" s="204"/>
      <c r="BG311" s="204"/>
      <c r="BH311" s="204"/>
      <c r="BI311" s="204"/>
      <c r="BJ311" s="254">
        <v>0.02</v>
      </c>
      <c r="BK311" s="204"/>
      <c r="BL311" s="204"/>
      <c r="BM311" s="204"/>
      <c r="BN311" s="204"/>
      <c r="BO311" s="254">
        <v>0.02</v>
      </c>
      <c r="BP311" s="254"/>
      <c r="BQ311" s="254"/>
      <c r="BR311" s="254"/>
      <c r="BS311" s="254"/>
      <c r="BT311" s="254">
        <v>0.02</v>
      </c>
      <c r="BU311" s="306"/>
      <c r="BV311" s="306"/>
      <c r="BW311" s="306"/>
      <c r="BX311" s="306"/>
      <c r="BY311" s="254">
        <v>0.02</v>
      </c>
      <c r="BZ311" s="306"/>
      <c r="CA311" s="306"/>
      <c r="CB311" s="306"/>
      <c r="CC311" s="306"/>
      <c r="CD311" s="254">
        <v>3.3333333333333403E-4</v>
      </c>
      <c r="CE311" s="306"/>
      <c r="CF311" s="306"/>
      <c r="CG311" s="306"/>
      <c r="CH311" s="306"/>
      <c r="CI311" s="254">
        <v>-1.6666666666666601E-4</v>
      </c>
      <c r="CJ311" s="306"/>
      <c r="CK311" s="306"/>
      <c r="CL311" s="306"/>
      <c r="CM311" s="306"/>
      <c r="CN311" s="254">
        <v>-1.6666666666666601E-4</v>
      </c>
      <c r="CO311" s="306"/>
      <c r="CP311" s="306"/>
      <c r="CQ311" s="254">
        <v>-1.16666666666667E-3</v>
      </c>
      <c r="CR311" s="254">
        <v>-1.66666666666667E-3</v>
      </c>
      <c r="CS311" s="254">
        <v>-2.16666666666667E-3</v>
      </c>
      <c r="CT311" s="254">
        <v>-2.16666666666667E-3</v>
      </c>
      <c r="CU311" s="254">
        <v>-2.16666666666667E-3</v>
      </c>
      <c r="CV311" s="254">
        <v>-2.16666666666667E-3</v>
      </c>
      <c r="CW311" s="254">
        <v>-2.16666666666667E-3</v>
      </c>
      <c r="CX311" s="159"/>
      <c r="CY311" s="159"/>
      <c r="CZ311" s="159"/>
      <c r="DA311" s="159"/>
      <c r="DB311" s="159"/>
      <c r="DC311" s="159"/>
      <c r="DD311" s="159"/>
      <c r="EP311" s="221"/>
    </row>
    <row r="312" spans="1:152" hidden="1" outlineLevel="1">
      <c r="A312" s="295" t="s">
        <v>55</v>
      </c>
      <c r="B312" s="302"/>
      <c r="C312" s="302"/>
      <c r="D312" s="302"/>
      <c r="E312" s="302"/>
      <c r="F312" s="302"/>
      <c r="G312" s="302"/>
      <c r="H312" s="302"/>
      <c r="I312" s="302"/>
      <c r="J312" s="302"/>
      <c r="K312" s="302"/>
      <c r="L312" s="302"/>
      <c r="M312" s="302"/>
      <c r="N312" s="302"/>
      <c r="O312" s="302"/>
      <c r="P312" s="302"/>
      <c r="Q312" s="302"/>
      <c r="R312" s="302"/>
      <c r="S312" s="302"/>
      <c r="T312" s="302"/>
      <c r="U312" s="302"/>
      <c r="V312" s="302"/>
      <c r="W312" s="302"/>
      <c r="X312" s="302"/>
      <c r="Y312" s="302"/>
      <c r="Z312" s="302"/>
      <c r="AA312" s="302"/>
      <c r="AB312" s="302"/>
      <c r="AC312" s="302"/>
      <c r="AD312" s="302"/>
      <c r="AE312" s="302"/>
      <c r="AF312" s="302">
        <f>(AF315/((AF308+AA308)/2)*1000)/12</f>
        <v>769.23076923076917</v>
      </c>
      <c r="AG312" s="302">
        <f>(AG315/((AG308+AF308)/2)*1000)/3</f>
        <v>354.35435435435437</v>
      </c>
      <c r="AH312" s="302">
        <f>(AH315/((AH308+AG308)/2)*1000)/3</f>
        <v>330.66666666666669</v>
      </c>
      <c r="AI312" s="302">
        <f>(AI315/((AI308+AH308)/2)*1000)/3</f>
        <v>309.17874396135267</v>
      </c>
      <c r="AJ312" s="302">
        <f>(AJ315/((AJ308+AI308)/2)*1000)/3</f>
        <v>298.24561403508773</v>
      </c>
      <c r="AK312" s="302">
        <f>(AK315/((AK308+AF308)/2)*1000)/12</f>
        <v>319.44444444444446</v>
      </c>
      <c r="AL312" s="302">
        <f>(AL315/((AL308+AK308)/2)*1000)/3</f>
        <v>256.41025641025641</v>
      </c>
      <c r="AM312" s="302">
        <f>(AM315/((AM308+AL308)/2)*1000)/3</f>
        <v>226.95035460992906</v>
      </c>
      <c r="AN312" s="302">
        <f>(AN315/((AN308+AM308)/2)*1000)/3</f>
        <v>203.88349514563106</v>
      </c>
      <c r="AO312" s="302">
        <f>(AO315/((AO308+AN308)/2)*1000)/3</f>
        <v>180.74074074074076</v>
      </c>
      <c r="AP312" s="302">
        <f>(AP315/((AP308+AK308)/2)*1000)/12</f>
        <v>212.96296296296293</v>
      </c>
      <c r="AQ312" s="302">
        <f>(AQ315/((AQ308+AP308)/2)*1000)/3</f>
        <v>183.06010928961749</v>
      </c>
      <c r="AR312" s="302">
        <f>(AR315/((AR308+AQ308)/2)*1000)/3</f>
        <v>172.45817245817247</v>
      </c>
      <c r="AS312" s="302">
        <f>(AS315/((AS308+AR308)/2)*1000)/3</f>
        <v>181.37254901960785</v>
      </c>
      <c r="AT312" s="302">
        <f>(AT315/((AT308+AS308)/2)*1000)/3</f>
        <v>182.45614035087718</v>
      </c>
      <c r="AU312" s="302">
        <f>(AU315/((AU308+AP308)/2)*1000)/12</f>
        <v>180.55555555555554</v>
      </c>
      <c r="AV312" s="302">
        <f>(AV315/((AV308+AU308)/2)*1000)/3</f>
        <v>160.53511705685619</v>
      </c>
      <c r="AW312" s="302">
        <f>(AW315/((AW308+AV308)/2)*1000)/3</f>
        <v>0</v>
      </c>
      <c r="AX312" s="302">
        <f>(AX315/((AX308+AW308)/2)*1000)/3</f>
        <v>0</v>
      </c>
      <c r="AY312" s="302">
        <f>(AY315/((AY308+AX308)/2)*1000)/3</f>
        <v>0</v>
      </c>
      <c r="AZ312" s="302">
        <f>(AZ315/((AZ308+AU308)/2)*1000)/12</f>
        <v>37.735849056603776</v>
      </c>
      <c r="BA312" s="302">
        <f>(BA315/((BA308+AZ308)/2)*1000)/3</f>
        <v>0</v>
      </c>
      <c r="BB312" s="302">
        <f>(BB315/((BB308+BA308)/2)*1000)/3</f>
        <v>0</v>
      </c>
      <c r="BC312" s="302">
        <f>(BC315/((BC308+BB308)/2)*1000)/3</f>
        <v>0</v>
      </c>
      <c r="BD312" s="302">
        <f>(BD315/((BD308+BC308)/2)*1000)/3</f>
        <v>0</v>
      </c>
      <c r="BE312" s="302">
        <f>AZ312*(1+BE313)</f>
        <v>32.452830188679243</v>
      </c>
      <c r="BF312" s="302">
        <f>(BF315/((BF308+BE308)/2)*1000)/3</f>
        <v>0</v>
      </c>
      <c r="BG312" s="302"/>
      <c r="BH312" s="302"/>
      <c r="BI312" s="302"/>
      <c r="BJ312" s="302">
        <f>BE312*(1+BJ313)</f>
        <v>30.505660377358488</v>
      </c>
      <c r="BK312" s="302">
        <f>(BK315/((BK308+BJ308)/2)*1000)/3</f>
        <v>0</v>
      </c>
      <c r="BL312" s="302">
        <f>(BL315/((BL308+BK308)/2)*1000)/3</f>
        <v>0</v>
      </c>
      <c r="BM312" s="302">
        <f>(BM315/((BM308+BL308)/2)*1000)/3</f>
        <v>0</v>
      </c>
      <c r="BN312" s="302" t="e">
        <f>(BN315/((BN308+BM308)/2)*1000)/3</f>
        <v>#REF!</v>
      </c>
      <c r="BO312" s="302">
        <f>BJ312*(1+BO313)</f>
        <v>29.895547169811319</v>
      </c>
      <c r="BP312" s="302"/>
      <c r="BQ312" s="302"/>
      <c r="BR312" s="302"/>
      <c r="BS312" s="302"/>
      <c r="BT312" s="302">
        <f>BO312*(1+BT313)</f>
        <v>29.297636226415094</v>
      </c>
      <c r="BU312" s="307"/>
      <c r="BV312" s="307"/>
      <c r="BW312" s="307"/>
      <c r="BX312" s="307"/>
      <c r="BY312" s="302">
        <f>BT312*(1+BY313)</f>
        <v>28.711683501886792</v>
      </c>
      <c r="BZ312" s="307"/>
      <c r="CA312" s="307"/>
      <c r="CB312" s="307"/>
      <c r="CC312" s="307"/>
      <c r="CD312" s="302">
        <f>BY312*(1+CD313)</f>
        <v>28.137449831849057</v>
      </c>
      <c r="CE312" s="307"/>
      <c r="CF312" s="307"/>
      <c r="CG312" s="307"/>
      <c r="CH312" s="307"/>
      <c r="CI312" s="302">
        <f>CD312*(1+CI313)</f>
        <v>27.574700835212077</v>
      </c>
      <c r="CJ312" s="307"/>
      <c r="CK312" s="307"/>
      <c r="CL312" s="307"/>
      <c r="CM312" s="307"/>
      <c r="CN312" s="302">
        <f>CI312*(1+CN313)</f>
        <v>27.023206818507834</v>
      </c>
      <c r="CO312" s="307"/>
      <c r="CP312" s="307"/>
      <c r="CQ312" s="302">
        <f>CN312*(1+CQ313)</f>
        <v>26.482742682137676</v>
      </c>
      <c r="CR312" s="302">
        <f t="shared" ref="CR312:CS312" si="1199">CQ312*(1+CR313)</f>
        <v>25.953087828494922</v>
      </c>
      <c r="CS312" s="302">
        <f t="shared" si="1199"/>
        <v>25.434026071925025</v>
      </c>
      <c r="CT312" s="302">
        <f t="shared" ref="CT312" si="1200">CS312*(1+CT313)</f>
        <v>24.925345550486526</v>
      </c>
      <c r="CU312" s="302">
        <f t="shared" ref="CU312" si="1201">CT312*(1+CU313)</f>
        <v>24.426838639476795</v>
      </c>
      <c r="CV312" s="302">
        <f t="shared" ref="CV312:CW312" si="1202">CU312*(1+CV313)</f>
        <v>23.938301866687258</v>
      </c>
      <c r="CW312" s="302">
        <f t="shared" si="1202"/>
        <v>23.459535829353513</v>
      </c>
      <c r="CX312" s="159"/>
      <c r="CY312" s="159"/>
      <c r="CZ312" s="159"/>
      <c r="DA312" s="159"/>
      <c r="DB312" s="159"/>
      <c r="DC312" s="159"/>
      <c r="DD312" s="159"/>
      <c r="ED312" s="221"/>
      <c r="EE312" s="221"/>
      <c r="EQ312" s="221"/>
      <c r="ER312" s="221"/>
      <c r="ES312" s="221"/>
    </row>
    <row r="313" spans="1:152" hidden="1" outlineLevel="1">
      <c r="A313" s="226" t="s">
        <v>39</v>
      </c>
      <c r="B313" s="204"/>
      <c r="C313" s="204"/>
      <c r="D313" s="204"/>
      <c r="E313" s="204"/>
      <c r="F313" s="204"/>
      <c r="G313" s="204"/>
      <c r="H313" s="204"/>
      <c r="I313" s="204"/>
      <c r="J313" s="204"/>
      <c r="K313" s="204"/>
      <c r="L313" s="204"/>
      <c r="M313" s="204"/>
      <c r="N313" s="204"/>
      <c r="O313" s="204"/>
      <c r="P313" s="204"/>
      <c r="Q313" s="204"/>
      <c r="R313" s="204"/>
      <c r="S313" s="204"/>
      <c r="T313" s="204"/>
      <c r="U313" s="204"/>
      <c r="V313" s="204"/>
      <c r="W313" s="204"/>
      <c r="X313" s="204"/>
      <c r="Y313" s="204"/>
      <c r="Z313" s="204"/>
      <c r="AA313" s="204"/>
      <c r="AB313" s="204"/>
      <c r="AC313" s="204"/>
      <c r="AD313" s="204"/>
      <c r="AE313" s="204"/>
      <c r="AF313" s="204" t="e">
        <f>AF312/AA312-1</f>
        <v>#DIV/0!</v>
      </c>
      <c r="AG313" s="204"/>
      <c r="AH313" s="204"/>
      <c r="AI313" s="204"/>
      <c r="AJ313" s="204"/>
      <c r="AK313" s="204">
        <f t="shared" ref="AK313:BD313" si="1203">AK312/AF312-1</f>
        <v>-0.58472222222222214</v>
      </c>
      <c r="AL313" s="204">
        <f t="shared" si="1203"/>
        <v>-0.27640156453715781</v>
      </c>
      <c r="AM313" s="204">
        <f t="shared" si="1203"/>
        <v>-0.31365820178448878</v>
      </c>
      <c r="AN313" s="204">
        <f t="shared" si="1203"/>
        <v>-0.34056432038834961</v>
      </c>
      <c r="AO313" s="204">
        <f t="shared" si="1203"/>
        <v>-0.39398692810457514</v>
      </c>
      <c r="AP313" s="204">
        <f t="shared" si="1203"/>
        <v>-0.33333333333333348</v>
      </c>
      <c r="AQ313" s="204">
        <f t="shared" si="1203"/>
        <v>-0.2860655737704918</v>
      </c>
      <c r="AR313" s="204">
        <f t="shared" si="1203"/>
        <v>-0.24010617760617747</v>
      </c>
      <c r="AS313" s="204">
        <f t="shared" si="1203"/>
        <v>-0.11041083099906623</v>
      </c>
      <c r="AT313" s="204">
        <f t="shared" si="1203"/>
        <v>9.4909404659186958E-3</v>
      </c>
      <c r="AU313" s="204">
        <f t="shared" si="1203"/>
        <v>-0.15217391304347816</v>
      </c>
      <c r="AV313" s="204">
        <f t="shared" si="1203"/>
        <v>-0.12304697249538254</v>
      </c>
      <c r="AW313" s="204">
        <f t="shared" si="1203"/>
        <v>-1</v>
      </c>
      <c r="AX313" s="204">
        <f t="shared" si="1203"/>
        <v>-1</v>
      </c>
      <c r="AY313" s="204">
        <f t="shared" si="1203"/>
        <v>-1</v>
      </c>
      <c r="AZ313" s="204">
        <f t="shared" si="1203"/>
        <v>-0.79100145137880984</v>
      </c>
      <c r="BA313" s="204">
        <f t="shared" si="1203"/>
        <v>-1</v>
      </c>
      <c r="BB313" s="204" t="e">
        <f t="shared" si="1203"/>
        <v>#DIV/0!</v>
      </c>
      <c r="BC313" s="204" t="e">
        <f t="shared" si="1203"/>
        <v>#DIV/0!</v>
      </c>
      <c r="BD313" s="204" t="e">
        <f t="shared" si="1203"/>
        <v>#DIV/0!</v>
      </c>
      <c r="BE313" s="254">
        <v>-0.14000000000000001</v>
      </c>
      <c r="BF313" s="204" t="e">
        <f>BF312/BA312-1</f>
        <v>#DIV/0!</v>
      </c>
      <c r="BG313" s="204"/>
      <c r="BH313" s="204"/>
      <c r="BI313" s="204"/>
      <c r="BJ313" s="254">
        <v>-0.06</v>
      </c>
      <c r="BK313" s="204" t="e">
        <f>BK312/BF312-1</f>
        <v>#DIV/0!</v>
      </c>
      <c r="BL313" s="204" t="e">
        <f>BL312/BG312-1</f>
        <v>#DIV/0!</v>
      </c>
      <c r="BM313" s="204" t="e">
        <f>BM312/BH312-1</f>
        <v>#DIV/0!</v>
      </c>
      <c r="BN313" s="204" t="e">
        <f>BN312/BI312-1</f>
        <v>#REF!</v>
      </c>
      <c r="BO313" s="254">
        <v>-0.02</v>
      </c>
      <c r="BP313" s="254"/>
      <c r="BQ313" s="254"/>
      <c r="BR313" s="254"/>
      <c r="BS313" s="254"/>
      <c r="BT313" s="254">
        <v>-0.02</v>
      </c>
      <c r="BU313" s="306"/>
      <c r="BV313" s="306"/>
      <c r="BW313" s="306"/>
      <c r="BX313" s="306"/>
      <c r="BY313" s="254">
        <f>BT313</f>
        <v>-0.02</v>
      </c>
      <c r="BZ313" s="306"/>
      <c r="CA313" s="306"/>
      <c r="CB313" s="306"/>
      <c r="CC313" s="306"/>
      <c r="CD313" s="254">
        <f>BY313</f>
        <v>-0.02</v>
      </c>
      <c r="CE313" s="306"/>
      <c r="CF313" s="306"/>
      <c r="CG313" s="306"/>
      <c r="CH313" s="306"/>
      <c r="CI313" s="254">
        <f>CD313</f>
        <v>-0.02</v>
      </c>
      <c r="CJ313" s="306"/>
      <c r="CK313" s="306"/>
      <c r="CL313" s="306"/>
      <c r="CM313" s="306"/>
      <c r="CN313" s="254">
        <f>CI313</f>
        <v>-0.02</v>
      </c>
      <c r="CO313" s="306"/>
      <c r="CP313" s="306"/>
      <c r="CQ313" s="254">
        <f>CN313</f>
        <v>-0.02</v>
      </c>
      <c r="CR313" s="254">
        <f t="shared" ref="CR313:CS313" si="1204">CQ313</f>
        <v>-0.02</v>
      </c>
      <c r="CS313" s="254">
        <f t="shared" si="1204"/>
        <v>-0.02</v>
      </c>
      <c r="CT313" s="254">
        <f t="shared" ref="CT313" si="1205">CS313</f>
        <v>-0.02</v>
      </c>
      <c r="CU313" s="254">
        <f t="shared" ref="CU313" si="1206">CT313</f>
        <v>-0.02</v>
      </c>
      <c r="CV313" s="254">
        <f t="shared" ref="CV313:CW313" si="1207">CU313</f>
        <v>-0.02</v>
      </c>
      <c r="CW313" s="254">
        <f t="shared" si="1207"/>
        <v>-0.02</v>
      </c>
      <c r="CX313" s="159"/>
      <c r="CY313" s="159"/>
      <c r="CZ313" s="159"/>
      <c r="DA313" s="159"/>
      <c r="DB313" s="159"/>
      <c r="DC313" s="159"/>
      <c r="DD313" s="159"/>
    </row>
    <row r="314" spans="1:152" hidden="1" outlineLevel="1">
      <c r="A314" s="226"/>
      <c r="B314" s="204"/>
      <c r="C314" s="204"/>
      <c r="D314" s="204"/>
      <c r="E314" s="204"/>
      <c r="F314" s="204"/>
      <c r="G314" s="204"/>
      <c r="H314" s="204"/>
      <c r="I314" s="204"/>
      <c r="J314" s="204"/>
      <c r="K314" s="204"/>
      <c r="L314" s="204"/>
      <c r="M314" s="204"/>
      <c r="N314" s="204"/>
      <c r="O314" s="204"/>
      <c r="P314" s="204"/>
      <c r="Q314" s="204"/>
      <c r="R314" s="204"/>
      <c r="S314" s="204"/>
      <c r="T314" s="204"/>
      <c r="U314" s="204"/>
      <c r="V314" s="204"/>
      <c r="W314" s="204"/>
      <c r="X314" s="204"/>
      <c r="Y314" s="204"/>
      <c r="Z314" s="204"/>
      <c r="AA314" s="204"/>
      <c r="AB314" s="204"/>
      <c r="AC314" s="204"/>
      <c r="AD314" s="204"/>
      <c r="AE314" s="204"/>
      <c r="AF314" s="204"/>
      <c r="AG314" s="204"/>
      <c r="AH314" s="204"/>
      <c r="AI314" s="204"/>
      <c r="AJ314" s="204"/>
      <c r="AK314" s="204"/>
      <c r="AL314" s="204"/>
      <c r="AM314" s="204"/>
      <c r="AN314" s="204"/>
      <c r="AO314" s="204"/>
      <c r="AP314" s="204"/>
      <c r="AQ314" s="204"/>
      <c r="AR314" s="204"/>
      <c r="AS314" s="204"/>
      <c r="AT314" s="204"/>
      <c r="AU314" s="204"/>
      <c r="AV314" s="204"/>
      <c r="AW314" s="204"/>
      <c r="AX314" s="204"/>
      <c r="AY314" s="204"/>
      <c r="AZ314" s="204"/>
      <c r="BA314" s="204"/>
      <c r="BB314" s="204"/>
      <c r="BC314" s="204"/>
      <c r="BD314" s="204"/>
      <c r="BE314" s="204"/>
      <c r="BF314" s="204"/>
      <c r="BG314" s="204"/>
      <c r="BH314" s="204"/>
      <c r="BI314" s="204"/>
      <c r="BJ314" s="204"/>
      <c r="BK314" s="204"/>
      <c r="BL314" s="204"/>
      <c r="BM314" s="204"/>
      <c r="BN314" s="204"/>
      <c r="BO314" s="204"/>
      <c r="BP314" s="204"/>
      <c r="BQ314" s="204"/>
      <c r="BR314" s="204"/>
      <c r="BS314" s="204"/>
      <c r="BT314" s="204"/>
      <c r="BU314" s="185"/>
      <c r="BV314" s="185"/>
      <c r="BW314" s="185"/>
      <c r="BX314" s="185"/>
      <c r="BY314" s="204"/>
      <c r="BZ314" s="185"/>
      <c r="CA314" s="185"/>
      <c r="CB314" s="185"/>
      <c r="CC314" s="185"/>
      <c r="CD314" s="204"/>
      <c r="CE314" s="185"/>
      <c r="CF314" s="185"/>
      <c r="CG314" s="185"/>
      <c r="CH314" s="185"/>
      <c r="CI314" s="204"/>
      <c r="CJ314" s="185"/>
      <c r="CK314" s="185"/>
      <c r="CL314" s="185"/>
      <c r="CM314" s="185"/>
      <c r="CN314" s="204"/>
      <c r="CO314" s="185"/>
      <c r="CP314" s="185"/>
      <c r="CQ314" s="204"/>
      <c r="CR314" s="204"/>
      <c r="CS314" s="204"/>
      <c r="CT314" s="204"/>
      <c r="CU314" s="204"/>
      <c r="CV314" s="204"/>
      <c r="CW314" s="204"/>
      <c r="CX314" s="159"/>
      <c r="CY314" s="159"/>
      <c r="CZ314" s="159"/>
      <c r="DA314" s="159"/>
      <c r="DB314" s="159"/>
      <c r="DC314" s="159"/>
      <c r="DD314" s="159"/>
    </row>
    <row r="315" spans="1:152" s="221" customFormat="1" hidden="1" outlineLevel="1">
      <c r="A315" s="235" t="s">
        <v>508</v>
      </c>
      <c r="B315" s="308"/>
      <c r="C315" s="308"/>
      <c r="D315" s="308"/>
      <c r="E315" s="308"/>
      <c r="F315" s="309">
        <v>59</v>
      </c>
      <c r="G315" s="309">
        <v>247.2</v>
      </c>
      <c r="H315" s="309">
        <v>45</v>
      </c>
      <c r="I315" s="309">
        <v>59</v>
      </c>
      <c r="J315" s="309">
        <v>40</v>
      </c>
      <c r="K315" s="309">
        <v>44</v>
      </c>
      <c r="L315" s="309">
        <v>188</v>
      </c>
      <c r="M315" s="309">
        <v>43</v>
      </c>
      <c r="N315" s="309">
        <v>45</v>
      </c>
      <c r="O315" s="309">
        <v>47</v>
      </c>
      <c r="P315" s="309">
        <v>50</v>
      </c>
      <c r="Q315" s="309">
        <v>185</v>
      </c>
      <c r="R315" s="309">
        <v>47</v>
      </c>
      <c r="S315" s="309">
        <v>53</v>
      </c>
      <c r="T315" s="309">
        <v>48</v>
      </c>
      <c r="U315" s="309">
        <v>33</v>
      </c>
      <c r="V315" s="310">
        <v>181</v>
      </c>
      <c r="W315" s="310">
        <v>45</v>
      </c>
      <c r="X315" s="310">
        <v>50</v>
      </c>
      <c r="Y315" s="310">
        <v>53</v>
      </c>
      <c r="Z315" s="310">
        <v>55</v>
      </c>
      <c r="AA315" s="310">
        <v>203</v>
      </c>
      <c r="AB315" s="310">
        <v>63</v>
      </c>
      <c r="AC315" s="310">
        <v>58</v>
      </c>
      <c r="AD315" s="310">
        <v>58</v>
      </c>
      <c r="AE315" s="310">
        <v>61</v>
      </c>
      <c r="AF315" s="310">
        <v>240</v>
      </c>
      <c r="AG315" s="310">
        <v>59</v>
      </c>
      <c r="AH315" s="310">
        <v>62</v>
      </c>
      <c r="AI315" s="310">
        <v>64</v>
      </c>
      <c r="AJ315" s="310">
        <v>68</v>
      </c>
      <c r="AK315" s="310">
        <v>253</v>
      </c>
      <c r="AL315" s="310">
        <v>65</v>
      </c>
      <c r="AM315" s="310">
        <v>64</v>
      </c>
      <c r="AN315" s="310">
        <v>63</v>
      </c>
      <c r="AO315" s="310">
        <v>61</v>
      </c>
      <c r="AP315" s="310">
        <v>253</v>
      </c>
      <c r="AQ315" s="310">
        <v>67</v>
      </c>
      <c r="AR315" s="310">
        <v>67</v>
      </c>
      <c r="AS315" s="310">
        <v>74</v>
      </c>
      <c r="AT315" s="310">
        <v>78</v>
      </c>
      <c r="AU315" s="310">
        <f>SUM(AQ315:AT315)</f>
        <v>286</v>
      </c>
      <c r="AV315" s="310">
        <v>72</v>
      </c>
      <c r="AW315" s="310">
        <f>'[3]Profit and Loss Highlights'!X$11</f>
        <v>0</v>
      </c>
      <c r="AX315" s="310">
        <f>'[3]Profit and Loss Highlights'!Y$11</f>
        <v>0</v>
      </c>
      <c r="AY315" s="310">
        <f>'[3]Profit and Loss Highlights'!Z$11</f>
        <v>0</v>
      </c>
      <c r="AZ315" s="310">
        <f>SUM(AV315:AY315)</f>
        <v>72</v>
      </c>
      <c r="BA315" s="310">
        <f>'[3]Profit and Loss Highlights'!AA$11</f>
        <v>0</v>
      </c>
      <c r="BB315" s="310">
        <f>'[3]Profit and Loss Highlights'!AB$11</f>
        <v>0</v>
      </c>
      <c r="BC315" s="310">
        <f>'[3]Profit and Loss Highlights'!AC$11</f>
        <v>0</v>
      </c>
      <c r="BD315" s="310">
        <f>'[3]Profit and Loss Highlights'!AD$11</f>
        <v>0</v>
      </c>
      <c r="BE315" s="308">
        <f>((BE308+AZ308)/2)*BE312*12/1000</f>
        <v>71.863692987263761</v>
      </c>
      <c r="BF315" s="310">
        <f>'[3]Profit and Loss Highlights'!AF$11</f>
        <v>0</v>
      </c>
      <c r="BG315" s="308"/>
      <c r="BH315" s="308"/>
      <c r="BI315" s="308"/>
      <c r="BJ315" s="308">
        <f>((BJ308+BE308)/2)*BJ312*12/1000</f>
        <v>89.004675002633604</v>
      </c>
      <c r="BK315" s="310">
        <f>'[3]Profit and Loss Highlights'!AJ$11</f>
        <v>0</v>
      </c>
      <c r="BL315" s="310">
        <f>'[3]Profit and Loss Highlights'!AK$11</f>
        <v>0</v>
      </c>
      <c r="BM315" s="310">
        <f>'[3]Profit and Loss Highlights'!AL$11</f>
        <v>0</v>
      </c>
      <c r="BN315" s="310" t="e">
        <f>'[3]Profit and Loss Highlights'!#REF!</f>
        <v>#REF!</v>
      </c>
      <c r="BO315" s="308">
        <f>((BO308+BJ308)/2)*BO312*12/1000</f>
        <v>122.48389048664929</v>
      </c>
      <c r="BP315" s="308"/>
      <c r="BQ315" s="308"/>
      <c r="BR315" s="308"/>
      <c r="BS315" s="308"/>
      <c r="BT315" s="308">
        <f>((BT308+BO308)/2)*BT312*12/1000</f>
        <v>152.85040135920852</v>
      </c>
      <c r="BU315" s="311"/>
      <c r="BV315" s="311"/>
      <c r="BW315" s="311"/>
      <c r="BX315" s="311"/>
      <c r="BY315" s="308">
        <f>((BY308+BT308)/2)*BY312*12/1000</f>
        <v>191.57062317114296</v>
      </c>
      <c r="BZ315" s="311"/>
      <c r="CA315" s="311"/>
      <c r="CB315" s="311"/>
      <c r="CC315" s="311"/>
      <c r="CD315" s="308">
        <f>((CD308+BY308)/2)*CD312*12/1000</f>
        <v>222.08459791078448</v>
      </c>
      <c r="CE315" s="311"/>
      <c r="CF315" s="311"/>
      <c r="CG315" s="311"/>
      <c r="CH315" s="311"/>
      <c r="CI315" s="308">
        <f>((CI308+CD308)/2)*CI312*12/1000</f>
        <v>231.39718915001765</v>
      </c>
      <c r="CJ315" s="311"/>
      <c r="CK315" s="311"/>
      <c r="CL315" s="311"/>
      <c r="CM315" s="311"/>
      <c r="CN315" s="308">
        <f>((CN308+CI308)/2)*CN312*12/1000</f>
        <v>233.36004946253837</v>
      </c>
      <c r="CO315" s="311"/>
      <c r="CP315" s="311"/>
      <c r="CQ315" s="308">
        <f>((CQ308+CN308)/2)*CQ312*12/1000</f>
        <v>240.64052675656777</v>
      </c>
      <c r="CR315" s="308">
        <f t="shared" ref="CR315:CS315" si="1208">((CR308+CQ308)/2)*CR312*12/1000</f>
        <v>252.21596220319293</v>
      </c>
      <c r="CS315" s="308">
        <f t="shared" si="1208"/>
        <v>255.93958499792126</v>
      </c>
      <c r="CT315" s="308">
        <f t="shared" ref="CT315" si="1209">((CT308+CS308)/2)*CT312*12/1000</f>
        <v>253.00825661145893</v>
      </c>
      <c r="CU315" s="308">
        <f t="shared" ref="CU315" si="1210">((CU308+CT308)/2)*CU312*12/1000</f>
        <v>244.39899625123829</v>
      </c>
      <c r="CV315" s="308">
        <f t="shared" ref="CV315:CW315" si="1211">((CV308+CU308)/2)*CV312*12/1000</f>
        <v>236.01753007002901</v>
      </c>
      <c r="CW315" s="308">
        <f t="shared" si="1211"/>
        <v>227.85839736016251</v>
      </c>
      <c r="CX315" s="165"/>
      <c r="CY315" s="165"/>
      <c r="CZ315" s="165"/>
      <c r="DA315" s="165"/>
      <c r="DB315" s="165"/>
      <c r="DC315" s="165"/>
      <c r="DD315" s="165"/>
    </row>
    <row r="316" spans="1:152" hidden="1" outlineLevel="1">
      <c r="A316" s="226" t="s">
        <v>39</v>
      </c>
      <c r="B316" s="204"/>
      <c r="C316" s="204"/>
      <c r="D316" s="204"/>
      <c r="E316" s="204"/>
      <c r="F316" s="204"/>
      <c r="G316" s="204"/>
      <c r="H316" s="204"/>
      <c r="I316" s="204"/>
      <c r="J316" s="204"/>
      <c r="K316" s="204"/>
      <c r="L316" s="204">
        <f t="shared" ref="L316:BF316" si="1212">L315/G315-1</f>
        <v>-0.23948220064724912</v>
      </c>
      <c r="M316" s="204">
        <f t="shared" si="1212"/>
        <v>-4.4444444444444398E-2</v>
      </c>
      <c r="N316" s="204">
        <f t="shared" si="1212"/>
        <v>-0.23728813559322037</v>
      </c>
      <c r="O316" s="204">
        <f t="shared" si="1212"/>
        <v>0.17500000000000004</v>
      </c>
      <c r="P316" s="204">
        <f t="shared" si="1212"/>
        <v>0.13636363636363646</v>
      </c>
      <c r="Q316" s="204">
        <f t="shared" si="1212"/>
        <v>-1.5957446808510634E-2</v>
      </c>
      <c r="R316" s="204">
        <f t="shared" si="1212"/>
        <v>9.3023255813953432E-2</v>
      </c>
      <c r="S316" s="204">
        <f t="shared" si="1212"/>
        <v>0.17777777777777781</v>
      </c>
      <c r="T316" s="204">
        <f t="shared" si="1212"/>
        <v>2.1276595744680771E-2</v>
      </c>
      <c r="U316" s="204">
        <f t="shared" si="1212"/>
        <v>-0.33999999999999997</v>
      </c>
      <c r="V316" s="204">
        <f t="shared" si="1212"/>
        <v>-2.1621621621621623E-2</v>
      </c>
      <c r="W316" s="204">
        <f t="shared" si="1212"/>
        <v>-4.2553191489361653E-2</v>
      </c>
      <c r="X316" s="204">
        <f t="shared" si="1212"/>
        <v>-5.6603773584905648E-2</v>
      </c>
      <c r="Y316" s="204">
        <f t="shared" si="1212"/>
        <v>0.10416666666666674</v>
      </c>
      <c r="Z316" s="204">
        <f t="shared" si="1212"/>
        <v>0.66666666666666674</v>
      </c>
      <c r="AA316" s="204">
        <f t="shared" si="1212"/>
        <v>0.12154696132596676</v>
      </c>
      <c r="AB316" s="204">
        <f t="shared" si="1212"/>
        <v>0.39999999999999991</v>
      </c>
      <c r="AC316" s="204">
        <f t="shared" si="1212"/>
        <v>0.15999999999999992</v>
      </c>
      <c r="AD316" s="204">
        <f t="shared" si="1212"/>
        <v>9.4339622641509413E-2</v>
      </c>
      <c r="AE316" s="204">
        <f t="shared" si="1212"/>
        <v>0.10909090909090913</v>
      </c>
      <c r="AF316" s="204">
        <f t="shared" si="1212"/>
        <v>0.18226600985221686</v>
      </c>
      <c r="AG316" s="204">
        <f t="shared" si="1212"/>
        <v>-6.3492063492063489E-2</v>
      </c>
      <c r="AH316" s="204">
        <f t="shared" si="1212"/>
        <v>6.8965517241379226E-2</v>
      </c>
      <c r="AI316" s="204">
        <f t="shared" si="1212"/>
        <v>0.10344827586206895</v>
      </c>
      <c r="AJ316" s="204">
        <f t="shared" si="1212"/>
        <v>0.11475409836065564</v>
      </c>
      <c r="AK316" s="204">
        <f t="shared" si="1212"/>
        <v>5.4166666666666696E-2</v>
      </c>
      <c r="AL316" s="204">
        <f t="shared" si="1212"/>
        <v>0.10169491525423724</v>
      </c>
      <c r="AM316" s="204">
        <f t="shared" si="1212"/>
        <v>3.2258064516129004E-2</v>
      </c>
      <c r="AN316" s="204">
        <f t="shared" si="1212"/>
        <v>-1.5625E-2</v>
      </c>
      <c r="AO316" s="204">
        <f t="shared" si="1212"/>
        <v>-0.1029411764705882</v>
      </c>
      <c r="AP316" s="204">
        <f t="shared" si="1212"/>
        <v>0</v>
      </c>
      <c r="AQ316" s="204">
        <f t="shared" si="1212"/>
        <v>3.076923076923066E-2</v>
      </c>
      <c r="AR316" s="204">
        <f t="shared" si="1212"/>
        <v>4.6875E-2</v>
      </c>
      <c r="AS316" s="204">
        <f t="shared" si="1212"/>
        <v>0.17460317460317465</v>
      </c>
      <c r="AT316" s="204">
        <f t="shared" si="1212"/>
        <v>0.27868852459016402</v>
      </c>
      <c r="AU316" s="204">
        <f t="shared" si="1212"/>
        <v>0.13043478260869557</v>
      </c>
      <c r="AV316" s="204">
        <f t="shared" si="1212"/>
        <v>7.4626865671641784E-2</v>
      </c>
      <c r="AW316" s="204">
        <f t="shared" si="1212"/>
        <v>-1</v>
      </c>
      <c r="AX316" s="204">
        <f t="shared" si="1212"/>
        <v>-1</v>
      </c>
      <c r="AY316" s="204">
        <f t="shared" si="1212"/>
        <v>-1</v>
      </c>
      <c r="AZ316" s="204">
        <f t="shared" si="1212"/>
        <v>-0.74825174825174823</v>
      </c>
      <c r="BA316" s="204">
        <f t="shared" si="1212"/>
        <v>-1</v>
      </c>
      <c r="BB316" s="204" t="e">
        <f t="shared" si="1212"/>
        <v>#DIV/0!</v>
      </c>
      <c r="BC316" s="204" t="e">
        <f t="shared" si="1212"/>
        <v>#DIV/0!</v>
      </c>
      <c r="BD316" s="204" t="e">
        <f t="shared" si="1212"/>
        <v>#DIV/0!</v>
      </c>
      <c r="BE316" s="204">
        <f t="shared" si="1212"/>
        <v>-1.8931529546699633E-3</v>
      </c>
      <c r="BF316" s="204" t="e">
        <f t="shared" si="1212"/>
        <v>#DIV/0!</v>
      </c>
      <c r="BG316" s="204"/>
      <c r="BH316" s="204"/>
      <c r="BI316" s="204"/>
      <c r="BJ316" s="204">
        <f t="shared" ref="BJ316:BO316" si="1213">BJ315/BE315-1</f>
        <v>0.23852075092227309</v>
      </c>
      <c r="BK316" s="204" t="e">
        <f t="shared" si="1213"/>
        <v>#DIV/0!</v>
      </c>
      <c r="BL316" s="204" t="e">
        <f t="shared" si="1213"/>
        <v>#DIV/0!</v>
      </c>
      <c r="BM316" s="204" t="e">
        <f t="shared" si="1213"/>
        <v>#DIV/0!</v>
      </c>
      <c r="BN316" s="204" t="e">
        <f t="shared" si="1213"/>
        <v>#REF!</v>
      </c>
      <c r="BO316" s="204">
        <f t="shared" si="1213"/>
        <v>0.37615120197927854</v>
      </c>
      <c r="BP316" s="204"/>
      <c r="BQ316" s="204"/>
      <c r="BR316" s="204"/>
      <c r="BS316" s="204"/>
      <c r="BT316" s="204">
        <f>BT315/BO315-1</f>
        <v>0.24792248802604111</v>
      </c>
      <c r="BU316" s="185"/>
      <c r="BV316" s="185"/>
      <c r="BW316" s="185"/>
      <c r="BX316" s="185"/>
      <c r="BY316" s="204">
        <f>BY315/BT315-1</f>
        <v>0.25332103460388944</v>
      </c>
      <c r="BZ316" s="185"/>
      <c r="CA316" s="185"/>
      <c r="CB316" s="185"/>
      <c r="CC316" s="185"/>
      <c r="CD316" s="204">
        <f>CD315/BY315-1</f>
        <v>0.15928316270277687</v>
      </c>
      <c r="CE316" s="185"/>
      <c r="CF316" s="185"/>
      <c r="CG316" s="185"/>
      <c r="CH316" s="185"/>
      <c r="CI316" s="204">
        <f>CI315/CD315-1</f>
        <v>4.1932629848442815E-2</v>
      </c>
      <c r="CJ316" s="185"/>
      <c r="CK316" s="185"/>
      <c r="CL316" s="185"/>
      <c r="CM316" s="185"/>
      <c r="CN316" s="204">
        <f>CN315/CI315-1</f>
        <v>8.4826454449633548E-3</v>
      </c>
      <c r="CO316" s="185"/>
      <c r="CP316" s="185"/>
      <c r="CQ316" s="204">
        <f>CQ315/CN315-1</f>
        <v>3.1198473392499704E-2</v>
      </c>
      <c r="CR316" s="204">
        <f t="shared" ref="CR316:CS316" si="1214">CR315/CQ315-1</f>
        <v>4.8102601846175652E-2</v>
      </c>
      <c r="CS316" s="204">
        <f t="shared" si="1214"/>
        <v>1.4763628607012746E-2</v>
      </c>
      <c r="CT316" s="204">
        <f t="shared" ref="CT316" si="1215">CT315/CS315-1</f>
        <v>-1.1453204421215779E-2</v>
      </c>
      <c r="CU316" s="204">
        <f t="shared" ref="CU316" si="1216">CU315/CT315-1</f>
        <v>-3.4027586591538594E-2</v>
      </c>
      <c r="CV316" s="204">
        <f t="shared" ref="CV316:CW316" si="1217">CV315/CU315-1</f>
        <v>-3.4294192323904849E-2</v>
      </c>
      <c r="CW316" s="204">
        <f t="shared" si="1217"/>
        <v>-3.4570028368001271E-2</v>
      </c>
      <c r="CX316" s="159"/>
      <c r="CY316" s="159"/>
      <c r="CZ316" s="159"/>
      <c r="DA316" s="159"/>
      <c r="DB316" s="159"/>
      <c r="DC316" s="159"/>
      <c r="DD316" s="159"/>
    </row>
    <row r="317" spans="1:152" collapsed="1">
      <c r="A317" s="159"/>
      <c r="B317" s="204"/>
      <c r="C317" s="204"/>
      <c r="D317" s="204"/>
      <c r="E317" s="204"/>
      <c r="F317" s="160"/>
      <c r="G317" s="160"/>
      <c r="H317" s="160"/>
      <c r="I317" s="160"/>
      <c r="J317" s="160"/>
      <c r="K317" s="160"/>
      <c r="L317" s="160"/>
      <c r="M317" s="160"/>
      <c r="N317" s="160"/>
      <c r="O317" s="160"/>
      <c r="P317" s="160"/>
      <c r="Q317" s="160"/>
      <c r="R317" s="160"/>
      <c r="S317" s="160"/>
      <c r="T317" s="160"/>
      <c r="U317" s="160"/>
      <c r="V317" s="160"/>
      <c r="W317" s="160"/>
      <c r="X317" s="160"/>
      <c r="Y317" s="160"/>
      <c r="Z317" s="160"/>
      <c r="AA317" s="160"/>
      <c r="AB317" s="160"/>
      <c r="AC317" s="160"/>
      <c r="AD317" s="160"/>
      <c r="AE317" s="160"/>
      <c r="AF317" s="160"/>
      <c r="AG317" s="160"/>
      <c r="AH317" s="160"/>
      <c r="AI317" s="160"/>
      <c r="AJ317" s="160"/>
      <c r="AK317" s="160"/>
      <c r="AL317" s="160"/>
      <c r="AM317" s="160"/>
      <c r="AN317" s="160"/>
      <c r="AO317" s="160"/>
      <c r="AP317" s="160"/>
      <c r="AQ317" s="160"/>
      <c r="AR317" s="160"/>
      <c r="AS317" s="160"/>
      <c r="AT317" s="160"/>
      <c r="AU317" s="160"/>
      <c r="AV317" s="160"/>
      <c r="AW317" s="160"/>
      <c r="AX317" s="204"/>
      <c r="AY317" s="204"/>
      <c r="AZ317" s="160"/>
      <c r="BA317" s="160"/>
      <c r="BB317" s="160"/>
      <c r="BC317" s="160"/>
      <c r="BD317" s="160"/>
      <c r="BE317" s="160"/>
      <c r="BF317" s="160"/>
      <c r="BG317" s="204"/>
      <c r="BH317" s="204"/>
      <c r="BI317" s="204"/>
      <c r="BJ317" s="160"/>
      <c r="BK317" s="160"/>
      <c r="BL317" s="160"/>
      <c r="BM317" s="160"/>
      <c r="BN317" s="160"/>
      <c r="BO317" s="160"/>
      <c r="BP317" s="160"/>
      <c r="BQ317" s="160"/>
      <c r="BR317" s="160"/>
      <c r="BS317" s="160"/>
      <c r="BT317" s="160"/>
      <c r="BU317" s="161"/>
      <c r="BV317" s="161"/>
      <c r="BW317" s="161"/>
      <c r="BX317" s="161"/>
      <c r="BY317" s="160"/>
      <c r="BZ317" s="161"/>
      <c r="CA317" s="161"/>
      <c r="CB317" s="161"/>
      <c r="CC317" s="161"/>
      <c r="CD317" s="160"/>
      <c r="CE317" s="161"/>
      <c r="CF317" s="161"/>
      <c r="CG317" s="161"/>
      <c r="CH317" s="161"/>
      <c r="CI317" s="160"/>
      <c r="CJ317" s="161"/>
      <c r="CK317" s="161"/>
      <c r="CL317" s="161"/>
      <c r="CM317" s="161"/>
      <c r="CN317" s="160"/>
      <c r="CO317" s="161"/>
      <c r="CP317" s="161"/>
      <c r="CQ317" s="160"/>
      <c r="CR317" s="160"/>
      <c r="CS317" s="160"/>
      <c r="CT317" s="160"/>
      <c r="CU317" s="160"/>
      <c r="CV317" s="160"/>
      <c r="CW317" s="160"/>
      <c r="CX317" s="159"/>
      <c r="CY317" s="159"/>
      <c r="CZ317" s="159"/>
      <c r="DA317" s="159"/>
      <c r="DB317" s="159"/>
      <c r="DC317" s="159"/>
      <c r="DD317" s="159"/>
    </row>
    <row r="318" spans="1:152">
      <c r="A318" s="312" t="s">
        <v>61</v>
      </c>
      <c r="B318" s="313">
        <f>B$2</f>
        <v>2007</v>
      </c>
      <c r="C318" s="313" t="str">
        <f t="shared" ref="C318:CP318" si="1218">C$2</f>
        <v>Q1</v>
      </c>
      <c r="D318" s="313" t="str">
        <f t="shared" si="1218"/>
        <v>Q2</v>
      </c>
      <c r="E318" s="313" t="str">
        <f t="shared" si="1218"/>
        <v>Q3</v>
      </c>
      <c r="F318" s="313" t="str">
        <f t="shared" si="1218"/>
        <v>Q4</v>
      </c>
      <c r="G318" s="313">
        <f t="shared" si="1218"/>
        <v>2008</v>
      </c>
      <c r="H318" s="313" t="str">
        <f t="shared" si="1218"/>
        <v>Q1</v>
      </c>
      <c r="I318" s="313" t="str">
        <f t="shared" si="1218"/>
        <v>Q2</v>
      </c>
      <c r="J318" s="313" t="str">
        <f t="shared" si="1218"/>
        <v>Q3</v>
      </c>
      <c r="K318" s="313" t="str">
        <f t="shared" si="1218"/>
        <v>Q4</v>
      </c>
      <c r="L318" s="313">
        <f t="shared" si="1218"/>
        <v>2009</v>
      </c>
      <c r="M318" s="313" t="str">
        <f t="shared" si="1218"/>
        <v>Q1</v>
      </c>
      <c r="N318" s="313" t="str">
        <f t="shared" si="1218"/>
        <v>Q2</v>
      </c>
      <c r="O318" s="313" t="str">
        <f t="shared" si="1218"/>
        <v>Q3</v>
      </c>
      <c r="P318" s="313" t="str">
        <f t="shared" si="1218"/>
        <v>Q4</v>
      </c>
      <c r="Q318" s="313">
        <f t="shared" si="1218"/>
        <v>2010</v>
      </c>
      <c r="R318" s="313" t="str">
        <f t="shared" si="1218"/>
        <v>Q1</v>
      </c>
      <c r="S318" s="313" t="str">
        <f t="shared" si="1218"/>
        <v>Q2</v>
      </c>
      <c r="T318" s="313" t="str">
        <f t="shared" si="1218"/>
        <v>Q3</v>
      </c>
      <c r="U318" s="313" t="str">
        <f t="shared" si="1218"/>
        <v>Q4</v>
      </c>
      <c r="V318" s="313">
        <f t="shared" si="1218"/>
        <v>2011</v>
      </c>
      <c r="W318" s="313" t="str">
        <f t="shared" si="1218"/>
        <v>Q1</v>
      </c>
      <c r="X318" s="313" t="str">
        <f t="shared" si="1218"/>
        <v>Q2</v>
      </c>
      <c r="Y318" s="313" t="str">
        <f t="shared" si="1218"/>
        <v>Q3</v>
      </c>
      <c r="Z318" s="313" t="str">
        <f t="shared" si="1218"/>
        <v>Q4</v>
      </c>
      <c r="AA318" s="313">
        <f t="shared" si="1218"/>
        <v>2012</v>
      </c>
      <c r="AB318" s="313" t="str">
        <f t="shared" si="1218"/>
        <v>Q1</v>
      </c>
      <c r="AC318" s="313" t="str">
        <f t="shared" si="1218"/>
        <v>Q2</v>
      </c>
      <c r="AD318" s="313" t="str">
        <f t="shared" si="1218"/>
        <v>Q3</v>
      </c>
      <c r="AE318" s="313" t="str">
        <f t="shared" si="1218"/>
        <v>Q4</v>
      </c>
      <c r="AF318" s="313">
        <f t="shared" si="1218"/>
        <v>2013</v>
      </c>
      <c r="AG318" s="313" t="str">
        <f t="shared" si="1218"/>
        <v>Q1</v>
      </c>
      <c r="AH318" s="313" t="str">
        <f t="shared" si="1218"/>
        <v>Q2</v>
      </c>
      <c r="AI318" s="313" t="str">
        <f t="shared" si="1218"/>
        <v>Q3</v>
      </c>
      <c r="AJ318" s="313" t="str">
        <f t="shared" si="1218"/>
        <v>Q4</v>
      </c>
      <c r="AK318" s="313">
        <f t="shared" si="1218"/>
        <v>2014</v>
      </c>
      <c r="AL318" s="313" t="str">
        <f t="shared" si="1218"/>
        <v>Q1</v>
      </c>
      <c r="AM318" s="313" t="str">
        <f t="shared" si="1218"/>
        <v>Q2</v>
      </c>
      <c r="AN318" s="313" t="str">
        <f t="shared" si="1218"/>
        <v>Q3</v>
      </c>
      <c r="AO318" s="313" t="str">
        <f t="shared" si="1218"/>
        <v>Q4</v>
      </c>
      <c r="AP318" s="313">
        <f t="shared" si="1218"/>
        <v>2015</v>
      </c>
      <c r="AQ318" s="313" t="str">
        <f t="shared" si="1218"/>
        <v>Q1</v>
      </c>
      <c r="AR318" s="313" t="str">
        <f t="shared" si="1218"/>
        <v>Q2</v>
      </c>
      <c r="AS318" s="313" t="str">
        <f t="shared" si="1218"/>
        <v>Q3</v>
      </c>
      <c r="AT318" s="313" t="str">
        <f t="shared" si="1218"/>
        <v>Q4</v>
      </c>
      <c r="AU318" s="313">
        <f t="shared" si="1218"/>
        <v>2016</v>
      </c>
      <c r="AV318" s="313" t="str">
        <f t="shared" si="1218"/>
        <v>Q1</v>
      </c>
      <c r="AW318" s="313" t="str">
        <f t="shared" si="1218"/>
        <v>Q2</v>
      </c>
      <c r="AX318" s="313" t="str">
        <f t="shared" si="1218"/>
        <v>Q3</v>
      </c>
      <c r="AY318" s="313" t="str">
        <f t="shared" si="1218"/>
        <v>Q4</v>
      </c>
      <c r="AZ318" s="313">
        <f t="shared" si="1218"/>
        <v>2017</v>
      </c>
      <c r="BA318" s="313" t="str">
        <f t="shared" si="1218"/>
        <v>Q1</v>
      </c>
      <c r="BB318" s="313" t="str">
        <f t="shared" si="1218"/>
        <v>Q2</v>
      </c>
      <c r="BC318" s="313" t="str">
        <f t="shared" si="1218"/>
        <v>Q3</v>
      </c>
      <c r="BD318" s="313" t="str">
        <f t="shared" si="1218"/>
        <v>Q4</v>
      </c>
      <c r="BE318" s="313">
        <f t="shared" si="1218"/>
        <v>2018</v>
      </c>
      <c r="BF318" s="313" t="str">
        <f t="shared" si="1218"/>
        <v>Q1</v>
      </c>
      <c r="BG318" s="313" t="str">
        <f t="shared" si="1218"/>
        <v>Q2</v>
      </c>
      <c r="BH318" s="313" t="str">
        <f t="shared" si="1218"/>
        <v>Q3</v>
      </c>
      <c r="BI318" s="313" t="str">
        <f t="shared" si="1218"/>
        <v>Q4</v>
      </c>
      <c r="BJ318" s="313">
        <f t="shared" si="1218"/>
        <v>2019</v>
      </c>
      <c r="BK318" s="313" t="str">
        <f t="shared" si="1218"/>
        <v>Q1</v>
      </c>
      <c r="BL318" s="313" t="str">
        <f t="shared" si="1218"/>
        <v>Q2</v>
      </c>
      <c r="BM318" s="313" t="str">
        <f t="shared" si="1218"/>
        <v>Q3</v>
      </c>
      <c r="BN318" s="313" t="str">
        <f t="shared" si="1218"/>
        <v>Q4</v>
      </c>
      <c r="BO318" s="313">
        <f t="shared" si="1218"/>
        <v>2020</v>
      </c>
      <c r="BP318" s="313" t="str">
        <f t="shared" si="1218"/>
        <v>Q1</v>
      </c>
      <c r="BQ318" s="313" t="str">
        <f t="shared" si="1218"/>
        <v>Q2</v>
      </c>
      <c r="BR318" s="313" t="str">
        <f t="shared" si="1218"/>
        <v>Q3</v>
      </c>
      <c r="BS318" s="313" t="str">
        <f t="shared" si="1218"/>
        <v>Q4</v>
      </c>
      <c r="BT318" s="313">
        <f t="shared" si="1218"/>
        <v>2021</v>
      </c>
      <c r="BU318" s="313" t="str">
        <f t="shared" si="1218"/>
        <v>Q1</v>
      </c>
      <c r="BV318" s="313" t="str">
        <f t="shared" si="1218"/>
        <v>Q2</v>
      </c>
      <c r="BW318" s="313" t="str">
        <f t="shared" si="1218"/>
        <v>Q3</v>
      </c>
      <c r="BX318" s="313" t="str">
        <f t="shared" si="1218"/>
        <v>Q4</v>
      </c>
      <c r="BY318" s="313">
        <f t="shared" si="1218"/>
        <v>2022</v>
      </c>
      <c r="BZ318" s="313" t="str">
        <f t="shared" si="1218"/>
        <v>Q1</v>
      </c>
      <c r="CA318" s="313" t="str">
        <f t="shared" si="1218"/>
        <v>Q2</v>
      </c>
      <c r="CB318" s="313" t="str">
        <f t="shared" si="1218"/>
        <v>Q3</v>
      </c>
      <c r="CC318" s="313" t="str">
        <f t="shared" si="1218"/>
        <v>Q4</v>
      </c>
      <c r="CD318" s="313">
        <f t="shared" si="1218"/>
        <v>2023</v>
      </c>
      <c r="CE318" s="313" t="str">
        <f t="shared" si="1218"/>
        <v>Q1</v>
      </c>
      <c r="CF318" s="313" t="str">
        <f t="shared" si="1218"/>
        <v>Q2</v>
      </c>
      <c r="CG318" s="313" t="str">
        <f t="shared" si="1218"/>
        <v>Q3</v>
      </c>
      <c r="CH318" s="313" t="str">
        <f t="shared" si="1218"/>
        <v>Q4</v>
      </c>
      <c r="CI318" s="313">
        <f>CI$2</f>
        <v>2024</v>
      </c>
      <c r="CJ318" s="313" t="str">
        <f t="shared" si="1218"/>
        <v>Q1</v>
      </c>
      <c r="CK318" s="313" t="str">
        <f t="shared" si="1218"/>
        <v>Q2</v>
      </c>
      <c r="CL318" s="313" t="str">
        <f t="shared" si="1218"/>
        <v>Q3</v>
      </c>
      <c r="CM318" s="313" t="str">
        <f t="shared" si="1218"/>
        <v>Q4</v>
      </c>
      <c r="CN318" s="313">
        <f>CN$2</f>
        <v>2025</v>
      </c>
      <c r="CO318" s="313" t="str">
        <f t="shared" si="1218"/>
        <v>Q1</v>
      </c>
      <c r="CP318" s="313" t="str">
        <f t="shared" si="1218"/>
        <v>Q2</v>
      </c>
      <c r="CQ318" s="313">
        <f>CQ$2</f>
        <v>2026</v>
      </c>
      <c r="CR318" s="313">
        <f>CR$2</f>
        <v>2027</v>
      </c>
      <c r="CS318" s="313">
        <f>CS$2</f>
        <v>2028</v>
      </c>
      <c r="CT318" s="313">
        <f t="shared" ref="CT318:CW318" si="1219">CT$2</f>
        <v>2029</v>
      </c>
      <c r="CU318" s="313">
        <f t="shared" si="1219"/>
        <v>2030</v>
      </c>
      <c r="CV318" s="313">
        <f t="shared" si="1219"/>
        <v>2031</v>
      </c>
      <c r="CW318" s="313">
        <f t="shared" si="1219"/>
        <v>2032</v>
      </c>
      <c r="CX318" s="165"/>
      <c r="CY318" s="165"/>
      <c r="CZ318" s="165"/>
      <c r="DA318" s="165"/>
      <c r="DB318" s="221"/>
      <c r="DC318" s="163">
        <v>2007</v>
      </c>
      <c r="DD318" s="163">
        <v>2008</v>
      </c>
      <c r="DE318" s="163">
        <v>2009</v>
      </c>
      <c r="EQ318" s="286">
        <v>39953</v>
      </c>
      <c r="ER318" s="287">
        <v>0.97109999999999996</v>
      </c>
    </row>
    <row r="319" spans="1:152" hidden="1">
      <c r="A319" s="226"/>
      <c r="B319" s="314"/>
      <c r="C319" s="314"/>
      <c r="D319" s="314"/>
      <c r="E319" s="314"/>
      <c r="F319" s="314"/>
      <c r="G319" s="314"/>
      <c r="H319" s="314"/>
      <c r="I319" s="314"/>
      <c r="J319" s="314"/>
      <c r="K319" s="314"/>
      <c r="L319" s="314"/>
      <c r="M319" s="314"/>
      <c r="N319" s="314"/>
      <c r="O319" s="314"/>
      <c r="P319" s="314"/>
      <c r="Q319" s="314"/>
      <c r="R319" s="314"/>
      <c r="S319" s="314"/>
      <c r="T319" s="314"/>
      <c r="U319" s="314"/>
      <c r="V319" s="314"/>
      <c r="W319" s="314"/>
      <c r="X319" s="314"/>
      <c r="Y319" s="314"/>
      <c r="Z319" s="314"/>
      <c r="AA319" s="314"/>
      <c r="AB319" s="314"/>
      <c r="AC319" s="314"/>
      <c r="AD319" s="314"/>
      <c r="AE319" s="314"/>
      <c r="AF319" s="314"/>
      <c r="AG319" s="314"/>
      <c r="AH319" s="314"/>
      <c r="AI319" s="314"/>
      <c r="AJ319" s="314"/>
      <c r="AK319" s="314"/>
      <c r="AL319" s="314"/>
      <c r="AM319" s="314"/>
      <c r="AN319" s="314"/>
      <c r="AO319" s="314"/>
      <c r="AP319" s="314"/>
      <c r="AQ319" s="159"/>
      <c r="AR319" s="159"/>
      <c r="AS319" s="159"/>
      <c r="AT319" s="159"/>
      <c r="AU319" s="159"/>
      <c r="AV319" s="159"/>
      <c r="AW319" s="159"/>
      <c r="AX319" s="159"/>
      <c r="AY319" s="159"/>
      <c r="AZ319" s="159"/>
      <c r="BA319" s="159"/>
      <c r="BB319" s="159"/>
      <c r="BC319" s="159"/>
      <c r="BD319" s="159"/>
      <c r="BE319" s="159"/>
      <c r="BF319" s="159"/>
      <c r="BG319" s="159"/>
      <c r="BH319" s="159"/>
      <c r="BI319" s="159"/>
      <c r="BJ319" s="159"/>
      <c r="BK319" s="159"/>
      <c r="BL319" s="159"/>
      <c r="BM319" s="159"/>
      <c r="BN319" s="159"/>
      <c r="BO319" s="159"/>
      <c r="BP319" s="159"/>
      <c r="BQ319" s="159"/>
      <c r="BR319" s="159"/>
      <c r="BS319" s="159"/>
      <c r="BT319" s="159"/>
      <c r="BU319" s="159"/>
      <c r="BV319" s="159"/>
      <c r="BW319" s="159"/>
      <c r="BX319" s="159"/>
      <c r="BY319" s="159"/>
      <c r="BZ319" s="159"/>
      <c r="CA319" s="159"/>
      <c r="CB319" s="159"/>
      <c r="CC319" s="159"/>
      <c r="CD319" s="159"/>
      <c r="CE319" s="159"/>
      <c r="CF319" s="159"/>
      <c r="CG319" s="159"/>
      <c r="CH319" s="159"/>
      <c r="CI319" s="159"/>
      <c r="CJ319" s="159"/>
      <c r="CK319" s="159"/>
      <c r="CL319" s="159"/>
      <c r="CM319" s="159"/>
      <c r="CN319" s="159"/>
      <c r="CO319" s="159"/>
      <c r="CP319" s="159"/>
      <c r="CQ319" s="159"/>
      <c r="CR319" s="159"/>
      <c r="CS319" s="159"/>
      <c r="CT319" s="159"/>
      <c r="CU319" s="159"/>
      <c r="CV319" s="159"/>
      <c r="CW319" s="159"/>
      <c r="CX319" s="159"/>
      <c r="CY319" s="159"/>
      <c r="CZ319" s="159"/>
      <c r="DA319" s="159"/>
      <c r="DB319" s="163" t="s">
        <v>62</v>
      </c>
      <c r="DC319" s="246">
        <v>233.6</v>
      </c>
      <c r="DD319" s="246">
        <v>300.7</v>
      </c>
      <c r="DE319" s="246">
        <v>333.4</v>
      </c>
      <c r="DF319" s="246"/>
      <c r="DG319" s="246"/>
      <c r="DH319" s="246"/>
      <c r="EQ319" s="286">
        <v>39954</v>
      </c>
      <c r="ER319" s="287">
        <v>0.98229999999999995</v>
      </c>
    </row>
    <row r="320" spans="1:152" hidden="1">
      <c r="A320" s="235" t="s">
        <v>68</v>
      </c>
      <c r="B320" s="315"/>
      <c r="C320" s="315"/>
      <c r="D320" s="315"/>
      <c r="E320" s="315"/>
      <c r="F320" s="315"/>
      <c r="G320" s="315"/>
      <c r="H320" s="315"/>
      <c r="I320" s="315"/>
      <c r="J320" s="315"/>
      <c r="K320" s="315"/>
      <c r="L320" s="315"/>
      <c r="M320" s="315"/>
      <c r="N320" s="315"/>
      <c r="O320" s="315"/>
      <c r="P320" s="315"/>
      <c r="Q320" s="315"/>
      <c r="R320" s="315"/>
      <c r="S320" s="315"/>
      <c r="T320" s="315"/>
      <c r="U320" s="315"/>
      <c r="V320" s="315"/>
      <c r="W320" s="315"/>
      <c r="X320" s="315"/>
      <c r="Y320" s="315"/>
      <c r="Z320" s="315"/>
      <c r="AA320" s="315"/>
      <c r="AB320" s="315"/>
      <c r="AC320" s="315"/>
      <c r="AD320" s="315"/>
      <c r="AE320" s="315"/>
      <c r="AF320" s="315"/>
      <c r="AG320" s="315"/>
      <c r="AH320" s="315"/>
      <c r="AI320" s="315"/>
      <c r="AJ320" s="315"/>
      <c r="AK320" s="315"/>
      <c r="AL320" s="315"/>
      <c r="AM320" s="315"/>
      <c r="AN320" s="315"/>
      <c r="AO320" s="315"/>
      <c r="AP320" s="315"/>
      <c r="AQ320" s="315"/>
      <c r="AR320" s="315"/>
      <c r="AS320" s="315"/>
      <c r="AT320" s="315"/>
      <c r="AU320" s="316">
        <f>AU323*AU384</f>
        <v>552.43492500000082</v>
      </c>
      <c r="AV320" s="315"/>
      <c r="AW320" s="315"/>
      <c r="AX320" s="315"/>
      <c r="AY320" s="315"/>
      <c r="AZ320" s="316">
        <f>AZ323*AZ384</f>
        <v>1205.4000000000001</v>
      </c>
      <c r="BA320" s="315"/>
      <c r="BB320" s="315"/>
      <c r="BC320" s="315"/>
      <c r="BD320" s="315"/>
      <c r="BE320" s="315"/>
      <c r="BF320" s="315"/>
      <c r="BG320" s="315"/>
      <c r="BH320" s="315"/>
      <c r="BI320" s="315"/>
      <c r="BJ320" s="315"/>
      <c r="BK320" s="315"/>
      <c r="BL320" s="315"/>
      <c r="BM320" s="315"/>
      <c r="BN320" s="315"/>
      <c r="BO320" s="315"/>
      <c r="BP320" s="315"/>
      <c r="BQ320" s="315"/>
      <c r="BR320" s="315"/>
      <c r="BS320" s="315"/>
      <c r="BT320" s="315"/>
      <c r="BU320" s="317"/>
      <c r="BV320" s="317"/>
      <c r="BW320" s="317"/>
      <c r="BX320" s="317"/>
      <c r="BY320" s="315"/>
      <c r="BZ320" s="317"/>
      <c r="CA320" s="317"/>
      <c r="CB320" s="317"/>
      <c r="CC320" s="317"/>
      <c r="CD320" s="315"/>
      <c r="CE320" s="317"/>
      <c r="CF320" s="317"/>
      <c r="CG320" s="317"/>
      <c r="CH320" s="317"/>
      <c r="CI320" s="315"/>
      <c r="CJ320" s="317"/>
      <c r="CK320" s="317"/>
      <c r="CL320" s="317"/>
      <c r="CM320" s="317"/>
      <c r="CN320" s="315"/>
      <c r="CO320" s="317"/>
      <c r="CP320" s="317"/>
      <c r="CQ320" s="315"/>
      <c r="CR320" s="315"/>
      <c r="CS320" s="315"/>
      <c r="CT320" s="315"/>
      <c r="CU320" s="315"/>
      <c r="CV320" s="315"/>
      <c r="CW320" s="315"/>
      <c r="CX320" s="165"/>
      <c r="CY320" s="165"/>
      <c r="CZ320" s="165"/>
      <c r="DA320" s="165"/>
      <c r="DB320" s="165"/>
      <c r="DC320" s="159"/>
      <c r="DD320" s="159"/>
      <c r="EU320" s="286"/>
      <c r="EV320" s="287"/>
    </row>
    <row r="321" spans="1:152" hidden="1">
      <c r="A321" s="226" t="s">
        <v>64</v>
      </c>
      <c r="B321" s="204"/>
      <c r="C321" s="204"/>
      <c r="D321" s="204"/>
      <c r="E321" s="204"/>
      <c r="F321" s="204"/>
      <c r="G321" s="204"/>
      <c r="H321" s="204"/>
      <c r="I321" s="204"/>
      <c r="J321" s="204"/>
      <c r="K321" s="204"/>
      <c r="L321" s="204"/>
      <c r="M321" s="204"/>
      <c r="N321" s="204"/>
      <c r="O321" s="204"/>
      <c r="P321" s="204"/>
      <c r="Q321" s="204"/>
      <c r="R321" s="204"/>
      <c r="S321" s="204"/>
      <c r="T321" s="204"/>
      <c r="U321" s="204"/>
      <c r="V321" s="204"/>
      <c r="W321" s="204"/>
      <c r="X321" s="204"/>
      <c r="Y321" s="204"/>
      <c r="Z321" s="204"/>
      <c r="AA321" s="204"/>
      <c r="AB321" s="204"/>
      <c r="AC321" s="204"/>
      <c r="AD321" s="204"/>
      <c r="AE321" s="204"/>
      <c r="AF321" s="204"/>
      <c r="AG321" s="204"/>
      <c r="AH321" s="204"/>
      <c r="AI321" s="204"/>
      <c r="AJ321" s="204"/>
      <c r="AK321" s="204"/>
      <c r="AL321" s="204"/>
      <c r="AM321" s="204"/>
      <c r="AN321" s="204"/>
      <c r="AO321" s="204"/>
      <c r="AP321" s="204"/>
      <c r="AQ321" s="204"/>
      <c r="AR321" s="204"/>
      <c r="AS321" s="204"/>
      <c r="AT321" s="204"/>
      <c r="AU321" s="204" t="e">
        <f>AU320/AP320-1</f>
        <v>#DIV/0!</v>
      </c>
      <c r="AV321" s="204"/>
      <c r="AW321" s="204"/>
      <c r="AX321" s="204"/>
      <c r="AY321" s="204"/>
      <c r="AZ321" s="204">
        <f>AZ320/AU320-1</f>
        <v>1.181976456321979</v>
      </c>
      <c r="BA321" s="204"/>
      <c r="BB321" s="204"/>
      <c r="BC321" s="204"/>
      <c r="BD321" s="204"/>
      <c r="BE321" s="204"/>
      <c r="BF321" s="204"/>
      <c r="BG321" s="204"/>
      <c r="BH321" s="204"/>
      <c r="BI321" s="204"/>
      <c r="BJ321" s="204"/>
      <c r="BK321" s="204"/>
      <c r="BL321" s="204"/>
      <c r="BM321" s="204"/>
      <c r="BN321" s="204"/>
      <c r="BO321" s="204"/>
      <c r="BP321" s="204"/>
      <c r="BQ321" s="204"/>
      <c r="BR321" s="204"/>
      <c r="BS321" s="204"/>
      <c r="BT321" s="204"/>
      <c r="BU321" s="185"/>
      <c r="BV321" s="185"/>
      <c r="BW321" s="185"/>
      <c r="BX321" s="185"/>
      <c r="BY321" s="204"/>
      <c r="BZ321" s="185"/>
      <c r="CA321" s="185"/>
      <c r="CB321" s="185"/>
      <c r="CC321" s="185"/>
      <c r="CD321" s="204"/>
      <c r="CE321" s="185"/>
      <c r="CF321" s="185"/>
      <c r="CG321" s="185"/>
      <c r="CH321" s="185"/>
      <c r="CI321" s="204"/>
      <c r="CJ321" s="185"/>
      <c r="CK321" s="185"/>
      <c r="CL321" s="185"/>
      <c r="CM321" s="185"/>
      <c r="CN321" s="204"/>
      <c r="CO321" s="185"/>
      <c r="CP321" s="185"/>
      <c r="CQ321" s="204"/>
      <c r="CR321" s="204"/>
      <c r="CS321" s="204"/>
      <c r="CT321" s="204"/>
      <c r="CU321" s="204"/>
      <c r="CV321" s="204"/>
      <c r="CW321" s="204"/>
      <c r="CX321" s="159"/>
      <c r="CY321" s="159"/>
      <c r="CZ321" s="159"/>
      <c r="DA321" s="159"/>
      <c r="DB321" s="159"/>
      <c r="DC321" s="159"/>
      <c r="DD321" s="159"/>
      <c r="EU321" s="286"/>
      <c r="EV321" s="287"/>
    </row>
    <row r="322" spans="1:152" hidden="1">
      <c r="A322" s="226" t="s">
        <v>69</v>
      </c>
      <c r="B322" s="302" t="e">
        <f>B320/B137*1000</f>
        <v>#DIV/0!</v>
      </c>
      <c r="C322" s="302"/>
      <c r="D322" s="302"/>
      <c r="E322" s="302"/>
      <c r="F322" s="302"/>
      <c r="G322" s="302"/>
      <c r="H322" s="302"/>
      <c r="I322" s="302"/>
      <c r="J322" s="302"/>
      <c r="K322" s="302"/>
      <c r="L322" s="302"/>
      <c r="M322" s="302"/>
      <c r="N322" s="302"/>
      <c r="O322" s="302"/>
      <c r="P322" s="302"/>
      <c r="Q322" s="302"/>
      <c r="R322" s="302"/>
      <c r="S322" s="302"/>
      <c r="T322" s="302"/>
      <c r="U322" s="302"/>
      <c r="V322" s="302"/>
      <c r="W322" s="302"/>
      <c r="X322" s="302"/>
      <c r="Y322" s="302"/>
      <c r="Z322" s="302"/>
      <c r="AA322" s="302"/>
      <c r="AB322" s="302"/>
      <c r="AC322" s="302"/>
      <c r="AD322" s="302"/>
      <c r="AE322" s="302"/>
      <c r="AF322" s="302"/>
      <c r="AG322" s="302"/>
      <c r="AH322" s="302"/>
      <c r="AI322" s="302"/>
      <c r="AJ322" s="302"/>
      <c r="AK322" s="302"/>
      <c r="AL322" s="302"/>
      <c r="AM322" s="302"/>
      <c r="AN322" s="302"/>
      <c r="AO322" s="302"/>
      <c r="AP322" s="302"/>
      <c r="AQ322" s="302"/>
      <c r="AR322" s="302"/>
      <c r="AS322" s="302"/>
      <c r="AT322" s="302"/>
      <c r="AU322" s="302">
        <f>AU320/AU137*1000</f>
        <v>395.95566688298732</v>
      </c>
      <c r="AV322" s="302"/>
      <c r="AW322" s="302"/>
      <c r="AX322" s="302"/>
      <c r="AY322" s="302"/>
      <c r="AZ322" s="302">
        <f>AZ320/AZ137*1000</f>
        <v>1114.0249557717646</v>
      </c>
      <c r="BA322" s="302"/>
      <c r="BB322" s="302"/>
      <c r="BC322" s="302"/>
      <c r="BD322" s="302"/>
      <c r="BE322" s="302"/>
      <c r="BF322" s="302"/>
      <c r="BG322" s="302"/>
      <c r="BH322" s="302"/>
      <c r="BI322" s="302"/>
      <c r="BJ322" s="302"/>
      <c r="BK322" s="302"/>
      <c r="BL322" s="302"/>
      <c r="BM322" s="302"/>
      <c r="BN322" s="302"/>
      <c r="BO322" s="302"/>
      <c r="BP322" s="302"/>
      <c r="BQ322" s="302"/>
      <c r="BR322" s="302"/>
      <c r="BS322" s="302"/>
      <c r="BT322" s="302"/>
      <c r="BU322" s="307"/>
      <c r="BV322" s="307"/>
      <c r="BW322" s="307"/>
      <c r="BX322" s="307"/>
      <c r="BY322" s="302"/>
      <c r="BZ322" s="307"/>
      <c r="CA322" s="307"/>
      <c r="CB322" s="307"/>
      <c r="CC322" s="307"/>
      <c r="CD322" s="302"/>
      <c r="CE322" s="307"/>
      <c r="CF322" s="307"/>
      <c r="CG322" s="307"/>
      <c r="CH322" s="307"/>
      <c r="CI322" s="302"/>
      <c r="CJ322" s="307"/>
      <c r="CK322" s="307"/>
      <c r="CL322" s="307"/>
      <c r="CM322" s="307"/>
      <c r="CN322" s="302"/>
      <c r="CO322" s="307"/>
      <c r="CP322" s="307"/>
      <c r="CQ322" s="302"/>
      <c r="CR322" s="302"/>
      <c r="CS322" s="302"/>
      <c r="CT322" s="302"/>
      <c r="CU322" s="302"/>
      <c r="CV322" s="302"/>
      <c r="CW322" s="302"/>
      <c r="CX322" s="159"/>
      <c r="CY322" s="159"/>
      <c r="CZ322" s="159"/>
      <c r="DA322" s="159"/>
      <c r="DB322" s="159"/>
      <c r="DC322" s="159"/>
      <c r="DD322" s="159"/>
      <c r="EG322" s="221"/>
      <c r="EH322" s="221"/>
      <c r="EI322" s="221"/>
      <c r="EJ322" s="221"/>
      <c r="EU322" s="286"/>
      <c r="EV322" s="287"/>
    </row>
    <row r="323" spans="1:152" hidden="1">
      <c r="A323" s="226" t="s">
        <v>70</v>
      </c>
      <c r="B323" s="204">
        <f>B320/B384</f>
        <v>0</v>
      </c>
      <c r="C323" s="204"/>
      <c r="D323" s="204"/>
      <c r="E323" s="204"/>
      <c r="F323" s="204"/>
      <c r="G323" s="204"/>
      <c r="H323" s="204"/>
      <c r="I323" s="204"/>
      <c r="J323" s="204"/>
      <c r="K323" s="204"/>
      <c r="L323" s="204"/>
      <c r="M323" s="204"/>
      <c r="N323" s="204"/>
      <c r="O323" s="204"/>
      <c r="P323" s="204"/>
      <c r="Q323" s="204"/>
      <c r="R323" s="204"/>
      <c r="S323" s="204"/>
      <c r="T323" s="204"/>
      <c r="U323" s="204"/>
      <c r="V323" s="204"/>
      <c r="W323" s="204"/>
      <c r="X323" s="204"/>
      <c r="Y323" s="204"/>
      <c r="Z323" s="204"/>
      <c r="AA323" s="204"/>
      <c r="AB323" s="204"/>
      <c r="AC323" s="204"/>
      <c r="AD323" s="204"/>
      <c r="AE323" s="204"/>
      <c r="AF323" s="204"/>
      <c r="AG323" s="204"/>
      <c r="AH323" s="204"/>
      <c r="AI323" s="204"/>
      <c r="AJ323" s="204"/>
      <c r="AK323" s="204"/>
      <c r="AL323" s="204"/>
      <c r="AM323" s="204"/>
      <c r="AN323" s="204"/>
      <c r="AO323" s="204"/>
      <c r="AP323" s="204"/>
      <c r="AQ323" s="204"/>
      <c r="AR323" s="204"/>
      <c r="AS323" s="204"/>
      <c r="AT323" s="204"/>
      <c r="AU323" s="318">
        <v>1.05</v>
      </c>
      <c r="AV323" s="170"/>
      <c r="AW323" s="170"/>
      <c r="AX323" s="170"/>
      <c r="AY323" s="170"/>
      <c r="AZ323" s="318">
        <v>1.05</v>
      </c>
      <c r="BA323" s="170"/>
      <c r="BB323" s="170"/>
      <c r="BC323" s="170"/>
      <c r="BD323" s="170"/>
      <c r="BE323" s="170"/>
      <c r="BF323" s="170"/>
      <c r="BG323" s="170"/>
      <c r="BH323" s="170"/>
      <c r="BI323" s="170"/>
      <c r="BJ323" s="170"/>
      <c r="BK323" s="170"/>
      <c r="BL323" s="170"/>
      <c r="BM323" s="170"/>
      <c r="BN323" s="170"/>
      <c r="BO323" s="170"/>
      <c r="BP323" s="170"/>
      <c r="BQ323" s="170"/>
      <c r="BR323" s="170"/>
      <c r="BS323" s="170"/>
      <c r="BT323" s="170"/>
      <c r="BU323" s="170"/>
      <c r="BV323" s="170"/>
      <c r="BW323" s="170"/>
      <c r="BX323" s="170"/>
      <c r="BY323" s="170"/>
      <c r="BZ323" s="170"/>
      <c r="CA323" s="170"/>
      <c r="CB323" s="170"/>
      <c r="CC323" s="170"/>
      <c r="CD323" s="170"/>
      <c r="CE323" s="170"/>
      <c r="CF323" s="170"/>
      <c r="CG323" s="170"/>
      <c r="CH323" s="170"/>
      <c r="CI323" s="170"/>
      <c r="CJ323" s="170"/>
      <c r="CK323" s="170"/>
      <c r="CL323" s="170"/>
      <c r="CM323" s="170"/>
      <c r="CN323" s="170"/>
      <c r="CO323" s="170"/>
      <c r="CP323" s="170"/>
      <c r="CQ323" s="170"/>
      <c r="CR323" s="170"/>
      <c r="CS323" s="170"/>
      <c r="CT323" s="170"/>
      <c r="CU323" s="170"/>
      <c r="CV323" s="170"/>
      <c r="CW323" s="170"/>
      <c r="CX323" s="159"/>
      <c r="CY323" s="159"/>
      <c r="CZ323" s="159"/>
      <c r="DA323" s="159"/>
      <c r="DB323" s="159"/>
      <c r="DC323" s="159"/>
      <c r="DD323" s="159"/>
      <c r="EP323" s="221"/>
      <c r="EU323" s="286"/>
      <c r="EV323" s="287"/>
    </row>
    <row r="324" spans="1:152" hidden="1">
      <c r="A324" s="226" t="s">
        <v>258</v>
      </c>
      <c r="B324" s="204"/>
      <c r="C324" s="204"/>
      <c r="D324" s="204"/>
      <c r="E324" s="204"/>
      <c r="F324" s="204"/>
      <c r="G324" s="167"/>
      <c r="H324" s="167"/>
      <c r="I324" s="167"/>
      <c r="J324" s="167"/>
      <c r="K324" s="167"/>
      <c r="L324" s="167"/>
      <c r="M324" s="167"/>
      <c r="N324" s="167"/>
      <c r="O324" s="167"/>
      <c r="P324" s="167"/>
      <c r="Q324" s="167"/>
      <c r="R324" s="167"/>
      <c r="S324" s="167"/>
      <c r="T324" s="167"/>
      <c r="U324" s="167"/>
      <c r="V324" s="167"/>
      <c r="W324" s="167"/>
      <c r="X324" s="167"/>
      <c r="Y324" s="167"/>
      <c r="Z324" s="167"/>
      <c r="AA324" s="167"/>
      <c r="AB324" s="167"/>
      <c r="AC324" s="167"/>
      <c r="AD324" s="167"/>
      <c r="AE324" s="167"/>
      <c r="AF324" s="167"/>
      <c r="AG324" s="167"/>
      <c r="AH324" s="167"/>
      <c r="AI324" s="167"/>
      <c r="AJ324" s="167"/>
      <c r="AK324" s="167"/>
      <c r="AL324" s="167"/>
      <c r="AM324" s="167"/>
      <c r="AN324" s="167"/>
      <c r="AO324" s="167"/>
      <c r="AP324" s="167"/>
      <c r="AQ324" s="167"/>
      <c r="AR324" s="167"/>
      <c r="AS324" s="167"/>
      <c r="AT324" s="167"/>
      <c r="AU324" s="167">
        <f>AU291-AU320</f>
        <v>-26.306425000000104</v>
      </c>
      <c r="AV324" s="167"/>
      <c r="AW324" s="167"/>
      <c r="AX324" s="167"/>
      <c r="AY324" s="167"/>
      <c r="AZ324" s="167">
        <f>AZ291-AZ320</f>
        <v>-57.400000000000091</v>
      </c>
      <c r="BA324" s="167"/>
      <c r="BB324" s="167"/>
      <c r="BC324" s="167"/>
      <c r="BD324" s="167"/>
      <c r="BE324" s="167"/>
      <c r="BF324" s="167"/>
      <c r="BG324" s="167"/>
      <c r="BH324" s="167"/>
      <c r="BI324" s="167"/>
      <c r="BJ324" s="167"/>
      <c r="BK324" s="167"/>
      <c r="BL324" s="167"/>
      <c r="BM324" s="167"/>
      <c r="BN324" s="167"/>
      <c r="BO324" s="167"/>
      <c r="BP324" s="167"/>
      <c r="BQ324" s="167"/>
      <c r="BR324" s="167"/>
      <c r="BS324" s="167"/>
      <c r="BT324" s="167"/>
      <c r="BU324" s="213"/>
      <c r="BV324" s="213"/>
      <c r="BW324" s="213"/>
      <c r="BX324" s="213"/>
      <c r="BY324" s="167"/>
      <c r="BZ324" s="213"/>
      <c r="CA324" s="213"/>
      <c r="CB324" s="213"/>
      <c r="CC324" s="213"/>
      <c r="CD324" s="167"/>
      <c r="CE324" s="213"/>
      <c r="CF324" s="213"/>
      <c r="CG324" s="213"/>
      <c r="CH324" s="213"/>
      <c r="CI324" s="167"/>
      <c r="CJ324" s="213"/>
      <c r="CK324" s="213"/>
      <c r="CL324" s="213"/>
      <c r="CM324" s="213"/>
      <c r="CN324" s="167"/>
      <c r="CO324" s="213"/>
      <c r="CP324" s="213"/>
      <c r="CQ324" s="167"/>
      <c r="CR324" s="167"/>
      <c r="CS324" s="167"/>
      <c r="CT324" s="167"/>
      <c r="CU324" s="167"/>
      <c r="CV324" s="167"/>
      <c r="CW324" s="167"/>
      <c r="CX324" s="159"/>
      <c r="CY324" s="159"/>
      <c r="CZ324" s="159"/>
      <c r="DA324" s="159"/>
      <c r="DB324" s="159"/>
      <c r="DC324" s="159"/>
      <c r="DD324" s="159"/>
      <c r="EP324" s="221"/>
      <c r="EU324" s="286"/>
      <c r="EV324" s="287"/>
    </row>
    <row r="325" spans="1:152" hidden="1">
      <c r="A325" s="226"/>
      <c r="B325" s="204"/>
      <c r="C325" s="204"/>
      <c r="D325" s="204"/>
      <c r="E325" s="204"/>
      <c r="F325" s="204"/>
      <c r="G325" s="204"/>
      <c r="H325" s="204"/>
      <c r="I325" s="204"/>
      <c r="J325" s="204"/>
      <c r="K325" s="204"/>
      <c r="L325" s="204"/>
      <c r="M325" s="204"/>
      <c r="N325" s="204"/>
      <c r="O325" s="204"/>
      <c r="P325" s="204"/>
      <c r="Q325" s="204"/>
      <c r="R325" s="204"/>
      <c r="S325" s="204"/>
      <c r="T325" s="204"/>
      <c r="U325" s="204"/>
      <c r="V325" s="204"/>
      <c r="W325" s="204"/>
      <c r="X325" s="204"/>
      <c r="Y325" s="204"/>
      <c r="Z325" s="204"/>
      <c r="AA325" s="204"/>
      <c r="AB325" s="204"/>
      <c r="AC325" s="204"/>
      <c r="AD325" s="204"/>
      <c r="AE325" s="204"/>
      <c r="AF325" s="204"/>
      <c r="AG325" s="204"/>
      <c r="AH325" s="204"/>
      <c r="AI325" s="204"/>
      <c r="AJ325" s="204"/>
      <c r="AK325" s="204"/>
      <c r="AL325" s="204"/>
      <c r="AM325" s="204"/>
      <c r="AN325" s="204"/>
      <c r="AO325" s="204"/>
      <c r="AP325" s="204"/>
      <c r="AQ325" s="204"/>
      <c r="AR325" s="204"/>
      <c r="AS325" s="204"/>
      <c r="AT325" s="204"/>
      <c r="AU325" s="159"/>
      <c r="AV325" s="159"/>
      <c r="AW325" s="159"/>
      <c r="AX325" s="159"/>
      <c r="AY325" s="159"/>
      <c r="AZ325" s="159"/>
      <c r="BA325" s="159"/>
      <c r="BB325" s="159"/>
      <c r="BC325" s="159"/>
      <c r="BD325" s="159"/>
      <c r="BE325" s="159"/>
      <c r="BF325" s="159"/>
      <c r="BG325" s="159"/>
      <c r="BH325" s="159"/>
      <c r="BI325" s="159"/>
      <c r="BJ325" s="159"/>
      <c r="BK325" s="159"/>
      <c r="BL325" s="159"/>
      <c r="BM325" s="159"/>
      <c r="BN325" s="159"/>
      <c r="BO325" s="159"/>
      <c r="BP325" s="159"/>
      <c r="BQ325" s="159"/>
      <c r="BR325" s="159"/>
      <c r="BS325" s="159"/>
      <c r="BT325" s="159"/>
      <c r="BU325" s="159"/>
      <c r="BV325" s="159"/>
      <c r="BW325" s="159"/>
      <c r="BX325" s="159"/>
      <c r="BY325" s="159"/>
      <c r="BZ325" s="159"/>
      <c r="CA325" s="159"/>
      <c r="CB325" s="159"/>
      <c r="CC325" s="159"/>
      <c r="CD325" s="159"/>
      <c r="CE325" s="159"/>
      <c r="CF325" s="159"/>
      <c r="CG325" s="159"/>
      <c r="CH325" s="159"/>
      <c r="CI325" s="159"/>
      <c r="CJ325" s="159"/>
      <c r="CK325" s="159"/>
      <c r="CL325" s="159"/>
      <c r="CM325" s="159"/>
      <c r="CN325" s="159"/>
      <c r="CO325" s="159"/>
      <c r="CP325" s="159"/>
      <c r="CQ325" s="159"/>
      <c r="CR325" s="159"/>
      <c r="CS325" s="159"/>
      <c r="CT325" s="159"/>
      <c r="CU325" s="159"/>
      <c r="CV325" s="159"/>
      <c r="CW325" s="159"/>
      <c r="CX325" s="159"/>
      <c r="CY325" s="159"/>
      <c r="CZ325" s="159"/>
      <c r="DA325" s="159"/>
      <c r="DB325" s="159"/>
      <c r="DC325" s="165"/>
      <c r="DD325" s="165"/>
      <c r="ED325" s="221"/>
      <c r="EE325" s="221"/>
      <c r="EQ325" s="221"/>
      <c r="ER325" s="221"/>
      <c r="ES325" s="221"/>
      <c r="EU325" s="286"/>
      <c r="EV325" s="287"/>
    </row>
    <row r="326" spans="1:152">
      <c r="A326" s="235" t="s">
        <v>547</v>
      </c>
      <c r="B326" s="204"/>
      <c r="C326" s="204"/>
      <c r="D326" s="204"/>
      <c r="E326" s="204"/>
      <c r="F326" s="204"/>
      <c r="G326" s="204"/>
      <c r="H326" s="204"/>
      <c r="I326" s="204"/>
      <c r="J326" s="204"/>
      <c r="K326" s="204"/>
      <c r="L326" s="204"/>
      <c r="M326" s="204"/>
      <c r="N326" s="204"/>
      <c r="O326" s="204"/>
      <c r="P326" s="204"/>
      <c r="Q326" s="204"/>
      <c r="R326" s="204"/>
      <c r="S326" s="204"/>
      <c r="T326" s="204"/>
      <c r="U326" s="204"/>
      <c r="V326" s="204"/>
      <c r="W326" s="204"/>
      <c r="X326" s="204"/>
      <c r="Y326" s="204"/>
      <c r="Z326" s="204"/>
      <c r="AA326" s="204"/>
      <c r="AB326" s="204"/>
      <c r="AC326" s="204"/>
      <c r="AD326" s="204"/>
      <c r="AE326" s="204"/>
      <c r="AF326" s="204"/>
      <c r="AG326" s="204"/>
      <c r="AH326" s="204"/>
      <c r="AI326" s="204"/>
      <c r="AJ326" s="204"/>
      <c r="AK326" s="204"/>
      <c r="AL326" s="204"/>
      <c r="AM326" s="204"/>
      <c r="AN326" s="204"/>
      <c r="AO326" s="204"/>
      <c r="AP326" s="204"/>
      <c r="AQ326" s="722">
        <v>182</v>
      </c>
      <c r="AR326" s="722">
        <v>209</v>
      </c>
      <c r="AS326" s="722">
        <v>195</v>
      </c>
      <c r="AT326" s="722">
        <v>206</v>
      </c>
      <c r="AU326" s="728">
        <f>SUM(AQ326:AT326)</f>
        <v>792</v>
      </c>
      <c r="AV326" s="728">
        <v>203</v>
      </c>
      <c r="AW326" s="728">
        <f>'[3]Profit and Loss Highlights'!X$43</f>
        <v>195</v>
      </c>
      <c r="AX326" s="728">
        <f>'[3]Profit and Loss Highlights'!Y$43</f>
        <v>199</v>
      </c>
      <c r="AY326" s="728">
        <f>'[3]Profit and Loss Highlights'!Z$43</f>
        <v>190</v>
      </c>
      <c r="AZ326" s="728">
        <f>SUM(AV326:AY326)</f>
        <v>787</v>
      </c>
      <c r="BA326" s="728">
        <f>'[3]Profit and Loss Highlights'!AA$43</f>
        <v>200</v>
      </c>
      <c r="BB326" s="728">
        <f>'[3]Profit and Loss Highlights'!AB$43</f>
        <v>196</v>
      </c>
      <c r="BC326" s="728">
        <f>'[3]Profit and Loss Highlights'!AC$43</f>
        <v>208</v>
      </c>
      <c r="BD326" s="728">
        <f>'[3]Profit and Loss Highlights'!AD$43</f>
        <v>280</v>
      </c>
      <c r="BE326" s="693">
        <f>SUM(BA326:BD326)</f>
        <v>884</v>
      </c>
      <c r="BF326" s="728">
        <f>'[3]Profit and Loss Highlights'!AE$43</f>
        <v>151</v>
      </c>
      <c r="BG326" s="728">
        <f>'[3]Profit and Loss Highlights'!AF$43</f>
        <v>145</v>
      </c>
      <c r="BH326" s="728">
        <f>'[3]Profit and Loss Highlights'!AG$43</f>
        <v>129</v>
      </c>
      <c r="BI326" s="728">
        <f>'[3]Profit and Loss Highlights'!AH$43</f>
        <v>105</v>
      </c>
      <c r="BJ326" s="693">
        <f>SUM(BF326:BI326)</f>
        <v>530</v>
      </c>
      <c r="BK326" s="728">
        <f>'[3]Profit and Loss Highlights'!AI$43</f>
        <v>110</v>
      </c>
      <c r="BL326" s="728">
        <f>'[3]Profit and Loss Highlights'!AJ$43</f>
        <v>128</v>
      </c>
      <c r="BM326" s="728">
        <f>'[3]Profit and Loss Highlights'!AK$43</f>
        <v>107</v>
      </c>
      <c r="BN326" s="728">
        <f>'[3]Profit and Loss Highlights'!AL$43</f>
        <v>128</v>
      </c>
      <c r="BO326" s="693">
        <f>SUM(BK326:BN326)</f>
        <v>473</v>
      </c>
      <c r="BP326" s="728">
        <f>'[3]Profit and Loss Highlights'!AM$43</f>
        <v>118</v>
      </c>
      <c r="BQ326" s="728">
        <f>'[3]Profit and Loss Highlights'!AN$43</f>
        <v>117</v>
      </c>
      <c r="BR326" s="728">
        <f>'[3]Profit and Loss Highlights'!AO$43</f>
        <v>125</v>
      </c>
      <c r="BS326" s="728">
        <f>'[3]Profit and Loss Highlights'!AP$43</f>
        <v>119</v>
      </c>
      <c r="BT326" s="693">
        <f>SUM(BP326:BS326)</f>
        <v>479</v>
      </c>
      <c r="BU326" s="718">
        <f>'[3]Profit and Loss Highlights'!AQ$43</f>
        <v>132</v>
      </c>
      <c r="BV326" s="718">
        <f>'[3]Profit and Loss Highlights'!AR$43</f>
        <v>134</v>
      </c>
      <c r="BW326" s="718">
        <f>'[3]Profit and Loss Highlights'!AS$43</f>
        <v>129</v>
      </c>
      <c r="BX326" s="718">
        <f>'[3]Profit and Loss Highlights'!AT$43</f>
        <v>123</v>
      </c>
      <c r="BY326" s="693">
        <f>SUM(BU326:BX326)</f>
        <v>518</v>
      </c>
      <c r="BZ326" s="718">
        <f>'[3]Profit and Loss Highlights'!AU$43</f>
        <v>138</v>
      </c>
      <c r="CA326" s="718">
        <f>'[3]Profit and Loss Highlights'!AV$43</f>
        <v>144</v>
      </c>
      <c r="CB326" s="718">
        <f>'[3]Profit and Loss Highlights'!AW$43</f>
        <v>139</v>
      </c>
      <c r="CC326" s="718">
        <f>'[3]Profit and Loss Highlights'!AX$43</f>
        <v>136</v>
      </c>
      <c r="CD326" s="693">
        <f>SUM(BZ326:CC326)</f>
        <v>557</v>
      </c>
      <c r="CE326" s="718">
        <f>'[3]Profit and Loss Highlights'!AY$43</f>
        <v>138</v>
      </c>
      <c r="CF326" s="718">
        <f>'[3]Profit and Loss Highlights'!AZ$43</f>
        <v>139</v>
      </c>
      <c r="CG326" s="718">
        <f>'[3]Profit and Loss Highlights'!BA$43</f>
        <v>149</v>
      </c>
      <c r="CH326" s="718">
        <f>'[3]Profit and Loss Highlights'!BB$43</f>
        <v>164</v>
      </c>
      <c r="CI326" s="693">
        <f>SUM(CE326:CH326)</f>
        <v>590</v>
      </c>
      <c r="CJ326" s="718">
        <f>'[3]Profit and Loss Highlights'!BC$43</f>
        <v>146</v>
      </c>
      <c r="CK326" s="718">
        <f>'[3]Profit and Loss Highlights'!BD$43</f>
        <v>150</v>
      </c>
      <c r="CL326" s="718">
        <f>'[3]Profit and Loss Highlights'!BE$43</f>
        <v>153</v>
      </c>
      <c r="CM326" s="718">
        <f>'[3]Profit and Loss Highlights'!BF$43</f>
        <v>151</v>
      </c>
      <c r="CN326" s="693">
        <f>SUM(CJ326:CM326)</f>
        <v>600</v>
      </c>
      <c r="CO326" s="718">
        <f>'[3]Profit and Loss Highlights'!BG$43</f>
        <v>154</v>
      </c>
      <c r="CP326" s="718">
        <f>'[3]Profit and Loss Highlights'!BH$43</f>
        <v>132</v>
      </c>
      <c r="CQ326" s="693">
        <f t="shared" ref="CQ326:CW326" si="1220">CQ258*CQ327</f>
        <v>573.41868541220379</v>
      </c>
      <c r="CR326" s="693">
        <f t="shared" si="1220"/>
        <v>579.81586264572297</v>
      </c>
      <c r="CS326" s="693">
        <f t="shared" si="1220"/>
        <v>589.44371319584695</v>
      </c>
      <c r="CT326" s="693">
        <f t="shared" si="1220"/>
        <v>598.85166769447073</v>
      </c>
      <c r="CU326" s="693">
        <f t="shared" si="1220"/>
        <v>608.06852086275887</v>
      </c>
      <c r="CV326" s="693">
        <f t="shared" si="1220"/>
        <v>617.1205421014439</v>
      </c>
      <c r="CW326" s="693">
        <f t="shared" si="1220"/>
        <v>626.03170924877179</v>
      </c>
      <c r="CX326" s="159"/>
      <c r="CY326" s="159" t="s">
        <v>779</v>
      </c>
      <c r="CZ326" s="159"/>
      <c r="DA326" s="159"/>
      <c r="DB326" s="159"/>
      <c r="DC326" s="165"/>
      <c r="DD326" s="165"/>
      <c r="ED326" s="221"/>
      <c r="EE326" s="221"/>
      <c r="EQ326" s="221"/>
      <c r="ER326" s="221"/>
      <c r="ES326" s="221"/>
      <c r="EU326" s="286"/>
      <c r="EV326" s="287"/>
    </row>
    <row r="327" spans="1:152">
      <c r="A327" s="226" t="s">
        <v>63</v>
      </c>
      <c r="B327" s="204"/>
      <c r="C327" s="204"/>
      <c r="D327" s="204"/>
      <c r="E327" s="204"/>
      <c r="F327" s="204"/>
      <c r="G327" s="204"/>
      <c r="H327" s="204"/>
      <c r="I327" s="204"/>
      <c r="J327" s="204"/>
      <c r="K327" s="204"/>
      <c r="L327" s="204"/>
      <c r="M327" s="204"/>
      <c r="N327" s="204"/>
      <c r="O327" s="204"/>
      <c r="P327" s="204"/>
      <c r="Q327" s="204"/>
      <c r="R327" s="204"/>
      <c r="S327" s="204"/>
      <c r="T327" s="204"/>
      <c r="U327" s="204"/>
      <c r="V327" s="204"/>
      <c r="W327" s="204"/>
      <c r="X327" s="204"/>
      <c r="Y327" s="204"/>
      <c r="Z327" s="204"/>
      <c r="AA327" s="204"/>
      <c r="AB327" s="204"/>
      <c r="AC327" s="204"/>
      <c r="AD327" s="204"/>
      <c r="AE327" s="204"/>
      <c r="AF327" s="204"/>
      <c r="AG327" s="204"/>
      <c r="AH327" s="204"/>
      <c r="AI327" s="204"/>
      <c r="AJ327" s="204"/>
      <c r="AK327" s="204"/>
      <c r="AL327" s="204"/>
      <c r="AM327" s="204"/>
      <c r="AN327" s="204"/>
      <c r="AO327" s="204"/>
      <c r="AP327" s="204"/>
      <c r="AQ327" s="204">
        <f t="shared" ref="AQ327:BD327" si="1221">AQ326/AQ294</f>
        <v>9.0773067331670829E-2</v>
      </c>
      <c r="AR327" s="204">
        <f t="shared" si="1221"/>
        <v>0.10806618407445709</v>
      </c>
      <c r="AS327" s="204">
        <f t="shared" si="1221"/>
        <v>9.838546922300706E-2</v>
      </c>
      <c r="AT327" s="204">
        <f t="shared" si="1221"/>
        <v>0.10157790927021697</v>
      </c>
      <c r="AU327" s="204">
        <f t="shared" si="1221"/>
        <v>9.9635174235752924E-2</v>
      </c>
      <c r="AV327" s="204">
        <f t="shared" si="1221"/>
        <v>0.10180541624874624</v>
      </c>
      <c r="AW327" s="204">
        <f t="shared" si="1221"/>
        <v>0.10114107883817428</v>
      </c>
      <c r="AX327" s="204">
        <f t="shared" si="1221"/>
        <v>0.10236625514403293</v>
      </c>
      <c r="AY327" s="204">
        <f t="shared" si="1221"/>
        <v>0.10015814443858724</v>
      </c>
      <c r="AZ327" s="204">
        <f t="shared" si="1221"/>
        <v>0.1013783331186397</v>
      </c>
      <c r="BA327" s="204">
        <f t="shared" si="1221"/>
        <v>0.10905125408942203</v>
      </c>
      <c r="BB327" s="204">
        <f t="shared" si="1221"/>
        <v>0.10520665593129361</v>
      </c>
      <c r="BC327" s="204">
        <f t="shared" si="1221"/>
        <v>0.11087420042643924</v>
      </c>
      <c r="BD327" s="204">
        <f t="shared" si="1221"/>
        <v>0.14752370916754479</v>
      </c>
      <c r="BE327" s="204">
        <f t="shared" ref="BE327:BK327" si="1222">BE326/BE294</f>
        <v>0.11832418685584259</v>
      </c>
      <c r="BF327" s="204">
        <f t="shared" si="1222"/>
        <v>8.4028937117417921E-2</v>
      </c>
      <c r="BG327" s="204">
        <f t="shared" si="1222"/>
        <v>8.2246171298922296E-2</v>
      </c>
      <c r="BH327" s="204">
        <f t="shared" si="1222"/>
        <v>7.2758037225042302E-2</v>
      </c>
      <c r="BI327" s="204">
        <f t="shared" si="1222"/>
        <v>5.9255079006772009E-2</v>
      </c>
      <c r="BJ327" s="204">
        <f t="shared" si="1222"/>
        <v>7.4595355383532722E-2</v>
      </c>
      <c r="BK327" s="204">
        <f t="shared" si="1222"/>
        <v>6.4782096584216728E-2</v>
      </c>
      <c r="BL327" s="204">
        <f t="shared" ref="BL327:BT327" si="1223">BL326/BL294</f>
        <v>7.7108433734939766E-2</v>
      </c>
      <c r="BM327" s="204">
        <f t="shared" si="1223"/>
        <v>6.3956963538553499E-2</v>
      </c>
      <c r="BN327" s="204">
        <f t="shared" si="1223"/>
        <v>7.6969332531569457E-2</v>
      </c>
      <c r="BO327" s="204">
        <f t="shared" si="1223"/>
        <v>7.0660292799521962E-2</v>
      </c>
      <c r="BP327" s="204">
        <f t="shared" si="1223"/>
        <v>7.0913461538461536E-2</v>
      </c>
      <c r="BQ327" s="204">
        <f t="shared" si="1223"/>
        <v>6.9353882631890934E-2</v>
      </c>
      <c r="BR327" s="204">
        <f t="shared" si="1223"/>
        <v>7.2886297376093298E-2</v>
      </c>
      <c r="BS327" s="204">
        <f t="shared" si="1223"/>
        <v>7.1087216248506571E-2</v>
      </c>
      <c r="BT327" s="204">
        <f t="shared" si="1223"/>
        <v>7.1068249258160243E-2</v>
      </c>
      <c r="BU327" s="185">
        <f t="shared" ref="BU327:CI327" si="1224">BU326/BU258</f>
        <v>9.1539528432732317E-2</v>
      </c>
      <c r="BV327" s="185">
        <f t="shared" si="1224"/>
        <v>8.9993284083277364E-2</v>
      </c>
      <c r="BW327" s="185">
        <f t="shared" si="1224"/>
        <v>8.565737051792828E-2</v>
      </c>
      <c r="BX327" s="185">
        <f t="shared" si="1224"/>
        <v>8.0339647289353361E-2</v>
      </c>
      <c r="BY327" s="204">
        <f t="shared" si="1224"/>
        <v>8.6796246648793568E-2</v>
      </c>
      <c r="BZ327" s="185">
        <f t="shared" si="1224"/>
        <v>9.0491803278688526E-2</v>
      </c>
      <c r="CA327" s="185">
        <f t="shared" si="1224"/>
        <v>9.4612352168199743E-2</v>
      </c>
      <c r="CB327" s="185">
        <f t="shared" si="1224"/>
        <v>9.0612777053455024E-2</v>
      </c>
      <c r="CC327" s="185">
        <f t="shared" si="1224"/>
        <v>8.7291399229781769E-2</v>
      </c>
      <c r="CD327" s="204">
        <f t="shared" si="1224"/>
        <v>9.0731389477113539E-2</v>
      </c>
      <c r="CE327" s="185">
        <f t="shared" si="1224"/>
        <v>8.8461538461538466E-2</v>
      </c>
      <c r="CF327" s="185">
        <f t="shared" si="1224"/>
        <v>8.8874680306905374E-2</v>
      </c>
      <c r="CG327" s="185">
        <f t="shared" si="1224"/>
        <v>9.5146871008939968E-2</v>
      </c>
      <c r="CH327" s="185">
        <f t="shared" si="1224"/>
        <v>0.10412698412698412</v>
      </c>
      <c r="CI327" s="204">
        <f t="shared" si="1224"/>
        <v>9.417398244213887E-2</v>
      </c>
      <c r="CJ327" s="185">
        <f t="shared" ref="CJ327:CK327" si="1225">CJ326/CJ258</f>
        <v>9.6115865701119158E-2</v>
      </c>
      <c r="CK327" s="185">
        <f t="shared" si="1225"/>
        <v>9.7213220998055738E-2</v>
      </c>
      <c r="CL327" s="185">
        <f t="shared" ref="CL327:CP327" si="1226">CL326/CL258</f>
        <v>9.7576530612244902E-2</v>
      </c>
      <c r="CM327" s="185">
        <f t="shared" si="1226"/>
        <v>9.4375000000000001E-2</v>
      </c>
      <c r="CN327" s="204">
        <f t="shared" si="1226"/>
        <v>9.6308186195826651E-2</v>
      </c>
      <c r="CO327" s="185">
        <f t="shared" si="1226"/>
        <v>9.796437659033079E-2</v>
      </c>
      <c r="CP327" s="185">
        <f t="shared" si="1226"/>
        <v>8.3333333333333329E-2</v>
      </c>
      <c r="CQ327" s="254">
        <v>0.09</v>
      </c>
      <c r="CR327" s="254">
        <f t="shared" ref="CR327:CS327" si="1227">CQ327</f>
        <v>0.09</v>
      </c>
      <c r="CS327" s="254">
        <f t="shared" si="1227"/>
        <v>0.09</v>
      </c>
      <c r="CT327" s="254">
        <f t="shared" ref="CT327" si="1228">CS327</f>
        <v>0.09</v>
      </c>
      <c r="CU327" s="254">
        <f t="shared" ref="CU327" si="1229">CT327</f>
        <v>0.09</v>
      </c>
      <c r="CV327" s="254">
        <f t="shared" ref="CV327:CW327" si="1230">CU327</f>
        <v>0.09</v>
      </c>
      <c r="CW327" s="254">
        <f t="shared" si="1230"/>
        <v>0.09</v>
      </c>
      <c r="CX327" s="159"/>
      <c r="CY327" s="159"/>
      <c r="CZ327" s="159"/>
      <c r="DA327" s="159"/>
      <c r="DB327" s="159"/>
      <c r="DC327" s="165"/>
      <c r="DD327" s="165"/>
      <c r="ED327" s="221"/>
      <c r="EE327" s="221"/>
      <c r="EQ327" s="221"/>
      <c r="ER327" s="221"/>
      <c r="ES327" s="221"/>
      <c r="EU327" s="286"/>
      <c r="EV327" s="287"/>
    </row>
    <row r="328" spans="1:152">
      <c r="A328" s="226" t="s">
        <v>64</v>
      </c>
      <c r="B328" s="204"/>
      <c r="C328" s="204"/>
      <c r="D328" s="204"/>
      <c r="E328" s="204"/>
      <c r="F328" s="204"/>
      <c r="G328" s="204"/>
      <c r="H328" s="204"/>
      <c r="I328" s="204"/>
      <c r="J328" s="204"/>
      <c r="K328" s="204"/>
      <c r="L328" s="204"/>
      <c r="M328" s="204"/>
      <c r="N328" s="204"/>
      <c r="O328" s="204"/>
      <c r="P328" s="204"/>
      <c r="Q328" s="204"/>
      <c r="R328" s="204"/>
      <c r="S328" s="204"/>
      <c r="T328" s="204"/>
      <c r="U328" s="204"/>
      <c r="V328" s="204"/>
      <c r="W328" s="204"/>
      <c r="X328" s="204"/>
      <c r="Y328" s="204"/>
      <c r="Z328" s="204"/>
      <c r="AA328" s="204"/>
      <c r="AB328" s="204"/>
      <c r="AC328" s="204"/>
      <c r="AD328" s="204"/>
      <c r="AE328" s="204"/>
      <c r="AF328" s="204"/>
      <c r="AG328" s="204"/>
      <c r="AH328" s="204"/>
      <c r="AI328" s="204"/>
      <c r="AJ328" s="204"/>
      <c r="AK328" s="204"/>
      <c r="AL328" s="204"/>
      <c r="AM328" s="204"/>
      <c r="AN328" s="204"/>
      <c r="AO328" s="204"/>
      <c r="AP328" s="204"/>
      <c r="AQ328" s="204"/>
      <c r="AR328" s="204"/>
      <c r="AS328" s="204"/>
      <c r="AT328" s="204"/>
      <c r="AU328" s="159"/>
      <c r="AV328" s="204">
        <f>AV326/AQ326-1</f>
        <v>0.11538461538461542</v>
      </c>
      <c r="AW328" s="204">
        <f>AW326/AR326-1</f>
        <v>-6.6985645933014371E-2</v>
      </c>
      <c r="AX328" s="204">
        <f>AX326/AS326-1</f>
        <v>2.051282051282044E-2</v>
      </c>
      <c r="AY328" s="204">
        <f>AY326/AT326-1</f>
        <v>-7.7669902912621325E-2</v>
      </c>
      <c r="AZ328" s="159"/>
      <c r="BA328" s="204">
        <f t="shared" ref="BA328:CP328" si="1231">BA326/AV326-1</f>
        <v>-1.4778325123152691E-2</v>
      </c>
      <c r="BB328" s="204">
        <f t="shared" si="1231"/>
        <v>5.12820512820511E-3</v>
      </c>
      <c r="BC328" s="204">
        <f t="shared" si="1231"/>
        <v>4.5226130653266416E-2</v>
      </c>
      <c r="BD328" s="204">
        <f t="shared" si="1231"/>
        <v>0.47368421052631571</v>
      </c>
      <c r="BE328" s="170">
        <f>BE326/AZ326-1</f>
        <v>0.12325285895806859</v>
      </c>
      <c r="BF328" s="204">
        <f t="shared" si="1231"/>
        <v>-0.245</v>
      </c>
      <c r="BG328" s="204">
        <f t="shared" si="1231"/>
        <v>-0.26020408163265307</v>
      </c>
      <c r="BH328" s="204">
        <f t="shared" si="1231"/>
        <v>-0.37980769230769229</v>
      </c>
      <c r="BI328" s="204">
        <f t="shared" si="1231"/>
        <v>-0.625</v>
      </c>
      <c r="BJ328" s="170">
        <f>BJ326/BE326-1</f>
        <v>-0.40045248868778283</v>
      </c>
      <c r="BK328" s="204">
        <f t="shared" si="1231"/>
        <v>-0.27152317880794707</v>
      </c>
      <c r="BL328" s="204">
        <f t="shared" si="1231"/>
        <v>-0.11724137931034484</v>
      </c>
      <c r="BM328" s="204">
        <f t="shared" si="1231"/>
        <v>-0.1705426356589147</v>
      </c>
      <c r="BN328" s="204">
        <f t="shared" si="1231"/>
        <v>0.21904761904761916</v>
      </c>
      <c r="BO328" s="170">
        <f>BO326/BJ326-1</f>
        <v>-0.10754716981132073</v>
      </c>
      <c r="BP328" s="204">
        <f t="shared" si="1231"/>
        <v>7.2727272727272751E-2</v>
      </c>
      <c r="BQ328" s="204">
        <f t="shared" si="1231"/>
        <v>-8.59375E-2</v>
      </c>
      <c r="BR328" s="204">
        <f t="shared" si="1231"/>
        <v>0.16822429906542058</v>
      </c>
      <c r="BS328" s="204">
        <f t="shared" si="1231"/>
        <v>-7.03125E-2</v>
      </c>
      <c r="BT328" s="170">
        <f>BT326/BO326-1</f>
        <v>1.2684989429175397E-2</v>
      </c>
      <c r="BU328" s="185">
        <f t="shared" si="1231"/>
        <v>0.11864406779661008</v>
      </c>
      <c r="BV328" s="185">
        <f t="shared" si="1231"/>
        <v>0.14529914529914523</v>
      </c>
      <c r="BW328" s="185">
        <f t="shared" si="1231"/>
        <v>3.2000000000000028E-2</v>
      </c>
      <c r="BX328" s="185">
        <f t="shared" si="1231"/>
        <v>3.3613445378151363E-2</v>
      </c>
      <c r="BY328" s="170">
        <f>BY326/BT326-1</f>
        <v>8.1419624217119013E-2</v>
      </c>
      <c r="BZ328" s="185">
        <f t="shared" si="1231"/>
        <v>4.5454545454545414E-2</v>
      </c>
      <c r="CA328" s="185">
        <f t="shared" si="1231"/>
        <v>7.4626865671641784E-2</v>
      </c>
      <c r="CB328" s="185">
        <f t="shared" si="1231"/>
        <v>7.7519379844961156E-2</v>
      </c>
      <c r="CC328" s="185">
        <f t="shared" si="1231"/>
        <v>0.10569105691056913</v>
      </c>
      <c r="CD328" s="170">
        <f>CD326/BY326-1</f>
        <v>7.528957528957525E-2</v>
      </c>
      <c r="CE328" s="185">
        <f t="shared" si="1231"/>
        <v>0</v>
      </c>
      <c r="CF328" s="185">
        <f t="shared" si="1231"/>
        <v>-3.472222222222221E-2</v>
      </c>
      <c r="CG328" s="185">
        <f t="shared" si="1231"/>
        <v>7.1942446043165464E-2</v>
      </c>
      <c r="CH328" s="185">
        <f t="shared" si="1231"/>
        <v>0.20588235294117641</v>
      </c>
      <c r="CI328" s="170">
        <f>CI326/CD326-1</f>
        <v>5.9245960502692929E-2</v>
      </c>
      <c r="CJ328" s="185">
        <f t="shared" si="1231"/>
        <v>5.7971014492753659E-2</v>
      </c>
      <c r="CK328" s="185">
        <f t="shared" si="1231"/>
        <v>7.9136690647481966E-2</v>
      </c>
      <c r="CL328" s="185">
        <f t="shared" si="1231"/>
        <v>2.6845637583892579E-2</v>
      </c>
      <c r="CM328" s="185">
        <f t="shared" si="1231"/>
        <v>-7.9268292682926789E-2</v>
      </c>
      <c r="CN328" s="170">
        <f>CN326/CI326-1</f>
        <v>1.6949152542372836E-2</v>
      </c>
      <c r="CO328" s="185">
        <f t="shared" si="1231"/>
        <v>5.4794520547945202E-2</v>
      </c>
      <c r="CP328" s="185">
        <f t="shared" si="1231"/>
        <v>-0.12</v>
      </c>
      <c r="CQ328" s="170">
        <f>CQ326/CN326-1</f>
        <v>-4.4302190979660372E-2</v>
      </c>
      <c r="CR328" s="170">
        <f t="shared" ref="CR328:CS328" si="1232">CR326/CQ326-1</f>
        <v>1.115620644437243E-2</v>
      </c>
      <c r="CS328" s="170">
        <f t="shared" si="1232"/>
        <v>1.6605014057724743E-2</v>
      </c>
      <c r="CT328" s="170">
        <f t="shared" ref="CT328" si="1233">CT326/CS326-1</f>
        <v>1.5960734312723046E-2</v>
      </c>
      <c r="CU328" s="170">
        <f t="shared" ref="CU328" si="1234">CU326/CT326-1</f>
        <v>1.5390878351850157E-2</v>
      </c>
      <c r="CV328" s="170">
        <f t="shared" ref="CV328:CW328" si="1235">CV326/CU326-1</f>
        <v>1.4886515134579836E-2</v>
      </c>
      <c r="CW328" s="170">
        <f t="shared" si="1235"/>
        <v>1.4439913338459398E-2</v>
      </c>
      <c r="CX328" s="159"/>
      <c r="CY328" s="159"/>
      <c r="CZ328" s="159"/>
      <c r="DA328" s="159"/>
      <c r="DB328" s="159"/>
      <c r="DC328" s="165"/>
      <c r="DD328" s="165"/>
      <c r="ED328" s="221"/>
      <c r="EE328" s="221"/>
      <c r="EQ328" s="221"/>
      <c r="ER328" s="221"/>
      <c r="ES328" s="221"/>
      <c r="EU328" s="286"/>
      <c r="EV328" s="287"/>
    </row>
    <row r="329" spans="1:152">
      <c r="A329" s="235" t="s">
        <v>67</v>
      </c>
      <c r="B329" s="720"/>
      <c r="C329" s="720"/>
      <c r="D329" s="720"/>
      <c r="E329" s="720"/>
      <c r="F329" s="720"/>
      <c r="G329" s="720"/>
      <c r="H329" s="720"/>
      <c r="I329" s="720"/>
      <c r="J329" s="720"/>
      <c r="K329" s="720"/>
      <c r="L329" s="720"/>
      <c r="M329" s="720"/>
      <c r="N329" s="720"/>
      <c r="O329" s="720"/>
      <c r="P329" s="720"/>
      <c r="Q329" s="720"/>
      <c r="R329" s="720"/>
      <c r="S329" s="720"/>
      <c r="T329" s="720"/>
      <c r="U329" s="720"/>
      <c r="V329" s="720"/>
      <c r="W329" s="720"/>
      <c r="X329" s="720"/>
      <c r="Y329" s="720"/>
      <c r="Z329" s="720"/>
      <c r="AA329" s="720"/>
      <c r="AB329" s="720"/>
      <c r="AC329" s="720"/>
      <c r="AD329" s="720"/>
      <c r="AE329" s="720"/>
      <c r="AF329" s="720"/>
      <c r="AG329" s="720"/>
      <c r="AH329" s="720"/>
      <c r="AI329" s="720"/>
      <c r="AJ329" s="720"/>
      <c r="AK329" s="720"/>
      <c r="AL329" s="720"/>
      <c r="AM329" s="720"/>
      <c r="AN329" s="720"/>
      <c r="AO329" s="720"/>
      <c r="AP329" s="720"/>
      <c r="AQ329" s="728">
        <f>'[3]Profit and Loss Highlights'!S$41</f>
        <v>0</v>
      </c>
      <c r="AR329" s="728">
        <f>'[3]Profit and Loss Highlights'!T$41</f>
        <v>0</v>
      </c>
      <c r="AS329" s="728">
        <f>'[3]Profit and Loss Highlights'!U$41</f>
        <v>0</v>
      </c>
      <c r="AT329" s="728">
        <f>'[3]Profit and Loss Highlights'!V$41</f>
        <v>0</v>
      </c>
      <c r="AU329" s="728">
        <f>SUM(AQ329:AT329)</f>
        <v>0</v>
      </c>
      <c r="AV329" s="728">
        <f>'[3]Profit and Loss Highlights'!W$41</f>
        <v>0</v>
      </c>
      <c r="AW329" s="728">
        <f>'[3]Profit and Loss Highlights'!X$41</f>
        <v>0</v>
      </c>
      <c r="AX329" s="728">
        <f>'[3]Profit and Loss Highlights'!Y$41</f>
        <v>0</v>
      </c>
      <c r="AY329" s="728">
        <f>'[3]Profit and Loss Highlights'!Z$41</f>
        <v>0</v>
      </c>
      <c r="AZ329" s="728">
        <f>SUM(AV329:AY329)</f>
        <v>0</v>
      </c>
      <c r="BA329" s="728">
        <f>'[3]Profit and Loss Highlights'!AA$41</f>
        <v>0</v>
      </c>
      <c r="BB329" s="728">
        <f>'[3]Profit and Loss Highlights'!AB$41</f>
        <v>0</v>
      </c>
      <c r="BC329" s="728">
        <f>'[3]Profit and Loss Highlights'!AC$41</f>
        <v>0</v>
      </c>
      <c r="BD329" s="728">
        <f>'[3]Profit and Loss Highlights'!AD$41</f>
        <v>0</v>
      </c>
      <c r="BE329" s="693">
        <f>SUM(BA329:BD329)</f>
        <v>0</v>
      </c>
      <c r="BF329" s="728">
        <f>'[3]Profit and Loss Highlights'!AE$41</f>
        <v>0</v>
      </c>
      <c r="BG329" s="728">
        <f>'[3]Profit and Loss Highlights'!AF$41</f>
        <v>0</v>
      </c>
      <c r="BH329" s="728">
        <f>'[3]Profit and Loss Highlights'!AG$41</f>
        <v>0</v>
      </c>
      <c r="BI329" s="728">
        <f>'[3]Profit and Loss Highlights'!AH$41</f>
        <v>0</v>
      </c>
      <c r="BJ329" s="693">
        <f>SUM(BF329:BI329)</f>
        <v>0</v>
      </c>
      <c r="BK329" s="728">
        <f>'[3]Profit and Loss Highlights'!AI$41</f>
        <v>0</v>
      </c>
      <c r="BL329" s="728">
        <f>'[3]Profit and Loss Highlights'!AJ$41</f>
        <v>0</v>
      </c>
      <c r="BM329" s="728">
        <f>'[3]Profit and Loss Highlights'!AK$41</f>
        <v>0</v>
      </c>
      <c r="BN329" s="728">
        <f>'[3]Profit and Loss Highlights'!AL$41</f>
        <v>0</v>
      </c>
      <c r="BO329" s="693">
        <f>SUM(BK329:BN329)</f>
        <v>0</v>
      </c>
      <c r="BP329" s="728">
        <f>'[3]Profit and Loss Highlights'!AM$41</f>
        <v>0</v>
      </c>
      <c r="BQ329" s="728">
        <f>'[3]Profit and Loss Highlights'!AN$41</f>
        <v>0</v>
      </c>
      <c r="BR329" s="728">
        <f>'[3]Profit and Loss Highlights'!AO$41</f>
        <v>0</v>
      </c>
      <c r="BS329" s="728">
        <f>'[3]Profit and Loss Highlights'!AP$41</f>
        <v>0</v>
      </c>
      <c r="BT329" s="693">
        <f>SUM(BP329:BS329)</f>
        <v>0</v>
      </c>
      <c r="BU329" s="718">
        <f>'[3]Profit and Loss Highlights'!AQ$41</f>
        <v>972</v>
      </c>
      <c r="BV329" s="718">
        <f>'[3]Profit and Loss Highlights'!AR$41</f>
        <v>919</v>
      </c>
      <c r="BW329" s="718">
        <f>'[3]Profit and Loss Highlights'!AS$41</f>
        <v>893</v>
      </c>
      <c r="BX329" s="718">
        <f>'[3]Profit and Loss Highlights'!AT$41</f>
        <v>1047</v>
      </c>
      <c r="BY329" s="693">
        <f>SUM(BU329:BX329)</f>
        <v>3831</v>
      </c>
      <c r="BZ329" s="718">
        <f>'[3]Profit and Loss Highlights'!AU$41</f>
        <v>1023</v>
      </c>
      <c r="CA329" s="718">
        <f>'[3]Profit and Loss Highlights'!AV$41</f>
        <v>938</v>
      </c>
      <c r="CB329" s="718">
        <f>'[3]Profit and Loss Highlights'!AW$41</f>
        <v>895</v>
      </c>
      <c r="CC329" s="718">
        <f>'[3]Profit and Loss Highlights'!AX$41</f>
        <v>1175</v>
      </c>
      <c r="CD329" s="693">
        <f>SUM(BZ329:CC329)</f>
        <v>4031</v>
      </c>
      <c r="CE329" s="718">
        <f>'[3]Profit and Loss Highlights'!AY$41</f>
        <v>1037</v>
      </c>
      <c r="CF329" s="718">
        <f>'[3]Profit and Loss Highlights'!AZ$41</f>
        <v>996</v>
      </c>
      <c r="CG329" s="718">
        <f>'[3]Profit and Loss Highlights'!BA$41</f>
        <v>971</v>
      </c>
      <c r="CH329" s="718">
        <f>'[3]Profit and Loss Highlights'!BB$41</f>
        <v>1181</v>
      </c>
      <c r="CI329" s="693">
        <f>SUM(CE329:CH329)</f>
        <v>4185</v>
      </c>
      <c r="CJ329" s="718">
        <f>'[3]Profit and Loss Highlights'!BC$41</f>
        <v>1012</v>
      </c>
      <c r="CK329" s="718">
        <f>'[3]Profit and Loss Highlights'!BD$41</f>
        <v>914</v>
      </c>
      <c r="CL329" s="718">
        <f>'[3]Profit and Loss Highlights'!BE$41</f>
        <v>949</v>
      </c>
      <c r="CM329" s="718">
        <f>'[3]Profit and Loss Highlights'!BF$41</f>
        <v>1255</v>
      </c>
      <c r="CN329" s="693">
        <f>SUM(CJ329:CM329)</f>
        <v>4130</v>
      </c>
      <c r="CO329" s="718">
        <f>'[3]Profit and Loss Highlights'!BG$41</f>
        <v>1069</v>
      </c>
      <c r="CP329" s="718">
        <f>'[3]Profit and Loss Highlights'!BH$41</f>
        <v>1029</v>
      </c>
      <c r="CQ329" s="691">
        <f t="shared" ref="CQ329:CW329" si="1236">CQ330*CQ30</f>
        <v>4250.6140888158543</v>
      </c>
      <c r="CR329" s="691">
        <f t="shared" si="1236"/>
        <v>4356.0336605902539</v>
      </c>
      <c r="CS329" s="691">
        <f t="shared" si="1236"/>
        <v>4462.6656490803398</v>
      </c>
      <c r="CT329" s="691">
        <f t="shared" si="1236"/>
        <v>4575.2350284128461</v>
      </c>
      <c r="CU329" s="691">
        <f t="shared" si="1236"/>
        <v>4684.319348203906</v>
      </c>
      <c r="CV329" s="691">
        <f t="shared" si="1236"/>
        <v>4794.9710125887505</v>
      </c>
      <c r="CW329" s="691">
        <f t="shared" si="1236"/>
        <v>4907.409238476117</v>
      </c>
      <c r="CX329" s="165"/>
      <c r="CY329" s="165"/>
      <c r="CZ329" s="165"/>
      <c r="DA329" s="165"/>
      <c r="DB329" s="165"/>
      <c r="DC329" s="159"/>
      <c r="DD329" s="159"/>
    </row>
    <row r="330" spans="1:152">
      <c r="A330" s="226" t="s">
        <v>63</v>
      </c>
      <c r="B330" s="204"/>
      <c r="C330" s="204"/>
      <c r="D330" s="204"/>
      <c r="E330" s="204"/>
      <c r="F330" s="204"/>
      <c r="G330" s="204"/>
      <c r="H330" s="204"/>
      <c r="I330" s="204"/>
      <c r="J330" s="204"/>
      <c r="K330" s="204"/>
      <c r="L330" s="204"/>
      <c r="M330" s="204"/>
      <c r="N330" s="204"/>
      <c r="O330" s="204"/>
      <c r="P330" s="204"/>
      <c r="Q330" s="204"/>
      <c r="R330" s="204"/>
      <c r="S330" s="204"/>
      <c r="T330" s="204"/>
      <c r="U330" s="204"/>
      <c r="V330" s="204"/>
      <c r="W330" s="204"/>
      <c r="X330" s="204"/>
      <c r="Y330" s="204"/>
      <c r="Z330" s="204"/>
      <c r="AA330" s="204"/>
      <c r="AB330" s="204"/>
      <c r="AC330" s="204"/>
      <c r="AD330" s="204"/>
      <c r="AE330" s="204"/>
      <c r="AF330" s="204"/>
      <c r="AG330" s="204"/>
      <c r="AH330" s="204"/>
      <c r="AI330" s="204"/>
      <c r="AJ330" s="204"/>
      <c r="AK330" s="204"/>
      <c r="AL330" s="204"/>
      <c r="AM330" s="204"/>
      <c r="AN330" s="204"/>
      <c r="AO330" s="204"/>
      <c r="AP330" s="204"/>
      <c r="AQ330" s="204">
        <f t="shared" ref="AQ330:BZ330" si="1237">AQ329/AQ30</f>
        <v>0</v>
      </c>
      <c r="AR330" s="204">
        <f t="shared" si="1237"/>
        <v>0</v>
      </c>
      <c r="AS330" s="204">
        <f t="shared" si="1237"/>
        <v>0</v>
      </c>
      <c r="AT330" s="204">
        <f t="shared" si="1237"/>
        <v>0</v>
      </c>
      <c r="AU330" s="204">
        <f t="shared" si="1237"/>
        <v>0</v>
      </c>
      <c r="AV330" s="204">
        <f t="shared" si="1237"/>
        <v>0</v>
      </c>
      <c r="AW330" s="204">
        <f t="shared" si="1237"/>
        <v>0</v>
      </c>
      <c r="AX330" s="204">
        <f t="shared" si="1237"/>
        <v>0</v>
      </c>
      <c r="AY330" s="204">
        <f t="shared" si="1237"/>
        <v>0</v>
      </c>
      <c r="AZ330" s="204">
        <f t="shared" si="1237"/>
        <v>0</v>
      </c>
      <c r="BA330" s="204">
        <f t="shared" si="1237"/>
        <v>0</v>
      </c>
      <c r="BB330" s="204">
        <f t="shared" si="1237"/>
        <v>0</v>
      </c>
      <c r="BC330" s="204">
        <f t="shared" si="1237"/>
        <v>0</v>
      </c>
      <c r="BD330" s="204">
        <f t="shared" si="1237"/>
        <v>0</v>
      </c>
      <c r="BE330" s="204">
        <f t="shared" si="1237"/>
        <v>0</v>
      </c>
      <c r="BF330" s="204">
        <f t="shared" si="1237"/>
        <v>0</v>
      </c>
      <c r="BG330" s="204">
        <f t="shared" si="1237"/>
        <v>0</v>
      </c>
      <c r="BH330" s="204">
        <f t="shared" si="1237"/>
        <v>0</v>
      </c>
      <c r="BI330" s="204">
        <f t="shared" si="1237"/>
        <v>0</v>
      </c>
      <c r="BJ330" s="204">
        <f t="shared" si="1237"/>
        <v>0</v>
      </c>
      <c r="BK330" s="204">
        <f t="shared" si="1237"/>
        <v>0</v>
      </c>
      <c r="BL330" s="204">
        <f t="shared" si="1237"/>
        <v>0</v>
      </c>
      <c r="BM330" s="204">
        <f t="shared" si="1237"/>
        <v>0</v>
      </c>
      <c r="BN330" s="204">
        <f t="shared" si="1237"/>
        <v>0</v>
      </c>
      <c r="BO330" s="204">
        <f t="shared" si="1237"/>
        <v>0</v>
      </c>
      <c r="BP330" s="204">
        <f t="shared" si="1237"/>
        <v>0</v>
      </c>
      <c r="BQ330" s="204">
        <f t="shared" si="1237"/>
        <v>0</v>
      </c>
      <c r="BR330" s="204">
        <f t="shared" si="1237"/>
        <v>0</v>
      </c>
      <c r="BS330" s="204">
        <f t="shared" si="1237"/>
        <v>0</v>
      </c>
      <c r="BT330" s="204">
        <f t="shared" si="1237"/>
        <v>0</v>
      </c>
      <c r="BU330" s="185">
        <f t="shared" si="1237"/>
        <v>0.40399002493765584</v>
      </c>
      <c r="BV330" s="185">
        <f t="shared" si="1237"/>
        <v>0.37912541254125415</v>
      </c>
      <c r="BW330" s="185">
        <f t="shared" si="1237"/>
        <v>0.37130977130977133</v>
      </c>
      <c r="BX330" s="185">
        <f t="shared" si="1237"/>
        <v>0.40994518402505875</v>
      </c>
      <c r="BY330" s="204">
        <f t="shared" si="1237"/>
        <v>0.39135764633772602</v>
      </c>
      <c r="BZ330" s="185">
        <f t="shared" si="1237"/>
        <v>0.40498812351543945</v>
      </c>
      <c r="CA330" s="185">
        <f t="shared" ref="CA330:CB330" si="1238">CA329/CA30</f>
        <v>0.37975708502024291</v>
      </c>
      <c r="CB330" s="185">
        <f t="shared" si="1238"/>
        <v>0.36650286650286651</v>
      </c>
      <c r="CC330" s="185">
        <f t="shared" ref="CC330:CD330" si="1239">CC329/CC30</f>
        <v>0.42851932895696571</v>
      </c>
      <c r="CD330" s="204">
        <f t="shared" si="1239"/>
        <v>0.39597249508840865</v>
      </c>
      <c r="CE330" s="185">
        <f t="shared" ref="CE330:CF330" si="1240">CE329/CE30</f>
        <v>0.39838647714175951</v>
      </c>
      <c r="CF330" s="185">
        <f t="shared" si="1240"/>
        <v>0.38515081206496521</v>
      </c>
      <c r="CG330" s="185">
        <f t="shared" ref="CG330:CJ330" si="1241">CG329/CG30</f>
        <v>0.3769409937888199</v>
      </c>
      <c r="CH330" s="185">
        <f t="shared" si="1241"/>
        <v>0.42619992782389027</v>
      </c>
      <c r="CI330" s="204">
        <f t="shared" si="1241"/>
        <v>0.39720956719817768</v>
      </c>
      <c r="CJ330" s="185">
        <f t="shared" si="1241"/>
        <v>0.3880368098159509</v>
      </c>
      <c r="CK330" s="185">
        <f t="shared" ref="CK330:CL330" si="1242">CK329/CK30</f>
        <v>0.35675253708040594</v>
      </c>
      <c r="CL330" s="185">
        <f t="shared" si="1242"/>
        <v>0.36655079181151023</v>
      </c>
      <c r="CM330" s="185">
        <f t="shared" ref="CM330:CP330" si="1243">CM329/CM30</f>
        <v>0.4363699582753825</v>
      </c>
      <c r="CN330" s="204">
        <f t="shared" si="1243"/>
        <v>0.38834038551951106</v>
      </c>
      <c r="CO330" s="185">
        <f t="shared" si="1243"/>
        <v>0.39143170999633836</v>
      </c>
      <c r="CP330" s="185">
        <f t="shared" si="1243"/>
        <v>0.38742469879518071</v>
      </c>
      <c r="CQ330" s="254">
        <f>CN330</f>
        <v>0.38834038551951106</v>
      </c>
      <c r="CR330" s="254">
        <f t="shared" ref="CR330:CW330" si="1244">CQ330</f>
        <v>0.38834038551951106</v>
      </c>
      <c r="CS330" s="254">
        <f t="shared" si="1244"/>
        <v>0.38834038551951106</v>
      </c>
      <c r="CT330" s="254">
        <f t="shared" si="1244"/>
        <v>0.38834038551951106</v>
      </c>
      <c r="CU330" s="254">
        <f t="shared" si="1244"/>
        <v>0.38834038551951106</v>
      </c>
      <c r="CV330" s="254">
        <f t="shared" si="1244"/>
        <v>0.38834038551951106</v>
      </c>
      <c r="CW330" s="254">
        <f t="shared" si="1244"/>
        <v>0.38834038551951106</v>
      </c>
      <c r="CX330" s="159"/>
      <c r="CY330" s="159"/>
      <c r="CZ330" s="159"/>
      <c r="DA330" s="159"/>
      <c r="DB330" s="159"/>
      <c r="DC330" s="159"/>
      <c r="DD330" s="159"/>
    </row>
    <row r="331" spans="1:152">
      <c r="A331" s="226" t="s">
        <v>64</v>
      </c>
      <c r="B331" s="204"/>
      <c r="C331" s="204"/>
      <c r="D331" s="204"/>
      <c r="E331" s="204"/>
      <c r="F331" s="204"/>
      <c r="G331" s="204"/>
      <c r="H331" s="204"/>
      <c r="I331" s="204"/>
      <c r="J331" s="204"/>
      <c r="K331" s="204"/>
      <c r="L331" s="204"/>
      <c r="M331" s="204"/>
      <c r="N331" s="204"/>
      <c r="O331" s="204"/>
      <c r="P331" s="204"/>
      <c r="Q331" s="204"/>
      <c r="R331" s="204"/>
      <c r="S331" s="204"/>
      <c r="T331" s="204"/>
      <c r="U331" s="204"/>
      <c r="V331" s="204"/>
      <c r="W331" s="204"/>
      <c r="X331" s="204"/>
      <c r="Y331" s="204"/>
      <c r="Z331" s="204"/>
      <c r="AA331" s="204"/>
      <c r="AB331" s="204"/>
      <c r="AC331" s="204"/>
      <c r="AD331" s="204"/>
      <c r="AE331" s="204"/>
      <c r="AF331" s="204"/>
      <c r="AG331" s="204"/>
      <c r="AH331" s="204"/>
      <c r="AI331" s="204"/>
      <c r="AJ331" s="204"/>
      <c r="AK331" s="204"/>
      <c r="AL331" s="204"/>
      <c r="AM331" s="204"/>
      <c r="AN331" s="204"/>
      <c r="AO331" s="204"/>
      <c r="AP331" s="170"/>
      <c r="AQ331" s="170"/>
      <c r="AR331" s="170"/>
      <c r="AS331" s="170"/>
      <c r="AT331" s="170"/>
      <c r="AU331" s="170" t="e">
        <f t="shared" ref="AU331:CP331" si="1245">AU329/AP329-1</f>
        <v>#DIV/0!</v>
      </c>
      <c r="AV331" s="204" t="e">
        <f t="shared" si="1245"/>
        <v>#DIV/0!</v>
      </c>
      <c r="AW331" s="204" t="e">
        <f t="shared" si="1245"/>
        <v>#DIV/0!</v>
      </c>
      <c r="AX331" s="204" t="e">
        <f t="shared" si="1245"/>
        <v>#DIV/0!</v>
      </c>
      <c r="AY331" s="204" t="e">
        <f t="shared" si="1245"/>
        <v>#DIV/0!</v>
      </c>
      <c r="AZ331" s="170" t="e">
        <f t="shared" si="1245"/>
        <v>#DIV/0!</v>
      </c>
      <c r="BA331" s="204" t="e">
        <f t="shared" si="1245"/>
        <v>#DIV/0!</v>
      </c>
      <c r="BB331" s="204" t="e">
        <f t="shared" si="1245"/>
        <v>#DIV/0!</v>
      </c>
      <c r="BC331" s="204" t="e">
        <f t="shared" si="1245"/>
        <v>#DIV/0!</v>
      </c>
      <c r="BD331" s="204" t="e">
        <f t="shared" si="1245"/>
        <v>#DIV/0!</v>
      </c>
      <c r="BE331" s="204" t="e">
        <f t="shared" si="1245"/>
        <v>#DIV/0!</v>
      </c>
      <c r="BF331" s="204" t="e">
        <f t="shared" si="1245"/>
        <v>#DIV/0!</v>
      </c>
      <c r="BG331" s="204" t="e">
        <f t="shared" si="1245"/>
        <v>#DIV/0!</v>
      </c>
      <c r="BH331" s="204" t="e">
        <f t="shared" si="1245"/>
        <v>#DIV/0!</v>
      </c>
      <c r="BI331" s="204" t="e">
        <f t="shared" si="1245"/>
        <v>#DIV/0!</v>
      </c>
      <c r="BJ331" s="204" t="e">
        <f t="shared" si="1245"/>
        <v>#DIV/0!</v>
      </c>
      <c r="BK331" s="204" t="e">
        <f t="shared" si="1245"/>
        <v>#DIV/0!</v>
      </c>
      <c r="BL331" s="204" t="e">
        <f t="shared" si="1245"/>
        <v>#DIV/0!</v>
      </c>
      <c r="BM331" s="204" t="e">
        <f t="shared" si="1245"/>
        <v>#DIV/0!</v>
      </c>
      <c r="BN331" s="204" t="e">
        <f t="shared" si="1245"/>
        <v>#DIV/0!</v>
      </c>
      <c r="BO331" s="204" t="e">
        <f t="shared" si="1245"/>
        <v>#DIV/0!</v>
      </c>
      <c r="BP331" s="204" t="e">
        <f t="shared" si="1245"/>
        <v>#DIV/0!</v>
      </c>
      <c r="BQ331" s="204" t="e">
        <f t="shared" si="1245"/>
        <v>#DIV/0!</v>
      </c>
      <c r="BR331" s="204" t="e">
        <f t="shared" si="1245"/>
        <v>#DIV/0!</v>
      </c>
      <c r="BS331" s="204" t="e">
        <f t="shared" si="1245"/>
        <v>#DIV/0!</v>
      </c>
      <c r="BT331" s="204" t="e">
        <f t="shared" si="1245"/>
        <v>#DIV/0!</v>
      </c>
      <c r="BU331" s="185" t="e">
        <f t="shared" si="1245"/>
        <v>#DIV/0!</v>
      </c>
      <c r="BV331" s="185" t="e">
        <f t="shared" si="1245"/>
        <v>#DIV/0!</v>
      </c>
      <c r="BW331" s="185" t="e">
        <f t="shared" si="1245"/>
        <v>#DIV/0!</v>
      </c>
      <c r="BX331" s="185" t="e">
        <f t="shared" si="1245"/>
        <v>#DIV/0!</v>
      </c>
      <c r="BY331" s="204" t="e">
        <f t="shared" si="1245"/>
        <v>#DIV/0!</v>
      </c>
      <c r="BZ331" s="185">
        <f t="shared" si="1245"/>
        <v>5.2469135802469147E-2</v>
      </c>
      <c r="CA331" s="185">
        <f t="shared" si="1245"/>
        <v>2.0674646354733373E-2</v>
      </c>
      <c r="CB331" s="185">
        <f t="shared" si="1245"/>
        <v>2.2396416573349232E-3</v>
      </c>
      <c r="CC331" s="185">
        <f t="shared" si="1245"/>
        <v>0.12225405921680998</v>
      </c>
      <c r="CD331" s="204">
        <f t="shared" si="1245"/>
        <v>5.2205690420255912E-2</v>
      </c>
      <c r="CE331" s="185">
        <f t="shared" si="1245"/>
        <v>1.3685239491691092E-2</v>
      </c>
      <c r="CF331" s="185">
        <f t="shared" si="1245"/>
        <v>6.1833688699360234E-2</v>
      </c>
      <c r="CG331" s="185">
        <f t="shared" si="1245"/>
        <v>8.4916201117318346E-2</v>
      </c>
      <c r="CH331" s="185">
        <f t="shared" si="1245"/>
        <v>5.106382978723456E-3</v>
      </c>
      <c r="CI331" s="204">
        <f t="shared" si="1245"/>
        <v>3.8203919622922244E-2</v>
      </c>
      <c r="CJ331" s="185">
        <f t="shared" si="1245"/>
        <v>-2.4108003857280624E-2</v>
      </c>
      <c r="CK331" s="185">
        <f t="shared" si="1245"/>
        <v>-8.232931726907633E-2</v>
      </c>
      <c r="CL331" s="185">
        <f t="shared" si="1245"/>
        <v>-2.2657054582904235E-2</v>
      </c>
      <c r="CM331" s="185">
        <f t="shared" si="1245"/>
        <v>6.2658763759525726E-2</v>
      </c>
      <c r="CN331" s="204">
        <f t="shared" si="1245"/>
        <v>-1.3142174432496989E-2</v>
      </c>
      <c r="CO331" s="185">
        <f t="shared" si="1245"/>
        <v>5.6324110671936767E-2</v>
      </c>
      <c r="CP331" s="185">
        <f t="shared" si="1245"/>
        <v>0.12582056892779003</v>
      </c>
      <c r="CQ331" s="170">
        <f>CQ329/CN329-1</f>
        <v>2.9204379858560392E-2</v>
      </c>
      <c r="CR331" s="170">
        <f t="shared" ref="CR331:CS331" si="1246">CR329/CQ329-1</f>
        <v>2.4801021586922767E-2</v>
      </c>
      <c r="CS331" s="170">
        <f t="shared" si="1246"/>
        <v>2.4479147040300075E-2</v>
      </c>
      <c r="CT331" s="170">
        <f t="shared" ref="CT331" si="1247">CT329/CS329-1</f>
        <v>2.5224694876190057E-2</v>
      </c>
      <c r="CU331" s="170">
        <f t="shared" ref="CU331" si="1248">CU329/CT329-1</f>
        <v>2.3842342330750554E-2</v>
      </c>
      <c r="CV331" s="170">
        <f t="shared" ref="CV331:CW331" si="1249">CV329/CU329-1</f>
        <v>2.3621716659277592E-2</v>
      </c>
      <c r="CW331" s="170">
        <f t="shared" si="1249"/>
        <v>2.3449198252120995E-2</v>
      </c>
      <c r="CX331" s="159"/>
      <c r="CY331" s="159"/>
      <c r="CZ331" s="159"/>
      <c r="DA331" s="159"/>
      <c r="DB331" s="159"/>
      <c r="DC331" s="159"/>
      <c r="DD331" s="159"/>
      <c r="EF331" s="221"/>
      <c r="EK331" s="221"/>
      <c r="EL331" s="221"/>
      <c r="EM331" s="221"/>
      <c r="EN331" s="221"/>
      <c r="EO331" s="221"/>
    </row>
    <row r="332" spans="1:152">
      <c r="A332" s="283" t="s">
        <v>62</v>
      </c>
      <c r="B332" s="723"/>
      <c r="C332" s="723"/>
      <c r="D332" s="723"/>
      <c r="E332" s="723"/>
      <c r="F332" s="723">
        <f>F320+F329</f>
        <v>0</v>
      </c>
      <c r="G332" s="723"/>
      <c r="H332" s="723"/>
      <c r="I332" s="723"/>
      <c r="J332" s="723"/>
      <c r="K332" s="723"/>
      <c r="L332" s="723"/>
      <c r="M332" s="723"/>
      <c r="N332" s="723"/>
      <c r="O332" s="723"/>
      <c r="P332" s="723"/>
      <c r="Q332" s="723"/>
      <c r="R332" s="723"/>
      <c r="S332" s="723"/>
      <c r="T332" s="723"/>
      <c r="U332" s="723"/>
      <c r="V332" s="723"/>
      <c r="W332" s="723">
        <f>W$432*W333</f>
        <v>702.41500000000008</v>
      </c>
      <c r="X332" s="723">
        <f>X$432*X333</f>
        <v>718.029</v>
      </c>
      <c r="Y332" s="723">
        <f>Y$432*Y333</f>
        <v>742.36</v>
      </c>
      <c r="Z332" s="723">
        <f>Z$432*Z333</f>
        <v>811.71199999999999</v>
      </c>
      <c r="AA332" s="723">
        <f>SUM(W332:Z332)</f>
        <v>2974.5160000000001</v>
      </c>
      <c r="AB332" s="723">
        <f>AB$432*AB333</f>
        <v>800.48799999999994</v>
      </c>
      <c r="AC332" s="723">
        <f>AC$432*AC333</f>
        <v>787.18500000000006</v>
      </c>
      <c r="AD332" s="723">
        <f>AD$432*AD333</f>
        <v>738.87</v>
      </c>
      <c r="AE332" s="723">
        <f>AE$432*AE333</f>
        <v>758.38400000000001</v>
      </c>
      <c r="AF332" s="723">
        <f>SUM(AB332:AE332)</f>
        <v>3084.9270000000001</v>
      </c>
      <c r="AG332" s="729">
        <v>707.74600000000009</v>
      </c>
      <c r="AH332" s="729">
        <v>651.66600000000005</v>
      </c>
      <c r="AI332" s="729">
        <v>652.54</v>
      </c>
      <c r="AJ332" s="729">
        <v>696.34400000000005</v>
      </c>
      <c r="AK332" s="729">
        <v>2838.6694805769366</v>
      </c>
      <c r="AL332" s="729">
        <v>713.46800000000007</v>
      </c>
      <c r="AM332" s="729">
        <v>649.88</v>
      </c>
      <c r="AN332" s="729">
        <v>689</v>
      </c>
      <c r="AO332" s="729">
        <v>676</v>
      </c>
      <c r="AP332" s="729">
        <v>2728.348</v>
      </c>
      <c r="AQ332" s="723">
        <f>AQ326+AQ329</f>
        <v>182</v>
      </c>
      <c r="AR332" s="723">
        <f>AR326+AR329</f>
        <v>209</v>
      </c>
      <c r="AS332" s="723">
        <f>AS326+AS329</f>
        <v>195</v>
      </c>
      <c r="AT332" s="723">
        <f>AT326+AT329</f>
        <v>206</v>
      </c>
      <c r="AU332" s="723">
        <f>SUM(AQ332:AT332)</f>
        <v>792</v>
      </c>
      <c r="AV332" s="723">
        <f>AV326+AV329</f>
        <v>203</v>
      </c>
      <c r="AW332" s="723">
        <f>AW326+AW329</f>
        <v>195</v>
      </c>
      <c r="AX332" s="723">
        <f>AX326+AX329</f>
        <v>199</v>
      </c>
      <c r="AY332" s="723">
        <f>AY326+AY329</f>
        <v>190</v>
      </c>
      <c r="AZ332" s="723">
        <f>SUM(AV332:AY332)</f>
        <v>787</v>
      </c>
      <c r="BA332" s="723">
        <f t="shared" ref="BA332:CS332" si="1250">BA326+BA329</f>
        <v>200</v>
      </c>
      <c r="BB332" s="723">
        <f t="shared" si="1250"/>
        <v>196</v>
      </c>
      <c r="BC332" s="723">
        <f t="shared" si="1250"/>
        <v>208</v>
      </c>
      <c r="BD332" s="723">
        <f t="shared" si="1250"/>
        <v>280</v>
      </c>
      <c r="BE332" s="723">
        <f>BE326+BE329</f>
        <v>884</v>
      </c>
      <c r="BF332" s="723">
        <f t="shared" si="1250"/>
        <v>151</v>
      </c>
      <c r="BG332" s="723">
        <f t="shared" si="1250"/>
        <v>145</v>
      </c>
      <c r="BH332" s="723">
        <f t="shared" si="1250"/>
        <v>129</v>
      </c>
      <c r="BI332" s="723">
        <f>BI326+BI329</f>
        <v>105</v>
      </c>
      <c r="BJ332" s="723">
        <f t="shared" si="1250"/>
        <v>530</v>
      </c>
      <c r="BK332" s="723">
        <f t="shared" ref="BK332:BV332" si="1251">BK326+BK329</f>
        <v>110</v>
      </c>
      <c r="BL332" s="723">
        <f t="shared" si="1251"/>
        <v>128</v>
      </c>
      <c r="BM332" s="723">
        <f t="shared" si="1251"/>
        <v>107</v>
      </c>
      <c r="BN332" s="723">
        <f t="shared" si="1251"/>
        <v>128</v>
      </c>
      <c r="BO332" s="723">
        <f t="shared" si="1251"/>
        <v>473</v>
      </c>
      <c r="BP332" s="723">
        <f t="shared" si="1251"/>
        <v>118</v>
      </c>
      <c r="BQ332" s="723">
        <f t="shared" si="1251"/>
        <v>117</v>
      </c>
      <c r="BR332" s="723">
        <f t="shared" si="1251"/>
        <v>125</v>
      </c>
      <c r="BS332" s="723">
        <f t="shared" si="1251"/>
        <v>119</v>
      </c>
      <c r="BT332" s="723">
        <f t="shared" si="1251"/>
        <v>479</v>
      </c>
      <c r="BU332" s="723">
        <f t="shared" si="1251"/>
        <v>1104</v>
      </c>
      <c r="BV332" s="723">
        <f t="shared" si="1251"/>
        <v>1053</v>
      </c>
      <c r="BW332" s="723">
        <f t="shared" ref="BW332:BY332" si="1252">BW326+BW329</f>
        <v>1022</v>
      </c>
      <c r="BX332" s="723">
        <f t="shared" si="1252"/>
        <v>1170</v>
      </c>
      <c r="BY332" s="723">
        <f t="shared" si="1252"/>
        <v>4349</v>
      </c>
      <c r="BZ332" s="723">
        <f t="shared" si="1250"/>
        <v>1161</v>
      </c>
      <c r="CA332" s="723">
        <f t="shared" ref="CA332:CB332" si="1253">CA326+CA329</f>
        <v>1082</v>
      </c>
      <c r="CB332" s="723">
        <f t="shared" si="1253"/>
        <v>1034</v>
      </c>
      <c r="CC332" s="723">
        <f t="shared" ref="CC332:CD332" si="1254">CC326+CC329</f>
        <v>1311</v>
      </c>
      <c r="CD332" s="723">
        <f t="shared" si="1254"/>
        <v>4588</v>
      </c>
      <c r="CE332" s="723">
        <f t="shared" ref="CE332:CF332" si="1255">CE326+CE329</f>
        <v>1175</v>
      </c>
      <c r="CF332" s="723">
        <f t="shared" si="1255"/>
        <v>1135</v>
      </c>
      <c r="CG332" s="723">
        <f t="shared" ref="CG332:CJ332" si="1256">CG326+CG329</f>
        <v>1120</v>
      </c>
      <c r="CH332" s="723">
        <f t="shared" si="1256"/>
        <v>1345</v>
      </c>
      <c r="CI332" s="723">
        <f t="shared" si="1256"/>
        <v>4775</v>
      </c>
      <c r="CJ332" s="723">
        <f t="shared" si="1256"/>
        <v>1158</v>
      </c>
      <c r="CK332" s="723">
        <f t="shared" ref="CK332:CL332" si="1257">CK326+CK329</f>
        <v>1064</v>
      </c>
      <c r="CL332" s="723">
        <f t="shared" si="1257"/>
        <v>1102</v>
      </c>
      <c r="CM332" s="723">
        <f t="shared" ref="CM332:CP332" si="1258">CM326+CM329</f>
        <v>1406</v>
      </c>
      <c r="CN332" s="723">
        <f t="shared" si="1258"/>
        <v>4730</v>
      </c>
      <c r="CO332" s="723">
        <f t="shared" si="1258"/>
        <v>1223</v>
      </c>
      <c r="CP332" s="723">
        <f t="shared" si="1258"/>
        <v>1161</v>
      </c>
      <c r="CQ332" s="723">
        <f t="shared" si="1250"/>
        <v>4824.0327742280579</v>
      </c>
      <c r="CR332" s="723">
        <f t="shared" si="1250"/>
        <v>4935.8495232359764</v>
      </c>
      <c r="CS332" s="723">
        <f t="shared" si="1250"/>
        <v>5052.1093622761864</v>
      </c>
      <c r="CT332" s="723">
        <f t="shared" ref="CT332:CV332" si="1259">CT326+CT329</f>
        <v>5174.086696107317</v>
      </c>
      <c r="CU332" s="723">
        <f t="shared" si="1259"/>
        <v>5292.3878690666652</v>
      </c>
      <c r="CV332" s="723">
        <f t="shared" si="1259"/>
        <v>5412.0915546901942</v>
      </c>
      <c r="CW332" s="723">
        <f t="shared" ref="CW332" si="1260">CW326+CW329</f>
        <v>5533.4409477248892</v>
      </c>
      <c r="CX332" s="165"/>
      <c r="CY332" s="165"/>
      <c r="CZ332" s="165"/>
      <c r="DA332" s="165"/>
      <c r="DB332" s="221" t="s">
        <v>64</v>
      </c>
      <c r="DC332" s="170">
        <v>0.41062801932367154</v>
      </c>
      <c r="DD332" s="170">
        <v>0.28724315068493156</v>
      </c>
      <c r="DE332" s="170">
        <v>0.10874625872963084</v>
      </c>
      <c r="DF332" s="170"/>
      <c r="DG332" s="170"/>
      <c r="DH332" s="170"/>
      <c r="EQ332" s="286">
        <v>39956</v>
      </c>
      <c r="ER332" s="287">
        <v>1.0036</v>
      </c>
    </row>
    <row r="333" spans="1:152">
      <c r="A333" s="226" t="s">
        <v>63</v>
      </c>
      <c r="B333" s="204"/>
      <c r="C333" s="204"/>
      <c r="D333" s="204"/>
      <c r="E333" s="204"/>
      <c r="F333" s="204"/>
      <c r="G333" s="204"/>
      <c r="H333" s="204"/>
      <c r="I333" s="204"/>
      <c r="J333" s="204"/>
      <c r="K333" s="204"/>
      <c r="L333" s="204"/>
      <c r="M333" s="204"/>
      <c r="N333" s="204"/>
      <c r="O333" s="204"/>
      <c r="P333" s="204"/>
      <c r="Q333" s="204"/>
      <c r="R333" s="204"/>
      <c r="S333" s="204"/>
      <c r="T333" s="204"/>
      <c r="U333" s="204"/>
      <c r="V333" s="204"/>
      <c r="W333" s="304">
        <v>0.32900000000000001</v>
      </c>
      <c r="X333" s="304">
        <v>0.32300000000000001</v>
      </c>
      <c r="Y333" s="304">
        <v>0.33500000000000002</v>
      </c>
      <c r="Z333" s="304">
        <v>0.35199999999999998</v>
      </c>
      <c r="AA333" s="204">
        <f>AA332/AA30</f>
        <v>0.33496801801801801</v>
      </c>
      <c r="AB333" s="304">
        <v>0.34399999999999997</v>
      </c>
      <c r="AC333" s="304">
        <v>0.34300000000000003</v>
      </c>
      <c r="AD333" s="304">
        <v>0.33</v>
      </c>
      <c r="AE333" s="304">
        <v>0.34100000000000003</v>
      </c>
      <c r="AF333" s="204">
        <f t="shared" ref="AF333:BK333" si="1261">AF332/AF30</f>
        <v>0.34169250004319718</v>
      </c>
      <c r="AG333" s="204">
        <f t="shared" si="1261"/>
        <v>0.33400000000000002</v>
      </c>
      <c r="AH333" s="204">
        <f t="shared" si="1261"/>
        <v>0.313</v>
      </c>
      <c r="AI333" s="204">
        <f t="shared" si="1261"/>
        <v>0.316</v>
      </c>
      <c r="AJ333" s="204">
        <f t="shared" si="1261"/>
        <v>0.32800000000000001</v>
      </c>
      <c r="AK333" s="204">
        <f t="shared" si="1261"/>
        <v>0.33777599721286727</v>
      </c>
      <c r="AL333" s="204">
        <f t="shared" si="1261"/>
        <v>0.33200000000000002</v>
      </c>
      <c r="AM333" s="204">
        <f t="shared" si="1261"/>
        <v>0.308</v>
      </c>
      <c r="AN333" s="204">
        <f t="shared" si="1261"/>
        <v>0.31809787626962144</v>
      </c>
      <c r="AO333" s="204">
        <f t="shared" si="1261"/>
        <v>0.31066176470588236</v>
      </c>
      <c r="AP333" s="204">
        <f t="shared" si="1261"/>
        <v>0.31721288222299732</v>
      </c>
      <c r="AQ333" s="204">
        <f t="shared" si="1261"/>
        <v>8.5046728971962623E-2</v>
      </c>
      <c r="AR333" s="204">
        <f t="shared" si="1261"/>
        <v>9.9429115128449097E-2</v>
      </c>
      <c r="AS333" s="204">
        <f t="shared" si="1261"/>
        <v>9.0445269016697583E-2</v>
      </c>
      <c r="AT333" s="204">
        <f t="shared" si="1261"/>
        <v>9.3044263775971095E-2</v>
      </c>
      <c r="AU333" s="204">
        <f t="shared" si="1261"/>
        <v>9.1964700418021364E-2</v>
      </c>
      <c r="AV333" s="204">
        <f t="shared" si="1261"/>
        <v>8.5473684210526313E-2</v>
      </c>
      <c r="AW333" s="204">
        <f t="shared" si="1261"/>
        <v>8.3511777301927201E-2</v>
      </c>
      <c r="AX333" s="204">
        <f t="shared" si="1261"/>
        <v>8.529789969995713E-2</v>
      </c>
      <c r="AY333" s="204">
        <f t="shared" si="1261"/>
        <v>7.9966329966329963E-2</v>
      </c>
      <c r="AZ333" s="204">
        <f t="shared" si="1261"/>
        <v>8.355451746469901E-2</v>
      </c>
      <c r="BA333" s="204">
        <f t="shared" si="1261"/>
        <v>8.9405453732677692E-2</v>
      </c>
      <c r="BB333" s="204">
        <f t="shared" si="1261"/>
        <v>8.7266251113089943E-2</v>
      </c>
      <c r="BC333" s="204">
        <f t="shared" si="1261"/>
        <v>9.187279151943463E-2</v>
      </c>
      <c r="BD333" s="204">
        <f t="shared" si="1261"/>
        <v>0.11451942740286299</v>
      </c>
      <c r="BE333" s="204">
        <f t="shared" si="1261"/>
        <v>9.6170583115752828E-2</v>
      </c>
      <c r="BF333" s="204">
        <f t="shared" si="1261"/>
        <v>6.7652329749103943E-2</v>
      </c>
      <c r="BG333" s="204">
        <f t="shared" si="1261"/>
        <v>6.5729827742520397E-2</v>
      </c>
      <c r="BH333" s="204">
        <f t="shared" si="1261"/>
        <v>5.6455142231947482E-2</v>
      </c>
      <c r="BI333" s="204">
        <f t="shared" si="1261"/>
        <v>4.0540540540540543E-2</v>
      </c>
      <c r="BJ333" s="204">
        <f t="shared" si="1261"/>
        <v>5.6909696123698054E-2</v>
      </c>
      <c r="BK333" s="204">
        <f t="shared" si="1261"/>
        <v>4.698846646732166E-2</v>
      </c>
      <c r="BL333" s="204">
        <f t="shared" ref="BL333:CW333" si="1262">BL332/BL30</f>
        <v>5.9507205950720593E-2</v>
      </c>
      <c r="BM333" s="204">
        <f t="shared" si="1262"/>
        <v>4.8350655219159509E-2</v>
      </c>
      <c r="BN333" s="204">
        <f t="shared" si="1262"/>
        <v>5.6612118531623179E-2</v>
      </c>
      <c r="BO333" s="204">
        <f t="shared" si="1262"/>
        <v>5.2754851661833593E-2</v>
      </c>
      <c r="BP333" s="204">
        <f t="shared" si="1262"/>
        <v>5.2678571428571429E-2</v>
      </c>
      <c r="BQ333" s="204">
        <f t="shared" si="1262"/>
        <v>5.1451187335092345E-2</v>
      </c>
      <c r="BR333" s="204">
        <f t="shared" si="1262"/>
        <v>5.5041831792162044E-2</v>
      </c>
      <c r="BS333" s="204">
        <f t="shared" si="1262"/>
        <v>4.8452768729641695E-2</v>
      </c>
      <c r="BT333" s="204">
        <f t="shared" si="1262"/>
        <v>5.1834217076074017E-2</v>
      </c>
      <c r="BU333" s="185">
        <f t="shared" si="1262"/>
        <v>0.45885286783042395</v>
      </c>
      <c r="BV333" s="185">
        <f t="shared" si="1262"/>
        <v>0.4344059405940594</v>
      </c>
      <c r="BW333" s="185">
        <f t="shared" si="1262"/>
        <v>0.42494802494802497</v>
      </c>
      <c r="BX333" s="185">
        <f t="shared" si="1262"/>
        <v>0.45810493343774472</v>
      </c>
      <c r="BY333" s="204">
        <f t="shared" si="1262"/>
        <v>0.44427418531004187</v>
      </c>
      <c r="BZ333" s="185">
        <f t="shared" si="1262"/>
        <v>0.45961995249406173</v>
      </c>
      <c r="CA333" s="185">
        <f t="shared" ref="CA333:CB333" si="1263">CA332/CA30</f>
        <v>0.43805668016194332</v>
      </c>
      <c r="CB333" s="185">
        <f t="shared" si="1263"/>
        <v>0.42342342342342343</v>
      </c>
      <c r="CC333" s="185">
        <f t="shared" ref="CC333:CD333" si="1264">CC332/CC30</f>
        <v>0.47811816192560175</v>
      </c>
      <c r="CD333" s="204">
        <f t="shared" si="1264"/>
        <v>0.45068762278978391</v>
      </c>
      <c r="CE333" s="185">
        <f t="shared" ref="CE333:CF333" si="1265">CE332/CE30</f>
        <v>0.45140222819823284</v>
      </c>
      <c r="CF333" s="185">
        <f t="shared" si="1265"/>
        <v>0.43890177880897141</v>
      </c>
      <c r="CG333" s="185">
        <f t="shared" ref="CG333:CJ333" si="1266">CG332/CG30</f>
        <v>0.43478260869565216</v>
      </c>
      <c r="CH333" s="185">
        <f t="shared" si="1266"/>
        <v>0.48538433778419343</v>
      </c>
      <c r="CI333" s="204">
        <f t="shared" si="1266"/>
        <v>0.45320804859529235</v>
      </c>
      <c r="CJ333" s="185">
        <f t="shared" si="1266"/>
        <v>0.44401840490797545</v>
      </c>
      <c r="CK333" s="185">
        <f t="shared" ref="CK333:CL333" si="1267">CK332/CK30</f>
        <v>0.41530054644808745</v>
      </c>
      <c r="CL333" s="185">
        <f t="shared" si="1267"/>
        <v>0.42564696794129009</v>
      </c>
      <c r="CM333" s="185">
        <f t="shared" ref="CM333:CP333" si="1268">CM332/CM30</f>
        <v>0.48887343532684285</v>
      </c>
      <c r="CN333" s="204">
        <f t="shared" si="1268"/>
        <v>0.44475787494123176</v>
      </c>
      <c r="CO333" s="185">
        <f t="shared" si="1268"/>
        <v>0.44782131087513732</v>
      </c>
      <c r="CP333" s="185">
        <f t="shared" si="1268"/>
        <v>0.43712349397590361</v>
      </c>
      <c r="CQ333" s="204">
        <f t="shared" si="1262"/>
        <v>0.44072849432077404</v>
      </c>
      <c r="CR333" s="204">
        <f t="shared" si="1262"/>
        <v>0.44003096763490668</v>
      </c>
      <c r="CS333" s="204">
        <f t="shared" si="1262"/>
        <v>0.43963367451410545</v>
      </c>
      <c r="CT333" s="204">
        <f t="shared" si="1262"/>
        <v>0.4391701868427772</v>
      </c>
      <c r="CU333" s="204">
        <f t="shared" si="1262"/>
        <v>0.43875060443523561</v>
      </c>
      <c r="CV333" s="204">
        <f t="shared" si="1262"/>
        <v>0.43832042264642967</v>
      </c>
      <c r="CW333" s="204">
        <f t="shared" si="1262"/>
        <v>0.43788045513730389</v>
      </c>
      <c r="CX333" s="159"/>
      <c r="CY333" s="159"/>
      <c r="CZ333" s="159"/>
      <c r="DA333" s="159"/>
      <c r="DB333" s="159"/>
      <c r="DC333" s="159"/>
      <c r="DD333" s="159"/>
    </row>
    <row r="334" spans="1:152">
      <c r="A334" s="226" t="s">
        <v>64</v>
      </c>
      <c r="B334" s="204"/>
      <c r="C334" s="204"/>
      <c r="D334" s="204"/>
      <c r="E334" s="204"/>
      <c r="F334" s="204"/>
      <c r="G334" s="204"/>
      <c r="H334" s="204"/>
      <c r="I334" s="204"/>
      <c r="J334" s="204"/>
      <c r="K334" s="204"/>
      <c r="L334" s="204"/>
      <c r="M334" s="204"/>
      <c r="N334" s="204"/>
      <c r="O334" s="204"/>
      <c r="P334" s="204"/>
      <c r="Q334" s="204"/>
      <c r="R334" s="204"/>
      <c r="S334" s="204"/>
      <c r="T334" s="204"/>
      <c r="U334" s="204"/>
      <c r="V334" s="204"/>
      <c r="W334" s="204"/>
      <c r="X334" s="204"/>
      <c r="Y334" s="204"/>
      <c r="Z334" s="204"/>
      <c r="AA334" s="204"/>
      <c r="AB334" s="204">
        <f t="shared" ref="AB334:CP334" si="1269">AB332/W332-1</f>
        <v>0.13962258778642234</v>
      </c>
      <c r="AC334" s="204">
        <f t="shared" si="1269"/>
        <v>9.6313658640528432E-2</v>
      </c>
      <c r="AD334" s="204">
        <f t="shared" si="1269"/>
        <v>-4.7012231262459903E-3</v>
      </c>
      <c r="AE334" s="204">
        <f t="shared" si="1269"/>
        <v>-6.569817866435379E-2</v>
      </c>
      <c r="AF334" s="204">
        <f t="shared" si="1269"/>
        <v>3.7118980029019921E-2</v>
      </c>
      <c r="AG334" s="170">
        <f t="shared" si="1269"/>
        <v>-0.11585682733532532</v>
      </c>
      <c r="AH334" s="170">
        <f t="shared" si="1269"/>
        <v>-0.17215648164027519</v>
      </c>
      <c r="AI334" s="170">
        <f t="shared" si="1269"/>
        <v>-0.1168405808870302</v>
      </c>
      <c r="AJ334" s="170">
        <f t="shared" si="1269"/>
        <v>-8.1805523323276841E-2</v>
      </c>
      <c r="AK334" s="170">
        <f t="shared" si="1269"/>
        <v>-7.9826044319059597E-2</v>
      </c>
      <c r="AL334" s="170">
        <f t="shared" si="1269"/>
        <v>8.0848213907249722E-3</v>
      </c>
      <c r="AM334" s="170">
        <f t="shared" si="1269"/>
        <v>-2.7406677653890599E-3</v>
      </c>
      <c r="AN334" s="170">
        <f t="shared" si="1269"/>
        <v>5.5873969411836866E-2</v>
      </c>
      <c r="AO334" s="170">
        <f t="shared" si="1269"/>
        <v>-2.9215445239709203E-2</v>
      </c>
      <c r="AP334" s="170">
        <f t="shared" si="1269"/>
        <v>-3.8863799160765544E-2</v>
      </c>
      <c r="AQ334" s="170">
        <f t="shared" si="1269"/>
        <v>-0.74490797064479419</v>
      </c>
      <c r="AR334" s="170">
        <f t="shared" si="1269"/>
        <v>-0.67840216655382535</v>
      </c>
      <c r="AS334" s="170">
        <f t="shared" si="1269"/>
        <v>-0.71698113207547176</v>
      </c>
      <c r="AT334" s="170">
        <f t="shared" si="1269"/>
        <v>-0.69526627218934911</v>
      </c>
      <c r="AU334" s="170">
        <f t="shared" si="1269"/>
        <v>-0.70971444991621302</v>
      </c>
      <c r="AV334" s="170">
        <f t="shared" si="1269"/>
        <v>0.11538461538461542</v>
      </c>
      <c r="AW334" s="170">
        <f t="shared" si="1269"/>
        <v>-6.6985645933014371E-2</v>
      </c>
      <c r="AX334" s="170">
        <f t="shared" si="1269"/>
        <v>2.051282051282044E-2</v>
      </c>
      <c r="AY334" s="170">
        <f t="shared" si="1269"/>
        <v>-7.7669902912621325E-2</v>
      </c>
      <c r="AZ334" s="170">
        <f t="shared" si="1269"/>
        <v>-6.3131313131312705E-3</v>
      </c>
      <c r="BA334" s="170">
        <f t="shared" si="1269"/>
        <v>-1.4778325123152691E-2</v>
      </c>
      <c r="BB334" s="170">
        <f t="shared" si="1269"/>
        <v>5.12820512820511E-3</v>
      </c>
      <c r="BC334" s="170">
        <f t="shared" si="1269"/>
        <v>4.5226130653266416E-2</v>
      </c>
      <c r="BD334" s="170">
        <f t="shared" si="1269"/>
        <v>0.47368421052631571</v>
      </c>
      <c r="BE334" s="170">
        <f>BE332/AZ332-1</f>
        <v>0.12325285895806859</v>
      </c>
      <c r="BF334" s="170">
        <f t="shared" si="1269"/>
        <v>-0.245</v>
      </c>
      <c r="BG334" s="170">
        <f t="shared" si="1269"/>
        <v>-0.26020408163265307</v>
      </c>
      <c r="BH334" s="170">
        <f t="shared" si="1269"/>
        <v>-0.37980769230769229</v>
      </c>
      <c r="BI334" s="170">
        <f t="shared" si="1269"/>
        <v>-0.625</v>
      </c>
      <c r="BJ334" s="170">
        <f>BJ332/BE332-1</f>
        <v>-0.40045248868778283</v>
      </c>
      <c r="BK334" s="170">
        <f t="shared" si="1269"/>
        <v>-0.27152317880794707</v>
      </c>
      <c r="BL334" s="170">
        <f t="shared" si="1269"/>
        <v>-0.11724137931034484</v>
      </c>
      <c r="BM334" s="170">
        <f t="shared" si="1269"/>
        <v>-0.1705426356589147</v>
      </c>
      <c r="BN334" s="170">
        <f t="shared" si="1269"/>
        <v>0.21904761904761916</v>
      </c>
      <c r="BO334" s="170">
        <f>BO332/BJ332-1</f>
        <v>-0.10754716981132073</v>
      </c>
      <c r="BP334" s="170">
        <f t="shared" si="1269"/>
        <v>7.2727272727272751E-2</v>
      </c>
      <c r="BQ334" s="170">
        <f t="shared" si="1269"/>
        <v>-8.59375E-2</v>
      </c>
      <c r="BR334" s="170">
        <f t="shared" si="1269"/>
        <v>0.16822429906542058</v>
      </c>
      <c r="BS334" s="170">
        <f t="shared" si="1269"/>
        <v>-7.03125E-2</v>
      </c>
      <c r="BT334" s="170">
        <f>BT332/BO332-1</f>
        <v>1.2684989429175397E-2</v>
      </c>
      <c r="BU334" s="170">
        <f t="shared" si="1269"/>
        <v>8.3559322033898304</v>
      </c>
      <c r="BV334" s="170">
        <f t="shared" si="1269"/>
        <v>8</v>
      </c>
      <c r="BW334" s="170">
        <f t="shared" si="1269"/>
        <v>7.1760000000000002</v>
      </c>
      <c r="BX334" s="170">
        <f t="shared" si="1269"/>
        <v>8.8319327731092443</v>
      </c>
      <c r="BY334" s="170">
        <f>BY332/BT332-1</f>
        <v>8.0793319415448845</v>
      </c>
      <c r="BZ334" s="170">
        <f t="shared" si="1269"/>
        <v>5.1630434782608647E-2</v>
      </c>
      <c r="CA334" s="170">
        <f t="shared" si="1269"/>
        <v>2.7540360873694159E-2</v>
      </c>
      <c r="CB334" s="170">
        <f t="shared" si="1269"/>
        <v>1.1741682974559797E-2</v>
      </c>
      <c r="CC334" s="170">
        <f t="shared" si="1269"/>
        <v>0.12051282051282053</v>
      </c>
      <c r="CD334" s="170">
        <f>CD332/BY332-1</f>
        <v>5.4955162106231414E-2</v>
      </c>
      <c r="CE334" s="170">
        <f t="shared" si="1269"/>
        <v>1.2058570198105079E-2</v>
      </c>
      <c r="CF334" s="170">
        <f t="shared" si="1269"/>
        <v>4.8983364140480656E-2</v>
      </c>
      <c r="CG334" s="170">
        <f t="shared" si="1269"/>
        <v>8.3172147001934205E-2</v>
      </c>
      <c r="CH334" s="170">
        <f t="shared" si="1269"/>
        <v>2.5934401220442327E-2</v>
      </c>
      <c r="CI334" s="170">
        <f>CI332/CD332-1</f>
        <v>4.0758500435919887E-2</v>
      </c>
      <c r="CJ334" s="170">
        <f t="shared" si="1269"/>
        <v>-1.4468085106382977E-2</v>
      </c>
      <c r="CK334" s="170">
        <f t="shared" si="1269"/>
        <v>-6.2555066079295174E-2</v>
      </c>
      <c r="CL334" s="170">
        <f t="shared" si="1269"/>
        <v>-1.6071428571428625E-2</v>
      </c>
      <c r="CM334" s="170">
        <f t="shared" si="1269"/>
        <v>4.5353159851301061E-2</v>
      </c>
      <c r="CN334" s="170">
        <f>CN332/CI332-1</f>
        <v>-9.4240837696335511E-3</v>
      </c>
      <c r="CO334" s="170">
        <f t="shared" si="1269"/>
        <v>5.6131260794473281E-2</v>
      </c>
      <c r="CP334" s="170">
        <f t="shared" si="1269"/>
        <v>9.1165413533834672E-2</v>
      </c>
      <c r="CQ334" s="170">
        <f>CQ332/CN332-1</f>
        <v>1.988007911798273E-2</v>
      </c>
      <c r="CR334" s="170">
        <f t="shared" ref="CR334:CS334" si="1270">CR332/CQ332-1</f>
        <v>2.3179102265906915E-2</v>
      </c>
      <c r="CS334" s="170">
        <f t="shared" si="1270"/>
        <v>2.3554170055814172E-2</v>
      </c>
      <c r="CT334" s="170">
        <f t="shared" ref="CT334" si="1271">CT332/CS332-1</f>
        <v>2.4143842716851882E-2</v>
      </c>
      <c r="CU334" s="170">
        <f t="shared" ref="CU334" si="1272">CU332/CT332-1</f>
        <v>2.2864165196217368E-2</v>
      </c>
      <c r="CV334" s="170">
        <f t="shared" ref="CV334:CW334" si="1273">CV332/CU332-1</f>
        <v>2.261808631283091E-2</v>
      </c>
      <c r="CW334" s="170">
        <f t="shared" si="1273"/>
        <v>2.2421903215870786E-2</v>
      </c>
      <c r="CX334" s="159"/>
      <c r="CY334" s="159"/>
      <c r="CZ334" s="159"/>
      <c r="DA334" s="159"/>
      <c r="DB334" s="159"/>
      <c r="DC334" s="159"/>
      <c r="DD334" s="159"/>
    </row>
    <row r="335" spans="1:152">
      <c r="A335" s="226"/>
      <c r="B335" s="204"/>
      <c r="C335" s="204"/>
      <c r="D335" s="204"/>
      <c r="E335" s="204"/>
      <c r="F335" s="204"/>
      <c r="G335" s="204"/>
      <c r="H335" s="204"/>
      <c r="I335" s="204"/>
      <c r="J335" s="204"/>
      <c r="K335" s="204"/>
      <c r="L335" s="204"/>
      <c r="M335" s="204"/>
      <c r="N335" s="204"/>
      <c r="O335" s="204"/>
      <c r="P335" s="204"/>
      <c r="Q335" s="204"/>
      <c r="R335" s="204"/>
      <c r="S335" s="204"/>
      <c r="T335" s="204"/>
      <c r="U335" s="204"/>
      <c r="V335" s="204"/>
      <c r="W335" s="204"/>
      <c r="X335" s="204"/>
      <c r="Y335" s="204"/>
      <c r="Z335" s="204"/>
      <c r="AA335" s="204"/>
      <c r="AB335" s="204"/>
      <c r="AC335" s="204"/>
      <c r="AD335" s="204"/>
      <c r="AE335" s="204"/>
      <c r="AF335" s="204"/>
      <c r="AG335" s="204"/>
      <c r="AH335" s="204"/>
      <c r="AI335" s="204"/>
      <c r="AJ335" s="204"/>
      <c r="AK335" s="204"/>
      <c r="AL335" s="204"/>
      <c r="AM335" s="204"/>
      <c r="AN335" s="204"/>
      <c r="AO335" s="204"/>
      <c r="AP335" s="204"/>
      <c r="AQ335" s="204"/>
      <c r="AR335" s="204"/>
      <c r="AS335" s="204"/>
      <c r="AT335" s="170"/>
      <c r="AU335" s="170"/>
      <c r="AV335" s="170"/>
      <c r="AW335" s="170"/>
      <c r="AX335" s="170"/>
      <c r="AY335" s="170"/>
      <c r="AZ335" s="170"/>
      <c r="BA335" s="170"/>
      <c r="BB335" s="170"/>
      <c r="BC335" s="170"/>
      <c r="BD335" s="170"/>
      <c r="BE335" s="159"/>
      <c r="BF335" s="170"/>
      <c r="BG335" s="170"/>
      <c r="BH335" s="170"/>
      <c r="BI335" s="170"/>
      <c r="BJ335" s="159"/>
      <c r="BK335" s="170"/>
      <c r="BL335" s="170"/>
      <c r="BM335" s="170"/>
      <c r="BN335" s="170"/>
      <c r="BO335" s="159"/>
      <c r="BP335" s="170"/>
      <c r="BQ335" s="170"/>
      <c r="BR335" s="170"/>
      <c r="BS335" s="170"/>
      <c r="BT335" s="159"/>
      <c r="BU335" s="170"/>
      <c r="BV335" s="170"/>
      <c r="BW335" s="170"/>
      <c r="BX335" s="170"/>
      <c r="BY335" s="159"/>
      <c r="BZ335" s="170"/>
      <c r="CA335" s="170"/>
      <c r="CB335" s="170"/>
      <c r="CC335" s="170"/>
      <c r="CD335" s="159"/>
      <c r="CE335" s="170"/>
      <c r="CF335" s="170"/>
      <c r="CG335" s="170"/>
      <c r="CH335" s="170"/>
      <c r="CI335" s="159"/>
      <c r="CJ335" s="170"/>
      <c r="CK335" s="170"/>
      <c r="CL335" s="170"/>
      <c r="CM335" s="170"/>
      <c r="CN335" s="159"/>
      <c r="CO335" s="170"/>
      <c r="CP335" s="170"/>
      <c r="CQ335" s="159"/>
      <c r="CR335" s="159"/>
      <c r="CS335" s="159"/>
      <c r="CT335" s="159"/>
      <c r="CU335" s="159"/>
      <c r="CV335" s="159"/>
      <c r="CW335" s="159"/>
      <c r="CX335" s="159"/>
      <c r="CY335" s="159"/>
      <c r="CZ335" s="159"/>
      <c r="DA335" s="159"/>
      <c r="DB335" s="159"/>
      <c r="DC335" s="165"/>
      <c r="DD335" s="165"/>
    </row>
    <row r="336" spans="1:152">
      <c r="A336" s="235" t="s">
        <v>722</v>
      </c>
      <c r="B336" s="720"/>
      <c r="C336" s="720"/>
      <c r="D336" s="720"/>
      <c r="E336" s="720"/>
      <c r="F336" s="720"/>
      <c r="G336" s="720"/>
      <c r="H336" s="720"/>
      <c r="I336" s="720"/>
      <c r="J336" s="720"/>
      <c r="K336" s="720"/>
      <c r="L336" s="720"/>
      <c r="M336" s="720"/>
      <c r="N336" s="720"/>
      <c r="O336" s="720"/>
      <c r="P336" s="720"/>
      <c r="Q336" s="720"/>
      <c r="R336" s="720"/>
      <c r="S336" s="720"/>
      <c r="T336" s="720"/>
      <c r="U336" s="720"/>
      <c r="V336" s="720"/>
      <c r="W336" s="720"/>
      <c r="X336" s="720"/>
      <c r="Y336" s="720"/>
      <c r="Z336" s="720"/>
      <c r="AA336" s="720"/>
      <c r="AB336" s="720"/>
      <c r="AC336" s="720"/>
      <c r="AD336" s="720"/>
      <c r="AE336" s="720"/>
      <c r="AF336" s="720"/>
      <c r="AG336" s="720"/>
      <c r="AH336" s="720"/>
      <c r="AI336" s="720"/>
      <c r="AJ336" s="720"/>
      <c r="AK336" s="720"/>
      <c r="AL336" s="720"/>
      <c r="AM336" s="720"/>
      <c r="AN336" s="720"/>
      <c r="AO336" s="720"/>
      <c r="AP336" s="720"/>
      <c r="AQ336" s="720"/>
      <c r="AR336" s="720"/>
      <c r="AS336" s="720"/>
      <c r="AT336" s="720"/>
      <c r="AU336" s="720"/>
      <c r="AV336" s="720"/>
      <c r="AW336" s="720"/>
      <c r="AX336" s="720"/>
      <c r="AY336" s="720"/>
      <c r="AZ336" s="720"/>
      <c r="BA336" s="720"/>
      <c r="BB336" s="720"/>
      <c r="BC336" s="720"/>
      <c r="BD336" s="720"/>
      <c r="BE336" s="720"/>
      <c r="BF336" s="720"/>
      <c r="BG336" s="720"/>
      <c r="BH336" s="720"/>
      <c r="BI336" s="720"/>
      <c r="BJ336" s="720"/>
      <c r="BK336" s="720"/>
      <c r="BL336" s="720"/>
      <c r="BM336" s="720"/>
      <c r="BN336" s="720"/>
      <c r="BO336" s="720"/>
      <c r="BP336" s="720"/>
      <c r="BQ336" s="720"/>
      <c r="BR336" s="720"/>
      <c r="BS336" s="720"/>
      <c r="BT336" s="720"/>
      <c r="BU336" s="730">
        <f>'[3]Profit and Loss Highlights'!AQ$42</f>
        <v>66</v>
      </c>
      <c r="BV336" s="730">
        <f>'[3]Profit and Loss Highlights'!AR$42</f>
        <v>67</v>
      </c>
      <c r="BW336" s="730">
        <f>'[3]Profit and Loss Highlights'!AS$42</f>
        <v>63</v>
      </c>
      <c r="BX336" s="730">
        <f>'[3]Profit and Loss Highlights'!AT$42</f>
        <v>63</v>
      </c>
      <c r="BY336" s="693">
        <f>SUM(BU336:BX336)</f>
        <v>259</v>
      </c>
      <c r="BZ336" s="730">
        <f>'[3]Profit and Loss Highlights'!AU$42</f>
        <v>61</v>
      </c>
      <c r="CA336" s="730">
        <f>'[3]Profit and Loss Highlights'!AV$42</f>
        <v>62</v>
      </c>
      <c r="CB336" s="730">
        <f>'[3]Profit and Loss Highlights'!AW$42</f>
        <v>62</v>
      </c>
      <c r="CC336" s="730">
        <f>'[3]Profit and Loss Highlights'!AX$42</f>
        <v>62</v>
      </c>
      <c r="CD336" s="693">
        <f>SUM(BZ336:CC336)</f>
        <v>247</v>
      </c>
      <c r="CE336" s="730">
        <f>'[3]Profit and Loss Highlights'!AY$42</f>
        <v>62</v>
      </c>
      <c r="CF336" s="730">
        <f>'[3]Profit and Loss Highlights'!AZ$42</f>
        <v>62</v>
      </c>
      <c r="CG336" s="730">
        <f>'[3]Profit and Loss Highlights'!BA$42</f>
        <v>62</v>
      </c>
      <c r="CH336" s="730">
        <f>'[3]Profit and Loss Highlights'!BB$42</f>
        <v>62</v>
      </c>
      <c r="CI336" s="693">
        <f>SUM(CE336:CH336)</f>
        <v>248</v>
      </c>
      <c r="CJ336" s="730">
        <f>'[3]Profit and Loss Highlights'!BC$42</f>
        <v>62</v>
      </c>
      <c r="CK336" s="730">
        <f>'[3]Profit and Loss Highlights'!BD$42</f>
        <v>63</v>
      </c>
      <c r="CL336" s="730">
        <f>'[3]Profit and Loss Highlights'!BE$42</f>
        <v>61</v>
      </c>
      <c r="CM336" s="730">
        <f>'[3]Profit and Loss Highlights'!BF$42</f>
        <v>62</v>
      </c>
      <c r="CN336" s="693">
        <f>SUM(CJ336:CM336)</f>
        <v>248</v>
      </c>
      <c r="CO336" s="730">
        <f>'[3]Profit and Loss Highlights'!BG$42</f>
        <v>66</v>
      </c>
      <c r="CP336" s="730">
        <f>'[3]Profit and Loss Highlights'!BH$42</f>
        <v>66</v>
      </c>
      <c r="CQ336" s="720">
        <f t="shared" ref="CQ336:CW336" si="1274">CQ337*CQ30</f>
        <v>273.63971449489475</v>
      </c>
      <c r="CR336" s="720">
        <f t="shared" si="1274"/>
        <v>280.42625896112196</v>
      </c>
      <c r="CS336" s="720">
        <f t="shared" si="1274"/>
        <v>287.29085458819259</v>
      </c>
      <c r="CT336" s="720">
        <f t="shared" si="1274"/>
        <v>294.53767873589965</v>
      </c>
      <c r="CU336" s="720">
        <f t="shared" si="1274"/>
        <v>301.5601469016255</v>
      </c>
      <c r="CV336" s="720">
        <f t="shared" si="1274"/>
        <v>308.68351524746589</v>
      </c>
      <c r="CW336" s="720">
        <f t="shared" si="1274"/>
        <v>315.9218961936653</v>
      </c>
      <c r="CX336" s="159"/>
      <c r="CY336" s="159"/>
      <c r="CZ336" s="159"/>
      <c r="DA336" s="159"/>
      <c r="DB336" s="159"/>
      <c r="DC336" s="165"/>
      <c r="DD336" s="165"/>
    </row>
    <row r="337" spans="1:145">
      <c r="A337" s="226" t="s">
        <v>63</v>
      </c>
      <c r="B337" s="204"/>
      <c r="C337" s="204"/>
      <c r="D337" s="204"/>
      <c r="E337" s="204"/>
      <c r="F337" s="204"/>
      <c r="G337" s="204"/>
      <c r="H337" s="204"/>
      <c r="I337" s="204"/>
      <c r="J337" s="204"/>
      <c r="K337" s="204"/>
      <c r="L337" s="204"/>
      <c r="M337" s="204"/>
      <c r="N337" s="204"/>
      <c r="O337" s="204"/>
      <c r="P337" s="204"/>
      <c r="Q337" s="204"/>
      <c r="R337" s="204"/>
      <c r="S337" s="204"/>
      <c r="T337" s="204"/>
      <c r="U337" s="204"/>
      <c r="V337" s="204"/>
      <c r="W337" s="204"/>
      <c r="X337" s="204"/>
      <c r="Y337" s="204"/>
      <c r="Z337" s="204"/>
      <c r="AA337" s="204"/>
      <c r="AB337" s="204"/>
      <c r="AC337" s="204"/>
      <c r="AD337" s="204"/>
      <c r="AE337" s="204"/>
      <c r="AF337" s="204"/>
      <c r="AG337" s="204"/>
      <c r="AH337" s="204"/>
      <c r="AI337" s="204"/>
      <c r="AJ337" s="204"/>
      <c r="AK337" s="204"/>
      <c r="AL337" s="204"/>
      <c r="AM337" s="204"/>
      <c r="AN337" s="204"/>
      <c r="AO337" s="204"/>
      <c r="AP337" s="204"/>
      <c r="AQ337" s="204"/>
      <c r="AR337" s="204"/>
      <c r="AS337" s="204"/>
      <c r="AT337" s="204"/>
      <c r="AU337" s="204"/>
      <c r="AV337" s="204"/>
      <c r="AW337" s="204"/>
      <c r="AX337" s="204"/>
      <c r="AY337" s="204"/>
      <c r="AZ337" s="204"/>
      <c r="BA337" s="204"/>
      <c r="BB337" s="204"/>
      <c r="BC337" s="204"/>
      <c r="BD337" s="204"/>
      <c r="BE337" s="204"/>
      <c r="BF337" s="204"/>
      <c r="BG337" s="204"/>
      <c r="BH337" s="204"/>
      <c r="BI337" s="204"/>
      <c r="BJ337" s="204"/>
      <c r="BK337" s="204"/>
      <c r="BL337" s="204"/>
      <c r="BM337" s="204"/>
      <c r="BN337" s="204"/>
      <c r="BO337" s="204"/>
      <c r="BP337" s="204"/>
      <c r="BQ337" s="204"/>
      <c r="BR337" s="204"/>
      <c r="BS337" s="204"/>
      <c r="BT337" s="204"/>
      <c r="BU337" s="185">
        <f>BU336/BU30</f>
        <v>2.7431421446384038E-2</v>
      </c>
      <c r="BV337" s="185">
        <f t="shared" ref="BV337:CD337" si="1275">BV336/BV30</f>
        <v>2.7640264026402642E-2</v>
      </c>
      <c r="BW337" s="185">
        <f t="shared" si="1275"/>
        <v>2.6195426195426197E-2</v>
      </c>
      <c r="BX337" s="185">
        <f t="shared" si="1275"/>
        <v>2.466718872357087E-2</v>
      </c>
      <c r="BY337" s="185">
        <f t="shared" si="1275"/>
        <v>2.6458269486157933E-2</v>
      </c>
      <c r="BZ337" s="185">
        <f t="shared" si="1275"/>
        <v>2.414885193982581E-2</v>
      </c>
      <c r="CA337" s="185">
        <f t="shared" si="1275"/>
        <v>2.5101214574898785E-2</v>
      </c>
      <c r="CB337" s="185">
        <f t="shared" si="1275"/>
        <v>2.5389025389025387E-2</v>
      </c>
      <c r="CC337" s="185">
        <f t="shared" si="1275"/>
        <v>2.2611232676878191E-2</v>
      </c>
      <c r="CD337" s="185">
        <f t="shared" si="1275"/>
        <v>2.4263261296660118E-2</v>
      </c>
      <c r="CE337" s="185">
        <f t="shared" ref="CE337:CF337" si="1276">CE336/CE30</f>
        <v>2.3818670764502496E-2</v>
      </c>
      <c r="CF337" s="185">
        <f t="shared" si="1276"/>
        <v>2.3975251353441609E-2</v>
      </c>
      <c r="CG337" s="185">
        <f t="shared" ref="CG337:CJ337" si="1277">CG336/CG30</f>
        <v>2.406832298136646E-2</v>
      </c>
      <c r="CH337" s="185">
        <f t="shared" si="1277"/>
        <v>2.2374594009382895E-2</v>
      </c>
      <c r="CI337" s="185">
        <f t="shared" si="1277"/>
        <v>2.3538344722854973E-2</v>
      </c>
      <c r="CJ337" s="185">
        <f t="shared" si="1277"/>
        <v>2.3773006134969327E-2</v>
      </c>
      <c r="CK337" s="185">
        <f t="shared" ref="CK337:CL337" si="1278">CK336/CK30</f>
        <v>2.4590163934426229E-2</v>
      </c>
      <c r="CL337" s="185">
        <f t="shared" si="1278"/>
        <v>2.3561220548474315E-2</v>
      </c>
      <c r="CM337" s="185">
        <f t="shared" ref="CM337:CP337" si="1279">CM336/CM30</f>
        <v>2.1557719054242003E-2</v>
      </c>
      <c r="CN337" s="185">
        <f t="shared" si="1279"/>
        <v>2.3319228960977902E-2</v>
      </c>
      <c r="CO337" s="185">
        <f t="shared" si="1279"/>
        <v>2.4166971805199562E-2</v>
      </c>
      <c r="CP337" s="185">
        <f t="shared" si="1279"/>
        <v>2.4849397590361446E-2</v>
      </c>
      <c r="CQ337" s="304">
        <v>2.5000000000000001E-2</v>
      </c>
      <c r="CR337" s="304">
        <f t="shared" ref="CR337" si="1280">CQ337</f>
        <v>2.5000000000000001E-2</v>
      </c>
      <c r="CS337" s="304">
        <f t="shared" ref="CS337" si="1281">CR337</f>
        <v>2.5000000000000001E-2</v>
      </c>
      <c r="CT337" s="304">
        <f t="shared" ref="CT337" si="1282">CS337</f>
        <v>2.5000000000000001E-2</v>
      </c>
      <c r="CU337" s="304">
        <f t="shared" ref="CU337" si="1283">CT337</f>
        <v>2.5000000000000001E-2</v>
      </c>
      <c r="CV337" s="304">
        <f t="shared" ref="CV337" si="1284">CU337</f>
        <v>2.5000000000000001E-2</v>
      </c>
      <c r="CW337" s="304">
        <f t="shared" ref="CW337" si="1285">CV337</f>
        <v>2.5000000000000001E-2</v>
      </c>
      <c r="CX337" s="159"/>
      <c r="CY337" s="159"/>
      <c r="CZ337" s="159"/>
      <c r="DA337" s="159"/>
      <c r="DB337" s="159"/>
      <c r="DC337" s="165"/>
      <c r="DD337" s="165"/>
    </row>
    <row r="338" spans="1:145">
      <c r="A338" s="226" t="s">
        <v>64</v>
      </c>
      <c r="B338" s="204"/>
      <c r="C338" s="204"/>
      <c r="D338" s="204"/>
      <c r="E338" s="204"/>
      <c r="F338" s="204"/>
      <c r="G338" s="204"/>
      <c r="H338" s="204"/>
      <c r="I338" s="204"/>
      <c r="J338" s="204"/>
      <c r="K338" s="204"/>
      <c r="L338" s="204"/>
      <c r="M338" s="204"/>
      <c r="N338" s="204"/>
      <c r="O338" s="204"/>
      <c r="P338" s="204"/>
      <c r="Q338" s="204"/>
      <c r="R338" s="204"/>
      <c r="S338" s="204"/>
      <c r="T338" s="204"/>
      <c r="U338" s="204"/>
      <c r="V338" s="204"/>
      <c r="W338" s="204"/>
      <c r="X338" s="204"/>
      <c r="Y338" s="204"/>
      <c r="Z338" s="204"/>
      <c r="AA338" s="204"/>
      <c r="AB338" s="204"/>
      <c r="AC338" s="204"/>
      <c r="AD338" s="204"/>
      <c r="AE338" s="204"/>
      <c r="AF338" s="204"/>
      <c r="AG338" s="204"/>
      <c r="AH338" s="204"/>
      <c r="AI338" s="204"/>
      <c r="AJ338" s="204"/>
      <c r="AK338" s="204"/>
      <c r="AL338" s="204"/>
      <c r="AM338" s="204"/>
      <c r="AN338" s="204"/>
      <c r="AO338" s="204"/>
      <c r="AP338" s="204"/>
      <c r="AQ338" s="204"/>
      <c r="AR338" s="204"/>
      <c r="AS338" s="204"/>
      <c r="AT338" s="204"/>
      <c r="AU338" s="204"/>
      <c r="AV338" s="204"/>
      <c r="AW338" s="204"/>
      <c r="AX338" s="204"/>
      <c r="AY338" s="204"/>
      <c r="AZ338" s="204"/>
      <c r="BA338" s="204"/>
      <c r="BB338" s="204"/>
      <c r="BC338" s="204"/>
      <c r="BD338" s="204"/>
      <c r="BE338" s="204"/>
      <c r="BF338" s="204"/>
      <c r="BG338" s="204"/>
      <c r="BH338" s="204"/>
      <c r="BI338" s="204"/>
      <c r="BJ338" s="204"/>
      <c r="BK338" s="204"/>
      <c r="BL338" s="204"/>
      <c r="BM338" s="204"/>
      <c r="BN338" s="204"/>
      <c r="BO338" s="204"/>
      <c r="BP338" s="204"/>
      <c r="BQ338" s="204"/>
      <c r="BR338" s="204"/>
      <c r="BS338" s="204"/>
      <c r="BT338" s="204"/>
      <c r="BU338" s="185"/>
      <c r="BV338" s="185"/>
      <c r="BW338" s="185"/>
      <c r="BX338" s="185"/>
      <c r="BY338" s="204"/>
      <c r="BZ338" s="185"/>
      <c r="CA338" s="185"/>
      <c r="CB338" s="185"/>
      <c r="CC338" s="185"/>
      <c r="CD338" s="204"/>
      <c r="CE338" s="185"/>
      <c r="CF338" s="185"/>
      <c r="CG338" s="185"/>
      <c r="CH338" s="185"/>
      <c r="CI338" s="204"/>
      <c r="CJ338" s="185"/>
      <c r="CK338" s="185"/>
      <c r="CL338" s="185"/>
      <c r="CM338" s="185"/>
      <c r="CN338" s="204"/>
      <c r="CO338" s="185"/>
      <c r="CP338" s="185"/>
      <c r="CQ338" s="204"/>
      <c r="CR338" s="204"/>
      <c r="CS338" s="204"/>
      <c r="CT338" s="204"/>
      <c r="CU338" s="204"/>
      <c r="CV338" s="204"/>
      <c r="CW338" s="204"/>
      <c r="CX338" s="159"/>
      <c r="CY338" s="159"/>
      <c r="CZ338" s="159"/>
      <c r="DA338" s="159"/>
      <c r="DB338" s="159"/>
      <c r="DC338" s="165"/>
      <c r="DD338" s="165"/>
    </row>
    <row r="339" spans="1:145">
      <c r="A339" s="226"/>
      <c r="B339" s="204"/>
      <c r="C339" s="204"/>
      <c r="D339" s="204"/>
      <c r="E339" s="204"/>
      <c r="F339" s="204"/>
      <c r="G339" s="204"/>
      <c r="H339" s="204"/>
      <c r="I339" s="204"/>
      <c r="J339" s="204"/>
      <c r="K339" s="204"/>
      <c r="L339" s="204"/>
      <c r="M339" s="204"/>
      <c r="N339" s="204"/>
      <c r="O339" s="204"/>
      <c r="P339" s="204"/>
      <c r="Q339" s="204"/>
      <c r="R339" s="204"/>
      <c r="S339" s="204"/>
      <c r="T339" s="204"/>
      <c r="U339" s="204"/>
      <c r="V339" s="204"/>
      <c r="W339" s="204"/>
      <c r="X339" s="204"/>
      <c r="Y339" s="204"/>
      <c r="Z339" s="204"/>
      <c r="AA339" s="204"/>
      <c r="AB339" s="204"/>
      <c r="AC339" s="204"/>
      <c r="AD339" s="204"/>
      <c r="AE339" s="204"/>
      <c r="AF339" s="204"/>
      <c r="AG339" s="204"/>
      <c r="AH339" s="204"/>
      <c r="AI339" s="204"/>
      <c r="AJ339" s="204"/>
      <c r="AK339" s="204"/>
      <c r="AL339" s="204"/>
      <c r="AM339" s="204"/>
      <c r="AN339" s="204"/>
      <c r="AO339" s="204"/>
      <c r="AP339" s="204"/>
      <c r="AQ339" s="204"/>
      <c r="AR339" s="204"/>
      <c r="AS339" s="204"/>
      <c r="AT339" s="170"/>
      <c r="AU339" s="170"/>
      <c r="AV339" s="170"/>
      <c r="AW339" s="170"/>
      <c r="AX339" s="170"/>
      <c r="AY339" s="170"/>
      <c r="AZ339" s="170"/>
      <c r="BA339" s="170"/>
      <c r="BB339" s="170"/>
      <c r="BC339" s="170"/>
      <c r="BD339" s="170"/>
      <c r="BE339" s="159"/>
      <c r="BF339" s="170"/>
      <c r="BG339" s="170"/>
      <c r="BH339" s="170"/>
      <c r="BI339" s="170"/>
      <c r="BJ339" s="159"/>
      <c r="BK339" s="170"/>
      <c r="BL339" s="170"/>
      <c r="BM339" s="170"/>
      <c r="BN339" s="170"/>
      <c r="BO339" s="159"/>
      <c r="BP339" s="170"/>
      <c r="BQ339" s="170"/>
      <c r="BR339" s="170"/>
      <c r="BS339" s="170"/>
      <c r="BT339" s="159"/>
      <c r="BU339" s="170"/>
      <c r="BV339" s="170"/>
      <c r="BW339" s="170"/>
      <c r="BX339" s="170"/>
      <c r="BY339" s="159"/>
      <c r="BZ339" s="170"/>
      <c r="CA339" s="170"/>
      <c r="CB339" s="170"/>
      <c r="CC339" s="170"/>
      <c r="CD339" s="159"/>
      <c r="CE339" s="170"/>
      <c r="CF339" s="170"/>
      <c r="CG339" s="170"/>
      <c r="CH339" s="170"/>
      <c r="CI339" s="159"/>
      <c r="CJ339" s="170"/>
      <c r="CK339" s="170"/>
      <c r="CL339" s="170"/>
      <c r="CM339" s="170"/>
      <c r="CN339" s="159"/>
      <c r="CO339" s="170"/>
      <c r="CP339" s="170"/>
      <c r="CQ339" s="159"/>
      <c r="CR339" s="159"/>
      <c r="CS339" s="159"/>
      <c r="CT339" s="159"/>
      <c r="CU339" s="159"/>
      <c r="CV339" s="159"/>
      <c r="CW339" s="159"/>
      <c r="CX339" s="159"/>
      <c r="CY339" s="159"/>
      <c r="CZ339" s="159"/>
      <c r="DA339" s="159"/>
      <c r="DB339" s="159"/>
      <c r="DC339" s="165"/>
      <c r="DD339" s="165"/>
    </row>
    <row r="340" spans="1:145">
      <c r="A340" s="235" t="s">
        <v>65</v>
      </c>
      <c r="B340" s="720"/>
      <c r="C340" s="720"/>
      <c r="D340" s="720"/>
      <c r="E340" s="720"/>
      <c r="F340" s="720"/>
      <c r="G340" s="720"/>
      <c r="H340" s="720"/>
      <c r="I340" s="720"/>
      <c r="J340" s="720"/>
      <c r="K340" s="720"/>
      <c r="L340" s="720"/>
      <c r="M340" s="720"/>
      <c r="N340" s="720"/>
      <c r="O340" s="720"/>
      <c r="P340" s="720"/>
      <c r="Q340" s="720"/>
      <c r="R340" s="720"/>
      <c r="S340" s="720"/>
      <c r="T340" s="720"/>
      <c r="U340" s="720"/>
      <c r="V340" s="720"/>
      <c r="W340" s="720">
        <f>W$432*W341</f>
        <v>117.425</v>
      </c>
      <c r="X340" s="720">
        <f>X$432*X341</f>
        <v>117.819</v>
      </c>
      <c r="Y340" s="720">
        <f>Y$432*Y341</f>
        <v>126.312</v>
      </c>
      <c r="Z340" s="720">
        <f>Z$432*Z341</f>
        <v>129.136</v>
      </c>
      <c r="AA340" s="720">
        <f>SUM(W340:Z340)</f>
        <v>490.69200000000001</v>
      </c>
      <c r="AB340" s="720">
        <f>AB$432*AB341</f>
        <v>134.96600000000001</v>
      </c>
      <c r="AC340" s="720">
        <f>AC$432*AC341</f>
        <v>110.16</v>
      </c>
      <c r="AD340" s="720">
        <f>AD$432*AD341</f>
        <v>116.428</v>
      </c>
      <c r="AE340" s="720">
        <f>AE$432*AE341</f>
        <v>113.42399999999999</v>
      </c>
      <c r="AF340" s="720">
        <f>SUM(AB340:AE340)</f>
        <v>474.97799999999995</v>
      </c>
      <c r="AG340" s="722">
        <v>117</v>
      </c>
      <c r="AH340" s="722">
        <v>115</v>
      </c>
      <c r="AI340" s="722">
        <v>66</v>
      </c>
      <c r="AJ340" s="722">
        <v>116</v>
      </c>
      <c r="AK340" s="722">
        <v>414</v>
      </c>
      <c r="AL340" s="722">
        <v>124</v>
      </c>
      <c r="AM340" s="722">
        <v>115</v>
      </c>
      <c r="AN340" s="722">
        <v>124</v>
      </c>
      <c r="AO340" s="722">
        <v>117</v>
      </c>
      <c r="AP340" s="722">
        <v>480</v>
      </c>
      <c r="AQ340" s="722">
        <v>124</v>
      </c>
      <c r="AR340" s="722">
        <v>135</v>
      </c>
      <c r="AS340" s="722">
        <v>136</v>
      </c>
      <c r="AT340" s="722">
        <v>132</v>
      </c>
      <c r="AU340" s="722">
        <f>SUM(AQ340:AT340)</f>
        <v>527</v>
      </c>
      <c r="AV340" s="722">
        <v>143</v>
      </c>
      <c r="AW340" s="722">
        <f>'[3]Profit and Loss Highlights'!X$44</f>
        <v>137</v>
      </c>
      <c r="AX340" s="722">
        <f>'[3]Profit and Loss Highlights'!Y$44</f>
        <v>150</v>
      </c>
      <c r="AY340" s="722">
        <f>'[3]Profit and Loss Highlights'!Z$44</f>
        <v>146</v>
      </c>
      <c r="AZ340" s="722">
        <f>SUM(AV340:AY340)</f>
        <v>576</v>
      </c>
      <c r="BA340" s="722">
        <f>'[3]Profit and Loss Highlights'!AA$44</f>
        <v>140</v>
      </c>
      <c r="BB340" s="722">
        <f>'[3]Profit and Loss Highlights'!AB$44</f>
        <v>144</v>
      </c>
      <c r="BC340" s="722">
        <f>'[3]Profit and Loss Highlights'!AC$44</f>
        <v>148</v>
      </c>
      <c r="BD340" s="722">
        <f>'[3]Profit and Loss Highlights'!AD$44</f>
        <v>174</v>
      </c>
      <c r="BE340" s="693">
        <f>SUM(BA340:BD340)</f>
        <v>606</v>
      </c>
      <c r="BF340" s="722">
        <f>'[3]Profit and Loss Highlights'!AE$44</f>
        <v>152</v>
      </c>
      <c r="BG340" s="722">
        <f>'[3]Profit and Loss Highlights'!AF$44</f>
        <v>166</v>
      </c>
      <c r="BH340" s="722">
        <f>'[3]Profit and Loss Highlights'!AG$44</f>
        <v>153</v>
      </c>
      <c r="BI340" s="722">
        <f>'[3]Profit and Loss Highlights'!AH$44</f>
        <v>180</v>
      </c>
      <c r="BJ340" s="693">
        <f>SUM(BF340:BI340)</f>
        <v>651</v>
      </c>
      <c r="BK340" s="722">
        <f>'[3]Profit and Loss Highlights'!AI$44</f>
        <v>158</v>
      </c>
      <c r="BL340" s="722">
        <f>'[3]Profit and Loss Highlights'!AJ$44</f>
        <v>178</v>
      </c>
      <c r="BM340" s="722">
        <f>'[3]Profit and Loss Highlights'!AK$44</f>
        <v>171</v>
      </c>
      <c r="BN340" s="722">
        <f>'[3]Profit and Loss Highlights'!AL$44</f>
        <v>163</v>
      </c>
      <c r="BO340" s="693">
        <f>SUM(BK340:BN340)</f>
        <v>670</v>
      </c>
      <c r="BP340" s="722">
        <f>'[3]Profit and Loss Highlights'!AM$44</f>
        <v>183</v>
      </c>
      <c r="BQ340" s="722">
        <f>'[3]Profit and Loss Highlights'!AN$44</f>
        <v>178</v>
      </c>
      <c r="BR340" s="722">
        <f>'[3]Profit and Loss Highlights'!AO$44</f>
        <v>183</v>
      </c>
      <c r="BS340" s="722">
        <f>'[3]Profit and Loss Highlights'!AP$44</f>
        <v>191</v>
      </c>
      <c r="BT340" s="693">
        <f>SUM(BP340:BS340)</f>
        <v>735</v>
      </c>
      <c r="BU340" s="730">
        <f>'[3]Profit and Loss Highlights'!AQ$44</f>
        <v>210</v>
      </c>
      <c r="BV340" s="730">
        <f>'[3]Profit and Loss Highlights'!AR$44</f>
        <v>194</v>
      </c>
      <c r="BW340" s="730">
        <f>'[3]Profit and Loss Highlights'!AS$44</f>
        <v>193</v>
      </c>
      <c r="BX340" s="730">
        <f>'[3]Profit and Loss Highlights'!AT$44</f>
        <v>216</v>
      </c>
      <c r="BY340" s="693">
        <f>SUM(BU340:BX340)</f>
        <v>813</v>
      </c>
      <c r="BZ340" s="730">
        <f>'[3]Profit and Loss Highlights'!AU$44</f>
        <v>200</v>
      </c>
      <c r="CA340" s="730">
        <f>'[3]Profit and Loss Highlights'!AV$44</f>
        <v>202</v>
      </c>
      <c r="CB340" s="730">
        <f>'[3]Profit and Loss Highlights'!AW$44</f>
        <v>277</v>
      </c>
      <c r="CC340" s="730">
        <f>'[3]Profit and Loss Highlights'!AX$44</f>
        <v>201</v>
      </c>
      <c r="CD340" s="693">
        <f>SUM(BZ340:CC340)</f>
        <v>880</v>
      </c>
      <c r="CE340" s="730">
        <f>'[3]Profit and Loss Highlights'!AY$44</f>
        <v>202</v>
      </c>
      <c r="CF340" s="730">
        <f>'[3]Profit and Loss Highlights'!AZ$44</f>
        <v>208</v>
      </c>
      <c r="CG340" s="730">
        <f>'[3]Profit and Loss Highlights'!BA$44</f>
        <v>204</v>
      </c>
      <c r="CH340" s="730">
        <f>'[3]Profit and Loss Highlights'!BB$44</f>
        <v>225</v>
      </c>
      <c r="CI340" s="693">
        <f>SUM(CE340:CH340)</f>
        <v>839</v>
      </c>
      <c r="CJ340" s="730">
        <f>'[3]Profit and Loss Highlights'!BC$44</f>
        <v>199</v>
      </c>
      <c r="CK340" s="730">
        <f>'[3]Profit and Loss Highlights'!BD$44</f>
        <v>209</v>
      </c>
      <c r="CL340" s="730">
        <f>'[3]Profit and Loss Highlights'!BE$44</f>
        <v>193</v>
      </c>
      <c r="CM340" s="730">
        <f>'[3]Profit and Loss Highlights'!BF$44</f>
        <v>171</v>
      </c>
      <c r="CN340" s="693">
        <f>SUM(CJ340:CM340)</f>
        <v>772</v>
      </c>
      <c r="CO340" s="730">
        <f>'[3]Profit and Loss Highlights'!BG$44</f>
        <v>185</v>
      </c>
      <c r="CP340" s="730">
        <f>'[3]Profit and Loss Highlights'!BH$44</f>
        <v>177</v>
      </c>
      <c r="CQ340" s="720">
        <f t="shared" ref="CQ340:CW340" si="1286">CQ341*CQ30</f>
        <v>738.82722913621581</v>
      </c>
      <c r="CR340" s="720">
        <f t="shared" si="1286"/>
        <v>745.93384883658439</v>
      </c>
      <c r="CS340" s="720">
        <f t="shared" si="1286"/>
        <v>752.70203902106459</v>
      </c>
      <c r="CT340" s="720">
        <f t="shared" si="1286"/>
        <v>759.90721113862105</v>
      </c>
      <c r="CU340" s="720">
        <f t="shared" si="1286"/>
        <v>765.96277313012877</v>
      </c>
      <c r="CV340" s="720">
        <f t="shared" si="1286"/>
        <v>771.70878811866464</v>
      </c>
      <c r="CW340" s="720">
        <f t="shared" si="1286"/>
        <v>777.16786463641654</v>
      </c>
      <c r="CX340" s="165"/>
      <c r="CY340" s="165"/>
      <c r="CZ340" s="165"/>
      <c r="DA340" s="165"/>
      <c r="DB340" s="165"/>
      <c r="DC340" s="159"/>
      <c r="DD340" s="159"/>
    </row>
    <row r="341" spans="1:145">
      <c r="A341" s="226" t="s">
        <v>63</v>
      </c>
      <c r="B341" s="204"/>
      <c r="C341" s="204"/>
      <c r="D341" s="204"/>
      <c r="E341" s="204"/>
      <c r="F341" s="204"/>
      <c r="G341" s="204"/>
      <c r="H341" s="204"/>
      <c r="I341" s="204"/>
      <c r="J341" s="204"/>
      <c r="K341" s="204"/>
      <c r="L341" s="204"/>
      <c r="M341" s="204"/>
      <c r="N341" s="204"/>
      <c r="O341" s="204"/>
      <c r="P341" s="204"/>
      <c r="Q341" s="204"/>
      <c r="R341" s="204"/>
      <c r="S341" s="204"/>
      <c r="T341" s="204"/>
      <c r="U341" s="204"/>
      <c r="V341" s="204"/>
      <c r="W341" s="304">
        <v>5.5E-2</v>
      </c>
      <c r="X341" s="304">
        <v>5.2999999999999999E-2</v>
      </c>
      <c r="Y341" s="304">
        <v>5.7000000000000002E-2</v>
      </c>
      <c r="Z341" s="304">
        <v>5.6000000000000001E-2</v>
      </c>
      <c r="AA341" s="204"/>
      <c r="AB341" s="304">
        <v>5.8000000000000003E-2</v>
      </c>
      <c r="AC341" s="304">
        <v>4.8000000000000001E-2</v>
      </c>
      <c r="AD341" s="304">
        <v>5.1999999999999998E-2</v>
      </c>
      <c r="AE341" s="304">
        <v>5.0999999999999997E-2</v>
      </c>
      <c r="AF341" s="204">
        <f t="shared" ref="AF341:BK341" si="1287">AF340/AF30</f>
        <v>5.2609484855076862E-2</v>
      </c>
      <c r="AG341" s="204">
        <f t="shared" si="1287"/>
        <v>5.5214723926380369E-2</v>
      </c>
      <c r="AH341" s="204">
        <f t="shared" si="1287"/>
        <v>5.5235350624399618E-2</v>
      </c>
      <c r="AI341" s="204">
        <f t="shared" si="1287"/>
        <v>3.1961259079903145E-2</v>
      </c>
      <c r="AJ341" s="204">
        <f t="shared" si="1287"/>
        <v>5.4639660857277436E-2</v>
      </c>
      <c r="AK341" s="204">
        <f t="shared" si="1287"/>
        <v>4.926225606853879E-2</v>
      </c>
      <c r="AL341" s="204">
        <f t="shared" si="1287"/>
        <v>5.7701256398324803E-2</v>
      </c>
      <c r="AM341" s="204">
        <f t="shared" si="1287"/>
        <v>5.4502369668246446E-2</v>
      </c>
      <c r="AN341" s="204">
        <f t="shared" si="1287"/>
        <v>5.7248384118190214E-2</v>
      </c>
      <c r="AO341" s="204">
        <f t="shared" si="1287"/>
        <v>5.376838235294118E-2</v>
      </c>
      <c r="AP341" s="204">
        <f t="shared" si="1287"/>
        <v>5.5807464248343215E-2</v>
      </c>
      <c r="AQ341" s="204">
        <f t="shared" si="1287"/>
        <v>5.7943925233644861E-2</v>
      </c>
      <c r="AR341" s="204">
        <f t="shared" si="1287"/>
        <v>6.4224548049476693E-2</v>
      </c>
      <c r="AS341" s="204">
        <f t="shared" si="1287"/>
        <v>6.3079777365491654E-2</v>
      </c>
      <c r="AT341" s="204">
        <f t="shared" si="1287"/>
        <v>5.9620596205962058E-2</v>
      </c>
      <c r="AU341" s="204">
        <f t="shared" si="1287"/>
        <v>6.1193683232698561E-2</v>
      </c>
      <c r="AV341" s="204">
        <f t="shared" si="1287"/>
        <v>6.0210526315789471E-2</v>
      </c>
      <c r="AW341" s="204">
        <f t="shared" si="1287"/>
        <v>5.8672376873661669E-2</v>
      </c>
      <c r="AX341" s="204">
        <f t="shared" si="1287"/>
        <v>6.4294899271324479E-2</v>
      </c>
      <c r="AY341" s="204">
        <f t="shared" si="1287"/>
        <v>6.1447811447811446E-2</v>
      </c>
      <c r="AZ341" s="204">
        <f t="shared" si="1287"/>
        <v>6.1152988639983016E-2</v>
      </c>
      <c r="BA341" s="204">
        <f t="shared" si="1287"/>
        <v>6.258381761287439E-2</v>
      </c>
      <c r="BB341" s="204">
        <f t="shared" si="1287"/>
        <v>6.4113980409617091E-2</v>
      </c>
      <c r="BC341" s="204">
        <f t="shared" si="1287"/>
        <v>6.5371024734982339E-2</v>
      </c>
      <c r="BD341" s="204">
        <f t="shared" si="1287"/>
        <v>7.1165644171779147E-2</v>
      </c>
      <c r="BE341" s="204">
        <f t="shared" si="1287"/>
        <v>6.5926892950391641E-2</v>
      </c>
      <c r="BF341" s="204">
        <f t="shared" si="1287"/>
        <v>6.8100358422939072E-2</v>
      </c>
      <c r="BG341" s="204">
        <f t="shared" si="1287"/>
        <v>7.5249320036264736E-2</v>
      </c>
      <c r="BH341" s="204">
        <f t="shared" si="1287"/>
        <v>6.695842450765864E-2</v>
      </c>
      <c r="BI341" s="204">
        <f t="shared" si="1287"/>
        <v>6.9498069498069498E-2</v>
      </c>
      <c r="BJ341" s="204">
        <f t="shared" si="1287"/>
        <v>6.990228712552346E-2</v>
      </c>
      <c r="BK341" s="204">
        <f t="shared" si="1287"/>
        <v>6.749252456215292E-2</v>
      </c>
      <c r="BL341" s="204">
        <f t="shared" ref="BL341:CF341" si="1288">BL340/BL30</f>
        <v>8.2752208275220826E-2</v>
      </c>
      <c r="BM341" s="204">
        <f t="shared" si="1288"/>
        <v>7.7270673294170811E-2</v>
      </c>
      <c r="BN341" s="204">
        <f t="shared" si="1288"/>
        <v>7.2091994692613889E-2</v>
      </c>
      <c r="BO341" s="204">
        <f t="shared" si="1288"/>
        <v>7.4726745482935536E-2</v>
      </c>
      <c r="BP341" s="204">
        <f t="shared" si="1288"/>
        <v>8.1696428571428573E-2</v>
      </c>
      <c r="BQ341" s="204">
        <f t="shared" si="1288"/>
        <v>7.8276165347405446E-2</v>
      </c>
      <c r="BR341" s="204">
        <f t="shared" si="1288"/>
        <v>8.0581241743725232E-2</v>
      </c>
      <c r="BS341" s="204">
        <f t="shared" si="1288"/>
        <v>7.7768729641693818E-2</v>
      </c>
      <c r="BT341" s="204">
        <f t="shared" si="1288"/>
        <v>7.9536846661616714E-2</v>
      </c>
      <c r="BU341" s="185">
        <f t="shared" si="1288"/>
        <v>8.7281795511221949E-2</v>
      </c>
      <c r="BV341" s="185">
        <f t="shared" si="1288"/>
        <v>8.003300330033003E-2</v>
      </c>
      <c r="BW341" s="185">
        <f t="shared" si="1288"/>
        <v>8.0249480249480254E-2</v>
      </c>
      <c r="BX341" s="185">
        <f t="shared" si="1288"/>
        <v>8.4573218480814408E-2</v>
      </c>
      <c r="BY341" s="204">
        <f t="shared" si="1288"/>
        <v>8.3052405761569109E-2</v>
      </c>
      <c r="BZ341" s="185">
        <f t="shared" si="1288"/>
        <v>7.9176563737133804E-2</v>
      </c>
      <c r="CA341" s="185">
        <f t="shared" si="1288"/>
        <v>8.1781376518218624E-2</v>
      </c>
      <c r="CB341" s="185">
        <f t="shared" si="1288"/>
        <v>0.11343161343161343</v>
      </c>
      <c r="CC341" s="185">
        <f t="shared" si="1288"/>
        <v>7.3304157549234139E-2</v>
      </c>
      <c r="CD341" s="204">
        <f t="shared" si="1288"/>
        <v>8.6444007858546168E-2</v>
      </c>
      <c r="CE341" s="185">
        <f t="shared" si="1288"/>
        <v>7.7602766039185561E-2</v>
      </c>
      <c r="CF341" s="185">
        <f t="shared" si="1288"/>
        <v>8.0433101314771854E-2</v>
      </c>
      <c r="CG341" s="185">
        <f t="shared" ref="CG341:CJ341" si="1289">CG340/CG30</f>
        <v>7.9192546583850928E-2</v>
      </c>
      <c r="CH341" s="185">
        <f t="shared" si="1289"/>
        <v>8.11981234211476E-2</v>
      </c>
      <c r="CI341" s="204">
        <f t="shared" si="1289"/>
        <v>7.963173880030372E-2</v>
      </c>
      <c r="CJ341" s="185">
        <f t="shared" si="1289"/>
        <v>7.6303680981595096E-2</v>
      </c>
      <c r="CK341" s="185">
        <f t="shared" ref="CK341:CL341" si="1290">CK340/CK30</f>
        <v>8.1576893052302882E-2</v>
      </c>
      <c r="CL341" s="185">
        <f t="shared" si="1290"/>
        <v>7.4546156817303977E-2</v>
      </c>
      <c r="CM341" s="185">
        <f t="shared" ref="CM341:CP341" si="1291">CM340/CM30</f>
        <v>5.9457579972183587E-2</v>
      </c>
      <c r="CN341" s="204">
        <f t="shared" si="1291"/>
        <v>7.2590503055947345E-2</v>
      </c>
      <c r="CO341" s="185">
        <f t="shared" si="1291"/>
        <v>6.7740754302453313E-2</v>
      </c>
      <c r="CP341" s="185">
        <f t="shared" si="1291"/>
        <v>6.6641566265060237E-2</v>
      </c>
      <c r="CQ341" s="254">
        <v>6.7500000000000004E-2</v>
      </c>
      <c r="CR341" s="254">
        <f t="shared" ref="CR341:CW341" si="1292">CQ341-0.1%</f>
        <v>6.6500000000000004E-2</v>
      </c>
      <c r="CS341" s="254">
        <f t="shared" si="1292"/>
        <v>6.5500000000000003E-2</v>
      </c>
      <c r="CT341" s="254">
        <f t="shared" si="1292"/>
        <v>6.4500000000000002E-2</v>
      </c>
      <c r="CU341" s="254">
        <f t="shared" si="1292"/>
        <v>6.3500000000000001E-2</v>
      </c>
      <c r="CV341" s="254">
        <f t="shared" si="1292"/>
        <v>6.25E-2</v>
      </c>
      <c r="CW341" s="254">
        <f t="shared" si="1292"/>
        <v>6.1499999999999999E-2</v>
      </c>
      <c r="CX341" s="159"/>
      <c r="CY341" s="159"/>
      <c r="CZ341" s="159"/>
      <c r="DA341" s="159"/>
      <c r="DB341" s="159"/>
      <c r="DC341" s="159"/>
      <c r="DD341" s="159"/>
    </row>
    <row r="342" spans="1:145">
      <c r="A342" s="226" t="s">
        <v>64</v>
      </c>
      <c r="B342" s="204"/>
      <c r="C342" s="204"/>
      <c r="D342" s="204"/>
      <c r="E342" s="204"/>
      <c r="F342" s="204"/>
      <c r="G342" s="204"/>
      <c r="H342" s="204"/>
      <c r="I342" s="204"/>
      <c r="J342" s="204"/>
      <c r="K342" s="204"/>
      <c r="L342" s="204"/>
      <c r="M342" s="204"/>
      <c r="N342" s="204"/>
      <c r="O342" s="204"/>
      <c r="P342" s="204"/>
      <c r="Q342" s="204"/>
      <c r="R342" s="204"/>
      <c r="S342" s="204"/>
      <c r="T342" s="204"/>
      <c r="U342" s="204"/>
      <c r="V342" s="204"/>
      <c r="W342" s="204"/>
      <c r="X342" s="204"/>
      <c r="Y342" s="204"/>
      <c r="Z342" s="204"/>
      <c r="AA342" s="204"/>
      <c r="AB342" s="170">
        <f t="shared" ref="AB342:CP342" si="1293">AB340/W340-1</f>
        <v>0.14938045560996382</v>
      </c>
      <c r="AC342" s="170">
        <f t="shared" si="1293"/>
        <v>-6.5006493010465238E-2</v>
      </c>
      <c r="AD342" s="170">
        <f t="shared" si="1293"/>
        <v>-7.8250680853758969E-2</v>
      </c>
      <c r="AE342" s="170">
        <f t="shared" si="1293"/>
        <v>-0.12167017717754924</v>
      </c>
      <c r="AF342" s="170">
        <f t="shared" si="1293"/>
        <v>-3.2024161795994321E-2</v>
      </c>
      <c r="AG342" s="170">
        <f t="shared" si="1293"/>
        <v>-0.13311500674243892</v>
      </c>
      <c r="AH342" s="170">
        <f t="shared" si="1293"/>
        <v>4.3936092955700889E-2</v>
      </c>
      <c r="AI342" s="170">
        <f t="shared" si="1293"/>
        <v>-0.43312605215240318</v>
      </c>
      <c r="AJ342" s="170">
        <f t="shared" si="1293"/>
        <v>2.2711242770489637E-2</v>
      </c>
      <c r="AK342" s="170">
        <f t="shared" si="1293"/>
        <v>-0.12838068289478666</v>
      </c>
      <c r="AL342" s="170">
        <f t="shared" si="1293"/>
        <v>5.9829059829059839E-2</v>
      </c>
      <c r="AM342" s="170">
        <f t="shared" si="1293"/>
        <v>0</v>
      </c>
      <c r="AN342" s="170">
        <f t="shared" si="1293"/>
        <v>0.8787878787878789</v>
      </c>
      <c r="AO342" s="170">
        <f t="shared" si="1293"/>
        <v>8.6206896551723755E-3</v>
      </c>
      <c r="AP342" s="170">
        <f t="shared" si="1293"/>
        <v>0.15942028985507251</v>
      </c>
      <c r="AQ342" s="170">
        <f t="shared" si="1293"/>
        <v>0</v>
      </c>
      <c r="AR342" s="170">
        <f t="shared" si="1293"/>
        <v>0.17391304347826098</v>
      </c>
      <c r="AS342" s="170">
        <f t="shared" si="1293"/>
        <v>9.6774193548387011E-2</v>
      </c>
      <c r="AT342" s="170">
        <f t="shared" si="1293"/>
        <v>0.12820512820512819</v>
      </c>
      <c r="AU342" s="170">
        <f t="shared" si="1293"/>
        <v>9.7916666666666652E-2</v>
      </c>
      <c r="AV342" s="170">
        <f t="shared" si="1293"/>
        <v>0.15322580645161299</v>
      </c>
      <c r="AW342" s="170">
        <f t="shared" si="1293"/>
        <v>1.4814814814814836E-2</v>
      </c>
      <c r="AX342" s="170">
        <f t="shared" si="1293"/>
        <v>0.10294117647058831</v>
      </c>
      <c r="AY342" s="170">
        <f t="shared" si="1293"/>
        <v>0.10606060606060597</v>
      </c>
      <c r="AZ342" s="170">
        <f t="shared" si="1293"/>
        <v>9.2979127134724893E-2</v>
      </c>
      <c r="BA342" s="170">
        <f t="shared" si="1293"/>
        <v>-2.0979020979020935E-2</v>
      </c>
      <c r="BB342" s="170">
        <f t="shared" si="1293"/>
        <v>5.1094890510948954E-2</v>
      </c>
      <c r="BC342" s="170">
        <f t="shared" si="1293"/>
        <v>-1.3333333333333308E-2</v>
      </c>
      <c r="BD342" s="170">
        <f t="shared" si="1293"/>
        <v>0.19178082191780832</v>
      </c>
      <c r="BE342" s="170">
        <f t="shared" si="1293"/>
        <v>5.2083333333333259E-2</v>
      </c>
      <c r="BF342" s="170">
        <f t="shared" si="1293"/>
        <v>8.5714285714285632E-2</v>
      </c>
      <c r="BG342" s="170">
        <f t="shared" si="1293"/>
        <v>0.15277777777777768</v>
      </c>
      <c r="BH342" s="170">
        <f t="shared" si="1293"/>
        <v>3.3783783783783772E-2</v>
      </c>
      <c r="BI342" s="170">
        <f t="shared" si="1293"/>
        <v>3.4482758620689724E-2</v>
      </c>
      <c r="BJ342" s="170">
        <f t="shared" si="1293"/>
        <v>7.4257425742574323E-2</v>
      </c>
      <c r="BK342" s="170">
        <f t="shared" si="1293"/>
        <v>3.9473684210526327E-2</v>
      </c>
      <c r="BL342" s="170">
        <f t="shared" si="1293"/>
        <v>7.2289156626506035E-2</v>
      </c>
      <c r="BM342" s="170">
        <f t="shared" si="1293"/>
        <v>0.11764705882352944</v>
      </c>
      <c r="BN342" s="170">
        <f t="shared" si="1293"/>
        <v>-9.4444444444444442E-2</v>
      </c>
      <c r="BO342" s="170">
        <f t="shared" si="1293"/>
        <v>2.9185867895545226E-2</v>
      </c>
      <c r="BP342" s="170">
        <f t="shared" si="1293"/>
        <v>0.15822784810126578</v>
      </c>
      <c r="BQ342" s="170">
        <f t="shared" si="1293"/>
        <v>0</v>
      </c>
      <c r="BR342" s="170">
        <f t="shared" si="1293"/>
        <v>7.0175438596491224E-2</v>
      </c>
      <c r="BS342" s="170">
        <f t="shared" si="1293"/>
        <v>0.17177914110429437</v>
      </c>
      <c r="BT342" s="170">
        <f t="shared" si="1293"/>
        <v>9.7014925373134275E-2</v>
      </c>
      <c r="BU342" s="170">
        <f t="shared" si="1293"/>
        <v>0.14754098360655732</v>
      </c>
      <c r="BV342" s="170">
        <f t="shared" si="1293"/>
        <v>8.98876404494382E-2</v>
      </c>
      <c r="BW342" s="170">
        <f t="shared" si="1293"/>
        <v>5.464480874316946E-2</v>
      </c>
      <c r="BX342" s="170">
        <f t="shared" si="1293"/>
        <v>0.13089005235602102</v>
      </c>
      <c r="BY342" s="170">
        <f t="shared" si="1293"/>
        <v>0.10612244897959178</v>
      </c>
      <c r="BZ342" s="170">
        <f t="shared" si="1293"/>
        <v>-4.7619047619047672E-2</v>
      </c>
      <c r="CA342" s="170">
        <f t="shared" si="1293"/>
        <v>4.1237113402061931E-2</v>
      </c>
      <c r="CB342" s="170">
        <f t="shared" si="1293"/>
        <v>0.43523316062176165</v>
      </c>
      <c r="CC342" s="170">
        <f t="shared" si="1293"/>
        <v>-6.944444444444442E-2</v>
      </c>
      <c r="CD342" s="170">
        <f t="shared" si="1293"/>
        <v>8.2410824108241076E-2</v>
      </c>
      <c r="CE342" s="170">
        <f t="shared" si="1293"/>
        <v>1.0000000000000009E-2</v>
      </c>
      <c r="CF342" s="170">
        <f t="shared" si="1293"/>
        <v>2.9702970297029729E-2</v>
      </c>
      <c r="CG342" s="170">
        <f t="shared" si="1293"/>
        <v>-0.26353790613718409</v>
      </c>
      <c r="CH342" s="170">
        <f t="shared" si="1293"/>
        <v>0.11940298507462677</v>
      </c>
      <c r="CI342" s="170">
        <f t="shared" si="1293"/>
        <v>-4.6590909090909127E-2</v>
      </c>
      <c r="CJ342" s="170">
        <f t="shared" si="1293"/>
        <v>-1.4851485148514865E-2</v>
      </c>
      <c r="CK342" s="170">
        <f t="shared" si="1293"/>
        <v>4.8076923076922906E-3</v>
      </c>
      <c r="CL342" s="170">
        <f t="shared" si="1293"/>
        <v>-5.3921568627451011E-2</v>
      </c>
      <c r="CM342" s="170">
        <f t="shared" si="1293"/>
        <v>-0.24</v>
      </c>
      <c r="CN342" s="170">
        <f t="shared" si="1293"/>
        <v>-7.9856972586412445E-2</v>
      </c>
      <c r="CO342" s="170">
        <f t="shared" si="1293"/>
        <v>-7.0351758793969821E-2</v>
      </c>
      <c r="CP342" s="170">
        <f t="shared" si="1293"/>
        <v>-0.15311004784688997</v>
      </c>
      <c r="CQ342" s="170">
        <f>CQ340/CN340-1</f>
        <v>-4.2969910445316284E-2</v>
      </c>
      <c r="CR342" s="170">
        <f t="shared" ref="CR342:CS342" si="1294">CR340/CQ340-1</f>
        <v>9.6187842300792248E-3</v>
      </c>
      <c r="CS342" s="170">
        <f t="shared" si="1294"/>
        <v>9.0734455810477233E-3</v>
      </c>
      <c r="CT342" s="170">
        <f t="shared" ref="CT342" si="1295">CT340/CS340-1</f>
        <v>9.572409458233011E-3</v>
      </c>
      <c r="CU342" s="170">
        <f t="shared" ref="CU342" si="1296">CU340/CT340-1</f>
        <v>7.9688176434518088E-3</v>
      </c>
      <c r="CV342" s="170">
        <f t="shared" ref="CV342:CW342" si="1297">CV340/CU340-1</f>
        <v>7.5016896252733112E-3</v>
      </c>
      <c r="CW342" s="170">
        <f t="shared" si="1297"/>
        <v>7.0740110800868727E-3</v>
      </c>
      <c r="CX342" s="159"/>
      <c r="CY342" s="159"/>
      <c r="CZ342" s="159"/>
      <c r="DA342" s="159"/>
      <c r="DB342" s="159"/>
      <c r="DC342" s="159"/>
      <c r="DD342" s="159"/>
    </row>
    <row r="343" spans="1:145">
      <c r="A343" s="226"/>
      <c r="B343" s="204"/>
      <c r="C343" s="204"/>
      <c r="D343" s="204"/>
      <c r="E343" s="204"/>
      <c r="F343" s="204"/>
      <c r="G343" s="204"/>
      <c r="H343" s="204"/>
      <c r="I343" s="204"/>
      <c r="J343" s="204"/>
      <c r="K343" s="204"/>
      <c r="L343" s="204"/>
      <c r="M343" s="204"/>
      <c r="N343" s="204"/>
      <c r="O343" s="204"/>
      <c r="P343" s="204"/>
      <c r="Q343" s="204"/>
      <c r="R343" s="204"/>
      <c r="S343" s="204"/>
      <c r="T343" s="204"/>
      <c r="U343" s="204"/>
      <c r="V343" s="204"/>
      <c r="W343" s="204"/>
      <c r="X343" s="204"/>
      <c r="Y343" s="204"/>
      <c r="Z343" s="204"/>
      <c r="AA343" s="204"/>
      <c r="AB343" s="204"/>
      <c r="AC343" s="204"/>
      <c r="AD343" s="204"/>
      <c r="AE343" s="204"/>
      <c r="AF343" s="204"/>
      <c r="AG343" s="204"/>
      <c r="AH343" s="204"/>
      <c r="AI343" s="204"/>
      <c r="AJ343" s="204"/>
      <c r="AK343" s="204"/>
      <c r="AL343" s="204"/>
      <c r="AM343" s="204"/>
      <c r="AN343" s="204"/>
      <c r="AO343" s="204"/>
      <c r="AP343" s="204"/>
      <c r="AQ343" s="204"/>
      <c r="AR343" s="204"/>
      <c r="AS343" s="204"/>
      <c r="AT343" s="159"/>
      <c r="AU343" s="159"/>
      <c r="AV343" s="159"/>
      <c r="AW343" s="159"/>
      <c r="AX343" s="159"/>
      <c r="AY343" s="159"/>
      <c r="AZ343" s="159"/>
      <c r="BA343" s="159"/>
      <c r="BB343" s="159"/>
      <c r="BC343" s="159"/>
      <c r="BD343" s="159"/>
      <c r="BE343" s="159"/>
      <c r="BF343" s="159"/>
      <c r="BG343" s="159"/>
      <c r="BH343" s="159"/>
      <c r="BI343" s="159"/>
      <c r="BJ343" s="159"/>
      <c r="BK343" s="159"/>
      <c r="BL343" s="159"/>
      <c r="BM343" s="159"/>
      <c r="BN343" s="159"/>
      <c r="BO343" s="159"/>
      <c r="BP343" s="159"/>
      <c r="BQ343" s="159"/>
      <c r="BR343" s="159"/>
      <c r="BS343" s="159"/>
      <c r="BT343" s="159"/>
      <c r="BU343" s="159"/>
      <c r="BV343" s="159"/>
      <c r="BW343" s="159"/>
      <c r="BX343" s="159"/>
      <c r="BY343" s="159"/>
      <c r="BZ343" s="159"/>
      <c r="CA343" s="159"/>
      <c r="CB343" s="159"/>
      <c r="CC343" s="159"/>
      <c r="CD343" s="159"/>
      <c r="CE343" s="159"/>
      <c r="CF343" s="159"/>
      <c r="CG343" s="159"/>
      <c r="CH343" s="159"/>
      <c r="CI343" s="159"/>
      <c r="CJ343" s="159"/>
      <c r="CK343" s="159"/>
      <c r="CL343" s="159"/>
      <c r="CM343" s="159"/>
      <c r="CN343" s="159"/>
      <c r="CO343" s="159"/>
      <c r="CP343" s="159"/>
      <c r="CQ343" s="159"/>
      <c r="CR343" s="159"/>
      <c r="CS343" s="159"/>
      <c r="CT343" s="159"/>
      <c r="CU343" s="159"/>
      <c r="CV343" s="159"/>
      <c r="CW343" s="159"/>
      <c r="CX343" s="159"/>
      <c r="CY343" s="159"/>
      <c r="CZ343" s="159"/>
      <c r="DA343" s="159"/>
      <c r="DB343" s="159"/>
      <c r="DC343" s="165"/>
      <c r="DD343" s="165"/>
    </row>
    <row r="344" spans="1:145">
      <c r="A344" s="226"/>
      <c r="B344" s="314"/>
      <c r="C344" s="314"/>
      <c r="D344" s="314"/>
      <c r="E344" s="314"/>
      <c r="F344" s="314"/>
      <c r="G344" s="314"/>
      <c r="H344" s="314"/>
      <c r="I344" s="314"/>
      <c r="J344" s="314"/>
      <c r="K344" s="314"/>
      <c r="L344" s="314"/>
      <c r="M344" s="314"/>
      <c r="N344" s="314"/>
      <c r="O344" s="314"/>
      <c r="P344" s="314"/>
      <c r="Q344" s="314"/>
      <c r="R344" s="314"/>
      <c r="S344" s="314"/>
      <c r="T344" s="314"/>
      <c r="U344" s="314"/>
      <c r="V344" s="314"/>
      <c r="W344" s="314"/>
      <c r="X344" s="314"/>
      <c r="Y344" s="314"/>
      <c r="Z344" s="314"/>
      <c r="AA344" s="314"/>
      <c r="AB344" s="314"/>
      <c r="AC344" s="314"/>
      <c r="AD344" s="314"/>
      <c r="AE344" s="314"/>
      <c r="AF344" s="314"/>
      <c r="AG344" s="314"/>
      <c r="AH344" s="314"/>
      <c r="AI344" s="314"/>
      <c r="AJ344" s="314"/>
      <c r="AK344" s="314"/>
      <c r="AL344" s="314"/>
      <c r="AM344" s="314"/>
      <c r="AN344" s="314"/>
      <c r="AO344" s="314"/>
      <c r="AP344" s="314"/>
      <c r="AQ344" s="314"/>
      <c r="AR344" s="314"/>
      <c r="AS344" s="314"/>
      <c r="AT344" s="314"/>
      <c r="AU344" s="159"/>
      <c r="AV344" s="159"/>
      <c r="AW344" s="159"/>
      <c r="AX344" s="159"/>
      <c r="AY344" s="159"/>
      <c r="AZ344" s="159"/>
      <c r="BA344" s="159"/>
      <c r="BB344" s="159"/>
      <c r="BC344" s="159"/>
      <c r="BD344" s="159"/>
      <c r="BE344" s="159"/>
      <c r="BF344" s="159"/>
      <c r="BG344" s="159"/>
      <c r="BH344" s="159"/>
      <c r="BI344" s="159"/>
      <c r="BJ344" s="159"/>
      <c r="BK344" s="159"/>
      <c r="BL344" s="159"/>
      <c r="BM344" s="159"/>
      <c r="BN344" s="159"/>
      <c r="BO344" s="159"/>
      <c r="BP344" s="159"/>
      <c r="BQ344" s="159"/>
      <c r="BR344" s="159"/>
      <c r="BS344" s="159"/>
      <c r="BT344" s="159"/>
      <c r="BU344" s="159"/>
      <c r="BV344" s="159"/>
      <c r="BW344" s="159"/>
      <c r="BX344" s="159"/>
      <c r="BY344" s="159"/>
      <c r="BZ344" s="159"/>
      <c r="CA344" s="159"/>
      <c r="CB344" s="159"/>
      <c r="CC344" s="159"/>
      <c r="CD344" s="159"/>
      <c r="CE344" s="159"/>
      <c r="CF344" s="159"/>
      <c r="CG344" s="159"/>
      <c r="CH344" s="159"/>
      <c r="CI344" s="159"/>
      <c r="CJ344" s="159"/>
      <c r="CK344" s="159"/>
      <c r="CL344" s="159"/>
      <c r="CM344" s="159"/>
      <c r="CN344" s="159"/>
      <c r="CO344" s="159"/>
      <c r="CP344" s="159"/>
      <c r="CQ344" s="159"/>
      <c r="CR344" s="159"/>
      <c r="CS344" s="159"/>
      <c r="CT344" s="159"/>
      <c r="CU344" s="159"/>
      <c r="CV344" s="159"/>
      <c r="CW344" s="159"/>
      <c r="CX344" s="159"/>
      <c r="CY344" s="159"/>
      <c r="CZ344" s="159"/>
      <c r="DA344" s="159"/>
      <c r="DB344" s="159"/>
      <c r="DC344" s="165"/>
      <c r="DD344" s="165"/>
    </row>
    <row r="345" spans="1:145">
      <c r="A345" s="235" t="s">
        <v>66</v>
      </c>
      <c r="B345" s="720"/>
      <c r="C345" s="720"/>
      <c r="D345" s="720"/>
      <c r="E345" s="720"/>
      <c r="F345" s="720"/>
      <c r="G345" s="720"/>
      <c r="H345" s="720"/>
      <c r="I345" s="720"/>
      <c r="J345" s="720"/>
      <c r="K345" s="720"/>
      <c r="L345" s="720"/>
      <c r="M345" s="720"/>
      <c r="N345" s="720"/>
      <c r="O345" s="720"/>
      <c r="P345" s="720"/>
      <c r="Q345" s="720"/>
      <c r="R345" s="720"/>
      <c r="S345" s="720"/>
      <c r="T345" s="720"/>
      <c r="U345" s="720"/>
      <c r="V345" s="720"/>
      <c r="W345" s="720">
        <f>W$432*W346</f>
        <v>74.725000000000009</v>
      </c>
      <c r="X345" s="720">
        <f>X$432*X346</f>
        <v>106.70400000000001</v>
      </c>
      <c r="Y345" s="720">
        <f>Y$432*Y346</f>
        <v>95.287999999999997</v>
      </c>
      <c r="Z345" s="720">
        <f>Z$432*Z346</f>
        <v>117.60599999999999</v>
      </c>
      <c r="AA345" s="720">
        <f>SUM(W345:Z345)</f>
        <v>394.32300000000004</v>
      </c>
      <c r="AB345" s="720">
        <f>AB$432*AB346</f>
        <v>90.753</v>
      </c>
      <c r="AC345" s="720">
        <f>AC$432*AC346</f>
        <v>78.03</v>
      </c>
      <c r="AD345" s="720">
        <f>AD$432*AD346</f>
        <v>87.320999999999998</v>
      </c>
      <c r="AE345" s="720">
        <f>AE$432*AE346</f>
        <v>106.752</v>
      </c>
      <c r="AF345" s="720">
        <f>SUM(AB345:AE345)</f>
        <v>362.85600000000005</v>
      </c>
      <c r="AG345" s="722">
        <v>71</v>
      </c>
      <c r="AH345" s="722">
        <v>100</v>
      </c>
      <c r="AI345" s="722">
        <v>107</v>
      </c>
      <c r="AJ345" s="722">
        <v>122</v>
      </c>
      <c r="AK345" s="722">
        <v>400</v>
      </c>
      <c r="AL345" s="722">
        <v>103</v>
      </c>
      <c r="AM345" s="722">
        <v>110</v>
      </c>
      <c r="AN345" s="722">
        <v>94</v>
      </c>
      <c r="AO345" s="722">
        <v>98</v>
      </c>
      <c r="AP345" s="722">
        <v>405</v>
      </c>
      <c r="AQ345" s="722">
        <v>36</v>
      </c>
      <c r="AR345" s="722">
        <v>63</v>
      </c>
      <c r="AS345" s="722">
        <v>53</v>
      </c>
      <c r="AT345" s="722">
        <v>45</v>
      </c>
      <c r="AU345" s="722">
        <f>SUM(AQ345:AT345)</f>
        <v>197</v>
      </c>
      <c r="AV345" s="722">
        <v>39</v>
      </c>
      <c r="AW345" s="722">
        <f>'[3]Profit and Loss Highlights'!X$46</f>
        <v>43</v>
      </c>
      <c r="AX345" s="722">
        <f>'[3]Profit and Loss Highlights'!Y$46</f>
        <v>43</v>
      </c>
      <c r="AY345" s="722">
        <f>'[3]Profit and Loss Highlights'!Z$46</f>
        <v>35</v>
      </c>
      <c r="AZ345" s="722">
        <f>SUM(AV345:AY345)</f>
        <v>160</v>
      </c>
      <c r="BA345" s="722">
        <f>'[3]Profit and Loss Highlights'!AA$46</f>
        <v>39</v>
      </c>
      <c r="BB345" s="722">
        <f>'[3]Profit and Loss Highlights'!AB$46</f>
        <v>51</v>
      </c>
      <c r="BC345" s="722">
        <f>'[3]Profit and Loss Highlights'!AC$46</f>
        <v>59</v>
      </c>
      <c r="BD345" s="722">
        <f>'[3]Profit and Loss Highlights'!AD$46</f>
        <v>62</v>
      </c>
      <c r="BE345" s="693">
        <f>SUM(BA345:BD345)</f>
        <v>211</v>
      </c>
      <c r="BF345" s="722">
        <f>'[3]Profit and Loss Highlights'!AE$46</f>
        <v>42</v>
      </c>
      <c r="BG345" s="722">
        <f>'[3]Profit and Loss Highlights'!AF$46</f>
        <v>43</v>
      </c>
      <c r="BH345" s="722">
        <f>'[3]Profit and Loss Highlights'!AG$46</f>
        <v>42</v>
      </c>
      <c r="BI345" s="722">
        <f>'[3]Profit and Loss Highlights'!AH$46</f>
        <v>46</v>
      </c>
      <c r="BJ345" s="693">
        <f>SUM(BF345:BI345)</f>
        <v>173</v>
      </c>
      <c r="BK345" s="722">
        <f>'[3]Profit and Loss Highlights'!AI$46</f>
        <v>40</v>
      </c>
      <c r="BL345" s="722">
        <f>'[3]Profit and Loss Highlights'!AJ$46</f>
        <v>30</v>
      </c>
      <c r="BM345" s="722">
        <f>'[3]Profit and Loss Highlights'!AK$46</f>
        <v>46</v>
      </c>
      <c r="BN345" s="722">
        <f>'[3]Profit and Loss Highlights'!AL$46</f>
        <v>26</v>
      </c>
      <c r="BO345" s="693">
        <f>SUM(BK345:BN345)</f>
        <v>142</v>
      </c>
      <c r="BP345" s="722">
        <f>'[3]Profit and Loss Highlights'!AM$46</f>
        <v>41</v>
      </c>
      <c r="BQ345" s="722">
        <f>'[3]Profit and Loss Highlights'!AN$46</f>
        <v>42</v>
      </c>
      <c r="BR345" s="722">
        <f>'[3]Profit and Loss Highlights'!AO$46</f>
        <v>49</v>
      </c>
      <c r="BS345" s="722">
        <f>'[3]Profit and Loss Highlights'!AP$46</f>
        <v>48</v>
      </c>
      <c r="BT345" s="693">
        <f>SUM(BP345:BS345)</f>
        <v>180</v>
      </c>
      <c r="BU345" s="730">
        <f>'[3]Profit and Loss Highlights'!AQ$46</f>
        <v>39</v>
      </c>
      <c r="BV345" s="730">
        <f>'[3]Profit and Loss Highlights'!AR$46</f>
        <v>50</v>
      </c>
      <c r="BW345" s="730">
        <f>'[3]Profit and Loss Highlights'!AS$46</f>
        <v>48</v>
      </c>
      <c r="BX345" s="730">
        <f>'[3]Profit and Loss Highlights'!AT$46</f>
        <v>52</v>
      </c>
      <c r="BY345" s="693">
        <f>SUM(BU345:BX345)</f>
        <v>189</v>
      </c>
      <c r="BZ345" s="730">
        <f>'[3]Profit and Loss Highlights'!AU$46</f>
        <v>38</v>
      </c>
      <c r="CA345" s="730">
        <f>'[3]Profit and Loss Highlights'!AV$46</f>
        <v>43</v>
      </c>
      <c r="CB345" s="730">
        <f>'[3]Profit and Loss Highlights'!AW$46</f>
        <v>44</v>
      </c>
      <c r="CC345" s="730">
        <f>'[3]Profit and Loss Highlights'!AX$46</f>
        <v>38</v>
      </c>
      <c r="CD345" s="693">
        <f>SUM(BZ345:CC345)</f>
        <v>163</v>
      </c>
      <c r="CE345" s="730">
        <f>'[3]Profit and Loss Highlights'!AY$46</f>
        <v>39</v>
      </c>
      <c r="CF345" s="730">
        <f>'[3]Profit and Loss Highlights'!AZ$46</f>
        <v>47</v>
      </c>
      <c r="CG345" s="730">
        <f>'[3]Profit and Loss Highlights'!BA$46</f>
        <v>43</v>
      </c>
      <c r="CH345" s="730">
        <f>'[3]Profit and Loss Highlights'!BB$46</f>
        <v>48</v>
      </c>
      <c r="CI345" s="693">
        <f>SUM(CE345:CH345)</f>
        <v>177</v>
      </c>
      <c r="CJ345" s="730">
        <f>'[3]Profit and Loss Highlights'!BC$46</f>
        <v>42</v>
      </c>
      <c r="CK345" s="730">
        <f>'[3]Profit and Loss Highlights'!BD$46</f>
        <v>41</v>
      </c>
      <c r="CL345" s="730">
        <f>'[3]Profit and Loss Highlights'!BE$46</f>
        <v>45</v>
      </c>
      <c r="CM345" s="730">
        <f>'[3]Profit and Loss Highlights'!BF$46</f>
        <v>48</v>
      </c>
      <c r="CN345" s="693">
        <f>SUM(CJ345:CM345)</f>
        <v>176</v>
      </c>
      <c r="CO345" s="730">
        <f>'[3]Profit and Loss Highlights'!BG$46</f>
        <v>43</v>
      </c>
      <c r="CP345" s="730">
        <f>'[3]Profit and Loss Highlights'!BH$46</f>
        <v>45</v>
      </c>
      <c r="CQ345" s="720">
        <f t="shared" ref="CQ345:CW345" si="1298">CQ346*CQ30</f>
        <v>181.13997085510661</v>
      </c>
      <c r="CR345" s="720">
        <f t="shared" si="1298"/>
        <v>185.63242718253863</v>
      </c>
      <c r="CS345" s="720">
        <f t="shared" si="1298"/>
        <v>190.17655066298786</v>
      </c>
      <c r="CT345" s="720">
        <f t="shared" si="1298"/>
        <v>194.97369612606803</v>
      </c>
      <c r="CU345" s="720">
        <f t="shared" si="1298"/>
        <v>199.62232573459741</v>
      </c>
      <c r="CV345" s="720">
        <f t="shared" si="1298"/>
        <v>204.33774775196611</v>
      </c>
      <c r="CW345" s="720">
        <f t="shared" si="1298"/>
        <v>209.12930410939384</v>
      </c>
      <c r="CX345" s="165"/>
      <c r="CY345" s="165"/>
      <c r="CZ345" s="165"/>
      <c r="DA345" s="165"/>
      <c r="DB345" s="165"/>
      <c r="DC345" s="159"/>
      <c r="DD345" s="159"/>
    </row>
    <row r="346" spans="1:145">
      <c r="A346" s="226" t="s">
        <v>63</v>
      </c>
      <c r="B346" s="204"/>
      <c r="C346" s="204"/>
      <c r="D346" s="204"/>
      <c r="E346" s="204"/>
      <c r="F346" s="204"/>
      <c r="G346" s="204"/>
      <c r="H346" s="204"/>
      <c r="I346" s="204"/>
      <c r="J346" s="204"/>
      <c r="K346" s="204"/>
      <c r="L346" s="204"/>
      <c r="M346" s="204"/>
      <c r="N346" s="204"/>
      <c r="O346" s="204"/>
      <c r="P346" s="204"/>
      <c r="Q346" s="204"/>
      <c r="R346" s="204"/>
      <c r="S346" s="204"/>
      <c r="T346" s="204"/>
      <c r="U346" s="204"/>
      <c r="V346" s="204"/>
      <c r="W346" s="304">
        <v>3.5000000000000003E-2</v>
      </c>
      <c r="X346" s="304">
        <v>4.8000000000000001E-2</v>
      </c>
      <c r="Y346" s="304">
        <v>4.2999999999999997E-2</v>
      </c>
      <c r="Z346" s="304">
        <v>5.0999999999999997E-2</v>
      </c>
      <c r="AA346" s="204"/>
      <c r="AB346" s="304">
        <v>3.9E-2</v>
      </c>
      <c r="AC346" s="304">
        <v>3.4000000000000002E-2</v>
      </c>
      <c r="AD346" s="304">
        <v>3.9E-2</v>
      </c>
      <c r="AE346" s="304">
        <v>4.8000000000000001E-2</v>
      </c>
      <c r="AF346" s="204">
        <f t="shared" ref="AF346:BK346" si="1299">AF345/AF30</f>
        <v>4.019063459059951E-2</v>
      </c>
      <c r="AG346" s="204">
        <f t="shared" si="1299"/>
        <v>3.350637092968381E-2</v>
      </c>
      <c r="AH346" s="204">
        <f t="shared" si="1299"/>
        <v>4.8030739673390971E-2</v>
      </c>
      <c r="AI346" s="204">
        <f t="shared" si="1299"/>
        <v>5.1815980629539952E-2</v>
      </c>
      <c r="AJ346" s="204">
        <f t="shared" si="1299"/>
        <v>5.7465850211964202E-2</v>
      </c>
      <c r="AK346" s="204">
        <f t="shared" si="1299"/>
        <v>4.7596382674916705E-2</v>
      </c>
      <c r="AL346" s="204">
        <f t="shared" si="1299"/>
        <v>4.7929269427640767E-2</v>
      </c>
      <c r="AM346" s="204">
        <f t="shared" si="1299"/>
        <v>5.2132701421800945E-2</v>
      </c>
      <c r="AN346" s="204">
        <f t="shared" si="1299"/>
        <v>4.339796860572484E-2</v>
      </c>
      <c r="AO346" s="204">
        <f t="shared" si="1299"/>
        <v>4.5036764705882353E-2</v>
      </c>
      <c r="AP346" s="204">
        <f t="shared" si="1299"/>
        <v>4.7087547959539587E-2</v>
      </c>
      <c r="AQ346" s="204">
        <f t="shared" si="1299"/>
        <v>1.6822429906542057E-2</v>
      </c>
      <c r="AR346" s="204">
        <f t="shared" si="1299"/>
        <v>2.9971455756422453E-2</v>
      </c>
      <c r="AS346" s="204">
        <f t="shared" si="1299"/>
        <v>2.4582560296846009E-2</v>
      </c>
      <c r="AT346" s="204">
        <f t="shared" si="1299"/>
        <v>2.032520325203252E-2</v>
      </c>
      <c r="AU346" s="204">
        <f t="shared" si="1299"/>
        <v>2.2875058058522992E-2</v>
      </c>
      <c r="AV346" s="204">
        <f t="shared" si="1299"/>
        <v>1.6421052631578947E-2</v>
      </c>
      <c r="AW346" s="204">
        <f t="shared" si="1299"/>
        <v>1.841541755888651E-2</v>
      </c>
      <c r="AX346" s="204">
        <f t="shared" si="1299"/>
        <v>1.8431204457779682E-2</v>
      </c>
      <c r="AY346" s="204">
        <f t="shared" si="1299"/>
        <v>1.4730639730639731E-2</v>
      </c>
      <c r="AZ346" s="204">
        <f t="shared" si="1299"/>
        <v>1.6986941288884172E-2</v>
      </c>
      <c r="BA346" s="204">
        <f t="shared" si="1299"/>
        <v>1.7434063477872151E-2</v>
      </c>
      <c r="BB346" s="204">
        <f t="shared" si="1299"/>
        <v>2.2707034728406055E-2</v>
      </c>
      <c r="BC346" s="204">
        <f t="shared" si="1299"/>
        <v>2.6060070671378093E-2</v>
      </c>
      <c r="BD346" s="204">
        <f t="shared" si="1299"/>
        <v>2.5357873210633947E-2</v>
      </c>
      <c r="BE346" s="204">
        <f t="shared" si="1299"/>
        <v>2.2954743255004351E-2</v>
      </c>
      <c r="BF346" s="204">
        <f t="shared" si="1299"/>
        <v>1.8817204301075269E-2</v>
      </c>
      <c r="BG346" s="204">
        <f t="shared" si="1299"/>
        <v>1.9492293744333637E-2</v>
      </c>
      <c r="BH346" s="204">
        <f t="shared" si="1299"/>
        <v>1.8380743982494528E-2</v>
      </c>
      <c r="BI346" s="204">
        <f t="shared" si="1299"/>
        <v>1.7760617760617759E-2</v>
      </c>
      <c r="BJ346" s="204">
        <f t="shared" si="1299"/>
        <v>1.8576183829056157E-2</v>
      </c>
      <c r="BK346" s="204">
        <f t="shared" si="1299"/>
        <v>1.7086715079026059E-2</v>
      </c>
      <c r="BL346" s="204">
        <f t="shared" ref="BL346:CF346" si="1300">BL345/BL30</f>
        <v>1.3947001394700139E-2</v>
      </c>
      <c r="BM346" s="204">
        <f t="shared" si="1300"/>
        <v>2.0786262991414371E-2</v>
      </c>
      <c r="BN346" s="204">
        <f t="shared" si="1300"/>
        <v>1.1499336576735958E-2</v>
      </c>
      <c r="BO346" s="204">
        <f t="shared" si="1300"/>
        <v>1.5837608744144548E-2</v>
      </c>
      <c r="BP346" s="204">
        <f t="shared" si="1300"/>
        <v>1.8303571428571429E-2</v>
      </c>
      <c r="BQ346" s="204">
        <f t="shared" si="1300"/>
        <v>1.8469656992084433E-2</v>
      </c>
      <c r="BR346" s="204">
        <f t="shared" si="1300"/>
        <v>2.1576398062527521E-2</v>
      </c>
      <c r="BS346" s="204">
        <f t="shared" si="1300"/>
        <v>1.9543973941368076E-2</v>
      </c>
      <c r="BT346" s="204">
        <f t="shared" si="1300"/>
        <v>1.9478411427334703E-2</v>
      </c>
      <c r="BU346" s="185">
        <f t="shared" si="1300"/>
        <v>1.6209476309226933E-2</v>
      </c>
      <c r="BV346" s="185">
        <f t="shared" si="1300"/>
        <v>2.0627062706270627E-2</v>
      </c>
      <c r="BW346" s="185">
        <f t="shared" si="1300"/>
        <v>1.995841995841996E-2</v>
      </c>
      <c r="BX346" s="185">
        <f t="shared" si="1300"/>
        <v>2.0360219263899765E-2</v>
      </c>
      <c r="BY346" s="204">
        <f t="shared" si="1300"/>
        <v>1.9307385841250382E-2</v>
      </c>
      <c r="BZ346" s="185">
        <f t="shared" si="1300"/>
        <v>1.5043547110055424E-2</v>
      </c>
      <c r="CA346" s="185">
        <f t="shared" si="1300"/>
        <v>1.7408906882591092E-2</v>
      </c>
      <c r="CB346" s="185">
        <f t="shared" si="1300"/>
        <v>1.8018018018018018E-2</v>
      </c>
      <c r="CC346" s="185">
        <f t="shared" si="1300"/>
        <v>1.3858497447118891E-2</v>
      </c>
      <c r="CD346" s="204">
        <f t="shared" si="1300"/>
        <v>1.6011787819253439E-2</v>
      </c>
      <c r="CE346" s="185">
        <f t="shared" si="1300"/>
        <v>1.4982712255090281E-2</v>
      </c>
      <c r="CF346" s="185">
        <f t="shared" si="1300"/>
        <v>1.8174787316318639E-2</v>
      </c>
      <c r="CG346" s="185">
        <f t="shared" ref="CG346:CJ346" si="1301">CG345/CG30</f>
        <v>1.6692546583850932E-2</v>
      </c>
      <c r="CH346" s="185">
        <f t="shared" si="1301"/>
        <v>1.7322266329844821E-2</v>
      </c>
      <c r="CI346" s="204">
        <f t="shared" si="1301"/>
        <v>1.6799544419134397E-2</v>
      </c>
      <c r="CJ346" s="185">
        <f t="shared" si="1301"/>
        <v>1.6104294478527608E-2</v>
      </c>
      <c r="CK346" s="185">
        <f t="shared" ref="CK346:CL346" si="1302">CK345/CK30</f>
        <v>1.600312256049961E-2</v>
      </c>
      <c r="CL346" s="185">
        <f t="shared" si="1302"/>
        <v>1.7381228273464659E-2</v>
      </c>
      <c r="CM346" s="185">
        <f t="shared" ref="CM346:CP346" si="1303">CM345/CM30</f>
        <v>1.6689847009735744E-2</v>
      </c>
      <c r="CN346" s="204">
        <f t="shared" si="1303"/>
        <v>1.6549130230371415E-2</v>
      </c>
      <c r="CO346" s="185">
        <f t="shared" si="1303"/>
        <v>1.5745148297326986E-2</v>
      </c>
      <c r="CP346" s="185">
        <f t="shared" si="1303"/>
        <v>1.6942771084337348E-2</v>
      </c>
      <c r="CQ346" s="254">
        <f>CN346</f>
        <v>1.6549130230371415E-2</v>
      </c>
      <c r="CR346" s="254">
        <f t="shared" ref="CR346:CS346" si="1304">CQ346</f>
        <v>1.6549130230371415E-2</v>
      </c>
      <c r="CS346" s="254">
        <f t="shared" si="1304"/>
        <v>1.6549130230371415E-2</v>
      </c>
      <c r="CT346" s="254">
        <f t="shared" ref="CT346" si="1305">CS346</f>
        <v>1.6549130230371415E-2</v>
      </c>
      <c r="CU346" s="254">
        <f t="shared" ref="CU346" si="1306">CT346</f>
        <v>1.6549130230371415E-2</v>
      </c>
      <c r="CV346" s="254">
        <f t="shared" ref="CV346:CW346" si="1307">CU346</f>
        <v>1.6549130230371415E-2</v>
      </c>
      <c r="CW346" s="254">
        <f t="shared" si="1307"/>
        <v>1.6549130230371415E-2</v>
      </c>
      <c r="CX346" s="159"/>
      <c r="CY346" s="159"/>
      <c r="CZ346" s="159"/>
      <c r="DA346" s="159"/>
      <c r="DB346" s="159"/>
      <c r="DC346" s="159"/>
      <c r="DD346" s="159"/>
    </row>
    <row r="347" spans="1:145">
      <c r="A347" s="226" t="s">
        <v>64</v>
      </c>
      <c r="B347" s="204"/>
      <c r="C347" s="204"/>
      <c r="D347" s="204"/>
      <c r="E347" s="204"/>
      <c r="F347" s="204"/>
      <c r="G347" s="204"/>
      <c r="H347" s="204"/>
      <c r="I347" s="204"/>
      <c r="J347" s="204"/>
      <c r="K347" s="204"/>
      <c r="L347" s="204"/>
      <c r="M347" s="204"/>
      <c r="N347" s="204"/>
      <c r="O347" s="204"/>
      <c r="P347" s="204"/>
      <c r="Q347" s="204"/>
      <c r="R347" s="204"/>
      <c r="S347" s="204"/>
      <c r="T347" s="204"/>
      <c r="U347" s="204"/>
      <c r="V347" s="204"/>
      <c r="W347" s="204"/>
      <c r="X347" s="204"/>
      <c r="Y347" s="204"/>
      <c r="Z347" s="204"/>
      <c r="AA347" s="204"/>
      <c r="AB347" s="204">
        <f t="shared" ref="AB347:CP347" si="1308">AB345/W345-1</f>
        <v>0.21449314151890242</v>
      </c>
      <c r="AC347" s="204">
        <f t="shared" si="1308"/>
        <v>-0.26872469635627538</v>
      </c>
      <c r="AD347" s="204">
        <f t="shared" si="1308"/>
        <v>-8.3609688523213821E-2</v>
      </c>
      <c r="AE347" s="204">
        <f t="shared" si="1308"/>
        <v>-9.2291209632161642E-2</v>
      </c>
      <c r="AF347" s="204">
        <f t="shared" si="1308"/>
        <v>-7.9800062385404824E-2</v>
      </c>
      <c r="AG347" s="204">
        <f t="shared" si="1308"/>
        <v>-0.21765671658237196</v>
      </c>
      <c r="AH347" s="204">
        <f t="shared" si="1308"/>
        <v>0.28155837498398051</v>
      </c>
      <c r="AI347" s="204">
        <f t="shared" si="1308"/>
        <v>0.22536388726652246</v>
      </c>
      <c r="AJ347" s="204">
        <f t="shared" si="1308"/>
        <v>0.14283573141486805</v>
      </c>
      <c r="AK347" s="204">
        <f t="shared" si="1308"/>
        <v>0.10236567674228869</v>
      </c>
      <c r="AL347" s="204">
        <f t="shared" si="1308"/>
        <v>0.45070422535211274</v>
      </c>
      <c r="AM347" s="204">
        <f t="shared" si="1308"/>
        <v>0.10000000000000009</v>
      </c>
      <c r="AN347" s="204">
        <f t="shared" si="1308"/>
        <v>-0.12149532710280375</v>
      </c>
      <c r="AO347" s="204">
        <f t="shared" si="1308"/>
        <v>-0.19672131147540983</v>
      </c>
      <c r="AP347" s="204">
        <f t="shared" si="1308"/>
        <v>1.2499999999999956E-2</v>
      </c>
      <c r="AQ347" s="204">
        <f t="shared" si="1308"/>
        <v>-0.65048543689320382</v>
      </c>
      <c r="AR347" s="204">
        <f t="shared" si="1308"/>
        <v>-0.42727272727272725</v>
      </c>
      <c r="AS347" s="204">
        <f t="shared" si="1308"/>
        <v>-0.43617021276595747</v>
      </c>
      <c r="AT347" s="204">
        <f t="shared" si="1308"/>
        <v>-0.54081632653061229</v>
      </c>
      <c r="AU347" s="204">
        <f t="shared" si="1308"/>
        <v>-0.51358024691358017</v>
      </c>
      <c r="AV347" s="204">
        <f t="shared" si="1308"/>
        <v>8.3333333333333259E-2</v>
      </c>
      <c r="AW347" s="204">
        <f t="shared" si="1308"/>
        <v>-0.31746031746031744</v>
      </c>
      <c r="AX347" s="204">
        <f t="shared" si="1308"/>
        <v>-0.18867924528301883</v>
      </c>
      <c r="AY347" s="204">
        <f t="shared" si="1308"/>
        <v>-0.22222222222222221</v>
      </c>
      <c r="AZ347" s="204">
        <f t="shared" si="1308"/>
        <v>-0.18781725888324874</v>
      </c>
      <c r="BA347" s="204">
        <f t="shared" si="1308"/>
        <v>0</v>
      </c>
      <c r="BB347" s="204">
        <f t="shared" si="1308"/>
        <v>0.18604651162790709</v>
      </c>
      <c r="BC347" s="204">
        <f t="shared" si="1308"/>
        <v>0.37209302325581395</v>
      </c>
      <c r="BD347" s="204">
        <f t="shared" si="1308"/>
        <v>0.77142857142857135</v>
      </c>
      <c r="BE347" s="204">
        <f t="shared" si="1308"/>
        <v>0.31875000000000009</v>
      </c>
      <c r="BF347" s="204">
        <f t="shared" si="1308"/>
        <v>7.6923076923076872E-2</v>
      </c>
      <c r="BG347" s="204">
        <f t="shared" si="1308"/>
        <v>-0.15686274509803921</v>
      </c>
      <c r="BH347" s="204">
        <f t="shared" si="1308"/>
        <v>-0.28813559322033899</v>
      </c>
      <c r="BI347" s="204">
        <f t="shared" si="1308"/>
        <v>-0.25806451612903225</v>
      </c>
      <c r="BJ347" s="204">
        <f t="shared" si="1308"/>
        <v>-0.18009478672985779</v>
      </c>
      <c r="BK347" s="204">
        <f t="shared" si="1308"/>
        <v>-4.7619047619047672E-2</v>
      </c>
      <c r="BL347" s="204">
        <f t="shared" si="1308"/>
        <v>-0.30232558139534882</v>
      </c>
      <c r="BM347" s="204">
        <f t="shared" si="1308"/>
        <v>9.5238095238095344E-2</v>
      </c>
      <c r="BN347" s="204">
        <f t="shared" si="1308"/>
        <v>-0.43478260869565222</v>
      </c>
      <c r="BO347" s="204">
        <f t="shared" si="1308"/>
        <v>-0.17919075144508667</v>
      </c>
      <c r="BP347" s="204">
        <f t="shared" si="1308"/>
        <v>2.4999999999999911E-2</v>
      </c>
      <c r="BQ347" s="204">
        <f t="shared" si="1308"/>
        <v>0.39999999999999991</v>
      </c>
      <c r="BR347" s="204">
        <f t="shared" si="1308"/>
        <v>6.5217391304347894E-2</v>
      </c>
      <c r="BS347" s="204">
        <f t="shared" si="1308"/>
        <v>0.84615384615384626</v>
      </c>
      <c r="BT347" s="204">
        <f t="shared" si="1308"/>
        <v>0.26760563380281699</v>
      </c>
      <c r="BU347" s="185">
        <f t="shared" si="1308"/>
        <v>-4.8780487804878092E-2</v>
      </c>
      <c r="BV347" s="185">
        <f t="shared" si="1308"/>
        <v>0.19047619047619047</v>
      </c>
      <c r="BW347" s="185">
        <f t="shared" si="1308"/>
        <v>-2.0408163265306145E-2</v>
      </c>
      <c r="BX347" s="185">
        <f t="shared" si="1308"/>
        <v>8.3333333333333259E-2</v>
      </c>
      <c r="BY347" s="204">
        <f t="shared" si="1308"/>
        <v>5.0000000000000044E-2</v>
      </c>
      <c r="BZ347" s="185">
        <f t="shared" si="1308"/>
        <v>-2.5641025641025661E-2</v>
      </c>
      <c r="CA347" s="185">
        <f t="shared" si="1308"/>
        <v>-0.14000000000000001</v>
      </c>
      <c r="CB347" s="185">
        <f t="shared" si="1308"/>
        <v>-8.333333333333337E-2</v>
      </c>
      <c r="CC347" s="185">
        <f t="shared" si="1308"/>
        <v>-0.26923076923076927</v>
      </c>
      <c r="CD347" s="204">
        <f t="shared" si="1308"/>
        <v>-0.13756613756613756</v>
      </c>
      <c r="CE347" s="185">
        <f t="shared" si="1308"/>
        <v>2.6315789473684292E-2</v>
      </c>
      <c r="CF347" s="185">
        <f t="shared" si="1308"/>
        <v>9.3023255813953432E-2</v>
      </c>
      <c r="CG347" s="185">
        <f t="shared" si="1308"/>
        <v>-2.2727272727272707E-2</v>
      </c>
      <c r="CH347" s="185">
        <f t="shared" si="1308"/>
        <v>0.26315789473684204</v>
      </c>
      <c r="CI347" s="204">
        <f t="shared" si="1308"/>
        <v>8.5889570552147187E-2</v>
      </c>
      <c r="CJ347" s="185">
        <f t="shared" si="1308"/>
        <v>7.6923076923076872E-2</v>
      </c>
      <c r="CK347" s="185">
        <f t="shared" si="1308"/>
        <v>-0.12765957446808507</v>
      </c>
      <c r="CL347" s="185">
        <f t="shared" si="1308"/>
        <v>4.6511627906976827E-2</v>
      </c>
      <c r="CM347" s="185">
        <f t="shared" si="1308"/>
        <v>0</v>
      </c>
      <c r="CN347" s="204">
        <f t="shared" si="1308"/>
        <v>-5.6497175141242417E-3</v>
      </c>
      <c r="CO347" s="185">
        <f t="shared" si="1308"/>
        <v>2.3809523809523725E-2</v>
      </c>
      <c r="CP347" s="185">
        <f t="shared" si="1308"/>
        <v>9.7560975609756184E-2</v>
      </c>
      <c r="CQ347" s="204">
        <f>CQ345/CN345-1</f>
        <v>2.9204379858560392E-2</v>
      </c>
      <c r="CR347" s="204">
        <f t="shared" ref="CR347:CS347" si="1309">CR345/CQ345-1</f>
        <v>2.4801021586922545E-2</v>
      </c>
      <c r="CS347" s="204">
        <f t="shared" si="1309"/>
        <v>2.447914704030052E-2</v>
      </c>
      <c r="CT347" s="204">
        <f t="shared" ref="CT347" si="1310">CT345/CS345-1</f>
        <v>2.5224694876190057E-2</v>
      </c>
      <c r="CU347" s="204">
        <f t="shared" ref="CU347" si="1311">CU345/CT345-1</f>
        <v>2.384234233075011E-2</v>
      </c>
      <c r="CV347" s="204">
        <f t="shared" ref="CV347:CW347" si="1312">CV345/CU345-1</f>
        <v>2.3621716659277592E-2</v>
      </c>
      <c r="CW347" s="204">
        <f t="shared" si="1312"/>
        <v>2.3449198252120995E-2</v>
      </c>
      <c r="CX347" s="159"/>
      <c r="CY347" s="159"/>
      <c r="CZ347" s="159"/>
      <c r="DA347" s="159"/>
      <c r="DB347" s="159"/>
      <c r="DC347" s="159"/>
      <c r="DD347" s="159"/>
      <c r="EG347" s="221"/>
      <c r="EH347" s="221"/>
      <c r="EI347" s="221"/>
      <c r="EJ347" s="221"/>
    </row>
    <row r="348" spans="1:145">
      <c r="A348" s="226"/>
      <c r="B348" s="314"/>
      <c r="C348" s="314"/>
      <c r="D348" s="314"/>
      <c r="E348" s="314"/>
      <c r="F348" s="314"/>
      <c r="G348" s="314"/>
      <c r="H348" s="314"/>
      <c r="I348" s="314"/>
      <c r="J348" s="314"/>
      <c r="K348" s="314"/>
      <c r="L348" s="314"/>
      <c r="M348" s="314"/>
      <c r="N348" s="314"/>
      <c r="O348" s="314"/>
      <c r="P348" s="314"/>
      <c r="Q348" s="314"/>
      <c r="R348" s="314"/>
      <c r="S348" s="314"/>
      <c r="T348" s="314"/>
      <c r="U348" s="314"/>
      <c r="V348" s="314"/>
      <c r="W348" s="314"/>
      <c r="X348" s="314"/>
      <c r="Y348" s="314"/>
      <c r="Z348" s="314"/>
      <c r="AA348" s="314"/>
      <c r="AB348" s="314"/>
      <c r="AC348" s="314"/>
      <c r="AD348" s="314"/>
      <c r="AE348" s="314"/>
      <c r="AF348" s="314"/>
      <c r="AG348" s="314"/>
      <c r="AH348" s="314"/>
      <c r="AI348" s="314"/>
      <c r="AJ348" s="314"/>
      <c r="AK348" s="314"/>
      <c r="AL348" s="314"/>
      <c r="AM348" s="314"/>
      <c r="AN348" s="314"/>
      <c r="AO348" s="314"/>
      <c r="AP348" s="314"/>
      <c r="AQ348" s="159"/>
      <c r="AR348" s="159"/>
      <c r="AS348" s="159"/>
      <c r="AT348" s="159"/>
      <c r="AU348" s="159"/>
      <c r="AV348" s="159"/>
      <c r="AW348" s="159"/>
      <c r="AX348" s="159"/>
      <c r="AY348" s="159"/>
      <c r="AZ348" s="159"/>
      <c r="BA348" s="159"/>
      <c r="BB348" s="159"/>
      <c r="BC348" s="159"/>
      <c r="BD348" s="159"/>
      <c r="BE348" s="159"/>
      <c r="BF348" s="159"/>
      <c r="BG348" s="159"/>
      <c r="BH348" s="159"/>
      <c r="BI348" s="159"/>
      <c r="BJ348" s="159"/>
      <c r="BK348" s="159"/>
      <c r="BL348" s="159"/>
      <c r="BM348" s="159"/>
      <c r="BN348" s="159"/>
      <c r="BO348" s="159"/>
      <c r="BP348" s="159"/>
      <c r="BQ348" s="159"/>
      <c r="BR348" s="159"/>
      <c r="BS348" s="159"/>
      <c r="BT348" s="159"/>
      <c r="BU348" s="159"/>
      <c r="BV348" s="159"/>
      <c r="BW348" s="159"/>
      <c r="BX348" s="159"/>
      <c r="BY348" s="159"/>
      <c r="BZ348" s="159"/>
      <c r="CA348" s="159"/>
      <c r="CB348" s="159"/>
      <c r="CC348" s="159"/>
      <c r="CD348" s="159"/>
      <c r="CE348" s="159"/>
      <c r="CF348" s="159"/>
      <c r="CG348" s="159"/>
      <c r="CH348" s="159"/>
      <c r="CI348" s="159"/>
      <c r="CJ348" s="159"/>
      <c r="CK348" s="159"/>
      <c r="CL348" s="159"/>
      <c r="CM348" s="159"/>
      <c r="CN348" s="159"/>
      <c r="CO348" s="159"/>
      <c r="CP348" s="159"/>
      <c r="CQ348" s="159"/>
      <c r="CR348" s="159"/>
      <c r="CS348" s="159"/>
      <c r="CT348" s="159"/>
      <c r="CU348" s="159"/>
      <c r="CV348" s="159"/>
      <c r="CW348" s="159"/>
      <c r="CX348" s="159"/>
      <c r="CY348" s="159"/>
      <c r="CZ348" s="159"/>
      <c r="DA348" s="159"/>
      <c r="DB348" s="159"/>
      <c r="DC348" s="165"/>
      <c r="DD348" s="165"/>
    </row>
    <row r="349" spans="1:145">
      <c r="A349" s="235" t="s">
        <v>721</v>
      </c>
      <c r="B349" s="720"/>
      <c r="C349" s="720"/>
      <c r="D349" s="720"/>
      <c r="E349" s="720"/>
      <c r="F349" s="720"/>
      <c r="G349" s="720"/>
      <c r="H349" s="720"/>
      <c r="I349" s="720"/>
      <c r="J349" s="720"/>
      <c r="K349" s="720"/>
      <c r="L349" s="720"/>
      <c r="M349" s="720"/>
      <c r="N349" s="720"/>
      <c r="O349" s="720"/>
      <c r="P349" s="720"/>
      <c r="Q349" s="720"/>
      <c r="R349" s="720"/>
      <c r="S349" s="720"/>
      <c r="T349" s="720"/>
      <c r="U349" s="720"/>
      <c r="V349" s="720"/>
      <c r="W349" s="720"/>
      <c r="X349" s="720"/>
      <c r="Y349" s="720"/>
      <c r="Z349" s="720"/>
      <c r="AA349" s="720"/>
      <c r="AB349" s="720"/>
      <c r="AC349" s="720"/>
      <c r="AD349" s="720"/>
      <c r="AE349" s="720"/>
      <c r="AF349" s="720"/>
      <c r="AG349" s="720"/>
      <c r="AH349" s="720"/>
      <c r="AI349" s="720"/>
      <c r="AJ349" s="720"/>
      <c r="AK349" s="720"/>
      <c r="AL349" s="720"/>
      <c r="AM349" s="720"/>
      <c r="AN349" s="720"/>
      <c r="AO349" s="720"/>
      <c r="AP349" s="720"/>
      <c r="AQ349" s="720"/>
      <c r="AR349" s="720"/>
      <c r="AS349" s="720"/>
      <c r="AT349" s="720"/>
      <c r="AU349" s="720"/>
      <c r="AV349" s="720"/>
      <c r="AW349" s="720"/>
      <c r="AX349" s="720"/>
      <c r="AY349" s="720"/>
      <c r="AZ349" s="720"/>
      <c r="BA349" s="720"/>
      <c r="BB349" s="720"/>
      <c r="BC349" s="720"/>
      <c r="BD349" s="720"/>
      <c r="BE349" s="720"/>
      <c r="BF349" s="720"/>
      <c r="BG349" s="720"/>
      <c r="BH349" s="720"/>
      <c r="BI349" s="720"/>
      <c r="BJ349" s="720"/>
      <c r="BK349" s="720"/>
      <c r="BL349" s="720"/>
      <c r="BM349" s="720"/>
      <c r="BN349" s="720"/>
      <c r="BO349" s="720"/>
      <c r="BP349" s="720"/>
      <c r="BQ349" s="720"/>
      <c r="BR349" s="720"/>
      <c r="BS349" s="720"/>
      <c r="BT349" s="720"/>
      <c r="BU349" s="730">
        <f>'[3]Profit and Loss Highlights'!AQ48</f>
        <v>-61</v>
      </c>
      <c r="BV349" s="730">
        <f>'[3]Profit and Loss Highlights'!AR48</f>
        <v>-74</v>
      </c>
      <c r="BW349" s="730">
        <f>'[3]Profit and Loss Highlights'!AS48</f>
        <v>-52</v>
      </c>
      <c r="BX349" s="730">
        <f>'[3]Profit and Loss Highlights'!AT48</f>
        <v>-64</v>
      </c>
      <c r="BY349" s="693">
        <f>SUM(BU349:BX349)</f>
        <v>-251</v>
      </c>
      <c r="BZ349" s="730">
        <f>'[3]Profit and Loss Highlights'!AU48</f>
        <v>-46</v>
      </c>
      <c r="CA349" s="730">
        <f>'[3]Profit and Loss Highlights'!AV48</f>
        <v>-52</v>
      </c>
      <c r="CB349" s="730">
        <f>'[3]Profit and Loss Highlights'!AW48</f>
        <v>-38</v>
      </c>
      <c r="CC349" s="730">
        <f>'[3]Profit and Loss Highlights'!AX48</f>
        <v>-79</v>
      </c>
      <c r="CD349" s="693">
        <f>SUM(BZ349:CC349)</f>
        <v>-215</v>
      </c>
      <c r="CE349" s="730">
        <f>'[3]Profit and Loss Highlights'!AY48</f>
        <v>-61</v>
      </c>
      <c r="CF349" s="730">
        <f>'[3]Profit and Loss Highlights'!AZ48</f>
        <v>-59</v>
      </c>
      <c r="CG349" s="730">
        <f>'[3]Profit and Loss Highlights'!BA48</f>
        <v>-56</v>
      </c>
      <c r="CH349" s="730">
        <f>'[3]Profit and Loss Highlights'!BB48</f>
        <v>-45</v>
      </c>
      <c r="CI349" s="693">
        <f>SUM(CE349:CH349)</f>
        <v>-221</v>
      </c>
      <c r="CJ349" s="730">
        <f>'[3]Profit and Loss Highlights'!BC48</f>
        <v>-44</v>
      </c>
      <c r="CK349" s="730">
        <f>'[3]Profit and Loss Highlights'!BD48</f>
        <v>-57</v>
      </c>
      <c r="CL349" s="730">
        <f>'[3]Profit and Loss Highlights'!BE48</f>
        <v>-56</v>
      </c>
      <c r="CM349" s="730">
        <f>'[3]Profit and Loss Highlights'!BF48</f>
        <v>-40</v>
      </c>
      <c r="CN349" s="693">
        <f>SUM(CJ349:CM349)</f>
        <v>-197</v>
      </c>
      <c r="CO349" s="730">
        <f>'[3]Profit and Loss Highlights'!BG48</f>
        <v>-47</v>
      </c>
      <c r="CP349" s="730">
        <f>'[3]Profit and Loss Highlights'!BH48</f>
        <v>-67</v>
      </c>
      <c r="CQ349" s="720">
        <f t="shared" ref="CQ349:CW349" si="1313">CQ350*CQ30</f>
        <v>-218.91177159591578</v>
      </c>
      <c r="CR349" s="720">
        <f t="shared" si="1313"/>
        <v>-224.34100716889756</v>
      </c>
      <c r="CS349" s="720">
        <f t="shared" si="1313"/>
        <v>-229.83268367055408</v>
      </c>
      <c r="CT349" s="720">
        <f t="shared" si="1313"/>
        <v>-235.63014298871971</v>
      </c>
      <c r="CU349" s="720">
        <f t="shared" si="1313"/>
        <v>-241.2481175213004</v>
      </c>
      <c r="CV349" s="720">
        <f t="shared" si="1313"/>
        <v>-246.94681219797269</v>
      </c>
      <c r="CW349" s="720">
        <f t="shared" si="1313"/>
        <v>-252.73751695493223</v>
      </c>
      <c r="CX349" s="165"/>
      <c r="CY349" s="165"/>
      <c r="CZ349" s="165"/>
      <c r="DA349" s="165"/>
      <c r="DB349" s="165"/>
      <c r="DC349" s="159"/>
      <c r="DD349" s="159"/>
    </row>
    <row r="350" spans="1:145">
      <c r="A350" s="226" t="s">
        <v>63</v>
      </c>
      <c r="B350" s="204"/>
      <c r="C350" s="204"/>
      <c r="D350" s="204"/>
      <c r="E350" s="204"/>
      <c r="F350" s="204"/>
      <c r="G350" s="204"/>
      <c r="H350" s="204"/>
      <c r="I350" s="204"/>
      <c r="J350" s="204"/>
      <c r="K350" s="204"/>
      <c r="L350" s="204"/>
      <c r="M350" s="204"/>
      <c r="N350" s="204"/>
      <c r="O350" s="204"/>
      <c r="P350" s="204"/>
      <c r="Q350" s="204"/>
      <c r="R350" s="204"/>
      <c r="S350" s="204"/>
      <c r="T350" s="204"/>
      <c r="U350" s="204"/>
      <c r="V350" s="204"/>
      <c r="W350" s="204"/>
      <c r="X350" s="204"/>
      <c r="Y350" s="204"/>
      <c r="Z350" s="204"/>
      <c r="AA350" s="204"/>
      <c r="AB350" s="204"/>
      <c r="AC350" s="204"/>
      <c r="AD350" s="204"/>
      <c r="AE350" s="204"/>
      <c r="AF350" s="204"/>
      <c r="AG350" s="204"/>
      <c r="AH350" s="204"/>
      <c r="AI350" s="204"/>
      <c r="AJ350" s="204"/>
      <c r="AK350" s="204"/>
      <c r="AL350" s="204"/>
      <c r="AM350" s="204"/>
      <c r="AN350" s="204"/>
      <c r="AO350" s="204"/>
      <c r="AP350" s="204"/>
      <c r="AQ350" s="204"/>
      <c r="AR350" s="204"/>
      <c r="AS350" s="204"/>
      <c r="AT350" s="204"/>
      <c r="AU350" s="204"/>
      <c r="AV350" s="204"/>
      <c r="AW350" s="204"/>
      <c r="AX350" s="204"/>
      <c r="AY350" s="204"/>
      <c r="AZ350" s="204"/>
      <c r="BA350" s="204"/>
      <c r="BB350" s="204"/>
      <c r="BC350" s="204"/>
      <c r="BD350" s="204"/>
      <c r="BE350" s="204"/>
      <c r="BF350" s="204"/>
      <c r="BG350" s="204"/>
      <c r="BH350" s="204"/>
      <c r="BI350" s="204"/>
      <c r="BJ350" s="204"/>
      <c r="BK350" s="204"/>
      <c r="BL350" s="204"/>
      <c r="BM350" s="204"/>
      <c r="BN350" s="204"/>
      <c r="BO350" s="204"/>
      <c r="BP350" s="204"/>
      <c r="BQ350" s="204"/>
      <c r="BR350" s="204"/>
      <c r="BS350" s="204"/>
      <c r="BT350" s="204"/>
      <c r="BU350" s="185">
        <f t="shared" ref="BU350:CF350" si="1314">BU349/BU30</f>
        <v>-2.5353283458021611E-2</v>
      </c>
      <c r="BV350" s="185">
        <f t="shared" si="1314"/>
        <v>-3.052805280528053E-2</v>
      </c>
      <c r="BW350" s="185">
        <f t="shared" si="1314"/>
        <v>-2.1621621621621623E-2</v>
      </c>
      <c r="BX350" s="185">
        <f t="shared" si="1314"/>
        <v>-2.5058731401722788E-2</v>
      </c>
      <c r="BY350" s="185">
        <f t="shared" si="1314"/>
        <v>-2.564102564102564E-2</v>
      </c>
      <c r="BZ350" s="185">
        <f t="shared" si="1314"/>
        <v>-1.8210609659540775E-2</v>
      </c>
      <c r="CA350" s="185">
        <f t="shared" si="1314"/>
        <v>-2.1052631578947368E-2</v>
      </c>
      <c r="CB350" s="185">
        <f t="shared" si="1314"/>
        <v>-1.5561015561015561E-2</v>
      </c>
      <c r="CC350" s="185">
        <f t="shared" si="1314"/>
        <v>-2.8811086797957696E-2</v>
      </c>
      <c r="CD350" s="185">
        <f t="shared" si="1314"/>
        <v>-2.111984282907662E-2</v>
      </c>
      <c r="CE350" s="185">
        <f t="shared" si="1314"/>
        <v>-2.343449865539762E-2</v>
      </c>
      <c r="CF350" s="185">
        <f t="shared" si="1314"/>
        <v>-2.2815158546017015E-2</v>
      </c>
      <c r="CG350" s="185">
        <f t="shared" ref="CG350:CJ350" si="1315">CG349/CG30</f>
        <v>-2.1739130434782608E-2</v>
      </c>
      <c r="CH350" s="185">
        <f t="shared" si="1315"/>
        <v>-1.6239624684229521E-2</v>
      </c>
      <c r="CI350" s="185">
        <f t="shared" si="1315"/>
        <v>-2.0975702353834471E-2</v>
      </c>
      <c r="CJ350" s="185">
        <f t="shared" si="1315"/>
        <v>-1.6871165644171779E-2</v>
      </c>
      <c r="CK350" s="185">
        <f t="shared" ref="CK350:CL350" si="1316">CK349/CK30</f>
        <v>-2.224824355971897E-2</v>
      </c>
      <c r="CL350" s="185">
        <f t="shared" si="1316"/>
        <v>-2.1629972962533797E-2</v>
      </c>
      <c r="CM350" s="185">
        <f t="shared" ref="CM350:CP350" si="1317">CM349/CM30</f>
        <v>-1.3908205841446454E-2</v>
      </c>
      <c r="CN350" s="185">
        <f t="shared" si="1317"/>
        <v>-1.8523742360131639E-2</v>
      </c>
      <c r="CO350" s="185">
        <f t="shared" si="1317"/>
        <v>-1.7209813255217869E-2</v>
      </c>
      <c r="CP350" s="185">
        <f t="shared" si="1317"/>
        <v>-2.5225903614457833E-2</v>
      </c>
      <c r="CQ350" s="304">
        <v>-0.02</v>
      </c>
      <c r="CR350" s="304">
        <f t="shared" ref="CR350:CS350" si="1318">CQ350</f>
        <v>-0.02</v>
      </c>
      <c r="CS350" s="304">
        <f t="shared" si="1318"/>
        <v>-0.02</v>
      </c>
      <c r="CT350" s="304">
        <f t="shared" ref="CT350" si="1319">CS350</f>
        <v>-0.02</v>
      </c>
      <c r="CU350" s="304">
        <f>CT350</f>
        <v>-0.02</v>
      </c>
      <c r="CV350" s="304">
        <f t="shared" ref="CV350:CW350" si="1320">CU350</f>
        <v>-0.02</v>
      </c>
      <c r="CW350" s="304">
        <f t="shared" si="1320"/>
        <v>-0.02</v>
      </c>
      <c r="CX350" s="159"/>
      <c r="CY350" s="159"/>
      <c r="CZ350" s="159"/>
      <c r="DA350" s="159"/>
      <c r="DB350" s="159"/>
      <c r="DC350" s="159"/>
      <c r="DD350" s="159"/>
    </row>
    <row r="351" spans="1:145">
      <c r="A351" s="226" t="s">
        <v>64</v>
      </c>
      <c r="B351" s="204"/>
      <c r="C351" s="204"/>
      <c r="D351" s="204"/>
      <c r="E351" s="204"/>
      <c r="F351" s="204"/>
      <c r="G351" s="204"/>
      <c r="H351" s="204"/>
      <c r="I351" s="204"/>
      <c r="J351" s="204"/>
      <c r="K351" s="204"/>
      <c r="L351" s="204"/>
      <c r="M351" s="204"/>
      <c r="N351" s="204"/>
      <c r="O351" s="204"/>
      <c r="P351" s="204"/>
      <c r="Q351" s="204"/>
      <c r="R351" s="204"/>
      <c r="S351" s="204"/>
      <c r="T351" s="204"/>
      <c r="U351" s="204"/>
      <c r="V351" s="204"/>
      <c r="W351" s="204"/>
      <c r="X351" s="204"/>
      <c r="Y351" s="204"/>
      <c r="Z351" s="204"/>
      <c r="AA351" s="204"/>
      <c r="AB351" s="204"/>
      <c r="AC351" s="204"/>
      <c r="AD351" s="204"/>
      <c r="AE351" s="204"/>
      <c r="AF351" s="204"/>
      <c r="AG351" s="204"/>
      <c r="AH351" s="204"/>
      <c r="AI351" s="204"/>
      <c r="AJ351" s="204"/>
      <c r="AK351" s="204"/>
      <c r="AL351" s="204"/>
      <c r="AM351" s="204"/>
      <c r="AN351" s="204"/>
      <c r="AO351" s="204"/>
      <c r="AP351" s="170"/>
      <c r="AQ351" s="170"/>
      <c r="AR351" s="170"/>
      <c r="AS351" s="170"/>
      <c r="AT351" s="170"/>
      <c r="AU351" s="170"/>
      <c r="AV351" s="170"/>
      <c r="AW351" s="170"/>
      <c r="AX351" s="170"/>
      <c r="AY351" s="170"/>
      <c r="AZ351" s="170"/>
      <c r="BA351" s="170"/>
      <c r="BB351" s="170"/>
      <c r="BC351" s="170"/>
      <c r="BD351" s="170"/>
      <c r="BE351" s="170"/>
      <c r="BF351" s="170"/>
      <c r="BG351" s="170"/>
      <c r="BH351" s="170"/>
      <c r="BI351" s="170"/>
      <c r="BJ351" s="170"/>
      <c r="BK351" s="170"/>
      <c r="BL351" s="170"/>
      <c r="BM351" s="170"/>
      <c r="BN351" s="170"/>
      <c r="BO351" s="170"/>
      <c r="BP351" s="170"/>
      <c r="BQ351" s="170"/>
      <c r="BR351" s="170"/>
      <c r="BS351" s="170"/>
      <c r="BT351" s="170"/>
      <c r="BU351" s="170"/>
      <c r="BV351" s="170"/>
      <c r="BW351" s="170"/>
      <c r="BX351" s="170"/>
      <c r="BY351" s="170"/>
      <c r="BZ351" s="170"/>
      <c r="CA351" s="170"/>
      <c r="CB351" s="170"/>
      <c r="CC351" s="170"/>
      <c r="CD351" s="170"/>
      <c r="CE351" s="170"/>
      <c r="CF351" s="170"/>
      <c r="CG351" s="170"/>
      <c r="CH351" s="170"/>
      <c r="CI351" s="170"/>
      <c r="CJ351" s="170"/>
      <c r="CK351" s="170"/>
      <c r="CL351" s="170"/>
      <c r="CM351" s="170"/>
      <c r="CN351" s="170"/>
      <c r="CO351" s="170"/>
      <c r="CP351" s="170"/>
      <c r="CQ351" s="170"/>
      <c r="CR351" s="170"/>
      <c r="CS351" s="170"/>
      <c r="CT351" s="170"/>
      <c r="CU351" s="170"/>
      <c r="CV351" s="170"/>
      <c r="CW351" s="170"/>
      <c r="CX351" s="159"/>
      <c r="CY351" s="159"/>
      <c r="CZ351" s="159"/>
      <c r="DA351" s="159"/>
      <c r="DB351" s="159"/>
      <c r="DC351" s="159"/>
      <c r="DD351" s="159"/>
      <c r="EF351" s="221"/>
      <c r="EK351" s="221"/>
      <c r="EL351" s="221"/>
      <c r="EM351" s="221"/>
      <c r="EN351" s="221"/>
      <c r="EO351" s="221"/>
    </row>
    <row r="352" spans="1:145">
      <c r="A352" s="226"/>
      <c r="B352" s="204"/>
      <c r="C352" s="204"/>
      <c r="D352" s="204"/>
      <c r="E352" s="204"/>
      <c r="F352" s="204"/>
      <c r="G352" s="204"/>
      <c r="H352" s="204"/>
      <c r="I352" s="204"/>
      <c r="J352" s="204"/>
      <c r="K352" s="204"/>
      <c r="L352" s="204"/>
      <c r="M352" s="204"/>
      <c r="N352" s="204"/>
      <c r="O352" s="204"/>
      <c r="P352" s="204"/>
      <c r="Q352" s="204"/>
      <c r="R352" s="204"/>
      <c r="S352" s="204"/>
      <c r="T352" s="204"/>
      <c r="U352" s="204"/>
      <c r="V352" s="204"/>
      <c r="W352" s="204"/>
      <c r="X352" s="204"/>
      <c r="Y352" s="204"/>
      <c r="Z352" s="204"/>
      <c r="AA352" s="204"/>
      <c r="AB352" s="204"/>
      <c r="AC352" s="204"/>
      <c r="AD352" s="204"/>
      <c r="AE352" s="204"/>
      <c r="AF352" s="204"/>
      <c r="AG352" s="204"/>
      <c r="AH352" s="204"/>
      <c r="AI352" s="204"/>
      <c r="AJ352" s="204"/>
      <c r="AK352" s="204"/>
      <c r="AL352" s="204"/>
      <c r="AM352" s="204"/>
      <c r="AN352" s="204"/>
      <c r="AO352" s="204"/>
      <c r="AP352" s="204"/>
      <c r="AQ352" s="204"/>
      <c r="AR352" s="204"/>
      <c r="AS352" s="204"/>
      <c r="AT352" s="159"/>
      <c r="AU352" s="159"/>
      <c r="AV352" s="159"/>
      <c r="AW352" s="159"/>
      <c r="AX352" s="159"/>
      <c r="AY352" s="159"/>
      <c r="AZ352" s="159"/>
      <c r="BA352" s="159"/>
      <c r="BB352" s="159"/>
      <c r="BC352" s="159"/>
      <c r="BD352" s="159"/>
      <c r="BE352" s="159"/>
      <c r="BF352" s="159"/>
      <c r="BG352" s="159"/>
      <c r="BH352" s="159"/>
      <c r="BI352" s="159"/>
      <c r="BJ352" s="159"/>
      <c r="BK352" s="159"/>
      <c r="BL352" s="159"/>
      <c r="BM352" s="159"/>
      <c r="BN352" s="159"/>
      <c r="BO352" s="159"/>
      <c r="BP352" s="159"/>
      <c r="BQ352" s="159"/>
      <c r="BR352" s="159"/>
      <c r="BS352" s="159"/>
      <c r="BT352" s="159"/>
      <c r="BU352" s="159"/>
      <c r="BV352" s="159"/>
      <c r="BW352" s="159"/>
      <c r="BX352" s="159"/>
      <c r="BY352" s="159"/>
      <c r="BZ352" s="159"/>
      <c r="CA352" s="159"/>
      <c r="CB352" s="159"/>
      <c r="CC352" s="159"/>
      <c r="CD352" s="159"/>
      <c r="CE352" s="159"/>
      <c r="CF352" s="159"/>
      <c r="CG352" s="159"/>
      <c r="CH352" s="159"/>
      <c r="CI352" s="159"/>
      <c r="CJ352" s="159"/>
      <c r="CK352" s="159"/>
      <c r="CL352" s="159"/>
      <c r="CM352" s="159"/>
      <c r="CN352" s="159"/>
      <c r="CO352" s="159"/>
      <c r="CP352" s="159"/>
      <c r="CQ352" s="159"/>
      <c r="CR352" s="159"/>
      <c r="CS352" s="159"/>
      <c r="CT352" s="159"/>
      <c r="CU352" s="159"/>
      <c r="CV352" s="159"/>
      <c r="CW352" s="159"/>
      <c r="CX352" s="159"/>
      <c r="CY352" s="159"/>
      <c r="CZ352" s="159"/>
      <c r="DA352" s="159"/>
      <c r="DB352" s="159"/>
      <c r="DC352" s="165"/>
      <c r="DD352" s="165"/>
    </row>
    <row r="353" spans="1:145">
      <c r="A353" s="235" t="s">
        <v>253</v>
      </c>
      <c r="B353" s="720"/>
      <c r="C353" s="720"/>
      <c r="D353" s="720"/>
      <c r="E353" s="720"/>
      <c r="F353" s="720"/>
      <c r="G353" s="720"/>
      <c r="H353" s="720"/>
      <c r="I353" s="720"/>
      <c r="J353" s="720"/>
      <c r="K353" s="720"/>
      <c r="L353" s="720"/>
      <c r="M353" s="720"/>
      <c r="N353" s="720"/>
      <c r="O353" s="720"/>
      <c r="P353" s="720"/>
      <c r="Q353" s="720"/>
      <c r="R353" s="720"/>
      <c r="S353" s="720"/>
      <c r="T353" s="720"/>
      <c r="U353" s="720"/>
      <c r="V353" s="720"/>
      <c r="W353" s="720">
        <f>W$432*W354</f>
        <v>130.23499999999999</v>
      </c>
      <c r="X353" s="720">
        <f>X$432*X354</f>
        <v>148.941</v>
      </c>
      <c r="Y353" s="720">
        <f>Y$432*Y354</f>
        <v>175.06399999999999</v>
      </c>
      <c r="Z353" s="720">
        <f>Z$432*Z354</f>
        <v>172.95</v>
      </c>
      <c r="AA353" s="720">
        <f>SUM(W353:Z353)</f>
        <v>627.19000000000005</v>
      </c>
      <c r="AB353" s="720">
        <f>AB$432*AB354</f>
        <v>158.23600000000002</v>
      </c>
      <c r="AC353" s="720">
        <f>AC$432*AC354</f>
        <v>137.69999999999999</v>
      </c>
      <c r="AD353" s="720">
        <f>AD$432*AD354</f>
        <v>134.34</v>
      </c>
      <c r="AE353" s="720">
        <f>AE$432*AE354</f>
        <v>142.33600000000001</v>
      </c>
      <c r="AF353" s="720">
        <f>SUM(AB353:AE353)</f>
        <v>572.61200000000008</v>
      </c>
      <c r="AG353" s="722">
        <v>139</v>
      </c>
      <c r="AH353" s="722">
        <v>120</v>
      </c>
      <c r="AI353" s="722">
        <v>146</v>
      </c>
      <c r="AJ353" s="722">
        <v>137</v>
      </c>
      <c r="AK353" s="722">
        <v>585</v>
      </c>
      <c r="AL353" s="722">
        <v>122</v>
      </c>
      <c r="AM353" s="722">
        <v>115</v>
      </c>
      <c r="AN353" s="722">
        <v>141</v>
      </c>
      <c r="AO353" s="722">
        <v>156</v>
      </c>
      <c r="AP353" s="722">
        <v>628</v>
      </c>
      <c r="AQ353" s="722">
        <v>83</v>
      </c>
      <c r="AR353" s="722">
        <v>113</v>
      </c>
      <c r="AS353" s="722">
        <v>86</v>
      </c>
      <c r="AT353" s="722">
        <v>104</v>
      </c>
      <c r="AU353" s="722">
        <f>SUM(AQ353:AT353)</f>
        <v>386</v>
      </c>
      <c r="AV353" s="722">
        <v>97</v>
      </c>
      <c r="AW353" s="722">
        <f>'[3]Profit and Loss Highlights'!X45</f>
        <v>67</v>
      </c>
      <c r="AX353" s="722">
        <f>'[3]Profit and Loss Highlights'!Y45</f>
        <v>64</v>
      </c>
      <c r="AY353" s="722">
        <f>'[3]Profit and Loss Highlights'!Z45</f>
        <v>107</v>
      </c>
      <c r="AZ353" s="722">
        <f>SUM(AV353:AY353)</f>
        <v>335</v>
      </c>
      <c r="BA353" s="722">
        <f>'[3]Profit and Loss Highlights'!AA45</f>
        <v>81</v>
      </c>
      <c r="BB353" s="722">
        <f>'[3]Profit and Loss Highlights'!AB45</f>
        <v>96</v>
      </c>
      <c r="BC353" s="722">
        <f>'[3]Profit and Loss Highlights'!AC45</f>
        <v>90</v>
      </c>
      <c r="BD353" s="722">
        <f>'[3]Profit and Loss Highlights'!AD45</f>
        <v>213</v>
      </c>
      <c r="BE353" s="693">
        <f>SUM(BA353:BD353)</f>
        <v>480</v>
      </c>
      <c r="BF353" s="722">
        <f>'[3]Profit and Loss Highlights'!AE45</f>
        <v>104</v>
      </c>
      <c r="BG353" s="722">
        <f>'[3]Profit and Loss Highlights'!AF45</f>
        <v>49</v>
      </c>
      <c r="BH353" s="722">
        <f>'[3]Profit and Loss Highlights'!AG45</f>
        <v>90</v>
      </c>
      <c r="BI353" s="722">
        <f>'[3]Profit and Loss Highlights'!AH45</f>
        <v>114</v>
      </c>
      <c r="BJ353" s="693">
        <f>SUM(BF353:BI353)</f>
        <v>357</v>
      </c>
      <c r="BK353" s="722">
        <f>'[3]Profit and Loss Highlights'!AI45</f>
        <v>107</v>
      </c>
      <c r="BL353" s="722">
        <f>'[3]Profit and Loss Highlights'!AJ45</f>
        <v>95</v>
      </c>
      <c r="BM353" s="722">
        <f>'[3]Profit and Loss Highlights'!AK45</f>
        <v>111</v>
      </c>
      <c r="BN353" s="722">
        <f>'[3]Profit and Loss Highlights'!AL45</f>
        <v>140</v>
      </c>
      <c r="BO353" s="693">
        <f>SUM(BK353:BN353)</f>
        <v>453</v>
      </c>
      <c r="BP353" s="722">
        <f>'[3]Profit and Loss Highlights'!AM45</f>
        <v>99</v>
      </c>
      <c r="BQ353" s="722">
        <f>'[3]Profit and Loss Highlights'!AN45</f>
        <v>86</v>
      </c>
      <c r="BR353" s="722">
        <f>'[3]Profit and Loss Highlights'!AO45</f>
        <v>102</v>
      </c>
      <c r="BS353" s="722">
        <f>'[3]Profit and Loss Highlights'!AP45</f>
        <v>114</v>
      </c>
      <c r="BT353" s="693">
        <f>SUM(BP353:BS353)</f>
        <v>401</v>
      </c>
      <c r="BU353" s="730">
        <f>'[3]Profit and Loss Highlights'!AQ45</f>
        <v>87</v>
      </c>
      <c r="BV353" s="730">
        <f>'[3]Profit and Loss Highlights'!AR45</f>
        <v>96</v>
      </c>
      <c r="BW353" s="730">
        <f>'[3]Profit and Loss Highlights'!AS45</f>
        <v>102</v>
      </c>
      <c r="BX353" s="730">
        <f>'[3]Profit and Loss Highlights'!AT45</f>
        <v>109</v>
      </c>
      <c r="BY353" s="693">
        <f>SUM(BU353:BX353)</f>
        <v>394</v>
      </c>
      <c r="BZ353" s="730">
        <f>'[3]Profit and Loss Highlights'!AU45</f>
        <v>106</v>
      </c>
      <c r="CA353" s="730">
        <f>'[3]Profit and Loss Highlights'!AV45</f>
        <v>94</v>
      </c>
      <c r="CB353" s="730">
        <f>'[3]Profit and Loss Highlights'!AW45</f>
        <v>102</v>
      </c>
      <c r="CC353" s="730">
        <f>'[3]Profit and Loss Highlights'!AX45</f>
        <v>126</v>
      </c>
      <c r="CD353" s="693">
        <f>SUM(BZ353:CC353)</f>
        <v>428</v>
      </c>
      <c r="CE353" s="730">
        <f>'[3]Profit and Loss Highlights'!AY45</f>
        <v>102</v>
      </c>
      <c r="CF353" s="730">
        <f>'[3]Profit and Loss Highlights'!AZ45</f>
        <v>109</v>
      </c>
      <c r="CG353" s="730">
        <f>'[3]Profit and Loss Highlights'!BA45</f>
        <v>128</v>
      </c>
      <c r="CH353" s="730">
        <f>'[3]Profit and Loss Highlights'!BB45</f>
        <v>123</v>
      </c>
      <c r="CI353" s="693">
        <f>SUM(CE353:CH353)</f>
        <v>462</v>
      </c>
      <c r="CJ353" s="730">
        <f>'[3]Profit and Loss Highlights'!BC45</f>
        <v>102</v>
      </c>
      <c r="CK353" s="730">
        <f>'[3]Profit and Loss Highlights'!BD45</f>
        <v>111</v>
      </c>
      <c r="CL353" s="730">
        <f>'[3]Profit and Loss Highlights'!BE45</f>
        <v>118</v>
      </c>
      <c r="CM353" s="730">
        <f>'[3]Profit and Loss Highlights'!BF45</f>
        <v>118</v>
      </c>
      <c r="CN353" s="693">
        <f>SUM(CJ353:CM353)</f>
        <v>449</v>
      </c>
      <c r="CO353" s="730">
        <f>'[3]Profit and Loss Highlights'!BG45</f>
        <v>117</v>
      </c>
      <c r="CP353" s="730">
        <f>'[3]Profit and Loss Highlights'!BH45</f>
        <v>111</v>
      </c>
      <c r="CQ353" s="720">
        <f t="shared" ref="CQ353:CW353" si="1321">CQ354*CQ30</f>
        <v>462.11276655649363</v>
      </c>
      <c r="CR353" s="720">
        <f t="shared" si="1321"/>
        <v>473.57363525545372</v>
      </c>
      <c r="CS353" s="720">
        <f t="shared" si="1321"/>
        <v>485.16631390728156</v>
      </c>
      <c r="CT353" s="720">
        <f t="shared" si="1321"/>
        <v>497.40448613979856</v>
      </c>
      <c r="CU353" s="720">
        <f t="shared" si="1321"/>
        <v>509.26377417519461</v>
      </c>
      <c r="CV353" s="720">
        <f t="shared" si="1321"/>
        <v>521.29345875359536</v>
      </c>
      <c r="CW353" s="720">
        <f t="shared" si="1321"/>
        <v>533.51737241544231</v>
      </c>
      <c r="CX353" s="165"/>
      <c r="CY353" s="165"/>
      <c r="CZ353" s="165"/>
      <c r="DA353" s="165"/>
      <c r="DB353" s="165"/>
      <c r="DC353" s="159"/>
      <c r="DD353" s="159"/>
    </row>
    <row r="354" spans="1:145">
      <c r="A354" s="226" t="s">
        <v>63</v>
      </c>
      <c r="B354" s="204"/>
      <c r="C354" s="204"/>
      <c r="D354" s="204"/>
      <c r="E354" s="204"/>
      <c r="F354" s="204"/>
      <c r="G354" s="204"/>
      <c r="H354" s="204"/>
      <c r="I354" s="204"/>
      <c r="J354" s="204"/>
      <c r="K354" s="204"/>
      <c r="L354" s="204"/>
      <c r="M354" s="204"/>
      <c r="N354" s="204"/>
      <c r="O354" s="204"/>
      <c r="P354" s="204"/>
      <c r="Q354" s="204"/>
      <c r="R354" s="204"/>
      <c r="S354" s="204"/>
      <c r="T354" s="204"/>
      <c r="U354" s="204"/>
      <c r="V354" s="204"/>
      <c r="W354" s="304">
        <v>6.0999999999999999E-2</v>
      </c>
      <c r="X354" s="304">
        <v>6.7000000000000004E-2</v>
      </c>
      <c r="Y354" s="304">
        <v>7.9000000000000001E-2</v>
      </c>
      <c r="Z354" s="304">
        <v>7.4999999999999997E-2</v>
      </c>
      <c r="AA354" s="204"/>
      <c r="AB354" s="304">
        <v>6.8000000000000005E-2</v>
      </c>
      <c r="AC354" s="304">
        <v>0.06</v>
      </c>
      <c r="AD354" s="304">
        <v>0.06</v>
      </c>
      <c r="AE354" s="304">
        <v>6.4000000000000001E-2</v>
      </c>
      <c r="AF354" s="204">
        <f t="shared" ref="AF354:BK354" si="1322">AF353/AF30</f>
        <v>6.3423616129242355E-2</v>
      </c>
      <c r="AG354" s="204">
        <f t="shared" si="1322"/>
        <v>6.5596979707409159E-2</v>
      </c>
      <c r="AH354" s="204">
        <f t="shared" si="1322"/>
        <v>5.7636887608069162E-2</v>
      </c>
      <c r="AI354" s="204">
        <f t="shared" si="1322"/>
        <v>7.0702179176755447E-2</v>
      </c>
      <c r="AJ354" s="204">
        <f t="shared" si="1322"/>
        <v>6.4531323598681106E-2</v>
      </c>
      <c r="AK354" s="204">
        <f t="shared" si="1322"/>
        <v>6.9609709662065686E-2</v>
      </c>
      <c r="AL354" s="204">
        <f t="shared" si="1322"/>
        <v>5.6770590972545373E-2</v>
      </c>
      <c r="AM354" s="204">
        <f t="shared" si="1322"/>
        <v>5.4502369668246446E-2</v>
      </c>
      <c r="AN354" s="204">
        <f t="shared" si="1322"/>
        <v>6.5096952908587261E-2</v>
      </c>
      <c r="AO354" s="204">
        <f t="shared" si="1322"/>
        <v>7.169117647058823E-2</v>
      </c>
      <c r="AP354" s="204">
        <f t="shared" si="1322"/>
        <v>7.3014765724915706E-2</v>
      </c>
      <c r="AQ354" s="204">
        <f t="shared" si="1322"/>
        <v>3.8785046728971963E-2</v>
      </c>
      <c r="AR354" s="204">
        <f t="shared" si="1322"/>
        <v>5.3758325404376785E-2</v>
      </c>
      <c r="AS354" s="204">
        <f t="shared" si="1322"/>
        <v>3.9888682745825604E-2</v>
      </c>
      <c r="AT354" s="204">
        <f t="shared" si="1322"/>
        <v>4.6973803071364048E-2</v>
      </c>
      <c r="AU354" s="204">
        <f t="shared" si="1322"/>
        <v>4.482117974918718E-2</v>
      </c>
      <c r="AV354" s="204">
        <f t="shared" si="1322"/>
        <v>4.0842105263157895E-2</v>
      </c>
      <c r="AW354" s="204">
        <f t="shared" si="1322"/>
        <v>2.8693790149892935E-2</v>
      </c>
      <c r="AX354" s="204">
        <f t="shared" si="1322"/>
        <v>2.7432490355765109E-2</v>
      </c>
      <c r="AY354" s="204">
        <f t="shared" si="1322"/>
        <v>4.5033670033670037E-2</v>
      </c>
      <c r="AZ354" s="204">
        <f t="shared" si="1322"/>
        <v>3.556640832360123E-2</v>
      </c>
      <c r="BA354" s="204">
        <f t="shared" si="1322"/>
        <v>3.6209208761734467E-2</v>
      </c>
      <c r="BB354" s="204">
        <f t="shared" si="1322"/>
        <v>4.2742653606411399E-2</v>
      </c>
      <c r="BC354" s="204">
        <f t="shared" si="1322"/>
        <v>3.9752650176678443E-2</v>
      </c>
      <c r="BD354" s="204">
        <f t="shared" si="1322"/>
        <v>8.7116564417177911E-2</v>
      </c>
      <c r="BE354" s="204">
        <f t="shared" si="1322"/>
        <v>5.2219321148825062E-2</v>
      </c>
      <c r="BF354" s="204">
        <f t="shared" si="1322"/>
        <v>4.6594982078853049E-2</v>
      </c>
      <c r="BG354" s="204">
        <f t="shared" si="1322"/>
        <v>2.2212148685403447E-2</v>
      </c>
      <c r="BH354" s="204">
        <f t="shared" si="1322"/>
        <v>3.9387308533916851E-2</v>
      </c>
      <c r="BI354" s="204">
        <f t="shared" si="1322"/>
        <v>4.4015444015444015E-2</v>
      </c>
      <c r="BJ354" s="204">
        <f t="shared" si="1322"/>
        <v>3.8333512294641901E-2</v>
      </c>
      <c r="BK354" s="204">
        <f t="shared" si="1322"/>
        <v>4.57069628363947E-2</v>
      </c>
      <c r="BL354" s="204">
        <f t="shared" ref="BL354:CF354" si="1323">BL353/BL30</f>
        <v>4.4165504416550441E-2</v>
      </c>
      <c r="BM354" s="204">
        <f t="shared" si="1323"/>
        <v>5.0158156348847717E-2</v>
      </c>
      <c r="BN354" s="204">
        <f t="shared" si="1323"/>
        <v>6.1919504643962849E-2</v>
      </c>
      <c r="BO354" s="204">
        <f t="shared" si="1323"/>
        <v>5.0524202542939996E-2</v>
      </c>
      <c r="BP354" s="204">
        <f t="shared" si="1323"/>
        <v>4.4196428571428574E-2</v>
      </c>
      <c r="BQ354" s="204">
        <f t="shared" si="1323"/>
        <v>3.7818821459982409E-2</v>
      </c>
      <c r="BR354" s="204">
        <f t="shared" si="1323"/>
        <v>4.491413474240423E-2</v>
      </c>
      <c r="BS354" s="204">
        <f t="shared" si="1323"/>
        <v>4.6416938110749185E-2</v>
      </c>
      <c r="BT354" s="204">
        <f t="shared" si="1323"/>
        <v>4.339357212422898E-2</v>
      </c>
      <c r="BU354" s="185">
        <f t="shared" si="1323"/>
        <v>3.6159600997506237E-2</v>
      </c>
      <c r="BV354" s="185">
        <f t="shared" si="1323"/>
        <v>3.9603960396039604E-2</v>
      </c>
      <c r="BW354" s="185">
        <f t="shared" si="1323"/>
        <v>4.2411642411642414E-2</v>
      </c>
      <c r="BX354" s="185">
        <f t="shared" si="1323"/>
        <v>4.2678151918559122E-2</v>
      </c>
      <c r="BY354" s="204">
        <f t="shared" si="1323"/>
        <v>4.0249259372765349E-2</v>
      </c>
      <c r="BZ354" s="185">
        <f t="shared" si="1323"/>
        <v>4.1963578780680917E-2</v>
      </c>
      <c r="CA354" s="185">
        <f t="shared" si="1323"/>
        <v>3.8056680161943322E-2</v>
      </c>
      <c r="CB354" s="185">
        <f t="shared" si="1323"/>
        <v>4.1769041769041768E-2</v>
      </c>
      <c r="CC354" s="185">
        <f t="shared" si="1323"/>
        <v>4.5951859956236324E-2</v>
      </c>
      <c r="CD354" s="204">
        <f t="shared" si="1323"/>
        <v>4.2043222003929272E-2</v>
      </c>
      <c r="CE354" s="185">
        <f t="shared" si="1323"/>
        <v>3.9185555128697654E-2</v>
      </c>
      <c r="CF354" s="185">
        <f t="shared" si="1323"/>
        <v>4.2150038669760248E-2</v>
      </c>
      <c r="CG354" s="185">
        <f t="shared" ref="CG354:CJ354" si="1324">CG353/CG30</f>
        <v>4.9689440993788817E-2</v>
      </c>
      <c r="CH354" s="185">
        <f t="shared" si="1324"/>
        <v>4.4388307470227352E-2</v>
      </c>
      <c r="CI354" s="204">
        <f t="shared" si="1324"/>
        <v>4.3849658314350795E-2</v>
      </c>
      <c r="CJ354" s="185">
        <f t="shared" si="1324"/>
        <v>3.9110429447852764E-2</v>
      </c>
      <c r="CK354" s="185">
        <f t="shared" ref="CK354:CL354" si="1325">CK353/CK30</f>
        <v>4.3325526932084309E-2</v>
      </c>
      <c r="CL354" s="185">
        <f t="shared" si="1325"/>
        <v>4.5577443028196211E-2</v>
      </c>
      <c r="CM354" s="185">
        <f t="shared" ref="CM354:CP354" si="1326">CM353/CM30</f>
        <v>4.1029207232267037E-2</v>
      </c>
      <c r="CN354" s="204">
        <f t="shared" si="1326"/>
        <v>4.2219087917254351E-2</v>
      </c>
      <c r="CO354" s="185">
        <f t="shared" si="1326"/>
        <v>4.2841450018308309E-2</v>
      </c>
      <c r="CP354" s="185">
        <f t="shared" si="1326"/>
        <v>4.1792168674698794E-2</v>
      </c>
      <c r="CQ354" s="254">
        <f>CN354</f>
        <v>4.2219087917254351E-2</v>
      </c>
      <c r="CR354" s="254">
        <f t="shared" ref="CR354:CS354" si="1327">CQ354</f>
        <v>4.2219087917254351E-2</v>
      </c>
      <c r="CS354" s="254">
        <f t="shared" si="1327"/>
        <v>4.2219087917254351E-2</v>
      </c>
      <c r="CT354" s="254">
        <f t="shared" ref="CT354" si="1328">CS354</f>
        <v>4.2219087917254351E-2</v>
      </c>
      <c r="CU354" s="254">
        <f t="shared" ref="CU354" si="1329">CT354</f>
        <v>4.2219087917254351E-2</v>
      </c>
      <c r="CV354" s="254">
        <f t="shared" ref="CV354:CW354" si="1330">CU354</f>
        <v>4.2219087917254351E-2</v>
      </c>
      <c r="CW354" s="254">
        <f t="shared" si="1330"/>
        <v>4.2219087917254351E-2</v>
      </c>
      <c r="CX354" s="159"/>
      <c r="CY354" s="159"/>
      <c r="CZ354" s="159"/>
      <c r="DA354" s="159"/>
      <c r="DB354" s="159"/>
      <c r="DC354" s="159"/>
      <c r="DD354" s="159"/>
    </row>
    <row r="355" spans="1:145">
      <c r="A355" s="226" t="s">
        <v>64</v>
      </c>
      <c r="B355" s="204"/>
      <c r="C355" s="204"/>
      <c r="D355" s="204"/>
      <c r="E355" s="204"/>
      <c r="F355" s="204"/>
      <c r="G355" s="204"/>
      <c r="H355" s="204"/>
      <c r="I355" s="204"/>
      <c r="J355" s="204"/>
      <c r="K355" s="204"/>
      <c r="L355" s="204"/>
      <c r="M355" s="204"/>
      <c r="N355" s="204"/>
      <c r="O355" s="204"/>
      <c r="P355" s="204"/>
      <c r="Q355" s="204"/>
      <c r="R355" s="204"/>
      <c r="S355" s="204"/>
      <c r="T355" s="204"/>
      <c r="U355" s="204"/>
      <c r="V355" s="204"/>
      <c r="W355" s="204"/>
      <c r="X355" s="204"/>
      <c r="Y355" s="204"/>
      <c r="Z355" s="204"/>
      <c r="AA355" s="204"/>
      <c r="AB355" s="170">
        <f t="shared" ref="AB355:CP355" si="1331">AB353/W353-1</f>
        <v>0.21500364725304277</v>
      </c>
      <c r="AC355" s="170">
        <f t="shared" si="1331"/>
        <v>-7.5472838237960138E-2</v>
      </c>
      <c r="AD355" s="170">
        <f t="shared" si="1331"/>
        <v>-0.23262349769227253</v>
      </c>
      <c r="AE355" s="170">
        <f t="shared" si="1331"/>
        <v>-0.17701069673315972</v>
      </c>
      <c r="AF355" s="170">
        <f t="shared" si="1331"/>
        <v>-8.7019882332307508E-2</v>
      </c>
      <c r="AG355" s="170">
        <f t="shared" si="1331"/>
        <v>-0.12156525695796161</v>
      </c>
      <c r="AH355" s="170">
        <f t="shared" si="1331"/>
        <v>-0.1285403050108932</v>
      </c>
      <c r="AI355" s="170">
        <f t="shared" si="1331"/>
        <v>8.6794700014887649E-2</v>
      </c>
      <c r="AJ355" s="170">
        <f t="shared" si="1331"/>
        <v>-3.7488758992805793E-2</v>
      </c>
      <c r="AK355" s="170">
        <f t="shared" si="1331"/>
        <v>2.1634195580951809E-2</v>
      </c>
      <c r="AL355" s="170">
        <f t="shared" si="1331"/>
        <v>-0.12230215827338131</v>
      </c>
      <c r="AM355" s="170">
        <f t="shared" si="1331"/>
        <v>-4.166666666666663E-2</v>
      </c>
      <c r="AN355" s="170">
        <f t="shared" si="1331"/>
        <v>-3.4246575342465779E-2</v>
      </c>
      <c r="AO355" s="170">
        <f t="shared" si="1331"/>
        <v>0.13868613138686126</v>
      </c>
      <c r="AP355" s="170">
        <f t="shared" si="1331"/>
        <v>7.3504273504273465E-2</v>
      </c>
      <c r="AQ355" s="170">
        <f t="shared" si="1331"/>
        <v>-0.31967213114754101</v>
      </c>
      <c r="AR355" s="170">
        <f t="shared" si="1331"/>
        <v>-1.7391304347826098E-2</v>
      </c>
      <c r="AS355" s="170">
        <f t="shared" si="1331"/>
        <v>-0.39007092198581561</v>
      </c>
      <c r="AT355" s="170">
        <f t="shared" si="1331"/>
        <v>-0.33333333333333337</v>
      </c>
      <c r="AU355" s="170">
        <f t="shared" si="1331"/>
        <v>-0.38535031847133761</v>
      </c>
      <c r="AV355" s="170">
        <f t="shared" si="1331"/>
        <v>0.16867469879518082</v>
      </c>
      <c r="AW355" s="170">
        <f t="shared" si="1331"/>
        <v>-0.40707964601769908</v>
      </c>
      <c r="AX355" s="170">
        <f t="shared" si="1331"/>
        <v>-0.2558139534883721</v>
      </c>
      <c r="AY355" s="170">
        <f t="shared" si="1331"/>
        <v>2.8846153846153744E-2</v>
      </c>
      <c r="AZ355" s="170">
        <f t="shared" si="1331"/>
        <v>-0.13212435233160624</v>
      </c>
      <c r="BA355" s="170">
        <f t="shared" si="1331"/>
        <v>-0.16494845360824739</v>
      </c>
      <c r="BB355" s="170">
        <f t="shared" si="1331"/>
        <v>0.43283582089552231</v>
      </c>
      <c r="BC355" s="170">
        <f t="shared" si="1331"/>
        <v>0.40625</v>
      </c>
      <c r="BD355" s="170">
        <f t="shared" si="1331"/>
        <v>0.99065420560747675</v>
      </c>
      <c r="BE355" s="170">
        <f t="shared" si="1331"/>
        <v>0.43283582089552231</v>
      </c>
      <c r="BF355" s="170">
        <f t="shared" si="1331"/>
        <v>0.28395061728395055</v>
      </c>
      <c r="BG355" s="170">
        <f t="shared" si="1331"/>
        <v>-0.48958333333333337</v>
      </c>
      <c r="BH355" s="170">
        <f t="shared" si="1331"/>
        <v>0</v>
      </c>
      <c r="BI355" s="170">
        <f t="shared" si="1331"/>
        <v>-0.46478873239436624</v>
      </c>
      <c r="BJ355" s="170">
        <f t="shared" si="1331"/>
        <v>-0.25624999999999998</v>
      </c>
      <c r="BK355" s="170">
        <f t="shared" si="1331"/>
        <v>2.8846153846153744E-2</v>
      </c>
      <c r="BL355" s="170">
        <f t="shared" si="1331"/>
        <v>0.93877551020408156</v>
      </c>
      <c r="BM355" s="170">
        <f t="shared" si="1331"/>
        <v>0.23333333333333339</v>
      </c>
      <c r="BN355" s="170">
        <f t="shared" si="1331"/>
        <v>0.22807017543859653</v>
      </c>
      <c r="BO355" s="170">
        <f t="shared" si="1331"/>
        <v>0.26890756302521002</v>
      </c>
      <c r="BP355" s="170">
        <f t="shared" si="1331"/>
        <v>-7.4766355140186924E-2</v>
      </c>
      <c r="BQ355" s="170">
        <f t="shared" si="1331"/>
        <v>-9.4736842105263119E-2</v>
      </c>
      <c r="BR355" s="170">
        <f t="shared" si="1331"/>
        <v>-8.108108108108103E-2</v>
      </c>
      <c r="BS355" s="170">
        <f t="shared" si="1331"/>
        <v>-0.18571428571428572</v>
      </c>
      <c r="BT355" s="170">
        <f t="shared" si="1331"/>
        <v>-0.11479028697571747</v>
      </c>
      <c r="BU355" s="170">
        <f t="shared" si="1331"/>
        <v>-0.12121212121212122</v>
      </c>
      <c r="BV355" s="170">
        <f t="shared" si="1331"/>
        <v>0.11627906976744184</v>
      </c>
      <c r="BW355" s="170">
        <f t="shared" si="1331"/>
        <v>0</v>
      </c>
      <c r="BX355" s="170">
        <f t="shared" si="1331"/>
        <v>-4.3859649122807043E-2</v>
      </c>
      <c r="BY355" s="170">
        <f t="shared" si="1331"/>
        <v>-1.7456359102244412E-2</v>
      </c>
      <c r="BZ355" s="170">
        <f t="shared" si="1331"/>
        <v>0.21839080459770122</v>
      </c>
      <c r="CA355" s="170">
        <f t="shared" si="1331"/>
        <v>-2.083333333333337E-2</v>
      </c>
      <c r="CB355" s="170">
        <f t="shared" si="1331"/>
        <v>0</v>
      </c>
      <c r="CC355" s="170">
        <f t="shared" si="1331"/>
        <v>0.15596330275229353</v>
      </c>
      <c r="CD355" s="170">
        <f t="shared" si="1331"/>
        <v>8.6294416243654748E-2</v>
      </c>
      <c r="CE355" s="170">
        <f t="shared" si="1331"/>
        <v>-3.7735849056603765E-2</v>
      </c>
      <c r="CF355" s="170">
        <f t="shared" si="1331"/>
        <v>0.15957446808510634</v>
      </c>
      <c r="CG355" s="170">
        <f t="shared" si="1331"/>
        <v>0.25490196078431371</v>
      </c>
      <c r="CH355" s="170">
        <f t="shared" si="1331"/>
        <v>-2.3809523809523836E-2</v>
      </c>
      <c r="CI355" s="170">
        <f t="shared" si="1331"/>
        <v>7.9439252336448662E-2</v>
      </c>
      <c r="CJ355" s="170">
        <f t="shared" si="1331"/>
        <v>0</v>
      </c>
      <c r="CK355" s="170">
        <f t="shared" si="1331"/>
        <v>1.8348623853210899E-2</v>
      </c>
      <c r="CL355" s="170">
        <f t="shared" si="1331"/>
        <v>-7.8125E-2</v>
      </c>
      <c r="CM355" s="170">
        <f t="shared" si="1331"/>
        <v>-4.065040650406504E-2</v>
      </c>
      <c r="CN355" s="170">
        <f t="shared" si="1331"/>
        <v>-2.8138528138528129E-2</v>
      </c>
      <c r="CO355" s="170">
        <f t="shared" si="1331"/>
        <v>0.14705882352941169</v>
      </c>
      <c r="CP355" s="170">
        <f t="shared" si="1331"/>
        <v>0</v>
      </c>
      <c r="CQ355" s="170">
        <f>CQ353/CN353-1</f>
        <v>2.9204379858560392E-2</v>
      </c>
      <c r="CR355" s="170">
        <f t="shared" ref="CR355:CS355" si="1332">CR353/CQ353-1</f>
        <v>2.4801021586922545E-2</v>
      </c>
      <c r="CS355" s="170">
        <f t="shared" si="1332"/>
        <v>2.4479147040300298E-2</v>
      </c>
      <c r="CT355" s="170">
        <f t="shared" ref="CT355" si="1333">CT353/CS353-1</f>
        <v>2.5224694876190057E-2</v>
      </c>
      <c r="CU355" s="170">
        <f t="shared" ref="CU355" si="1334">CU353/CT353-1</f>
        <v>2.3842342330750332E-2</v>
      </c>
      <c r="CV355" s="170">
        <f t="shared" ref="CV355:CW355" si="1335">CV353/CU353-1</f>
        <v>2.3621716659277592E-2</v>
      </c>
      <c r="CW355" s="170">
        <f t="shared" si="1335"/>
        <v>2.3449198252120995E-2</v>
      </c>
      <c r="CX355" s="159"/>
      <c r="CY355" s="159"/>
      <c r="CZ355" s="159"/>
      <c r="DA355" s="159"/>
      <c r="DB355" s="159"/>
      <c r="DC355" s="159"/>
      <c r="DD355" s="159"/>
    </row>
    <row r="356" spans="1:145">
      <c r="A356" s="226"/>
      <c r="B356" s="204"/>
      <c r="C356" s="204"/>
      <c r="D356" s="204"/>
      <c r="E356" s="204"/>
      <c r="F356" s="204"/>
      <c r="G356" s="204"/>
      <c r="H356" s="204"/>
      <c r="I356" s="204"/>
      <c r="J356" s="204"/>
      <c r="K356" s="204"/>
      <c r="L356" s="170"/>
      <c r="M356" s="170"/>
      <c r="N356" s="170"/>
      <c r="O356" s="170"/>
      <c r="P356" s="170"/>
      <c r="Q356" s="170"/>
      <c r="R356" s="170"/>
      <c r="S356" s="170"/>
      <c r="T356" s="170"/>
      <c r="U356" s="170"/>
      <c r="V356" s="170"/>
      <c r="W356" s="170"/>
      <c r="X356" s="170"/>
      <c r="Y356" s="170"/>
      <c r="Z356" s="170"/>
      <c r="AA356" s="170"/>
      <c r="AB356" s="170"/>
      <c r="AC356" s="170"/>
      <c r="AD356" s="170"/>
      <c r="AE356" s="170"/>
      <c r="AF356" s="159"/>
      <c r="AG356" s="159"/>
      <c r="AH356" s="159"/>
      <c r="AI356" s="159"/>
      <c r="AJ356" s="159"/>
      <c r="AK356" s="159"/>
      <c r="AL356" s="159"/>
      <c r="AM356" s="159"/>
      <c r="AN356" s="159"/>
      <c r="AO356" s="159"/>
      <c r="AP356" s="159"/>
      <c r="AQ356" s="159"/>
      <c r="AR356" s="159"/>
      <c r="AS356" s="159"/>
      <c r="AT356" s="159"/>
      <c r="AU356" s="159"/>
      <c r="AV356" s="159"/>
      <c r="AW356" s="159"/>
      <c r="AX356" s="159"/>
      <c r="AY356" s="159"/>
      <c r="AZ356" s="159"/>
      <c r="BA356" s="159"/>
      <c r="BB356" s="159"/>
      <c r="BC356" s="159"/>
      <c r="BD356" s="159"/>
      <c r="BE356" s="159"/>
      <c r="BF356" s="159"/>
      <c r="BG356" s="159"/>
      <c r="BH356" s="159"/>
      <c r="BI356" s="159"/>
      <c r="BJ356" s="159"/>
      <c r="BK356" s="159"/>
      <c r="BL356" s="159"/>
      <c r="BM356" s="159"/>
      <c r="BN356" s="159"/>
      <c r="BO356" s="159"/>
      <c r="BP356" s="159"/>
      <c r="BQ356" s="159"/>
      <c r="BR356" s="159"/>
      <c r="BS356" s="159"/>
      <c r="BT356" s="159"/>
      <c r="BU356" s="159"/>
      <c r="BV356" s="159"/>
      <c r="BW356" s="159"/>
      <c r="BX356" s="159"/>
      <c r="BY356" s="159"/>
      <c r="BZ356" s="159"/>
      <c r="CA356" s="159"/>
      <c r="CB356" s="159"/>
      <c r="CC356" s="159"/>
      <c r="CD356" s="159"/>
      <c r="CE356" s="159"/>
      <c r="CF356" s="159"/>
      <c r="CG356" s="159"/>
      <c r="CH356" s="159"/>
      <c r="CI356" s="159"/>
      <c r="CJ356" s="159"/>
      <c r="CK356" s="159"/>
      <c r="CL356" s="159"/>
      <c r="CM356" s="159"/>
      <c r="CN356" s="159"/>
      <c r="CO356" s="159"/>
      <c r="CP356" s="159"/>
      <c r="CQ356" s="159"/>
      <c r="CR356" s="159"/>
      <c r="CS356" s="159"/>
      <c r="CT356" s="159"/>
      <c r="CU356" s="159"/>
      <c r="CV356" s="159"/>
      <c r="CW356" s="159"/>
      <c r="CX356" s="159"/>
      <c r="CY356" s="159"/>
      <c r="CZ356" s="159"/>
      <c r="DA356" s="159"/>
      <c r="DB356" s="159"/>
      <c r="DC356" s="165"/>
      <c r="DD356" s="165"/>
    </row>
    <row r="357" spans="1:145">
      <c r="A357" s="235" t="s">
        <v>71</v>
      </c>
      <c r="B357" s="720"/>
      <c r="C357" s="720"/>
      <c r="D357" s="720"/>
      <c r="E357" s="720"/>
      <c r="F357" s="720"/>
      <c r="G357" s="720"/>
      <c r="H357" s="720"/>
      <c r="I357" s="720"/>
      <c r="J357" s="720"/>
      <c r="K357" s="720"/>
      <c r="L357" s="720"/>
      <c r="M357" s="720"/>
      <c r="N357" s="720"/>
      <c r="O357" s="720"/>
      <c r="P357" s="720"/>
      <c r="Q357" s="720"/>
      <c r="R357" s="720"/>
      <c r="S357" s="720"/>
      <c r="T357" s="720"/>
      <c r="U357" s="720"/>
      <c r="V357" s="720"/>
      <c r="W357" s="720"/>
      <c r="X357" s="720"/>
      <c r="Y357" s="720"/>
      <c r="Z357" s="720"/>
      <c r="AA357" s="720"/>
      <c r="AB357" s="720"/>
      <c r="AC357" s="720"/>
      <c r="AD357" s="720"/>
      <c r="AE357" s="720"/>
      <c r="AF357" s="720"/>
      <c r="AG357" s="720"/>
      <c r="AH357" s="720"/>
      <c r="AI357" s="720"/>
      <c r="AJ357" s="720"/>
      <c r="AK357" s="720"/>
      <c r="AL357" s="720"/>
      <c r="AM357" s="720"/>
      <c r="AN357" s="720"/>
      <c r="AO357" s="720"/>
      <c r="AP357" s="720"/>
      <c r="AQ357" s="720"/>
      <c r="AR357" s="720"/>
      <c r="AS357" s="720"/>
      <c r="AT357" s="720"/>
      <c r="AU357" s="720"/>
      <c r="AV357" s="720"/>
      <c r="AW357" s="720"/>
      <c r="AX357" s="720"/>
      <c r="AY357" s="720"/>
      <c r="AZ357" s="720"/>
      <c r="BA357" s="720"/>
      <c r="BB357" s="720"/>
      <c r="BC357" s="720"/>
      <c r="BD357" s="720"/>
      <c r="BE357" s="720"/>
      <c r="BF357" s="720"/>
      <c r="BG357" s="720"/>
      <c r="BH357" s="720"/>
      <c r="BI357" s="720"/>
      <c r="BJ357" s="720"/>
      <c r="BK357" s="720"/>
      <c r="BL357" s="720"/>
      <c r="BM357" s="720"/>
      <c r="BN357" s="720"/>
      <c r="BO357" s="720"/>
      <c r="BP357" s="720"/>
      <c r="BQ357" s="720"/>
      <c r="BR357" s="720"/>
      <c r="BS357" s="720"/>
      <c r="BT357" s="720"/>
      <c r="BU357" s="730">
        <f>'[3]Profit and Loss Highlights'!AQ$47</f>
        <v>34</v>
      </c>
      <c r="BV357" s="730">
        <f>'[3]Profit and Loss Highlights'!AR$47</f>
        <v>26</v>
      </c>
      <c r="BW357" s="730">
        <f>'[3]Profit and Loss Highlights'!AS$47</f>
        <v>25</v>
      </c>
      <c r="BX357" s="730">
        <f>'[3]Profit and Loss Highlights'!AT$47</f>
        <v>22</v>
      </c>
      <c r="BY357" s="693">
        <f>SUM(BU357:BX357)</f>
        <v>107</v>
      </c>
      <c r="BZ357" s="730">
        <f>'[3]Profit and Loss Highlights'!AU$47</f>
        <v>34</v>
      </c>
      <c r="CA357" s="730">
        <f>'[3]Profit and Loss Highlights'!AV$47</f>
        <v>37</v>
      </c>
      <c r="CB357" s="730">
        <f>'[3]Profit and Loss Highlights'!AW$47</f>
        <v>32</v>
      </c>
      <c r="CC357" s="730">
        <f>'[3]Profit and Loss Highlights'!AX$47</f>
        <v>26</v>
      </c>
      <c r="CD357" s="693">
        <f>SUM(BZ357:CC357)</f>
        <v>129</v>
      </c>
      <c r="CE357" s="730">
        <f>'[3]Profit and Loss Highlights'!AY$47</f>
        <v>40</v>
      </c>
      <c r="CF357" s="730">
        <f>'[3]Profit and Loss Highlights'!AZ$47</f>
        <v>38</v>
      </c>
      <c r="CG357" s="730">
        <f>'[3]Profit and Loss Highlights'!BA$47</f>
        <v>27</v>
      </c>
      <c r="CH357" s="730">
        <f>'[3]Profit and Loss Highlights'!BB$47</f>
        <v>29</v>
      </c>
      <c r="CI357" s="693">
        <f>SUM(CE357:CH357)</f>
        <v>134</v>
      </c>
      <c r="CJ357" s="730">
        <f>'[3]Profit and Loss Highlights'!BC$47</f>
        <v>34</v>
      </c>
      <c r="CK357" s="730">
        <f>'[3]Profit and Loss Highlights'!BD$47</f>
        <v>37</v>
      </c>
      <c r="CL357" s="730">
        <f>'[3]Profit and Loss Highlights'!BE$47</f>
        <v>24</v>
      </c>
      <c r="CM357" s="730">
        <f>'[3]Profit and Loss Highlights'!BF$47</f>
        <v>34</v>
      </c>
      <c r="CN357" s="693">
        <f>SUM(CJ357:CM357)</f>
        <v>129</v>
      </c>
      <c r="CO357" s="730">
        <f>'[3]Profit and Loss Highlights'!BG$47</f>
        <v>45</v>
      </c>
      <c r="CP357" s="730">
        <f>'[3]Profit and Loss Highlights'!BH$47</f>
        <v>39</v>
      </c>
      <c r="CQ357" s="720">
        <f t="shared" ref="CQ357:CW357" si="1336">CQ358*CQ30</f>
        <v>164.18382869693684</v>
      </c>
      <c r="CR357" s="720">
        <f t="shared" si="1336"/>
        <v>168.25575537667316</v>
      </c>
      <c r="CS357" s="720">
        <f t="shared" si="1336"/>
        <v>172.37451275291554</v>
      </c>
      <c r="CT357" s="720">
        <f t="shared" si="1336"/>
        <v>176.72260724153978</v>
      </c>
      <c r="CU357" s="720">
        <f t="shared" si="1336"/>
        <v>180.9360881409753</v>
      </c>
      <c r="CV357" s="720">
        <f t="shared" si="1336"/>
        <v>185.21010914847952</v>
      </c>
      <c r="CW357" s="720">
        <f t="shared" si="1336"/>
        <v>189.55313771619916</v>
      </c>
      <c r="CX357" s="165"/>
      <c r="CY357" s="165"/>
      <c r="CZ357" s="165"/>
      <c r="DA357" s="165"/>
      <c r="DB357" s="165"/>
      <c r="DC357" s="159"/>
      <c r="DD357" s="159"/>
    </row>
    <row r="358" spans="1:145">
      <c r="A358" s="226" t="s">
        <v>63</v>
      </c>
      <c r="B358" s="204"/>
      <c r="C358" s="204"/>
      <c r="D358" s="204"/>
      <c r="E358" s="204"/>
      <c r="F358" s="204"/>
      <c r="G358" s="204"/>
      <c r="H358" s="204"/>
      <c r="I358" s="204"/>
      <c r="J358" s="204"/>
      <c r="K358" s="204"/>
      <c r="L358" s="204"/>
      <c r="M358" s="204"/>
      <c r="N358" s="204"/>
      <c r="O358" s="204"/>
      <c r="P358" s="204"/>
      <c r="Q358" s="204"/>
      <c r="R358" s="204"/>
      <c r="S358" s="204"/>
      <c r="T358" s="204"/>
      <c r="U358" s="204"/>
      <c r="V358" s="204"/>
      <c r="W358" s="204"/>
      <c r="X358" s="204"/>
      <c r="Y358" s="204"/>
      <c r="Z358" s="204"/>
      <c r="AA358" s="204"/>
      <c r="AB358" s="204"/>
      <c r="AC358" s="204"/>
      <c r="AD358" s="204"/>
      <c r="AE358" s="204"/>
      <c r="AF358" s="204"/>
      <c r="AG358" s="204"/>
      <c r="AH358" s="204"/>
      <c r="AI358" s="204"/>
      <c r="AJ358" s="204"/>
      <c r="AK358" s="204"/>
      <c r="AL358" s="204"/>
      <c r="AM358" s="204"/>
      <c r="AN358" s="204"/>
      <c r="AO358" s="204"/>
      <c r="AP358" s="204"/>
      <c r="AQ358" s="204"/>
      <c r="AR358" s="204"/>
      <c r="AS358" s="204"/>
      <c r="AT358" s="204"/>
      <c r="AU358" s="204"/>
      <c r="AV358" s="204"/>
      <c r="AW358" s="204"/>
      <c r="AX358" s="204"/>
      <c r="AY358" s="204"/>
      <c r="AZ358" s="204"/>
      <c r="BA358" s="204"/>
      <c r="BB358" s="204"/>
      <c r="BC358" s="204"/>
      <c r="BD358" s="204"/>
      <c r="BE358" s="204"/>
      <c r="BF358" s="204"/>
      <c r="BG358" s="204"/>
      <c r="BH358" s="204"/>
      <c r="BI358" s="204"/>
      <c r="BJ358" s="204"/>
      <c r="BK358" s="204"/>
      <c r="BL358" s="204"/>
      <c r="BM358" s="204"/>
      <c r="BN358" s="204"/>
      <c r="BO358" s="204"/>
      <c r="BP358" s="204"/>
      <c r="BQ358" s="204"/>
      <c r="BR358" s="204"/>
      <c r="BS358" s="204"/>
      <c r="BT358" s="204"/>
      <c r="BU358" s="185">
        <f t="shared" ref="BU358:CD358" si="1337">BU357/BU30</f>
        <v>1.4131338320864505E-2</v>
      </c>
      <c r="BV358" s="185">
        <f t="shared" si="1337"/>
        <v>1.0726072607260726E-2</v>
      </c>
      <c r="BW358" s="185">
        <f t="shared" si="1337"/>
        <v>1.0395010395010396E-2</v>
      </c>
      <c r="BX358" s="185">
        <f t="shared" si="1337"/>
        <v>8.6139389193422081E-3</v>
      </c>
      <c r="BY358" s="185">
        <f t="shared" si="1337"/>
        <v>1.0930636428644397E-2</v>
      </c>
      <c r="BZ358" s="185">
        <f t="shared" si="1337"/>
        <v>1.3460015835312747E-2</v>
      </c>
      <c r="CA358" s="185">
        <f t="shared" si="1337"/>
        <v>1.4979757085020242E-2</v>
      </c>
      <c r="CB358" s="185">
        <f t="shared" si="1337"/>
        <v>1.3104013104013105E-2</v>
      </c>
      <c r="CC358" s="185">
        <f t="shared" si="1337"/>
        <v>9.4821298322392417E-3</v>
      </c>
      <c r="CD358" s="185">
        <f t="shared" si="1337"/>
        <v>1.2671905697445973E-2</v>
      </c>
      <c r="CE358" s="185">
        <f>CE357/CE30</f>
        <v>1.5366884364195159E-2</v>
      </c>
      <c r="CF358" s="185">
        <f>CF357/CF30</f>
        <v>1.4694508894044857E-2</v>
      </c>
      <c r="CG358" s="185">
        <f>CG357/CG30</f>
        <v>1.048136645962733E-2</v>
      </c>
      <c r="CH358" s="185">
        <f>CH357/CH30</f>
        <v>1.0465535907614579E-2</v>
      </c>
      <c r="CI358" s="185">
        <f t="shared" ref="CI358" si="1338">CI357/CI30</f>
        <v>1.2718299164768413E-2</v>
      </c>
      <c r="CJ358" s="185">
        <f>CJ357/CJ30</f>
        <v>1.303680981595092E-2</v>
      </c>
      <c r="CK358" s="185">
        <f>CK357/CK30</f>
        <v>1.444184231069477E-2</v>
      </c>
      <c r="CL358" s="185">
        <f>CL357/CL30</f>
        <v>9.2699884125144842E-3</v>
      </c>
      <c r="CM358" s="185">
        <f>CM357/CM30</f>
        <v>1.1821974965229486E-2</v>
      </c>
      <c r="CN358" s="185">
        <f t="shared" ref="CN358" si="1339">CN357/CN30</f>
        <v>1.2129760225669958E-2</v>
      </c>
      <c r="CO358" s="185">
        <f>CO357/CO30</f>
        <v>1.6477480776272427E-2</v>
      </c>
      <c r="CP358" s="185">
        <f>CP357/CP30</f>
        <v>1.4683734939759037E-2</v>
      </c>
      <c r="CQ358" s="304">
        <v>1.4999999999999999E-2</v>
      </c>
      <c r="CR358" s="304">
        <f t="shared" ref="CR358:CS358" si="1340">CQ358</f>
        <v>1.4999999999999999E-2</v>
      </c>
      <c r="CS358" s="304">
        <f t="shared" si="1340"/>
        <v>1.4999999999999999E-2</v>
      </c>
      <c r="CT358" s="304">
        <f t="shared" ref="CT358" si="1341">CS358</f>
        <v>1.4999999999999999E-2</v>
      </c>
      <c r="CU358" s="304">
        <f t="shared" ref="CU358" si="1342">CT358</f>
        <v>1.4999999999999999E-2</v>
      </c>
      <c r="CV358" s="304">
        <f t="shared" ref="CV358:CW358" si="1343">CU358</f>
        <v>1.4999999999999999E-2</v>
      </c>
      <c r="CW358" s="304">
        <f t="shared" si="1343"/>
        <v>1.4999999999999999E-2</v>
      </c>
      <c r="CX358" s="159"/>
      <c r="CY358" s="159"/>
      <c r="CZ358" s="159"/>
      <c r="DA358" s="159"/>
      <c r="DB358" s="159"/>
      <c r="DC358" s="159"/>
      <c r="DD358" s="159"/>
      <c r="EF358" s="221"/>
      <c r="EG358" s="221"/>
      <c r="EH358" s="221"/>
      <c r="EI358" s="221"/>
      <c r="EJ358" s="221"/>
      <c r="EK358" s="221"/>
      <c r="EL358" s="221"/>
      <c r="EM358" s="221"/>
      <c r="EN358" s="221"/>
      <c r="EO358" s="221"/>
    </row>
    <row r="359" spans="1:145">
      <c r="A359" s="226" t="s">
        <v>64</v>
      </c>
      <c r="B359" s="204"/>
      <c r="C359" s="204"/>
      <c r="D359" s="204"/>
      <c r="E359" s="204"/>
      <c r="F359" s="204"/>
      <c r="G359" s="204"/>
      <c r="H359" s="204"/>
      <c r="I359" s="204"/>
      <c r="J359" s="204"/>
      <c r="K359" s="204"/>
      <c r="L359" s="204"/>
      <c r="M359" s="204"/>
      <c r="N359" s="204"/>
      <c r="O359" s="204"/>
      <c r="P359" s="204"/>
      <c r="Q359" s="204"/>
      <c r="R359" s="204"/>
      <c r="S359" s="204"/>
      <c r="T359" s="204"/>
      <c r="U359" s="204"/>
      <c r="V359" s="204"/>
      <c r="W359" s="204"/>
      <c r="X359" s="204"/>
      <c r="Y359" s="204"/>
      <c r="Z359" s="204"/>
      <c r="AA359" s="204"/>
      <c r="AB359" s="204"/>
      <c r="AC359" s="204"/>
      <c r="AD359" s="204"/>
      <c r="AE359" s="204"/>
      <c r="AF359" s="204"/>
      <c r="AG359" s="204"/>
      <c r="AH359" s="204"/>
      <c r="AI359" s="204"/>
      <c r="AJ359" s="204"/>
      <c r="AK359" s="204"/>
      <c r="AL359" s="204"/>
      <c r="AM359" s="204"/>
      <c r="AN359" s="204"/>
      <c r="AO359" s="204"/>
      <c r="AP359" s="204"/>
      <c r="AQ359" s="204"/>
      <c r="AR359" s="204"/>
      <c r="AS359" s="204"/>
      <c r="AT359" s="204"/>
      <c r="AU359" s="204"/>
      <c r="AV359" s="204"/>
      <c r="AW359" s="204"/>
      <c r="AX359" s="204"/>
      <c r="AY359" s="204"/>
      <c r="AZ359" s="204"/>
      <c r="BA359" s="204"/>
      <c r="BB359" s="204"/>
      <c r="BC359" s="204"/>
      <c r="BD359" s="204"/>
      <c r="BE359" s="204"/>
      <c r="BF359" s="204"/>
      <c r="BG359" s="204"/>
      <c r="BH359" s="204"/>
      <c r="BI359" s="204"/>
      <c r="BJ359" s="204"/>
      <c r="BK359" s="204"/>
      <c r="BL359" s="204"/>
      <c r="BM359" s="204"/>
      <c r="BN359" s="204"/>
      <c r="BO359" s="204"/>
      <c r="BP359" s="204"/>
      <c r="BQ359" s="204"/>
      <c r="BR359" s="204"/>
      <c r="BS359" s="204"/>
      <c r="BT359" s="204"/>
      <c r="BU359" s="185"/>
      <c r="BV359" s="185"/>
      <c r="BW359" s="185"/>
      <c r="BX359" s="185"/>
      <c r="BY359" s="204"/>
      <c r="BZ359" s="185"/>
      <c r="CA359" s="185"/>
      <c r="CB359" s="185"/>
      <c r="CC359" s="185"/>
      <c r="CD359" s="204"/>
      <c r="CE359" s="185"/>
      <c r="CF359" s="185"/>
      <c r="CG359" s="185"/>
      <c r="CH359" s="185"/>
      <c r="CI359" s="204"/>
      <c r="CJ359" s="185"/>
      <c r="CK359" s="185"/>
      <c r="CL359" s="185"/>
      <c r="CM359" s="185"/>
      <c r="CN359" s="204"/>
      <c r="CO359" s="185"/>
      <c r="CP359" s="185"/>
      <c r="CQ359" s="204"/>
      <c r="CR359" s="204"/>
      <c r="CS359" s="204"/>
      <c r="CT359" s="204"/>
      <c r="CU359" s="204"/>
      <c r="CV359" s="204"/>
      <c r="CW359" s="204"/>
      <c r="CX359" s="159"/>
      <c r="CY359" s="159"/>
      <c r="CZ359" s="159"/>
      <c r="DA359" s="159"/>
      <c r="DB359" s="159"/>
      <c r="DC359" s="159"/>
      <c r="DD359" s="159"/>
    </row>
    <row r="360" spans="1:145">
      <c r="A360" s="226"/>
      <c r="B360" s="302"/>
      <c r="C360" s="302"/>
      <c r="D360" s="302"/>
      <c r="E360" s="302"/>
      <c r="F360" s="302"/>
      <c r="G360" s="302"/>
      <c r="H360" s="302"/>
      <c r="I360" s="302"/>
      <c r="J360" s="302"/>
      <c r="K360" s="302"/>
      <c r="L360" s="302"/>
      <c r="M360" s="302"/>
      <c r="N360" s="302"/>
      <c r="O360" s="302"/>
      <c r="P360" s="302"/>
      <c r="Q360" s="302"/>
      <c r="R360" s="302"/>
      <c r="S360" s="302"/>
      <c r="T360" s="302"/>
      <c r="U360" s="302"/>
      <c r="V360" s="302"/>
      <c r="W360" s="302"/>
      <c r="X360" s="302"/>
      <c r="Y360" s="302"/>
      <c r="Z360" s="302"/>
      <c r="AA360" s="302"/>
      <c r="AB360" s="302"/>
      <c r="AC360" s="302"/>
      <c r="AD360" s="302"/>
      <c r="AE360" s="302"/>
      <c r="AF360" s="302"/>
      <c r="AG360" s="302"/>
      <c r="AH360" s="302"/>
      <c r="AI360" s="302"/>
      <c r="AJ360" s="302"/>
      <c r="AK360" s="302"/>
      <c r="AL360" s="302"/>
      <c r="AM360" s="302"/>
      <c r="AN360" s="302"/>
      <c r="AO360" s="302"/>
      <c r="AP360" s="302"/>
      <c r="AQ360" s="302"/>
      <c r="AR360" s="302"/>
      <c r="AS360" s="302"/>
      <c r="AT360" s="159"/>
      <c r="AU360" s="159"/>
      <c r="AV360" s="159"/>
      <c r="AW360" s="159"/>
      <c r="AX360" s="159"/>
      <c r="AY360" s="159"/>
      <c r="AZ360" s="159"/>
      <c r="BA360" s="159"/>
      <c r="BB360" s="159"/>
      <c r="BC360" s="159"/>
      <c r="BD360" s="159"/>
      <c r="BE360" s="159"/>
      <c r="BF360" s="159"/>
      <c r="BG360" s="159"/>
      <c r="BH360" s="159"/>
      <c r="BI360" s="159"/>
      <c r="BJ360" s="159"/>
      <c r="BK360" s="159"/>
      <c r="BL360" s="159"/>
      <c r="BM360" s="159"/>
      <c r="BN360" s="159"/>
      <c r="BO360" s="159"/>
      <c r="BP360" s="159"/>
      <c r="BQ360" s="159"/>
      <c r="BR360" s="159"/>
      <c r="BS360" s="159"/>
      <c r="BT360" s="159"/>
      <c r="BU360" s="159"/>
      <c r="BV360" s="159"/>
      <c r="BW360" s="159"/>
      <c r="BX360" s="159"/>
      <c r="BY360" s="159"/>
      <c r="BZ360" s="159"/>
      <c r="CA360" s="159"/>
      <c r="CB360" s="159"/>
      <c r="CC360" s="159"/>
      <c r="CD360" s="159"/>
      <c r="CE360" s="159"/>
      <c r="CF360" s="159"/>
      <c r="CG360" s="159"/>
      <c r="CH360" s="159"/>
      <c r="CI360" s="159"/>
      <c r="CJ360" s="159"/>
      <c r="CK360" s="159"/>
      <c r="CL360" s="159"/>
      <c r="CM360" s="159"/>
      <c r="CN360" s="159"/>
      <c r="CO360" s="159"/>
      <c r="CP360" s="159"/>
      <c r="CQ360" s="159"/>
      <c r="CR360" s="159"/>
      <c r="CS360" s="159"/>
      <c r="CT360" s="159"/>
      <c r="CU360" s="159"/>
      <c r="CV360" s="159"/>
      <c r="CW360" s="159"/>
      <c r="CX360" s="159"/>
      <c r="CY360" s="159"/>
      <c r="CZ360" s="159"/>
      <c r="DA360" s="159"/>
      <c r="DB360" s="159"/>
      <c r="DC360" s="165"/>
      <c r="DD360" s="165"/>
      <c r="EG360" s="221"/>
      <c r="EH360" s="221"/>
      <c r="EI360" s="221"/>
      <c r="EJ360" s="221"/>
    </row>
    <row r="361" spans="1:145">
      <c r="A361" s="235" t="s">
        <v>72</v>
      </c>
      <c r="B361" s="720"/>
      <c r="C361" s="720"/>
      <c r="D361" s="720"/>
      <c r="E361" s="720"/>
      <c r="F361" s="720"/>
      <c r="G361" s="720"/>
      <c r="H361" s="720"/>
      <c r="I361" s="720"/>
      <c r="J361" s="720"/>
      <c r="K361" s="720"/>
      <c r="L361" s="720"/>
      <c r="M361" s="720"/>
      <c r="N361" s="720"/>
      <c r="O361" s="720"/>
      <c r="P361" s="720"/>
      <c r="Q361" s="720"/>
      <c r="R361" s="720"/>
      <c r="S361" s="720"/>
      <c r="T361" s="720"/>
      <c r="U361" s="720"/>
      <c r="V361" s="720"/>
      <c r="W361" s="720">
        <f>W$432*W362</f>
        <v>-22.4175</v>
      </c>
      <c r="X361" s="720">
        <f>X$432*X362</f>
        <v>25.564499999999999</v>
      </c>
      <c r="Y361" s="720">
        <f>Y$432*Y362</f>
        <v>22.16</v>
      </c>
      <c r="Z361" s="720">
        <f>Z$432*Z362</f>
        <v>9.2240000000000002</v>
      </c>
      <c r="AA361" s="720">
        <f>SUM(W361:Z361)</f>
        <v>34.530999999999999</v>
      </c>
      <c r="AB361" s="720">
        <f>AB$432*AB362</f>
        <v>20.942999999999998</v>
      </c>
      <c r="AC361" s="720">
        <f>AC$432*AC362</f>
        <v>16.065000000000001</v>
      </c>
      <c r="AD361" s="720">
        <f>AD$432*AD362</f>
        <v>8.9559999999999995</v>
      </c>
      <c r="AE361" s="720">
        <f>AE$432*AE362</f>
        <v>22.240000000000002</v>
      </c>
      <c r="AF361" s="720">
        <f>SUM(AB361:AE361)</f>
        <v>68.204000000000008</v>
      </c>
      <c r="AG361" s="722">
        <v>11.3</v>
      </c>
      <c r="AH361" s="722">
        <v>9.3000000000000007</v>
      </c>
      <c r="AI361" s="722">
        <v>14.5</v>
      </c>
      <c r="AJ361" s="722">
        <v>17.7</v>
      </c>
      <c r="AK361" s="722">
        <v>54</v>
      </c>
      <c r="AL361" s="722">
        <v>2.5</v>
      </c>
      <c r="AM361" s="722">
        <v>10.1</v>
      </c>
      <c r="AN361" s="722">
        <v>7</v>
      </c>
      <c r="AO361" s="722">
        <v>8</v>
      </c>
      <c r="AP361" s="722">
        <v>29</v>
      </c>
      <c r="AQ361" s="722">
        <v>-2</v>
      </c>
      <c r="AR361" s="722">
        <v>2</v>
      </c>
      <c r="AS361" s="722">
        <v>-35</v>
      </c>
      <c r="AT361" s="722">
        <v>-25</v>
      </c>
      <c r="AU361" s="722">
        <f>SUM(AQ361:AT361)</f>
        <v>-60</v>
      </c>
      <c r="AV361" s="722">
        <v>-10</v>
      </c>
      <c r="AW361" s="722">
        <f>'[3]Profit and Loss Highlights'!X$49</f>
        <v>0</v>
      </c>
      <c r="AX361" s="722">
        <f>'[3]Profit and Loss Highlights'!Y$49</f>
        <v>0</v>
      </c>
      <c r="AY361" s="722">
        <f>'[3]Profit and Loss Highlights'!Z$49</f>
        <v>0</v>
      </c>
      <c r="AZ361" s="722">
        <f>SUM(AV361:AY361)</f>
        <v>-10</v>
      </c>
      <c r="BA361" s="722">
        <f>'[3]Profit and Loss Highlights'!AA$49</f>
        <v>0</v>
      </c>
      <c r="BB361" s="722">
        <f>'[3]Profit and Loss Highlights'!AB$49</f>
        <v>0</v>
      </c>
      <c r="BC361" s="722">
        <f>'[3]Profit and Loss Highlights'!AC$49</f>
        <v>0</v>
      </c>
      <c r="BD361" s="722">
        <f>'[3]Profit and Loss Highlights'!AD$49</f>
        <v>0</v>
      </c>
      <c r="BE361" s="693">
        <f>SUM(BA361:BD361)</f>
        <v>0</v>
      </c>
      <c r="BF361" s="722">
        <f>'[3]Profit and Loss Highlights'!AE$49</f>
        <v>0</v>
      </c>
      <c r="BG361" s="722">
        <f>'[3]Profit and Loss Highlights'!AF$49</f>
        <v>0</v>
      </c>
      <c r="BH361" s="722">
        <f>'[3]Profit and Loss Highlights'!AG$49</f>
        <v>0</v>
      </c>
      <c r="BI361" s="722">
        <f>'[3]Profit and Loss Highlights'!AH$49</f>
        <v>0</v>
      </c>
      <c r="BJ361" s="693">
        <f>SUM(BF361:BI361)</f>
        <v>0</v>
      </c>
      <c r="BK361" s="722">
        <f>'[3]Profit and Loss Highlights'!AI$49</f>
        <v>0</v>
      </c>
      <c r="BL361" s="722">
        <f>'[3]Profit and Loss Highlights'!AJ$49</f>
        <v>0</v>
      </c>
      <c r="BM361" s="722">
        <f>'[3]Profit and Loss Highlights'!AK$49</f>
        <v>0</v>
      </c>
      <c r="BN361" s="722">
        <f>'[3]Profit and Loss Highlights'!AL$49</f>
        <v>0</v>
      </c>
      <c r="BO361" s="693">
        <f>SUM(BK361:BN361)</f>
        <v>0</v>
      </c>
      <c r="BP361" s="722">
        <f>'[3]Profit and Loss Highlights'!AM$49</f>
        <v>0</v>
      </c>
      <c r="BQ361" s="722">
        <f>'[3]Profit and Loss Highlights'!AN$49</f>
        <v>0</v>
      </c>
      <c r="BR361" s="722">
        <f>'[3]Profit and Loss Highlights'!AO$49</f>
        <v>0</v>
      </c>
      <c r="BS361" s="722">
        <f>'[3]Profit and Loss Highlights'!AP$49</f>
        <v>0</v>
      </c>
      <c r="BT361" s="693">
        <f>SUM(BP361:BS361)</f>
        <v>0</v>
      </c>
      <c r="BU361" s="717">
        <f>BU374-BU357-BU353-BU349-BU345-BU340-BU329-BU326-BU336</f>
        <v>0</v>
      </c>
      <c r="BV361" s="717">
        <f>BV374-BV357-BV353-BV349-BV345-BV340-BV329-BV326-BV336</f>
        <v>0</v>
      </c>
      <c r="BW361" s="717">
        <f>BW374-BW357-BW353-BW349-BW345-BW340-BW329-BW326-BW336</f>
        <v>0</v>
      </c>
      <c r="BX361" s="717">
        <f>BX374-BX357-BX353-BX349-BX345-BX340-BX329-BX326-BX336</f>
        <v>0</v>
      </c>
      <c r="BY361" s="693">
        <f>SUM(BU361:BX361)</f>
        <v>0</v>
      </c>
      <c r="BZ361" s="717">
        <f>BZ374-BZ357-BZ353-BZ349-BZ345-BZ340-BZ329-BZ326-BZ336</f>
        <v>0</v>
      </c>
      <c r="CA361" s="717">
        <f>CA374-CA357-CA353-CA349-CA345-CA340-CA329-CA326-CA336</f>
        <v>0</v>
      </c>
      <c r="CB361" s="717">
        <f>CB374-CB357-CB353-CB349-CB345-CB340-CB329-CB326-CB336</f>
        <v>0</v>
      </c>
      <c r="CC361" s="717">
        <f>CC374-CC357-CC353-CC349-CC345-CC340-CC329-CC326-CC336</f>
        <v>0</v>
      </c>
      <c r="CD361" s="693">
        <f>SUM(BZ361:CC361)</f>
        <v>0</v>
      </c>
      <c r="CE361" s="717">
        <f>CE374-CE357-CE353-CE349-CE345-CE340-CE329-CE326-CE336</f>
        <v>0</v>
      </c>
      <c r="CF361" s="717">
        <f>CF374-CF357-CF353-CF349-CF345-CF340-CF329-CF326-CF336</f>
        <v>0</v>
      </c>
      <c r="CG361" s="717">
        <f>CG374-CG357-CG353-CG349-CG345-CG340-CG329-CG326-CG336</f>
        <v>0</v>
      </c>
      <c r="CH361" s="717">
        <f>CH374-CH357-CH353-CH349-CH345-CH340-CH329-CH326-CH336</f>
        <v>0</v>
      </c>
      <c r="CI361" s="693">
        <f>SUM(CE361:CH361)</f>
        <v>0</v>
      </c>
      <c r="CJ361" s="717">
        <f>CJ374-CJ357-CJ353-CJ349-CJ345-CJ340-CJ329-CJ326-CJ336</f>
        <v>0</v>
      </c>
      <c r="CK361" s="717">
        <f>CK374-CK357-CK353-CK349-CK345-CK340-CK329-CK326-CK336</f>
        <v>0</v>
      </c>
      <c r="CL361" s="717">
        <f>CL374-CL357-CL353-CL349-CL345-CL340-CL329-CL326-CL336</f>
        <v>0</v>
      </c>
      <c r="CM361" s="717">
        <f>CM374-CM357-CM353-CM349-CM345-CM340-CM329-CM326-CM336</f>
        <v>-1</v>
      </c>
      <c r="CN361" s="693">
        <f>SUM(CJ361:CM361)</f>
        <v>-1</v>
      </c>
      <c r="CO361" s="717">
        <f>CO374-CO357-CO353-CO349-CO345-CO340-CO329-CO326-CO336</f>
        <v>0</v>
      </c>
      <c r="CP361" s="717">
        <f>CP374-CP357-CP353-CP349-CP345-CP340-CP329-CP326-CP336</f>
        <v>0</v>
      </c>
      <c r="CQ361" s="720">
        <f t="shared" ref="CQ361:CW361" si="1344">CQ30*CQ362</f>
        <v>-1.0292043798585602</v>
      </c>
      <c r="CR361" s="720">
        <f t="shared" si="1344"/>
        <v>-1.0547296999007878</v>
      </c>
      <c r="CS361" s="720">
        <f t="shared" si="1344"/>
        <v>-1.0805485833124309</v>
      </c>
      <c r="CT361" s="720">
        <f t="shared" si="1344"/>
        <v>-1.1078050916253865</v>
      </c>
      <c r="CU361" s="720">
        <f t="shared" si="1344"/>
        <v>-1.1342177598556671</v>
      </c>
      <c r="CV361" s="720">
        <f t="shared" si="1344"/>
        <v>-1.1610099304088983</v>
      </c>
      <c r="CW361" s="720">
        <f t="shared" si="1344"/>
        <v>-1.1882346824397376</v>
      </c>
      <c r="CX361" s="165"/>
      <c r="CY361" s="165"/>
      <c r="CZ361" s="165"/>
      <c r="DA361" s="165"/>
      <c r="DB361" s="165"/>
      <c r="DC361" s="159"/>
      <c r="DD361" s="159"/>
    </row>
    <row r="362" spans="1:145">
      <c r="A362" s="226" t="s">
        <v>63</v>
      </c>
      <c r="B362" s="204"/>
      <c r="C362" s="204"/>
      <c r="D362" s="204"/>
      <c r="E362" s="204"/>
      <c r="F362" s="204"/>
      <c r="G362" s="204"/>
      <c r="H362" s="204"/>
      <c r="I362" s="204"/>
      <c r="J362" s="204"/>
      <c r="K362" s="204"/>
      <c r="L362" s="204"/>
      <c r="M362" s="204"/>
      <c r="N362" s="204"/>
      <c r="O362" s="204"/>
      <c r="P362" s="204"/>
      <c r="Q362" s="204"/>
      <c r="R362" s="204"/>
      <c r="S362" s="204"/>
      <c r="T362" s="204"/>
      <c r="U362" s="204"/>
      <c r="V362" s="204"/>
      <c r="W362" s="304">
        <v>-1.0500000000000001E-2</v>
      </c>
      <c r="X362" s="304">
        <v>1.15E-2</v>
      </c>
      <c r="Y362" s="304">
        <v>0.01</v>
      </c>
      <c r="Z362" s="304">
        <v>4.0000000000000001E-3</v>
      </c>
      <c r="AA362" s="204"/>
      <c r="AB362" s="304">
        <v>8.9999999999999993E-3</v>
      </c>
      <c r="AC362" s="304">
        <v>7.0000000000000001E-3</v>
      </c>
      <c r="AD362" s="304">
        <v>4.0000000000000001E-3</v>
      </c>
      <c r="AE362" s="304">
        <v>0.01</v>
      </c>
      <c r="AF362" s="204">
        <f t="shared" ref="AF362:BK362" si="1345">AF361/AF30</f>
        <v>7.5544073726691828E-3</v>
      </c>
      <c r="AG362" s="204">
        <f t="shared" si="1345"/>
        <v>5.3327041057102407E-3</v>
      </c>
      <c r="AH362" s="204">
        <f t="shared" si="1345"/>
        <v>4.4668587896253605E-3</v>
      </c>
      <c r="AI362" s="204">
        <f t="shared" si="1345"/>
        <v>7.0217917675544795E-3</v>
      </c>
      <c r="AJ362" s="204">
        <f t="shared" si="1345"/>
        <v>8.3372585963259541E-3</v>
      </c>
      <c r="AK362" s="204">
        <f t="shared" si="1345"/>
        <v>6.425511661113755E-3</v>
      </c>
      <c r="AL362" s="204">
        <f t="shared" si="1345"/>
        <v>1.1633317822242904E-3</v>
      </c>
      <c r="AM362" s="204">
        <f t="shared" si="1345"/>
        <v>4.7867298578199054E-3</v>
      </c>
      <c r="AN362" s="204">
        <f t="shared" si="1345"/>
        <v>3.2317636195752539E-3</v>
      </c>
      <c r="AO362" s="204">
        <f t="shared" si="1345"/>
        <v>3.6764705882352941E-3</v>
      </c>
      <c r="AP362" s="204">
        <f t="shared" si="1345"/>
        <v>3.3717009650040693E-3</v>
      </c>
      <c r="AQ362" s="204">
        <f t="shared" si="1345"/>
        <v>-9.3457943925233649E-4</v>
      </c>
      <c r="AR362" s="204">
        <f t="shared" si="1345"/>
        <v>9.5147478591817321E-4</v>
      </c>
      <c r="AS362" s="204">
        <f t="shared" si="1345"/>
        <v>-1.6233766233766232E-2</v>
      </c>
      <c r="AT362" s="204">
        <f t="shared" si="1345"/>
        <v>-1.1291779584462511E-2</v>
      </c>
      <c r="AU362" s="204">
        <f t="shared" si="1345"/>
        <v>-6.9670227589410123E-3</v>
      </c>
      <c r="AV362" s="204">
        <f t="shared" si="1345"/>
        <v>-4.2105263157894736E-3</v>
      </c>
      <c r="AW362" s="204">
        <f t="shared" si="1345"/>
        <v>0</v>
      </c>
      <c r="AX362" s="204">
        <f t="shared" si="1345"/>
        <v>0</v>
      </c>
      <c r="AY362" s="204">
        <f t="shared" si="1345"/>
        <v>0</v>
      </c>
      <c r="AZ362" s="204">
        <f t="shared" si="1345"/>
        <v>-1.0616838305552607E-3</v>
      </c>
      <c r="BA362" s="204">
        <f t="shared" si="1345"/>
        <v>0</v>
      </c>
      <c r="BB362" s="204">
        <f t="shared" si="1345"/>
        <v>0</v>
      </c>
      <c r="BC362" s="204">
        <f t="shared" si="1345"/>
        <v>0</v>
      </c>
      <c r="BD362" s="204">
        <f t="shared" si="1345"/>
        <v>0</v>
      </c>
      <c r="BE362" s="204">
        <f t="shared" si="1345"/>
        <v>0</v>
      </c>
      <c r="BF362" s="204">
        <f t="shared" si="1345"/>
        <v>0</v>
      </c>
      <c r="BG362" s="204">
        <f t="shared" si="1345"/>
        <v>0</v>
      </c>
      <c r="BH362" s="204">
        <f t="shared" si="1345"/>
        <v>0</v>
      </c>
      <c r="BI362" s="204">
        <f t="shared" si="1345"/>
        <v>0</v>
      </c>
      <c r="BJ362" s="204">
        <f t="shared" si="1345"/>
        <v>0</v>
      </c>
      <c r="BK362" s="204">
        <f t="shared" si="1345"/>
        <v>0</v>
      </c>
      <c r="BL362" s="204">
        <f t="shared" ref="BL362:CF362" si="1346">BL361/BL30</f>
        <v>0</v>
      </c>
      <c r="BM362" s="204">
        <f t="shared" si="1346"/>
        <v>0</v>
      </c>
      <c r="BN362" s="204">
        <f t="shared" si="1346"/>
        <v>0</v>
      </c>
      <c r="BO362" s="204">
        <f t="shared" si="1346"/>
        <v>0</v>
      </c>
      <c r="BP362" s="204">
        <f t="shared" si="1346"/>
        <v>0</v>
      </c>
      <c r="BQ362" s="204">
        <f t="shared" si="1346"/>
        <v>0</v>
      </c>
      <c r="BR362" s="204">
        <f t="shared" si="1346"/>
        <v>0</v>
      </c>
      <c r="BS362" s="204">
        <f t="shared" si="1346"/>
        <v>0</v>
      </c>
      <c r="BT362" s="204">
        <f t="shared" si="1346"/>
        <v>0</v>
      </c>
      <c r="BU362" s="185">
        <f t="shared" si="1346"/>
        <v>0</v>
      </c>
      <c r="BV362" s="185">
        <f t="shared" si="1346"/>
        <v>0</v>
      </c>
      <c r="BW362" s="185">
        <f t="shared" si="1346"/>
        <v>0</v>
      </c>
      <c r="BX362" s="185">
        <f t="shared" si="1346"/>
        <v>0</v>
      </c>
      <c r="BY362" s="204">
        <f t="shared" si="1346"/>
        <v>0</v>
      </c>
      <c r="BZ362" s="185">
        <f t="shared" si="1346"/>
        <v>0</v>
      </c>
      <c r="CA362" s="185">
        <f t="shared" si="1346"/>
        <v>0</v>
      </c>
      <c r="CB362" s="185">
        <f t="shared" si="1346"/>
        <v>0</v>
      </c>
      <c r="CC362" s="185">
        <f t="shared" si="1346"/>
        <v>0</v>
      </c>
      <c r="CD362" s="204">
        <f t="shared" si="1346"/>
        <v>0</v>
      </c>
      <c r="CE362" s="185">
        <f t="shared" si="1346"/>
        <v>0</v>
      </c>
      <c r="CF362" s="185">
        <f t="shared" si="1346"/>
        <v>0</v>
      </c>
      <c r="CG362" s="185">
        <f t="shared" ref="CG362:CJ362" si="1347">CG361/CG30</f>
        <v>0</v>
      </c>
      <c r="CH362" s="185">
        <f t="shared" si="1347"/>
        <v>0</v>
      </c>
      <c r="CI362" s="204">
        <f t="shared" si="1347"/>
        <v>0</v>
      </c>
      <c r="CJ362" s="185">
        <f t="shared" si="1347"/>
        <v>0</v>
      </c>
      <c r="CK362" s="185">
        <f t="shared" ref="CK362:CL362" si="1348">CK361/CK30</f>
        <v>0</v>
      </c>
      <c r="CL362" s="185">
        <f t="shared" si="1348"/>
        <v>0</v>
      </c>
      <c r="CM362" s="185">
        <f t="shared" ref="CM362:CP362" si="1349">CM361/CM30</f>
        <v>-3.4770514603616132E-4</v>
      </c>
      <c r="CN362" s="204">
        <f t="shared" si="1349"/>
        <v>-9.4029149036201217E-5</v>
      </c>
      <c r="CO362" s="185">
        <f t="shared" si="1349"/>
        <v>0</v>
      </c>
      <c r="CP362" s="185">
        <f t="shared" si="1349"/>
        <v>0</v>
      </c>
      <c r="CQ362" s="254">
        <f>CN362</f>
        <v>-9.4029149036201217E-5</v>
      </c>
      <c r="CR362" s="254">
        <f t="shared" ref="CR362:CS362" si="1350">CQ362</f>
        <v>-9.4029149036201217E-5</v>
      </c>
      <c r="CS362" s="254">
        <f t="shared" si="1350"/>
        <v>-9.4029149036201217E-5</v>
      </c>
      <c r="CT362" s="254">
        <f t="shared" ref="CT362" si="1351">CS362</f>
        <v>-9.4029149036201217E-5</v>
      </c>
      <c r="CU362" s="254">
        <f t="shared" ref="CU362" si="1352">CT362</f>
        <v>-9.4029149036201217E-5</v>
      </c>
      <c r="CV362" s="254">
        <f t="shared" ref="CV362:CW362" si="1353">CU362</f>
        <v>-9.4029149036201217E-5</v>
      </c>
      <c r="CW362" s="254">
        <f t="shared" si="1353"/>
        <v>-9.4029149036201217E-5</v>
      </c>
      <c r="CX362" s="159"/>
      <c r="CY362" s="159"/>
      <c r="CZ362" s="159"/>
      <c r="DA362" s="159"/>
      <c r="DB362" s="159"/>
      <c r="DC362" s="159"/>
      <c r="DD362" s="159"/>
      <c r="EF362" s="221"/>
      <c r="EG362" s="221"/>
      <c r="EH362" s="221"/>
      <c r="EI362" s="221"/>
      <c r="EJ362" s="221"/>
      <c r="EK362" s="221"/>
      <c r="EL362" s="221"/>
      <c r="EM362" s="221"/>
      <c r="EN362" s="221"/>
      <c r="EO362" s="221"/>
    </row>
    <row r="363" spans="1:145">
      <c r="A363" s="226" t="s">
        <v>64</v>
      </c>
      <c r="B363" s="204"/>
      <c r="C363" s="204"/>
      <c r="D363" s="204"/>
      <c r="E363" s="204"/>
      <c r="F363" s="204"/>
      <c r="G363" s="204"/>
      <c r="H363" s="204"/>
      <c r="I363" s="204"/>
      <c r="J363" s="204"/>
      <c r="K363" s="204"/>
      <c r="L363" s="204"/>
      <c r="M363" s="204"/>
      <c r="N363" s="204"/>
      <c r="O363" s="204"/>
      <c r="P363" s="204"/>
      <c r="Q363" s="204"/>
      <c r="R363" s="204"/>
      <c r="S363" s="204"/>
      <c r="T363" s="204"/>
      <c r="U363" s="204"/>
      <c r="V363" s="204"/>
      <c r="W363" s="204"/>
      <c r="X363" s="204"/>
      <c r="Y363" s="204"/>
      <c r="Z363" s="204"/>
      <c r="AA363" s="204"/>
      <c r="AB363" s="204">
        <f t="shared" ref="AB363:CP363" si="1354">AB361/W361-1</f>
        <v>-1.9342254934760787</v>
      </c>
      <c r="AC363" s="204">
        <f t="shared" si="1354"/>
        <v>-0.37158950888928</v>
      </c>
      <c r="AD363" s="204">
        <f t="shared" si="1354"/>
        <v>-0.59584837545126357</v>
      </c>
      <c r="AE363" s="204">
        <f t="shared" si="1354"/>
        <v>1.4111014744145707</v>
      </c>
      <c r="AF363" s="204">
        <f t="shared" si="1354"/>
        <v>0.97515276128695993</v>
      </c>
      <c r="AG363" s="204">
        <f t="shared" si="1354"/>
        <v>-0.46044024256314753</v>
      </c>
      <c r="AH363" s="204">
        <f t="shared" si="1354"/>
        <v>-0.42110177404295046</v>
      </c>
      <c r="AI363" s="204">
        <f t="shared" si="1354"/>
        <v>0.61902635104957571</v>
      </c>
      <c r="AJ363" s="204">
        <f t="shared" si="1354"/>
        <v>-0.20413669064748208</v>
      </c>
      <c r="AK363" s="204">
        <f t="shared" si="1354"/>
        <v>-0.20825758020057483</v>
      </c>
      <c r="AL363" s="204">
        <f t="shared" si="1354"/>
        <v>-0.77876106194690264</v>
      </c>
      <c r="AM363" s="204">
        <f t="shared" si="1354"/>
        <v>8.602150537634401E-2</v>
      </c>
      <c r="AN363" s="204">
        <f t="shared" si="1354"/>
        <v>-0.51724137931034475</v>
      </c>
      <c r="AO363" s="204">
        <f t="shared" si="1354"/>
        <v>-0.54802259887005644</v>
      </c>
      <c r="AP363" s="204">
        <f t="shared" si="1354"/>
        <v>-0.46296296296296291</v>
      </c>
      <c r="AQ363" s="204">
        <f t="shared" si="1354"/>
        <v>-1.8</v>
      </c>
      <c r="AR363" s="204">
        <f t="shared" si="1354"/>
        <v>-0.80198019801980203</v>
      </c>
      <c r="AS363" s="204">
        <f t="shared" si="1354"/>
        <v>-6</v>
      </c>
      <c r="AT363" s="204">
        <f t="shared" si="1354"/>
        <v>-4.125</v>
      </c>
      <c r="AU363" s="204">
        <f t="shared" si="1354"/>
        <v>-3.0689655172413794</v>
      </c>
      <c r="AV363" s="204">
        <f t="shared" si="1354"/>
        <v>4</v>
      </c>
      <c r="AW363" s="204">
        <f t="shared" si="1354"/>
        <v>-1</v>
      </c>
      <c r="AX363" s="204">
        <f t="shared" si="1354"/>
        <v>-1</v>
      </c>
      <c r="AY363" s="204">
        <f t="shared" si="1354"/>
        <v>-1</v>
      </c>
      <c r="AZ363" s="204">
        <f t="shared" si="1354"/>
        <v>-0.83333333333333337</v>
      </c>
      <c r="BA363" s="204">
        <f t="shared" si="1354"/>
        <v>-1</v>
      </c>
      <c r="BB363" s="204" t="e">
        <f t="shared" si="1354"/>
        <v>#DIV/0!</v>
      </c>
      <c r="BC363" s="204" t="e">
        <f t="shared" si="1354"/>
        <v>#DIV/0!</v>
      </c>
      <c r="BD363" s="204" t="e">
        <f t="shared" si="1354"/>
        <v>#DIV/0!</v>
      </c>
      <c r="BE363" s="204">
        <f t="shared" si="1354"/>
        <v>-1</v>
      </c>
      <c r="BF363" s="204" t="e">
        <f t="shared" si="1354"/>
        <v>#DIV/0!</v>
      </c>
      <c r="BG363" s="204" t="e">
        <f t="shared" si="1354"/>
        <v>#DIV/0!</v>
      </c>
      <c r="BH363" s="204" t="e">
        <f t="shared" si="1354"/>
        <v>#DIV/0!</v>
      </c>
      <c r="BI363" s="204" t="e">
        <f t="shared" si="1354"/>
        <v>#DIV/0!</v>
      </c>
      <c r="BJ363" s="204" t="e">
        <f t="shared" si="1354"/>
        <v>#DIV/0!</v>
      </c>
      <c r="BK363" s="204" t="e">
        <f t="shared" si="1354"/>
        <v>#DIV/0!</v>
      </c>
      <c r="BL363" s="204" t="e">
        <f t="shared" si="1354"/>
        <v>#DIV/0!</v>
      </c>
      <c r="BM363" s="204" t="e">
        <f t="shared" si="1354"/>
        <v>#DIV/0!</v>
      </c>
      <c r="BN363" s="204" t="e">
        <f t="shared" si="1354"/>
        <v>#DIV/0!</v>
      </c>
      <c r="BO363" s="204" t="e">
        <f t="shared" si="1354"/>
        <v>#DIV/0!</v>
      </c>
      <c r="BP363" s="204" t="e">
        <f t="shared" si="1354"/>
        <v>#DIV/0!</v>
      </c>
      <c r="BQ363" s="204" t="e">
        <f t="shared" si="1354"/>
        <v>#DIV/0!</v>
      </c>
      <c r="BR363" s="204" t="e">
        <f t="shared" si="1354"/>
        <v>#DIV/0!</v>
      </c>
      <c r="BS363" s="204" t="e">
        <f t="shared" si="1354"/>
        <v>#DIV/0!</v>
      </c>
      <c r="BT363" s="204" t="e">
        <f t="shared" si="1354"/>
        <v>#DIV/0!</v>
      </c>
      <c r="BU363" s="185" t="e">
        <f t="shared" si="1354"/>
        <v>#DIV/0!</v>
      </c>
      <c r="BV363" s="185" t="e">
        <f t="shared" si="1354"/>
        <v>#DIV/0!</v>
      </c>
      <c r="BW363" s="185" t="e">
        <f t="shared" si="1354"/>
        <v>#DIV/0!</v>
      </c>
      <c r="BX363" s="185" t="e">
        <f t="shared" si="1354"/>
        <v>#DIV/0!</v>
      </c>
      <c r="BY363" s="204" t="e">
        <f t="shared" si="1354"/>
        <v>#DIV/0!</v>
      </c>
      <c r="BZ363" s="185" t="e">
        <f t="shared" si="1354"/>
        <v>#DIV/0!</v>
      </c>
      <c r="CA363" s="185" t="e">
        <f t="shared" si="1354"/>
        <v>#DIV/0!</v>
      </c>
      <c r="CB363" s="185" t="e">
        <f t="shared" si="1354"/>
        <v>#DIV/0!</v>
      </c>
      <c r="CC363" s="185" t="e">
        <f t="shared" si="1354"/>
        <v>#DIV/0!</v>
      </c>
      <c r="CD363" s="204" t="e">
        <f>CD361/BY361-1</f>
        <v>#DIV/0!</v>
      </c>
      <c r="CE363" s="185" t="e">
        <f t="shared" si="1354"/>
        <v>#DIV/0!</v>
      </c>
      <c r="CF363" s="185" t="e">
        <f t="shared" si="1354"/>
        <v>#DIV/0!</v>
      </c>
      <c r="CG363" s="185" t="e">
        <f t="shared" si="1354"/>
        <v>#DIV/0!</v>
      </c>
      <c r="CH363" s="185" t="e">
        <f t="shared" si="1354"/>
        <v>#DIV/0!</v>
      </c>
      <c r="CI363" s="204" t="e">
        <f>CI361/CD361-1</f>
        <v>#DIV/0!</v>
      </c>
      <c r="CJ363" s="185" t="e">
        <f t="shared" si="1354"/>
        <v>#DIV/0!</v>
      </c>
      <c r="CK363" s="185" t="e">
        <f t="shared" si="1354"/>
        <v>#DIV/0!</v>
      </c>
      <c r="CL363" s="185" t="e">
        <f t="shared" si="1354"/>
        <v>#DIV/0!</v>
      </c>
      <c r="CM363" s="185" t="e">
        <f t="shared" si="1354"/>
        <v>#DIV/0!</v>
      </c>
      <c r="CN363" s="204" t="e">
        <f>CN361/CI361-1</f>
        <v>#DIV/0!</v>
      </c>
      <c r="CO363" s="185" t="e">
        <f t="shared" si="1354"/>
        <v>#DIV/0!</v>
      </c>
      <c r="CP363" s="185" t="e">
        <f t="shared" si="1354"/>
        <v>#DIV/0!</v>
      </c>
      <c r="CQ363" s="204">
        <f>CQ361/CN361-1</f>
        <v>2.920437985856017E-2</v>
      </c>
      <c r="CR363" s="204">
        <f t="shared" ref="CR363:CS363" si="1355">CR361/CQ361-1</f>
        <v>2.4801021586922767E-2</v>
      </c>
      <c r="CS363" s="204">
        <f t="shared" si="1355"/>
        <v>2.4479147040300075E-2</v>
      </c>
      <c r="CT363" s="204">
        <f t="shared" ref="CT363" si="1356">CT361/CS361-1</f>
        <v>2.5224694876190279E-2</v>
      </c>
      <c r="CU363" s="204">
        <f t="shared" ref="CU363" si="1357">CU361/CT361-1</f>
        <v>2.384234233075011E-2</v>
      </c>
      <c r="CV363" s="204">
        <f t="shared" ref="CV363:CW363" si="1358">CV361/CU361-1</f>
        <v>2.3621716659277592E-2</v>
      </c>
      <c r="CW363" s="204">
        <f t="shared" si="1358"/>
        <v>2.3449198252120773E-2</v>
      </c>
      <c r="CX363" s="159"/>
      <c r="CY363" s="159"/>
      <c r="CZ363" s="159"/>
      <c r="DA363" s="159"/>
      <c r="DB363" s="159"/>
      <c r="DC363" s="159"/>
      <c r="DD363" s="159"/>
    </row>
    <row r="364" spans="1:145">
      <c r="A364" s="226"/>
      <c r="B364" s="204"/>
      <c r="C364" s="204"/>
      <c r="D364" s="204"/>
      <c r="E364" s="204"/>
      <c r="F364" s="204"/>
      <c r="G364" s="204"/>
      <c r="H364" s="204"/>
      <c r="I364" s="204"/>
      <c r="J364" s="204"/>
      <c r="K364" s="204"/>
      <c r="L364" s="204"/>
      <c r="M364" s="204"/>
      <c r="N364" s="204"/>
      <c r="O364" s="204"/>
      <c r="P364" s="204"/>
      <c r="Q364" s="204"/>
      <c r="R364" s="204"/>
      <c r="S364" s="204"/>
      <c r="T364" s="204"/>
      <c r="U364" s="204"/>
      <c r="V364" s="204"/>
      <c r="W364" s="204"/>
      <c r="X364" s="204"/>
      <c r="Y364" s="204"/>
      <c r="Z364" s="204"/>
      <c r="AA364" s="204"/>
      <c r="AB364" s="204"/>
      <c r="AC364" s="204"/>
      <c r="AD364" s="204"/>
      <c r="AE364" s="204"/>
      <c r="AF364" s="204"/>
      <c r="AG364" s="204"/>
      <c r="AH364" s="204"/>
      <c r="AI364" s="204"/>
      <c r="AJ364" s="204"/>
      <c r="AK364" s="204"/>
      <c r="AL364" s="204"/>
      <c r="AM364" s="204"/>
      <c r="AN364" s="204"/>
      <c r="AO364" s="204"/>
      <c r="AP364" s="204"/>
      <c r="AQ364" s="204"/>
      <c r="AR364" s="204"/>
      <c r="AS364" s="204"/>
      <c r="AT364" s="204"/>
      <c r="AU364" s="204"/>
      <c r="AV364" s="204"/>
      <c r="AW364" s="204"/>
      <c r="AX364" s="204"/>
      <c r="AY364" s="204"/>
      <c r="AZ364" s="204"/>
      <c r="BA364" s="204"/>
      <c r="BB364" s="204"/>
      <c r="BC364" s="204"/>
      <c r="BD364" s="204"/>
      <c r="BE364" s="204"/>
      <c r="BF364" s="204"/>
      <c r="BG364" s="204"/>
      <c r="BH364" s="204"/>
      <c r="BI364" s="204"/>
      <c r="BJ364" s="204"/>
      <c r="BK364" s="204"/>
      <c r="BL364" s="204"/>
      <c r="BM364" s="204"/>
      <c r="BN364" s="204"/>
      <c r="BO364" s="204"/>
      <c r="BP364" s="204"/>
      <c r="BQ364" s="204"/>
      <c r="BR364" s="204"/>
      <c r="BS364" s="204"/>
      <c r="BT364" s="204"/>
      <c r="BU364" s="185"/>
      <c r="BV364" s="185"/>
      <c r="BW364" s="185"/>
      <c r="BX364" s="185"/>
      <c r="BY364" s="204"/>
      <c r="BZ364" s="185"/>
      <c r="CA364" s="185"/>
      <c r="CB364" s="185"/>
      <c r="CC364" s="185"/>
      <c r="CD364" s="204"/>
      <c r="CE364" s="185"/>
      <c r="CF364" s="185"/>
      <c r="CG364" s="185"/>
      <c r="CH364" s="185"/>
      <c r="CI364" s="204"/>
      <c r="CJ364" s="185"/>
      <c r="CK364" s="185"/>
      <c r="CL364" s="185"/>
      <c r="CM364" s="185"/>
      <c r="CN364" s="204"/>
      <c r="CO364" s="185"/>
      <c r="CP364" s="185"/>
      <c r="CQ364" s="204"/>
      <c r="CR364" s="204"/>
      <c r="CS364" s="204"/>
      <c r="CT364" s="204"/>
      <c r="CU364" s="204"/>
      <c r="CV364" s="204"/>
      <c r="CW364" s="204"/>
      <c r="CX364" s="159"/>
      <c r="CY364" s="159"/>
      <c r="CZ364" s="159"/>
      <c r="DA364" s="159"/>
      <c r="DB364" s="159"/>
      <c r="DC364" s="159"/>
      <c r="DD364" s="159"/>
    </row>
    <row r="365" spans="1:145">
      <c r="A365" s="535" t="s">
        <v>750</v>
      </c>
      <c r="B365" s="204"/>
      <c r="C365" s="204"/>
      <c r="D365" s="204"/>
      <c r="E365" s="204"/>
      <c r="F365" s="204"/>
      <c r="G365" s="204"/>
      <c r="H365" s="204"/>
      <c r="I365" s="204"/>
      <c r="J365" s="204"/>
      <c r="K365" s="204"/>
      <c r="L365" s="204"/>
      <c r="M365" s="204"/>
      <c r="N365" s="204"/>
      <c r="O365" s="204"/>
      <c r="P365" s="204"/>
      <c r="Q365" s="204"/>
      <c r="R365" s="204"/>
      <c r="S365" s="204"/>
      <c r="T365" s="204"/>
      <c r="U365" s="204"/>
      <c r="V365" s="204"/>
      <c r="W365" s="204"/>
      <c r="X365" s="204"/>
      <c r="Y365" s="204"/>
      <c r="Z365" s="204"/>
      <c r="AA365" s="204"/>
      <c r="AB365" s="204"/>
      <c r="AC365" s="204"/>
      <c r="AD365" s="204"/>
      <c r="AE365" s="204"/>
      <c r="AF365" s="204"/>
      <c r="AG365" s="204"/>
      <c r="AH365" s="204"/>
      <c r="AI365" s="204"/>
      <c r="AJ365" s="204"/>
      <c r="AK365" s="204"/>
      <c r="AL365" s="204"/>
      <c r="AM365" s="204"/>
      <c r="AN365" s="204"/>
      <c r="AO365" s="204"/>
      <c r="AP365" s="204"/>
      <c r="AQ365" s="204"/>
      <c r="AR365" s="204"/>
      <c r="AS365" s="204"/>
      <c r="AT365" s="204"/>
      <c r="AU365" s="204"/>
      <c r="AV365" s="204"/>
      <c r="AW365" s="204"/>
      <c r="AX365" s="204"/>
      <c r="AY365" s="204"/>
      <c r="AZ365" s="204"/>
      <c r="BA365" s="204"/>
      <c r="BB365" s="204"/>
      <c r="BC365" s="204"/>
      <c r="BD365" s="204"/>
      <c r="BE365" s="204"/>
      <c r="BF365" s="204"/>
      <c r="BG365" s="204"/>
      <c r="BH365" s="204"/>
      <c r="BI365" s="204"/>
      <c r="BJ365" s="204"/>
      <c r="BK365" s="204"/>
      <c r="BL365" s="204"/>
      <c r="BM365" s="204"/>
      <c r="BN365" s="204"/>
      <c r="BO365" s="204"/>
      <c r="BP365" s="204"/>
      <c r="BQ365" s="204"/>
      <c r="BR365" s="204"/>
      <c r="BS365" s="204"/>
      <c r="BT365" s="204"/>
      <c r="BU365" s="185"/>
      <c r="BV365" s="185"/>
      <c r="BW365" s="185"/>
      <c r="BX365" s="185"/>
      <c r="BY365" s="204"/>
      <c r="BZ365" s="185"/>
      <c r="CA365" s="185"/>
      <c r="CB365" s="185"/>
      <c r="CC365" s="185"/>
      <c r="CD365" s="204"/>
      <c r="CE365" s="185"/>
      <c r="CF365" s="185"/>
      <c r="CG365" s="185"/>
      <c r="CH365" s="185"/>
      <c r="CI365" s="204"/>
      <c r="CJ365" s="185"/>
      <c r="CK365" s="185"/>
      <c r="CL365" s="185"/>
      <c r="CM365" s="185"/>
      <c r="CN365" s="204"/>
      <c r="CO365" s="185"/>
      <c r="CP365" s="185"/>
      <c r="CQ365" s="204"/>
      <c r="CR365" s="204"/>
      <c r="CS365" s="204"/>
      <c r="CT365" s="204"/>
      <c r="CU365" s="204"/>
      <c r="CV365" s="204"/>
      <c r="CW365" s="204"/>
      <c r="CX365" s="159"/>
      <c r="CY365" s="159"/>
      <c r="CZ365" s="159"/>
      <c r="DA365" s="159"/>
      <c r="DB365" s="159"/>
      <c r="DC365" s="159"/>
      <c r="DD365" s="159"/>
    </row>
    <row r="366" spans="1:145" hidden="1" outlineLevel="1">
      <c r="A366" s="278" t="s">
        <v>254</v>
      </c>
      <c r="B366" s="314"/>
      <c r="C366" s="314"/>
      <c r="D366" s="314"/>
      <c r="E366" s="314"/>
      <c r="F366" s="314"/>
      <c r="G366" s="314"/>
      <c r="H366" s="314"/>
      <c r="I366" s="314"/>
      <c r="J366" s="314"/>
      <c r="K366" s="314"/>
      <c r="L366" s="314"/>
      <c r="M366" s="314"/>
      <c r="N366" s="314"/>
      <c r="O366" s="314"/>
      <c r="P366" s="314"/>
      <c r="Q366" s="314"/>
      <c r="R366" s="314"/>
      <c r="S366" s="314"/>
      <c r="T366" s="314"/>
      <c r="U366" s="314"/>
      <c r="V366" s="314"/>
      <c r="W366" s="314"/>
      <c r="X366" s="314"/>
      <c r="Y366" s="314"/>
      <c r="Z366" s="314"/>
      <c r="AA366" s="314"/>
      <c r="AB366" s="314"/>
      <c r="AC366" s="314"/>
      <c r="AD366" s="314"/>
      <c r="AE366" s="314"/>
      <c r="AF366" s="314"/>
      <c r="AG366" s="314"/>
      <c r="AH366" s="314"/>
      <c r="AI366" s="314"/>
      <c r="AJ366" s="314"/>
      <c r="AK366" s="314"/>
      <c r="AL366" s="314"/>
      <c r="AM366" s="314"/>
      <c r="AN366" s="314"/>
      <c r="AO366" s="314"/>
      <c r="AP366" s="314"/>
      <c r="AQ366" s="722">
        <v>34</v>
      </c>
      <c r="AR366" s="722">
        <v>36</v>
      </c>
      <c r="AS366" s="722">
        <v>40</v>
      </c>
      <c r="AT366" s="722">
        <v>37</v>
      </c>
      <c r="AU366" s="722">
        <f>SUM(AQ366:AT366)</f>
        <v>147</v>
      </c>
      <c r="AV366" s="722">
        <v>41</v>
      </c>
      <c r="AW366" s="722">
        <f>'[3]Profit and Loss Highlights'!X$47</f>
        <v>0</v>
      </c>
      <c r="AX366" s="722">
        <f>'[3]Profit and Loss Highlights'!Y$47</f>
        <v>0</v>
      </c>
      <c r="AY366" s="722">
        <f>'[3]Profit and Loss Highlights'!Z$47</f>
        <v>0</v>
      </c>
      <c r="AZ366" s="722">
        <f>SUM(AV366:AY366)</f>
        <v>41</v>
      </c>
      <c r="BA366" s="722">
        <f>'[3]Profit and Loss Highlights'!AA$47</f>
        <v>0</v>
      </c>
      <c r="BB366" s="722">
        <f>'[3]Profit and Loss Highlights'!AB$47</f>
        <v>0</v>
      </c>
      <c r="BC366" s="722">
        <f>'[3]Profit and Loss Highlights'!AC$47</f>
        <v>0</v>
      </c>
      <c r="BD366" s="722">
        <f>'[3]Profit and Loss Highlights'!AD$47</f>
        <v>0</v>
      </c>
      <c r="BE366" s="693">
        <f>SUM(BA366:BD366)</f>
        <v>0</v>
      </c>
      <c r="BF366" s="722">
        <f>'[3]Profit and Loss Highlights'!AE$47</f>
        <v>0</v>
      </c>
      <c r="BG366" s="722">
        <f>'[3]Profit and Loss Highlights'!AF$47</f>
        <v>0</v>
      </c>
      <c r="BH366" s="722">
        <f>'[3]Profit and Loss Highlights'!AG$47</f>
        <v>0</v>
      </c>
      <c r="BI366" s="722">
        <f>'[3]Profit and Loss Highlights'!AH$47</f>
        <v>0</v>
      </c>
      <c r="BJ366" s="693">
        <f>SUM(BF366:BI366)</f>
        <v>0</v>
      </c>
      <c r="BK366" s="722">
        <f>'[3]Profit and Loss Highlights'!AI$47</f>
        <v>0</v>
      </c>
      <c r="BL366" s="722">
        <f>'[3]Profit and Loss Highlights'!AJ$47</f>
        <v>0</v>
      </c>
      <c r="BM366" s="722">
        <f>'[3]Profit and Loss Highlights'!AK$47</f>
        <v>0</v>
      </c>
      <c r="BN366" s="722">
        <f>'[3]Profit and Loss Highlights'!AL$47</f>
        <v>0</v>
      </c>
      <c r="BO366" s="693">
        <f>SUM(BK366:BN366)</f>
        <v>0</v>
      </c>
      <c r="BP366" s="722">
        <f>'[3]Profit and Loss Highlights'!AM$47</f>
        <v>0</v>
      </c>
      <c r="BQ366" s="722">
        <f>'[3]Profit and Loss Highlights'!AN$47</f>
        <v>0</v>
      </c>
      <c r="BR366" s="722">
        <f>'[3]Profit and Loss Highlights'!AO$47</f>
        <v>0</v>
      </c>
      <c r="BS366" s="722">
        <f>'[3]Profit and Loss Highlights'!AP$47</f>
        <v>0</v>
      </c>
      <c r="BT366" s="693">
        <f>SUM(BP366:BS366)</f>
        <v>0</v>
      </c>
      <c r="BU366" s="730">
        <f>'[3]Profit and Loss Highlights'!AQ$47</f>
        <v>34</v>
      </c>
      <c r="BV366" s="730">
        <f>'[3]Profit and Loss Highlights'!AR$47</f>
        <v>26</v>
      </c>
      <c r="BW366" s="730">
        <f>'[3]Profit and Loss Highlights'!AS$47</f>
        <v>25</v>
      </c>
      <c r="BX366" s="730">
        <f>'[3]Profit and Loss Highlights'!AT$47</f>
        <v>22</v>
      </c>
      <c r="BY366" s="693">
        <f>SUM(BU366:BX366)</f>
        <v>107</v>
      </c>
      <c r="BZ366" s="730">
        <f>'[3]Profit and Loss Highlights'!AU$47</f>
        <v>34</v>
      </c>
      <c r="CA366" s="730">
        <f>'[3]Profit and Loss Highlights'!AV$47</f>
        <v>37</v>
      </c>
      <c r="CB366" s="730">
        <f>'[3]Profit and Loss Highlights'!AW$47</f>
        <v>32</v>
      </c>
      <c r="CC366" s="730">
        <f>'[3]Profit and Loss Highlights'!AX$47</f>
        <v>26</v>
      </c>
      <c r="CD366" s="720">
        <f>CD367*CD31</f>
        <v>111.27387884359996</v>
      </c>
      <c r="CE366" s="730">
        <f>'[3]Profit and Loss Highlights'!AY$47</f>
        <v>40</v>
      </c>
      <c r="CF366" s="730">
        <f>'[3]Profit and Loss Highlights'!AZ$47</f>
        <v>38</v>
      </c>
      <c r="CG366" s="730">
        <f>'[3]Profit and Loss Highlights'!BA$47</f>
        <v>27</v>
      </c>
      <c r="CH366" s="730">
        <f>'[3]Profit and Loss Highlights'!BB$47</f>
        <v>29</v>
      </c>
      <c r="CI366" s="720">
        <f t="shared" ref="CI366:CW366" si="1359">CI367*CI30</f>
        <v>115.16518541219736</v>
      </c>
      <c r="CJ366" s="730">
        <f>'[3]Profit and Loss Highlights'!BC$47</f>
        <v>34</v>
      </c>
      <c r="CK366" s="730">
        <f>'[3]Profit and Loss Highlights'!BD$47</f>
        <v>37</v>
      </c>
      <c r="CL366" s="730">
        <f>'[3]Profit and Loss Highlights'!BE$47</f>
        <v>24</v>
      </c>
      <c r="CM366" s="730">
        <f>'[3]Profit and Loss Highlights'!BF$47</f>
        <v>34</v>
      </c>
      <c r="CN366" s="720">
        <f t="shared" ref="CN366" si="1360">CN367*CN30</f>
        <v>116.24731841863316</v>
      </c>
      <c r="CO366" s="730">
        <f>'[3]Profit and Loss Highlights'!BG$47</f>
        <v>45</v>
      </c>
      <c r="CP366" s="730">
        <f>'[3]Profit and Loss Highlights'!BH$47</f>
        <v>39</v>
      </c>
      <c r="CQ366" s="720">
        <f t="shared" si="1359"/>
        <v>119.64224926326993</v>
      </c>
      <c r="CR366" s="720">
        <f t="shared" si="1359"/>
        <v>122.60949926995627</v>
      </c>
      <c r="CS366" s="720">
        <f t="shared" si="1359"/>
        <v>125.61087523112312</v>
      </c>
      <c r="CT366" s="720">
        <f t="shared" si="1359"/>
        <v>128.77937123195937</v>
      </c>
      <c r="CU366" s="720">
        <f t="shared" si="1359"/>
        <v>131.84977308601054</v>
      </c>
      <c r="CV366" s="720">
        <f t="shared" si="1359"/>
        <v>134.96429106743832</v>
      </c>
      <c r="CW366" s="720">
        <f t="shared" si="1359"/>
        <v>138.12909548563564</v>
      </c>
      <c r="CX366" s="165"/>
      <c r="CY366" s="165"/>
      <c r="CZ366" s="165"/>
      <c r="DA366" s="165"/>
      <c r="DB366" s="165"/>
      <c r="DC366" s="159"/>
      <c r="DD366" s="159"/>
    </row>
    <row r="367" spans="1:145" hidden="1" outlineLevel="1">
      <c r="A367" s="277" t="s">
        <v>63</v>
      </c>
      <c r="B367" s="204"/>
      <c r="C367" s="204"/>
      <c r="D367" s="204"/>
      <c r="E367" s="204"/>
      <c r="F367" s="204"/>
      <c r="G367" s="204"/>
      <c r="H367" s="204"/>
      <c r="I367" s="204"/>
      <c r="J367" s="204"/>
      <c r="K367" s="204"/>
      <c r="L367" s="204"/>
      <c r="M367" s="204"/>
      <c r="N367" s="204"/>
      <c r="O367" s="204"/>
      <c r="P367" s="204"/>
      <c r="Q367" s="204"/>
      <c r="R367" s="204"/>
      <c r="S367" s="204"/>
      <c r="T367" s="204"/>
      <c r="U367" s="204"/>
      <c r="V367" s="204"/>
      <c r="W367" s="204"/>
      <c r="X367" s="204"/>
      <c r="Y367" s="204"/>
      <c r="Z367" s="204"/>
      <c r="AA367" s="204"/>
      <c r="AB367" s="204"/>
      <c r="AC367" s="204"/>
      <c r="AD367" s="204"/>
      <c r="AE367" s="204"/>
      <c r="AF367" s="204"/>
      <c r="AG367" s="204"/>
      <c r="AH367" s="204"/>
      <c r="AI367" s="204"/>
      <c r="AJ367" s="204"/>
      <c r="AK367" s="204"/>
      <c r="AL367" s="204"/>
      <c r="AM367" s="204"/>
      <c r="AN367" s="204"/>
      <c r="AO367" s="204"/>
      <c r="AP367" s="204"/>
      <c r="AQ367" s="204">
        <f t="shared" ref="AQ367:CC367" si="1361">AQ366/AQ30</f>
        <v>1.5887850467289719E-2</v>
      </c>
      <c r="AR367" s="204">
        <f t="shared" si="1361"/>
        <v>1.7126546146527116E-2</v>
      </c>
      <c r="AS367" s="204">
        <f t="shared" si="1361"/>
        <v>1.8552875695732839E-2</v>
      </c>
      <c r="AT367" s="204">
        <f t="shared" si="1361"/>
        <v>1.6711833785004515E-2</v>
      </c>
      <c r="AU367" s="204">
        <f t="shared" si="1361"/>
        <v>1.706920575940548E-2</v>
      </c>
      <c r="AV367" s="204">
        <f t="shared" si="1361"/>
        <v>1.7263157894736841E-2</v>
      </c>
      <c r="AW367" s="204">
        <f t="shared" si="1361"/>
        <v>0</v>
      </c>
      <c r="AX367" s="204">
        <f t="shared" si="1361"/>
        <v>0</v>
      </c>
      <c r="AY367" s="204">
        <f t="shared" si="1361"/>
        <v>0</v>
      </c>
      <c r="AZ367" s="204">
        <f t="shared" si="1361"/>
        <v>4.3529037052765689E-3</v>
      </c>
      <c r="BA367" s="204">
        <f t="shared" si="1361"/>
        <v>0</v>
      </c>
      <c r="BB367" s="204">
        <f t="shared" si="1361"/>
        <v>0</v>
      </c>
      <c r="BC367" s="204">
        <f t="shared" si="1361"/>
        <v>0</v>
      </c>
      <c r="BD367" s="204">
        <f t="shared" si="1361"/>
        <v>0</v>
      </c>
      <c r="BE367" s="204">
        <f t="shared" si="1361"/>
        <v>0</v>
      </c>
      <c r="BF367" s="204">
        <f t="shared" si="1361"/>
        <v>0</v>
      </c>
      <c r="BG367" s="204">
        <f t="shared" si="1361"/>
        <v>0</v>
      </c>
      <c r="BH367" s="204">
        <f t="shared" si="1361"/>
        <v>0</v>
      </c>
      <c r="BI367" s="204">
        <f t="shared" si="1361"/>
        <v>0</v>
      </c>
      <c r="BJ367" s="204">
        <f t="shared" si="1361"/>
        <v>0</v>
      </c>
      <c r="BK367" s="204">
        <f t="shared" si="1361"/>
        <v>0</v>
      </c>
      <c r="BL367" s="204">
        <f t="shared" si="1361"/>
        <v>0</v>
      </c>
      <c r="BM367" s="204">
        <f t="shared" si="1361"/>
        <v>0</v>
      </c>
      <c r="BN367" s="204">
        <f t="shared" si="1361"/>
        <v>0</v>
      </c>
      <c r="BO367" s="204">
        <f t="shared" si="1361"/>
        <v>0</v>
      </c>
      <c r="BP367" s="204">
        <f t="shared" si="1361"/>
        <v>0</v>
      </c>
      <c r="BQ367" s="204">
        <f t="shared" si="1361"/>
        <v>0</v>
      </c>
      <c r="BR367" s="204">
        <f t="shared" si="1361"/>
        <v>0</v>
      </c>
      <c r="BS367" s="204">
        <f t="shared" si="1361"/>
        <v>0</v>
      </c>
      <c r="BT367" s="204">
        <f t="shared" si="1361"/>
        <v>0</v>
      </c>
      <c r="BU367" s="185">
        <f t="shared" si="1361"/>
        <v>1.4131338320864505E-2</v>
      </c>
      <c r="BV367" s="185">
        <f t="shared" si="1361"/>
        <v>1.0726072607260726E-2</v>
      </c>
      <c r="BW367" s="185">
        <f t="shared" si="1361"/>
        <v>1.0395010395010396E-2</v>
      </c>
      <c r="BX367" s="185">
        <f t="shared" si="1361"/>
        <v>8.6139389193422081E-3</v>
      </c>
      <c r="BY367" s="204">
        <f t="shared" si="1361"/>
        <v>1.0930636428644397E-2</v>
      </c>
      <c r="BZ367" s="185">
        <f t="shared" si="1361"/>
        <v>1.3460015835312747E-2</v>
      </c>
      <c r="CA367" s="185">
        <f t="shared" si="1361"/>
        <v>1.4979757085020242E-2</v>
      </c>
      <c r="CB367" s="185">
        <f t="shared" si="1361"/>
        <v>1.3104013104013105E-2</v>
      </c>
      <c r="CC367" s="185">
        <f t="shared" si="1361"/>
        <v>9.4821298322392417E-3</v>
      </c>
      <c r="CD367" s="304">
        <f>BY367</f>
        <v>1.0930636428644397E-2</v>
      </c>
      <c r="CE367" s="185">
        <f>CE366/CE30</f>
        <v>1.5366884364195159E-2</v>
      </c>
      <c r="CF367" s="185">
        <f>CF366/CF30</f>
        <v>1.4694508894044857E-2</v>
      </c>
      <c r="CG367" s="185">
        <f>CG366/CG30</f>
        <v>1.048136645962733E-2</v>
      </c>
      <c r="CH367" s="185">
        <f>CH366/CH30</f>
        <v>1.0465535907614579E-2</v>
      </c>
      <c r="CI367" s="304">
        <f>CD367</f>
        <v>1.0930636428644397E-2</v>
      </c>
      <c r="CJ367" s="185">
        <f>CJ366/CJ30</f>
        <v>1.303680981595092E-2</v>
      </c>
      <c r="CK367" s="185">
        <f>CK366/CK30</f>
        <v>1.444184231069477E-2</v>
      </c>
      <c r="CL367" s="185">
        <f>CL366/CL30</f>
        <v>9.2699884125144842E-3</v>
      </c>
      <c r="CM367" s="185">
        <f>CM366/CM30</f>
        <v>1.1821974965229486E-2</v>
      </c>
      <c r="CN367" s="304">
        <f>CI367</f>
        <v>1.0930636428644397E-2</v>
      </c>
      <c r="CO367" s="185">
        <f>CO366/CO30</f>
        <v>1.6477480776272427E-2</v>
      </c>
      <c r="CP367" s="185">
        <f>CP366/CP30</f>
        <v>1.4683734939759037E-2</v>
      </c>
      <c r="CQ367" s="304">
        <f>CN367</f>
        <v>1.0930636428644397E-2</v>
      </c>
      <c r="CR367" s="304">
        <f t="shared" ref="CR367:CS367" si="1362">CQ367</f>
        <v>1.0930636428644397E-2</v>
      </c>
      <c r="CS367" s="304">
        <f t="shared" si="1362"/>
        <v>1.0930636428644397E-2</v>
      </c>
      <c r="CT367" s="304">
        <f t="shared" ref="CT367" si="1363">CS367</f>
        <v>1.0930636428644397E-2</v>
      </c>
      <c r="CU367" s="304">
        <f t="shared" ref="CU367" si="1364">CT367</f>
        <v>1.0930636428644397E-2</v>
      </c>
      <c r="CV367" s="304">
        <f t="shared" ref="CV367:CW367" si="1365">CU367</f>
        <v>1.0930636428644397E-2</v>
      </c>
      <c r="CW367" s="304">
        <f t="shared" si="1365"/>
        <v>1.0930636428644397E-2</v>
      </c>
      <c r="CX367" s="159"/>
      <c r="CY367" s="159"/>
      <c r="CZ367" s="159"/>
      <c r="DA367" s="159"/>
      <c r="DB367" s="159"/>
      <c r="DC367" s="159"/>
      <c r="DD367" s="159"/>
    </row>
    <row r="368" spans="1:145" hidden="1" outlineLevel="1">
      <c r="A368" s="277" t="s">
        <v>64</v>
      </c>
      <c r="B368" s="204"/>
      <c r="C368" s="204"/>
      <c r="D368" s="204"/>
      <c r="E368" s="204"/>
      <c r="F368" s="204"/>
      <c r="G368" s="204"/>
      <c r="H368" s="204"/>
      <c r="I368" s="204"/>
      <c r="J368" s="204"/>
      <c r="K368" s="204"/>
      <c r="L368" s="204"/>
      <c r="M368" s="204"/>
      <c r="N368" s="204"/>
      <c r="O368" s="204"/>
      <c r="P368" s="204"/>
      <c r="Q368" s="204"/>
      <c r="R368" s="204"/>
      <c r="S368" s="204"/>
      <c r="T368" s="204"/>
      <c r="U368" s="204"/>
      <c r="V368" s="204"/>
      <c r="W368" s="204"/>
      <c r="X368" s="204"/>
      <c r="Y368" s="204"/>
      <c r="Z368" s="204"/>
      <c r="AA368" s="204"/>
      <c r="AB368" s="204"/>
      <c r="AC368" s="204"/>
      <c r="AD368" s="204"/>
      <c r="AE368" s="204"/>
      <c r="AF368" s="204"/>
      <c r="AG368" s="204"/>
      <c r="AH368" s="204"/>
      <c r="AI368" s="204"/>
      <c r="AJ368" s="204"/>
      <c r="AK368" s="204"/>
      <c r="AL368" s="204"/>
      <c r="AM368" s="204"/>
      <c r="AN368" s="204"/>
      <c r="AO368" s="204"/>
      <c r="AP368" s="204"/>
      <c r="AQ368" s="204" t="e">
        <f t="shared" ref="AQ368:CP368" si="1366">AQ366/AL366-1</f>
        <v>#DIV/0!</v>
      </c>
      <c r="AR368" s="204" t="e">
        <f t="shared" si="1366"/>
        <v>#DIV/0!</v>
      </c>
      <c r="AS368" s="204" t="e">
        <f t="shared" si="1366"/>
        <v>#DIV/0!</v>
      </c>
      <c r="AT368" s="204" t="e">
        <f t="shared" si="1366"/>
        <v>#DIV/0!</v>
      </c>
      <c r="AU368" s="204" t="e">
        <f t="shared" si="1366"/>
        <v>#DIV/0!</v>
      </c>
      <c r="AV368" s="204">
        <f t="shared" si="1366"/>
        <v>0.20588235294117641</v>
      </c>
      <c r="AW368" s="204">
        <f t="shared" si="1366"/>
        <v>-1</v>
      </c>
      <c r="AX368" s="204">
        <f t="shared" si="1366"/>
        <v>-1</v>
      </c>
      <c r="AY368" s="204">
        <f t="shared" si="1366"/>
        <v>-1</v>
      </c>
      <c r="AZ368" s="204">
        <f t="shared" si="1366"/>
        <v>-0.72108843537414968</v>
      </c>
      <c r="BA368" s="204">
        <f t="shared" si="1366"/>
        <v>-1</v>
      </c>
      <c r="BB368" s="204" t="e">
        <f t="shared" si="1366"/>
        <v>#DIV/0!</v>
      </c>
      <c r="BC368" s="204" t="e">
        <f t="shared" si="1366"/>
        <v>#DIV/0!</v>
      </c>
      <c r="BD368" s="204" t="e">
        <f t="shared" si="1366"/>
        <v>#DIV/0!</v>
      </c>
      <c r="BE368" s="204">
        <f t="shared" si="1366"/>
        <v>-1</v>
      </c>
      <c r="BF368" s="204" t="e">
        <f t="shared" si="1366"/>
        <v>#DIV/0!</v>
      </c>
      <c r="BG368" s="204" t="e">
        <f t="shared" si="1366"/>
        <v>#DIV/0!</v>
      </c>
      <c r="BH368" s="204" t="e">
        <f t="shared" si="1366"/>
        <v>#DIV/0!</v>
      </c>
      <c r="BI368" s="204" t="e">
        <f t="shared" si="1366"/>
        <v>#DIV/0!</v>
      </c>
      <c r="BJ368" s="204" t="e">
        <f t="shared" si="1366"/>
        <v>#DIV/0!</v>
      </c>
      <c r="BK368" s="204" t="e">
        <f t="shared" si="1366"/>
        <v>#DIV/0!</v>
      </c>
      <c r="BL368" s="204" t="e">
        <f t="shared" si="1366"/>
        <v>#DIV/0!</v>
      </c>
      <c r="BM368" s="204" t="e">
        <f t="shared" si="1366"/>
        <v>#DIV/0!</v>
      </c>
      <c r="BN368" s="204" t="e">
        <f t="shared" si="1366"/>
        <v>#DIV/0!</v>
      </c>
      <c r="BO368" s="204" t="e">
        <f t="shared" si="1366"/>
        <v>#DIV/0!</v>
      </c>
      <c r="BP368" s="204" t="e">
        <f t="shared" si="1366"/>
        <v>#DIV/0!</v>
      </c>
      <c r="BQ368" s="204" t="e">
        <f t="shared" si="1366"/>
        <v>#DIV/0!</v>
      </c>
      <c r="BR368" s="204" t="e">
        <f t="shared" si="1366"/>
        <v>#DIV/0!</v>
      </c>
      <c r="BS368" s="204" t="e">
        <f t="shared" si="1366"/>
        <v>#DIV/0!</v>
      </c>
      <c r="BT368" s="204" t="e">
        <f t="shared" si="1366"/>
        <v>#DIV/0!</v>
      </c>
      <c r="BU368" s="185" t="e">
        <f t="shared" si="1366"/>
        <v>#DIV/0!</v>
      </c>
      <c r="BV368" s="185" t="e">
        <f t="shared" si="1366"/>
        <v>#DIV/0!</v>
      </c>
      <c r="BW368" s="185" t="e">
        <f t="shared" si="1366"/>
        <v>#DIV/0!</v>
      </c>
      <c r="BX368" s="185" t="e">
        <f t="shared" si="1366"/>
        <v>#DIV/0!</v>
      </c>
      <c r="BY368" s="204" t="e">
        <f t="shared" si="1366"/>
        <v>#DIV/0!</v>
      </c>
      <c r="BZ368" s="185">
        <f t="shared" si="1366"/>
        <v>0</v>
      </c>
      <c r="CA368" s="185">
        <f t="shared" si="1366"/>
        <v>0.42307692307692313</v>
      </c>
      <c r="CB368" s="185">
        <f t="shared" si="1366"/>
        <v>0.28000000000000003</v>
      </c>
      <c r="CC368" s="185">
        <f t="shared" si="1366"/>
        <v>0.18181818181818188</v>
      </c>
      <c r="CD368" s="204">
        <f>CD366/BY366-1</f>
        <v>3.9942792930840687E-2</v>
      </c>
      <c r="CE368" s="185">
        <f t="shared" si="1366"/>
        <v>0.17647058823529416</v>
      </c>
      <c r="CF368" s="185">
        <f t="shared" si="1366"/>
        <v>2.7027027027026973E-2</v>
      </c>
      <c r="CG368" s="185">
        <f t="shared" si="1366"/>
        <v>-0.15625</v>
      </c>
      <c r="CH368" s="185">
        <f t="shared" si="1366"/>
        <v>0.11538461538461542</v>
      </c>
      <c r="CI368" s="204">
        <f>CI366/CD366-1</f>
        <v>3.4970530451866377E-2</v>
      </c>
      <c r="CJ368" s="185">
        <f t="shared" si="1366"/>
        <v>-0.15000000000000002</v>
      </c>
      <c r="CK368" s="185">
        <f t="shared" si="1366"/>
        <v>-2.6315789473684181E-2</v>
      </c>
      <c r="CL368" s="185">
        <f t="shared" si="1366"/>
        <v>-0.11111111111111116</v>
      </c>
      <c r="CM368" s="185">
        <f t="shared" si="1366"/>
        <v>0.17241379310344818</v>
      </c>
      <c r="CN368" s="204">
        <f>CN366/CI366-1</f>
        <v>9.3963553530751476E-3</v>
      </c>
      <c r="CO368" s="185">
        <f t="shared" si="1366"/>
        <v>0.32352941176470584</v>
      </c>
      <c r="CP368" s="185">
        <f t="shared" si="1366"/>
        <v>5.4054054054053946E-2</v>
      </c>
      <c r="CQ368" s="204">
        <f>CQ366/CN366-1</f>
        <v>2.9204379858560392E-2</v>
      </c>
      <c r="CR368" s="204">
        <f t="shared" ref="CR368:CS368" si="1367">CR366/CQ366-1</f>
        <v>2.4801021586922767E-2</v>
      </c>
      <c r="CS368" s="204">
        <f t="shared" si="1367"/>
        <v>2.4479147040300298E-2</v>
      </c>
      <c r="CT368" s="204">
        <f t="shared" ref="CT368" si="1368">CT366/CS366-1</f>
        <v>2.5224694876190057E-2</v>
      </c>
      <c r="CU368" s="204">
        <f t="shared" ref="CU368" si="1369">CU366/CT366-1</f>
        <v>2.3842342330750332E-2</v>
      </c>
      <c r="CV368" s="204">
        <f t="shared" ref="CV368:CW368" si="1370">CV366/CU366-1</f>
        <v>2.3621716659277592E-2</v>
      </c>
      <c r="CW368" s="204">
        <f t="shared" si="1370"/>
        <v>2.3449198252120995E-2</v>
      </c>
      <c r="CX368" s="159"/>
      <c r="CY368" s="159"/>
      <c r="CZ368" s="159"/>
      <c r="DA368" s="159"/>
      <c r="DB368" s="159"/>
      <c r="DC368" s="159"/>
      <c r="DD368" s="159"/>
    </row>
    <row r="369" spans="1:149" hidden="1" outlineLevel="1">
      <c r="A369" s="226"/>
      <c r="B369" s="204"/>
      <c r="C369" s="204"/>
      <c r="D369" s="204"/>
      <c r="E369" s="204"/>
      <c r="F369" s="204"/>
      <c r="G369" s="204"/>
      <c r="H369" s="204"/>
      <c r="I369" s="204"/>
      <c r="J369" s="204"/>
      <c r="K369" s="204"/>
      <c r="L369" s="204"/>
      <c r="M369" s="204"/>
      <c r="N369" s="204"/>
      <c r="O369" s="204"/>
      <c r="P369" s="204"/>
      <c r="Q369" s="204"/>
      <c r="R369" s="204"/>
      <c r="S369" s="204"/>
      <c r="T369" s="204"/>
      <c r="U369" s="204"/>
      <c r="V369" s="204"/>
      <c r="W369" s="204"/>
      <c r="X369" s="204"/>
      <c r="Y369" s="204"/>
      <c r="Z369" s="204"/>
      <c r="AA369" s="204"/>
      <c r="AB369" s="204"/>
      <c r="AC369" s="204"/>
      <c r="AD369" s="204"/>
      <c r="AE369" s="204"/>
      <c r="AF369" s="204"/>
      <c r="AG369" s="204"/>
      <c r="AH369" s="204"/>
      <c r="AI369" s="204"/>
      <c r="AJ369" s="204"/>
      <c r="AK369" s="204"/>
      <c r="AL369" s="204"/>
      <c r="AM369" s="204"/>
      <c r="AN369" s="204"/>
      <c r="AO369" s="204"/>
      <c r="AP369" s="204"/>
      <c r="AQ369" s="204"/>
      <c r="AR369" s="204"/>
      <c r="AS369" s="204"/>
      <c r="AT369" s="204"/>
      <c r="AU369" s="204"/>
      <c r="AV369" s="204"/>
      <c r="AW369" s="204"/>
      <c r="AX369" s="204"/>
      <c r="AY369" s="204"/>
      <c r="AZ369" s="204"/>
      <c r="BA369" s="204"/>
      <c r="BB369" s="204"/>
      <c r="BC369" s="204"/>
      <c r="BD369" s="204"/>
      <c r="BE369" s="204"/>
      <c r="BF369" s="204"/>
      <c r="BG369" s="204"/>
      <c r="BH369" s="204"/>
      <c r="BI369" s="204"/>
      <c r="BJ369" s="204"/>
      <c r="BK369" s="204"/>
      <c r="BL369" s="204"/>
      <c r="BM369" s="204"/>
      <c r="BN369" s="204"/>
      <c r="BO369" s="204"/>
      <c r="BP369" s="204"/>
      <c r="BQ369" s="204"/>
      <c r="BR369" s="204"/>
      <c r="BS369" s="204"/>
      <c r="BT369" s="204"/>
      <c r="BU369" s="185"/>
      <c r="BV369" s="185"/>
      <c r="BW369" s="185"/>
      <c r="BX369" s="185"/>
      <c r="BY369" s="204"/>
      <c r="BZ369" s="185"/>
      <c r="CA369" s="185"/>
      <c r="CB369" s="185"/>
      <c r="CC369" s="185"/>
      <c r="CD369" s="204"/>
      <c r="CE369" s="185"/>
      <c r="CF369" s="185"/>
      <c r="CG369" s="185"/>
      <c r="CH369" s="185"/>
      <c r="CI369" s="204"/>
      <c r="CJ369" s="185"/>
      <c r="CK369" s="185"/>
      <c r="CL369" s="185"/>
      <c r="CM369" s="185"/>
      <c r="CN369" s="204"/>
      <c r="CO369" s="185"/>
      <c r="CP369" s="185"/>
      <c r="CQ369" s="204"/>
      <c r="CR369" s="204"/>
      <c r="CS369" s="204"/>
      <c r="CT369" s="204"/>
      <c r="CU369" s="204"/>
      <c r="CV369" s="204"/>
      <c r="CW369" s="204"/>
      <c r="CX369" s="159"/>
      <c r="CY369" s="159"/>
      <c r="CZ369" s="159"/>
      <c r="DA369" s="159"/>
      <c r="DB369" s="159"/>
      <c r="DC369" s="159"/>
      <c r="DD369" s="159"/>
    </row>
    <row r="370" spans="1:149" hidden="1" outlineLevel="1">
      <c r="A370" s="278" t="s">
        <v>706</v>
      </c>
      <c r="B370" s="204"/>
      <c r="C370" s="204"/>
      <c r="D370" s="204"/>
      <c r="E370" s="204"/>
      <c r="F370" s="204"/>
      <c r="G370" s="204"/>
      <c r="H370" s="204"/>
      <c r="I370" s="204"/>
      <c r="J370" s="204"/>
      <c r="K370" s="204"/>
      <c r="L370" s="204"/>
      <c r="M370" s="204"/>
      <c r="N370" s="204"/>
      <c r="O370" s="204"/>
      <c r="P370" s="204"/>
      <c r="Q370" s="204"/>
      <c r="R370" s="204"/>
      <c r="S370" s="204"/>
      <c r="T370" s="204"/>
      <c r="U370" s="204"/>
      <c r="V370" s="204"/>
      <c r="W370" s="204"/>
      <c r="X370" s="204"/>
      <c r="Y370" s="204"/>
      <c r="Z370" s="204"/>
      <c r="AA370" s="204"/>
      <c r="AB370" s="204"/>
      <c r="AC370" s="204"/>
      <c r="AD370" s="204"/>
      <c r="AE370" s="204"/>
      <c r="AF370" s="204"/>
      <c r="AG370" s="204"/>
      <c r="AH370" s="204"/>
      <c r="AI370" s="204"/>
      <c r="AJ370" s="204"/>
      <c r="AK370" s="204"/>
      <c r="AL370" s="204"/>
      <c r="AM370" s="204"/>
      <c r="AN370" s="204"/>
      <c r="AO370" s="204"/>
      <c r="AP370" s="204"/>
      <c r="AQ370" s="728">
        <f>'[3]Profit and Loss Highlights'!S43</f>
        <v>182</v>
      </c>
      <c r="AR370" s="728">
        <f>'[3]Profit and Loss Highlights'!T43</f>
        <v>209</v>
      </c>
      <c r="AS370" s="728">
        <f>'[3]Profit and Loss Highlights'!U43</f>
        <v>195</v>
      </c>
      <c r="AT370" s="728">
        <f>'[3]Profit and Loss Highlights'!V43</f>
        <v>206</v>
      </c>
      <c r="AU370" s="728">
        <f>SUM(AQ370:AT370)</f>
        <v>792</v>
      </c>
      <c r="AV370" s="728">
        <f>'[3]Profit and Loss Highlights'!W43</f>
        <v>203</v>
      </c>
      <c r="AW370" s="728">
        <f>'[3]Profit and Loss Highlights'!X43</f>
        <v>195</v>
      </c>
      <c r="AX370" s="728">
        <f>'[3]Profit and Loss Highlights'!Y43</f>
        <v>199</v>
      </c>
      <c r="AY370" s="728">
        <f>'[3]Profit and Loss Highlights'!Z43</f>
        <v>190</v>
      </c>
      <c r="AZ370" s="728">
        <f>SUM(AV370:AY370)</f>
        <v>787</v>
      </c>
      <c r="BA370" s="728">
        <f>'[3]Profit and Loss Highlights'!AA43</f>
        <v>200</v>
      </c>
      <c r="BB370" s="728">
        <f>'[3]Profit and Loss Highlights'!AB43</f>
        <v>196</v>
      </c>
      <c r="BC370" s="728">
        <f>'[3]Profit and Loss Highlights'!AC43</f>
        <v>208</v>
      </c>
      <c r="BD370" s="728">
        <f>'[3]Profit and Loss Highlights'!AD43</f>
        <v>280</v>
      </c>
      <c r="BE370" s="693">
        <f>SUM(BA370:BD370)</f>
        <v>884</v>
      </c>
      <c r="BF370" s="728">
        <f>'[3]Profit and Loss Highlights'!AE43</f>
        <v>151</v>
      </c>
      <c r="BG370" s="728">
        <f>'[3]Profit and Loss Highlights'!AF43</f>
        <v>145</v>
      </c>
      <c r="BH370" s="728">
        <f>'[3]Profit and Loss Highlights'!AG43</f>
        <v>129</v>
      </c>
      <c r="BI370" s="728">
        <f>'[3]Profit and Loss Highlights'!AH43</f>
        <v>105</v>
      </c>
      <c r="BJ370" s="693">
        <f>SUM(BF370:BI370)</f>
        <v>530</v>
      </c>
      <c r="BK370" s="728">
        <f>'[3]Profit and Loss Highlights'!AI43</f>
        <v>110</v>
      </c>
      <c r="BL370" s="728">
        <f>'[3]Profit and Loss Highlights'!AJ43</f>
        <v>128</v>
      </c>
      <c r="BM370" s="728">
        <f>'[3]Profit and Loss Highlights'!AK43</f>
        <v>107</v>
      </c>
      <c r="BN370" s="728">
        <f>'[3]Profit and Loss Highlights'!AL43</f>
        <v>128</v>
      </c>
      <c r="BO370" s="693">
        <f>SUM(BK370:BN370)</f>
        <v>473</v>
      </c>
      <c r="BP370" s="728">
        <f>'[3]Profit and Loss Highlights'!AM43</f>
        <v>118</v>
      </c>
      <c r="BQ370" s="728">
        <f>'[3]Profit and Loss Highlights'!AN43</f>
        <v>117</v>
      </c>
      <c r="BR370" s="728">
        <f>'[3]Profit and Loss Highlights'!AO43</f>
        <v>125</v>
      </c>
      <c r="BS370" s="728">
        <f>'[3]Profit and Loss Highlights'!AP43</f>
        <v>119</v>
      </c>
      <c r="BT370" s="693">
        <f>SUM(BP370:BS370)</f>
        <v>479</v>
      </c>
      <c r="BU370" s="718">
        <f>'[3]Profit and Loss Highlights'!AQ43</f>
        <v>132</v>
      </c>
      <c r="BV370" s="718">
        <f>'[3]Profit and Loss Highlights'!AR43</f>
        <v>134</v>
      </c>
      <c r="BW370" s="718">
        <f>'[3]Profit and Loss Highlights'!AS43</f>
        <v>129</v>
      </c>
      <c r="BX370" s="718">
        <f>'[3]Profit and Loss Highlights'!AT43</f>
        <v>123</v>
      </c>
      <c r="BY370" s="693">
        <f>SUM(BU370:BX370)</f>
        <v>518</v>
      </c>
      <c r="BZ370" s="718">
        <f>'[3]Profit and Loss Highlights'!AU43</f>
        <v>138</v>
      </c>
      <c r="CA370" s="718">
        <f>'[3]Profit and Loss Highlights'!AV43</f>
        <v>144</v>
      </c>
      <c r="CB370" s="718">
        <f>'[3]Profit and Loss Highlights'!AW43</f>
        <v>139</v>
      </c>
      <c r="CC370" s="718">
        <f>'[3]Profit and Loss Highlights'!AX43</f>
        <v>136</v>
      </c>
      <c r="CD370" s="691">
        <f>CD371*CD30</f>
        <v>1934.2</v>
      </c>
      <c r="CE370" s="718">
        <f>'[3]Profit and Loss Highlights'!AY43</f>
        <v>138</v>
      </c>
      <c r="CF370" s="718">
        <f>'[3]Profit and Loss Highlights'!AZ43</f>
        <v>139</v>
      </c>
      <c r="CG370" s="718">
        <f>'[3]Profit and Loss Highlights'!BA43</f>
        <v>149</v>
      </c>
      <c r="CH370" s="718">
        <f>'[3]Profit and Loss Highlights'!BB43</f>
        <v>164</v>
      </c>
      <c r="CI370" s="691">
        <f t="shared" ref="CI370:CW370" si="1371">CI371*CI30</f>
        <v>2001.84</v>
      </c>
      <c r="CJ370" s="718">
        <f>'[3]Profit and Loss Highlights'!BC43</f>
        <v>146</v>
      </c>
      <c r="CK370" s="718">
        <f>'[3]Profit and Loss Highlights'!BD43</f>
        <v>150</v>
      </c>
      <c r="CL370" s="718">
        <f>'[3]Profit and Loss Highlights'!BE43</f>
        <v>153</v>
      </c>
      <c r="CM370" s="718">
        <f>'[3]Profit and Loss Highlights'!BF43</f>
        <v>151</v>
      </c>
      <c r="CN370" s="691">
        <f t="shared" ref="CN370" si="1372">CN371*CN30</f>
        <v>2020.65</v>
      </c>
      <c r="CO370" s="718">
        <f>'[3]Profit and Loss Highlights'!BG43</f>
        <v>154</v>
      </c>
      <c r="CP370" s="718">
        <f>'[3]Profit and Loss Highlights'!BH43</f>
        <v>132</v>
      </c>
      <c r="CQ370" s="691">
        <f t="shared" si="1371"/>
        <v>2079.6618301611998</v>
      </c>
      <c r="CR370" s="691">
        <f t="shared" si="1371"/>
        <v>2131.2395681045268</v>
      </c>
      <c r="CS370" s="691">
        <f t="shared" si="1371"/>
        <v>2183.4104948702638</v>
      </c>
      <c r="CT370" s="691">
        <f t="shared" si="1371"/>
        <v>2238.4863583928372</v>
      </c>
      <c r="CU370" s="691">
        <f t="shared" si="1371"/>
        <v>2291.8571164523537</v>
      </c>
      <c r="CV370" s="691">
        <f t="shared" si="1371"/>
        <v>2345.9947158807404</v>
      </c>
      <c r="CW370" s="691">
        <f t="shared" si="1371"/>
        <v>2401.0064110718563</v>
      </c>
      <c r="CX370" s="159"/>
      <c r="CY370" s="159"/>
      <c r="CZ370" s="159"/>
      <c r="DA370" s="159"/>
      <c r="DB370" s="159"/>
      <c r="DC370" s="165"/>
      <c r="DD370" s="165"/>
    </row>
    <row r="371" spans="1:149" hidden="1" outlineLevel="1">
      <c r="A371" s="277" t="s">
        <v>63</v>
      </c>
      <c r="B371" s="204"/>
      <c r="C371" s="204"/>
      <c r="D371" s="204"/>
      <c r="E371" s="204"/>
      <c r="F371" s="204"/>
      <c r="G371" s="204"/>
      <c r="H371" s="204"/>
      <c r="I371" s="204"/>
      <c r="J371" s="204"/>
      <c r="K371" s="204"/>
      <c r="L371" s="204"/>
      <c r="M371" s="204"/>
      <c r="N371" s="204"/>
      <c r="O371" s="204"/>
      <c r="P371" s="204"/>
      <c r="Q371" s="204"/>
      <c r="R371" s="204"/>
      <c r="S371" s="204"/>
      <c r="T371" s="204"/>
      <c r="U371" s="204"/>
      <c r="V371" s="204"/>
      <c r="W371" s="204"/>
      <c r="X371" s="204"/>
      <c r="Y371" s="204"/>
      <c r="Z371" s="204"/>
      <c r="AA371" s="204"/>
      <c r="AB371" s="204"/>
      <c r="AC371" s="204"/>
      <c r="AD371" s="204"/>
      <c r="AE371" s="204"/>
      <c r="AF371" s="204"/>
      <c r="AG371" s="204">
        <f t="shared" ref="AG371:BL371" si="1373">AG370/AG30</f>
        <v>0</v>
      </c>
      <c r="AH371" s="204">
        <f t="shared" si="1373"/>
        <v>0</v>
      </c>
      <c r="AI371" s="204">
        <f t="shared" si="1373"/>
        <v>0</v>
      </c>
      <c r="AJ371" s="204">
        <f t="shared" si="1373"/>
        <v>0</v>
      </c>
      <c r="AK371" s="204">
        <f t="shared" si="1373"/>
        <v>0</v>
      </c>
      <c r="AL371" s="204">
        <f t="shared" si="1373"/>
        <v>0</v>
      </c>
      <c r="AM371" s="204">
        <f t="shared" si="1373"/>
        <v>0</v>
      </c>
      <c r="AN371" s="204">
        <f t="shared" si="1373"/>
        <v>0</v>
      </c>
      <c r="AO371" s="204">
        <f t="shared" si="1373"/>
        <v>0</v>
      </c>
      <c r="AP371" s="204">
        <f t="shared" si="1373"/>
        <v>0</v>
      </c>
      <c r="AQ371" s="204">
        <f t="shared" si="1373"/>
        <v>8.5046728971962623E-2</v>
      </c>
      <c r="AR371" s="204">
        <f t="shared" si="1373"/>
        <v>9.9429115128449097E-2</v>
      </c>
      <c r="AS371" s="204">
        <f t="shared" si="1373"/>
        <v>9.0445269016697583E-2</v>
      </c>
      <c r="AT371" s="204">
        <f t="shared" si="1373"/>
        <v>9.3044263775971095E-2</v>
      </c>
      <c r="AU371" s="204">
        <f t="shared" si="1373"/>
        <v>9.1964700418021364E-2</v>
      </c>
      <c r="AV371" s="204">
        <f t="shared" si="1373"/>
        <v>8.5473684210526313E-2</v>
      </c>
      <c r="AW371" s="204">
        <f t="shared" si="1373"/>
        <v>8.3511777301927201E-2</v>
      </c>
      <c r="AX371" s="204">
        <f t="shared" si="1373"/>
        <v>8.529789969995713E-2</v>
      </c>
      <c r="AY371" s="204">
        <f t="shared" si="1373"/>
        <v>7.9966329966329963E-2</v>
      </c>
      <c r="AZ371" s="204">
        <f t="shared" si="1373"/>
        <v>8.355451746469901E-2</v>
      </c>
      <c r="BA371" s="204">
        <f t="shared" si="1373"/>
        <v>8.9405453732677692E-2</v>
      </c>
      <c r="BB371" s="204">
        <f t="shared" si="1373"/>
        <v>8.7266251113089943E-2</v>
      </c>
      <c r="BC371" s="204">
        <f t="shared" si="1373"/>
        <v>9.187279151943463E-2</v>
      </c>
      <c r="BD371" s="204">
        <f t="shared" si="1373"/>
        <v>0.11451942740286299</v>
      </c>
      <c r="BE371" s="204">
        <f t="shared" si="1373"/>
        <v>9.6170583115752828E-2</v>
      </c>
      <c r="BF371" s="204">
        <f t="shared" si="1373"/>
        <v>6.7652329749103943E-2</v>
      </c>
      <c r="BG371" s="204">
        <f t="shared" si="1373"/>
        <v>6.5729827742520397E-2</v>
      </c>
      <c r="BH371" s="204">
        <f t="shared" si="1373"/>
        <v>5.6455142231947482E-2</v>
      </c>
      <c r="BI371" s="204">
        <f t="shared" si="1373"/>
        <v>4.0540540540540543E-2</v>
      </c>
      <c r="BJ371" s="204">
        <f t="shared" si="1373"/>
        <v>5.6909696123698054E-2</v>
      </c>
      <c r="BK371" s="204">
        <f t="shared" si="1373"/>
        <v>4.698846646732166E-2</v>
      </c>
      <c r="BL371" s="204">
        <f t="shared" si="1373"/>
        <v>5.9507205950720593E-2</v>
      </c>
      <c r="BM371" s="204">
        <f t="shared" ref="BM371:CC371" si="1374">BM370/BM30</f>
        <v>4.8350655219159509E-2</v>
      </c>
      <c r="BN371" s="204">
        <f t="shared" si="1374"/>
        <v>5.6612118531623179E-2</v>
      </c>
      <c r="BO371" s="204">
        <f t="shared" si="1374"/>
        <v>5.2754851661833593E-2</v>
      </c>
      <c r="BP371" s="204">
        <f t="shared" si="1374"/>
        <v>5.2678571428571429E-2</v>
      </c>
      <c r="BQ371" s="204">
        <f t="shared" si="1374"/>
        <v>5.1451187335092345E-2</v>
      </c>
      <c r="BR371" s="204">
        <f t="shared" si="1374"/>
        <v>5.5041831792162044E-2</v>
      </c>
      <c r="BS371" s="204">
        <f t="shared" si="1374"/>
        <v>4.8452768729641695E-2</v>
      </c>
      <c r="BT371" s="204">
        <f t="shared" si="1374"/>
        <v>5.1834217076074017E-2</v>
      </c>
      <c r="BU371" s="185">
        <f t="shared" si="1374"/>
        <v>5.4862842892768077E-2</v>
      </c>
      <c r="BV371" s="185">
        <f t="shared" si="1374"/>
        <v>5.5280528052805283E-2</v>
      </c>
      <c r="BW371" s="185">
        <f t="shared" si="1374"/>
        <v>5.3638253638253641E-2</v>
      </c>
      <c r="BX371" s="185">
        <f t="shared" si="1374"/>
        <v>4.8159749412685984E-2</v>
      </c>
      <c r="BY371" s="204">
        <f t="shared" si="1374"/>
        <v>5.2916538972315866E-2</v>
      </c>
      <c r="BZ371" s="185">
        <f t="shared" si="1374"/>
        <v>5.4631828978622329E-2</v>
      </c>
      <c r="CA371" s="185">
        <f t="shared" si="1374"/>
        <v>5.8299595141700404E-2</v>
      </c>
      <c r="CB371" s="185">
        <f t="shared" si="1374"/>
        <v>5.692055692055692E-2</v>
      </c>
      <c r="CC371" s="185">
        <f t="shared" si="1374"/>
        <v>4.9598832968636035E-2</v>
      </c>
      <c r="CD371" s="304">
        <v>0.19</v>
      </c>
      <c r="CE371" s="185">
        <f>CE370/CE30</f>
        <v>5.3015751056473298E-2</v>
      </c>
      <c r="CF371" s="185">
        <f>CF370/CF30</f>
        <v>5.3750966744006187E-2</v>
      </c>
      <c r="CG371" s="185">
        <f>CG370/CG30</f>
        <v>5.7841614906832296E-2</v>
      </c>
      <c r="CH371" s="185">
        <f>CH370/CH30</f>
        <v>5.9184409960303143E-2</v>
      </c>
      <c r="CI371" s="304">
        <f>CD371</f>
        <v>0.19</v>
      </c>
      <c r="CJ371" s="185">
        <f>CJ370/CJ30</f>
        <v>5.5981595092024543E-2</v>
      </c>
      <c r="CK371" s="185">
        <f>CK370/CK30</f>
        <v>5.8548009367681501E-2</v>
      </c>
      <c r="CL371" s="185">
        <f>CL370/CL30</f>
        <v>5.909617612977984E-2</v>
      </c>
      <c r="CM371" s="185">
        <f>CM370/CM30</f>
        <v>5.2503477051460364E-2</v>
      </c>
      <c r="CN371" s="304">
        <f>CI371</f>
        <v>0.19</v>
      </c>
      <c r="CO371" s="185">
        <f>CO370/CO30</f>
        <v>5.6389600878798976E-2</v>
      </c>
      <c r="CP371" s="185">
        <f>CP370/CP30</f>
        <v>4.9698795180722892E-2</v>
      </c>
      <c r="CQ371" s="304">
        <f>CN371</f>
        <v>0.19</v>
      </c>
      <c r="CR371" s="304">
        <f t="shared" ref="CR371:CW371" si="1375">CQ371</f>
        <v>0.19</v>
      </c>
      <c r="CS371" s="304">
        <f t="shared" si="1375"/>
        <v>0.19</v>
      </c>
      <c r="CT371" s="304">
        <f t="shared" si="1375"/>
        <v>0.19</v>
      </c>
      <c r="CU371" s="304">
        <f t="shared" si="1375"/>
        <v>0.19</v>
      </c>
      <c r="CV371" s="304">
        <f t="shared" si="1375"/>
        <v>0.19</v>
      </c>
      <c r="CW371" s="304">
        <f t="shared" si="1375"/>
        <v>0.19</v>
      </c>
      <c r="CX371" s="159"/>
      <c r="CY371" s="159"/>
      <c r="CZ371" s="159"/>
      <c r="DA371" s="159"/>
      <c r="DB371" s="159"/>
      <c r="DC371" s="165"/>
      <c r="DD371" s="165"/>
    </row>
    <row r="372" spans="1:149" hidden="1" outlineLevel="1">
      <c r="A372" s="277" t="s">
        <v>64</v>
      </c>
      <c r="B372" s="204"/>
      <c r="C372" s="204"/>
      <c r="D372" s="204"/>
      <c r="E372" s="204"/>
      <c r="F372" s="204"/>
      <c r="G372" s="204"/>
      <c r="H372" s="204"/>
      <c r="I372" s="204"/>
      <c r="J372" s="204"/>
      <c r="K372" s="204"/>
      <c r="L372" s="204"/>
      <c r="M372" s="204"/>
      <c r="N372" s="204"/>
      <c r="O372" s="204"/>
      <c r="P372" s="204"/>
      <c r="Q372" s="204"/>
      <c r="R372" s="204"/>
      <c r="S372" s="204"/>
      <c r="T372" s="204"/>
      <c r="U372" s="204"/>
      <c r="V372" s="204"/>
      <c r="W372" s="204"/>
      <c r="X372" s="204"/>
      <c r="Y372" s="204"/>
      <c r="Z372" s="204"/>
      <c r="AA372" s="204"/>
      <c r="AB372" s="204"/>
      <c r="AC372" s="204"/>
      <c r="AD372" s="204"/>
      <c r="AE372" s="204"/>
      <c r="AF372" s="204"/>
      <c r="AG372" s="170" t="e">
        <f t="shared" ref="AG372:BL372" si="1376">AG370/AB370-1</f>
        <v>#DIV/0!</v>
      </c>
      <c r="AH372" s="170" t="e">
        <f t="shared" si="1376"/>
        <v>#DIV/0!</v>
      </c>
      <c r="AI372" s="170" t="e">
        <f t="shared" si="1376"/>
        <v>#DIV/0!</v>
      </c>
      <c r="AJ372" s="170" t="e">
        <f t="shared" si="1376"/>
        <v>#DIV/0!</v>
      </c>
      <c r="AK372" s="170" t="e">
        <f t="shared" si="1376"/>
        <v>#DIV/0!</v>
      </c>
      <c r="AL372" s="170" t="e">
        <f t="shared" si="1376"/>
        <v>#DIV/0!</v>
      </c>
      <c r="AM372" s="170" t="e">
        <f t="shared" si="1376"/>
        <v>#DIV/0!</v>
      </c>
      <c r="AN372" s="170" t="e">
        <f t="shared" si="1376"/>
        <v>#DIV/0!</v>
      </c>
      <c r="AO372" s="170" t="e">
        <f t="shared" si="1376"/>
        <v>#DIV/0!</v>
      </c>
      <c r="AP372" s="170" t="e">
        <f t="shared" si="1376"/>
        <v>#DIV/0!</v>
      </c>
      <c r="AQ372" s="170" t="e">
        <f t="shared" si="1376"/>
        <v>#DIV/0!</v>
      </c>
      <c r="AR372" s="170" t="e">
        <f t="shared" si="1376"/>
        <v>#DIV/0!</v>
      </c>
      <c r="AS372" s="170" t="e">
        <f t="shared" si="1376"/>
        <v>#DIV/0!</v>
      </c>
      <c r="AT372" s="170" t="e">
        <f t="shared" si="1376"/>
        <v>#DIV/0!</v>
      </c>
      <c r="AU372" s="170" t="e">
        <f t="shared" si="1376"/>
        <v>#DIV/0!</v>
      </c>
      <c r="AV372" s="170">
        <f t="shared" si="1376"/>
        <v>0.11538461538461542</v>
      </c>
      <c r="AW372" s="170">
        <f t="shared" si="1376"/>
        <v>-6.6985645933014371E-2</v>
      </c>
      <c r="AX372" s="170">
        <f t="shared" si="1376"/>
        <v>2.051282051282044E-2</v>
      </c>
      <c r="AY372" s="170">
        <f t="shared" si="1376"/>
        <v>-7.7669902912621325E-2</v>
      </c>
      <c r="AZ372" s="170">
        <f t="shared" si="1376"/>
        <v>-6.3131313131312705E-3</v>
      </c>
      <c r="BA372" s="170">
        <f t="shared" si="1376"/>
        <v>-1.4778325123152691E-2</v>
      </c>
      <c r="BB372" s="170">
        <f t="shared" si="1376"/>
        <v>5.12820512820511E-3</v>
      </c>
      <c r="BC372" s="170">
        <f t="shared" si="1376"/>
        <v>4.5226130653266416E-2</v>
      </c>
      <c r="BD372" s="170">
        <f t="shared" si="1376"/>
        <v>0.47368421052631571</v>
      </c>
      <c r="BE372" s="170">
        <f t="shared" si="1376"/>
        <v>0.12325285895806859</v>
      </c>
      <c r="BF372" s="170">
        <f t="shared" si="1376"/>
        <v>-0.245</v>
      </c>
      <c r="BG372" s="170">
        <f t="shared" si="1376"/>
        <v>-0.26020408163265307</v>
      </c>
      <c r="BH372" s="170">
        <f t="shared" si="1376"/>
        <v>-0.37980769230769229</v>
      </c>
      <c r="BI372" s="170">
        <f t="shared" si="1376"/>
        <v>-0.625</v>
      </c>
      <c r="BJ372" s="170">
        <f t="shared" si="1376"/>
        <v>-0.40045248868778283</v>
      </c>
      <c r="BK372" s="170">
        <f t="shared" si="1376"/>
        <v>-0.27152317880794707</v>
      </c>
      <c r="BL372" s="170">
        <f t="shared" si="1376"/>
        <v>-0.11724137931034484</v>
      </c>
      <c r="BM372" s="170">
        <f t="shared" ref="BM372:CP372" si="1377">BM370/BH370-1</f>
        <v>-0.1705426356589147</v>
      </c>
      <c r="BN372" s="170">
        <f t="shared" si="1377"/>
        <v>0.21904761904761916</v>
      </c>
      <c r="BO372" s="170">
        <f t="shared" si="1377"/>
        <v>-0.10754716981132073</v>
      </c>
      <c r="BP372" s="170">
        <f t="shared" si="1377"/>
        <v>7.2727272727272751E-2</v>
      </c>
      <c r="BQ372" s="170">
        <f t="shared" si="1377"/>
        <v>-8.59375E-2</v>
      </c>
      <c r="BR372" s="170">
        <f t="shared" si="1377"/>
        <v>0.16822429906542058</v>
      </c>
      <c r="BS372" s="170">
        <f t="shared" si="1377"/>
        <v>-7.03125E-2</v>
      </c>
      <c r="BT372" s="170">
        <f t="shared" si="1377"/>
        <v>1.2684989429175397E-2</v>
      </c>
      <c r="BU372" s="170">
        <f t="shared" si="1377"/>
        <v>0.11864406779661008</v>
      </c>
      <c r="BV372" s="170">
        <f t="shared" si="1377"/>
        <v>0.14529914529914523</v>
      </c>
      <c r="BW372" s="170">
        <f t="shared" si="1377"/>
        <v>3.2000000000000028E-2</v>
      </c>
      <c r="BX372" s="170">
        <f t="shared" si="1377"/>
        <v>3.3613445378151363E-2</v>
      </c>
      <c r="BY372" s="170">
        <f t="shared" si="1377"/>
        <v>8.1419624217119013E-2</v>
      </c>
      <c r="BZ372" s="170">
        <f t="shared" si="1377"/>
        <v>4.5454545454545414E-2</v>
      </c>
      <c r="CA372" s="170">
        <f t="shared" si="1377"/>
        <v>7.4626865671641784E-2</v>
      </c>
      <c r="CB372" s="170">
        <f t="shared" si="1377"/>
        <v>7.7519379844961156E-2</v>
      </c>
      <c r="CC372" s="170">
        <f t="shared" si="1377"/>
        <v>0.10569105691056913</v>
      </c>
      <c r="CD372" s="170">
        <f t="shared" si="1377"/>
        <v>2.733976833976834</v>
      </c>
      <c r="CE372" s="170">
        <f t="shared" si="1377"/>
        <v>0</v>
      </c>
      <c r="CF372" s="170">
        <f t="shared" si="1377"/>
        <v>-3.472222222222221E-2</v>
      </c>
      <c r="CG372" s="170">
        <f t="shared" si="1377"/>
        <v>7.1942446043165464E-2</v>
      </c>
      <c r="CH372" s="170">
        <f t="shared" si="1377"/>
        <v>0.20588235294117641</v>
      </c>
      <c r="CI372" s="170">
        <f>CI370/CD370-1</f>
        <v>3.4970530451866377E-2</v>
      </c>
      <c r="CJ372" s="170">
        <f t="shared" si="1377"/>
        <v>5.7971014492753659E-2</v>
      </c>
      <c r="CK372" s="170">
        <f t="shared" si="1377"/>
        <v>7.9136690647481966E-2</v>
      </c>
      <c r="CL372" s="170">
        <f t="shared" si="1377"/>
        <v>2.6845637583892579E-2</v>
      </c>
      <c r="CM372" s="170">
        <f t="shared" si="1377"/>
        <v>-7.9268292682926789E-2</v>
      </c>
      <c r="CN372" s="170">
        <f>CN370/CI370-1</f>
        <v>9.3963553530751476E-3</v>
      </c>
      <c r="CO372" s="170">
        <f t="shared" si="1377"/>
        <v>5.4794520547945202E-2</v>
      </c>
      <c r="CP372" s="170">
        <f t="shared" si="1377"/>
        <v>-0.12</v>
      </c>
      <c r="CQ372" s="170">
        <f>CQ370/CN370-1</f>
        <v>2.920437985856017E-2</v>
      </c>
      <c r="CR372" s="170">
        <f t="shared" ref="CR372:CW372" si="1378">CR370/CQ370-1</f>
        <v>2.4801021586922767E-2</v>
      </c>
      <c r="CS372" s="170">
        <f t="shared" si="1378"/>
        <v>2.4479147040300298E-2</v>
      </c>
      <c r="CT372" s="170">
        <f t="shared" si="1378"/>
        <v>2.5224694876190057E-2</v>
      </c>
      <c r="CU372" s="170">
        <f t="shared" si="1378"/>
        <v>2.384234233075011E-2</v>
      </c>
      <c r="CV372" s="170">
        <f t="shared" si="1378"/>
        <v>2.3621716659277592E-2</v>
      </c>
      <c r="CW372" s="170">
        <f t="shared" si="1378"/>
        <v>2.3449198252120995E-2</v>
      </c>
      <c r="CX372" s="159"/>
      <c r="CY372" s="159"/>
      <c r="CZ372" s="159"/>
      <c r="DA372" s="159"/>
      <c r="DB372" s="159"/>
      <c r="DC372" s="165"/>
      <c r="DD372" s="165"/>
    </row>
    <row r="373" spans="1:149" collapsed="1">
      <c r="A373" s="226"/>
      <c r="B373" s="204"/>
      <c r="C373" s="204"/>
      <c r="D373" s="204"/>
      <c r="E373" s="204"/>
      <c r="F373" s="204"/>
      <c r="G373" s="204"/>
      <c r="H373" s="204"/>
      <c r="I373" s="204"/>
      <c r="J373" s="204"/>
      <c r="K373" s="204"/>
      <c r="L373" s="204"/>
      <c r="M373" s="204"/>
      <c r="N373" s="204"/>
      <c r="O373" s="204"/>
      <c r="P373" s="204"/>
      <c r="Q373" s="204"/>
      <c r="R373" s="204"/>
      <c r="S373" s="204"/>
      <c r="T373" s="204"/>
      <c r="U373" s="204"/>
      <c r="V373" s="204"/>
      <c r="W373" s="204"/>
      <c r="X373" s="204"/>
      <c r="Y373" s="204"/>
      <c r="Z373" s="204"/>
      <c r="AA373" s="204"/>
      <c r="AB373" s="204"/>
      <c r="AC373" s="204"/>
      <c r="AD373" s="204"/>
      <c r="AE373" s="204"/>
      <c r="AF373" s="204"/>
      <c r="AG373" s="204"/>
      <c r="AH373" s="204"/>
      <c r="AI373" s="204"/>
      <c r="AJ373" s="204"/>
      <c r="AK373" s="204"/>
      <c r="AL373" s="204"/>
      <c r="AM373" s="204"/>
      <c r="AN373" s="204"/>
      <c r="AO373" s="204"/>
      <c r="AP373" s="204"/>
      <c r="AQ373" s="204"/>
      <c r="AR373" s="204"/>
      <c r="AS373" s="204"/>
      <c r="AT373" s="204"/>
      <c r="AU373" s="204"/>
      <c r="AV373" s="204"/>
      <c r="AW373" s="204"/>
      <c r="AX373" s="204"/>
      <c r="AY373" s="204"/>
      <c r="AZ373" s="204"/>
      <c r="BA373" s="204"/>
      <c r="BB373" s="204"/>
      <c r="BC373" s="204"/>
      <c r="BD373" s="204"/>
      <c r="BE373" s="204"/>
      <c r="BF373" s="204"/>
      <c r="BG373" s="204"/>
      <c r="BH373" s="204"/>
      <c r="BI373" s="204"/>
      <c r="BJ373" s="204"/>
      <c r="BK373" s="204"/>
      <c r="BL373" s="204"/>
      <c r="BM373" s="204"/>
      <c r="BN373" s="204"/>
      <c r="BO373" s="204"/>
      <c r="BP373" s="204"/>
      <c r="BQ373" s="204"/>
      <c r="BR373" s="204"/>
      <c r="BS373" s="204"/>
      <c r="BT373" s="204"/>
      <c r="BU373" s="185"/>
      <c r="BV373" s="185"/>
      <c r="BW373" s="185"/>
      <c r="BX373" s="185"/>
      <c r="BY373" s="204"/>
      <c r="BZ373" s="185"/>
      <c r="CA373" s="185"/>
      <c r="CB373" s="185"/>
      <c r="CC373" s="185"/>
      <c r="CD373" s="204"/>
      <c r="CE373" s="185"/>
      <c r="CF373" s="185"/>
      <c r="CG373" s="185"/>
      <c r="CH373" s="185"/>
      <c r="CI373" s="204"/>
      <c r="CJ373" s="185"/>
      <c r="CK373" s="185"/>
      <c r="CL373" s="185"/>
      <c r="CM373" s="185"/>
      <c r="CN373" s="204"/>
      <c r="CO373" s="185"/>
      <c r="CP373" s="185"/>
      <c r="CQ373" s="204"/>
      <c r="CR373" s="204"/>
      <c r="CS373" s="204"/>
      <c r="CT373" s="204"/>
      <c r="CU373" s="204"/>
      <c r="CV373" s="204"/>
      <c r="CW373" s="204"/>
      <c r="CX373" s="159"/>
      <c r="CY373" s="159"/>
      <c r="CZ373" s="159"/>
      <c r="DA373" s="159"/>
      <c r="DB373" s="159"/>
      <c r="DC373" s="159"/>
      <c r="DD373" s="159"/>
      <c r="EF373" s="221"/>
      <c r="EG373" s="221"/>
      <c r="EH373" s="221"/>
      <c r="EI373" s="221"/>
      <c r="EJ373" s="221"/>
      <c r="EK373" s="221"/>
      <c r="EL373" s="221"/>
      <c r="EM373" s="221"/>
      <c r="EN373" s="221"/>
      <c r="EO373" s="221"/>
    </row>
    <row r="374" spans="1:149">
      <c r="A374" s="319" t="s">
        <v>73</v>
      </c>
      <c r="B374" s="320">
        <f>SUM(B361+B353+B345+B366+B332+B340+B357+B463+B349+B464)</f>
        <v>894</v>
      </c>
      <c r="C374" s="724"/>
      <c r="D374" s="724"/>
      <c r="E374" s="724"/>
      <c r="F374" s="724">
        <f t="shared" ref="F374:AK374" si="1379">SUM(F361+F353+F345+F366+F332+F340+F357+F463+F349+F464)</f>
        <v>0</v>
      </c>
      <c r="G374" s="724">
        <f t="shared" si="1379"/>
        <v>1192.2</v>
      </c>
      <c r="H374" s="724">
        <f t="shared" si="1379"/>
        <v>0</v>
      </c>
      <c r="I374" s="724">
        <f t="shared" si="1379"/>
        <v>0</v>
      </c>
      <c r="J374" s="724">
        <f t="shared" si="1379"/>
        <v>278</v>
      </c>
      <c r="K374" s="724">
        <f t="shared" si="1379"/>
        <v>281</v>
      </c>
      <c r="L374" s="724">
        <f t="shared" si="1379"/>
        <v>1165</v>
      </c>
      <c r="M374" s="724">
        <f t="shared" si="1379"/>
        <v>267</v>
      </c>
      <c r="N374" s="724">
        <f t="shared" si="1379"/>
        <v>253</v>
      </c>
      <c r="O374" s="724">
        <f t="shared" si="1379"/>
        <v>274</v>
      </c>
      <c r="P374" s="724">
        <f t="shared" si="1379"/>
        <v>279</v>
      </c>
      <c r="Q374" s="724">
        <f t="shared" si="1379"/>
        <v>1073</v>
      </c>
      <c r="R374" s="724">
        <f t="shared" si="1379"/>
        <v>285</v>
      </c>
      <c r="S374" s="724">
        <f t="shared" si="1379"/>
        <v>288</v>
      </c>
      <c r="T374" s="724">
        <f t="shared" si="1379"/>
        <v>309</v>
      </c>
      <c r="U374" s="724">
        <f t="shared" si="1379"/>
        <v>309</v>
      </c>
      <c r="V374" s="724">
        <f t="shared" si="1379"/>
        <v>1191</v>
      </c>
      <c r="W374" s="724">
        <f t="shared" si="1379"/>
        <v>1297.3825000000002</v>
      </c>
      <c r="X374" s="724">
        <f t="shared" si="1379"/>
        <v>1406.0575000000001</v>
      </c>
      <c r="Y374" s="724">
        <f t="shared" si="1379"/>
        <v>1450.184</v>
      </c>
      <c r="Z374" s="724">
        <f t="shared" si="1379"/>
        <v>1729.6279999999999</v>
      </c>
      <c r="AA374" s="724">
        <f t="shared" si="1379"/>
        <v>5883.2520000000004</v>
      </c>
      <c r="AB374" s="724">
        <f t="shared" si="1379"/>
        <v>1575.386</v>
      </c>
      <c r="AC374" s="724">
        <f t="shared" si="1379"/>
        <v>1469.14</v>
      </c>
      <c r="AD374" s="724">
        <f t="shared" si="1379"/>
        <v>1388.915</v>
      </c>
      <c r="AE374" s="724">
        <f t="shared" si="1379"/>
        <v>1496.136</v>
      </c>
      <c r="AF374" s="724">
        <f t="shared" si="1379"/>
        <v>5929.5770000000002</v>
      </c>
      <c r="AG374" s="724">
        <f t="shared" si="1379"/>
        <v>1378.046</v>
      </c>
      <c r="AH374" s="724">
        <f t="shared" si="1379"/>
        <v>1330.9660000000001</v>
      </c>
      <c r="AI374" s="724">
        <f t="shared" si="1379"/>
        <v>1312.04</v>
      </c>
      <c r="AJ374" s="724">
        <f t="shared" si="1379"/>
        <v>1523.0440000000001</v>
      </c>
      <c r="AK374" s="724">
        <f t="shared" si="1379"/>
        <v>5718.6694805769366</v>
      </c>
      <c r="AL374" s="724">
        <f t="shared" ref="AL374:BT374" si="1380">AL326+AL329+AL370+AL340+AL366+AL345+AL353+AL357+AL361</f>
        <v>351.5</v>
      </c>
      <c r="AM374" s="724">
        <f t="shared" si="1380"/>
        <v>350.1</v>
      </c>
      <c r="AN374" s="724">
        <f t="shared" si="1380"/>
        <v>366</v>
      </c>
      <c r="AO374" s="724">
        <f t="shared" si="1380"/>
        <v>379</v>
      </c>
      <c r="AP374" s="724">
        <f t="shared" si="1380"/>
        <v>1542</v>
      </c>
      <c r="AQ374" s="724">
        <f t="shared" si="1380"/>
        <v>639</v>
      </c>
      <c r="AR374" s="724">
        <f t="shared" si="1380"/>
        <v>767</v>
      </c>
      <c r="AS374" s="724">
        <f t="shared" si="1380"/>
        <v>670</v>
      </c>
      <c r="AT374" s="724">
        <f t="shared" si="1380"/>
        <v>705</v>
      </c>
      <c r="AU374" s="724">
        <f t="shared" si="1380"/>
        <v>2781</v>
      </c>
      <c r="AV374" s="724">
        <f t="shared" si="1380"/>
        <v>716</v>
      </c>
      <c r="AW374" s="724">
        <f t="shared" si="1380"/>
        <v>637</v>
      </c>
      <c r="AX374" s="724">
        <f t="shared" si="1380"/>
        <v>655</v>
      </c>
      <c r="AY374" s="724">
        <f t="shared" si="1380"/>
        <v>668</v>
      </c>
      <c r="AZ374" s="724">
        <f t="shared" si="1380"/>
        <v>2676</v>
      </c>
      <c r="BA374" s="724">
        <f t="shared" si="1380"/>
        <v>660</v>
      </c>
      <c r="BB374" s="724">
        <f t="shared" si="1380"/>
        <v>683</v>
      </c>
      <c r="BC374" s="724">
        <f t="shared" si="1380"/>
        <v>713</v>
      </c>
      <c r="BD374" s="724">
        <f t="shared" si="1380"/>
        <v>1009</v>
      </c>
      <c r="BE374" s="724">
        <f t="shared" si="1380"/>
        <v>3065</v>
      </c>
      <c r="BF374" s="724">
        <f t="shared" si="1380"/>
        <v>600</v>
      </c>
      <c r="BG374" s="724">
        <f t="shared" si="1380"/>
        <v>548</v>
      </c>
      <c r="BH374" s="724">
        <f t="shared" si="1380"/>
        <v>543</v>
      </c>
      <c r="BI374" s="724">
        <f t="shared" si="1380"/>
        <v>550</v>
      </c>
      <c r="BJ374" s="724">
        <f t="shared" si="1380"/>
        <v>2241</v>
      </c>
      <c r="BK374" s="724">
        <f t="shared" si="1380"/>
        <v>525</v>
      </c>
      <c r="BL374" s="724">
        <f t="shared" si="1380"/>
        <v>559</v>
      </c>
      <c r="BM374" s="724">
        <f t="shared" si="1380"/>
        <v>542</v>
      </c>
      <c r="BN374" s="724">
        <f t="shared" si="1380"/>
        <v>585</v>
      </c>
      <c r="BO374" s="724">
        <f t="shared" si="1380"/>
        <v>2211</v>
      </c>
      <c r="BP374" s="724">
        <f t="shared" si="1380"/>
        <v>559</v>
      </c>
      <c r="BQ374" s="724">
        <f t="shared" si="1380"/>
        <v>540</v>
      </c>
      <c r="BR374" s="724">
        <f t="shared" si="1380"/>
        <v>584</v>
      </c>
      <c r="BS374" s="724">
        <f t="shared" si="1380"/>
        <v>591</v>
      </c>
      <c r="BT374" s="724">
        <f t="shared" si="1380"/>
        <v>2274</v>
      </c>
      <c r="BU374" s="724">
        <f t="shared" ref="BU374:CH374" si="1381">BU432-BU453</f>
        <v>1479</v>
      </c>
      <c r="BV374" s="724">
        <f t="shared" si="1381"/>
        <v>1412</v>
      </c>
      <c r="BW374" s="724">
        <f t="shared" si="1381"/>
        <v>1401</v>
      </c>
      <c r="BX374" s="724">
        <f t="shared" si="1381"/>
        <v>1568</v>
      </c>
      <c r="BY374" s="724">
        <f t="shared" si="1381"/>
        <v>5860</v>
      </c>
      <c r="BZ374" s="724">
        <f t="shared" si="1381"/>
        <v>1554</v>
      </c>
      <c r="CA374" s="724">
        <f t="shared" si="1381"/>
        <v>1468</v>
      </c>
      <c r="CB374" s="724">
        <f t="shared" si="1381"/>
        <v>1513</v>
      </c>
      <c r="CC374" s="724">
        <f t="shared" si="1381"/>
        <v>1685</v>
      </c>
      <c r="CD374" s="724">
        <f t="shared" si="1381"/>
        <v>6220</v>
      </c>
      <c r="CE374" s="724">
        <f t="shared" si="1381"/>
        <v>1559</v>
      </c>
      <c r="CF374" s="724">
        <f t="shared" si="1381"/>
        <v>1540</v>
      </c>
      <c r="CG374" s="724">
        <f t="shared" si="1381"/>
        <v>1528</v>
      </c>
      <c r="CH374" s="724">
        <f t="shared" si="1381"/>
        <v>1787</v>
      </c>
      <c r="CI374" s="724">
        <f>CI326+CI329+CI336+CI340+CI345+CI349+CI353+CI357+CI361</f>
        <v>6414</v>
      </c>
      <c r="CJ374" s="724">
        <f>CJ432-CJ453</f>
        <v>1553</v>
      </c>
      <c r="CK374" s="724">
        <f>CK432-CK453</f>
        <v>1468</v>
      </c>
      <c r="CL374" s="724">
        <f>CL432-CL453</f>
        <v>1487</v>
      </c>
      <c r="CM374" s="724">
        <f>CM432-CM453</f>
        <v>1798</v>
      </c>
      <c r="CN374" s="724">
        <f>CN326+CN329+CN336+CN340+CN345+CN349+CN353+CN357+CN361</f>
        <v>6306</v>
      </c>
      <c r="CO374" s="724">
        <f>CO432-CO453</f>
        <v>1632</v>
      </c>
      <c r="CP374" s="724">
        <f>CP432-CP453</f>
        <v>1532</v>
      </c>
      <c r="CQ374" s="724">
        <f>CQ326+CQ329+CQ336+CQ340+CQ345+CQ349+CQ353+CQ357+CQ361</f>
        <v>6423.9953079919314</v>
      </c>
      <c r="CR374" s="724">
        <f t="shared" ref="CR374:CW374" si="1382">CR326+CR329+CR336+CR340+CR345+CR349+CR353+CR357+CR361</f>
        <v>6564.2757119795497</v>
      </c>
      <c r="CS374" s="724">
        <f t="shared" si="1382"/>
        <v>6708.9064009547628</v>
      </c>
      <c r="CT374" s="724">
        <f t="shared" si="1382"/>
        <v>6860.894427408899</v>
      </c>
      <c r="CU374" s="724">
        <f t="shared" si="1382"/>
        <v>7007.3506418680308</v>
      </c>
      <c r="CV374" s="724">
        <f t="shared" si="1382"/>
        <v>7155.2173515819841</v>
      </c>
      <c r="CW374" s="724">
        <f t="shared" si="1382"/>
        <v>7304.8047711586332</v>
      </c>
      <c r="CX374" s="159"/>
      <c r="CY374" s="159"/>
      <c r="CZ374" s="159"/>
      <c r="DA374" s="159"/>
      <c r="DB374" s="159"/>
      <c r="DC374" s="159"/>
      <c r="DD374" s="159"/>
      <c r="EP374" s="221"/>
    </row>
    <row r="375" spans="1:149">
      <c r="A375" s="235" t="s">
        <v>64</v>
      </c>
      <c r="B375" s="321"/>
      <c r="C375" s="321"/>
      <c r="D375" s="321"/>
      <c r="E375" s="321"/>
      <c r="F375" s="321"/>
      <c r="G375" s="217">
        <f t="shared" ref="G375:AY375" si="1383">G374/B374-1</f>
        <v>0.33355704697986588</v>
      </c>
      <c r="H375" s="217" t="e">
        <f t="shared" si="1383"/>
        <v>#DIV/0!</v>
      </c>
      <c r="I375" s="217" t="e">
        <f t="shared" si="1383"/>
        <v>#DIV/0!</v>
      </c>
      <c r="J375" s="217" t="e">
        <f t="shared" si="1383"/>
        <v>#DIV/0!</v>
      </c>
      <c r="K375" s="217" t="e">
        <f t="shared" si="1383"/>
        <v>#DIV/0!</v>
      </c>
      <c r="L375" s="217">
        <f t="shared" si="1383"/>
        <v>-2.2814963932226151E-2</v>
      </c>
      <c r="M375" s="217" t="e">
        <f t="shared" si="1383"/>
        <v>#DIV/0!</v>
      </c>
      <c r="N375" s="217" t="e">
        <f t="shared" si="1383"/>
        <v>#DIV/0!</v>
      </c>
      <c r="O375" s="217">
        <f t="shared" si="1383"/>
        <v>-1.4388489208633115E-2</v>
      </c>
      <c r="P375" s="217">
        <f t="shared" si="1383"/>
        <v>-7.1174377224199059E-3</v>
      </c>
      <c r="Q375" s="217">
        <f t="shared" si="1383"/>
        <v>-7.8969957081545084E-2</v>
      </c>
      <c r="R375" s="217">
        <f t="shared" si="1383"/>
        <v>6.7415730337078594E-2</v>
      </c>
      <c r="S375" s="217">
        <f t="shared" si="1383"/>
        <v>0.13833992094861669</v>
      </c>
      <c r="T375" s="217">
        <f t="shared" si="1383"/>
        <v>0.12773722627737216</v>
      </c>
      <c r="U375" s="217">
        <f t="shared" si="1383"/>
        <v>0.10752688172043001</v>
      </c>
      <c r="V375" s="217">
        <f t="shared" si="1383"/>
        <v>0.10997204100652369</v>
      </c>
      <c r="W375" s="217">
        <f t="shared" si="1383"/>
        <v>3.5522192982456149</v>
      </c>
      <c r="X375" s="217">
        <f t="shared" si="1383"/>
        <v>3.8821440972222225</v>
      </c>
      <c r="Y375" s="217">
        <f t="shared" si="1383"/>
        <v>3.6931521035598704</v>
      </c>
      <c r="Z375" s="217">
        <f t="shared" si="1383"/>
        <v>4.5975016181229771</v>
      </c>
      <c r="AA375" s="217">
        <f t="shared" si="1383"/>
        <v>3.9397581863979854</v>
      </c>
      <c r="AB375" s="217">
        <f t="shared" si="1383"/>
        <v>0.21428029127878623</v>
      </c>
      <c r="AC375" s="217">
        <f t="shared" si="1383"/>
        <v>4.4864808160405945E-2</v>
      </c>
      <c r="AD375" s="217">
        <f t="shared" si="1383"/>
        <v>-4.2249121490790187E-2</v>
      </c>
      <c r="AE375" s="217">
        <f t="shared" si="1383"/>
        <v>-0.13499550192295684</v>
      </c>
      <c r="AF375" s="217">
        <f t="shared" si="1383"/>
        <v>7.8740465307283181E-3</v>
      </c>
      <c r="AG375" s="217">
        <f t="shared" si="1383"/>
        <v>-0.12526453834171425</v>
      </c>
      <c r="AH375" s="217">
        <f t="shared" si="1383"/>
        <v>-9.4050941367058272E-2</v>
      </c>
      <c r="AI375" s="217">
        <f t="shared" si="1383"/>
        <v>-5.5348959439562528E-2</v>
      </c>
      <c r="AJ375" s="217">
        <f t="shared" si="1383"/>
        <v>1.7984996016404908E-2</v>
      </c>
      <c r="AK375" s="217">
        <f t="shared" si="1383"/>
        <v>-3.5568729341580951E-2</v>
      </c>
      <c r="AL375" s="217">
        <f t="shared" si="1383"/>
        <v>-0.74492868888266428</v>
      </c>
      <c r="AM375" s="217">
        <f t="shared" si="1383"/>
        <v>-0.73695796887373533</v>
      </c>
      <c r="AN375" s="217">
        <f t="shared" si="1383"/>
        <v>-0.72104509008871687</v>
      </c>
      <c r="AO375" s="217">
        <f t="shared" si="1383"/>
        <v>-0.75115623711462054</v>
      </c>
      <c r="AP375" s="217">
        <f t="shared" si="1383"/>
        <v>-0.73035685918948534</v>
      </c>
      <c r="AQ375" s="217">
        <f t="shared" si="1383"/>
        <v>0.81792318634423888</v>
      </c>
      <c r="AR375" s="217">
        <f t="shared" si="1383"/>
        <v>1.1908026278206227</v>
      </c>
      <c r="AS375" s="217">
        <f t="shared" si="1383"/>
        <v>0.8306010928961749</v>
      </c>
      <c r="AT375" s="217">
        <f t="shared" si="1383"/>
        <v>0.86015831134564635</v>
      </c>
      <c r="AU375" s="217">
        <f t="shared" si="1383"/>
        <v>0.80350194552529186</v>
      </c>
      <c r="AV375" s="217">
        <f t="shared" si="1383"/>
        <v>0.12050078247261342</v>
      </c>
      <c r="AW375" s="217">
        <f t="shared" si="1383"/>
        <v>-0.16949152542372881</v>
      </c>
      <c r="AX375" s="217">
        <f t="shared" si="1383"/>
        <v>-2.2388059701492491E-2</v>
      </c>
      <c r="AY375" s="217">
        <f t="shared" si="1383"/>
        <v>-5.2482269503546064E-2</v>
      </c>
      <c r="AZ375" s="217">
        <f t="shared" ref="AZ375:CP375" si="1384">AZ374/AU374-1</f>
        <v>-3.7756202804746453E-2</v>
      </c>
      <c r="BA375" s="217">
        <f t="shared" si="1384"/>
        <v>-7.8212290502793325E-2</v>
      </c>
      <c r="BB375" s="217">
        <f t="shared" si="1384"/>
        <v>7.2213500784929385E-2</v>
      </c>
      <c r="BC375" s="217">
        <f t="shared" si="1384"/>
        <v>8.8549618320610701E-2</v>
      </c>
      <c r="BD375" s="217">
        <f t="shared" si="1384"/>
        <v>0.51047904191616778</v>
      </c>
      <c r="BE375" s="217">
        <f t="shared" si="1384"/>
        <v>0.14536621823617346</v>
      </c>
      <c r="BF375" s="217">
        <f t="shared" si="1384"/>
        <v>-9.0909090909090939E-2</v>
      </c>
      <c r="BG375" s="217">
        <f t="shared" si="1384"/>
        <v>-0.19765739385065884</v>
      </c>
      <c r="BH375" s="217">
        <f t="shared" si="1384"/>
        <v>-0.23842917251051898</v>
      </c>
      <c r="BI375" s="217">
        <f t="shared" si="1384"/>
        <v>-0.45490584737363726</v>
      </c>
      <c r="BJ375" s="217">
        <f t="shared" si="1384"/>
        <v>-0.26884176182707997</v>
      </c>
      <c r="BK375" s="217">
        <f t="shared" si="1384"/>
        <v>-0.125</v>
      </c>
      <c r="BL375" s="217">
        <f t="shared" si="1384"/>
        <v>2.007299270072993E-2</v>
      </c>
      <c r="BM375" s="217">
        <f t="shared" si="1384"/>
        <v>-1.8416206261510082E-3</v>
      </c>
      <c r="BN375" s="217">
        <f t="shared" si="1384"/>
        <v>6.3636363636363713E-2</v>
      </c>
      <c r="BO375" s="217">
        <f t="shared" si="1384"/>
        <v>-1.338688085676043E-2</v>
      </c>
      <c r="BP375" s="217">
        <f t="shared" si="1384"/>
        <v>6.4761904761904798E-2</v>
      </c>
      <c r="BQ375" s="217">
        <f t="shared" si="1384"/>
        <v>-3.3989266547406083E-2</v>
      </c>
      <c r="BR375" s="217">
        <f t="shared" si="1384"/>
        <v>7.7490774907749138E-2</v>
      </c>
      <c r="BS375" s="217">
        <f t="shared" si="1384"/>
        <v>1.025641025641022E-2</v>
      </c>
      <c r="BT375" s="217">
        <f t="shared" si="1384"/>
        <v>2.8493894165535938E-2</v>
      </c>
      <c r="BU375" s="212">
        <f t="shared" si="1384"/>
        <v>1.6457960644007157</v>
      </c>
      <c r="BV375" s="212">
        <f t="shared" si="1384"/>
        <v>1.6148148148148147</v>
      </c>
      <c r="BW375" s="212">
        <f t="shared" si="1384"/>
        <v>1.3989726027397262</v>
      </c>
      <c r="BX375" s="212">
        <f t="shared" si="1384"/>
        <v>1.6531302876480543</v>
      </c>
      <c r="BY375" s="217">
        <f t="shared" si="1384"/>
        <v>1.5769569041336853</v>
      </c>
      <c r="BZ375" s="212">
        <f t="shared" si="1384"/>
        <v>5.070993914807298E-2</v>
      </c>
      <c r="CA375" s="212">
        <f t="shared" si="1384"/>
        <v>3.966005665722383E-2</v>
      </c>
      <c r="CB375" s="212">
        <f t="shared" si="1384"/>
        <v>7.994289793005005E-2</v>
      </c>
      <c r="CC375" s="212">
        <f t="shared" si="1384"/>
        <v>7.461734693877542E-2</v>
      </c>
      <c r="CD375" s="217">
        <f>CD374/BY374-1</f>
        <v>6.1433447098976135E-2</v>
      </c>
      <c r="CE375" s="212">
        <f t="shared" si="1384"/>
        <v>3.2175032175032481E-3</v>
      </c>
      <c r="CF375" s="212">
        <f t="shared" si="1384"/>
        <v>4.9046321525885617E-2</v>
      </c>
      <c r="CG375" s="212">
        <f t="shared" si="1384"/>
        <v>9.9140779907469501E-3</v>
      </c>
      <c r="CH375" s="212">
        <f t="shared" si="1384"/>
        <v>6.0534124629080033E-2</v>
      </c>
      <c r="CI375" s="217">
        <f>CI374/CD374-1</f>
        <v>3.1189710610932453E-2</v>
      </c>
      <c r="CJ375" s="212">
        <f t="shared" si="1384"/>
        <v>-3.8486209108402614E-3</v>
      </c>
      <c r="CK375" s="212">
        <f t="shared" si="1384"/>
        <v>-4.6753246753246769E-2</v>
      </c>
      <c r="CL375" s="212">
        <f t="shared" si="1384"/>
        <v>-2.6832460732984287E-2</v>
      </c>
      <c r="CM375" s="212">
        <f t="shared" si="1384"/>
        <v>6.1555679910465511E-3</v>
      </c>
      <c r="CN375" s="217">
        <f>CN374/CI374-1</f>
        <v>-1.6838166510757757E-2</v>
      </c>
      <c r="CO375" s="212">
        <f t="shared" si="1384"/>
        <v>5.0869285254346419E-2</v>
      </c>
      <c r="CP375" s="212">
        <f t="shared" si="1384"/>
        <v>4.3596730245231585E-2</v>
      </c>
      <c r="CQ375" s="217">
        <f>CQ374/CN374-1</f>
        <v>1.8711593401828708E-2</v>
      </c>
      <c r="CR375" s="217">
        <f t="shared" ref="CR375:CS375" si="1385">CR374/CQ374-1</f>
        <v>2.1836940605031163E-2</v>
      </c>
      <c r="CS375" s="217">
        <f t="shared" si="1385"/>
        <v>2.2033000337153386E-2</v>
      </c>
      <c r="CT375" s="217">
        <f t="shared" ref="CT375" si="1386">CT374/CS374-1</f>
        <v>2.2654664914166345E-2</v>
      </c>
      <c r="CU375" s="217">
        <f t="shared" ref="CU375" si="1387">CU374/CT374-1</f>
        <v>2.134651917599073E-2</v>
      </c>
      <c r="CV375" s="217">
        <f t="shared" ref="CV375:CW375" si="1388">CV374/CU374-1</f>
        <v>2.1101656998647744E-2</v>
      </c>
      <c r="CW375" s="217">
        <f t="shared" si="1388"/>
        <v>2.090606227965619E-2</v>
      </c>
      <c r="CX375" s="159"/>
      <c r="CY375" s="159"/>
      <c r="CZ375" s="159"/>
      <c r="DA375" s="159"/>
      <c r="DB375" s="159"/>
      <c r="DC375" s="159"/>
      <c r="DD375" s="159"/>
      <c r="ED375" s="221"/>
      <c r="EE375" s="221"/>
      <c r="EF375" s="221"/>
      <c r="EK375" s="221"/>
      <c r="EL375" s="221"/>
      <c r="EM375" s="221"/>
      <c r="EN375" s="221"/>
      <c r="EO375" s="221"/>
      <c r="EQ375" s="221"/>
      <c r="ER375" s="221"/>
      <c r="ES375" s="221"/>
    </row>
    <row r="376" spans="1:149">
      <c r="A376" s="226"/>
      <c r="B376" s="322"/>
      <c r="C376" s="322"/>
      <c r="D376" s="322"/>
      <c r="E376" s="322"/>
      <c r="F376" s="322"/>
      <c r="G376" s="322"/>
      <c r="H376" s="322"/>
      <c r="I376" s="322"/>
      <c r="J376" s="322"/>
      <c r="K376" s="322"/>
      <c r="AF376" s="159"/>
      <c r="AG376" s="159"/>
      <c r="AH376" s="159"/>
      <c r="AI376" s="159"/>
      <c r="AJ376" s="159"/>
      <c r="AK376" s="159"/>
      <c r="AL376" s="159"/>
      <c r="AM376" s="159"/>
      <c r="AN376" s="159"/>
      <c r="AO376" s="159"/>
      <c r="AP376" s="159"/>
      <c r="AQ376" s="159"/>
      <c r="AR376" s="159"/>
      <c r="AS376" s="159"/>
      <c r="AT376" s="159"/>
      <c r="AU376" s="159"/>
      <c r="AV376" s="204"/>
      <c r="AW376" s="204"/>
      <c r="AX376" s="204"/>
      <c r="AY376" s="204"/>
      <c r="AZ376" s="204"/>
      <c r="BA376" s="204"/>
      <c r="BB376" s="204"/>
      <c r="BC376" s="204"/>
      <c r="BD376" s="204"/>
      <c r="BE376" s="204"/>
      <c r="BF376" s="204"/>
      <c r="BG376" s="204"/>
      <c r="BH376" s="204"/>
      <c r="BI376" s="204"/>
      <c r="BJ376" s="159"/>
      <c r="BK376" s="204"/>
      <c r="BL376" s="204"/>
      <c r="BM376" s="204"/>
      <c r="BN376" s="204"/>
      <c r="BO376" s="159"/>
      <c r="BP376" s="204"/>
      <c r="BQ376" s="204"/>
      <c r="BR376" s="204"/>
      <c r="BS376" s="204"/>
      <c r="BT376" s="159"/>
      <c r="BU376" s="185"/>
      <c r="BV376" s="185"/>
      <c r="BW376" s="185"/>
      <c r="BX376" s="185"/>
      <c r="BY376" s="159"/>
      <c r="BZ376" s="185"/>
      <c r="CA376" s="185"/>
      <c r="CB376" s="185"/>
      <c r="CC376" s="185"/>
      <c r="CD376" s="159"/>
      <c r="CE376" s="185"/>
      <c r="CF376" s="185"/>
      <c r="CG376" s="185"/>
      <c r="CH376" s="185"/>
      <c r="CI376" s="159"/>
      <c r="CJ376" s="185"/>
      <c r="CK376" s="185"/>
      <c r="CL376" s="185"/>
      <c r="CM376" s="185"/>
      <c r="CN376" s="159"/>
      <c r="CO376" s="185"/>
      <c r="CP376" s="185"/>
      <c r="CQ376" s="159"/>
      <c r="CR376" s="159"/>
      <c r="CS376" s="159"/>
      <c r="CT376" s="159"/>
      <c r="CU376" s="159"/>
      <c r="CV376" s="159"/>
      <c r="CW376" s="159"/>
      <c r="CX376" s="159"/>
      <c r="CY376" s="159"/>
      <c r="CZ376" s="159"/>
      <c r="DA376" s="159"/>
      <c r="DB376" s="159"/>
      <c r="DC376" s="159"/>
      <c r="DD376" s="159"/>
      <c r="ED376" s="221"/>
      <c r="EE376" s="221"/>
      <c r="EF376" s="221"/>
      <c r="EK376" s="221"/>
      <c r="EL376" s="221"/>
      <c r="EM376" s="221"/>
      <c r="EN376" s="221"/>
      <c r="EO376" s="221"/>
      <c r="EQ376" s="221"/>
      <c r="ER376" s="221"/>
      <c r="ES376" s="221"/>
    </row>
    <row r="378" spans="1:149">
      <c r="BI378" s="163">
        <v>1992</v>
      </c>
      <c r="BJ378" s="160">
        <f>BI378/BI379-1</f>
        <v>0</v>
      </c>
    </row>
    <row r="379" spans="1:149">
      <c r="A379" s="225"/>
      <c r="B379" s="232"/>
      <c r="C379" s="232"/>
      <c r="D379" s="232"/>
      <c r="E379" s="232"/>
      <c r="F379" s="232"/>
      <c r="G379" s="232"/>
      <c r="H379" s="232"/>
      <c r="I379" s="232"/>
      <c r="J379" s="232"/>
      <c r="K379" s="232"/>
      <c r="L379" s="232"/>
      <c r="M379" s="232"/>
      <c r="N379" s="232"/>
      <c r="O379" s="232"/>
      <c r="P379" s="232"/>
      <c r="Q379" s="232"/>
      <c r="R379" s="232"/>
      <c r="S379" s="232"/>
      <c r="T379" s="232"/>
      <c r="U379" s="232"/>
      <c r="V379" s="232"/>
      <c r="W379" s="232"/>
      <c r="X379" s="232"/>
      <c r="Y379" s="232"/>
      <c r="Z379" s="232"/>
      <c r="AA379" s="232"/>
      <c r="AB379" s="232"/>
      <c r="AC379" s="232"/>
      <c r="AD379" s="232"/>
      <c r="AE379" s="232"/>
      <c r="AL379" s="323"/>
      <c r="AM379" s="323"/>
      <c r="AN379" s="323"/>
      <c r="AO379" s="323"/>
      <c r="AP379" s="323"/>
      <c r="AQ379" s="323"/>
      <c r="AR379" s="324">
        <f>AR387/AM387-1</f>
        <v>4.1067761806981018E-3</v>
      </c>
      <c r="AS379" s="324">
        <f>AS387/AN387-1</f>
        <v>-9.2402464065708401E-3</v>
      </c>
      <c r="AT379" s="324">
        <f>AT387/AO387-1</f>
        <v>-9.8911968348169843E-4</v>
      </c>
      <c r="AU379" s="323"/>
      <c r="AV379" s="323"/>
      <c r="AW379" s="323"/>
      <c r="AX379" s="323"/>
      <c r="AY379" s="323"/>
      <c r="AZ379" s="323"/>
      <c r="BA379" s="323"/>
      <c r="BB379" s="323"/>
      <c r="BC379" s="323"/>
      <c r="BD379" s="323"/>
      <c r="BE379" s="323"/>
      <c r="BF379" s="323"/>
      <c r="BG379" s="323"/>
      <c r="BH379" s="323">
        <f>BH382+BH391+BH394</f>
        <v>1940</v>
      </c>
      <c r="BI379" s="323">
        <f>BI382+BI391+BI394</f>
        <v>1992</v>
      </c>
      <c r="BJ379" s="323">
        <f>BJ382+BJ391+BJ394</f>
        <v>7797</v>
      </c>
      <c r="BK379" s="323"/>
      <c r="BL379" s="323"/>
      <c r="BM379" s="323"/>
      <c r="BN379" s="323"/>
      <c r="BO379" s="323">
        <f>BO382+BO391+BO394</f>
        <v>7725</v>
      </c>
      <c r="BP379" s="323"/>
      <c r="BQ379" s="323"/>
      <c r="BR379" s="323"/>
      <c r="BS379" s="323"/>
      <c r="BT379" s="323">
        <f>BT382+BT391+BT394</f>
        <v>7884</v>
      </c>
      <c r="BU379" s="325"/>
      <c r="BV379" s="325"/>
      <c r="BW379" s="325"/>
      <c r="BX379" s="325"/>
      <c r="BY379" s="323">
        <f>BY382+BY391+BY394</f>
        <v>7196</v>
      </c>
      <c r="BZ379" s="325"/>
      <c r="CA379" s="325"/>
      <c r="CB379" s="325"/>
      <c r="CC379" s="325"/>
      <c r="CD379" s="323"/>
      <c r="CE379" s="325"/>
      <c r="CF379" s="325"/>
      <c r="CG379" s="325"/>
      <c r="CH379" s="325"/>
      <c r="CI379" s="323"/>
      <c r="CJ379" s="325"/>
      <c r="CK379" s="325"/>
      <c r="CL379" s="325"/>
      <c r="CM379" s="325"/>
      <c r="CN379" s="323"/>
      <c r="CO379" s="325"/>
      <c r="CP379" s="325"/>
      <c r="CQ379" s="323"/>
      <c r="CR379" s="323"/>
      <c r="CS379" s="323"/>
      <c r="CT379" s="323"/>
      <c r="CU379" s="323"/>
      <c r="CV379" s="323"/>
      <c r="CW379" s="323"/>
      <c r="CX379" s="159"/>
      <c r="CY379" s="159"/>
      <c r="CZ379" s="159"/>
      <c r="DA379" s="159"/>
      <c r="DB379" s="159"/>
      <c r="DC379" s="159"/>
      <c r="DD379" s="159"/>
      <c r="DO379" s="221"/>
      <c r="DP379" s="221"/>
      <c r="DQ379" s="221"/>
      <c r="DR379" s="221"/>
      <c r="DS379" s="221"/>
      <c r="EP379" s="221"/>
    </row>
    <row r="380" spans="1:149">
      <c r="A380" s="225"/>
      <c r="B380" s="232"/>
      <c r="C380" s="232"/>
      <c r="D380" s="232"/>
      <c r="E380" s="232"/>
      <c r="F380" s="232"/>
      <c r="G380" s="232"/>
      <c r="H380" s="232"/>
      <c r="I380" s="232"/>
      <c r="J380" s="232"/>
      <c r="K380" s="232"/>
      <c r="L380" s="232"/>
      <c r="M380" s="232"/>
      <c r="N380" s="232"/>
      <c r="O380" s="232"/>
      <c r="P380" s="232"/>
      <c r="Q380" s="232"/>
      <c r="R380" s="232"/>
      <c r="S380" s="232"/>
      <c r="T380" s="232"/>
      <c r="U380" s="232"/>
      <c r="V380" s="232"/>
      <c r="W380" s="232"/>
      <c r="X380" s="232"/>
      <c r="Y380" s="232"/>
      <c r="Z380" s="232"/>
      <c r="AA380" s="232"/>
      <c r="AB380" s="232"/>
      <c r="AC380" s="232"/>
      <c r="AD380" s="232"/>
      <c r="AE380" s="232"/>
      <c r="AF380" s="323"/>
      <c r="AG380" s="323"/>
      <c r="AH380" s="323"/>
      <c r="AI380" s="323"/>
      <c r="AJ380" s="323"/>
      <c r="AK380" s="323"/>
      <c r="AL380" s="323"/>
      <c r="AM380" s="323"/>
      <c r="AN380" s="323"/>
      <c r="AO380" s="323"/>
      <c r="AP380" s="323"/>
      <c r="AQ380" s="323"/>
      <c r="AR380" s="324"/>
      <c r="AS380" s="324"/>
      <c r="AT380" s="324"/>
      <c r="AU380" s="323"/>
      <c r="AV380" s="323"/>
      <c r="AW380" s="323"/>
      <c r="AX380" s="323"/>
      <c r="AY380" s="323"/>
      <c r="AZ380" s="323"/>
      <c r="BA380" s="323"/>
      <c r="BB380" s="323"/>
      <c r="BC380" s="323"/>
      <c r="BD380" s="323"/>
      <c r="BE380" s="323"/>
      <c r="BF380" s="323"/>
      <c r="BG380" s="323"/>
      <c r="BH380" s="323"/>
      <c r="BI380" s="323"/>
      <c r="BJ380" s="323"/>
      <c r="BK380" s="323"/>
      <c r="BL380" s="323"/>
      <c r="BM380" s="323"/>
      <c r="BN380" s="323"/>
      <c r="BO380" s="323"/>
      <c r="BP380" s="323"/>
      <c r="BQ380" s="323"/>
      <c r="BR380" s="323"/>
      <c r="BS380" s="323"/>
      <c r="BT380" s="323"/>
      <c r="BU380" s="325"/>
      <c r="BV380" s="325">
        <f>BV382/BQ382-1</f>
        <v>-0.11736810906935391</v>
      </c>
      <c r="BW380" s="325">
        <f>BW382/BR382-1</f>
        <v>-0.12186588921282804</v>
      </c>
      <c r="BX380" s="325">
        <f>BX382/BS382-1</f>
        <v>-8.5424133811230596E-2</v>
      </c>
      <c r="BY380" s="323"/>
      <c r="BZ380" s="325"/>
      <c r="CA380" s="325"/>
      <c r="CB380" s="325"/>
      <c r="CC380" s="325"/>
      <c r="CD380" s="323"/>
      <c r="CE380" s="325"/>
      <c r="CF380" s="325"/>
      <c r="CG380" s="325"/>
      <c r="CH380" s="325"/>
      <c r="CI380" s="323"/>
      <c r="CJ380" s="325"/>
      <c r="CK380" s="325"/>
      <c r="CL380" s="325"/>
      <c r="CM380" s="325"/>
      <c r="CN380" s="323"/>
      <c r="CO380" s="325"/>
      <c r="CP380" s="325"/>
      <c r="CQ380" s="323"/>
      <c r="CR380" s="323"/>
      <c r="CS380" s="323"/>
      <c r="CT380" s="323"/>
      <c r="CU380" s="323"/>
      <c r="CV380" s="323"/>
      <c r="CW380" s="323"/>
      <c r="CX380" s="159"/>
      <c r="CY380" s="159"/>
      <c r="CZ380" s="159"/>
      <c r="DA380" s="159"/>
      <c r="DB380" s="159"/>
      <c r="DC380" s="159"/>
      <c r="DD380" s="159"/>
      <c r="DO380" s="221"/>
      <c r="DP380" s="221"/>
      <c r="DQ380" s="221"/>
      <c r="DR380" s="221"/>
      <c r="DS380" s="221"/>
      <c r="EP380" s="221"/>
    </row>
    <row r="381" spans="1:149">
      <c r="A381" s="326" t="s">
        <v>548</v>
      </c>
      <c r="B381" s="327">
        <f>B$2</f>
        <v>2007</v>
      </c>
      <c r="C381" s="327" t="str">
        <f t="shared" ref="C381:CP381" si="1389">C$2</f>
        <v>Q1</v>
      </c>
      <c r="D381" s="327" t="str">
        <f t="shared" si="1389"/>
        <v>Q2</v>
      </c>
      <c r="E381" s="327" t="str">
        <f t="shared" si="1389"/>
        <v>Q3</v>
      </c>
      <c r="F381" s="327" t="str">
        <f t="shared" si="1389"/>
        <v>Q4</v>
      </c>
      <c r="G381" s="327">
        <f t="shared" si="1389"/>
        <v>2008</v>
      </c>
      <c r="H381" s="327" t="str">
        <f t="shared" si="1389"/>
        <v>Q1</v>
      </c>
      <c r="I381" s="327" t="str">
        <f t="shared" si="1389"/>
        <v>Q2</v>
      </c>
      <c r="J381" s="327" t="str">
        <f t="shared" si="1389"/>
        <v>Q3</v>
      </c>
      <c r="K381" s="327" t="str">
        <f t="shared" si="1389"/>
        <v>Q4</v>
      </c>
      <c r="L381" s="327">
        <f t="shared" si="1389"/>
        <v>2009</v>
      </c>
      <c r="M381" s="327" t="str">
        <f t="shared" si="1389"/>
        <v>Q1</v>
      </c>
      <c r="N381" s="327" t="str">
        <f t="shared" si="1389"/>
        <v>Q2</v>
      </c>
      <c r="O381" s="327" t="str">
        <f t="shared" si="1389"/>
        <v>Q3</v>
      </c>
      <c r="P381" s="327" t="str">
        <f t="shared" si="1389"/>
        <v>Q4</v>
      </c>
      <c r="Q381" s="327">
        <f t="shared" si="1389"/>
        <v>2010</v>
      </c>
      <c r="R381" s="327" t="str">
        <f t="shared" si="1389"/>
        <v>Q1</v>
      </c>
      <c r="S381" s="327" t="str">
        <f t="shared" si="1389"/>
        <v>Q2</v>
      </c>
      <c r="T381" s="327" t="str">
        <f t="shared" si="1389"/>
        <v>Q3</v>
      </c>
      <c r="U381" s="327" t="str">
        <f t="shared" si="1389"/>
        <v>Q4</v>
      </c>
      <c r="V381" s="327">
        <f t="shared" si="1389"/>
        <v>2011</v>
      </c>
      <c r="W381" s="327" t="str">
        <f t="shared" si="1389"/>
        <v>Q1</v>
      </c>
      <c r="X381" s="327" t="str">
        <f t="shared" si="1389"/>
        <v>Q2</v>
      </c>
      <c r="Y381" s="327" t="str">
        <f t="shared" si="1389"/>
        <v>Q3</v>
      </c>
      <c r="Z381" s="327" t="str">
        <f t="shared" si="1389"/>
        <v>Q4</v>
      </c>
      <c r="AA381" s="327">
        <f t="shared" si="1389"/>
        <v>2012</v>
      </c>
      <c r="AB381" s="327" t="str">
        <f t="shared" si="1389"/>
        <v>Q1</v>
      </c>
      <c r="AC381" s="327" t="str">
        <f t="shared" si="1389"/>
        <v>Q2</v>
      </c>
      <c r="AD381" s="327" t="str">
        <f t="shared" si="1389"/>
        <v>Q3</v>
      </c>
      <c r="AE381" s="327" t="str">
        <f t="shared" si="1389"/>
        <v>Q4</v>
      </c>
      <c r="AF381" s="327">
        <f t="shared" si="1389"/>
        <v>2013</v>
      </c>
      <c r="AG381" s="327" t="str">
        <f t="shared" si="1389"/>
        <v>Q1</v>
      </c>
      <c r="AH381" s="327" t="str">
        <f t="shared" si="1389"/>
        <v>Q2</v>
      </c>
      <c r="AI381" s="327" t="str">
        <f t="shared" si="1389"/>
        <v>Q3</v>
      </c>
      <c r="AJ381" s="327" t="str">
        <f t="shared" si="1389"/>
        <v>Q4</v>
      </c>
      <c r="AK381" s="327">
        <f t="shared" si="1389"/>
        <v>2014</v>
      </c>
      <c r="AL381" s="327" t="str">
        <f t="shared" si="1389"/>
        <v>Q1</v>
      </c>
      <c r="AM381" s="327" t="str">
        <f t="shared" si="1389"/>
        <v>Q2</v>
      </c>
      <c r="AN381" s="327" t="str">
        <f t="shared" si="1389"/>
        <v>Q3</v>
      </c>
      <c r="AO381" s="327" t="str">
        <f t="shared" si="1389"/>
        <v>Q4</v>
      </c>
      <c r="AP381" s="327">
        <f t="shared" si="1389"/>
        <v>2015</v>
      </c>
      <c r="AQ381" s="327" t="str">
        <f t="shared" si="1389"/>
        <v>Q1</v>
      </c>
      <c r="AR381" s="327" t="str">
        <f t="shared" si="1389"/>
        <v>Q2</v>
      </c>
      <c r="AS381" s="327" t="str">
        <f t="shared" si="1389"/>
        <v>Q3</v>
      </c>
      <c r="AT381" s="327" t="str">
        <f t="shared" si="1389"/>
        <v>Q4</v>
      </c>
      <c r="AU381" s="327">
        <f t="shared" si="1389"/>
        <v>2016</v>
      </c>
      <c r="AV381" s="327" t="str">
        <f t="shared" si="1389"/>
        <v>Q1</v>
      </c>
      <c r="AW381" s="327" t="str">
        <f t="shared" si="1389"/>
        <v>Q2</v>
      </c>
      <c r="AX381" s="327" t="str">
        <f t="shared" si="1389"/>
        <v>Q3</v>
      </c>
      <c r="AY381" s="327" t="str">
        <f t="shared" si="1389"/>
        <v>Q4</v>
      </c>
      <c r="AZ381" s="327">
        <f t="shared" si="1389"/>
        <v>2017</v>
      </c>
      <c r="BA381" s="327" t="str">
        <f t="shared" si="1389"/>
        <v>Q1</v>
      </c>
      <c r="BB381" s="327" t="str">
        <f t="shared" si="1389"/>
        <v>Q2</v>
      </c>
      <c r="BC381" s="327" t="str">
        <f t="shared" si="1389"/>
        <v>Q3</v>
      </c>
      <c r="BD381" s="327" t="str">
        <f t="shared" si="1389"/>
        <v>Q4</v>
      </c>
      <c r="BE381" s="327">
        <f t="shared" si="1389"/>
        <v>2018</v>
      </c>
      <c r="BF381" s="327" t="str">
        <f t="shared" si="1389"/>
        <v>Q1</v>
      </c>
      <c r="BG381" s="327" t="str">
        <f t="shared" si="1389"/>
        <v>Q2</v>
      </c>
      <c r="BH381" s="327" t="str">
        <f t="shared" si="1389"/>
        <v>Q3</v>
      </c>
      <c r="BI381" s="327" t="str">
        <f t="shared" si="1389"/>
        <v>Q4</v>
      </c>
      <c r="BJ381" s="327">
        <f t="shared" si="1389"/>
        <v>2019</v>
      </c>
      <c r="BK381" s="327" t="str">
        <f t="shared" si="1389"/>
        <v>Q1</v>
      </c>
      <c r="BL381" s="327" t="str">
        <f t="shared" si="1389"/>
        <v>Q2</v>
      </c>
      <c r="BM381" s="327" t="str">
        <f t="shared" si="1389"/>
        <v>Q3</v>
      </c>
      <c r="BN381" s="327" t="str">
        <f t="shared" si="1389"/>
        <v>Q4</v>
      </c>
      <c r="BO381" s="327">
        <f t="shared" si="1389"/>
        <v>2020</v>
      </c>
      <c r="BP381" s="327" t="str">
        <f t="shared" si="1389"/>
        <v>Q1</v>
      </c>
      <c r="BQ381" s="327" t="str">
        <f t="shared" si="1389"/>
        <v>Q2</v>
      </c>
      <c r="BR381" s="327" t="str">
        <f t="shared" si="1389"/>
        <v>Q3</v>
      </c>
      <c r="BS381" s="327" t="str">
        <f t="shared" si="1389"/>
        <v>Q4</v>
      </c>
      <c r="BT381" s="327">
        <f t="shared" si="1389"/>
        <v>2021</v>
      </c>
      <c r="BU381" s="327" t="str">
        <f t="shared" si="1389"/>
        <v>Q1</v>
      </c>
      <c r="BV381" s="327" t="str">
        <f t="shared" si="1389"/>
        <v>Q2</v>
      </c>
      <c r="BW381" s="327" t="str">
        <f t="shared" si="1389"/>
        <v>Q3</v>
      </c>
      <c r="BX381" s="327" t="str">
        <f t="shared" si="1389"/>
        <v>Q4</v>
      </c>
      <c r="BY381" s="327">
        <f t="shared" si="1389"/>
        <v>2022</v>
      </c>
      <c r="BZ381" s="327" t="str">
        <f t="shared" si="1389"/>
        <v>Q1</v>
      </c>
      <c r="CA381" s="327" t="str">
        <f t="shared" si="1389"/>
        <v>Q2</v>
      </c>
      <c r="CB381" s="327" t="str">
        <f t="shared" si="1389"/>
        <v>Q3</v>
      </c>
      <c r="CC381" s="327" t="str">
        <f t="shared" si="1389"/>
        <v>Q4</v>
      </c>
      <c r="CD381" s="327">
        <f t="shared" si="1389"/>
        <v>2023</v>
      </c>
      <c r="CE381" s="327" t="str">
        <f t="shared" si="1389"/>
        <v>Q1</v>
      </c>
      <c r="CF381" s="327" t="str">
        <f t="shared" si="1389"/>
        <v>Q2</v>
      </c>
      <c r="CG381" s="327" t="str">
        <f t="shared" si="1389"/>
        <v>Q3</v>
      </c>
      <c r="CH381" s="327" t="str">
        <f t="shared" si="1389"/>
        <v>Q4</v>
      </c>
      <c r="CI381" s="327">
        <f>CI$2</f>
        <v>2024</v>
      </c>
      <c r="CJ381" s="327" t="str">
        <f t="shared" si="1389"/>
        <v>Q1</v>
      </c>
      <c r="CK381" s="327" t="str">
        <f t="shared" si="1389"/>
        <v>Q2</v>
      </c>
      <c r="CL381" s="327" t="str">
        <f t="shared" si="1389"/>
        <v>Q3</v>
      </c>
      <c r="CM381" s="327" t="str">
        <f t="shared" si="1389"/>
        <v>Q4</v>
      </c>
      <c r="CN381" s="327">
        <f>CN$2</f>
        <v>2025</v>
      </c>
      <c r="CO381" s="327" t="str">
        <f t="shared" si="1389"/>
        <v>Q1</v>
      </c>
      <c r="CP381" s="327" t="str">
        <f t="shared" si="1389"/>
        <v>Q2</v>
      </c>
      <c r="CQ381" s="327">
        <f>CQ$2</f>
        <v>2026</v>
      </c>
      <c r="CR381" s="327">
        <f>CR$2</f>
        <v>2027</v>
      </c>
      <c r="CS381" s="327">
        <f>CS$2</f>
        <v>2028</v>
      </c>
      <c r="CT381" s="327">
        <f t="shared" ref="CT381:CW381" si="1390">CT$2</f>
        <v>2029</v>
      </c>
      <c r="CU381" s="327">
        <f t="shared" si="1390"/>
        <v>2030</v>
      </c>
      <c r="CV381" s="327">
        <f t="shared" si="1390"/>
        <v>2031</v>
      </c>
      <c r="CW381" s="327">
        <f t="shared" si="1390"/>
        <v>2032</v>
      </c>
      <c r="CX381" s="159"/>
      <c r="CY381" s="159"/>
      <c r="CZ381" s="159"/>
      <c r="DA381" s="159"/>
      <c r="DB381" s="159"/>
      <c r="DC381" s="165"/>
      <c r="DD381" s="165"/>
      <c r="ED381" s="221"/>
      <c r="EE381" s="221"/>
      <c r="EQ381" s="221"/>
      <c r="ER381" s="221"/>
      <c r="ES381" s="221"/>
    </row>
    <row r="382" spans="1:149" s="221" customFormat="1" hidden="1" outlineLevel="1">
      <c r="A382" s="278" t="s">
        <v>513</v>
      </c>
      <c r="B382" s="231">
        <f>B227</f>
        <v>5789.5680000000002</v>
      </c>
      <c r="C382" s="231"/>
      <c r="D382" s="231"/>
      <c r="E382" s="231"/>
      <c r="F382" s="231">
        <f t="shared" ref="F382:AK382" si="1391">F227</f>
        <v>1978.569</v>
      </c>
      <c r="G382" s="231">
        <f t="shared" si="1391"/>
        <v>7383.2835600000008</v>
      </c>
      <c r="H382" s="231">
        <f t="shared" si="1391"/>
        <v>1890.0083999999999</v>
      </c>
      <c r="I382" s="231">
        <f t="shared" si="1391"/>
        <v>1905.8592000000001</v>
      </c>
      <c r="J382" s="231">
        <f t="shared" si="1391"/>
        <v>1945.2552000000003</v>
      </c>
      <c r="K382" s="231">
        <f t="shared" si="1391"/>
        <v>1982.145</v>
      </c>
      <c r="L382" s="231">
        <f t="shared" si="1391"/>
        <v>7869.1459499999992</v>
      </c>
      <c r="M382" s="231">
        <f t="shared" si="1391"/>
        <v>1948.596</v>
      </c>
      <c r="N382" s="231">
        <f t="shared" si="1391"/>
        <v>1963.143</v>
      </c>
      <c r="O382" s="231">
        <f t="shared" si="1391"/>
        <v>1947.4559999999999</v>
      </c>
      <c r="P382" s="231">
        <f t="shared" si="1391"/>
        <v>2019.7065</v>
      </c>
      <c r="Q382" s="231">
        <f t="shared" si="1391"/>
        <v>8030.97</v>
      </c>
      <c r="R382" s="231">
        <f t="shared" si="1391"/>
        <v>1962.2294999999999</v>
      </c>
      <c r="S382" s="231">
        <f t="shared" si="1391"/>
        <v>1950.6735000000001</v>
      </c>
      <c r="T382" s="231">
        <f t="shared" si="1391"/>
        <v>2061.288</v>
      </c>
      <c r="U382" s="231">
        <f t="shared" si="1391"/>
        <v>2059.587</v>
      </c>
      <c r="V382" s="231">
        <f t="shared" si="1391"/>
        <v>8326.9680000000008</v>
      </c>
      <c r="W382" s="231">
        <f t="shared" si="1391"/>
        <v>2028</v>
      </c>
      <c r="X382" s="231">
        <f t="shared" si="1391"/>
        <v>2096.25</v>
      </c>
      <c r="Y382" s="231">
        <f t="shared" si="1391"/>
        <v>1982.88</v>
      </c>
      <c r="Z382" s="231">
        <f t="shared" si="1391"/>
        <v>2017.5119999999999</v>
      </c>
      <c r="AA382" s="231">
        <f t="shared" si="1391"/>
        <v>8124.6419999999998</v>
      </c>
      <c r="AB382" s="231">
        <f t="shared" si="1391"/>
        <v>1947.663</v>
      </c>
      <c r="AC382" s="231">
        <f t="shared" si="1391"/>
        <v>1932.6210000000001</v>
      </c>
      <c r="AD382" s="231">
        <f t="shared" si="1391"/>
        <v>1950.192</v>
      </c>
      <c r="AE382" s="231">
        <f t="shared" si="1391"/>
        <v>1918.7909999999999</v>
      </c>
      <c r="AF382" s="231">
        <f t="shared" si="1391"/>
        <v>7749.2670000000007</v>
      </c>
      <c r="AG382" s="231">
        <f t="shared" si="1391"/>
        <v>1835.64</v>
      </c>
      <c r="AH382" s="231">
        <f t="shared" si="1391"/>
        <v>1875.2249999999999</v>
      </c>
      <c r="AI382" s="231">
        <f t="shared" si="1391"/>
        <v>1861.2</v>
      </c>
      <c r="AJ382" s="231">
        <f t="shared" si="1391"/>
        <v>1899.6</v>
      </c>
      <c r="AK382" s="231">
        <f t="shared" si="1391"/>
        <v>7471.6649999999991</v>
      </c>
      <c r="AL382" s="231">
        <f t="shared" ref="AL382:BD382" si="1392">AL227</f>
        <v>1884.4559999999999</v>
      </c>
      <c r="AM382" s="231">
        <f t="shared" si="1392"/>
        <v>1870.2945</v>
      </c>
      <c r="AN382" s="231">
        <f t="shared" si="1392"/>
        <v>1938.8565000000001</v>
      </c>
      <c r="AO382" s="231">
        <f t="shared" si="1392"/>
        <v>1935.3</v>
      </c>
      <c r="AP382" s="231">
        <f t="shared" si="1392"/>
        <v>7628.9070000000002</v>
      </c>
      <c r="AQ382" s="231">
        <f t="shared" si="1392"/>
        <v>1875.3</v>
      </c>
      <c r="AR382" s="231">
        <f t="shared" si="1392"/>
        <v>1805.0864999999999</v>
      </c>
      <c r="AS382" s="231">
        <f t="shared" si="1392"/>
        <v>1822.125</v>
      </c>
      <c r="AT382" s="231">
        <f t="shared" si="1392"/>
        <v>1920.36</v>
      </c>
      <c r="AU382" s="231">
        <f t="shared" si="1392"/>
        <v>7422.8714999999993</v>
      </c>
      <c r="AV382" s="231">
        <f t="shared" si="1392"/>
        <v>1942</v>
      </c>
      <c r="AW382" s="231">
        <f t="shared" si="1392"/>
        <v>1928</v>
      </c>
      <c r="AX382" s="231">
        <f t="shared" si="1392"/>
        <v>1944</v>
      </c>
      <c r="AY382" s="231">
        <f t="shared" si="1392"/>
        <v>1897</v>
      </c>
      <c r="AZ382" s="231">
        <f t="shared" si="1392"/>
        <v>7711</v>
      </c>
      <c r="BA382" s="231">
        <f t="shared" si="1392"/>
        <v>1834</v>
      </c>
      <c r="BB382" s="231">
        <f t="shared" si="1392"/>
        <v>1863</v>
      </c>
      <c r="BC382" s="231">
        <f t="shared" si="1392"/>
        <v>1876</v>
      </c>
      <c r="BD382" s="231">
        <f t="shared" si="1392"/>
        <v>1898</v>
      </c>
      <c r="BE382" s="231">
        <f>SUM(BA382:BD382)</f>
        <v>7471</v>
      </c>
      <c r="BF382" s="231">
        <f>BF386+BF387</f>
        <v>1797</v>
      </c>
      <c r="BG382" s="231">
        <f>BG386+BG387</f>
        <v>1763</v>
      </c>
      <c r="BH382" s="231">
        <f>BH386+BH387</f>
        <v>1773</v>
      </c>
      <c r="BI382" s="231">
        <f>BI386+BI387</f>
        <v>1772</v>
      </c>
      <c r="BJ382" s="231">
        <f>SUM(BF382:BI382)</f>
        <v>7105</v>
      </c>
      <c r="BK382" s="231">
        <f>BK386+BK387</f>
        <v>1698</v>
      </c>
      <c r="BL382" s="231">
        <f>BL386+BL387</f>
        <v>1660</v>
      </c>
      <c r="BM382" s="231">
        <f>BM386+BM387</f>
        <v>1673</v>
      </c>
      <c r="BN382" s="231">
        <f>BN386+BN387</f>
        <v>1663</v>
      </c>
      <c r="BO382" s="231">
        <f>SUM(BK382:BN382)</f>
        <v>6694</v>
      </c>
      <c r="BP382" s="231">
        <f>BP386+BP387</f>
        <v>1664</v>
      </c>
      <c r="BQ382" s="231">
        <f>BQ386+BQ387</f>
        <v>1687</v>
      </c>
      <c r="BR382" s="231">
        <f>BR386+BR387</f>
        <v>1715</v>
      </c>
      <c r="BS382" s="231">
        <f>BS386+BS387</f>
        <v>1674</v>
      </c>
      <c r="BT382" s="231">
        <f>SUM(BP382:BS382)</f>
        <v>6740</v>
      </c>
      <c r="BU382" s="209">
        <f>BU386+BU387</f>
        <v>1442</v>
      </c>
      <c r="BV382" s="209">
        <f>BV386+BV387</f>
        <v>1489</v>
      </c>
      <c r="BW382" s="209">
        <f>BW386+BW387</f>
        <v>1506</v>
      </c>
      <c r="BX382" s="209">
        <f>BX386+BX387</f>
        <v>1531</v>
      </c>
      <c r="BY382" s="231">
        <f>SUM(BU382:BX382)</f>
        <v>5968</v>
      </c>
      <c r="BZ382" s="209">
        <f>BZ386+BZ387</f>
        <v>1525</v>
      </c>
      <c r="CA382" s="209">
        <f>CA386+CA387</f>
        <v>1522</v>
      </c>
      <c r="CB382" s="209">
        <f>CB386+CB387</f>
        <v>1534</v>
      </c>
      <c r="CC382" s="209">
        <f>CC386+CC387</f>
        <v>1558</v>
      </c>
      <c r="CD382" s="231">
        <f>CD230+CD231</f>
        <v>6183.7324000000008</v>
      </c>
      <c r="CE382" s="209">
        <f>CE386+CE387</f>
        <v>1560</v>
      </c>
      <c r="CF382" s="209">
        <f>CF386+CF387</f>
        <v>1564</v>
      </c>
      <c r="CG382" s="209">
        <f>CG386+CG387</f>
        <v>1566</v>
      </c>
      <c r="CH382" s="209">
        <f>CH386+CH387</f>
        <v>1575</v>
      </c>
      <c r="CI382" s="231">
        <f t="shared" ref="CI382:CW382" si="1393">CI230+CI231</f>
        <v>6172.4915500000006</v>
      </c>
      <c r="CJ382" s="209">
        <f>CJ386+CJ387</f>
        <v>1519</v>
      </c>
      <c r="CK382" s="209">
        <f>CK386+CK387</f>
        <v>1543</v>
      </c>
      <c r="CL382" s="209">
        <f>CL386+CL387</f>
        <v>1568</v>
      </c>
      <c r="CM382" s="209">
        <f>CM386+CM387</f>
        <v>1600</v>
      </c>
      <c r="CN382" s="231">
        <f t="shared" ref="CN382" si="1394">CN230+CN231</f>
        <v>6129.7104999999992</v>
      </c>
      <c r="CO382" s="209">
        <f>CO386+CO387</f>
        <v>1572</v>
      </c>
      <c r="CP382" s="209">
        <f>CP386+CP387</f>
        <v>1584</v>
      </c>
      <c r="CQ382" s="231">
        <f t="shared" si="1393"/>
        <v>6301.2407761425002</v>
      </c>
      <c r="CR382" s="231">
        <f t="shared" si="1393"/>
        <v>6381.0090667799705</v>
      </c>
      <c r="CS382" s="231">
        <f t="shared" si="1393"/>
        <v>6500.8828344426383</v>
      </c>
      <c r="CT382" s="231">
        <f t="shared" si="1393"/>
        <v>6618.2182754362475</v>
      </c>
      <c r="CU382" s="231">
        <f t="shared" si="1393"/>
        <v>6733.3568128173429</v>
      </c>
      <c r="CV382" s="231">
        <f t="shared" si="1393"/>
        <v>6846.6102238388012</v>
      </c>
      <c r="CW382" s="231">
        <f t="shared" si="1393"/>
        <v>6958.263367624244</v>
      </c>
      <c r="CX382" s="165"/>
      <c r="CY382" s="165"/>
      <c r="CZ382" s="165"/>
      <c r="DA382" s="165"/>
      <c r="DB382" s="165"/>
      <c r="DC382" s="159"/>
      <c r="DD382" s="159"/>
      <c r="DO382" s="163"/>
      <c r="DP382" s="163"/>
      <c r="DQ382" s="163"/>
      <c r="DR382" s="163"/>
      <c r="DS382" s="163"/>
      <c r="ED382" s="163"/>
      <c r="EE382" s="163"/>
      <c r="EF382" s="163"/>
      <c r="EG382" s="163"/>
      <c r="EH382" s="163"/>
      <c r="EI382" s="163"/>
      <c r="EJ382" s="163"/>
      <c r="EK382" s="163"/>
      <c r="EL382" s="163"/>
      <c r="EM382" s="163"/>
      <c r="EN382" s="163"/>
      <c r="EO382" s="163"/>
      <c r="EQ382" s="163"/>
      <c r="ER382" s="163"/>
      <c r="ES382" s="163"/>
    </row>
    <row r="383" spans="1:149" hidden="1" outlineLevel="1">
      <c r="A383" s="328" t="s">
        <v>64</v>
      </c>
      <c r="B383" s="260"/>
      <c r="C383" s="260"/>
      <c r="D383" s="260"/>
      <c r="E383" s="260"/>
      <c r="F383" s="260"/>
      <c r="G383" s="260">
        <f t="shared" ref="G383:AL383" si="1395">G382/B382-1</f>
        <v>0.27527365772368517</v>
      </c>
      <c r="H383" s="260" t="e">
        <f t="shared" si="1395"/>
        <v>#DIV/0!</v>
      </c>
      <c r="I383" s="260" t="e">
        <f t="shared" si="1395"/>
        <v>#DIV/0!</v>
      </c>
      <c r="J383" s="260" t="e">
        <f t="shared" si="1395"/>
        <v>#DIV/0!</v>
      </c>
      <c r="K383" s="260">
        <f t="shared" si="1395"/>
        <v>1.8073668393672193E-3</v>
      </c>
      <c r="L383" s="260">
        <f t="shared" si="1395"/>
        <v>6.5805733458786264E-2</v>
      </c>
      <c r="M383" s="260">
        <f t="shared" si="1395"/>
        <v>3.0998592387208479E-2</v>
      </c>
      <c r="N383" s="260">
        <f t="shared" si="1395"/>
        <v>3.005667994781569E-2</v>
      </c>
      <c r="O383" s="260">
        <f t="shared" si="1395"/>
        <v>1.1313682646880707E-3</v>
      </c>
      <c r="P383" s="260">
        <f t="shared" si="1395"/>
        <v>1.8949925459539996E-2</v>
      </c>
      <c r="Q383" s="260">
        <f t="shared" si="1395"/>
        <v>2.056437268138378E-2</v>
      </c>
      <c r="R383" s="260">
        <f t="shared" si="1395"/>
        <v>6.996575996255805E-3</v>
      </c>
      <c r="S383" s="260">
        <f t="shared" si="1395"/>
        <v>-6.3518042241446082E-3</v>
      </c>
      <c r="T383" s="260">
        <f t="shared" si="1395"/>
        <v>5.8451641526175768E-2</v>
      </c>
      <c r="U383" s="260">
        <f t="shared" si="1395"/>
        <v>1.9745690772396962E-2</v>
      </c>
      <c r="V383" s="260">
        <f t="shared" si="1395"/>
        <v>3.6857067079070216E-2</v>
      </c>
      <c r="W383" s="260">
        <f t="shared" si="1395"/>
        <v>3.3518250541030081E-2</v>
      </c>
      <c r="X383" s="260">
        <f t="shared" si="1395"/>
        <v>7.4628839731508023E-2</v>
      </c>
      <c r="Y383" s="260">
        <f t="shared" si="1395"/>
        <v>-3.8038352719270585E-2</v>
      </c>
      <c r="Z383" s="260">
        <f t="shared" si="1395"/>
        <v>-2.0428852969066158E-2</v>
      </c>
      <c r="AA383" s="260">
        <f t="shared" si="1395"/>
        <v>-2.4297679539539541E-2</v>
      </c>
      <c r="AB383" s="260">
        <f t="shared" si="1395"/>
        <v>-3.9613905325443732E-2</v>
      </c>
      <c r="AC383" s="260">
        <f t="shared" si="1395"/>
        <v>-7.8057960644007163E-2</v>
      </c>
      <c r="AD383" s="260">
        <f t="shared" si="1395"/>
        <v>-1.6485112563544013E-2</v>
      </c>
      <c r="AE383" s="260">
        <f t="shared" si="1395"/>
        <v>-4.8932050961778661E-2</v>
      </c>
      <c r="AF383" s="260">
        <f t="shared" si="1395"/>
        <v>-4.6202035732774371E-2</v>
      </c>
      <c r="AG383" s="260">
        <f t="shared" si="1395"/>
        <v>-5.7516623769101716E-2</v>
      </c>
      <c r="AH383" s="260">
        <f t="shared" si="1395"/>
        <v>-2.9698528578547045E-2</v>
      </c>
      <c r="AI383" s="260">
        <f t="shared" si="1395"/>
        <v>-4.5632430037657823E-2</v>
      </c>
      <c r="AJ383" s="260">
        <f t="shared" si="1395"/>
        <v>-1.0001610389041904E-2</v>
      </c>
      <c r="AK383" s="260">
        <f t="shared" si="1395"/>
        <v>-3.5823001065778404E-2</v>
      </c>
      <c r="AL383" s="260">
        <f t="shared" si="1395"/>
        <v>2.6593449696018734E-2</v>
      </c>
      <c r="AM383" s="260">
        <f t="shared" ref="AM383:CP383" si="1396">AM382/AH382-1</f>
        <v>-2.6292844858616382E-3</v>
      </c>
      <c r="AN383" s="260">
        <f t="shared" si="1396"/>
        <v>4.1723887814313354E-2</v>
      </c>
      <c r="AO383" s="260">
        <f t="shared" si="1396"/>
        <v>1.8793430195830796E-2</v>
      </c>
      <c r="AP383" s="260">
        <f t="shared" si="1396"/>
        <v>2.1045108419609493E-2</v>
      </c>
      <c r="AQ383" s="260">
        <f t="shared" si="1396"/>
        <v>-4.858696621199976E-3</v>
      </c>
      <c r="AR383" s="260">
        <f t="shared" si="1396"/>
        <v>-3.4865097448556925E-2</v>
      </c>
      <c r="AS383" s="260">
        <f t="shared" si="1396"/>
        <v>-6.0206363905735194E-2</v>
      </c>
      <c r="AT383" s="260">
        <f t="shared" si="1396"/>
        <v>-7.7197333746705787E-3</v>
      </c>
      <c r="AU383" s="260">
        <f t="shared" si="1396"/>
        <v>-2.7007210862578512E-2</v>
      </c>
      <c r="AV383" s="260">
        <f t="shared" si="1396"/>
        <v>3.5567642510531572E-2</v>
      </c>
      <c r="AW383" s="260">
        <f t="shared" si="1396"/>
        <v>6.8092858707879067E-2</v>
      </c>
      <c r="AX383" s="260">
        <f t="shared" si="1396"/>
        <v>6.6886190574192206E-2</v>
      </c>
      <c r="AY383" s="260">
        <f t="shared" si="1396"/>
        <v>-1.216438584432078E-2</v>
      </c>
      <c r="AZ383" s="260">
        <f t="shared" si="1396"/>
        <v>3.881631252811002E-2</v>
      </c>
      <c r="BA383" s="260">
        <f t="shared" si="1396"/>
        <v>-5.5612770339855788E-2</v>
      </c>
      <c r="BB383" s="260">
        <f t="shared" si="1396"/>
        <v>-3.3713692946058083E-2</v>
      </c>
      <c r="BC383" s="260">
        <f t="shared" si="1396"/>
        <v>-3.4979423868312765E-2</v>
      </c>
      <c r="BD383" s="260">
        <f t="shared" si="1396"/>
        <v>5.2714812862419969E-4</v>
      </c>
      <c r="BE383" s="260">
        <f t="shared" si="1396"/>
        <v>-3.1124367786279361E-2</v>
      </c>
      <c r="BF383" s="260">
        <f t="shared" si="1396"/>
        <v>-2.0174482006543037E-2</v>
      </c>
      <c r="BG383" s="260">
        <f t="shared" si="1396"/>
        <v>-5.3676865271068186E-2</v>
      </c>
      <c r="BH383" s="260">
        <f t="shared" si="1396"/>
        <v>-5.4904051172707913E-2</v>
      </c>
      <c r="BI383" s="260">
        <f t="shared" si="1396"/>
        <v>-6.6385669125395119E-2</v>
      </c>
      <c r="BJ383" s="260">
        <f t="shared" si="1396"/>
        <v>-4.8989425779681461E-2</v>
      </c>
      <c r="BK383" s="260">
        <f t="shared" si="1396"/>
        <v>-5.5091819699499167E-2</v>
      </c>
      <c r="BL383" s="260">
        <f t="shared" si="1396"/>
        <v>-5.8423142370958581E-2</v>
      </c>
      <c r="BM383" s="260">
        <f t="shared" si="1396"/>
        <v>-5.6401579244218847E-2</v>
      </c>
      <c r="BN383" s="260">
        <f t="shared" si="1396"/>
        <v>-6.1512415349887162E-2</v>
      </c>
      <c r="BO383" s="260">
        <f t="shared" si="1396"/>
        <v>-5.7846586910626274E-2</v>
      </c>
      <c r="BP383" s="260">
        <f t="shared" si="1396"/>
        <v>-2.0023557126030656E-2</v>
      </c>
      <c r="BQ383" s="260">
        <f t="shared" si="1396"/>
        <v>1.6265060240963747E-2</v>
      </c>
      <c r="BR383" s="260">
        <f t="shared" si="1396"/>
        <v>2.5104602510460206E-2</v>
      </c>
      <c r="BS383" s="260">
        <f t="shared" si="1396"/>
        <v>6.6145520144318404E-3</v>
      </c>
      <c r="BT383" s="260">
        <f t="shared" si="1396"/>
        <v>6.8718255153870089E-3</v>
      </c>
      <c r="BU383" s="261">
        <f t="shared" si="1396"/>
        <v>-0.13341346153846156</v>
      </c>
      <c r="BV383" s="261">
        <f t="shared" si="1396"/>
        <v>-0.11736810906935391</v>
      </c>
      <c r="BW383" s="261">
        <f t="shared" si="1396"/>
        <v>-0.12186588921282804</v>
      </c>
      <c r="BX383" s="261">
        <f t="shared" si="1396"/>
        <v>-8.5424133811230596E-2</v>
      </c>
      <c r="BY383" s="260">
        <f t="shared" si="1396"/>
        <v>-0.11454005934718103</v>
      </c>
      <c r="BZ383" s="261">
        <f t="shared" si="1396"/>
        <v>5.7558945908460446E-2</v>
      </c>
      <c r="CA383" s="261">
        <f t="shared" si="1396"/>
        <v>2.2162525184687754E-2</v>
      </c>
      <c r="CB383" s="261">
        <f t="shared" si="1396"/>
        <v>1.8592297476759612E-2</v>
      </c>
      <c r="CC383" s="261">
        <f t="shared" si="1396"/>
        <v>1.7635532331809367E-2</v>
      </c>
      <c r="CD383" s="260">
        <f>CD382/BY382-1</f>
        <v>3.6148190348525677E-2</v>
      </c>
      <c r="CE383" s="261">
        <f t="shared" si="1396"/>
        <v>2.2950819672131084E-2</v>
      </c>
      <c r="CF383" s="261">
        <f t="shared" si="1396"/>
        <v>2.7595269382391541E-2</v>
      </c>
      <c r="CG383" s="261">
        <f t="shared" si="1396"/>
        <v>2.0860495436766602E-2</v>
      </c>
      <c r="CH383" s="261">
        <f t="shared" si="1396"/>
        <v>1.0911424903722766E-2</v>
      </c>
      <c r="CI383" s="260">
        <f>CI382/CD382-1</f>
        <v>-1.8178099039344309E-3</v>
      </c>
      <c r="CJ383" s="261">
        <f t="shared" si="1396"/>
        <v>-2.62820512820513E-2</v>
      </c>
      <c r="CK383" s="261">
        <f t="shared" si="1396"/>
        <v>-1.3427109974424534E-2</v>
      </c>
      <c r="CL383" s="261">
        <f t="shared" si="1396"/>
        <v>1.2771392081736277E-3</v>
      </c>
      <c r="CM383" s="261">
        <f t="shared" si="1396"/>
        <v>1.5873015873015817E-2</v>
      </c>
      <c r="CN383" s="260">
        <f>CN382/CI382-1</f>
        <v>-6.9309207883810897E-3</v>
      </c>
      <c r="CO383" s="261">
        <f t="shared" si="1396"/>
        <v>3.489137590520075E-2</v>
      </c>
      <c r="CP383" s="261">
        <f t="shared" si="1396"/>
        <v>2.657161373946848E-2</v>
      </c>
      <c r="CQ383" s="260">
        <f>CQ382/CN382-1</f>
        <v>2.7983422078824205E-2</v>
      </c>
      <c r="CR383" s="260">
        <f t="shared" ref="CR383:CS383" si="1397">CR382/CQ382-1</f>
        <v>1.2659140234648092E-2</v>
      </c>
      <c r="CS383" s="260">
        <f t="shared" si="1397"/>
        <v>1.8786020582032936E-2</v>
      </c>
      <c r="CT383" s="260">
        <f t="shared" ref="CT383" si="1398">CT382/CS382-1</f>
        <v>1.8049154858160055E-2</v>
      </c>
      <c r="CU383" s="260">
        <f t="shared" ref="CU383" si="1399">CU382/CT382-1</f>
        <v>1.7397210637255078E-2</v>
      </c>
      <c r="CV383" s="260">
        <f t="shared" ref="CV383:CW383" si="1400">CV382/CU382-1</f>
        <v>1.6819754866677084E-2</v>
      </c>
      <c r="CW383" s="260">
        <f t="shared" si="1400"/>
        <v>1.6307799061889616E-2</v>
      </c>
      <c r="CX383" s="159"/>
      <c r="CY383" s="159"/>
      <c r="CZ383" s="159"/>
      <c r="DA383" s="159"/>
      <c r="DB383" s="159"/>
      <c r="DC383" s="159"/>
      <c r="DD383" s="159"/>
      <c r="ED383" s="221"/>
      <c r="EE383" s="221"/>
      <c r="EQ383" s="221"/>
      <c r="ER383" s="221"/>
      <c r="ES383" s="221"/>
    </row>
    <row r="384" spans="1:149" s="221" customFormat="1" hidden="1" outlineLevel="1">
      <c r="A384" s="277" t="s">
        <v>50</v>
      </c>
      <c r="B384" s="159">
        <f>B291</f>
        <v>1433.8319999999994</v>
      </c>
      <c r="C384" s="159"/>
      <c r="D384" s="159"/>
      <c r="E384" s="159"/>
      <c r="F384" s="159">
        <f t="shared" ref="F384:AK384" si="1401">F291</f>
        <v>99.43100000000004</v>
      </c>
      <c r="G384" s="159">
        <f t="shared" si="1401"/>
        <v>554.51643999999942</v>
      </c>
      <c r="H384" s="159">
        <f t="shared" si="1401"/>
        <v>63.991600000000062</v>
      </c>
      <c r="I384" s="159">
        <f t="shared" si="1401"/>
        <v>56.140799999999899</v>
      </c>
      <c r="J384" s="159">
        <f t="shared" si="1401"/>
        <v>67.744799999999714</v>
      </c>
      <c r="K384" s="159">
        <f t="shared" si="1401"/>
        <v>92.855000000000018</v>
      </c>
      <c r="L384" s="159">
        <f t="shared" si="1401"/>
        <v>134.85405000000083</v>
      </c>
      <c r="M384" s="159">
        <f t="shared" si="1401"/>
        <v>74.403999999999996</v>
      </c>
      <c r="N384" s="159">
        <f t="shared" si="1401"/>
        <v>77.856999999999971</v>
      </c>
      <c r="O384" s="159">
        <f t="shared" si="1401"/>
        <v>115.5440000000001</v>
      </c>
      <c r="P384" s="159">
        <f t="shared" si="1401"/>
        <v>132.29349999999999</v>
      </c>
      <c r="Q384" s="159">
        <f t="shared" si="1401"/>
        <v>248.02999999999975</v>
      </c>
      <c r="R384" s="159">
        <f t="shared" si="1401"/>
        <v>75.770500000000084</v>
      </c>
      <c r="S384" s="159">
        <f t="shared" si="1401"/>
        <v>124.3264999999999</v>
      </c>
      <c r="T384" s="159">
        <f t="shared" si="1401"/>
        <v>101.71199999999999</v>
      </c>
      <c r="U384" s="159">
        <f t="shared" si="1401"/>
        <v>110.41300000000001</v>
      </c>
      <c r="V384" s="159">
        <f t="shared" si="1401"/>
        <v>119.03199999999924</v>
      </c>
      <c r="W384" s="159">
        <f t="shared" si="1401"/>
        <v>8</v>
      </c>
      <c r="X384" s="159">
        <f t="shared" si="1401"/>
        <v>-15.25</v>
      </c>
      <c r="Y384" s="159">
        <f t="shared" si="1401"/>
        <v>83.119999999999891</v>
      </c>
      <c r="Z384" s="159">
        <f t="shared" si="1401"/>
        <v>93.488000000000056</v>
      </c>
      <c r="AA384" s="159">
        <f t="shared" si="1401"/>
        <v>169.35800000000017</v>
      </c>
      <c r="AB384" s="159">
        <f t="shared" si="1401"/>
        <v>118.33699999999999</v>
      </c>
      <c r="AC384" s="159">
        <f t="shared" si="1401"/>
        <v>130.37899999999991</v>
      </c>
      <c r="AD384" s="159">
        <f t="shared" si="1401"/>
        <v>100.80799999999999</v>
      </c>
      <c r="AE384" s="159">
        <f t="shared" si="1401"/>
        <v>105.20900000000006</v>
      </c>
      <c r="AF384" s="159">
        <f t="shared" si="1401"/>
        <v>398.10499999999956</v>
      </c>
      <c r="AG384" s="159">
        <f t="shared" si="1401"/>
        <v>117.3599999999999</v>
      </c>
      <c r="AH384" s="159">
        <f t="shared" si="1401"/>
        <v>79.775000000000091</v>
      </c>
      <c r="AI384" s="159">
        <f t="shared" si="1401"/>
        <v>84.799999999999955</v>
      </c>
      <c r="AJ384" s="159">
        <f t="shared" si="1401"/>
        <v>88.400000000000091</v>
      </c>
      <c r="AK384" s="159">
        <f t="shared" si="1401"/>
        <v>385.33500000000095</v>
      </c>
      <c r="AL384" s="159">
        <f t="shared" ref="AL384:BQ384" si="1402">AL291</f>
        <v>134.5440000000001</v>
      </c>
      <c r="AM384" s="159">
        <f t="shared" si="1402"/>
        <v>113.70550000000003</v>
      </c>
      <c r="AN384" s="159">
        <f t="shared" si="1402"/>
        <v>107.1434999999999</v>
      </c>
      <c r="AO384" s="159">
        <f t="shared" si="1402"/>
        <v>111.70000000000005</v>
      </c>
      <c r="AP384" s="159">
        <f t="shared" si="1402"/>
        <v>467.09299999999985</v>
      </c>
      <c r="AQ384" s="159">
        <f t="shared" si="1402"/>
        <v>129.70000000000005</v>
      </c>
      <c r="AR384" s="159">
        <f t="shared" si="1402"/>
        <v>128.91350000000011</v>
      </c>
      <c r="AS384" s="159">
        <f t="shared" si="1402"/>
        <v>159.875</v>
      </c>
      <c r="AT384" s="159">
        <f t="shared" si="1402"/>
        <v>107.6400000000001</v>
      </c>
      <c r="AU384" s="159">
        <f t="shared" si="1402"/>
        <v>526.12850000000071</v>
      </c>
      <c r="AV384" s="159">
        <f t="shared" si="1402"/>
        <v>299</v>
      </c>
      <c r="AW384" s="159">
        <f t="shared" si="1402"/>
        <v>266</v>
      </c>
      <c r="AX384" s="159">
        <f t="shared" si="1402"/>
        <v>243</v>
      </c>
      <c r="AY384" s="159">
        <f t="shared" si="1402"/>
        <v>340</v>
      </c>
      <c r="AZ384" s="159">
        <f t="shared" si="1402"/>
        <v>1148</v>
      </c>
      <c r="BA384" s="159">
        <f t="shared" si="1402"/>
        <v>257</v>
      </c>
      <c r="BB384" s="159">
        <f t="shared" si="1402"/>
        <v>233</v>
      </c>
      <c r="BC384" s="159">
        <f t="shared" si="1402"/>
        <v>237</v>
      </c>
      <c r="BD384" s="159">
        <f t="shared" si="1402"/>
        <v>397</v>
      </c>
      <c r="BE384" s="159">
        <f t="shared" si="1402"/>
        <v>1124</v>
      </c>
      <c r="BF384" s="159">
        <f t="shared" si="1402"/>
        <v>285</v>
      </c>
      <c r="BG384" s="159">
        <f t="shared" si="1402"/>
        <v>288</v>
      </c>
      <c r="BH384" s="159">
        <f t="shared" si="1402"/>
        <v>345</v>
      </c>
      <c r="BI384" s="159">
        <f t="shared" si="1402"/>
        <v>598</v>
      </c>
      <c r="BJ384" s="159">
        <f t="shared" si="1402"/>
        <v>1516</v>
      </c>
      <c r="BK384" s="159">
        <f t="shared" si="1402"/>
        <v>401</v>
      </c>
      <c r="BL384" s="159">
        <f t="shared" si="1402"/>
        <v>251</v>
      </c>
      <c r="BM384" s="159">
        <f t="shared" si="1402"/>
        <v>273</v>
      </c>
      <c r="BN384" s="159">
        <f t="shared" si="1402"/>
        <v>316</v>
      </c>
      <c r="BO384" s="159">
        <f t="shared" si="1402"/>
        <v>1241</v>
      </c>
      <c r="BP384" s="159">
        <f t="shared" si="1402"/>
        <v>269</v>
      </c>
      <c r="BQ384" s="159">
        <f t="shared" si="1402"/>
        <v>276</v>
      </c>
      <c r="BR384" s="159">
        <f t="shared" ref="BR384:CW384" si="1403">BR291</f>
        <v>238</v>
      </c>
      <c r="BS384" s="159">
        <f t="shared" si="1403"/>
        <v>440</v>
      </c>
      <c r="BT384" s="159">
        <f t="shared" si="1403"/>
        <v>1223</v>
      </c>
      <c r="BU384" s="159">
        <f t="shared" si="1403"/>
        <v>376</v>
      </c>
      <c r="BV384" s="159">
        <f t="shared" si="1403"/>
        <v>340</v>
      </c>
      <c r="BW384" s="159">
        <f t="shared" si="1403"/>
        <v>297</v>
      </c>
      <c r="BX384" s="159">
        <f t="shared" si="1403"/>
        <v>440</v>
      </c>
      <c r="BY384" s="159">
        <f t="shared" si="1403"/>
        <v>1453</v>
      </c>
      <c r="BZ384" s="159">
        <f t="shared" si="1403"/>
        <v>414</v>
      </c>
      <c r="CA384" s="159">
        <f t="shared" si="1403"/>
        <v>357</v>
      </c>
      <c r="CB384" s="159">
        <f t="shared" si="1403"/>
        <v>297</v>
      </c>
      <c r="CC384" s="159">
        <f t="shared" si="1403"/>
        <v>540</v>
      </c>
      <c r="CD384" s="159">
        <f t="shared" si="1403"/>
        <v>1608</v>
      </c>
      <c r="CE384" s="159">
        <f t="shared" si="1403"/>
        <v>412</v>
      </c>
      <c r="CF384" s="159">
        <f t="shared" si="1403"/>
        <v>370</v>
      </c>
      <c r="CG384" s="159">
        <f t="shared" ref="CG384:CH384" si="1404">CG291</f>
        <v>363</v>
      </c>
      <c r="CH384" s="159">
        <f t="shared" si="1404"/>
        <v>523</v>
      </c>
      <c r="CI384" s="159">
        <f t="shared" si="1403"/>
        <v>1668</v>
      </c>
      <c r="CJ384" s="159">
        <f t="shared" ref="CJ384:CK384" si="1405">CJ291</f>
        <v>437</v>
      </c>
      <c r="CK384" s="159">
        <f t="shared" si="1405"/>
        <v>358</v>
      </c>
      <c r="CL384" s="159">
        <f t="shared" ref="CL384:CP384" si="1406">CL291</f>
        <v>348</v>
      </c>
      <c r="CM384" s="159">
        <f t="shared" si="1406"/>
        <v>580</v>
      </c>
      <c r="CN384" s="159">
        <f t="shared" si="1406"/>
        <v>1723</v>
      </c>
      <c r="CO384" s="159">
        <f t="shared" si="1406"/>
        <v>489</v>
      </c>
      <c r="CP384" s="159">
        <f t="shared" si="1406"/>
        <v>404</v>
      </c>
      <c r="CQ384" s="159">
        <f t="shared" si="1403"/>
        <v>1891.1696371070805</v>
      </c>
      <c r="CR384" s="159">
        <f t="shared" si="1403"/>
        <v>1957.4385394257304</v>
      </c>
      <c r="CS384" s="159">
        <f t="shared" si="1403"/>
        <v>2012.5538642355245</v>
      </c>
      <c r="CT384" s="159">
        <f t="shared" si="1403"/>
        <v>2068.5893918696747</v>
      </c>
      <c r="CU384" s="159">
        <f t="shared" si="1403"/>
        <v>2125.604075098508</v>
      </c>
      <c r="CV384" s="159">
        <f t="shared" si="1403"/>
        <v>2183.6555708187434</v>
      </c>
      <c r="CW384" s="159">
        <f t="shared" si="1403"/>
        <v>2242.8004223853263</v>
      </c>
      <c r="CX384" s="165"/>
      <c r="CY384" s="165"/>
      <c r="CZ384" s="165"/>
      <c r="DA384" s="165"/>
      <c r="DB384" s="165"/>
      <c r="DC384" s="159"/>
      <c r="DD384" s="159"/>
      <c r="ED384" s="163"/>
      <c r="EE384" s="163"/>
      <c r="EF384" s="163"/>
      <c r="EG384" s="163"/>
      <c r="EH384" s="163"/>
      <c r="EI384" s="163"/>
      <c r="EJ384" s="163"/>
      <c r="EK384" s="163"/>
      <c r="EL384" s="163"/>
      <c r="EM384" s="163"/>
      <c r="EN384" s="163"/>
      <c r="EO384" s="163"/>
      <c r="EP384" s="163"/>
      <c r="EQ384" s="163"/>
      <c r="ER384" s="163"/>
      <c r="ES384" s="163"/>
    </row>
    <row r="385" spans="1:152" hidden="1" outlineLevel="1">
      <c r="A385" s="329" t="s">
        <v>64</v>
      </c>
      <c r="B385" s="236"/>
      <c r="C385" s="236"/>
      <c r="D385" s="236"/>
      <c r="E385" s="236"/>
      <c r="F385" s="236"/>
      <c r="G385" s="236">
        <f>G384/B384-1</f>
        <v>-0.61326261375112312</v>
      </c>
      <c r="H385" s="236"/>
      <c r="I385" s="236"/>
      <c r="J385" s="236"/>
      <c r="K385" s="236"/>
      <c r="L385" s="236">
        <f>L384/G384-1</f>
        <v>-0.75680784144109237</v>
      </c>
      <c r="M385" s="236"/>
      <c r="N385" s="236"/>
      <c r="O385" s="236"/>
      <c r="P385" s="236"/>
      <c r="Q385" s="236">
        <f>Q384/L384-1</f>
        <v>0.83924769037339431</v>
      </c>
      <c r="R385" s="236"/>
      <c r="S385" s="236"/>
      <c r="T385" s="236"/>
      <c r="U385" s="236"/>
      <c r="V385" s="236">
        <f>V384/Q384-1</f>
        <v>-0.52009031165585062</v>
      </c>
      <c r="W385" s="236"/>
      <c r="X385" s="236"/>
      <c r="Y385" s="236"/>
      <c r="Z385" s="236"/>
      <c r="AA385" s="236">
        <f>AA384/V384-1</f>
        <v>0.4227938705558274</v>
      </c>
      <c r="AB385" s="236"/>
      <c r="AC385" s="236"/>
      <c r="AD385" s="236"/>
      <c r="AE385" s="236"/>
      <c r="AF385" s="236">
        <f>AF384/AA384-1</f>
        <v>1.3506713588965336</v>
      </c>
      <c r="AG385" s="236"/>
      <c r="AH385" s="236"/>
      <c r="AI385" s="236"/>
      <c r="AJ385" s="236"/>
      <c r="AK385" s="236">
        <f>AK384/AF384-1</f>
        <v>-3.2076964619883297E-2</v>
      </c>
      <c r="AL385" s="236"/>
      <c r="AM385" s="236"/>
      <c r="AN385" s="236"/>
      <c r="AO385" s="236"/>
      <c r="AP385" s="236">
        <f t="shared" ref="AP385:CP385" si="1407">AP384/AK384-1</f>
        <v>0.21217382277757979</v>
      </c>
      <c r="AQ385" s="236">
        <f t="shared" si="1407"/>
        <v>-3.6003091925318476E-2</v>
      </c>
      <c r="AR385" s="236">
        <f t="shared" si="1407"/>
        <v>0.13374902709191794</v>
      </c>
      <c r="AS385" s="236">
        <f t="shared" si="1407"/>
        <v>0.49215771372038564</v>
      </c>
      <c r="AT385" s="236">
        <f t="shared" si="1407"/>
        <v>-3.6347358997313783E-2</v>
      </c>
      <c r="AU385" s="236">
        <f t="shared" si="1407"/>
        <v>0.1263891773158683</v>
      </c>
      <c r="AV385" s="236">
        <f t="shared" si="1407"/>
        <v>1.3053199691595982</v>
      </c>
      <c r="AW385" s="236">
        <f t="shared" si="1407"/>
        <v>1.063399100947533</v>
      </c>
      <c r="AX385" s="236">
        <f t="shared" si="1407"/>
        <v>0.51993745113369827</v>
      </c>
      <c r="AY385" s="236">
        <f t="shared" si="1407"/>
        <v>2.1586770717205472</v>
      </c>
      <c r="AZ385" s="236">
        <f t="shared" si="1407"/>
        <v>1.181976456321979</v>
      </c>
      <c r="BA385" s="236">
        <f t="shared" si="1407"/>
        <v>-0.14046822742474918</v>
      </c>
      <c r="BB385" s="236">
        <f t="shared" si="1407"/>
        <v>-0.12406015037593987</v>
      </c>
      <c r="BC385" s="236">
        <f t="shared" si="1407"/>
        <v>-2.4691358024691357E-2</v>
      </c>
      <c r="BD385" s="236">
        <f t="shared" si="1407"/>
        <v>0.16764705882352948</v>
      </c>
      <c r="BE385" s="236">
        <f t="shared" si="1407"/>
        <v>-2.0905923344947785E-2</v>
      </c>
      <c r="BF385" s="236">
        <f t="shared" si="1407"/>
        <v>0.10894941634241251</v>
      </c>
      <c r="BG385" s="236">
        <f t="shared" si="1407"/>
        <v>0.23605150214592285</v>
      </c>
      <c r="BH385" s="236">
        <f t="shared" si="1407"/>
        <v>0.45569620253164556</v>
      </c>
      <c r="BI385" s="236">
        <f t="shared" si="1407"/>
        <v>0.50629722921914366</v>
      </c>
      <c r="BJ385" s="236">
        <f t="shared" si="1407"/>
        <v>0.3487544483985765</v>
      </c>
      <c r="BK385" s="236">
        <f t="shared" si="1407"/>
        <v>0.40701754385964906</v>
      </c>
      <c r="BL385" s="236">
        <f t="shared" si="1407"/>
        <v>-0.12847222222222221</v>
      </c>
      <c r="BM385" s="236">
        <f t="shared" si="1407"/>
        <v>-0.20869565217391306</v>
      </c>
      <c r="BN385" s="236">
        <f t="shared" si="1407"/>
        <v>-0.47157190635451507</v>
      </c>
      <c r="BO385" s="236">
        <f t="shared" si="1407"/>
        <v>-0.18139841688654357</v>
      </c>
      <c r="BP385" s="236">
        <f t="shared" si="1407"/>
        <v>-0.32917705735660852</v>
      </c>
      <c r="BQ385" s="236">
        <f t="shared" si="1407"/>
        <v>9.960159362549792E-2</v>
      </c>
      <c r="BR385" s="236">
        <f t="shared" si="1407"/>
        <v>-0.12820512820512819</v>
      </c>
      <c r="BS385" s="236">
        <f t="shared" si="1407"/>
        <v>0.39240506329113933</v>
      </c>
      <c r="BT385" s="236">
        <f t="shared" si="1407"/>
        <v>-1.4504431909750148E-2</v>
      </c>
      <c r="BU385" s="237">
        <f t="shared" si="1407"/>
        <v>0.39776951672862459</v>
      </c>
      <c r="BV385" s="237">
        <f t="shared" si="1407"/>
        <v>0.23188405797101441</v>
      </c>
      <c r="BW385" s="237">
        <f t="shared" si="1407"/>
        <v>0.24789915966386555</v>
      </c>
      <c r="BX385" s="237">
        <f t="shared" si="1407"/>
        <v>0</v>
      </c>
      <c r="BY385" s="236">
        <f t="shared" si="1407"/>
        <v>0.18806214227309903</v>
      </c>
      <c r="BZ385" s="237">
        <f t="shared" si="1407"/>
        <v>0.10106382978723394</v>
      </c>
      <c r="CA385" s="237">
        <f t="shared" si="1407"/>
        <v>5.0000000000000044E-2</v>
      </c>
      <c r="CB385" s="237">
        <f t="shared" si="1407"/>
        <v>0</v>
      </c>
      <c r="CC385" s="237">
        <f t="shared" si="1407"/>
        <v>0.22727272727272729</v>
      </c>
      <c r="CD385" s="236">
        <f>CD384/BY384-1</f>
        <v>0.10667584308327593</v>
      </c>
      <c r="CE385" s="237">
        <f t="shared" si="1407"/>
        <v>-4.8309178743961567E-3</v>
      </c>
      <c r="CF385" s="237">
        <f t="shared" si="1407"/>
        <v>3.6414565826330625E-2</v>
      </c>
      <c r="CG385" s="237">
        <f t="shared" si="1407"/>
        <v>0.22222222222222232</v>
      </c>
      <c r="CH385" s="237">
        <f t="shared" si="1407"/>
        <v>-3.1481481481481444E-2</v>
      </c>
      <c r="CI385" s="236">
        <f>CI384/CD384-1</f>
        <v>3.7313432835820892E-2</v>
      </c>
      <c r="CJ385" s="237">
        <f t="shared" si="1407"/>
        <v>6.0679611650485521E-2</v>
      </c>
      <c r="CK385" s="237">
        <f t="shared" si="1407"/>
        <v>-3.2432432432432434E-2</v>
      </c>
      <c r="CL385" s="237">
        <f t="shared" si="1407"/>
        <v>-4.132231404958675E-2</v>
      </c>
      <c r="CM385" s="237">
        <f t="shared" si="1407"/>
        <v>0.10898661567877621</v>
      </c>
      <c r="CN385" s="236">
        <f>CN384/CI384-1</f>
        <v>3.2973621103117523E-2</v>
      </c>
      <c r="CO385" s="237">
        <f t="shared" si="1407"/>
        <v>0.11899313501144171</v>
      </c>
      <c r="CP385" s="237">
        <f t="shared" si="1407"/>
        <v>0.12849162011173187</v>
      </c>
      <c r="CQ385" s="236">
        <f>CQ384/CN384-1</f>
        <v>9.7602807374974176E-2</v>
      </c>
      <c r="CR385" s="236">
        <f t="shared" ref="CR385:CS385" si="1408">CR384/CQ384-1</f>
        <v>3.5041225820451105E-2</v>
      </c>
      <c r="CS385" s="236">
        <f t="shared" si="1408"/>
        <v>2.8156860968908681E-2</v>
      </c>
      <c r="CT385" s="236">
        <f t="shared" ref="CT385" si="1409">CT384/CS384-1</f>
        <v>2.7842995226085687E-2</v>
      </c>
      <c r="CU385" s="236">
        <f t="shared" ref="CU385" si="1410">CU384/CT384-1</f>
        <v>2.7562107517771439E-2</v>
      </c>
      <c r="CV385" s="236">
        <f t="shared" ref="CV385:CW385" si="1411">CV384/CU384-1</f>
        <v>2.7310587329178349E-2</v>
      </c>
      <c r="CW385" s="236">
        <f t="shared" si="1411"/>
        <v>2.7085247489102349E-2</v>
      </c>
      <c r="CX385" s="159"/>
      <c r="CY385" s="159"/>
      <c r="CZ385" s="159"/>
      <c r="DA385" s="159"/>
      <c r="DB385" s="159"/>
      <c r="DC385" s="165"/>
      <c r="DD385" s="165"/>
      <c r="DF385" s="203"/>
      <c r="DG385" s="203"/>
      <c r="DH385" s="203"/>
      <c r="DI385" s="203"/>
      <c r="DJ385" s="203"/>
      <c r="DK385" s="203"/>
      <c r="DL385" s="203"/>
      <c r="DM385" s="203"/>
      <c r="DN385" s="203"/>
      <c r="DO385" s="203"/>
    </row>
    <row r="386" spans="1:152" hidden="1" outlineLevel="1">
      <c r="A386" s="330" t="s">
        <v>79</v>
      </c>
      <c r="B386" s="284"/>
      <c r="C386" s="284"/>
      <c r="D386" s="284"/>
      <c r="E386" s="284"/>
      <c r="F386" s="284"/>
      <c r="G386" s="284"/>
      <c r="H386" s="284"/>
      <c r="I386" s="284"/>
      <c r="J386" s="284"/>
      <c r="K386" s="284"/>
      <c r="L386" s="284"/>
      <c r="M386" s="284"/>
      <c r="N386" s="284"/>
      <c r="O386" s="284"/>
      <c r="P386" s="284"/>
      <c r="Q386" s="284"/>
      <c r="R386" s="284"/>
      <c r="S386" s="284"/>
      <c r="T386" s="284"/>
      <c r="U386" s="284"/>
      <c r="V386" s="284"/>
      <c r="W386" s="284"/>
      <c r="X386" s="284"/>
      <c r="Y386" s="284"/>
      <c r="Z386" s="284"/>
      <c r="AA386" s="284"/>
      <c r="AB386" s="284"/>
      <c r="AC386" s="284"/>
      <c r="AD386" s="284"/>
      <c r="AE386" s="284"/>
      <c r="AF386" s="284"/>
      <c r="AG386" s="285">
        <v>969</v>
      </c>
      <c r="AH386" s="285">
        <v>972</v>
      </c>
      <c r="AI386" s="285">
        <v>992</v>
      </c>
      <c r="AJ386" s="285">
        <v>1007</v>
      </c>
      <c r="AK386" s="285">
        <v>3940</v>
      </c>
      <c r="AL386" s="285">
        <v>1052</v>
      </c>
      <c r="AM386" s="285">
        <v>1015</v>
      </c>
      <c r="AN386" s="285">
        <v>1076</v>
      </c>
      <c r="AO386" s="285">
        <v>1041</v>
      </c>
      <c r="AP386" s="285">
        <v>4184</v>
      </c>
      <c r="AQ386" s="285">
        <f>'[3]Domestic Mobile Operations'!S$20</f>
        <v>1008</v>
      </c>
      <c r="AR386" s="285">
        <f>'[3]Domestic Mobile Operations'!T$20</f>
        <v>956</v>
      </c>
      <c r="AS386" s="285">
        <f>'[3]Domestic Mobile Operations'!U$20</f>
        <v>1017</v>
      </c>
      <c r="AT386" s="285">
        <f>'[3]Domestic Mobile Operations'!V$20</f>
        <v>1018</v>
      </c>
      <c r="AU386" s="284">
        <f>SUM(AQ386:AT386)</f>
        <v>3999</v>
      </c>
      <c r="AV386" s="285">
        <f>'[3]Domestic Mobile Operations'!W$20</f>
        <v>1006</v>
      </c>
      <c r="AW386" s="285">
        <f>'[3]Domestic Mobile Operations'!X$20</f>
        <v>982</v>
      </c>
      <c r="AX386" s="285">
        <f>'[3]Domestic Mobile Operations'!Y$20</f>
        <v>947</v>
      </c>
      <c r="AY386" s="285">
        <f>'[3]Domestic Mobile Operations'!Z$20</f>
        <v>994</v>
      </c>
      <c r="AZ386" s="284">
        <f>SUM(AV386:AY386)</f>
        <v>3929</v>
      </c>
      <c r="BA386" s="331">
        <f>'[3]Domestic Mobile Operations'!AA$20</f>
        <v>849</v>
      </c>
      <c r="BB386" s="331">
        <f>'[3]Domestic Mobile Operations'!AB$20</f>
        <v>854</v>
      </c>
      <c r="BC386" s="331">
        <f>'[3]Domestic Mobile Operations'!AC$20</f>
        <v>851</v>
      </c>
      <c r="BD386" s="331">
        <f>'[3]Domestic Mobile Operations'!AD$20</f>
        <v>845</v>
      </c>
      <c r="BE386" s="284">
        <f>SUM(BA386:BD386)</f>
        <v>3399</v>
      </c>
      <c r="BF386" s="331">
        <f>'[3]Domestic Mobile Operations'!AE$20</f>
        <v>797</v>
      </c>
      <c r="BG386" s="331">
        <f>'[3]Domestic Mobile Operations'!AF$20</f>
        <v>791</v>
      </c>
      <c r="BH386" s="331">
        <f>'[3]Domestic Mobile Operations'!AG$20</f>
        <v>794</v>
      </c>
      <c r="BI386" s="331">
        <f>'[3]Domestic Mobile Operations'!AH$20</f>
        <v>783</v>
      </c>
      <c r="BJ386" s="284">
        <f>SUM(BF386:BI386)</f>
        <v>3165</v>
      </c>
      <c r="BK386" s="331">
        <f>'[3]Domestic Mobile Operations'!AI$20</f>
        <v>714</v>
      </c>
      <c r="BL386" s="331">
        <f>'[3]Domestic Mobile Operations'!AJ$20</f>
        <v>686</v>
      </c>
      <c r="BM386" s="331">
        <f>'[3]Domestic Mobile Operations'!AK$20</f>
        <v>717</v>
      </c>
      <c r="BN386" s="331">
        <f>'[3]Domestic Mobile Operations'!AL$20</f>
        <v>696</v>
      </c>
      <c r="BO386" s="284">
        <f>SUM(BK386:BN386)</f>
        <v>2813</v>
      </c>
      <c r="BP386" s="331">
        <f>'[3]Domestic Mobile Operations'!AM$20</f>
        <v>690</v>
      </c>
      <c r="BQ386" s="331">
        <f>'[3]Domestic Mobile Operations'!AN$20</f>
        <v>685</v>
      </c>
      <c r="BR386" s="331">
        <f>'[3]Domestic Mobile Operations'!AO$20</f>
        <v>685</v>
      </c>
      <c r="BS386" s="331">
        <f>'[3]Domestic Mobile Operations'!AP$20</f>
        <v>655</v>
      </c>
      <c r="BT386" s="284">
        <f>SUM(BP386:BS386)</f>
        <v>2715</v>
      </c>
      <c r="BU386" s="332">
        <f>'[3]Domestic Mobile Operations'!AQ$20</f>
        <v>657</v>
      </c>
      <c r="BV386" s="332">
        <f>'[3]Domestic Mobile Operations'!AR$20</f>
        <v>679</v>
      </c>
      <c r="BW386" s="332">
        <f>'[3]Domestic Mobile Operations'!AS$20</f>
        <v>676</v>
      </c>
      <c r="BX386" s="332">
        <f>'[3]Domestic Mobile Operations'!AT$20</f>
        <v>681</v>
      </c>
      <c r="BY386" s="284">
        <f>SUM(BU386:BX386)</f>
        <v>2693</v>
      </c>
      <c r="BZ386" s="332">
        <f>'[3]Domestic Mobile Operations'!AU$20</f>
        <v>661</v>
      </c>
      <c r="CA386" s="332">
        <f>'[3]Domestic Mobile Operations'!AV$20</f>
        <v>651</v>
      </c>
      <c r="CB386" s="332">
        <f>'[3]Domestic Mobile Operations'!AW$20</f>
        <v>652</v>
      </c>
      <c r="CC386" s="332">
        <f>'[3]Domestic Mobile Operations'!AX$20</f>
        <v>655</v>
      </c>
      <c r="CD386" s="284"/>
      <c r="CE386" s="332">
        <f>'[3]Domestic Mobile Operations'!AY$20</f>
        <v>649</v>
      </c>
      <c r="CF386" s="332">
        <f>'[3]Domestic Mobile Operations'!AZ$20</f>
        <v>648</v>
      </c>
      <c r="CG386" s="332">
        <f>'[3]Domestic Mobile Operations'!BA$20</f>
        <v>641</v>
      </c>
      <c r="CH386" s="332">
        <f>'[3]Domestic Mobile Operations'!BB$20</f>
        <v>627</v>
      </c>
      <c r="CI386" s="284"/>
      <c r="CJ386" s="332">
        <f>'[3]Domestic Mobile Operations'!BC$20</f>
        <v>595</v>
      </c>
      <c r="CK386" s="332">
        <f>'[3]Domestic Mobile Operations'!BD$20</f>
        <v>610</v>
      </c>
      <c r="CL386" s="332">
        <f>'[3]Domestic Mobile Operations'!BE$20</f>
        <v>616</v>
      </c>
      <c r="CM386" s="332">
        <f>'[3]Domestic Mobile Operations'!BF$20</f>
        <v>624</v>
      </c>
      <c r="CN386" s="284"/>
      <c r="CO386" s="332">
        <f>'[3]Domestic Mobile Operations'!BG$20</f>
        <v>609</v>
      </c>
      <c r="CP386" s="332">
        <f>'[3]Domestic Mobile Operations'!BH$20</f>
        <v>612</v>
      </c>
      <c r="CQ386" s="284"/>
      <c r="CR386" s="284"/>
      <c r="CS386" s="284"/>
      <c r="CT386" s="284"/>
      <c r="CU386" s="284"/>
      <c r="CV386" s="284"/>
      <c r="CW386" s="284"/>
      <c r="CX386" s="159"/>
      <c r="CY386" s="159"/>
      <c r="CZ386" s="159"/>
      <c r="DA386" s="159"/>
      <c r="DB386" s="159"/>
      <c r="DO386" s="221"/>
      <c r="DP386" s="221"/>
      <c r="DQ386" s="221"/>
      <c r="DR386" s="221"/>
      <c r="DS386" s="221"/>
      <c r="EP386" s="221"/>
    </row>
    <row r="387" spans="1:152" hidden="1" outlineLevel="1">
      <c r="A387" s="333" t="s">
        <v>80</v>
      </c>
      <c r="B387" s="334"/>
      <c r="C387" s="334"/>
      <c r="D387" s="334"/>
      <c r="E387" s="334"/>
      <c r="F387" s="334"/>
      <c r="G387" s="334"/>
      <c r="H387" s="334"/>
      <c r="I387" s="334"/>
      <c r="J387" s="334"/>
      <c r="K387" s="334"/>
      <c r="L387" s="334"/>
      <c r="M387" s="334"/>
      <c r="N387" s="334"/>
      <c r="O387" s="334"/>
      <c r="P387" s="334"/>
      <c r="Q387" s="334"/>
      <c r="R387" s="334"/>
      <c r="S387" s="334"/>
      <c r="T387" s="334"/>
      <c r="U387" s="334"/>
      <c r="V387" s="334"/>
      <c r="W387" s="334"/>
      <c r="X387" s="334"/>
      <c r="Y387" s="334"/>
      <c r="Z387" s="334"/>
      <c r="AA387" s="334"/>
      <c r="AB387" s="334"/>
      <c r="AC387" s="334"/>
      <c r="AD387" s="334"/>
      <c r="AE387" s="334"/>
      <c r="AF387" s="334"/>
      <c r="AG387" s="335">
        <v>984</v>
      </c>
      <c r="AH387" s="335">
        <v>986</v>
      </c>
      <c r="AI387" s="335">
        <v>962</v>
      </c>
      <c r="AJ387" s="335">
        <v>985</v>
      </c>
      <c r="AK387" s="335">
        <v>3917</v>
      </c>
      <c r="AL387" s="335">
        <v>972</v>
      </c>
      <c r="AM387" s="335">
        <v>974</v>
      </c>
      <c r="AN387" s="335">
        <v>974</v>
      </c>
      <c r="AO387" s="335">
        <v>1011</v>
      </c>
      <c r="AP387" s="335">
        <v>3931</v>
      </c>
      <c r="AQ387" s="335">
        <f>'[3]Domestic Mobile Operations'!S$19</f>
        <v>997</v>
      </c>
      <c r="AR387" s="335">
        <f>'[3]Domestic Mobile Operations'!T$19</f>
        <v>978</v>
      </c>
      <c r="AS387" s="335">
        <f>'[3]Domestic Mobile Operations'!U$19</f>
        <v>965</v>
      </c>
      <c r="AT387" s="335">
        <f>'[3]Domestic Mobile Operations'!V$19</f>
        <v>1010</v>
      </c>
      <c r="AU387" s="334">
        <f>SUM(AQ387:AT387)</f>
        <v>3950</v>
      </c>
      <c r="AV387" s="335">
        <f>'[3]Domestic Mobile Operations'!W$19</f>
        <v>936</v>
      </c>
      <c r="AW387" s="335">
        <f>'[3]Domestic Mobile Operations'!X$19</f>
        <v>946</v>
      </c>
      <c r="AX387" s="335">
        <f>'[3]Domestic Mobile Operations'!Y$19</f>
        <v>997</v>
      </c>
      <c r="AY387" s="335">
        <f>'[3]Domestic Mobile Operations'!Z$19</f>
        <v>903</v>
      </c>
      <c r="AZ387" s="334">
        <f>SUM(AV387:AY387)</f>
        <v>3782</v>
      </c>
      <c r="BA387" s="336">
        <f>'[3]Domestic Mobile Operations'!AA$19</f>
        <v>985</v>
      </c>
      <c r="BB387" s="336">
        <f>'[3]Domestic Mobile Operations'!AB$19</f>
        <v>1009</v>
      </c>
      <c r="BC387" s="336">
        <f>'[3]Domestic Mobile Operations'!AC$19</f>
        <v>1025</v>
      </c>
      <c r="BD387" s="336">
        <f>'[3]Domestic Mobile Operations'!AD$19</f>
        <v>1053</v>
      </c>
      <c r="BE387" s="334">
        <f>SUM(BA387:BD387)</f>
        <v>4072</v>
      </c>
      <c r="BF387" s="336">
        <f>'[3]Domestic Mobile Operations'!AE$19</f>
        <v>1000</v>
      </c>
      <c r="BG387" s="336">
        <f>'[3]Domestic Mobile Operations'!AF$19</f>
        <v>972</v>
      </c>
      <c r="BH387" s="336">
        <f>'[3]Domestic Mobile Operations'!AG$19</f>
        <v>979</v>
      </c>
      <c r="BI387" s="336">
        <f>'[3]Domestic Mobile Operations'!AH$19</f>
        <v>989</v>
      </c>
      <c r="BJ387" s="334">
        <f>SUM(BF387:BI387)</f>
        <v>3940</v>
      </c>
      <c r="BK387" s="336">
        <f>'[3]Domestic Mobile Operations'!AI$19</f>
        <v>984</v>
      </c>
      <c r="BL387" s="336">
        <f>'[3]Domestic Mobile Operations'!AJ$19</f>
        <v>974</v>
      </c>
      <c r="BM387" s="336">
        <f>'[3]Domestic Mobile Operations'!AK$19</f>
        <v>956</v>
      </c>
      <c r="BN387" s="336">
        <f>'[3]Domestic Mobile Operations'!AL$19</f>
        <v>967</v>
      </c>
      <c r="BO387" s="334">
        <f>SUM(BK387:BN387)</f>
        <v>3881</v>
      </c>
      <c r="BP387" s="336">
        <f>'[3]Domestic Mobile Operations'!AM$19</f>
        <v>974</v>
      </c>
      <c r="BQ387" s="336">
        <f>'[3]Domestic Mobile Operations'!AN$19</f>
        <v>1002</v>
      </c>
      <c r="BR387" s="336">
        <f>'[3]Domestic Mobile Operations'!AO$19</f>
        <v>1030</v>
      </c>
      <c r="BS387" s="336">
        <f>'[3]Domestic Mobile Operations'!AP$19</f>
        <v>1019</v>
      </c>
      <c r="BT387" s="334">
        <f>SUM(BP387:BS387)</f>
        <v>4025</v>
      </c>
      <c r="BU387" s="336">
        <f>'[3]Domestic Mobile Operations'!AQ$19</f>
        <v>785</v>
      </c>
      <c r="BV387" s="336">
        <f>'[3]Domestic Mobile Operations'!AR$19</f>
        <v>810</v>
      </c>
      <c r="BW387" s="336">
        <f>'[3]Domestic Mobile Operations'!AS$19</f>
        <v>830</v>
      </c>
      <c r="BX387" s="336">
        <f>'[3]Domestic Mobile Operations'!AT$19</f>
        <v>850</v>
      </c>
      <c r="BY387" s="334">
        <f>SUM(BU387:BX387)</f>
        <v>3275</v>
      </c>
      <c r="BZ387" s="336">
        <f>'[3]Domestic Mobile Operations'!AU$19</f>
        <v>864</v>
      </c>
      <c r="CA387" s="336">
        <f>'[3]Domestic Mobile Operations'!AV$19</f>
        <v>871</v>
      </c>
      <c r="CB387" s="336">
        <f>'[3]Domestic Mobile Operations'!AW$19</f>
        <v>882</v>
      </c>
      <c r="CC387" s="336">
        <f>'[3]Domestic Mobile Operations'!AX$19</f>
        <v>903</v>
      </c>
      <c r="CD387" s="334"/>
      <c r="CE387" s="336">
        <f>'[3]Domestic Mobile Operations'!AY$19</f>
        <v>911</v>
      </c>
      <c r="CF387" s="336">
        <f>'[3]Domestic Mobile Operations'!AZ$19</f>
        <v>916</v>
      </c>
      <c r="CG387" s="336">
        <f>'[3]Domestic Mobile Operations'!BA$19</f>
        <v>925</v>
      </c>
      <c r="CH387" s="336">
        <f>'[3]Domestic Mobile Operations'!BB$19</f>
        <v>948</v>
      </c>
      <c r="CI387" s="334"/>
      <c r="CJ387" s="336">
        <f>'[3]Domestic Mobile Operations'!BC$19</f>
        <v>924</v>
      </c>
      <c r="CK387" s="336">
        <f>'[3]Domestic Mobile Operations'!BD$19</f>
        <v>933</v>
      </c>
      <c r="CL387" s="336">
        <f>'[3]Domestic Mobile Operations'!BE$19</f>
        <v>952</v>
      </c>
      <c r="CM387" s="336">
        <f>'[3]Domestic Mobile Operations'!BF$19</f>
        <v>976</v>
      </c>
      <c r="CN387" s="334"/>
      <c r="CO387" s="336">
        <f>'[3]Domestic Mobile Operations'!BG$19</f>
        <v>963</v>
      </c>
      <c r="CP387" s="336">
        <f>'[3]Domestic Mobile Operations'!BH$19</f>
        <v>972</v>
      </c>
      <c r="CQ387" s="334"/>
      <c r="CR387" s="334"/>
      <c r="CS387" s="334"/>
      <c r="CT387" s="334"/>
      <c r="CU387" s="334"/>
      <c r="CV387" s="334"/>
      <c r="CW387" s="334"/>
      <c r="CX387" s="159"/>
      <c r="CY387" s="159"/>
      <c r="CZ387" s="159"/>
      <c r="DA387" s="159"/>
      <c r="DB387" s="159"/>
      <c r="DC387" s="165"/>
      <c r="DD387" s="165"/>
      <c r="ED387" s="221"/>
      <c r="EE387" s="221"/>
      <c r="EQ387" s="221"/>
      <c r="ER387" s="221"/>
      <c r="ES387" s="221"/>
    </row>
    <row r="388" spans="1:152" s="221" customFormat="1" hidden="1" outlineLevel="1">
      <c r="A388" s="337" t="s">
        <v>514</v>
      </c>
      <c r="B388" s="338"/>
      <c r="C388" s="338"/>
      <c r="D388" s="338"/>
      <c r="E388" s="338"/>
      <c r="F388" s="339">
        <f t="shared" ref="F388:AS388" si="1412">F382+F384</f>
        <v>2078</v>
      </c>
      <c r="G388" s="339">
        <f t="shared" si="1412"/>
        <v>7937.8</v>
      </c>
      <c r="H388" s="339">
        <f t="shared" si="1412"/>
        <v>1954</v>
      </c>
      <c r="I388" s="339">
        <f t="shared" si="1412"/>
        <v>1962</v>
      </c>
      <c r="J388" s="339">
        <f t="shared" si="1412"/>
        <v>2013</v>
      </c>
      <c r="K388" s="339">
        <f t="shared" si="1412"/>
        <v>2075</v>
      </c>
      <c r="L388" s="339">
        <f t="shared" si="1412"/>
        <v>8004</v>
      </c>
      <c r="M388" s="339">
        <f t="shared" si="1412"/>
        <v>2023</v>
      </c>
      <c r="N388" s="339">
        <f t="shared" si="1412"/>
        <v>2041</v>
      </c>
      <c r="O388" s="339">
        <f t="shared" si="1412"/>
        <v>2063</v>
      </c>
      <c r="P388" s="339">
        <f t="shared" si="1412"/>
        <v>2152</v>
      </c>
      <c r="Q388" s="339">
        <f t="shared" si="1412"/>
        <v>8279</v>
      </c>
      <c r="R388" s="339">
        <f t="shared" si="1412"/>
        <v>2038</v>
      </c>
      <c r="S388" s="339">
        <f t="shared" si="1412"/>
        <v>2075</v>
      </c>
      <c r="T388" s="339">
        <f t="shared" si="1412"/>
        <v>2163</v>
      </c>
      <c r="U388" s="339">
        <f t="shared" si="1412"/>
        <v>2170</v>
      </c>
      <c r="V388" s="339">
        <f t="shared" si="1412"/>
        <v>8446</v>
      </c>
      <c r="W388" s="339">
        <f t="shared" si="1412"/>
        <v>2036</v>
      </c>
      <c r="X388" s="339">
        <f t="shared" si="1412"/>
        <v>2081</v>
      </c>
      <c r="Y388" s="339">
        <f t="shared" si="1412"/>
        <v>2066</v>
      </c>
      <c r="Z388" s="339">
        <f t="shared" si="1412"/>
        <v>2111</v>
      </c>
      <c r="AA388" s="339">
        <f t="shared" si="1412"/>
        <v>8294</v>
      </c>
      <c r="AB388" s="339">
        <f t="shared" si="1412"/>
        <v>2066</v>
      </c>
      <c r="AC388" s="339">
        <f t="shared" si="1412"/>
        <v>2063</v>
      </c>
      <c r="AD388" s="339">
        <f t="shared" si="1412"/>
        <v>2051</v>
      </c>
      <c r="AE388" s="339">
        <f t="shared" si="1412"/>
        <v>2024</v>
      </c>
      <c r="AF388" s="339">
        <f t="shared" si="1412"/>
        <v>8147.3720000000003</v>
      </c>
      <c r="AG388" s="339">
        <f t="shared" si="1412"/>
        <v>1953</v>
      </c>
      <c r="AH388" s="339">
        <f t="shared" si="1412"/>
        <v>1955</v>
      </c>
      <c r="AI388" s="339">
        <f t="shared" si="1412"/>
        <v>1946</v>
      </c>
      <c r="AJ388" s="339">
        <f t="shared" si="1412"/>
        <v>1988</v>
      </c>
      <c r="AK388" s="339">
        <f t="shared" si="1412"/>
        <v>7857</v>
      </c>
      <c r="AL388" s="339">
        <f t="shared" si="1412"/>
        <v>2019</v>
      </c>
      <c r="AM388" s="339">
        <f t="shared" si="1412"/>
        <v>1984</v>
      </c>
      <c r="AN388" s="339">
        <f t="shared" si="1412"/>
        <v>2046</v>
      </c>
      <c r="AO388" s="339">
        <f t="shared" si="1412"/>
        <v>2047</v>
      </c>
      <c r="AP388" s="339">
        <f t="shared" si="1412"/>
        <v>8096</v>
      </c>
      <c r="AQ388" s="339">
        <f t="shared" si="1412"/>
        <v>2005</v>
      </c>
      <c r="AR388" s="339">
        <f t="shared" si="1412"/>
        <v>1934</v>
      </c>
      <c r="AS388" s="339">
        <f t="shared" si="1412"/>
        <v>1982</v>
      </c>
      <c r="AT388" s="339">
        <v>2028</v>
      </c>
      <c r="AU388" s="339">
        <f t="shared" ref="AU388:BH388" si="1413">AU382+AU384</f>
        <v>7949</v>
      </c>
      <c r="AV388" s="339">
        <f t="shared" si="1413"/>
        <v>2241</v>
      </c>
      <c r="AW388" s="339">
        <f t="shared" si="1413"/>
        <v>2194</v>
      </c>
      <c r="AX388" s="339">
        <f t="shared" si="1413"/>
        <v>2187</v>
      </c>
      <c r="AY388" s="339">
        <f t="shared" si="1413"/>
        <v>2237</v>
      </c>
      <c r="AZ388" s="339">
        <f t="shared" si="1413"/>
        <v>8859</v>
      </c>
      <c r="BA388" s="339">
        <f t="shared" si="1413"/>
        <v>2091</v>
      </c>
      <c r="BB388" s="339">
        <f t="shared" si="1413"/>
        <v>2096</v>
      </c>
      <c r="BC388" s="339">
        <f t="shared" si="1413"/>
        <v>2113</v>
      </c>
      <c r="BD388" s="339">
        <f t="shared" si="1413"/>
        <v>2295</v>
      </c>
      <c r="BE388" s="339">
        <f t="shared" si="1413"/>
        <v>8595</v>
      </c>
      <c r="BF388" s="339">
        <f t="shared" si="1413"/>
        <v>2082</v>
      </c>
      <c r="BG388" s="339">
        <f t="shared" si="1413"/>
        <v>2051</v>
      </c>
      <c r="BH388" s="339">
        <f t="shared" si="1413"/>
        <v>2118</v>
      </c>
      <c r="BI388" s="339">
        <f t="shared" ref="BI388:BV388" si="1414">BI382+BI384</f>
        <v>2370</v>
      </c>
      <c r="BJ388" s="339">
        <f t="shared" si="1414"/>
        <v>8621</v>
      </c>
      <c r="BK388" s="339">
        <f t="shared" si="1414"/>
        <v>2099</v>
      </c>
      <c r="BL388" s="339">
        <f t="shared" si="1414"/>
        <v>1911</v>
      </c>
      <c r="BM388" s="339">
        <f t="shared" si="1414"/>
        <v>1946</v>
      </c>
      <c r="BN388" s="339">
        <f t="shared" si="1414"/>
        <v>1979</v>
      </c>
      <c r="BO388" s="339">
        <f t="shared" si="1414"/>
        <v>7935</v>
      </c>
      <c r="BP388" s="339">
        <f t="shared" si="1414"/>
        <v>1933</v>
      </c>
      <c r="BQ388" s="339">
        <f t="shared" si="1414"/>
        <v>1963</v>
      </c>
      <c r="BR388" s="339">
        <f t="shared" si="1414"/>
        <v>1953</v>
      </c>
      <c r="BS388" s="339">
        <f t="shared" si="1414"/>
        <v>2114</v>
      </c>
      <c r="BT388" s="339">
        <f t="shared" si="1414"/>
        <v>7963</v>
      </c>
      <c r="BU388" s="340">
        <f t="shared" si="1414"/>
        <v>1818</v>
      </c>
      <c r="BV388" s="340">
        <f t="shared" si="1414"/>
        <v>1829</v>
      </c>
      <c r="BW388" s="340">
        <f t="shared" ref="BW388:BZ388" si="1415">BW382+BW384</f>
        <v>1803</v>
      </c>
      <c r="BX388" s="340">
        <f t="shared" si="1415"/>
        <v>1971</v>
      </c>
      <c r="BY388" s="339">
        <f t="shared" si="1415"/>
        <v>7421</v>
      </c>
      <c r="BZ388" s="340">
        <f t="shared" si="1415"/>
        <v>1939</v>
      </c>
      <c r="CA388" s="340">
        <f t="shared" ref="CA388:CB388" si="1416">CA382+CA384</f>
        <v>1879</v>
      </c>
      <c r="CB388" s="340">
        <f t="shared" si="1416"/>
        <v>1831</v>
      </c>
      <c r="CC388" s="340">
        <f t="shared" ref="CC388:CE388" si="1417">CC382+CC384</f>
        <v>2098</v>
      </c>
      <c r="CD388" s="339">
        <f t="shared" ref="CD388:CS388" si="1418">CD382+CD384</f>
        <v>7791.7324000000008</v>
      </c>
      <c r="CE388" s="340">
        <f t="shared" si="1417"/>
        <v>1972</v>
      </c>
      <c r="CF388" s="340">
        <f t="shared" ref="CF388:CG388" si="1419">CF382+CF384</f>
        <v>1934</v>
      </c>
      <c r="CG388" s="340">
        <f t="shared" si="1419"/>
        <v>1929</v>
      </c>
      <c r="CH388" s="340">
        <f t="shared" ref="CH388" si="1420">CH382+CH384</f>
        <v>2098</v>
      </c>
      <c r="CI388" s="339">
        <f t="shared" si="1418"/>
        <v>7840.4915500000006</v>
      </c>
      <c r="CJ388" s="340">
        <f t="shared" si="1418"/>
        <v>1956</v>
      </c>
      <c r="CK388" s="340">
        <f t="shared" ref="CK388:CL388" si="1421">CK382+CK384</f>
        <v>1901</v>
      </c>
      <c r="CL388" s="340">
        <f t="shared" si="1421"/>
        <v>1916</v>
      </c>
      <c r="CM388" s="340">
        <f t="shared" ref="CM388:CP388" si="1422">CM382+CM384</f>
        <v>2180</v>
      </c>
      <c r="CN388" s="339">
        <f t="shared" si="1422"/>
        <v>7852.7104999999992</v>
      </c>
      <c r="CO388" s="340">
        <f t="shared" si="1422"/>
        <v>2061</v>
      </c>
      <c r="CP388" s="340">
        <f t="shared" si="1422"/>
        <v>1988</v>
      </c>
      <c r="CQ388" s="339">
        <f t="shared" si="1418"/>
        <v>8192.4104132495813</v>
      </c>
      <c r="CR388" s="339">
        <f t="shared" si="1418"/>
        <v>8338.4476062057001</v>
      </c>
      <c r="CS388" s="339">
        <f t="shared" si="1418"/>
        <v>8513.4366986781624</v>
      </c>
      <c r="CT388" s="339">
        <f t="shared" ref="CT388:CV388" si="1423">CT382+CT384</f>
        <v>8686.8076673059222</v>
      </c>
      <c r="CU388" s="339">
        <f t="shared" si="1423"/>
        <v>8858.9608879158513</v>
      </c>
      <c r="CV388" s="339">
        <f t="shared" si="1423"/>
        <v>9030.2657946575455</v>
      </c>
      <c r="CW388" s="339">
        <f t="shared" ref="CW388" si="1424">CW382+CW384</f>
        <v>9201.0637900095699</v>
      </c>
      <c r="CX388" s="165"/>
      <c r="CY388" s="165"/>
      <c r="CZ388" s="165"/>
      <c r="DA388" s="165"/>
      <c r="DB388" s="165"/>
      <c r="DC388" s="165"/>
      <c r="DD388" s="165"/>
    </row>
    <row r="389" spans="1:152" hidden="1" outlineLevel="1">
      <c r="A389" s="329" t="s">
        <v>64</v>
      </c>
      <c r="B389" s="284"/>
      <c r="C389" s="284"/>
      <c r="D389" s="284"/>
      <c r="E389" s="284"/>
      <c r="F389" s="285"/>
      <c r="G389" s="285"/>
      <c r="H389" s="285"/>
      <c r="I389" s="285"/>
      <c r="J389" s="285"/>
      <c r="K389" s="285"/>
      <c r="L389" s="285"/>
      <c r="M389" s="285"/>
      <c r="N389" s="285"/>
      <c r="O389" s="285"/>
      <c r="P389" s="285"/>
      <c r="Q389" s="285"/>
      <c r="R389" s="285"/>
      <c r="S389" s="285"/>
      <c r="T389" s="285"/>
      <c r="U389" s="285"/>
      <c r="V389" s="285"/>
      <c r="W389" s="285"/>
      <c r="X389" s="285"/>
      <c r="Y389" s="285"/>
      <c r="Z389" s="285"/>
      <c r="AA389" s="201">
        <f t="shared" ref="AA389:CP389" si="1425">AA388/V388-1</f>
        <v>-1.799668482121719E-2</v>
      </c>
      <c r="AB389" s="201">
        <f t="shared" si="1425"/>
        <v>1.4734774066797574E-2</v>
      </c>
      <c r="AC389" s="201">
        <f t="shared" si="1425"/>
        <v>-8.6496876501681585E-3</v>
      </c>
      <c r="AD389" s="201">
        <f t="shared" si="1425"/>
        <v>-7.2604065827686082E-3</v>
      </c>
      <c r="AE389" s="201">
        <f t="shared" si="1425"/>
        <v>-4.1212695405021371E-2</v>
      </c>
      <c r="AF389" s="201">
        <f t="shared" si="1425"/>
        <v>-1.7678803954666034E-2</v>
      </c>
      <c r="AG389" s="201">
        <f t="shared" si="1425"/>
        <v>-5.4695062923523663E-2</v>
      </c>
      <c r="AH389" s="201">
        <f t="shared" si="1425"/>
        <v>-5.2350945225399848E-2</v>
      </c>
      <c r="AI389" s="201">
        <f t="shared" si="1425"/>
        <v>-5.1194539249146742E-2</v>
      </c>
      <c r="AJ389" s="201">
        <f t="shared" si="1425"/>
        <v>-1.7786561264822143E-2</v>
      </c>
      <c r="AK389" s="201">
        <f t="shared" si="1425"/>
        <v>-3.563995850441104E-2</v>
      </c>
      <c r="AL389" s="201">
        <f t="shared" si="1425"/>
        <v>3.3794162826420893E-2</v>
      </c>
      <c r="AM389" s="201">
        <f t="shared" si="1425"/>
        <v>1.4833759590792805E-2</v>
      </c>
      <c r="AN389" s="201">
        <f t="shared" si="1425"/>
        <v>5.1387461459403871E-2</v>
      </c>
      <c r="AO389" s="201">
        <f t="shared" si="1425"/>
        <v>2.9678068410462721E-2</v>
      </c>
      <c r="AP389" s="201">
        <f t="shared" si="1425"/>
        <v>3.0418734886088927E-2</v>
      </c>
      <c r="AQ389" s="201">
        <f t="shared" si="1425"/>
        <v>-6.9341258048538634E-3</v>
      </c>
      <c r="AR389" s="201">
        <f t="shared" si="1425"/>
        <v>-2.5201612903225756E-2</v>
      </c>
      <c r="AS389" s="201">
        <f t="shared" si="1425"/>
        <v>-3.128054740957964E-2</v>
      </c>
      <c r="AT389" s="201">
        <f t="shared" si="1425"/>
        <v>-9.2818759159746245E-3</v>
      </c>
      <c r="AU389" s="201">
        <f t="shared" si="1425"/>
        <v>-1.8157114624505977E-2</v>
      </c>
      <c r="AV389" s="201">
        <f t="shared" si="1425"/>
        <v>0.11770573566084797</v>
      </c>
      <c r="AW389" s="201">
        <f t="shared" si="1425"/>
        <v>0.13443640124095135</v>
      </c>
      <c r="AX389" s="201">
        <f t="shared" si="1425"/>
        <v>0.10343087790110994</v>
      </c>
      <c r="AY389" s="201">
        <f t="shared" si="1425"/>
        <v>0.10305719921104539</v>
      </c>
      <c r="AZ389" s="201">
        <f t="shared" si="1425"/>
        <v>0.11447980878097863</v>
      </c>
      <c r="BA389" s="201">
        <f t="shared" si="1425"/>
        <v>-6.6934404283801929E-2</v>
      </c>
      <c r="BB389" s="201">
        <f t="shared" si="1425"/>
        <v>-4.466727438468554E-2</v>
      </c>
      <c r="BC389" s="201">
        <f t="shared" si="1425"/>
        <v>-3.3836305441243719E-2</v>
      </c>
      <c r="BD389" s="201">
        <f t="shared" si="1425"/>
        <v>2.5927581582476433E-2</v>
      </c>
      <c r="BE389" s="201">
        <f t="shared" si="1425"/>
        <v>-2.9800203183203533E-2</v>
      </c>
      <c r="BF389" s="201">
        <f t="shared" si="1425"/>
        <v>-4.3041606886656814E-3</v>
      </c>
      <c r="BG389" s="201">
        <f t="shared" si="1425"/>
        <v>-2.1469465648854991E-2</v>
      </c>
      <c r="BH389" s="201">
        <f t="shared" si="1425"/>
        <v>2.3663038334122977E-3</v>
      </c>
      <c r="BI389" s="201">
        <f t="shared" si="1425"/>
        <v>3.2679738562091609E-2</v>
      </c>
      <c r="BJ389" s="201">
        <f t="shared" si="1425"/>
        <v>3.025014543339255E-3</v>
      </c>
      <c r="BK389" s="201">
        <f t="shared" si="1425"/>
        <v>8.1652257444764231E-3</v>
      </c>
      <c r="BL389" s="201">
        <f t="shared" si="1425"/>
        <v>-6.8259385665529027E-2</v>
      </c>
      <c r="BM389" s="201">
        <f t="shared" si="1425"/>
        <v>-8.1208687440982086E-2</v>
      </c>
      <c r="BN389" s="201">
        <f t="shared" si="1425"/>
        <v>-0.16497890295358653</v>
      </c>
      <c r="BO389" s="201">
        <f t="shared" si="1425"/>
        <v>-7.9573135367126735E-2</v>
      </c>
      <c r="BP389" s="201">
        <f t="shared" si="1425"/>
        <v>-7.9085278704144835E-2</v>
      </c>
      <c r="BQ389" s="201">
        <f t="shared" si="1425"/>
        <v>2.7210884353741527E-2</v>
      </c>
      <c r="BR389" s="201">
        <f t="shared" si="1425"/>
        <v>3.597122302158251E-3</v>
      </c>
      <c r="BS389" s="201">
        <f t="shared" si="1425"/>
        <v>6.8216270843860505E-2</v>
      </c>
      <c r="BT389" s="201">
        <f t="shared" si="1425"/>
        <v>3.5286704473849184E-3</v>
      </c>
      <c r="BU389" s="202">
        <f t="shared" si="1425"/>
        <v>-5.949301603724777E-2</v>
      </c>
      <c r="BV389" s="202">
        <f t="shared" si="1425"/>
        <v>-6.8262862964849735E-2</v>
      </c>
      <c r="BW389" s="202">
        <f t="shared" si="1425"/>
        <v>-7.6804915514592897E-2</v>
      </c>
      <c r="BX389" s="202">
        <f t="shared" si="1425"/>
        <v>-6.7644276253547742E-2</v>
      </c>
      <c r="BY389" s="201">
        <f t="shared" si="1425"/>
        <v>-6.8064799698606016E-2</v>
      </c>
      <c r="BZ389" s="202">
        <f t="shared" si="1425"/>
        <v>6.6556655665566566E-2</v>
      </c>
      <c r="CA389" s="202">
        <f t="shared" si="1425"/>
        <v>2.7337342810278775E-2</v>
      </c>
      <c r="CB389" s="202">
        <f t="shared" si="1425"/>
        <v>1.5529672767609526E-2</v>
      </c>
      <c r="CC389" s="202">
        <f t="shared" si="1425"/>
        <v>6.4434297311009692E-2</v>
      </c>
      <c r="CD389" s="201">
        <f>CD388/BY388-1</f>
        <v>4.9957202533351452E-2</v>
      </c>
      <c r="CE389" s="202">
        <f t="shared" si="1425"/>
        <v>1.7019082001031416E-2</v>
      </c>
      <c r="CF389" s="202">
        <f t="shared" si="1425"/>
        <v>2.9270888770622561E-2</v>
      </c>
      <c r="CG389" s="202">
        <f t="shared" si="1425"/>
        <v>5.3522665210267606E-2</v>
      </c>
      <c r="CH389" s="202">
        <f t="shared" si="1425"/>
        <v>0</v>
      </c>
      <c r="CI389" s="201">
        <f>CI388/CD388-1</f>
        <v>6.2578060304021577E-3</v>
      </c>
      <c r="CJ389" s="202">
        <f t="shared" si="1425"/>
        <v>-8.113590263691739E-3</v>
      </c>
      <c r="CK389" s="202">
        <f t="shared" si="1425"/>
        <v>-1.7063081695966931E-2</v>
      </c>
      <c r="CL389" s="202">
        <f t="shared" si="1425"/>
        <v>-6.7392431311560363E-3</v>
      </c>
      <c r="CM389" s="202">
        <f t="shared" si="1425"/>
        <v>3.908484270734025E-2</v>
      </c>
      <c r="CN389" s="201">
        <f>CN388/CI388-1</f>
        <v>1.5584418300913505E-3</v>
      </c>
      <c r="CO389" s="202">
        <f t="shared" si="1425"/>
        <v>5.3680981595092048E-2</v>
      </c>
      <c r="CP389" s="202">
        <f t="shared" si="1425"/>
        <v>4.5765386638611183E-2</v>
      </c>
      <c r="CQ389" s="201">
        <f>CQ388/CN388-1</f>
        <v>4.3258937566790667E-2</v>
      </c>
      <c r="CR389" s="201">
        <f t="shared" ref="CR389:CS389" si="1426">CR388/CQ388-1</f>
        <v>1.7825912715497383E-2</v>
      </c>
      <c r="CS389" s="201">
        <f t="shared" si="1426"/>
        <v>2.0985811836513824E-2</v>
      </c>
      <c r="CT389" s="201">
        <f t="shared" ref="CT389" si="1427">CT388/CS388-1</f>
        <v>2.0364392755122918E-2</v>
      </c>
      <c r="CU389" s="201">
        <f t="shared" ref="CU389" si="1428">CU388/CT388-1</f>
        <v>1.9817777393397629E-2</v>
      </c>
      <c r="CV389" s="201">
        <f t="shared" ref="CV389:CW389" si="1429">CV388/CU388-1</f>
        <v>1.9336907444231333E-2</v>
      </c>
      <c r="CW389" s="201">
        <f t="shared" si="1429"/>
        <v>1.8913949958490939E-2</v>
      </c>
      <c r="CX389" s="159"/>
      <c r="CY389" s="159"/>
      <c r="CZ389" s="159"/>
      <c r="DA389" s="159"/>
      <c r="DB389" s="159"/>
      <c r="DC389" s="165"/>
      <c r="DD389" s="165"/>
      <c r="ED389" s="221"/>
      <c r="EE389" s="221"/>
      <c r="EQ389" s="221"/>
      <c r="ER389" s="221"/>
      <c r="ES389" s="221"/>
    </row>
    <row r="390" spans="1:152" hidden="1" outlineLevel="1">
      <c r="A390" s="278"/>
      <c r="B390" s="284"/>
      <c r="C390" s="284"/>
      <c r="D390" s="284"/>
      <c r="E390" s="284"/>
      <c r="F390" s="339"/>
      <c r="G390" s="339"/>
      <c r="H390" s="339"/>
      <c r="I390" s="339"/>
      <c r="J390" s="339"/>
      <c r="K390" s="339"/>
      <c r="L390" s="339"/>
      <c r="M390" s="339"/>
      <c r="N390" s="339"/>
      <c r="O390" s="339"/>
      <c r="P390" s="339"/>
      <c r="Q390" s="339"/>
      <c r="R390" s="339"/>
      <c r="S390" s="339"/>
      <c r="T390" s="339"/>
      <c r="U390" s="339"/>
      <c r="V390" s="339"/>
      <c r="W390" s="339"/>
      <c r="X390" s="339"/>
      <c r="Y390" s="339"/>
      <c r="Z390" s="339"/>
      <c r="AA390" s="341"/>
      <c r="AB390" s="341"/>
      <c r="AC390" s="341"/>
      <c r="AD390" s="341"/>
      <c r="AE390" s="341"/>
      <c r="AF390" s="341"/>
      <c r="AG390" s="341"/>
      <c r="AH390" s="341"/>
      <c r="AI390" s="341"/>
      <c r="AJ390" s="341"/>
      <c r="AK390" s="341"/>
      <c r="AL390" s="341"/>
      <c r="AM390" s="341"/>
      <c r="AN390" s="341"/>
      <c r="AO390" s="341"/>
      <c r="AP390" s="341"/>
      <c r="AQ390" s="341"/>
      <c r="AR390" s="341"/>
      <c r="AS390" s="341"/>
      <c r="AT390" s="341"/>
      <c r="AU390" s="341"/>
      <c r="AV390" s="341"/>
      <c r="AW390" s="341"/>
      <c r="AX390" s="341"/>
      <c r="AY390" s="341"/>
      <c r="AZ390" s="341"/>
      <c r="BA390" s="341"/>
      <c r="BB390" s="341"/>
      <c r="BC390" s="341"/>
      <c r="BD390" s="341"/>
      <c r="BE390" s="341"/>
      <c r="BF390" s="341"/>
      <c r="BG390" s="341"/>
      <c r="BH390" s="341"/>
      <c r="BI390" s="341"/>
      <c r="BJ390" s="341"/>
      <c r="BK390" s="341"/>
      <c r="BL390" s="341"/>
      <c r="BM390" s="341"/>
      <c r="BN390" s="341"/>
      <c r="BO390" s="341"/>
      <c r="BP390" s="341"/>
      <c r="BQ390" s="341"/>
      <c r="BR390" s="341"/>
      <c r="BS390" s="341"/>
      <c r="BT390" s="341"/>
      <c r="BU390" s="342"/>
      <c r="BV390" s="342"/>
      <c r="BW390" s="342"/>
      <c r="BX390" s="342"/>
      <c r="BY390" s="341"/>
      <c r="BZ390" s="342"/>
      <c r="CA390" s="342"/>
      <c r="CB390" s="342"/>
      <c r="CC390" s="342"/>
      <c r="CD390" s="341"/>
      <c r="CE390" s="342"/>
      <c r="CF390" s="342"/>
      <c r="CG390" s="342"/>
      <c r="CH390" s="342"/>
      <c r="CI390" s="341"/>
      <c r="CJ390" s="342"/>
      <c r="CK390" s="342"/>
      <c r="CL390" s="342"/>
      <c r="CM390" s="342"/>
      <c r="CN390" s="341"/>
      <c r="CO390" s="342"/>
      <c r="CP390" s="342"/>
      <c r="CQ390" s="341"/>
      <c r="CR390" s="341"/>
      <c r="CS390" s="341"/>
      <c r="CT390" s="341"/>
      <c r="CU390" s="341"/>
      <c r="CV390" s="341"/>
      <c r="CW390" s="341"/>
      <c r="CX390" s="159"/>
      <c r="CY390" s="159"/>
      <c r="CZ390" s="159"/>
      <c r="DA390" s="159"/>
      <c r="DB390" s="159"/>
      <c r="DC390" s="165"/>
      <c r="DD390" s="165"/>
      <c r="ED390" s="221"/>
      <c r="EE390" s="221"/>
      <c r="EQ390" s="221"/>
      <c r="ER390" s="221"/>
      <c r="ES390" s="221"/>
    </row>
    <row r="391" spans="1:152" ht="15" hidden="1" customHeight="1" outlineLevel="1">
      <c r="A391" s="278" t="s">
        <v>553</v>
      </c>
      <c r="B391" s="343">
        <v>534.20000000000005</v>
      </c>
      <c r="C391" s="260"/>
      <c r="D391" s="260"/>
      <c r="E391" s="260"/>
      <c r="F391" s="343">
        <v>126</v>
      </c>
      <c r="G391" s="343">
        <v>635</v>
      </c>
      <c r="H391" s="343">
        <v>130</v>
      </c>
      <c r="I391" s="343">
        <v>95</v>
      </c>
      <c r="J391" s="343">
        <v>103</v>
      </c>
      <c r="K391" s="343">
        <v>92</v>
      </c>
      <c r="L391" s="343">
        <v>420</v>
      </c>
      <c r="M391" s="343">
        <v>86</v>
      </c>
      <c r="N391" s="343">
        <v>105</v>
      </c>
      <c r="O391" s="343">
        <v>106</v>
      </c>
      <c r="P391" s="343">
        <v>108</v>
      </c>
      <c r="Q391" s="343">
        <v>405</v>
      </c>
      <c r="R391" s="343">
        <v>48</v>
      </c>
      <c r="S391" s="343">
        <v>30</v>
      </c>
      <c r="T391" s="343">
        <v>33</v>
      </c>
      <c r="U391" s="343">
        <v>45</v>
      </c>
      <c r="V391" s="343">
        <v>156</v>
      </c>
      <c r="W391" s="343">
        <v>46</v>
      </c>
      <c r="X391" s="343">
        <v>79</v>
      </c>
      <c r="Y391" s="343">
        <v>88</v>
      </c>
      <c r="Z391" s="343">
        <v>129</v>
      </c>
      <c r="AA391" s="343">
        <v>342</v>
      </c>
      <c r="AB391" s="343">
        <v>184</v>
      </c>
      <c r="AC391" s="343">
        <v>158</v>
      </c>
      <c r="AD391" s="343">
        <v>112</v>
      </c>
      <c r="AE391" s="343">
        <v>116</v>
      </c>
      <c r="AF391" s="343">
        <v>570</v>
      </c>
      <c r="AG391" s="343">
        <v>82</v>
      </c>
      <c r="AH391" s="343">
        <v>36</v>
      </c>
      <c r="AI391" s="343">
        <v>24</v>
      </c>
      <c r="AJ391" s="343">
        <v>33</v>
      </c>
      <c r="AK391" s="343">
        <v>175</v>
      </c>
      <c r="AL391" s="343">
        <v>27</v>
      </c>
      <c r="AM391" s="343">
        <v>21</v>
      </c>
      <c r="AN391" s="343">
        <v>12</v>
      </c>
      <c r="AO391" s="343">
        <v>21</v>
      </c>
      <c r="AP391" s="343">
        <v>81</v>
      </c>
      <c r="AQ391" s="343">
        <v>18</v>
      </c>
      <c r="AR391" s="343">
        <v>47</v>
      </c>
      <c r="AS391" s="343">
        <v>43</v>
      </c>
      <c r="AT391" s="343">
        <v>49</v>
      </c>
      <c r="AU391" s="343">
        <f>SUM(AQ391:AT391)</f>
        <v>157</v>
      </c>
      <c r="AV391" s="343">
        <f>'[3]Profit and Loss Highlights'!W$12</f>
        <v>72</v>
      </c>
      <c r="AW391" s="343">
        <f>'[3]Profit and Loss Highlights'!X$12</f>
        <v>76</v>
      </c>
      <c r="AX391" s="343">
        <f>'[3]Profit and Loss Highlights'!Y$12</f>
        <v>75</v>
      </c>
      <c r="AY391" s="343">
        <f>'[3]Profit and Loss Highlights'!Z$12</f>
        <v>69</v>
      </c>
      <c r="AZ391" s="343">
        <f>SUM(AV391:AY391)</f>
        <v>292</v>
      </c>
      <c r="BA391" s="343">
        <f>'[3]Profit and Loss Highlights'!AA$12</f>
        <v>71</v>
      </c>
      <c r="BB391" s="343">
        <f>'[3]Profit and Loss Highlights'!AB$12</f>
        <v>71</v>
      </c>
      <c r="BC391" s="343">
        <f>'[3]Profit and Loss Highlights'!AC$12</f>
        <v>71</v>
      </c>
      <c r="BD391" s="343">
        <f>'[3]Profit and Loss Highlights'!AD$12</f>
        <v>70</v>
      </c>
      <c r="BE391" s="343">
        <f>SUM(BA391:BD391)</f>
        <v>283</v>
      </c>
      <c r="BF391" s="343">
        <f>'[3]Profit and Loss Highlights'!AE$12</f>
        <v>70</v>
      </c>
      <c r="BG391" s="343">
        <f>'[3]Profit and Loss Highlights'!AF$12</f>
        <v>69</v>
      </c>
      <c r="BH391" s="343">
        <f>'[3]Profit and Loss Highlights'!AG$12</f>
        <v>72</v>
      </c>
      <c r="BI391" s="343">
        <f>'[3]Profit and Loss Highlights'!AH$12</f>
        <v>116</v>
      </c>
      <c r="BJ391" s="343">
        <f>SUM(BF391:BI391)</f>
        <v>327</v>
      </c>
      <c r="BK391" s="343">
        <f>'[3]Profit and Loss Highlights'!AI$12</f>
        <v>129</v>
      </c>
      <c r="BL391" s="343">
        <f>'[3]Profit and Loss Highlights'!AJ$12</f>
        <v>127</v>
      </c>
      <c r="BM391" s="343">
        <f>'[3]Profit and Loss Highlights'!AK$12</f>
        <v>147</v>
      </c>
      <c r="BN391" s="343">
        <f>'[3]Profit and Loss Highlights'!AL$12</f>
        <v>155</v>
      </c>
      <c r="BO391" s="343">
        <f>SUM(BK391:BN391)</f>
        <v>558</v>
      </c>
      <c r="BP391" s="343">
        <f>'[3]Profit and Loss Highlights'!AM$12</f>
        <v>136</v>
      </c>
      <c r="BQ391" s="343">
        <f>'[3]Profit and Loss Highlights'!AN$12</f>
        <v>135</v>
      </c>
      <c r="BR391" s="343">
        <f>'[3]Profit and Loss Highlights'!AO$12</f>
        <v>137</v>
      </c>
      <c r="BS391" s="343">
        <f>'[3]Profit and Loss Highlights'!AP$12</f>
        <v>151</v>
      </c>
      <c r="BT391" s="343">
        <f>SUM(BP391:BS391)</f>
        <v>559</v>
      </c>
      <c r="BU391" s="344">
        <f>'[3]Profit and Loss Highlights'!AQ$12</f>
        <v>141</v>
      </c>
      <c r="BV391" s="344">
        <f>'[3]Profit and Loss Highlights'!AR$12</f>
        <v>135</v>
      </c>
      <c r="BW391" s="344">
        <f>'[3]Profit and Loss Highlights'!AS$12</f>
        <v>131</v>
      </c>
      <c r="BX391" s="344">
        <f>'[3]Profit and Loss Highlights'!AT$12</f>
        <v>103</v>
      </c>
      <c r="BY391" s="343">
        <f>SUM(BU391:BX391)</f>
        <v>510</v>
      </c>
      <c r="BZ391" s="344">
        <f>'[3]Profit and Loss Highlights'!AU$12</f>
        <v>106</v>
      </c>
      <c r="CA391" s="344">
        <f>'[3]Profit and Loss Highlights'!AV$12</f>
        <v>106</v>
      </c>
      <c r="CB391" s="344">
        <f>'[3]Profit and Loss Highlights'!AW$12</f>
        <v>106</v>
      </c>
      <c r="CC391" s="344">
        <f>'[3]Profit and Loss Highlights'!AX$12</f>
        <v>0</v>
      </c>
      <c r="CD391" s="343">
        <f>BY391*(1+CD392)</f>
        <v>688.5</v>
      </c>
      <c r="CE391" s="344">
        <f>'[3]Profit and Loss Highlights'!AY$12</f>
        <v>0</v>
      </c>
      <c r="CF391" s="344">
        <f>'[3]Profit and Loss Highlights'!AZ$12</f>
        <v>0</v>
      </c>
      <c r="CG391" s="344">
        <f>'[3]Profit and Loss Highlights'!BA$12</f>
        <v>0</v>
      </c>
      <c r="CH391" s="344">
        <f>'[3]Profit and Loss Highlights'!BB$12</f>
        <v>0</v>
      </c>
      <c r="CI391" s="343">
        <f>CD391*(1+CI392)</f>
        <v>895.05000000000007</v>
      </c>
      <c r="CJ391" s="344">
        <f>'[3]Profit and Loss Highlights'!BC$12</f>
        <v>0</v>
      </c>
      <c r="CK391" s="344">
        <f>'[3]Profit and Loss Highlights'!BD$12</f>
        <v>0</v>
      </c>
      <c r="CL391" s="344">
        <f>'[3]Profit and Loss Highlights'!BE$12</f>
        <v>0</v>
      </c>
      <c r="CM391" s="344">
        <f>'[3]Profit and Loss Highlights'!BF$12</f>
        <v>0</v>
      </c>
      <c r="CN391" s="343">
        <f>CI391*(1+CN392)</f>
        <v>1163.5650000000001</v>
      </c>
      <c r="CO391" s="344">
        <f>'[3]Profit and Loss Highlights'!BG$12</f>
        <v>0</v>
      </c>
      <c r="CP391" s="344">
        <f>'[3]Profit and Loss Highlights'!BH$12</f>
        <v>0</v>
      </c>
      <c r="CQ391" s="343">
        <f>CN391*(1+CQ392)</f>
        <v>1454.4562500000002</v>
      </c>
      <c r="CR391" s="343">
        <f t="shared" ref="CR391:CS391" si="1430">CQ391*(1+CR392)</f>
        <v>1672.6246875000002</v>
      </c>
      <c r="CS391" s="343">
        <f t="shared" si="1430"/>
        <v>1848.2502796875001</v>
      </c>
      <c r="CT391" s="343">
        <f t="shared" ref="CT391" si="1431">CS391*(1+CT392)</f>
        <v>2042.3165590546876</v>
      </c>
      <c r="CU391" s="343">
        <f t="shared" ref="CU391" si="1432">CT391*(1+CU392)</f>
        <v>2256.7597977554296</v>
      </c>
      <c r="CV391" s="343">
        <f t="shared" ref="CV391:CW391" si="1433">CU391*(1+CV392)</f>
        <v>2493.7195765197498</v>
      </c>
      <c r="CW391" s="343">
        <f t="shared" si="1433"/>
        <v>2755.5601320543233</v>
      </c>
      <c r="CX391" s="159"/>
      <c r="CY391" s="159"/>
      <c r="CZ391" s="159"/>
      <c r="DA391" s="159"/>
      <c r="DB391" s="159"/>
      <c r="DC391" s="165"/>
      <c r="DD391" s="165"/>
      <c r="DF391" s="226"/>
      <c r="DG391" s="237"/>
      <c r="DH391" s="237"/>
      <c r="DI391" s="237"/>
      <c r="DJ391" s="237"/>
      <c r="DK391" s="237"/>
      <c r="DL391" s="237"/>
      <c r="DM391" s="237"/>
      <c r="DN391" s="237"/>
      <c r="DO391" s="237"/>
    </row>
    <row r="392" spans="1:152" ht="15" hidden="1" customHeight="1" outlineLevel="1">
      <c r="A392" s="329" t="s">
        <v>64</v>
      </c>
      <c r="B392" s="262"/>
      <c r="C392" s="236"/>
      <c r="D392" s="236"/>
      <c r="E392" s="236"/>
      <c r="F392" s="262"/>
      <c r="G392" s="262"/>
      <c r="H392" s="262"/>
      <c r="I392" s="262"/>
      <c r="J392" s="262"/>
      <c r="K392" s="262"/>
      <c r="L392" s="236">
        <f t="shared" ref="L392:BE392" si="1434">L391/G391-1</f>
        <v>-0.33858267716535428</v>
      </c>
      <c r="M392" s="236">
        <f t="shared" si="1434"/>
        <v>-0.33846153846153848</v>
      </c>
      <c r="N392" s="236">
        <f t="shared" si="1434"/>
        <v>0.10526315789473695</v>
      </c>
      <c r="O392" s="236">
        <f t="shared" si="1434"/>
        <v>2.9126213592232997E-2</v>
      </c>
      <c r="P392" s="236">
        <f t="shared" si="1434"/>
        <v>0.17391304347826098</v>
      </c>
      <c r="Q392" s="236">
        <f t="shared" si="1434"/>
        <v>-3.5714285714285698E-2</v>
      </c>
      <c r="R392" s="236">
        <f t="shared" si="1434"/>
        <v>-0.44186046511627908</v>
      </c>
      <c r="S392" s="236">
        <f t="shared" si="1434"/>
        <v>-0.7142857142857143</v>
      </c>
      <c r="T392" s="236">
        <f t="shared" si="1434"/>
        <v>-0.68867924528301883</v>
      </c>
      <c r="U392" s="236">
        <f t="shared" si="1434"/>
        <v>-0.58333333333333326</v>
      </c>
      <c r="V392" s="236">
        <f t="shared" si="1434"/>
        <v>-0.61481481481481481</v>
      </c>
      <c r="W392" s="236">
        <f t="shared" si="1434"/>
        <v>-4.166666666666663E-2</v>
      </c>
      <c r="X392" s="236">
        <f t="shared" si="1434"/>
        <v>1.6333333333333333</v>
      </c>
      <c r="Y392" s="236">
        <f t="shared" si="1434"/>
        <v>1.6666666666666665</v>
      </c>
      <c r="Z392" s="236">
        <f t="shared" si="1434"/>
        <v>1.8666666666666667</v>
      </c>
      <c r="AA392" s="236">
        <f t="shared" si="1434"/>
        <v>1.1923076923076925</v>
      </c>
      <c r="AB392" s="236">
        <f t="shared" si="1434"/>
        <v>3</v>
      </c>
      <c r="AC392" s="236">
        <f t="shared" si="1434"/>
        <v>1</v>
      </c>
      <c r="AD392" s="236">
        <f t="shared" si="1434"/>
        <v>0.27272727272727271</v>
      </c>
      <c r="AE392" s="236">
        <f t="shared" si="1434"/>
        <v>-0.10077519379844957</v>
      </c>
      <c r="AF392" s="236">
        <f t="shared" si="1434"/>
        <v>0.66666666666666674</v>
      </c>
      <c r="AG392" s="236">
        <f t="shared" si="1434"/>
        <v>-0.55434782608695654</v>
      </c>
      <c r="AH392" s="236">
        <f t="shared" si="1434"/>
        <v>-0.77215189873417722</v>
      </c>
      <c r="AI392" s="236">
        <f t="shared" si="1434"/>
        <v>-0.7857142857142857</v>
      </c>
      <c r="AJ392" s="236">
        <f t="shared" si="1434"/>
        <v>-0.71551724137931028</v>
      </c>
      <c r="AK392" s="236">
        <f t="shared" si="1434"/>
        <v>-0.69298245614035081</v>
      </c>
      <c r="AL392" s="236">
        <f t="shared" si="1434"/>
        <v>-0.6707317073170731</v>
      </c>
      <c r="AM392" s="236">
        <f t="shared" si="1434"/>
        <v>-0.41666666666666663</v>
      </c>
      <c r="AN392" s="236">
        <f t="shared" si="1434"/>
        <v>-0.5</v>
      </c>
      <c r="AO392" s="236">
        <f t="shared" si="1434"/>
        <v>-0.36363636363636365</v>
      </c>
      <c r="AP392" s="236">
        <f t="shared" si="1434"/>
        <v>-0.53714285714285714</v>
      </c>
      <c r="AQ392" s="236">
        <f t="shared" si="1434"/>
        <v>-0.33333333333333337</v>
      </c>
      <c r="AR392" s="236">
        <f t="shared" si="1434"/>
        <v>1.2380952380952381</v>
      </c>
      <c r="AS392" s="236">
        <f t="shared" si="1434"/>
        <v>2.5833333333333335</v>
      </c>
      <c r="AT392" s="236">
        <f t="shared" si="1434"/>
        <v>1.3333333333333335</v>
      </c>
      <c r="AU392" s="236">
        <f t="shared" si="1434"/>
        <v>0.93827160493827155</v>
      </c>
      <c r="AV392" s="236">
        <f t="shared" si="1434"/>
        <v>3</v>
      </c>
      <c r="AW392" s="236">
        <f t="shared" si="1434"/>
        <v>0.61702127659574457</v>
      </c>
      <c r="AX392" s="236">
        <f t="shared" si="1434"/>
        <v>0.7441860465116279</v>
      </c>
      <c r="AY392" s="236">
        <f t="shared" si="1434"/>
        <v>0.40816326530612246</v>
      </c>
      <c r="AZ392" s="236">
        <f t="shared" si="1434"/>
        <v>0.85987261146496818</v>
      </c>
      <c r="BA392" s="236">
        <f t="shared" si="1434"/>
        <v>-1.388888888888884E-2</v>
      </c>
      <c r="BB392" s="236">
        <f t="shared" si="1434"/>
        <v>-6.5789473684210509E-2</v>
      </c>
      <c r="BC392" s="236">
        <f t="shared" si="1434"/>
        <v>-5.3333333333333344E-2</v>
      </c>
      <c r="BD392" s="236">
        <f t="shared" si="1434"/>
        <v>1.449275362318847E-2</v>
      </c>
      <c r="BE392" s="236">
        <f t="shared" si="1434"/>
        <v>-3.082191780821919E-2</v>
      </c>
      <c r="BF392" s="236">
        <f t="shared" ref="BF392:CP392" si="1435">BF391/BA391-1</f>
        <v>-1.4084507042253502E-2</v>
      </c>
      <c r="BG392" s="236">
        <f t="shared" si="1435"/>
        <v>-2.8169014084507005E-2</v>
      </c>
      <c r="BH392" s="236">
        <f t="shared" si="1435"/>
        <v>1.4084507042253502E-2</v>
      </c>
      <c r="BI392" s="236">
        <f t="shared" si="1435"/>
        <v>0.65714285714285725</v>
      </c>
      <c r="BJ392" s="236">
        <f t="shared" si="1435"/>
        <v>0.15547703180212014</v>
      </c>
      <c r="BK392" s="236">
        <f t="shared" si="1435"/>
        <v>0.84285714285714275</v>
      </c>
      <c r="BL392" s="236">
        <f t="shared" si="1435"/>
        <v>0.84057971014492749</v>
      </c>
      <c r="BM392" s="236">
        <f t="shared" si="1435"/>
        <v>1.0416666666666665</v>
      </c>
      <c r="BN392" s="236">
        <f t="shared" si="1435"/>
        <v>0.3362068965517242</v>
      </c>
      <c r="BO392" s="236">
        <f t="shared" si="1435"/>
        <v>0.70642201834862384</v>
      </c>
      <c r="BP392" s="236">
        <f t="shared" si="1435"/>
        <v>5.4263565891472965E-2</v>
      </c>
      <c r="BQ392" s="236">
        <f t="shared" si="1435"/>
        <v>6.2992125984252079E-2</v>
      </c>
      <c r="BR392" s="236">
        <f t="shared" si="1435"/>
        <v>-6.8027210884353706E-2</v>
      </c>
      <c r="BS392" s="236">
        <f t="shared" si="1435"/>
        <v>-2.5806451612903181E-2</v>
      </c>
      <c r="BT392" s="236">
        <f t="shared" si="1435"/>
        <v>1.7921146953405742E-3</v>
      </c>
      <c r="BU392" s="237">
        <f t="shared" si="1435"/>
        <v>3.6764705882353033E-2</v>
      </c>
      <c r="BV392" s="237">
        <f t="shared" si="1435"/>
        <v>0</v>
      </c>
      <c r="BW392" s="237">
        <f t="shared" si="1435"/>
        <v>-4.3795620437956151E-2</v>
      </c>
      <c r="BX392" s="237">
        <f t="shared" si="1435"/>
        <v>-0.31788079470198671</v>
      </c>
      <c r="BY392" s="236">
        <f t="shared" si="1435"/>
        <v>-8.7656529516994652E-2</v>
      </c>
      <c r="BZ392" s="237">
        <f t="shared" si="1435"/>
        <v>-0.24822695035460995</v>
      </c>
      <c r="CA392" s="237">
        <f t="shared" si="1435"/>
        <v>-0.21481481481481479</v>
      </c>
      <c r="CB392" s="237">
        <f t="shared" si="1435"/>
        <v>-0.19083969465648853</v>
      </c>
      <c r="CC392" s="237">
        <f t="shared" si="1435"/>
        <v>-1</v>
      </c>
      <c r="CD392" s="241">
        <v>0.35</v>
      </c>
      <c r="CE392" s="237">
        <f t="shared" si="1435"/>
        <v>-1</v>
      </c>
      <c r="CF392" s="237">
        <f t="shared" si="1435"/>
        <v>-1</v>
      </c>
      <c r="CG392" s="237">
        <f t="shared" si="1435"/>
        <v>-1</v>
      </c>
      <c r="CH392" s="237" t="e">
        <f t="shared" si="1435"/>
        <v>#DIV/0!</v>
      </c>
      <c r="CI392" s="241">
        <v>0.3</v>
      </c>
      <c r="CJ392" s="237" t="e">
        <f t="shared" si="1435"/>
        <v>#DIV/0!</v>
      </c>
      <c r="CK392" s="237" t="e">
        <f t="shared" si="1435"/>
        <v>#DIV/0!</v>
      </c>
      <c r="CL392" s="237" t="e">
        <f t="shared" si="1435"/>
        <v>#DIV/0!</v>
      </c>
      <c r="CM392" s="237" t="e">
        <f t="shared" si="1435"/>
        <v>#DIV/0!</v>
      </c>
      <c r="CN392" s="241">
        <v>0.3</v>
      </c>
      <c r="CO392" s="237" t="e">
        <f t="shared" si="1435"/>
        <v>#DIV/0!</v>
      </c>
      <c r="CP392" s="237" t="e">
        <f t="shared" si="1435"/>
        <v>#DIV/0!</v>
      </c>
      <c r="CQ392" s="241">
        <v>0.25</v>
      </c>
      <c r="CR392" s="241">
        <v>0.15</v>
      </c>
      <c r="CS392" s="241">
        <v>0.105</v>
      </c>
      <c r="CT392" s="241">
        <v>0.105</v>
      </c>
      <c r="CU392" s="241">
        <v>0.105</v>
      </c>
      <c r="CV392" s="241">
        <v>0.105</v>
      </c>
      <c r="CW392" s="241">
        <v>0.105</v>
      </c>
      <c r="CX392" s="159"/>
      <c r="CY392" s="159"/>
      <c r="CZ392" s="159"/>
      <c r="DA392" s="159"/>
      <c r="DB392" s="159"/>
      <c r="DC392" s="165"/>
      <c r="DD392" s="165"/>
      <c r="DF392" s="226"/>
      <c r="DG392" s="237"/>
      <c r="DH392" s="237"/>
      <c r="DI392" s="237"/>
      <c r="DJ392" s="237"/>
      <c r="DK392" s="237"/>
      <c r="DL392" s="237"/>
      <c r="DM392" s="237"/>
      <c r="DN392" s="237"/>
      <c r="DO392" s="237"/>
    </row>
    <row r="393" spans="1:152" ht="15" hidden="1" customHeight="1" outlineLevel="1">
      <c r="A393" s="277"/>
      <c r="B393" s="262"/>
      <c r="C393" s="236"/>
      <c r="D393" s="236"/>
      <c r="E393" s="236"/>
      <c r="F393" s="262"/>
      <c r="G393" s="262"/>
      <c r="H393" s="262"/>
      <c r="I393" s="262"/>
      <c r="J393" s="262"/>
      <c r="K393" s="262"/>
      <c r="L393" s="236"/>
      <c r="M393" s="236"/>
      <c r="N393" s="236"/>
      <c r="O393" s="236"/>
      <c r="P393" s="236"/>
      <c r="Q393" s="236"/>
      <c r="R393" s="236"/>
      <c r="S393" s="236"/>
      <c r="T393" s="236"/>
      <c r="U393" s="236"/>
      <c r="V393" s="236"/>
      <c r="W393" s="236"/>
      <c r="X393" s="236"/>
      <c r="Y393" s="236"/>
      <c r="Z393" s="236"/>
      <c r="AA393" s="236"/>
      <c r="AB393" s="236"/>
      <c r="AC393" s="236"/>
      <c r="AD393" s="236"/>
      <c r="AE393" s="236"/>
      <c r="AF393" s="236"/>
      <c r="AG393" s="236"/>
      <c r="AH393" s="236"/>
      <c r="AI393" s="236"/>
      <c r="AJ393" s="236"/>
      <c r="AK393" s="236"/>
      <c r="AL393" s="236"/>
      <c r="AM393" s="236"/>
      <c r="AN393" s="236"/>
      <c r="AO393" s="236"/>
      <c r="AP393" s="236"/>
      <c r="AQ393" s="236"/>
      <c r="AR393" s="236"/>
      <c r="AS393" s="236"/>
      <c r="AT393" s="236"/>
      <c r="AU393" s="236"/>
      <c r="AV393" s="236"/>
      <c r="AW393" s="236"/>
      <c r="AX393" s="236"/>
      <c r="AY393" s="236"/>
      <c r="AZ393" s="236"/>
      <c r="BA393" s="236"/>
      <c r="BB393" s="236"/>
      <c r="BC393" s="236"/>
      <c r="BD393" s="236"/>
      <c r="BE393" s="236"/>
      <c r="BF393" s="236"/>
      <c r="BG393" s="236"/>
      <c r="BH393" s="236"/>
      <c r="BI393" s="236"/>
      <c r="BJ393" s="236"/>
      <c r="BK393" s="236"/>
      <c r="BL393" s="236"/>
      <c r="BM393" s="236"/>
      <c r="BN393" s="236"/>
      <c r="BO393" s="236"/>
      <c r="BP393" s="236"/>
      <c r="BQ393" s="236"/>
      <c r="BR393" s="236"/>
      <c r="BS393" s="236"/>
      <c r="BT393" s="236">
        <f>BT391/BT$432</f>
        <v>6.0491288821556112E-2</v>
      </c>
      <c r="BU393" s="237"/>
      <c r="BV393" s="237"/>
      <c r="BW393" s="237"/>
      <c r="BX393" s="237"/>
      <c r="BY393" s="236">
        <f>BY391/BY$432</f>
        <v>5.2099295127183573E-2</v>
      </c>
      <c r="BZ393" s="237"/>
      <c r="CA393" s="237"/>
      <c r="CB393" s="237"/>
      <c r="CC393" s="237"/>
      <c r="CD393" s="236">
        <f>CD391/CD$432</f>
        <v>6.7632612966601183E-2</v>
      </c>
      <c r="CE393" s="237"/>
      <c r="CF393" s="237"/>
      <c r="CG393" s="237"/>
      <c r="CH393" s="237"/>
      <c r="CI393" s="236">
        <f t="shared" ref="CI393:CW393" si="1436">CI391/CI$432</f>
        <v>8.4951594533029626E-2</v>
      </c>
      <c r="CJ393" s="237"/>
      <c r="CK393" s="237"/>
      <c r="CL393" s="237"/>
      <c r="CM393" s="237"/>
      <c r="CN393" s="236">
        <f t="shared" ref="CN393" si="1437">CN391/CN$432</f>
        <v>0.10940902679830748</v>
      </c>
      <c r="CO393" s="237"/>
      <c r="CP393" s="237"/>
      <c r="CQ393" s="236">
        <f t="shared" si="1436"/>
        <v>0.1328805883207366</v>
      </c>
      <c r="CR393" s="236">
        <f t="shared" si="1436"/>
        <v>0.14911448500725918</v>
      </c>
      <c r="CS393" s="236">
        <f t="shared" si="1436"/>
        <v>0.16083441659993078</v>
      </c>
      <c r="CT393" s="236">
        <f t="shared" si="1436"/>
        <v>0.17334934598350255</v>
      </c>
      <c r="CU393" s="236">
        <f t="shared" si="1436"/>
        <v>0.18709035502058785</v>
      </c>
      <c r="CV393" s="236">
        <f t="shared" si="1436"/>
        <v>0.20196410347023075</v>
      </c>
      <c r="CW393" s="236">
        <f t="shared" si="1436"/>
        <v>0.21805707084996731</v>
      </c>
      <c r="CX393" s="159"/>
      <c r="CY393" s="159"/>
      <c r="CZ393" s="159"/>
      <c r="DA393" s="159"/>
      <c r="DB393" s="159"/>
      <c r="DC393" s="165"/>
      <c r="DD393" s="165"/>
      <c r="DF393" s="226"/>
      <c r="DG393" s="237"/>
      <c r="DH393" s="237"/>
      <c r="DI393" s="237"/>
      <c r="DJ393" s="237"/>
      <c r="DK393" s="237"/>
      <c r="DL393" s="237"/>
      <c r="DM393" s="237"/>
      <c r="DN393" s="237"/>
      <c r="DO393" s="237"/>
    </row>
    <row r="394" spans="1:152" s="221" customFormat="1" ht="15" hidden="1" customHeight="1" outlineLevel="1">
      <c r="A394" s="278" t="s">
        <v>515</v>
      </c>
      <c r="B394" s="343">
        <v>224.4</v>
      </c>
      <c r="C394" s="260"/>
      <c r="D394" s="260"/>
      <c r="E394" s="260"/>
      <c r="F394" s="343"/>
      <c r="G394" s="343">
        <v>237.9</v>
      </c>
      <c r="H394" s="343"/>
      <c r="I394" s="343"/>
      <c r="J394" s="343"/>
      <c r="K394" s="343"/>
      <c r="L394" s="343">
        <v>0</v>
      </c>
      <c r="M394" s="343"/>
      <c r="N394" s="343"/>
      <c r="O394" s="343"/>
      <c r="P394" s="343"/>
      <c r="Q394" s="343">
        <v>0</v>
      </c>
      <c r="R394" s="343"/>
      <c r="S394" s="343"/>
      <c r="T394" s="343"/>
      <c r="U394" s="343"/>
      <c r="V394" s="343">
        <v>0</v>
      </c>
      <c r="W394" s="343">
        <v>8</v>
      </c>
      <c r="X394" s="343">
        <v>13</v>
      </c>
      <c r="Y394" s="343">
        <v>9</v>
      </c>
      <c r="Z394" s="343">
        <v>11</v>
      </c>
      <c r="AA394" s="343">
        <v>41</v>
      </c>
      <c r="AB394" s="343">
        <v>14</v>
      </c>
      <c r="AC394" s="343">
        <v>16</v>
      </c>
      <c r="AD394" s="343">
        <v>18</v>
      </c>
      <c r="AE394" s="343">
        <v>23</v>
      </c>
      <c r="AF394" s="343">
        <v>71</v>
      </c>
      <c r="AG394" s="343">
        <v>25</v>
      </c>
      <c r="AH394" s="343">
        <v>29</v>
      </c>
      <c r="AI394" s="343">
        <v>31</v>
      </c>
      <c r="AJ394" s="343">
        <v>34</v>
      </c>
      <c r="AK394" s="343">
        <v>119</v>
      </c>
      <c r="AL394" s="343">
        <v>38</v>
      </c>
      <c r="AM394" s="343">
        <v>41</v>
      </c>
      <c r="AN394" s="343">
        <v>45</v>
      </c>
      <c r="AO394" s="343">
        <v>47</v>
      </c>
      <c r="AP394" s="343">
        <v>171</v>
      </c>
      <c r="AQ394" s="343">
        <v>50</v>
      </c>
      <c r="AR394" s="343">
        <v>54</v>
      </c>
      <c r="AS394" s="343">
        <v>57</v>
      </c>
      <c r="AT394" s="343">
        <v>59</v>
      </c>
      <c r="AU394" s="343">
        <f>SUM(AQ394:AT394)</f>
        <v>220</v>
      </c>
      <c r="AV394" s="343">
        <f>'[3]Profit and Loss Highlights'!W$12</f>
        <v>72</v>
      </c>
      <c r="AW394" s="343">
        <f>'[3]Profit and Loss Highlights'!X$12</f>
        <v>76</v>
      </c>
      <c r="AX394" s="343">
        <f>'[3]Profit and Loss Highlights'!Y$12</f>
        <v>75</v>
      </c>
      <c r="AY394" s="343">
        <f>'[3]Profit and Loss Highlights'!Z$12</f>
        <v>69</v>
      </c>
      <c r="AZ394" s="343">
        <f>SUM(AV394:AY394)</f>
        <v>292</v>
      </c>
      <c r="BA394" s="343">
        <f>'[3]Profit and Loss Highlights'!AA$13</f>
        <v>75</v>
      </c>
      <c r="BB394" s="343">
        <f>'[3]Profit and Loss Highlights'!AB$13</f>
        <v>79</v>
      </c>
      <c r="BC394" s="343">
        <f>'[3]Profit and Loss Highlights'!AC$13</f>
        <v>80</v>
      </c>
      <c r="BD394" s="343">
        <f>'[3]Profit and Loss Highlights'!AD$13</f>
        <v>80</v>
      </c>
      <c r="BE394" s="343">
        <f>SUM(BA394:BD394)</f>
        <v>314</v>
      </c>
      <c r="BF394" s="343">
        <f>'[3]Profit and Loss Highlights'!AE$13</f>
        <v>80</v>
      </c>
      <c r="BG394" s="343">
        <f>'[3]Profit and Loss Highlights'!AF$13</f>
        <v>86</v>
      </c>
      <c r="BH394" s="343">
        <f>'[3]Profit and Loss Highlights'!AG$13</f>
        <v>95</v>
      </c>
      <c r="BI394" s="343">
        <f>'[3]Profit and Loss Highlights'!AH$13</f>
        <v>104</v>
      </c>
      <c r="BJ394" s="343">
        <f>SUM(BF394:BI394)</f>
        <v>365</v>
      </c>
      <c r="BK394" s="343">
        <f>'[3]Profit and Loss Highlights'!AI$13</f>
        <v>113</v>
      </c>
      <c r="BL394" s="343">
        <f>'[3]Profit and Loss Highlights'!AJ$13</f>
        <v>113</v>
      </c>
      <c r="BM394" s="343">
        <f>'[3]Profit and Loss Highlights'!AK$13</f>
        <v>120</v>
      </c>
      <c r="BN394" s="343">
        <f>'[3]Profit and Loss Highlights'!AL$13</f>
        <v>127</v>
      </c>
      <c r="BO394" s="343">
        <f>SUM(BK394:BN394)</f>
        <v>473</v>
      </c>
      <c r="BP394" s="343">
        <f>'[3]Profit and Loss Highlights'!AM$13</f>
        <v>135</v>
      </c>
      <c r="BQ394" s="343">
        <f>'[3]Profit and Loss Highlights'!AN$13</f>
        <v>142</v>
      </c>
      <c r="BR394" s="343">
        <f>'[3]Profit and Loss Highlights'!AO$13</f>
        <v>149</v>
      </c>
      <c r="BS394" s="343">
        <f>'[3]Profit and Loss Highlights'!AP$13</f>
        <v>159</v>
      </c>
      <c r="BT394" s="343">
        <f>SUM(BP394:BS394)</f>
        <v>585</v>
      </c>
      <c r="BU394" s="344">
        <f>'[3]Profit and Loss Highlights'!AQ$13</f>
        <v>166</v>
      </c>
      <c r="BV394" s="344">
        <f>'[3]Profit and Loss Highlights'!AR$13</f>
        <v>177</v>
      </c>
      <c r="BW394" s="344">
        <f>'[3]Profit and Loss Highlights'!AS$13</f>
        <v>184</v>
      </c>
      <c r="BX394" s="344">
        <f>'[3]Profit and Loss Highlights'!AT$13</f>
        <v>191</v>
      </c>
      <c r="BY394" s="343">
        <f>SUM(BU394:BX394)</f>
        <v>718</v>
      </c>
      <c r="BZ394" s="344">
        <f>'[3]Profit and Loss Highlights'!AU$13</f>
        <v>196</v>
      </c>
      <c r="CA394" s="344">
        <f>'[3]Profit and Loss Highlights'!AV$13</f>
        <v>205</v>
      </c>
      <c r="CB394" s="344">
        <f>'[3]Profit and Loss Highlights'!AW$13</f>
        <v>205</v>
      </c>
      <c r="CC394" s="344">
        <f>'[3]Profit and Loss Highlights'!AX$13</f>
        <v>0</v>
      </c>
      <c r="CD394" s="343">
        <f>BY394*(1+CD395)</f>
        <v>771.85</v>
      </c>
      <c r="CE394" s="344">
        <f>'[3]Profit and Loss Highlights'!AY$13</f>
        <v>0</v>
      </c>
      <c r="CF394" s="344">
        <f>'[3]Profit and Loss Highlights'!AZ$13</f>
        <v>0</v>
      </c>
      <c r="CG394" s="344">
        <f>'[3]Profit and Loss Highlights'!BA$13</f>
        <v>0</v>
      </c>
      <c r="CH394" s="344">
        <f>'[3]Profit and Loss Highlights'!BB$13</f>
        <v>0</v>
      </c>
      <c r="CI394" s="343">
        <f>CD394*(1+CI395)</f>
        <v>810.44250000000011</v>
      </c>
      <c r="CJ394" s="344">
        <f>'[3]Profit and Loss Highlights'!BC$13</f>
        <v>0</v>
      </c>
      <c r="CK394" s="344">
        <f>'[3]Profit and Loss Highlights'!BD$13</f>
        <v>0</v>
      </c>
      <c r="CL394" s="344">
        <f>'[3]Profit and Loss Highlights'!BE$13</f>
        <v>0</v>
      </c>
      <c r="CM394" s="344">
        <f>'[3]Profit and Loss Highlights'!BF$13</f>
        <v>0</v>
      </c>
      <c r="CN394" s="343">
        <f>CI394*(1+CN395)</f>
        <v>850.96462500000018</v>
      </c>
      <c r="CO394" s="344">
        <f>'[3]Profit and Loss Highlights'!BG$13</f>
        <v>0</v>
      </c>
      <c r="CP394" s="344">
        <f>'[3]Profit and Loss Highlights'!BH$13</f>
        <v>0</v>
      </c>
      <c r="CQ394" s="343">
        <f>CN394*(1+CQ395)</f>
        <v>893.51285625000025</v>
      </c>
      <c r="CR394" s="343">
        <f t="shared" ref="CR394:CS394" si="1438">CQ394*(1+CR395)</f>
        <v>938.18849906250034</v>
      </c>
      <c r="CS394" s="343">
        <f t="shared" si="1438"/>
        <v>985.09792401562538</v>
      </c>
      <c r="CT394" s="343">
        <f t="shared" ref="CT394" si="1439">CS394*(1+CT395)</f>
        <v>1034.3528202164066</v>
      </c>
      <c r="CU394" s="343">
        <f t="shared" ref="CU394" si="1440">CT394*(1+CU395)</f>
        <v>1086.070461227227</v>
      </c>
      <c r="CV394" s="343">
        <f t="shared" ref="CV394:CW394" si="1441">CU394*(1+CV395)</f>
        <v>1140.3739842885884</v>
      </c>
      <c r="CW394" s="343">
        <f t="shared" si="1441"/>
        <v>1197.3926835030179</v>
      </c>
      <c r="CX394" s="165"/>
      <c r="CY394" s="165"/>
      <c r="CZ394" s="165"/>
      <c r="DA394" s="165"/>
      <c r="DB394" s="165"/>
      <c r="DC394" s="165"/>
      <c r="DD394" s="165"/>
      <c r="DF394" s="235"/>
      <c r="DG394" s="261"/>
      <c r="DH394" s="261"/>
      <c r="DI394" s="261"/>
      <c r="DJ394" s="261"/>
      <c r="DK394" s="261"/>
      <c r="DL394" s="261"/>
      <c r="DM394" s="261"/>
      <c r="DN394" s="261"/>
      <c r="DO394" s="261"/>
    </row>
    <row r="395" spans="1:152" ht="15" hidden="1" customHeight="1" outlineLevel="1">
      <c r="A395" s="329" t="s">
        <v>64</v>
      </c>
      <c r="B395" s="236"/>
      <c r="C395" s="236"/>
      <c r="D395" s="236"/>
      <c r="E395" s="236"/>
      <c r="F395" s="236"/>
      <c r="G395" s="236"/>
      <c r="H395" s="236"/>
      <c r="I395" s="236"/>
      <c r="J395" s="236"/>
      <c r="K395" s="236"/>
      <c r="L395" s="236">
        <f t="shared" ref="L395:BE395" si="1442">L394/G394-1</f>
        <v>-1</v>
      </c>
      <c r="M395" s="236" t="e">
        <f t="shared" si="1442"/>
        <v>#DIV/0!</v>
      </c>
      <c r="N395" s="236" t="e">
        <f t="shared" si="1442"/>
        <v>#DIV/0!</v>
      </c>
      <c r="O395" s="236" t="e">
        <f t="shared" si="1442"/>
        <v>#DIV/0!</v>
      </c>
      <c r="P395" s="236" t="e">
        <f t="shared" si="1442"/>
        <v>#DIV/0!</v>
      </c>
      <c r="Q395" s="236" t="e">
        <f t="shared" si="1442"/>
        <v>#DIV/0!</v>
      </c>
      <c r="R395" s="236" t="e">
        <f t="shared" si="1442"/>
        <v>#DIV/0!</v>
      </c>
      <c r="S395" s="236" t="e">
        <f t="shared" si="1442"/>
        <v>#DIV/0!</v>
      </c>
      <c r="T395" s="236" t="e">
        <f t="shared" si="1442"/>
        <v>#DIV/0!</v>
      </c>
      <c r="U395" s="236" t="e">
        <f t="shared" si="1442"/>
        <v>#DIV/0!</v>
      </c>
      <c r="V395" s="236" t="e">
        <f t="shared" si="1442"/>
        <v>#DIV/0!</v>
      </c>
      <c r="W395" s="236" t="e">
        <f t="shared" si="1442"/>
        <v>#DIV/0!</v>
      </c>
      <c r="X395" s="236" t="e">
        <f t="shared" si="1442"/>
        <v>#DIV/0!</v>
      </c>
      <c r="Y395" s="236" t="e">
        <f t="shared" si="1442"/>
        <v>#DIV/0!</v>
      </c>
      <c r="Z395" s="236" t="e">
        <f t="shared" si="1442"/>
        <v>#DIV/0!</v>
      </c>
      <c r="AA395" s="236" t="e">
        <f t="shared" si="1442"/>
        <v>#DIV/0!</v>
      </c>
      <c r="AB395" s="236">
        <f t="shared" si="1442"/>
        <v>0.75</v>
      </c>
      <c r="AC395" s="236">
        <f t="shared" si="1442"/>
        <v>0.23076923076923084</v>
      </c>
      <c r="AD395" s="236">
        <f t="shared" si="1442"/>
        <v>1</v>
      </c>
      <c r="AE395" s="236">
        <f t="shared" si="1442"/>
        <v>1.0909090909090908</v>
      </c>
      <c r="AF395" s="236">
        <f t="shared" si="1442"/>
        <v>0.73170731707317072</v>
      </c>
      <c r="AG395" s="236">
        <f t="shared" si="1442"/>
        <v>0.78571428571428581</v>
      </c>
      <c r="AH395" s="236">
        <f t="shared" si="1442"/>
        <v>0.8125</v>
      </c>
      <c r="AI395" s="236">
        <f t="shared" si="1442"/>
        <v>0.72222222222222232</v>
      </c>
      <c r="AJ395" s="236">
        <f t="shared" si="1442"/>
        <v>0.47826086956521729</v>
      </c>
      <c r="AK395" s="236">
        <f t="shared" si="1442"/>
        <v>0.676056338028169</v>
      </c>
      <c r="AL395" s="236">
        <f t="shared" si="1442"/>
        <v>0.52</v>
      </c>
      <c r="AM395" s="236">
        <f t="shared" si="1442"/>
        <v>0.4137931034482758</v>
      </c>
      <c r="AN395" s="236">
        <f t="shared" si="1442"/>
        <v>0.45161290322580649</v>
      </c>
      <c r="AO395" s="236">
        <f t="shared" si="1442"/>
        <v>0.38235294117647056</v>
      </c>
      <c r="AP395" s="236">
        <f t="shared" si="1442"/>
        <v>0.43697478991596639</v>
      </c>
      <c r="AQ395" s="236">
        <f t="shared" si="1442"/>
        <v>0.31578947368421062</v>
      </c>
      <c r="AR395" s="236">
        <f t="shared" si="1442"/>
        <v>0.31707317073170738</v>
      </c>
      <c r="AS395" s="236">
        <f t="shared" si="1442"/>
        <v>0.26666666666666661</v>
      </c>
      <c r="AT395" s="236">
        <f t="shared" si="1442"/>
        <v>0.25531914893617014</v>
      </c>
      <c r="AU395" s="236">
        <f t="shared" si="1442"/>
        <v>0.28654970760233911</v>
      </c>
      <c r="AV395" s="236">
        <f t="shared" si="1442"/>
        <v>0.43999999999999995</v>
      </c>
      <c r="AW395" s="236">
        <f t="shared" si="1442"/>
        <v>0.40740740740740744</v>
      </c>
      <c r="AX395" s="236">
        <f t="shared" si="1442"/>
        <v>0.31578947368421062</v>
      </c>
      <c r="AY395" s="236">
        <f t="shared" si="1442"/>
        <v>0.16949152542372881</v>
      </c>
      <c r="AZ395" s="236">
        <f t="shared" si="1442"/>
        <v>0.32727272727272738</v>
      </c>
      <c r="BA395" s="236">
        <f t="shared" si="1442"/>
        <v>4.1666666666666741E-2</v>
      </c>
      <c r="BB395" s="236">
        <f t="shared" si="1442"/>
        <v>3.9473684210526327E-2</v>
      </c>
      <c r="BC395" s="236">
        <f t="shared" si="1442"/>
        <v>6.6666666666666652E-2</v>
      </c>
      <c r="BD395" s="236">
        <f t="shared" si="1442"/>
        <v>0.15942028985507251</v>
      </c>
      <c r="BE395" s="236">
        <f t="shared" si="1442"/>
        <v>7.5342465753424737E-2</v>
      </c>
      <c r="BF395" s="236">
        <f t="shared" ref="BF395:CP395" si="1443">BF394/BA394-1</f>
        <v>6.6666666666666652E-2</v>
      </c>
      <c r="BG395" s="236">
        <f t="shared" si="1443"/>
        <v>8.8607594936708889E-2</v>
      </c>
      <c r="BH395" s="236">
        <f t="shared" si="1443"/>
        <v>0.1875</v>
      </c>
      <c r="BI395" s="236">
        <f t="shared" si="1443"/>
        <v>0.30000000000000004</v>
      </c>
      <c r="BJ395" s="236">
        <f t="shared" si="1443"/>
        <v>0.16242038216560517</v>
      </c>
      <c r="BK395" s="236">
        <f t="shared" si="1443"/>
        <v>0.41250000000000009</v>
      </c>
      <c r="BL395" s="236">
        <f t="shared" si="1443"/>
        <v>0.31395348837209291</v>
      </c>
      <c r="BM395" s="236">
        <f t="shared" si="1443"/>
        <v>0.26315789473684204</v>
      </c>
      <c r="BN395" s="236">
        <f t="shared" si="1443"/>
        <v>0.22115384615384626</v>
      </c>
      <c r="BO395" s="236">
        <f t="shared" si="1443"/>
        <v>0.295890410958904</v>
      </c>
      <c r="BP395" s="236">
        <f t="shared" si="1443"/>
        <v>0.19469026548672574</v>
      </c>
      <c r="BQ395" s="236">
        <f t="shared" si="1443"/>
        <v>0.25663716814159288</v>
      </c>
      <c r="BR395" s="236">
        <f t="shared" si="1443"/>
        <v>0.2416666666666667</v>
      </c>
      <c r="BS395" s="236">
        <f t="shared" si="1443"/>
        <v>0.25196850393700787</v>
      </c>
      <c r="BT395" s="236">
        <f t="shared" si="1443"/>
        <v>0.2367864693446089</v>
      </c>
      <c r="BU395" s="237">
        <f t="shared" si="1443"/>
        <v>0.22962962962962963</v>
      </c>
      <c r="BV395" s="237">
        <f t="shared" si="1443"/>
        <v>0.24647887323943651</v>
      </c>
      <c r="BW395" s="237">
        <f t="shared" si="1443"/>
        <v>0.2348993288590604</v>
      </c>
      <c r="BX395" s="237">
        <f t="shared" si="1443"/>
        <v>0.20125786163522008</v>
      </c>
      <c r="BY395" s="236">
        <f t="shared" si="1443"/>
        <v>0.22735042735042743</v>
      </c>
      <c r="BZ395" s="237">
        <f t="shared" si="1443"/>
        <v>0.18072289156626509</v>
      </c>
      <c r="CA395" s="237">
        <f t="shared" si="1443"/>
        <v>0.15819209039548032</v>
      </c>
      <c r="CB395" s="237">
        <f t="shared" si="1443"/>
        <v>0.11413043478260865</v>
      </c>
      <c r="CC395" s="237">
        <f t="shared" si="1443"/>
        <v>-1</v>
      </c>
      <c r="CD395" s="241">
        <v>7.4999999999999997E-2</v>
      </c>
      <c r="CE395" s="237">
        <f t="shared" si="1443"/>
        <v>-1</v>
      </c>
      <c r="CF395" s="237">
        <f t="shared" si="1443"/>
        <v>-1</v>
      </c>
      <c r="CG395" s="237">
        <f t="shared" si="1443"/>
        <v>-1</v>
      </c>
      <c r="CH395" s="237" t="e">
        <f t="shared" si="1443"/>
        <v>#DIV/0!</v>
      </c>
      <c r="CI395" s="241">
        <v>0.05</v>
      </c>
      <c r="CJ395" s="237" t="e">
        <f t="shared" si="1443"/>
        <v>#DIV/0!</v>
      </c>
      <c r="CK395" s="237" t="e">
        <f t="shared" si="1443"/>
        <v>#DIV/0!</v>
      </c>
      <c r="CL395" s="237" t="e">
        <f t="shared" si="1443"/>
        <v>#DIV/0!</v>
      </c>
      <c r="CM395" s="237" t="e">
        <f t="shared" si="1443"/>
        <v>#DIV/0!</v>
      </c>
      <c r="CN395" s="241">
        <v>0.05</v>
      </c>
      <c r="CO395" s="237" t="e">
        <f t="shared" si="1443"/>
        <v>#DIV/0!</v>
      </c>
      <c r="CP395" s="237" t="e">
        <f t="shared" si="1443"/>
        <v>#DIV/0!</v>
      </c>
      <c r="CQ395" s="241">
        <v>0.05</v>
      </c>
      <c r="CR395" s="241">
        <v>0.05</v>
      </c>
      <c r="CS395" s="241">
        <v>0.05</v>
      </c>
      <c r="CT395" s="241">
        <v>0.05</v>
      </c>
      <c r="CU395" s="241">
        <v>0.05</v>
      </c>
      <c r="CV395" s="241">
        <v>0.05</v>
      </c>
      <c r="CW395" s="241">
        <v>0.05</v>
      </c>
      <c r="CX395" s="159"/>
      <c r="CY395" s="159"/>
      <c r="CZ395" s="159"/>
      <c r="DA395" s="159"/>
      <c r="DB395" s="159"/>
      <c r="DC395" s="165"/>
      <c r="DD395" s="165"/>
      <c r="DF395" s="226"/>
      <c r="DG395" s="237"/>
      <c r="DH395" s="237"/>
      <c r="DI395" s="237"/>
      <c r="DJ395" s="237"/>
      <c r="DK395" s="237"/>
      <c r="DL395" s="237"/>
      <c r="DM395" s="237"/>
      <c r="DN395" s="237"/>
      <c r="DO395" s="237"/>
    </row>
    <row r="396" spans="1:152" ht="15" hidden="1" customHeight="1" outlineLevel="1">
      <c r="A396" s="329" t="s">
        <v>517</v>
      </c>
      <c r="B396" s="262">
        <v>-546</v>
      </c>
      <c r="C396" s="236"/>
      <c r="D396" s="236"/>
      <c r="E396" s="236"/>
      <c r="F396" s="236"/>
      <c r="G396" s="262">
        <v>-608</v>
      </c>
      <c r="H396" s="236"/>
      <c r="I396" s="236"/>
      <c r="J396" s="236"/>
      <c r="K396" s="236"/>
      <c r="L396" s="236"/>
      <c r="M396" s="236"/>
      <c r="N396" s="236"/>
      <c r="O396" s="236"/>
      <c r="P396" s="236"/>
      <c r="Q396" s="236"/>
      <c r="R396" s="236"/>
      <c r="S396" s="236"/>
      <c r="T396" s="236"/>
      <c r="U396" s="236"/>
      <c r="V396" s="236"/>
      <c r="W396" s="236"/>
      <c r="X396" s="236"/>
      <c r="Y396" s="236"/>
      <c r="Z396" s="236"/>
      <c r="AA396" s="236"/>
      <c r="AB396" s="236"/>
      <c r="AC396" s="236"/>
      <c r="AD396" s="236"/>
      <c r="AE396" s="236"/>
      <c r="AF396" s="236"/>
      <c r="AG396" s="236"/>
      <c r="AH396" s="236"/>
      <c r="AI396" s="236"/>
      <c r="AJ396" s="236"/>
      <c r="AK396" s="236"/>
      <c r="AL396" s="236"/>
      <c r="AM396" s="236"/>
      <c r="AN396" s="236"/>
      <c r="AO396" s="236"/>
      <c r="AP396" s="236"/>
      <c r="AQ396" s="236"/>
      <c r="AR396" s="236"/>
      <c r="AS396" s="236"/>
      <c r="AT396" s="236"/>
      <c r="AU396" s="236"/>
      <c r="AV396" s="236"/>
      <c r="AW396" s="236"/>
      <c r="AX396" s="236"/>
      <c r="AY396" s="236"/>
      <c r="AZ396" s="236"/>
      <c r="BA396" s="236"/>
      <c r="BB396" s="236"/>
      <c r="BC396" s="236"/>
      <c r="BD396" s="236"/>
      <c r="BE396" s="236"/>
      <c r="BF396" s="236"/>
      <c r="BG396" s="236"/>
      <c r="BH396" s="236"/>
      <c r="BI396" s="236"/>
      <c r="BJ396" s="236"/>
      <c r="BK396" s="236"/>
      <c r="BL396" s="236"/>
      <c r="BM396" s="236"/>
      <c r="BN396" s="236"/>
      <c r="BO396" s="236"/>
      <c r="BP396" s="236"/>
      <c r="BQ396" s="236"/>
      <c r="BR396" s="236"/>
      <c r="BS396" s="236"/>
      <c r="BT396" s="236"/>
      <c r="BU396" s="237"/>
      <c r="BV396" s="237"/>
      <c r="BW396" s="237"/>
      <c r="BX396" s="237"/>
      <c r="BY396" s="236"/>
      <c r="BZ396" s="237"/>
      <c r="CA396" s="237"/>
      <c r="CB396" s="237"/>
      <c r="CC396" s="237"/>
      <c r="CD396" s="167">
        <v>0</v>
      </c>
      <c r="CE396" s="237"/>
      <c r="CF396" s="237"/>
      <c r="CG396" s="237"/>
      <c r="CH396" s="237"/>
      <c r="CI396" s="167">
        <v>0</v>
      </c>
      <c r="CJ396" s="237"/>
      <c r="CK396" s="237"/>
      <c r="CL396" s="237"/>
      <c r="CM396" s="237"/>
      <c r="CN396" s="167">
        <v>0</v>
      </c>
      <c r="CO396" s="237"/>
      <c r="CP396" s="237"/>
      <c r="CQ396" s="167">
        <v>0</v>
      </c>
      <c r="CR396" s="167">
        <v>0</v>
      </c>
      <c r="CS396" s="167">
        <v>0</v>
      </c>
      <c r="CT396" s="167">
        <v>0</v>
      </c>
      <c r="CU396" s="167">
        <v>0</v>
      </c>
      <c r="CV396" s="167">
        <v>0</v>
      </c>
      <c r="CW396" s="167">
        <v>0</v>
      </c>
      <c r="CX396" s="159"/>
      <c r="CY396" s="159"/>
      <c r="CZ396" s="159"/>
      <c r="DA396" s="159"/>
      <c r="DB396" s="159"/>
      <c r="DC396" s="165"/>
      <c r="DD396" s="165"/>
      <c r="DF396" s="226"/>
      <c r="DG396" s="237"/>
      <c r="DH396" s="237"/>
      <c r="DI396" s="237"/>
      <c r="DJ396" s="237"/>
      <c r="DK396" s="237"/>
      <c r="DL396" s="237"/>
      <c r="DM396" s="237"/>
      <c r="DN396" s="237"/>
      <c r="DO396" s="237"/>
      <c r="EU396" s="286"/>
      <c r="EV396" s="287"/>
    </row>
    <row r="397" spans="1:152" ht="15" hidden="1" customHeight="1" outlineLevel="1">
      <c r="A397" s="329"/>
      <c r="B397" s="262"/>
      <c r="C397" s="236"/>
      <c r="D397" s="236"/>
      <c r="E397" s="236"/>
      <c r="F397" s="236"/>
      <c r="G397" s="262"/>
      <c r="H397" s="236"/>
      <c r="I397" s="236"/>
      <c r="J397" s="236"/>
      <c r="K397" s="236"/>
      <c r="L397" s="236"/>
      <c r="M397" s="236"/>
      <c r="N397" s="236"/>
      <c r="O397" s="236"/>
      <c r="P397" s="236"/>
      <c r="Q397" s="236"/>
      <c r="R397" s="236"/>
      <c r="S397" s="236"/>
      <c r="T397" s="236"/>
      <c r="U397" s="236"/>
      <c r="V397" s="236"/>
      <c r="W397" s="236"/>
      <c r="X397" s="236"/>
      <c r="Y397" s="236"/>
      <c r="Z397" s="236"/>
      <c r="AA397" s="236"/>
      <c r="AB397" s="236"/>
      <c r="AC397" s="236"/>
      <c r="AD397" s="236"/>
      <c r="AE397" s="236"/>
      <c r="AF397" s="236"/>
      <c r="AG397" s="236"/>
      <c r="AH397" s="236"/>
      <c r="AI397" s="236"/>
      <c r="AJ397" s="236"/>
      <c r="AK397" s="236"/>
      <c r="AL397" s="236"/>
      <c r="AM397" s="236"/>
      <c r="AN397" s="236"/>
      <c r="AO397" s="236"/>
      <c r="AP397" s="236"/>
      <c r="AQ397" s="236"/>
      <c r="AR397" s="236"/>
      <c r="AS397" s="236"/>
      <c r="AT397" s="236"/>
      <c r="AU397" s="236"/>
      <c r="AV397" s="236"/>
      <c r="AW397" s="236"/>
      <c r="AX397" s="236"/>
      <c r="AY397" s="236"/>
      <c r="AZ397" s="236"/>
      <c r="BA397" s="236"/>
      <c r="BB397" s="236"/>
      <c r="BC397" s="236"/>
      <c r="BD397" s="236"/>
      <c r="BE397" s="236"/>
      <c r="BF397" s="236"/>
      <c r="BG397" s="236"/>
      <c r="BH397" s="236"/>
      <c r="BI397" s="236"/>
      <c r="BJ397" s="236"/>
      <c r="BK397" s="236"/>
      <c r="BL397" s="236"/>
      <c r="BM397" s="236"/>
      <c r="BN397" s="236"/>
      <c r="BO397" s="236"/>
      <c r="BP397" s="236"/>
      <c r="BQ397" s="236"/>
      <c r="BR397" s="236"/>
      <c r="BS397" s="236"/>
      <c r="BT397" s="236"/>
      <c r="BU397" s="237"/>
      <c r="BV397" s="237"/>
      <c r="BW397" s="237"/>
      <c r="BX397" s="237"/>
      <c r="BY397" s="236"/>
      <c r="BZ397" s="237"/>
      <c r="CA397" s="237"/>
      <c r="CB397" s="237"/>
      <c r="CC397" s="237"/>
      <c r="CD397" s="167"/>
      <c r="CE397" s="237"/>
      <c r="CF397" s="237"/>
      <c r="CG397" s="237"/>
      <c r="CH397" s="237"/>
      <c r="CI397" s="167"/>
      <c r="CJ397" s="237"/>
      <c r="CK397" s="237"/>
      <c r="CL397" s="237"/>
      <c r="CM397" s="237"/>
      <c r="CN397" s="167"/>
      <c r="CO397" s="237"/>
      <c r="CP397" s="237"/>
      <c r="CQ397" s="167"/>
      <c r="CR397" s="167"/>
      <c r="CS397" s="167"/>
      <c r="CT397" s="167"/>
      <c r="CU397" s="167"/>
      <c r="CV397" s="167"/>
      <c r="CW397" s="167"/>
      <c r="CX397" s="159"/>
      <c r="CY397" s="159"/>
      <c r="CZ397" s="159"/>
      <c r="DA397" s="159"/>
      <c r="DB397" s="159"/>
      <c r="DC397" s="165"/>
      <c r="DD397" s="165"/>
      <c r="DF397" s="226"/>
      <c r="DG397" s="237"/>
      <c r="DH397" s="237"/>
      <c r="DI397" s="237"/>
      <c r="DJ397" s="237"/>
      <c r="DK397" s="237"/>
      <c r="DL397" s="237"/>
      <c r="DM397" s="237"/>
      <c r="DN397" s="237"/>
      <c r="DO397" s="237"/>
      <c r="EU397" s="286"/>
      <c r="EV397" s="287"/>
    </row>
    <row r="398" spans="1:152" ht="15" hidden="1" customHeight="1" outlineLevel="1">
      <c r="A398" s="329" t="s">
        <v>634</v>
      </c>
      <c r="B398" s="262"/>
      <c r="C398" s="236"/>
      <c r="D398" s="236"/>
      <c r="E398" s="236"/>
      <c r="F398" s="236"/>
      <c r="G398" s="262"/>
      <c r="H398" s="236"/>
      <c r="I398" s="236"/>
      <c r="J398" s="236"/>
      <c r="K398" s="236"/>
      <c r="L398" s="236"/>
      <c r="M398" s="236"/>
      <c r="N398" s="236"/>
      <c r="O398" s="236"/>
      <c r="P398" s="236"/>
      <c r="Q398" s="236"/>
      <c r="R398" s="236"/>
      <c r="S398" s="236"/>
      <c r="T398" s="236"/>
      <c r="U398" s="236"/>
      <c r="V398" s="236"/>
      <c r="W398" s="236"/>
      <c r="X398" s="236"/>
      <c r="Y398" s="236"/>
      <c r="Z398" s="236"/>
      <c r="AA398" s="236"/>
      <c r="AB398" s="236"/>
      <c r="AC398" s="236"/>
      <c r="AD398" s="236"/>
      <c r="AE398" s="236"/>
      <c r="AF398" s="236"/>
      <c r="AG398" s="236"/>
      <c r="AH398" s="236"/>
      <c r="AI398" s="236"/>
      <c r="AJ398" s="236"/>
      <c r="AK398" s="236"/>
      <c r="AL398" s="236"/>
      <c r="AM398" s="236"/>
      <c r="AN398" s="236"/>
      <c r="AO398" s="236"/>
      <c r="AP398" s="236"/>
      <c r="AQ398" s="236"/>
      <c r="AR398" s="236"/>
      <c r="AS398" s="236"/>
      <c r="AT398" s="236"/>
      <c r="AU398" s="236"/>
      <c r="AV398" s="236"/>
      <c r="AW398" s="236"/>
      <c r="AX398" s="236"/>
      <c r="AY398" s="236"/>
      <c r="AZ398" s="236"/>
      <c r="BA398" s="236"/>
      <c r="BB398" s="236"/>
      <c r="BC398" s="236"/>
      <c r="BD398" s="236"/>
      <c r="BE398" s="236"/>
      <c r="BF398" s="236"/>
      <c r="BG398" s="236"/>
      <c r="BH398" s="236"/>
      <c r="BI398" s="236"/>
      <c r="BJ398" s="236"/>
      <c r="BK398" s="236"/>
      <c r="BL398" s="236"/>
      <c r="BM398" s="236"/>
      <c r="BN398" s="236"/>
      <c r="BO398" s="236"/>
      <c r="BP398" s="293">
        <f>'[3]Profit and Loss Highlights'!AM$26</f>
        <v>180</v>
      </c>
      <c r="BQ398" s="293">
        <f>'[3]Profit and Loss Highlights'!AN$26</f>
        <v>185</v>
      </c>
      <c r="BR398" s="293">
        <f>'[3]Profit and Loss Highlights'!AO$26</f>
        <v>186</v>
      </c>
      <c r="BS398" s="293">
        <f>'[3]Profit and Loss Highlights'!AP$26</f>
        <v>189</v>
      </c>
      <c r="BT398" s="236"/>
      <c r="BU398" s="293">
        <f>'[3]Profit and Loss Highlights'!AQ$26</f>
        <v>185</v>
      </c>
      <c r="BV398" s="293">
        <f>'[3]Profit and Loss Highlights'!AR$26</f>
        <v>185</v>
      </c>
      <c r="BW398" s="293">
        <f>'[3]Profit and Loss Highlights'!AS$26</f>
        <v>199</v>
      </c>
      <c r="BX398" s="293">
        <f>'[3]Profit and Loss Highlights'!AT$26</f>
        <v>207</v>
      </c>
      <c r="BY398" s="236"/>
      <c r="BZ398" s="293">
        <f>'[3]Profit and Loss Highlights'!AU$26</f>
        <v>200</v>
      </c>
      <c r="CA398" s="293">
        <f>'[3]Profit and Loss Highlights'!AV$26</f>
        <v>201</v>
      </c>
      <c r="CB398" s="293">
        <f>'[3]Profit and Loss Highlights'!AW$26</f>
        <v>200</v>
      </c>
      <c r="CC398" s="293">
        <f>'[3]Profit and Loss Highlights'!AX$26</f>
        <v>205</v>
      </c>
      <c r="CD398" s="167"/>
      <c r="CE398" s="293">
        <f>'[3]Profit and Loss Highlights'!AY$26</f>
        <v>200</v>
      </c>
      <c r="CF398" s="293">
        <f>'[3]Profit and Loss Highlights'!AZ$26</f>
        <v>202</v>
      </c>
      <c r="CG398" s="293">
        <f>'[3]Profit and Loss Highlights'!BA$26</f>
        <v>209</v>
      </c>
      <c r="CH398" s="293">
        <f>'[3]Profit and Loss Highlights'!BB$26</f>
        <v>215</v>
      </c>
      <c r="CI398" s="167"/>
      <c r="CJ398" s="293">
        <f>'[3]Profit and Loss Highlights'!BC$26</f>
        <v>213</v>
      </c>
      <c r="CK398" s="293">
        <f>'[3]Profit and Loss Highlights'!BD$26</f>
        <v>207</v>
      </c>
      <c r="CL398" s="293">
        <f>'[3]Profit and Loss Highlights'!BE$26</f>
        <v>207</v>
      </c>
      <c r="CM398" s="293">
        <f>'[3]Profit and Loss Highlights'!BF$26</f>
        <v>214</v>
      </c>
      <c r="CN398" s="167"/>
      <c r="CO398" s="293">
        <f>'[3]Profit and Loss Highlights'!BG$26</f>
        <v>211</v>
      </c>
      <c r="CP398" s="293">
        <f>'[3]Profit and Loss Highlights'!BH$26</f>
        <v>209</v>
      </c>
      <c r="CQ398" s="167"/>
      <c r="CR398" s="167"/>
      <c r="CS398" s="167"/>
      <c r="CT398" s="167"/>
      <c r="CU398" s="167"/>
      <c r="CV398" s="167"/>
      <c r="CW398" s="167"/>
      <c r="CX398" s="159"/>
      <c r="CY398" s="159"/>
      <c r="CZ398" s="159"/>
      <c r="DA398" s="159"/>
      <c r="DB398" s="159"/>
      <c r="DC398" s="165"/>
      <c r="DD398" s="165"/>
      <c r="DF398" s="226"/>
      <c r="DG398" s="237"/>
      <c r="DH398" s="237"/>
      <c r="DI398" s="237"/>
      <c r="DJ398" s="237"/>
      <c r="DK398" s="237"/>
      <c r="DL398" s="237"/>
      <c r="DM398" s="237"/>
      <c r="DN398" s="237"/>
      <c r="DO398" s="237"/>
      <c r="EU398" s="286"/>
      <c r="EV398" s="287"/>
    </row>
    <row r="399" spans="1:152" ht="15" hidden="1" customHeight="1" outlineLevel="1">
      <c r="A399" s="329" t="s">
        <v>635</v>
      </c>
      <c r="B399" s="262"/>
      <c r="C399" s="236"/>
      <c r="D399" s="236"/>
      <c r="E399" s="236"/>
      <c r="F399" s="236"/>
      <c r="G399" s="262"/>
      <c r="H399" s="236"/>
      <c r="I399" s="236"/>
      <c r="J399" s="236"/>
      <c r="K399" s="236"/>
      <c r="L399" s="236"/>
      <c r="M399" s="236"/>
      <c r="N399" s="236"/>
      <c r="O399" s="236"/>
      <c r="P399" s="236"/>
      <c r="Q399" s="236"/>
      <c r="R399" s="236"/>
      <c r="S399" s="236"/>
      <c r="T399" s="236"/>
      <c r="U399" s="236"/>
      <c r="V399" s="236"/>
      <c r="W399" s="236"/>
      <c r="X399" s="236"/>
      <c r="Y399" s="236"/>
      <c r="Z399" s="236"/>
      <c r="AA399" s="236"/>
      <c r="AB399" s="236"/>
      <c r="AC399" s="236"/>
      <c r="AD399" s="236"/>
      <c r="AE399" s="236"/>
      <c r="AF399" s="236"/>
      <c r="AG399" s="236"/>
      <c r="AH399" s="236"/>
      <c r="AI399" s="236"/>
      <c r="AJ399" s="236"/>
      <c r="AK399" s="236"/>
      <c r="AL399" s="236"/>
      <c r="AM399" s="236"/>
      <c r="AN399" s="236"/>
      <c r="AO399" s="236"/>
      <c r="AP399" s="236"/>
      <c r="AQ399" s="236"/>
      <c r="AR399" s="236"/>
      <c r="AS399" s="236"/>
      <c r="AT399" s="236"/>
      <c r="AU399" s="236"/>
      <c r="AV399" s="236"/>
      <c r="AW399" s="236"/>
      <c r="AX399" s="236"/>
      <c r="AY399" s="236"/>
      <c r="AZ399" s="236"/>
      <c r="BA399" s="236"/>
      <c r="BB399" s="236"/>
      <c r="BC399" s="236"/>
      <c r="BD399" s="236"/>
      <c r="BE399" s="236"/>
      <c r="BF399" s="236"/>
      <c r="BG399" s="236"/>
      <c r="BH399" s="236"/>
      <c r="BI399" s="236"/>
      <c r="BJ399" s="236"/>
      <c r="BK399" s="236"/>
      <c r="BL399" s="236"/>
      <c r="BM399" s="236"/>
      <c r="BN399" s="236"/>
      <c r="BO399" s="236"/>
      <c r="BP399" s="293">
        <f>'[3]Profit and Loss Highlights'!AM$27</f>
        <v>188</v>
      </c>
      <c r="BQ399" s="293">
        <f>'[3]Profit and Loss Highlights'!AN$27</f>
        <v>186</v>
      </c>
      <c r="BR399" s="293">
        <f>'[3]Profit and Loss Highlights'!AO$27</f>
        <v>194</v>
      </c>
      <c r="BS399" s="293">
        <f>'[3]Profit and Loss Highlights'!AP$27</f>
        <v>210</v>
      </c>
      <c r="BT399" s="236"/>
      <c r="BU399" s="293">
        <f>'[3]Profit and Loss Highlights'!AQ$27</f>
        <v>203</v>
      </c>
      <c r="BV399" s="293">
        <f>'[3]Profit and Loss Highlights'!AR$27</f>
        <v>201</v>
      </c>
      <c r="BW399" s="293">
        <f>'[3]Profit and Loss Highlights'!AS$27</f>
        <v>188</v>
      </c>
      <c r="BX399" s="293">
        <f>'[3]Profit and Loss Highlights'!AT$27</f>
        <v>157</v>
      </c>
      <c r="BY399" s="236"/>
      <c r="BZ399" s="293">
        <f>'[3]Profit and Loss Highlights'!AU$27</f>
        <v>165</v>
      </c>
      <c r="CA399" s="293">
        <f>'[3]Profit and Loss Highlights'!AV$27</f>
        <v>161</v>
      </c>
      <c r="CB399" s="293">
        <f>'[3]Profit and Loss Highlights'!AW$27</f>
        <v>180</v>
      </c>
      <c r="CC399" s="293">
        <f>'[3]Profit and Loss Highlights'!AX$27</f>
        <v>196</v>
      </c>
      <c r="CD399" s="167"/>
      <c r="CE399" s="293">
        <f>'[3]Profit and Loss Highlights'!AY$27</f>
        <v>187</v>
      </c>
      <c r="CF399" s="293">
        <f>'[3]Profit and Loss Highlights'!AZ$27</f>
        <v>199</v>
      </c>
      <c r="CG399" s="293">
        <f>'[3]Profit and Loss Highlights'!BA$27</f>
        <v>187</v>
      </c>
      <c r="CH399" s="293">
        <f>'[3]Profit and Loss Highlights'!BB$27</f>
        <v>211</v>
      </c>
      <c r="CI399" s="167"/>
      <c r="CJ399" s="293">
        <f>'[3]Profit and Loss Highlights'!BC$27</f>
        <v>185</v>
      </c>
      <c r="CK399" s="293">
        <f>'[3]Profit and Loss Highlights'!BD$27</f>
        <v>200</v>
      </c>
      <c r="CL399" s="293">
        <f>'[3]Profit and Loss Highlights'!BE$27</f>
        <v>211</v>
      </c>
      <c r="CM399" s="293">
        <f>'[3]Profit and Loss Highlights'!BF$27</f>
        <v>228</v>
      </c>
      <c r="CN399" s="167"/>
      <c r="CO399" s="293">
        <f>'[3]Profit and Loss Highlights'!BG$27</f>
        <v>208</v>
      </c>
      <c r="CP399" s="293">
        <f>'[3]Profit and Loss Highlights'!BH$27</f>
        <v>207</v>
      </c>
      <c r="CQ399" s="167"/>
      <c r="CR399" s="167"/>
      <c r="CS399" s="167"/>
      <c r="CT399" s="167"/>
      <c r="CU399" s="167"/>
      <c r="CV399" s="167"/>
      <c r="CW399" s="167"/>
      <c r="CX399" s="159"/>
      <c r="CY399" s="159"/>
      <c r="CZ399" s="159"/>
      <c r="DA399" s="159"/>
      <c r="DB399" s="159"/>
      <c r="DC399" s="165"/>
      <c r="DD399" s="165"/>
      <c r="DF399" s="226"/>
      <c r="DG399" s="237"/>
      <c r="DH399" s="237"/>
      <c r="DI399" s="237"/>
      <c r="DJ399" s="237"/>
      <c r="DK399" s="237"/>
      <c r="DL399" s="237"/>
      <c r="DM399" s="237"/>
      <c r="DN399" s="237"/>
      <c r="DO399" s="237"/>
      <c r="EU399" s="286"/>
      <c r="EV399" s="287"/>
    </row>
    <row r="400" spans="1:152" ht="15" hidden="1" customHeight="1" outlineLevel="1">
      <c r="A400" s="337" t="s">
        <v>584</v>
      </c>
      <c r="B400" s="262"/>
      <c r="C400" s="236"/>
      <c r="D400" s="236"/>
      <c r="E400" s="236"/>
      <c r="F400" s="236"/>
      <c r="G400" s="262"/>
      <c r="H400" s="236"/>
      <c r="I400" s="236"/>
      <c r="J400" s="236"/>
      <c r="K400" s="236"/>
      <c r="L400" s="236"/>
      <c r="M400" s="236"/>
      <c r="N400" s="236"/>
      <c r="O400" s="236"/>
      <c r="P400" s="236"/>
      <c r="Q400" s="236"/>
      <c r="R400" s="236"/>
      <c r="S400" s="236"/>
      <c r="T400" s="236"/>
      <c r="U400" s="236"/>
      <c r="V400" s="236"/>
      <c r="W400" s="236"/>
      <c r="X400" s="236"/>
      <c r="Y400" s="236"/>
      <c r="Z400" s="236"/>
      <c r="AA400" s="236"/>
      <c r="AB400" s="236"/>
      <c r="AC400" s="236"/>
      <c r="AD400" s="236"/>
      <c r="AE400" s="236"/>
      <c r="AF400" s="236"/>
      <c r="AG400" s="236"/>
      <c r="AH400" s="236"/>
      <c r="AI400" s="236"/>
      <c r="AJ400" s="236"/>
      <c r="AK400" s="236"/>
      <c r="AL400" s="236"/>
      <c r="AM400" s="236"/>
      <c r="AN400" s="236"/>
      <c r="AO400" s="236"/>
      <c r="AP400" s="236"/>
      <c r="AQ400" s="236"/>
      <c r="AR400" s="236"/>
      <c r="AS400" s="236"/>
      <c r="AT400" s="236"/>
      <c r="AU400" s="236"/>
      <c r="AV400" s="236"/>
      <c r="AW400" s="236"/>
      <c r="AX400" s="236"/>
      <c r="AY400" s="236"/>
      <c r="AZ400" s="236"/>
      <c r="BA400" s="236"/>
      <c r="BB400" s="236"/>
      <c r="BC400" s="236"/>
      <c r="BD400" s="236"/>
      <c r="BE400" s="236"/>
      <c r="BF400" s="236"/>
      <c r="BG400" s="236"/>
      <c r="BH400" s="236"/>
      <c r="BI400" s="236"/>
      <c r="BJ400" s="236"/>
      <c r="BK400" s="236"/>
      <c r="BL400" s="236"/>
      <c r="BM400" s="236"/>
      <c r="BN400" s="236"/>
      <c r="BO400" s="236"/>
      <c r="BP400" s="293">
        <f>'[3]Profit and Loss Highlights'!AM$28</f>
        <v>368</v>
      </c>
      <c r="BQ400" s="293">
        <f>'[3]Profit and Loss Highlights'!AN$28</f>
        <v>371</v>
      </c>
      <c r="BR400" s="293">
        <f>'[3]Profit and Loss Highlights'!AO$28</f>
        <v>380</v>
      </c>
      <c r="BS400" s="293">
        <f>'[3]Profit and Loss Highlights'!AP$28</f>
        <v>399</v>
      </c>
      <c r="BT400" s="236"/>
      <c r="BU400" s="293">
        <f>'[3]Profit and Loss Highlights'!AQ$28</f>
        <v>388</v>
      </c>
      <c r="BV400" s="293">
        <f>'[3]Profit and Loss Highlights'!AR$28</f>
        <v>386</v>
      </c>
      <c r="BW400" s="293">
        <f>'[3]Profit and Loss Highlights'!AS$28</f>
        <v>387</v>
      </c>
      <c r="BX400" s="293">
        <f>'[3]Profit and Loss Highlights'!AT$28</f>
        <v>364</v>
      </c>
      <c r="BY400" s="236"/>
      <c r="BZ400" s="293">
        <f>'[3]Profit and Loss Highlights'!AU$28</f>
        <v>365</v>
      </c>
      <c r="CA400" s="293">
        <f>'[3]Profit and Loss Highlights'!AV$28</f>
        <v>362</v>
      </c>
      <c r="CB400" s="293">
        <f>'[3]Profit and Loss Highlights'!AW$28</f>
        <v>380</v>
      </c>
      <c r="CC400" s="293">
        <f>'[3]Profit and Loss Highlights'!AX$28</f>
        <v>401</v>
      </c>
      <c r="CD400" s="167"/>
      <c r="CE400" s="293">
        <f>'[3]Profit and Loss Highlights'!AY$28</f>
        <v>387</v>
      </c>
      <c r="CF400" s="293">
        <f>'[3]Profit and Loss Highlights'!AZ$28</f>
        <v>401</v>
      </c>
      <c r="CG400" s="293">
        <f>'[3]Profit and Loss Highlights'!BA$28</f>
        <v>396</v>
      </c>
      <c r="CH400" s="293">
        <f>'[3]Profit and Loss Highlights'!BB$28</f>
        <v>426</v>
      </c>
      <c r="CI400" s="167"/>
      <c r="CJ400" s="293">
        <f>'[3]Profit and Loss Highlights'!BC$28</f>
        <v>398</v>
      </c>
      <c r="CK400" s="293">
        <f>'[3]Profit and Loss Highlights'!BD$28</f>
        <v>407</v>
      </c>
      <c r="CL400" s="293">
        <f>'[3]Profit and Loss Highlights'!BE$28</f>
        <v>418</v>
      </c>
      <c r="CM400" s="293">
        <f>'[3]Profit and Loss Highlights'!BF$28</f>
        <v>442</v>
      </c>
      <c r="CN400" s="167"/>
      <c r="CO400" s="293">
        <f>'[3]Profit and Loss Highlights'!BG$28</f>
        <v>419</v>
      </c>
      <c r="CP400" s="293">
        <f>'[3]Profit and Loss Highlights'!BH$28</f>
        <v>416</v>
      </c>
      <c r="CQ400" s="167"/>
      <c r="CR400" s="167"/>
      <c r="CS400" s="167"/>
      <c r="CT400" s="167"/>
      <c r="CU400" s="167"/>
      <c r="CV400" s="167"/>
      <c r="CW400" s="167"/>
      <c r="CX400" s="159"/>
      <c r="CY400" s="159"/>
      <c r="CZ400" s="159"/>
      <c r="DA400" s="159"/>
      <c r="DB400" s="159"/>
      <c r="DC400" s="165"/>
      <c r="DD400" s="165"/>
      <c r="DF400" s="226"/>
      <c r="DG400" s="237"/>
      <c r="DH400" s="237"/>
      <c r="DI400" s="237"/>
      <c r="DJ400" s="237"/>
      <c r="DK400" s="237"/>
      <c r="DL400" s="237"/>
      <c r="DM400" s="237"/>
      <c r="DN400" s="237"/>
      <c r="DO400" s="237"/>
      <c r="EU400" s="286"/>
      <c r="EV400" s="287"/>
    </row>
    <row r="401" spans="1:152" ht="15" hidden="1" customHeight="1" outlineLevel="1">
      <c r="A401" s="329" t="s">
        <v>64</v>
      </c>
      <c r="B401" s="262"/>
      <c r="C401" s="236"/>
      <c r="D401" s="236"/>
      <c r="E401" s="236"/>
      <c r="F401" s="236"/>
      <c r="G401" s="262"/>
      <c r="H401" s="236"/>
      <c r="I401" s="236"/>
      <c r="J401" s="236"/>
      <c r="K401" s="236"/>
      <c r="L401" s="236"/>
      <c r="M401" s="236"/>
      <c r="N401" s="236"/>
      <c r="O401" s="236"/>
      <c r="P401" s="236"/>
      <c r="Q401" s="236"/>
      <c r="R401" s="236"/>
      <c r="S401" s="236"/>
      <c r="T401" s="236"/>
      <c r="U401" s="236"/>
      <c r="V401" s="236"/>
      <c r="W401" s="236"/>
      <c r="X401" s="236"/>
      <c r="Y401" s="236"/>
      <c r="Z401" s="236"/>
      <c r="AA401" s="236"/>
      <c r="AB401" s="236"/>
      <c r="AC401" s="236"/>
      <c r="AD401" s="236"/>
      <c r="AE401" s="236"/>
      <c r="AF401" s="236"/>
      <c r="AG401" s="236"/>
      <c r="AH401" s="236"/>
      <c r="AI401" s="236"/>
      <c r="AJ401" s="236"/>
      <c r="AK401" s="236"/>
      <c r="AL401" s="236"/>
      <c r="AM401" s="236"/>
      <c r="AN401" s="236"/>
      <c r="AO401" s="236"/>
      <c r="AP401" s="236"/>
      <c r="AQ401" s="236"/>
      <c r="AR401" s="236"/>
      <c r="AS401" s="236"/>
      <c r="AT401" s="236"/>
      <c r="AU401" s="236"/>
      <c r="AV401" s="236"/>
      <c r="AW401" s="236"/>
      <c r="AX401" s="236"/>
      <c r="AY401" s="236"/>
      <c r="AZ401" s="236"/>
      <c r="BA401" s="236"/>
      <c r="BB401" s="236"/>
      <c r="BC401" s="236"/>
      <c r="BD401" s="236"/>
      <c r="BE401" s="236"/>
      <c r="BF401" s="236"/>
      <c r="BG401" s="236"/>
      <c r="BH401" s="236"/>
      <c r="BI401" s="236"/>
      <c r="BJ401" s="236"/>
      <c r="BK401" s="236"/>
      <c r="BL401" s="236"/>
      <c r="BM401" s="236"/>
      <c r="BN401" s="236"/>
      <c r="BO401" s="236"/>
      <c r="BP401" s="236"/>
      <c r="BQ401" s="236"/>
      <c r="BR401" s="236"/>
      <c r="BS401" s="236"/>
      <c r="BT401" s="236"/>
      <c r="BU401" s="237"/>
      <c r="BV401" s="237"/>
      <c r="BW401" s="237"/>
      <c r="BX401" s="237"/>
      <c r="BY401" s="236"/>
      <c r="BZ401" s="237"/>
      <c r="CA401" s="237"/>
      <c r="CB401" s="237"/>
      <c r="CC401" s="237"/>
      <c r="CD401" s="167"/>
      <c r="CE401" s="237"/>
      <c r="CF401" s="237"/>
      <c r="CG401" s="237"/>
      <c r="CH401" s="237"/>
      <c r="CI401" s="167"/>
      <c r="CJ401" s="237"/>
      <c r="CK401" s="237"/>
      <c r="CL401" s="237"/>
      <c r="CM401" s="237"/>
      <c r="CN401" s="167"/>
      <c r="CO401" s="237"/>
      <c r="CP401" s="237"/>
      <c r="CQ401" s="167"/>
      <c r="CR401" s="167"/>
      <c r="CS401" s="167"/>
      <c r="CT401" s="167"/>
      <c r="CU401" s="167"/>
      <c r="CV401" s="167"/>
      <c r="CW401" s="167"/>
      <c r="CX401" s="159"/>
      <c r="CY401" s="159"/>
      <c r="CZ401" s="159"/>
      <c r="DA401" s="159"/>
      <c r="DB401" s="159"/>
      <c r="DC401" s="165"/>
      <c r="DD401" s="165"/>
      <c r="DF401" s="226"/>
      <c r="DG401" s="237"/>
      <c r="DH401" s="237"/>
      <c r="DI401" s="237"/>
      <c r="DJ401" s="237"/>
      <c r="DK401" s="237"/>
      <c r="DL401" s="237"/>
      <c r="DM401" s="237"/>
      <c r="DN401" s="237"/>
      <c r="DO401" s="237"/>
      <c r="EU401" s="286"/>
      <c r="EV401" s="287"/>
    </row>
    <row r="402" spans="1:152" ht="15" hidden="1" customHeight="1" outlineLevel="1">
      <c r="A402" s="329"/>
      <c r="B402" s="262"/>
      <c r="C402" s="236"/>
      <c r="D402" s="236"/>
      <c r="E402" s="236"/>
      <c r="F402" s="236"/>
      <c r="G402" s="262"/>
      <c r="H402" s="236"/>
      <c r="I402" s="236"/>
      <c r="J402" s="236"/>
      <c r="K402" s="236"/>
      <c r="L402" s="236"/>
      <c r="M402" s="236"/>
      <c r="N402" s="236"/>
      <c r="O402" s="236"/>
      <c r="P402" s="236"/>
      <c r="Q402" s="236"/>
      <c r="R402" s="236"/>
      <c r="S402" s="236"/>
      <c r="T402" s="236"/>
      <c r="U402" s="236"/>
      <c r="V402" s="236"/>
      <c r="W402" s="236"/>
      <c r="X402" s="236"/>
      <c r="Y402" s="236"/>
      <c r="Z402" s="236"/>
      <c r="AA402" s="236"/>
      <c r="AB402" s="236"/>
      <c r="AC402" s="236"/>
      <c r="AD402" s="236"/>
      <c r="AE402" s="236"/>
      <c r="AF402" s="236"/>
      <c r="AG402" s="236"/>
      <c r="AH402" s="236"/>
      <c r="AI402" s="236"/>
      <c r="AJ402" s="236"/>
      <c r="AK402" s="236"/>
      <c r="AL402" s="236"/>
      <c r="AM402" s="236"/>
      <c r="AN402" s="236"/>
      <c r="AO402" s="236"/>
      <c r="AP402" s="236"/>
      <c r="AQ402" s="236"/>
      <c r="AR402" s="236"/>
      <c r="AS402" s="236"/>
      <c r="AT402" s="236"/>
      <c r="AU402" s="236"/>
      <c r="AV402" s="236"/>
      <c r="AW402" s="236"/>
      <c r="AX402" s="236"/>
      <c r="AY402" s="236"/>
      <c r="AZ402" s="236"/>
      <c r="BA402" s="236"/>
      <c r="BB402" s="236"/>
      <c r="BC402" s="236"/>
      <c r="BD402" s="236"/>
      <c r="BE402" s="236"/>
      <c r="BF402" s="236"/>
      <c r="BG402" s="236"/>
      <c r="BH402" s="236"/>
      <c r="BI402" s="236"/>
      <c r="BJ402" s="236"/>
      <c r="BK402" s="236"/>
      <c r="BL402" s="236"/>
      <c r="BM402" s="236"/>
      <c r="BN402" s="236"/>
      <c r="BO402" s="236"/>
      <c r="BP402" s="236"/>
      <c r="BQ402" s="236"/>
      <c r="BR402" s="236"/>
      <c r="BS402" s="236"/>
      <c r="BT402" s="236"/>
      <c r="BU402" s="237"/>
      <c r="BV402" s="237"/>
      <c r="BW402" s="237"/>
      <c r="BX402" s="237"/>
      <c r="BY402" s="236"/>
      <c r="BZ402" s="237"/>
      <c r="CA402" s="237"/>
      <c r="CB402" s="237"/>
      <c r="CC402" s="237"/>
      <c r="CD402" s="167"/>
      <c r="CE402" s="237"/>
      <c r="CF402" s="237"/>
      <c r="CG402" s="237"/>
      <c r="CH402" s="237"/>
      <c r="CI402" s="167"/>
      <c r="CJ402" s="237"/>
      <c r="CK402" s="237"/>
      <c r="CL402" s="237"/>
      <c r="CM402" s="237"/>
      <c r="CN402" s="167"/>
      <c r="CO402" s="237"/>
      <c r="CP402" s="237"/>
      <c r="CQ402" s="167"/>
      <c r="CR402" s="167"/>
      <c r="CS402" s="167"/>
      <c r="CT402" s="167"/>
      <c r="CU402" s="167"/>
      <c r="CV402" s="167"/>
      <c r="CW402" s="167"/>
      <c r="CX402" s="159"/>
      <c r="CY402" s="159"/>
      <c r="CZ402" s="159"/>
      <c r="DA402" s="159"/>
      <c r="DB402" s="159"/>
      <c r="DC402" s="165"/>
      <c r="DD402" s="165"/>
      <c r="DF402" s="226"/>
      <c r="DG402" s="237"/>
      <c r="DH402" s="237"/>
      <c r="DI402" s="237"/>
      <c r="DJ402" s="237"/>
      <c r="DK402" s="237"/>
      <c r="DL402" s="237"/>
      <c r="DM402" s="237"/>
      <c r="DN402" s="237"/>
      <c r="DO402" s="237"/>
      <c r="EU402" s="286"/>
      <c r="EV402" s="287"/>
    </row>
    <row r="403" spans="1:152" s="221" customFormat="1" hidden="1" outlineLevel="1">
      <c r="A403" s="345" t="s">
        <v>552</v>
      </c>
      <c r="B403" s="214">
        <v>254</v>
      </c>
      <c r="C403" s="214"/>
      <c r="D403" s="214"/>
      <c r="E403" s="214"/>
      <c r="F403" s="214"/>
      <c r="G403" s="214">
        <f t="shared" ref="G403:AS403" si="1444">G315</f>
        <v>247.2</v>
      </c>
      <c r="H403" s="214">
        <f t="shared" si="1444"/>
        <v>45</v>
      </c>
      <c r="I403" s="214">
        <f t="shared" si="1444"/>
        <v>59</v>
      </c>
      <c r="J403" s="214">
        <f t="shared" si="1444"/>
        <v>40</v>
      </c>
      <c r="K403" s="214">
        <f t="shared" si="1444"/>
        <v>44</v>
      </c>
      <c r="L403" s="214">
        <f t="shared" si="1444"/>
        <v>188</v>
      </c>
      <c r="M403" s="214">
        <f t="shared" si="1444"/>
        <v>43</v>
      </c>
      <c r="N403" s="214">
        <f t="shared" si="1444"/>
        <v>45</v>
      </c>
      <c r="O403" s="214">
        <f t="shared" si="1444"/>
        <v>47</v>
      </c>
      <c r="P403" s="214">
        <f t="shared" si="1444"/>
        <v>50</v>
      </c>
      <c r="Q403" s="214">
        <f t="shared" si="1444"/>
        <v>185</v>
      </c>
      <c r="R403" s="214">
        <f t="shared" si="1444"/>
        <v>47</v>
      </c>
      <c r="S403" s="214">
        <f t="shared" si="1444"/>
        <v>53</v>
      </c>
      <c r="T403" s="214">
        <f t="shared" si="1444"/>
        <v>48</v>
      </c>
      <c r="U403" s="214">
        <f t="shared" si="1444"/>
        <v>33</v>
      </c>
      <c r="V403" s="214">
        <f t="shared" si="1444"/>
        <v>181</v>
      </c>
      <c r="W403" s="214">
        <f t="shared" si="1444"/>
        <v>45</v>
      </c>
      <c r="X403" s="214">
        <f t="shared" si="1444"/>
        <v>50</v>
      </c>
      <c r="Y403" s="214">
        <f t="shared" si="1444"/>
        <v>53</v>
      </c>
      <c r="Z403" s="214">
        <f t="shared" si="1444"/>
        <v>55</v>
      </c>
      <c r="AA403" s="214">
        <f t="shared" si="1444"/>
        <v>203</v>
      </c>
      <c r="AB403" s="214">
        <f t="shared" si="1444"/>
        <v>63</v>
      </c>
      <c r="AC403" s="214">
        <f t="shared" si="1444"/>
        <v>58</v>
      </c>
      <c r="AD403" s="214">
        <f t="shared" si="1444"/>
        <v>58</v>
      </c>
      <c r="AE403" s="214">
        <f t="shared" si="1444"/>
        <v>61</v>
      </c>
      <c r="AF403" s="214">
        <f t="shared" si="1444"/>
        <v>240</v>
      </c>
      <c r="AG403" s="214">
        <f t="shared" si="1444"/>
        <v>59</v>
      </c>
      <c r="AH403" s="214">
        <f t="shared" si="1444"/>
        <v>62</v>
      </c>
      <c r="AI403" s="214">
        <f t="shared" si="1444"/>
        <v>64</v>
      </c>
      <c r="AJ403" s="214">
        <f t="shared" si="1444"/>
        <v>68</v>
      </c>
      <c r="AK403" s="214">
        <f t="shared" si="1444"/>
        <v>253</v>
      </c>
      <c r="AL403" s="214">
        <f t="shared" si="1444"/>
        <v>65</v>
      </c>
      <c r="AM403" s="214">
        <f t="shared" si="1444"/>
        <v>64</v>
      </c>
      <c r="AN403" s="214">
        <f t="shared" si="1444"/>
        <v>63</v>
      </c>
      <c r="AO403" s="214">
        <f t="shared" si="1444"/>
        <v>61</v>
      </c>
      <c r="AP403" s="214">
        <f t="shared" si="1444"/>
        <v>253</v>
      </c>
      <c r="AQ403" s="214">
        <f t="shared" si="1444"/>
        <v>67</v>
      </c>
      <c r="AR403" s="214">
        <f t="shared" si="1444"/>
        <v>67</v>
      </c>
      <c r="AS403" s="214">
        <f t="shared" si="1444"/>
        <v>74</v>
      </c>
      <c r="AT403" s="214">
        <f>AU403-AS403-AR403-AQ403</f>
        <v>78</v>
      </c>
      <c r="AU403" s="214">
        <f>AU315</f>
        <v>286</v>
      </c>
      <c r="AV403" s="214">
        <f t="shared" ref="AV403:BH403" si="1445">AV391+AV394</f>
        <v>144</v>
      </c>
      <c r="AW403" s="214">
        <f t="shared" si="1445"/>
        <v>152</v>
      </c>
      <c r="AX403" s="214">
        <f t="shared" si="1445"/>
        <v>150</v>
      </c>
      <c r="AY403" s="214">
        <f t="shared" si="1445"/>
        <v>138</v>
      </c>
      <c r="AZ403" s="214">
        <f t="shared" si="1445"/>
        <v>584</v>
      </c>
      <c r="BA403" s="214">
        <f t="shared" si="1445"/>
        <v>146</v>
      </c>
      <c r="BB403" s="214">
        <f t="shared" si="1445"/>
        <v>150</v>
      </c>
      <c r="BC403" s="214">
        <f t="shared" si="1445"/>
        <v>151</v>
      </c>
      <c r="BD403" s="214">
        <f t="shared" si="1445"/>
        <v>150</v>
      </c>
      <c r="BE403" s="214">
        <f t="shared" si="1445"/>
        <v>597</v>
      </c>
      <c r="BF403" s="214">
        <f t="shared" si="1445"/>
        <v>150</v>
      </c>
      <c r="BG403" s="214">
        <f t="shared" si="1445"/>
        <v>155</v>
      </c>
      <c r="BH403" s="214">
        <f t="shared" si="1445"/>
        <v>167</v>
      </c>
      <c r="BI403" s="214">
        <f t="shared" ref="BI403:BV403" si="1446">BI391+BI394</f>
        <v>220</v>
      </c>
      <c r="BJ403" s="214">
        <f t="shared" si="1446"/>
        <v>692</v>
      </c>
      <c r="BK403" s="214">
        <f t="shared" si="1446"/>
        <v>242</v>
      </c>
      <c r="BL403" s="214">
        <f t="shared" si="1446"/>
        <v>240</v>
      </c>
      <c r="BM403" s="214">
        <f t="shared" si="1446"/>
        <v>267</v>
      </c>
      <c r="BN403" s="214">
        <f t="shared" si="1446"/>
        <v>282</v>
      </c>
      <c r="BO403" s="214">
        <f t="shared" si="1446"/>
        <v>1031</v>
      </c>
      <c r="BP403" s="214">
        <f t="shared" si="1446"/>
        <v>271</v>
      </c>
      <c r="BQ403" s="214">
        <f t="shared" si="1446"/>
        <v>277</v>
      </c>
      <c r="BR403" s="214">
        <f t="shared" si="1446"/>
        <v>286</v>
      </c>
      <c r="BS403" s="214">
        <f t="shared" si="1446"/>
        <v>310</v>
      </c>
      <c r="BT403" s="214">
        <f t="shared" si="1446"/>
        <v>1144</v>
      </c>
      <c r="BU403" s="214">
        <f t="shared" si="1446"/>
        <v>307</v>
      </c>
      <c r="BV403" s="214">
        <f t="shared" si="1446"/>
        <v>312</v>
      </c>
      <c r="BW403" s="214">
        <f t="shared" ref="BW403:BY403" si="1447">BW391+BW394</f>
        <v>315</v>
      </c>
      <c r="BX403" s="214">
        <f t="shared" si="1447"/>
        <v>294</v>
      </c>
      <c r="BY403" s="214">
        <f t="shared" si="1447"/>
        <v>1228</v>
      </c>
      <c r="BZ403" s="214">
        <f>BZ400</f>
        <v>365</v>
      </c>
      <c r="CA403" s="214">
        <f>CA400</f>
        <v>362</v>
      </c>
      <c r="CB403" s="214">
        <f>CB400</f>
        <v>380</v>
      </c>
      <c r="CC403" s="214">
        <f>CC400</f>
        <v>401</v>
      </c>
      <c r="CD403" s="214">
        <f>CD391+CD394+CD396</f>
        <v>1460.35</v>
      </c>
      <c r="CE403" s="214">
        <f>CE400</f>
        <v>387</v>
      </c>
      <c r="CF403" s="214">
        <f>CF400</f>
        <v>401</v>
      </c>
      <c r="CG403" s="214">
        <f>CG400</f>
        <v>396</v>
      </c>
      <c r="CH403" s="214">
        <f>CH400</f>
        <v>426</v>
      </c>
      <c r="CI403" s="214">
        <f t="shared" ref="CI403:CS403" si="1448">CI391+CI394+CI396</f>
        <v>1705.4925000000003</v>
      </c>
      <c r="CJ403" s="214">
        <f>CJ400</f>
        <v>398</v>
      </c>
      <c r="CK403" s="214">
        <f>CK400</f>
        <v>407</v>
      </c>
      <c r="CL403" s="214">
        <f>CL400</f>
        <v>418</v>
      </c>
      <c r="CM403" s="214">
        <f>CM400</f>
        <v>442</v>
      </c>
      <c r="CN403" s="214">
        <f t="shared" ref="CN403" si="1449">CN391+CN394+CN396</f>
        <v>2014.5296250000001</v>
      </c>
      <c r="CO403" s="214">
        <f>CO400</f>
        <v>419</v>
      </c>
      <c r="CP403" s="214">
        <f>CP400</f>
        <v>416</v>
      </c>
      <c r="CQ403" s="214">
        <f t="shared" si="1448"/>
        <v>2347.9691062500006</v>
      </c>
      <c r="CR403" s="214">
        <f t="shared" si="1448"/>
        <v>2610.8131865625005</v>
      </c>
      <c r="CS403" s="214">
        <f t="shared" si="1448"/>
        <v>2833.3482037031254</v>
      </c>
      <c r="CT403" s="214">
        <f t="shared" ref="CT403:CV403" si="1450">CT391+CT394+CT396</f>
        <v>3076.6693792710939</v>
      </c>
      <c r="CU403" s="214">
        <f t="shared" si="1450"/>
        <v>3342.8302589826567</v>
      </c>
      <c r="CV403" s="214">
        <f t="shared" si="1450"/>
        <v>3634.0935608083382</v>
      </c>
      <c r="CW403" s="214">
        <f t="shared" ref="CW403" si="1451">CW391+CW394+CW396</f>
        <v>3952.9528155573412</v>
      </c>
      <c r="CX403" s="165"/>
      <c r="CY403" s="165"/>
      <c r="CZ403" s="165"/>
      <c r="DA403" s="165"/>
      <c r="DB403" s="165"/>
      <c r="DC403" s="165"/>
      <c r="DD403" s="165"/>
      <c r="DF403" s="901"/>
      <c r="DG403" s="902"/>
      <c r="DH403" s="902"/>
      <c r="DI403" s="902"/>
      <c r="DJ403" s="902"/>
      <c r="DK403" s="902"/>
      <c r="DL403" s="902"/>
      <c r="DM403" s="902"/>
      <c r="DN403" s="902"/>
      <c r="DO403" s="902"/>
      <c r="EU403" s="346"/>
      <c r="EV403" s="347"/>
    </row>
    <row r="404" spans="1:152" ht="15" hidden="1" customHeight="1" outlineLevel="1">
      <c r="A404" s="329" t="s">
        <v>64</v>
      </c>
      <c r="B404" s="236"/>
      <c r="C404" s="236"/>
      <c r="D404" s="236"/>
      <c r="E404" s="236"/>
      <c r="F404" s="236"/>
      <c r="G404" s="236">
        <f>G403/B403-1</f>
        <v>-2.6771653543307128E-2</v>
      </c>
      <c r="H404" s="236"/>
      <c r="I404" s="236"/>
      <c r="J404" s="236"/>
      <c r="K404" s="236"/>
      <c r="L404" s="236">
        <f>L403/G403-1</f>
        <v>-0.23948220064724912</v>
      </c>
      <c r="M404" s="236"/>
      <c r="N404" s="236"/>
      <c r="O404" s="236"/>
      <c r="P404" s="236"/>
      <c r="Q404" s="236">
        <f>Q403/L403-1</f>
        <v>-1.5957446808510634E-2</v>
      </c>
      <c r="R404" s="236"/>
      <c r="S404" s="236"/>
      <c r="T404" s="236"/>
      <c r="U404" s="236"/>
      <c r="V404" s="236">
        <f>V403/Q403-1</f>
        <v>-2.1621621621621623E-2</v>
      </c>
      <c r="W404" s="236"/>
      <c r="X404" s="236"/>
      <c r="Y404" s="236"/>
      <c r="Z404" s="236"/>
      <c r="AA404" s="236">
        <f>AA403/V403-1</f>
        <v>0.12154696132596676</v>
      </c>
      <c r="AB404" s="236"/>
      <c r="AC404" s="236"/>
      <c r="AD404" s="236"/>
      <c r="AE404" s="236"/>
      <c r="AF404" s="236">
        <f>AF403/AA403-1</f>
        <v>0.18226600985221686</v>
      </c>
      <c r="AG404" s="236"/>
      <c r="AH404" s="236"/>
      <c r="AI404" s="236"/>
      <c r="AJ404" s="236"/>
      <c r="AK404" s="236">
        <f>AK403/AF403-1</f>
        <v>5.4166666666666696E-2</v>
      </c>
      <c r="AL404" s="236"/>
      <c r="AM404" s="236"/>
      <c r="AN404" s="236"/>
      <c r="AO404" s="236"/>
      <c r="AP404" s="236">
        <f>AP403/AK403-1</f>
        <v>0</v>
      </c>
      <c r="AQ404" s="236"/>
      <c r="AR404" s="236"/>
      <c r="AS404" s="236"/>
      <c r="AT404" s="236"/>
      <c r="AU404" s="236">
        <f>AU403/AP403-1</f>
        <v>0.13043478260869557</v>
      </c>
      <c r="AV404" s="236"/>
      <c r="AW404" s="236"/>
      <c r="AX404" s="236"/>
      <c r="AY404" s="236"/>
      <c r="AZ404" s="236">
        <f t="shared" ref="AZ404:CP404" si="1452">AZ403/AU403-1</f>
        <v>1.0419580419580421</v>
      </c>
      <c r="BA404" s="236">
        <f t="shared" si="1452"/>
        <v>1.388888888888884E-2</v>
      </c>
      <c r="BB404" s="236">
        <f t="shared" si="1452"/>
        <v>-1.3157894736842146E-2</v>
      </c>
      <c r="BC404" s="236">
        <f t="shared" si="1452"/>
        <v>6.6666666666665986E-3</v>
      </c>
      <c r="BD404" s="236">
        <f t="shared" si="1452"/>
        <v>8.6956521739130377E-2</v>
      </c>
      <c r="BE404" s="236">
        <f t="shared" si="1452"/>
        <v>2.2260273972602773E-2</v>
      </c>
      <c r="BF404" s="236">
        <f t="shared" si="1452"/>
        <v>2.7397260273972712E-2</v>
      </c>
      <c r="BG404" s="236">
        <f t="shared" si="1452"/>
        <v>3.3333333333333437E-2</v>
      </c>
      <c r="BH404" s="236">
        <f t="shared" si="1452"/>
        <v>0.10596026490066235</v>
      </c>
      <c r="BI404" s="236">
        <f t="shared" si="1452"/>
        <v>0.46666666666666656</v>
      </c>
      <c r="BJ404" s="236">
        <f t="shared" si="1452"/>
        <v>0.1591289782244556</v>
      </c>
      <c r="BK404" s="236">
        <f t="shared" si="1452"/>
        <v>0.61333333333333329</v>
      </c>
      <c r="BL404" s="236">
        <f t="shared" si="1452"/>
        <v>0.54838709677419351</v>
      </c>
      <c r="BM404" s="236">
        <f t="shared" si="1452"/>
        <v>0.5988023952095809</v>
      </c>
      <c r="BN404" s="236">
        <f t="shared" si="1452"/>
        <v>0.28181818181818175</v>
      </c>
      <c r="BO404" s="236">
        <f t="shared" si="1452"/>
        <v>0.48988439306358389</v>
      </c>
      <c r="BP404" s="236">
        <f t="shared" si="1452"/>
        <v>0.11983471074380159</v>
      </c>
      <c r="BQ404" s="236">
        <f t="shared" si="1452"/>
        <v>0.15416666666666656</v>
      </c>
      <c r="BR404" s="236">
        <f t="shared" si="1452"/>
        <v>7.1161048689138529E-2</v>
      </c>
      <c r="BS404" s="236">
        <f t="shared" si="1452"/>
        <v>9.9290780141843893E-2</v>
      </c>
      <c r="BT404" s="236">
        <f t="shared" si="1452"/>
        <v>0.10960232783705148</v>
      </c>
      <c r="BU404" s="237">
        <f t="shared" si="1452"/>
        <v>0.13284132841328411</v>
      </c>
      <c r="BV404" s="237">
        <f t="shared" si="1452"/>
        <v>0.12635379061371843</v>
      </c>
      <c r="BW404" s="237">
        <f t="shared" si="1452"/>
        <v>0.10139860139860146</v>
      </c>
      <c r="BX404" s="237">
        <f t="shared" si="1452"/>
        <v>-5.1612903225806472E-2</v>
      </c>
      <c r="BY404" s="236">
        <f t="shared" si="1452"/>
        <v>7.3426573426573327E-2</v>
      </c>
      <c r="BZ404" s="237">
        <f t="shared" si="1452"/>
        <v>0.18892508143322484</v>
      </c>
      <c r="CA404" s="237">
        <f t="shared" si="1452"/>
        <v>0.16025641025641035</v>
      </c>
      <c r="CB404" s="237">
        <f t="shared" si="1452"/>
        <v>0.20634920634920628</v>
      </c>
      <c r="CC404" s="237">
        <f t="shared" si="1452"/>
        <v>0.36394557823129259</v>
      </c>
      <c r="CD404" s="236">
        <f>CD403/BY403-1</f>
        <v>0.18921009771986963</v>
      </c>
      <c r="CE404" s="237">
        <f t="shared" si="1452"/>
        <v>6.02739726027397E-2</v>
      </c>
      <c r="CF404" s="237">
        <f t="shared" si="1452"/>
        <v>0.10773480662983426</v>
      </c>
      <c r="CG404" s="237">
        <f t="shared" si="1452"/>
        <v>4.2105263157894646E-2</v>
      </c>
      <c r="CH404" s="237">
        <f t="shared" si="1452"/>
        <v>6.2344139650872821E-2</v>
      </c>
      <c r="CI404" s="236">
        <f>CI403/CD403-1</f>
        <v>0.16786558016913777</v>
      </c>
      <c r="CJ404" s="237">
        <f t="shared" si="1452"/>
        <v>2.8423772609819098E-2</v>
      </c>
      <c r="CK404" s="237">
        <f t="shared" si="1452"/>
        <v>1.4962593516209433E-2</v>
      </c>
      <c r="CL404" s="237">
        <f t="shared" si="1452"/>
        <v>5.555555555555558E-2</v>
      </c>
      <c r="CM404" s="237">
        <f t="shared" si="1452"/>
        <v>3.7558685446009488E-2</v>
      </c>
      <c r="CN404" s="236">
        <f>CN403/CI403-1</f>
        <v>0.18120110466624739</v>
      </c>
      <c r="CO404" s="237">
        <f t="shared" si="1452"/>
        <v>5.2763819095477338E-2</v>
      </c>
      <c r="CP404" s="237">
        <f t="shared" si="1452"/>
        <v>2.2113022113022129E-2</v>
      </c>
      <c r="CQ404" s="236">
        <f>CQ403/CN403-1</f>
        <v>0.16551728855811709</v>
      </c>
      <c r="CR404" s="236">
        <f t="shared" ref="CR404:CS404" si="1453">CR403/CQ403-1</f>
        <v>0.11194528906400092</v>
      </c>
      <c r="CS404" s="236">
        <f t="shared" si="1453"/>
        <v>8.523590208827736E-2</v>
      </c>
      <c r="CT404" s="236">
        <f t="shared" ref="CT404" si="1454">CT403/CS403-1</f>
        <v>8.5877611248046826E-2</v>
      </c>
      <c r="CU404" s="236">
        <f t="shared" ref="CU404" si="1455">CU403/CT403-1</f>
        <v>8.6509418758092149E-2</v>
      </c>
      <c r="CV404" s="236">
        <f t="shared" ref="CV404:CW404" si="1456">CV403/CU403-1</f>
        <v>8.7130748276259551E-2</v>
      </c>
      <c r="CW404" s="236">
        <f t="shared" si="1456"/>
        <v>8.7741069241508152E-2</v>
      </c>
      <c r="CX404" s="159"/>
      <c r="CY404" s="159"/>
      <c r="CZ404" s="159"/>
      <c r="DA404" s="159"/>
      <c r="DB404" s="159"/>
      <c r="DC404" s="165"/>
      <c r="DD404" s="165"/>
      <c r="DF404" s="226"/>
      <c r="DG404" s="237"/>
      <c r="DH404" s="237"/>
      <c r="DI404" s="237"/>
      <c r="DJ404" s="237"/>
      <c r="DK404" s="237"/>
      <c r="DL404" s="237"/>
      <c r="DM404" s="237"/>
      <c r="DN404" s="237"/>
      <c r="DO404" s="237"/>
      <c r="EU404" s="286"/>
      <c r="EV404" s="287"/>
    </row>
    <row r="405" spans="1:152" ht="15" customHeight="1" collapsed="1">
      <c r="A405" s="226"/>
      <c r="B405" s="262"/>
      <c r="C405" s="236"/>
      <c r="D405" s="236"/>
      <c r="E405" s="236"/>
      <c r="F405" s="236"/>
      <c r="G405" s="262"/>
      <c r="H405" s="236"/>
      <c r="I405" s="236"/>
      <c r="J405" s="236"/>
      <c r="K405" s="236"/>
      <c r="L405" s="236"/>
      <c r="M405" s="236"/>
      <c r="N405" s="236"/>
      <c r="O405" s="236"/>
      <c r="P405" s="236"/>
      <c r="Q405" s="236"/>
      <c r="R405" s="236"/>
      <c r="S405" s="236"/>
      <c r="T405" s="236"/>
      <c r="U405" s="236"/>
      <c r="V405" s="236"/>
      <c r="W405" s="236"/>
      <c r="X405" s="236"/>
      <c r="Y405" s="236"/>
      <c r="Z405" s="236"/>
      <c r="AA405" s="236"/>
      <c r="AB405" s="236"/>
      <c r="AC405" s="236"/>
      <c r="AD405" s="236"/>
      <c r="AE405" s="236"/>
      <c r="AF405" s="236"/>
      <c r="AG405" s="236"/>
      <c r="AH405" s="236"/>
      <c r="AI405" s="236"/>
      <c r="AJ405" s="236"/>
      <c r="AK405" s="236"/>
      <c r="AL405" s="236"/>
      <c r="AM405" s="236"/>
      <c r="AN405" s="236"/>
      <c r="AO405" s="236"/>
      <c r="AP405" s="236"/>
      <c r="AQ405" s="236"/>
      <c r="AR405" s="236"/>
      <c r="AS405" s="236"/>
      <c r="AT405" s="236"/>
      <c r="AU405" s="236"/>
      <c r="AV405" s="236"/>
      <c r="AW405" s="236"/>
      <c r="AX405" s="236"/>
      <c r="AY405" s="236"/>
      <c r="AZ405" s="236"/>
      <c r="BA405" s="236"/>
      <c r="BB405" s="236"/>
      <c r="BC405" s="236"/>
      <c r="BD405" s="236"/>
      <c r="BE405" s="236"/>
      <c r="BF405" s="236"/>
      <c r="BG405" s="236"/>
      <c r="BH405" s="236"/>
      <c r="BI405" s="236"/>
      <c r="BJ405" s="236"/>
      <c r="BK405" s="236"/>
      <c r="BL405" s="236"/>
      <c r="BM405" s="236"/>
      <c r="BN405" s="236"/>
      <c r="BO405" s="236"/>
      <c r="BP405" s="236"/>
      <c r="BQ405" s="236"/>
      <c r="BR405" s="236"/>
      <c r="BS405" s="236"/>
      <c r="BT405" s="236"/>
      <c r="BU405" s="237"/>
      <c r="BV405" s="237"/>
      <c r="BW405" s="237"/>
      <c r="BX405" s="237"/>
      <c r="BY405" s="236"/>
      <c r="BZ405" s="237"/>
      <c r="CA405" s="237"/>
      <c r="CB405" s="237"/>
      <c r="CC405" s="237"/>
      <c r="CD405" s="167"/>
      <c r="CE405" s="237"/>
      <c r="CF405" s="237"/>
      <c r="CG405" s="237"/>
      <c r="CH405" s="237"/>
      <c r="CI405" s="167"/>
      <c r="CJ405" s="237"/>
      <c r="CK405" s="237"/>
      <c r="CL405" s="237"/>
      <c r="CM405" s="237"/>
      <c r="CN405" s="167"/>
      <c r="CO405" s="237"/>
      <c r="CP405" s="237"/>
      <c r="CQ405" s="167"/>
      <c r="CR405" s="167"/>
      <c r="CS405" s="167"/>
      <c r="CT405" s="167"/>
      <c r="CU405" s="167"/>
      <c r="CV405" s="167"/>
      <c r="CW405" s="167"/>
      <c r="CX405" s="159"/>
      <c r="CY405" s="159"/>
      <c r="CZ405" s="159"/>
      <c r="DA405" s="159"/>
      <c r="DB405" s="159"/>
      <c r="DC405" s="165"/>
      <c r="DD405" s="165"/>
      <c r="DF405" s="226"/>
      <c r="DG405" s="237"/>
      <c r="DH405" s="237"/>
      <c r="DI405" s="237"/>
      <c r="DJ405" s="237"/>
      <c r="DK405" s="237"/>
      <c r="DL405" s="237"/>
      <c r="DM405" s="237"/>
      <c r="DN405" s="237"/>
      <c r="DO405" s="237"/>
      <c r="EU405" s="286"/>
      <c r="EV405" s="287"/>
    </row>
    <row r="406" spans="1:152" ht="15" customHeight="1">
      <c r="A406" s="279" t="s">
        <v>641</v>
      </c>
      <c r="B406" s="262"/>
      <c r="C406" s="236"/>
      <c r="D406" s="236"/>
      <c r="E406" s="236"/>
      <c r="F406" s="236"/>
      <c r="G406" s="262"/>
      <c r="H406" s="236"/>
      <c r="I406" s="236"/>
      <c r="J406" s="236"/>
      <c r="K406" s="236"/>
      <c r="L406" s="236"/>
      <c r="M406" s="236"/>
      <c r="N406" s="236"/>
      <c r="O406" s="236"/>
      <c r="P406" s="236"/>
      <c r="Q406" s="236"/>
      <c r="R406" s="236"/>
      <c r="S406" s="236"/>
      <c r="T406" s="236"/>
      <c r="U406" s="236"/>
      <c r="V406" s="236"/>
      <c r="W406" s="236"/>
      <c r="X406" s="236"/>
      <c r="Y406" s="236"/>
      <c r="Z406" s="236"/>
      <c r="AA406" s="236"/>
      <c r="AB406" s="236"/>
      <c r="AC406" s="236"/>
      <c r="AD406" s="236"/>
      <c r="AE406" s="236"/>
      <c r="AF406" s="236"/>
      <c r="AG406" s="236"/>
      <c r="AH406" s="236"/>
      <c r="AI406" s="236"/>
      <c r="AJ406" s="236"/>
      <c r="AK406" s="236"/>
      <c r="AL406" s="236"/>
      <c r="AM406" s="236"/>
      <c r="AN406" s="236"/>
      <c r="AO406" s="236"/>
      <c r="AP406" s="236"/>
      <c r="AQ406" s="236"/>
      <c r="AR406" s="236"/>
      <c r="AS406" s="236"/>
      <c r="AT406" s="236"/>
      <c r="AU406" s="236"/>
      <c r="AV406" s="236"/>
      <c r="AW406" s="236"/>
      <c r="AX406" s="236"/>
      <c r="AY406" s="236"/>
      <c r="AZ406" s="236"/>
      <c r="BA406" s="236"/>
      <c r="BB406" s="236"/>
      <c r="BC406" s="236"/>
      <c r="BD406" s="236"/>
      <c r="BE406" s="236"/>
      <c r="BF406" s="236"/>
      <c r="BG406" s="236"/>
      <c r="BH406" s="236"/>
      <c r="BI406" s="236"/>
      <c r="BJ406" s="236"/>
      <c r="BK406" s="236"/>
      <c r="BL406" s="236"/>
      <c r="BM406" s="236"/>
      <c r="BN406" s="236"/>
      <c r="BO406" s="236"/>
      <c r="BP406" s="236"/>
      <c r="BQ406" s="236"/>
      <c r="BR406" s="236"/>
      <c r="BS406" s="236"/>
      <c r="BT406" s="236"/>
      <c r="BU406" s="237"/>
      <c r="BV406" s="237"/>
      <c r="BW406" s="237"/>
      <c r="BX406" s="237"/>
      <c r="BY406" s="236"/>
      <c r="BZ406" s="237"/>
      <c r="CA406" s="237"/>
      <c r="CB406" s="237"/>
      <c r="CC406" s="237"/>
      <c r="CD406" s="167"/>
      <c r="CE406" s="237"/>
      <c r="CF406" s="237"/>
      <c r="CG406" s="237"/>
      <c r="CH406" s="237"/>
      <c r="CI406" s="167"/>
      <c r="CJ406" s="237"/>
      <c r="CK406" s="237"/>
      <c r="CL406" s="237"/>
      <c r="CM406" s="237"/>
      <c r="CN406" s="167"/>
      <c r="CO406" s="237"/>
      <c r="CP406" s="237"/>
      <c r="CQ406" s="167"/>
      <c r="CR406" s="167"/>
      <c r="CS406" s="167"/>
      <c r="CT406" s="167"/>
      <c r="CU406" s="167"/>
      <c r="CV406" s="167"/>
      <c r="CW406" s="167"/>
      <c r="CX406" s="159"/>
      <c r="CY406" s="159"/>
      <c r="CZ406" s="159"/>
      <c r="DA406" s="159"/>
      <c r="DB406" s="159"/>
      <c r="DC406" s="165"/>
      <c r="DD406" s="165"/>
      <c r="DF406" s="226"/>
      <c r="DG406" s="237"/>
      <c r="DH406" s="237"/>
      <c r="DI406" s="237"/>
      <c r="DJ406" s="237"/>
      <c r="DK406" s="237"/>
      <c r="DL406" s="237"/>
      <c r="DM406" s="237"/>
      <c r="DN406" s="237"/>
      <c r="DO406" s="237"/>
      <c r="EU406" s="286"/>
      <c r="EV406" s="287"/>
    </row>
    <row r="407" spans="1:152" ht="15" customHeight="1">
      <c r="A407" s="226"/>
      <c r="B407" s="262"/>
      <c r="C407" s="236"/>
      <c r="D407" s="236"/>
      <c r="E407" s="236"/>
      <c r="F407" s="236"/>
      <c r="G407" s="262"/>
      <c r="H407" s="236"/>
      <c r="I407" s="236"/>
      <c r="J407" s="236"/>
      <c r="K407" s="236"/>
      <c r="L407" s="236"/>
      <c r="M407" s="236"/>
      <c r="N407" s="236"/>
      <c r="O407" s="236"/>
      <c r="P407" s="236"/>
      <c r="Q407" s="236"/>
      <c r="R407" s="236"/>
      <c r="S407" s="236"/>
      <c r="T407" s="236"/>
      <c r="U407" s="236"/>
      <c r="V407" s="236"/>
      <c r="W407" s="236"/>
      <c r="X407" s="236"/>
      <c r="Y407" s="236"/>
      <c r="Z407" s="236"/>
      <c r="AA407" s="236"/>
      <c r="AB407" s="236"/>
      <c r="AC407" s="236"/>
      <c r="AD407" s="236"/>
      <c r="AE407" s="236"/>
      <c r="AF407" s="236"/>
      <c r="AG407" s="236"/>
      <c r="AH407" s="236"/>
      <c r="AI407" s="236"/>
      <c r="AJ407" s="236"/>
      <c r="AK407" s="236"/>
      <c r="AL407" s="236"/>
      <c r="AM407" s="236"/>
      <c r="AN407" s="236"/>
      <c r="AO407" s="236"/>
      <c r="AP407" s="236"/>
      <c r="AQ407" s="236"/>
      <c r="AR407" s="236"/>
      <c r="AS407" s="236"/>
      <c r="AT407" s="236"/>
      <c r="AU407" s="236"/>
      <c r="AV407" s="236"/>
      <c r="AW407" s="236"/>
      <c r="AX407" s="236"/>
      <c r="AY407" s="236"/>
      <c r="AZ407" s="236"/>
      <c r="BA407" s="236"/>
      <c r="BB407" s="236"/>
      <c r="BC407" s="236"/>
      <c r="BD407" s="236"/>
      <c r="BE407" s="236"/>
      <c r="BF407" s="236"/>
      <c r="BG407" s="236"/>
      <c r="BH407" s="236"/>
      <c r="BI407" s="236"/>
      <c r="BJ407" s="236"/>
      <c r="BK407" s="236"/>
      <c r="BL407" s="236"/>
      <c r="BM407" s="236"/>
      <c r="BN407" s="236"/>
      <c r="BO407" s="236"/>
      <c r="BP407" s="236"/>
      <c r="BQ407" s="236"/>
      <c r="BR407" s="236"/>
      <c r="BS407" s="236"/>
      <c r="BT407" s="167">
        <f>SUM(BT408:BT409)</f>
        <v>5778</v>
      </c>
      <c r="BU407" s="237"/>
      <c r="BV407" s="237"/>
      <c r="BW407" s="237"/>
      <c r="BX407" s="237"/>
      <c r="BY407" s="167">
        <f>SUM(BY408:BY409)</f>
        <v>5968</v>
      </c>
      <c r="BZ407" s="237"/>
      <c r="CA407" s="237"/>
      <c r="CB407" s="237"/>
      <c r="CC407" s="237"/>
      <c r="CD407" s="167"/>
      <c r="CE407" s="237"/>
      <c r="CF407" s="237"/>
      <c r="CG407" s="237"/>
      <c r="CH407" s="237"/>
      <c r="CI407" s="167"/>
      <c r="CJ407" s="237"/>
      <c r="CK407" s="237"/>
      <c r="CL407" s="237"/>
      <c r="CM407" s="237"/>
      <c r="CN407" s="167"/>
      <c r="CO407" s="237"/>
      <c r="CP407" s="237"/>
      <c r="CQ407" s="167"/>
      <c r="CR407" s="167"/>
      <c r="CS407" s="167"/>
      <c r="CT407" s="167"/>
      <c r="CU407" s="167"/>
      <c r="CV407" s="167"/>
      <c r="CW407" s="167"/>
      <c r="CX407" s="159"/>
      <c r="CY407" s="159"/>
      <c r="CZ407" s="159"/>
      <c r="DA407" s="159"/>
      <c r="DB407" s="159"/>
      <c r="DC407" s="165"/>
      <c r="DD407" s="165"/>
      <c r="DF407" s="226"/>
      <c r="DG407" s="237"/>
      <c r="DH407" s="237"/>
      <c r="DI407" s="237"/>
      <c r="DJ407" s="237"/>
      <c r="DK407" s="237"/>
      <c r="DL407" s="237"/>
      <c r="DM407" s="237"/>
      <c r="DN407" s="237"/>
      <c r="DO407" s="237"/>
      <c r="EU407" s="286"/>
      <c r="EV407" s="287"/>
    </row>
    <row r="408" spans="1:152" ht="15" customHeight="1">
      <c r="A408" s="137" t="s">
        <v>642</v>
      </c>
      <c r="B408" s="712"/>
      <c r="C408" s="716"/>
      <c r="D408" s="716"/>
      <c r="E408" s="716"/>
      <c r="F408" s="716"/>
      <c r="G408" s="712"/>
      <c r="H408" s="716"/>
      <c r="I408" s="716"/>
      <c r="J408" s="716"/>
      <c r="K408" s="716"/>
      <c r="L408" s="716"/>
      <c r="M408" s="716"/>
      <c r="N408" s="716"/>
      <c r="O408" s="716"/>
      <c r="P408" s="716"/>
      <c r="Q408" s="716"/>
      <c r="R408" s="716"/>
      <c r="S408" s="716"/>
      <c r="T408" s="716"/>
      <c r="U408" s="716"/>
      <c r="V408" s="716"/>
      <c r="W408" s="716"/>
      <c r="X408" s="716"/>
      <c r="Y408" s="716"/>
      <c r="Z408" s="716"/>
      <c r="AA408" s="716"/>
      <c r="AB408" s="716"/>
      <c r="AC408" s="716"/>
      <c r="AD408" s="716"/>
      <c r="AE408" s="716"/>
      <c r="AF408" s="716"/>
      <c r="AG408" s="716"/>
      <c r="AH408" s="716"/>
      <c r="AI408" s="716"/>
      <c r="AJ408" s="716"/>
      <c r="AK408" s="716"/>
      <c r="AL408" s="716"/>
      <c r="AM408" s="716"/>
      <c r="AN408" s="716"/>
      <c r="AO408" s="716"/>
      <c r="AP408" s="716"/>
      <c r="AQ408" s="716"/>
      <c r="AR408" s="716"/>
      <c r="AS408" s="716"/>
      <c r="AT408" s="716"/>
      <c r="AU408" s="716"/>
      <c r="AV408" s="716"/>
      <c r="AW408" s="716"/>
      <c r="AX408" s="716"/>
      <c r="AY408" s="716"/>
      <c r="AZ408" s="716"/>
      <c r="BA408" s="716"/>
      <c r="BB408" s="716"/>
      <c r="BC408" s="716"/>
      <c r="BD408" s="716"/>
      <c r="BE408" s="716"/>
      <c r="BF408" s="716"/>
      <c r="BG408" s="716"/>
      <c r="BH408" s="716"/>
      <c r="BI408" s="716"/>
      <c r="BJ408" s="716"/>
      <c r="BK408" s="716"/>
      <c r="BL408" s="716"/>
      <c r="BM408" s="716"/>
      <c r="BN408" s="716"/>
      <c r="BO408" s="716"/>
      <c r="BP408" s="704">
        <f>'[3]Profit and Loss Highlights'!AM$19</f>
        <v>748</v>
      </c>
      <c r="BQ408" s="704">
        <f>'[3]Profit and Loss Highlights'!AN$19</f>
        <v>766</v>
      </c>
      <c r="BR408" s="704">
        <f>'[3]Profit and Loss Highlights'!AO$19</f>
        <v>783</v>
      </c>
      <c r="BS408" s="704">
        <f>'[3]Profit and Loss Highlights'!AP$19</f>
        <v>766</v>
      </c>
      <c r="BT408" s="693">
        <f t="shared" ref="BT408:BT414" si="1457">SUM(BP408:BS408)</f>
        <v>3063</v>
      </c>
      <c r="BU408" s="704">
        <f>'[3]Profit and Loss Highlights'!AQ$19</f>
        <v>785</v>
      </c>
      <c r="BV408" s="704">
        <f>'[3]Profit and Loss Highlights'!AR$19</f>
        <v>810</v>
      </c>
      <c r="BW408" s="704">
        <f>'[3]Profit and Loss Highlights'!AS$19</f>
        <v>830</v>
      </c>
      <c r="BX408" s="704">
        <f>'[3]Profit and Loss Highlights'!AT$19</f>
        <v>850</v>
      </c>
      <c r="BY408" s="693">
        <f t="shared" ref="BY408:BY414" si="1458">SUM(BU408:BX408)</f>
        <v>3275</v>
      </c>
      <c r="BZ408" s="704">
        <f>'[3]Profit and Loss Highlights'!AU$19</f>
        <v>864</v>
      </c>
      <c r="CA408" s="704">
        <f>'[3]Profit and Loss Highlights'!AV$19</f>
        <v>871</v>
      </c>
      <c r="CB408" s="704">
        <f>'[3]Profit and Loss Highlights'!AW$19</f>
        <v>882</v>
      </c>
      <c r="CC408" s="704">
        <f>'[3]Profit and Loss Highlights'!AX$19</f>
        <v>903</v>
      </c>
      <c r="CD408" s="693">
        <f t="shared" ref="CD408:CD414" si="1459">SUM(BZ408:CC408)</f>
        <v>3520</v>
      </c>
      <c r="CE408" s="704">
        <f>'[3]Profit and Loss Highlights'!AY$19</f>
        <v>911</v>
      </c>
      <c r="CF408" s="704">
        <f>'[3]Profit and Loss Highlights'!AZ$19</f>
        <v>916</v>
      </c>
      <c r="CG408" s="704">
        <f>'[3]Profit and Loss Highlights'!BA$19</f>
        <v>925</v>
      </c>
      <c r="CH408" s="704">
        <f>'[3]Profit and Loss Highlights'!BB$19</f>
        <v>948</v>
      </c>
      <c r="CI408" s="693">
        <f t="shared" ref="CI408:CI414" si="1460">SUM(CE408:CH408)</f>
        <v>3700</v>
      </c>
      <c r="CJ408" s="704">
        <f>'[3]Profit and Loss Highlights'!BC$19</f>
        <v>924</v>
      </c>
      <c r="CK408" s="704">
        <f>'[3]Profit and Loss Highlights'!BD$19</f>
        <v>933</v>
      </c>
      <c r="CL408" s="704">
        <f>'[3]Profit and Loss Highlights'!BE$19</f>
        <v>952</v>
      </c>
      <c r="CM408" s="704">
        <f>'[3]Profit and Loss Highlights'!BF$19</f>
        <v>976</v>
      </c>
      <c r="CN408" s="693">
        <f t="shared" ref="CN408:CN414" si="1461">SUM(CJ408:CM408)</f>
        <v>3785</v>
      </c>
      <c r="CO408" s="704">
        <f>'[3]Profit and Loss Highlights'!BG$19</f>
        <v>963</v>
      </c>
      <c r="CP408" s="704">
        <f>'[3]Profit and Loss Highlights'!BH$19</f>
        <v>972</v>
      </c>
      <c r="CQ408" s="699">
        <f t="shared" ref="CQ408:CW408" si="1462">CQ253</f>
        <v>3901.2032301220534</v>
      </c>
      <c r="CR408" s="699">
        <f t="shared" si="1462"/>
        <v>3963.3333912322096</v>
      </c>
      <c r="CS408" s="699">
        <f t="shared" si="1462"/>
        <v>4055.6600080042908</v>
      </c>
      <c r="CT408" s="699">
        <f t="shared" si="1462"/>
        <v>4147.1954873964769</v>
      </c>
      <c r="CU408" s="699">
        <f t="shared" si="1462"/>
        <v>4238.1030970804968</v>
      </c>
      <c r="CV408" s="699">
        <f t="shared" si="1462"/>
        <v>4328.5337489365411</v>
      </c>
      <c r="CW408" s="699">
        <f t="shared" si="1462"/>
        <v>4418.6270337668184</v>
      </c>
      <c r="CX408" s="159"/>
      <c r="CY408" s="159"/>
      <c r="CZ408" s="159"/>
      <c r="DA408" s="159"/>
      <c r="DB408" s="159"/>
      <c r="DC408" s="159"/>
      <c r="DD408" s="159"/>
      <c r="DF408" s="226"/>
      <c r="DG408" s="237"/>
      <c r="DH408" s="237"/>
      <c r="DI408" s="237"/>
      <c r="DJ408" s="237"/>
      <c r="DK408" s="237"/>
      <c r="DL408" s="237"/>
      <c r="DM408" s="237"/>
      <c r="DN408" s="237"/>
      <c r="DO408" s="237"/>
      <c r="EU408" s="286"/>
      <c r="EV408" s="287"/>
    </row>
    <row r="409" spans="1:152" ht="15" customHeight="1">
      <c r="A409" s="137" t="s">
        <v>534</v>
      </c>
      <c r="B409" s="712"/>
      <c r="C409" s="716"/>
      <c r="D409" s="716"/>
      <c r="E409" s="716"/>
      <c r="F409" s="716"/>
      <c r="G409" s="712"/>
      <c r="H409" s="716"/>
      <c r="I409" s="716"/>
      <c r="J409" s="716"/>
      <c r="K409" s="716"/>
      <c r="L409" s="716"/>
      <c r="M409" s="716"/>
      <c r="N409" s="716"/>
      <c r="O409" s="716"/>
      <c r="P409" s="716"/>
      <c r="Q409" s="716"/>
      <c r="R409" s="716"/>
      <c r="S409" s="716"/>
      <c r="T409" s="716"/>
      <c r="U409" s="716"/>
      <c r="V409" s="716"/>
      <c r="W409" s="716"/>
      <c r="X409" s="716"/>
      <c r="Y409" s="716"/>
      <c r="Z409" s="716"/>
      <c r="AA409" s="716"/>
      <c r="AB409" s="716"/>
      <c r="AC409" s="716"/>
      <c r="AD409" s="716"/>
      <c r="AE409" s="716"/>
      <c r="AF409" s="716"/>
      <c r="AG409" s="716"/>
      <c r="AH409" s="716"/>
      <c r="AI409" s="716"/>
      <c r="AJ409" s="716"/>
      <c r="AK409" s="716"/>
      <c r="AL409" s="716"/>
      <c r="AM409" s="716"/>
      <c r="AN409" s="716"/>
      <c r="AO409" s="716"/>
      <c r="AP409" s="716"/>
      <c r="AQ409" s="716"/>
      <c r="AR409" s="716"/>
      <c r="AS409" s="716"/>
      <c r="AT409" s="716"/>
      <c r="AU409" s="716"/>
      <c r="AV409" s="716"/>
      <c r="AW409" s="716"/>
      <c r="AX409" s="716"/>
      <c r="AY409" s="716"/>
      <c r="AZ409" s="716"/>
      <c r="BA409" s="716"/>
      <c r="BB409" s="716"/>
      <c r="BC409" s="716"/>
      <c r="BD409" s="716"/>
      <c r="BE409" s="716"/>
      <c r="BF409" s="716"/>
      <c r="BG409" s="716"/>
      <c r="BH409" s="716"/>
      <c r="BI409" s="716"/>
      <c r="BJ409" s="716"/>
      <c r="BK409" s="716"/>
      <c r="BL409" s="716"/>
      <c r="BM409" s="716"/>
      <c r="BN409" s="716"/>
      <c r="BO409" s="716"/>
      <c r="BP409" s="704">
        <f>'[3]Profit and Loss Highlights'!AM$20</f>
        <v>690</v>
      </c>
      <c r="BQ409" s="704">
        <f>'[3]Profit and Loss Highlights'!AN$20</f>
        <v>685</v>
      </c>
      <c r="BR409" s="704">
        <f>'[3]Profit and Loss Highlights'!AO$20</f>
        <v>685</v>
      </c>
      <c r="BS409" s="704">
        <f>'[3]Profit and Loss Highlights'!AP$20</f>
        <v>655</v>
      </c>
      <c r="BT409" s="693">
        <f t="shared" si="1457"/>
        <v>2715</v>
      </c>
      <c r="BU409" s="704">
        <f>'[3]Profit and Loss Highlights'!AQ$20</f>
        <v>657</v>
      </c>
      <c r="BV409" s="704">
        <f>'[3]Profit and Loss Highlights'!AR$20</f>
        <v>679</v>
      </c>
      <c r="BW409" s="704">
        <f>'[3]Profit and Loss Highlights'!AS$20</f>
        <v>676</v>
      </c>
      <c r="BX409" s="704">
        <f>'[3]Profit and Loss Highlights'!AT$20</f>
        <v>681</v>
      </c>
      <c r="BY409" s="693">
        <f t="shared" si="1458"/>
        <v>2693</v>
      </c>
      <c r="BZ409" s="704">
        <f>'[3]Profit and Loss Highlights'!AU$20</f>
        <v>661</v>
      </c>
      <c r="CA409" s="704">
        <f>'[3]Profit and Loss Highlights'!AV$20</f>
        <v>651</v>
      </c>
      <c r="CB409" s="704">
        <f>'[3]Profit and Loss Highlights'!AW$20</f>
        <v>652</v>
      </c>
      <c r="CC409" s="704">
        <f>'[3]Profit and Loss Highlights'!AX$20</f>
        <v>655</v>
      </c>
      <c r="CD409" s="693">
        <f t="shared" si="1459"/>
        <v>2619</v>
      </c>
      <c r="CE409" s="704">
        <f>'[3]Profit and Loss Highlights'!AY$20</f>
        <v>649</v>
      </c>
      <c r="CF409" s="704">
        <f>'[3]Profit and Loss Highlights'!AZ$20</f>
        <v>648</v>
      </c>
      <c r="CG409" s="704">
        <f>'[3]Profit and Loss Highlights'!BA$20</f>
        <v>641</v>
      </c>
      <c r="CH409" s="704">
        <f>'[3]Profit and Loss Highlights'!BB$20</f>
        <v>627</v>
      </c>
      <c r="CI409" s="693">
        <f t="shared" si="1460"/>
        <v>2565</v>
      </c>
      <c r="CJ409" s="704">
        <f>'[3]Profit and Loss Highlights'!BC$20</f>
        <v>595</v>
      </c>
      <c r="CK409" s="704">
        <f>'[3]Profit and Loss Highlights'!BD$20</f>
        <v>610</v>
      </c>
      <c r="CL409" s="704">
        <f>'[3]Profit and Loss Highlights'!BE$20</f>
        <v>616</v>
      </c>
      <c r="CM409" s="704">
        <f>'[3]Profit and Loss Highlights'!BF$20</f>
        <v>624</v>
      </c>
      <c r="CN409" s="693">
        <f t="shared" si="1461"/>
        <v>2445</v>
      </c>
      <c r="CO409" s="704">
        <f>'[3]Profit and Loss Highlights'!BG$20</f>
        <v>609</v>
      </c>
      <c r="CP409" s="704">
        <f>'[3]Profit and Loss Highlights'!BH$20</f>
        <v>612</v>
      </c>
      <c r="CQ409" s="699">
        <f t="shared" ref="CQ409:CW409" si="1463">CQ248</f>
        <v>2470.115496680211</v>
      </c>
      <c r="CR409" s="699">
        <f t="shared" si="1463"/>
        <v>2479.0650826091564</v>
      </c>
      <c r="CS409" s="699">
        <f t="shared" si="1463"/>
        <v>2493.714583060676</v>
      </c>
      <c r="CT409" s="699">
        <f t="shared" si="1463"/>
        <v>2506.7119314309753</v>
      </c>
      <c r="CU409" s="699">
        <f t="shared" si="1463"/>
        <v>2518.2138013946014</v>
      </c>
      <c r="CV409" s="699">
        <f t="shared" si="1463"/>
        <v>2528.3611633017244</v>
      </c>
      <c r="CW409" s="699">
        <f t="shared" si="1463"/>
        <v>2537.2808467750901</v>
      </c>
      <c r="CX409" s="159"/>
      <c r="CY409" s="159"/>
      <c r="CZ409" s="159"/>
      <c r="DA409" s="159"/>
      <c r="DB409" s="159"/>
      <c r="DC409" s="159"/>
      <c r="DD409" s="159"/>
      <c r="DF409" s="226"/>
      <c r="DG409" s="237"/>
      <c r="DH409" s="237"/>
      <c r="DI409" s="237"/>
      <c r="DJ409" s="237"/>
      <c r="DK409" s="237"/>
      <c r="DL409" s="237"/>
      <c r="DM409" s="237"/>
      <c r="DN409" s="237"/>
      <c r="DO409" s="237"/>
      <c r="EU409" s="286"/>
      <c r="EV409" s="287"/>
    </row>
    <row r="410" spans="1:152" ht="15" customHeight="1">
      <c r="A410" s="137" t="s">
        <v>681</v>
      </c>
      <c r="B410" s="712"/>
      <c r="C410" s="716"/>
      <c r="D410" s="716"/>
      <c r="E410" s="716"/>
      <c r="F410" s="716"/>
      <c r="G410" s="712"/>
      <c r="H410" s="716"/>
      <c r="I410" s="716"/>
      <c r="J410" s="716"/>
      <c r="K410" s="716"/>
      <c r="L410" s="716"/>
      <c r="M410" s="716"/>
      <c r="N410" s="716"/>
      <c r="O410" s="716"/>
      <c r="P410" s="716"/>
      <c r="Q410" s="716"/>
      <c r="R410" s="716"/>
      <c r="S410" s="716"/>
      <c r="T410" s="716"/>
      <c r="U410" s="716"/>
      <c r="V410" s="716"/>
      <c r="W410" s="716"/>
      <c r="X410" s="716"/>
      <c r="Y410" s="716"/>
      <c r="Z410" s="716"/>
      <c r="AA410" s="716"/>
      <c r="AB410" s="716"/>
      <c r="AC410" s="716"/>
      <c r="AD410" s="716"/>
      <c r="AE410" s="716"/>
      <c r="AF410" s="716"/>
      <c r="AG410" s="716"/>
      <c r="AH410" s="716"/>
      <c r="AI410" s="716"/>
      <c r="AJ410" s="716"/>
      <c r="AK410" s="716"/>
      <c r="AL410" s="716"/>
      <c r="AM410" s="716"/>
      <c r="AN410" s="716"/>
      <c r="AO410" s="716"/>
      <c r="AP410" s="716"/>
      <c r="AQ410" s="716"/>
      <c r="AR410" s="716"/>
      <c r="AS410" s="716"/>
      <c r="AT410" s="716"/>
      <c r="AU410" s="716"/>
      <c r="AV410" s="716"/>
      <c r="AW410" s="716"/>
      <c r="AX410" s="716"/>
      <c r="AY410" s="716"/>
      <c r="AZ410" s="716"/>
      <c r="BA410" s="716"/>
      <c r="BB410" s="716"/>
      <c r="BC410" s="716"/>
      <c r="BD410" s="716"/>
      <c r="BE410" s="716"/>
      <c r="BF410" s="716"/>
      <c r="BG410" s="716"/>
      <c r="BH410" s="716"/>
      <c r="BI410" s="716"/>
      <c r="BJ410" s="716"/>
      <c r="BK410" s="716"/>
      <c r="BL410" s="716"/>
      <c r="BM410" s="716"/>
      <c r="BN410" s="716"/>
      <c r="BO410" s="716"/>
      <c r="BP410" s="704"/>
      <c r="BQ410" s="704"/>
      <c r="BR410" s="704"/>
      <c r="BS410" s="704"/>
      <c r="BT410" s="693"/>
      <c r="BU410" s="704"/>
      <c r="BV410" s="704"/>
      <c r="BW410" s="704"/>
      <c r="BX410" s="704"/>
      <c r="BY410" s="693"/>
      <c r="BZ410" s="704"/>
      <c r="CA410" s="704"/>
      <c r="CB410" s="704"/>
      <c r="CC410" s="704"/>
      <c r="CD410" s="693"/>
      <c r="CE410" s="704"/>
      <c r="CF410" s="704"/>
      <c r="CG410" s="704"/>
      <c r="CH410" s="704"/>
      <c r="CI410" s="693"/>
      <c r="CJ410" s="704"/>
      <c r="CK410" s="704"/>
      <c r="CL410" s="704"/>
      <c r="CM410" s="704"/>
      <c r="CN410" s="693"/>
      <c r="CO410" s="704"/>
      <c r="CP410" s="704"/>
      <c r="CQ410" s="699"/>
      <c r="CR410" s="699"/>
      <c r="CS410" s="699"/>
      <c r="CT410" s="699"/>
      <c r="CU410" s="699"/>
      <c r="CV410" s="699"/>
      <c r="CW410" s="699"/>
      <c r="CX410" s="159"/>
      <c r="CY410" s="159"/>
      <c r="CZ410" s="159"/>
      <c r="DA410" s="159"/>
      <c r="DB410" s="159"/>
      <c r="DC410" s="159"/>
      <c r="DD410" s="159"/>
      <c r="DF410" s="226"/>
      <c r="DG410" s="237"/>
      <c r="DH410" s="237"/>
      <c r="DI410" s="237"/>
      <c r="DJ410" s="237"/>
      <c r="DK410" s="237"/>
      <c r="DL410" s="237"/>
      <c r="DM410" s="237"/>
      <c r="DN410" s="237"/>
      <c r="DO410" s="237"/>
      <c r="EU410" s="286"/>
      <c r="EV410" s="287"/>
    </row>
    <row r="411" spans="1:152" ht="15" customHeight="1">
      <c r="A411" s="137" t="s">
        <v>643</v>
      </c>
      <c r="B411" s="712"/>
      <c r="C411" s="716"/>
      <c r="D411" s="716"/>
      <c r="E411" s="716"/>
      <c r="F411" s="716"/>
      <c r="G411" s="712"/>
      <c r="H411" s="716"/>
      <c r="I411" s="716"/>
      <c r="J411" s="716"/>
      <c r="K411" s="716"/>
      <c r="L411" s="716"/>
      <c r="M411" s="716"/>
      <c r="N411" s="716"/>
      <c r="O411" s="716"/>
      <c r="P411" s="716"/>
      <c r="Q411" s="716"/>
      <c r="R411" s="716"/>
      <c r="S411" s="716"/>
      <c r="T411" s="716"/>
      <c r="U411" s="716"/>
      <c r="V411" s="716"/>
      <c r="W411" s="716"/>
      <c r="X411" s="716"/>
      <c r="Y411" s="716"/>
      <c r="Z411" s="716"/>
      <c r="AA411" s="716"/>
      <c r="AB411" s="716"/>
      <c r="AC411" s="716"/>
      <c r="AD411" s="716"/>
      <c r="AE411" s="716"/>
      <c r="AF411" s="716"/>
      <c r="AG411" s="716"/>
      <c r="AH411" s="716"/>
      <c r="AI411" s="716"/>
      <c r="AJ411" s="716"/>
      <c r="AK411" s="716"/>
      <c r="AL411" s="716"/>
      <c r="AM411" s="716"/>
      <c r="AN411" s="716"/>
      <c r="AO411" s="716"/>
      <c r="AP411" s="716"/>
      <c r="AQ411" s="716"/>
      <c r="AR411" s="716"/>
      <c r="AS411" s="716"/>
      <c r="AT411" s="716"/>
      <c r="AU411" s="716"/>
      <c r="AV411" s="716"/>
      <c r="AW411" s="716"/>
      <c r="AX411" s="716"/>
      <c r="AY411" s="716"/>
      <c r="AZ411" s="716"/>
      <c r="BA411" s="716"/>
      <c r="BB411" s="716"/>
      <c r="BC411" s="716"/>
      <c r="BD411" s="716"/>
      <c r="BE411" s="716"/>
      <c r="BF411" s="716"/>
      <c r="BG411" s="716"/>
      <c r="BH411" s="716"/>
      <c r="BI411" s="716"/>
      <c r="BJ411" s="716"/>
      <c r="BK411" s="716"/>
      <c r="BL411" s="716"/>
      <c r="BM411" s="716"/>
      <c r="BN411" s="716"/>
      <c r="BO411" s="716"/>
      <c r="BP411" s="704">
        <f>'[3]Profit and Loss Highlights'!AM$21</f>
        <v>165</v>
      </c>
      <c r="BQ411" s="704">
        <f>'[3]Profit and Loss Highlights'!AN$21</f>
        <v>175</v>
      </c>
      <c r="BR411" s="704">
        <f>'[3]Profit and Loss Highlights'!AO$21</f>
        <v>185</v>
      </c>
      <c r="BS411" s="704">
        <f>'[3]Profit and Loss Highlights'!AP$21</f>
        <v>196</v>
      </c>
      <c r="BT411" s="693">
        <f t="shared" si="1457"/>
        <v>721</v>
      </c>
      <c r="BU411" s="704">
        <f>'[3]Profit and Loss Highlights'!AQ$21</f>
        <v>200</v>
      </c>
      <c r="BV411" s="704">
        <f>'[3]Profit and Loss Highlights'!AR$21</f>
        <v>209</v>
      </c>
      <c r="BW411" s="704">
        <f>'[3]Profit and Loss Highlights'!AS$21</f>
        <v>215</v>
      </c>
      <c r="BX411" s="704">
        <f>'[3]Profit and Loss Highlights'!AT$21</f>
        <v>219</v>
      </c>
      <c r="BY411" s="693">
        <f t="shared" si="1458"/>
        <v>843</v>
      </c>
      <c r="BZ411" s="704">
        <f>'[3]Profit and Loss Highlights'!AU$21</f>
        <v>222</v>
      </c>
      <c r="CA411" s="704">
        <f>'[3]Profit and Loss Highlights'!AV$21</f>
        <v>229</v>
      </c>
      <c r="CB411" s="704">
        <f>'[3]Profit and Loss Highlights'!AW$21</f>
        <v>231</v>
      </c>
      <c r="CC411" s="704">
        <f>'[3]Profit and Loss Highlights'!AX$21</f>
        <v>243</v>
      </c>
      <c r="CD411" s="693">
        <f t="shared" si="1459"/>
        <v>925</v>
      </c>
      <c r="CE411" s="704">
        <f>'[3]Profit and Loss Highlights'!AY$21</f>
        <v>244</v>
      </c>
      <c r="CF411" s="704">
        <f>'[3]Profit and Loss Highlights'!AZ$21</f>
        <v>251</v>
      </c>
      <c r="CG411" s="704">
        <f>'[3]Profit and Loss Highlights'!BA$21</f>
        <v>251</v>
      </c>
      <c r="CH411" s="704">
        <f>'[3]Profit and Loss Highlights'!BB$21</f>
        <v>247</v>
      </c>
      <c r="CI411" s="693">
        <f t="shared" si="1460"/>
        <v>993</v>
      </c>
      <c r="CJ411" s="704">
        <f>'[3]Profit and Loss Highlights'!BC$21</f>
        <v>254</v>
      </c>
      <c r="CK411" s="704">
        <f>'[3]Profit and Loss Highlights'!BD$21</f>
        <v>254</v>
      </c>
      <c r="CL411" s="704">
        <f>'[3]Profit and Loss Highlights'!BE$21</f>
        <v>255</v>
      </c>
      <c r="CM411" s="704">
        <f>'[3]Profit and Loss Highlights'!BF$21</f>
        <v>254</v>
      </c>
      <c r="CN411" s="693">
        <f t="shared" si="1461"/>
        <v>1017</v>
      </c>
      <c r="CO411" s="704">
        <f>'[3]Profit and Loss Highlights'!BG$21</f>
        <v>251</v>
      </c>
      <c r="CP411" s="704">
        <f>'[3]Profit and Loss Highlights'!BH$21</f>
        <v>252</v>
      </c>
      <c r="CQ411" s="699">
        <f t="shared" ref="CQ411:CW411" si="1464">CQ412+CQ413</f>
        <v>1013.9377158864435</v>
      </c>
      <c r="CR411" s="699">
        <f t="shared" si="1464"/>
        <v>1064.5927201777827</v>
      </c>
      <c r="CS411" s="699">
        <f t="shared" si="1464"/>
        <v>1089.4540719772128</v>
      </c>
      <c r="CT411" s="699">
        <f t="shared" si="1464"/>
        <v>1126.7460996763584</v>
      </c>
      <c r="CU411" s="699">
        <f t="shared" si="1464"/>
        <v>1151.6074514757888</v>
      </c>
      <c r="CV411" s="699">
        <f t="shared" si="1464"/>
        <v>1176.4688032752192</v>
      </c>
      <c r="CW411" s="699">
        <f t="shared" si="1464"/>
        <v>1201.3301550746496</v>
      </c>
      <c r="CX411" s="159"/>
      <c r="CY411" s="159"/>
      <c r="CZ411" s="159"/>
      <c r="DA411" s="159"/>
      <c r="DB411" s="159"/>
      <c r="DC411" s="159"/>
      <c r="DD411" s="159"/>
      <c r="DF411" s="226"/>
      <c r="DG411" s="237"/>
      <c r="DH411" s="237"/>
      <c r="DI411" s="237"/>
      <c r="DJ411" s="237"/>
      <c r="DK411" s="237"/>
      <c r="DL411" s="237"/>
      <c r="DM411" s="237"/>
      <c r="DN411" s="237"/>
      <c r="DO411" s="237"/>
      <c r="EU411" s="286"/>
      <c r="EV411" s="287"/>
    </row>
    <row r="412" spans="1:152" ht="15" customHeight="1" outlineLevel="1">
      <c r="A412" s="138" t="s">
        <v>619</v>
      </c>
      <c r="B412" s="712"/>
      <c r="C412" s="716"/>
      <c r="D412" s="716"/>
      <c r="E412" s="716"/>
      <c r="F412" s="716"/>
      <c r="G412" s="712"/>
      <c r="H412" s="716"/>
      <c r="I412" s="716"/>
      <c r="J412" s="716"/>
      <c r="K412" s="716"/>
      <c r="L412" s="716"/>
      <c r="M412" s="716"/>
      <c r="N412" s="716"/>
      <c r="O412" s="716"/>
      <c r="P412" s="716"/>
      <c r="Q412" s="716"/>
      <c r="R412" s="716"/>
      <c r="S412" s="716"/>
      <c r="T412" s="716"/>
      <c r="U412" s="716"/>
      <c r="V412" s="716"/>
      <c r="W412" s="716"/>
      <c r="X412" s="716"/>
      <c r="Y412" s="716"/>
      <c r="Z412" s="716"/>
      <c r="AA412" s="716"/>
      <c r="AB412" s="716"/>
      <c r="AC412" s="716"/>
      <c r="AD412" s="716"/>
      <c r="AE412" s="716"/>
      <c r="AF412" s="716"/>
      <c r="AG412" s="716"/>
      <c r="AH412" s="716"/>
      <c r="AI412" s="716"/>
      <c r="AJ412" s="716"/>
      <c r="AK412" s="716"/>
      <c r="AL412" s="716"/>
      <c r="AM412" s="716"/>
      <c r="AN412" s="716"/>
      <c r="AO412" s="716"/>
      <c r="AP412" s="716"/>
      <c r="AQ412" s="716"/>
      <c r="AR412" s="716"/>
      <c r="AS412" s="716"/>
      <c r="AT412" s="716"/>
      <c r="AU412" s="716"/>
      <c r="AV412" s="716"/>
      <c r="AW412" s="716"/>
      <c r="AX412" s="716"/>
      <c r="AY412" s="716"/>
      <c r="AZ412" s="716"/>
      <c r="BA412" s="716"/>
      <c r="BB412" s="716"/>
      <c r="BC412" s="716"/>
      <c r="BD412" s="716"/>
      <c r="BE412" s="716"/>
      <c r="BF412" s="716"/>
      <c r="BG412" s="716"/>
      <c r="BH412" s="716"/>
      <c r="BI412" s="716"/>
      <c r="BJ412" s="716"/>
      <c r="BK412" s="716"/>
      <c r="BL412" s="716"/>
      <c r="BM412" s="716"/>
      <c r="BN412" s="716"/>
      <c r="BO412" s="716"/>
      <c r="BP412" s="704">
        <f>'[3]Profit and Loss Highlights'!AM$22</f>
        <v>134</v>
      </c>
      <c r="BQ412" s="704">
        <f>'[3]Profit and Loss Highlights'!AN$22</f>
        <v>141</v>
      </c>
      <c r="BR412" s="704">
        <f>'[3]Profit and Loss Highlights'!AO$22</f>
        <v>148</v>
      </c>
      <c r="BS412" s="704">
        <f>'[3]Profit and Loss Highlights'!AP$22</f>
        <v>157</v>
      </c>
      <c r="BT412" s="693">
        <f t="shared" si="1457"/>
        <v>580</v>
      </c>
      <c r="BU412" s="704">
        <f>'[3]Profit and Loss Highlights'!AQ$22</f>
        <v>163</v>
      </c>
      <c r="BV412" s="704">
        <f>'[3]Profit and Loss Highlights'!AR$22</f>
        <v>173</v>
      </c>
      <c r="BW412" s="704">
        <f>'[3]Profit and Loss Highlights'!AS$22</f>
        <v>180</v>
      </c>
      <c r="BX412" s="704">
        <f>'[3]Profit and Loss Highlights'!AT$22</f>
        <v>187</v>
      </c>
      <c r="BY412" s="693">
        <f t="shared" si="1458"/>
        <v>703</v>
      </c>
      <c r="BZ412" s="704">
        <f>'[3]Profit and Loss Highlights'!AU$22</f>
        <v>192</v>
      </c>
      <c r="CA412" s="704">
        <f>'[3]Profit and Loss Highlights'!AV$22</f>
        <v>201</v>
      </c>
      <c r="CB412" s="704">
        <f>'[3]Profit and Loss Highlights'!AW$22</f>
        <v>201</v>
      </c>
      <c r="CC412" s="704">
        <f>'[3]Profit and Loss Highlights'!AX$22</f>
        <v>215</v>
      </c>
      <c r="CD412" s="693">
        <f t="shared" si="1459"/>
        <v>809</v>
      </c>
      <c r="CE412" s="704">
        <f>'[3]Profit and Loss Highlights'!AY$22</f>
        <v>216</v>
      </c>
      <c r="CF412" s="704">
        <f>'[3]Profit and Loss Highlights'!AZ$22</f>
        <v>224</v>
      </c>
      <c r="CG412" s="704">
        <f>'[3]Profit and Loss Highlights'!BA$22</f>
        <v>225</v>
      </c>
      <c r="CH412" s="704">
        <f>'[3]Profit and Loss Highlights'!BB$22</f>
        <v>222</v>
      </c>
      <c r="CI412" s="693">
        <f t="shared" si="1460"/>
        <v>887</v>
      </c>
      <c r="CJ412" s="704">
        <f>'[3]Profit and Loss Highlights'!BC$22</f>
        <v>230</v>
      </c>
      <c r="CK412" s="704">
        <f>'[3]Profit and Loss Highlights'!BD$22</f>
        <v>0</v>
      </c>
      <c r="CL412" s="704">
        <f>'[3]Profit and Loss Highlights'!BE$22</f>
        <v>0</v>
      </c>
      <c r="CM412" s="704">
        <f>'[3]Profit and Loss Highlights'!BF$22</f>
        <v>0</v>
      </c>
      <c r="CN412" s="1010">
        <v>920</v>
      </c>
      <c r="CO412" s="704">
        <f>'[3]Profit and Loss Highlights'!BG$22</f>
        <v>0</v>
      </c>
      <c r="CP412" s="704">
        <f>'[3]Profit and Loss Highlights'!BH$22</f>
        <v>0</v>
      </c>
      <c r="CQ412" s="699">
        <f t="shared" ref="CQ412:CW412" si="1465">CQ277</f>
        <v>918.93771588644347</v>
      </c>
      <c r="CR412" s="699">
        <f t="shared" si="1465"/>
        <v>969.59272017778278</v>
      </c>
      <c r="CS412" s="699">
        <f t="shared" si="1465"/>
        <v>994.45407197721283</v>
      </c>
      <c r="CT412" s="699">
        <f t="shared" si="1465"/>
        <v>1031.7460996763584</v>
      </c>
      <c r="CU412" s="699">
        <f t="shared" si="1465"/>
        <v>1056.6074514757888</v>
      </c>
      <c r="CV412" s="699">
        <f t="shared" si="1465"/>
        <v>1081.4688032752192</v>
      </c>
      <c r="CW412" s="699">
        <f t="shared" si="1465"/>
        <v>1106.3301550746496</v>
      </c>
      <c r="CX412" s="159"/>
      <c r="CY412" s="159"/>
      <c r="CZ412" s="159"/>
      <c r="DA412" s="159"/>
      <c r="DB412" s="159"/>
      <c r="DC412" s="159"/>
      <c r="DD412" s="159"/>
      <c r="DF412" s="226"/>
      <c r="DG412" s="237"/>
      <c r="DH412" s="237"/>
      <c r="DI412" s="237"/>
      <c r="DJ412" s="237"/>
      <c r="DK412" s="237"/>
      <c r="DL412" s="237"/>
      <c r="DM412" s="237"/>
      <c r="DN412" s="237"/>
      <c r="DO412" s="237"/>
      <c r="EU412" s="286"/>
      <c r="EV412" s="287"/>
    </row>
    <row r="413" spans="1:152" ht="15" customHeight="1" outlineLevel="1">
      <c r="A413" s="138" t="s">
        <v>644</v>
      </c>
      <c r="B413" s="712"/>
      <c r="C413" s="716"/>
      <c r="D413" s="716"/>
      <c r="E413" s="716"/>
      <c r="F413" s="716"/>
      <c r="G413" s="712"/>
      <c r="H413" s="716"/>
      <c r="I413" s="716"/>
      <c r="J413" s="716"/>
      <c r="K413" s="716"/>
      <c r="L413" s="716"/>
      <c r="M413" s="716"/>
      <c r="N413" s="716"/>
      <c r="O413" s="716"/>
      <c r="P413" s="716"/>
      <c r="Q413" s="716"/>
      <c r="R413" s="716"/>
      <c r="S413" s="716"/>
      <c r="T413" s="716"/>
      <c r="U413" s="716"/>
      <c r="V413" s="716"/>
      <c r="W413" s="716"/>
      <c r="X413" s="716"/>
      <c r="Y413" s="716"/>
      <c r="Z413" s="716"/>
      <c r="AA413" s="716"/>
      <c r="AB413" s="716"/>
      <c r="AC413" s="716"/>
      <c r="AD413" s="716"/>
      <c r="AE413" s="716"/>
      <c r="AF413" s="716"/>
      <c r="AG413" s="716"/>
      <c r="AH413" s="716"/>
      <c r="AI413" s="716"/>
      <c r="AJ413" s="716"/>
      <c r="AK413" s="716"/>
      <c r="AL413" s="716"/>
      <c r="AM413" s="716"/>
      <c r="AN413" s="716"/>
      <c r="AO413" s="716"/>
      <c r="AP413" s="716"/>
      <c r="AQ413" s="716"/>
      <c r="AR413" s="716"/>
      <c r="AS413" s="716"/>
      <c r="AT413" s="716"/>
      <c r="AU413" s="716"/>
      <c r="AV413" s="716"/>
      <c r="AW413" s="716"/>
      <c r="AX413" s="716"/>
      <c r="AY413" s="716"/>
      <c r="AZ413" s="716"/>
      <c r="BA413" s="716"/>
      <c r="BB413" s="716"/>
      <c r="BC413" s="716"/>
      <c r="BD413" s="716"/>
      <c r="BE413" s="716"/>
      <c r="BF413" s="716"/>
      <c r="BG413" s="716"/>
      <c r="BH413" s="716"/>
      <c r="BI413" s="716"/>
      <c r="BJ413" s="716"/>
      <c r="BK413" s="716"/>
      <c r="BL413" s="716"/>
      <c r="BM413" s="716"/>
      <c r="BN413" s="716"/>
      <c r="BO413" s="716"/>
      <c r="BP413" s="704">
        <f>'[3]Profit and Loss Highlights'!AM$23</f>
        <v>31</v>
      </c>
      <c r="BQ413" s="704">
        <f>'[3]Profit and Loss Highlights'!AN$23</f>
        <v>34</v>
      </c>
      <c r="BR413" s="704">
        <f>'[3]Profit and Loss Highlights'!AO$23</f>
        <v>37</v>
      </c>
      <c r="BS413" s="704">
        <f>'[3]Profit and Loss Highlights'!AP$23</f>
        <v>39</v>
      </c>
      <c r="BT413" s="693">
        <f t="shared" si="1457"/>
        <v>141</v>
      </c>
      <c r="BU413" s="704">
        <f>'[3]Profit and Loss Highlights'!AQ$23</f>
        <v>37</v>
      </c>
      <c r="BV413" s="704">
        <f>'[3]Profit and Loss Highlights'!AR$23</f>
        <v>36</v>
      </c>
      <c r="BW413" s="704">
        <f>'[3]Profit and Loss Highlights'!AS$23</f>
        <v>35</v>
      </c>
      <c r="BX413" s="704">
        <f>'[3]Profit and Loss Highlights'!AT$23</f>
        <v>32</v>
      </c>
      <c r="BY413" s="693">
        <f t="shared" si="1458"/>
        <v>140</v>
      </c>
      <c r="BZ413" s="704">
        <f>'[3]Profit and Loss Highlights'!AU$23</f>
        <v>30</v>
      </c>
      <c r="CA413" s="704">
        <f>'[3]Profit and Loss Highlights'!AV$23</f>
        <v>28</v>
      </c>
      <c r="CB413" s="704">
        <f>'[3]Profit and Loss Highlights'!AW$23</f>
        <v>28</v>
      </c>
      <c r="CC413" s="704">
        <f>'[3]Profit and Loss Highlights'!AX$23</f>
        <v>28</v>
      </c>
      <c r="CD413" s="693">
        <f t="shared" si="1459"/>
        <v>114</v>
      </c>
      <c r="CE413" s="704">
        <f>'[3]Profit and Loss Highlights'!AY$23</f>
        <v>28</v>
      </c>
      <c r="CF413" s="704">
        <f>'[3]Profit and Loss Highlights'!AZ$23</f>
        <v>27</v>
      </c>
      <c r="CG413" s="704">
        <f>'[3]Profit and Loss Highlights'!BA$23</f>
        <v>26</v>
      </c>
      <c r="CH413" s="704">
        <f>'[3]Profit and Loss Highlights'!BB$23</f>
        <v>25</v>
      </c>
      <c r="CI413" s="693">
        <f t="shared" si="1460"/>
        <v>106</v>
      </c>
      <c r="CJ413" s="704">
        <f>'[3]Profit and Loss Highlights'!BC$23</f>
        <v>24</v>
      </c>
      <c r="CK413" s="704">
        <f>'[3]Profit and Loss Highlights'!BD$23</f>
        <v>0</v>
      </c>
      <c r="CL413" s="704">
        <f>'[3]Profit and Loss Highlights'!BE$23</f>
        <v>0</v>
      </c>
      <c r="CM413" s="704">
        <f>'[3]Profit and Loss Highlights'!BF$23</f>
        <v>0</v>
      </c>
      <c r="CN413" s="1010">
        <f>CN411-CN412</f>
        <v>97</v>
      </c>
      <c r="CO413" s="704">
        <f>'[3]Profit and Loss Highlights'!BG$23</f>
        <v>0</v>
      </c>
      <c r="CP413" s="704">
        <f>'[3]Profit and Loss Highlights'!BH$23</f>
        <v>0</v>
      </c>
      <c r="CQ413" s="731">
        <v>95</v>
      </c>
      <c r="CR413" s="731">
        <f t="shared" ref="CR413:CW413" si="1466">CQ413</f>
        <v>95</v>
      </c>
      <c r="CS413" s="731">
        <f t="shared" si="1466"/>
        <v>95</v>
      </c>
      <c r="CT413" s="731">
        <f t="shared" si="1466"/>
        <v>95</v>
      </c>
      <c r="CU413" s="731">
        <f t="shared" si="1466"/>
        <v>95</v>
      </c>
      <c r="CV413" s="731">
        <f t="shared" si="1466"/>
        <v>95</v>
      </c>
      <c r="CW413" s="731">
        <f t="shared" si="1466"/>
        <v>95</v>
      </c>
      <c r="CX413" s="159"/>
      <c r="CY413" s="159"/>
      <c r="CZ413" s="159"/>
      <c r="DA413" s="159"/>
      <c r="DB413" s="159"/>
      <c r="DC413" s="159"/>
      <c r="DD413" s="159"/>
      <c r="DF413" s="226"/>
      <c r="DG413" s="237"/>
      <c r="DH413" s="237"/>
      <c r="DI413" s="237"/>
      <c r="DJ413" s="237"/>
      <c r="DK413" s="237"/>
      <c r="DL413" s="237"/>
      <c r="DM413" s="237"/>
      <c r="DN413" s="237"/>
      <c r="DO413" s="237"/>
      <c r="EU413" s="286"/>
      <c r="EV413" s="287"/>
    </row>
    <row r="414" spans="1:152" ht="15" customHeight="1">
      <c r="A414" s="139" t="s">
        <v>645</v>
      </c>
      <c r="B414" s="732"/>
      <c r="C414" s="733"/>
      <c r="D414" s="733"/>
      <c r="E414" s="733"/>
      <c r="F414" s="733"/>
      <c r="G414" s="732"/>
      <c r="H414" s="733"/>
      <c r="I414" s="733"/>
      <c r="J414" s="733"/>
      <c r="K414" s="733"/>
      <c r="L414" s="733"/>
      <c r="M414" s="733"/>
      <c r="N414" s="733"/>
      <c r="O414" s="733"/>
      <c r="P414" s="733"/>
      <c r="Q414" s="733"/>
      <c r="R414" s="733"/>
      <c r="S414" s="733"/>
      <c r="T414" s="733"/>
      <c r="U414" s="733"/>
      <c r="V414" s="733"/>
      <c r="W414" s="733"/>
      <c r="X414" s="733"/>
      <c r="Y414" s="733"/>
      <c r="Z414" s="733"/>
      <c r="AA414" s="733"/>
      <c r="AB414" s="733"/>
      <c r="AC414" s="733"/>
      <c r="AD414" s="733"/>
      <c r="AE414" s="733"/>
      <c r="AF414" s="733"/>
      <c r="AG414" s="733"/>
      <c r="AH414" s="733"/>
      <c r="AI414" s="733"/>
      <c r="AJ414" s="733"/>
      <c r="AK414" s="733"/>
      <c r="AL414" s="733"/>
      <c r="AM414" s="733"/>
      <c r="AN414" s="733"/>
      <c r="AO414" s="733"/>
      <c r="AP414" s="733"/>
      <c r="AQ414" s="733"/>
      <c r="AR414" s="733"/>
      <c r="AS414" s="733"/>
      <c r="AT414" s="733"/>
      <c r="AU414" s="733"/>
      <c r="AV414" s="733"/>
      <c r="AW414" s="733"/>
      <c r="AX414" s="733"/>
      <c r="AY414" s="733"/>
      <c r="AZ414" s="733"/>
      <c r="BA414" s="733"/>
      <c r="BB414" s="733"/>
      <c r="BC414" s="733"/>
      <c r="BD414" s="733"/>
      <c r="BE414" s="733"/>
      <c r="BF414" s="733"/>
      <c r="BG414" s="733"/>
      <c r="BH414" s="733"/>
      <c r="BI414" s="733"/>
      <c r="BJ414" s="733"/>
      <c r="BK414" s="733"/>
      <c r="BL414" s="733"/>
      <c r="BM414" s="733"/>
      <c r="BN414" s="733"/>
      <c r="BO414" s="733"/>
      <c r="BP414" s="734">
        <f>'[3]Profit and Loss Highlights'!AM$24</f>
        <v>1603</v>
      </c>
      <c r="BQ414" s="734">
        <f>'[3]Profit and Loss Highlights'!AN$24</f>
        <v>1626</v>
      </c>
      <c r="BR414" s="734">
        <f>'[3]Profit and Loss Highlights'!AO$24</f>
        <v>1653</v>
      </c>
      <c r="BS414" s="734">
        <f>'[3]Profit and Loss Highlights'!AP$24</f>
        <v>1617</v>
      </c>
      <c r="BT414" s="700">
        <f t="shared" si="1457"/>
        <v>6499</v>
      </c>
      <c r="BU414" s="734">
        <f>'[3]Profit and Loss Highlights'!AQ$24</f>
        <v>1642</v>
      </c>
      <c r="BV414" s="734">
        <f>'[3]Profit and Loss Highlights'!AR$24</f>
        <v>1698</v>
      </c>
      <c r="BW414" s="734">
        <f>'[3]Profit and Loss Highlights'!AS$24</f>
        <v>1721</v>
      </c>
      <c r="BX414" s="734">
        <f>'[3]Profit and Loss Highlights'!AT$24</f>
        <v>1750</v>
      </c>
      <c r="BY414" s="700">
        <f t="shared" si="1458"/>
        <v>6811</v>
      </c>
      <c r="BZ414" s="734">
        <f>'[3]Profit and Loss Highlights'!AU$24</f>
        <v>1747</v>
      </c>
      <c r="CA414" s="734">
        <f>'[3]Profit and Loss Highlights'!AV$24</f>
        <v>1751</v>
      </c>
      <c r="CB414" s="734">
        <f>'[3]Profit and Loss Highlights'!AW$24</f>
        <v>1765</v>
      </c>
      <c r="CC414" s="734">
        <f>'[3]Profit and Loss Highlights'!AX$24</f>
        <v>1801</v>
      </c>
      <c r="CD414" s="700">
        <f t="shared" si="1459"/>
        <v>7064</v>
      </c>
      <c r="CE414" s="734">
        <f>'[3]Profit and Loss Highlights'!AY$24</f>
        <v>1804</v>
      </c>
      <c r="CF414" s="734">
        <f>'[3]Profit and Loss Highlights'!AZ$24</f>
        <v>1815</v>
      </c>
      <c r="CG414" s="734">
        <f>'[3]Profit and Loss Highlights'!BA$24</f>
        <v>1817</v>
      </c>
      <c r="CH414" s="734">
        <f>'[3]Profit and Loss Highlights'!BB$24</f>
        <v>1822</v>
      </c>
      <c r="CI414" s="700">
        <f t="shared" si="1460"/>
        <v>7258</v>
      </c>
      <c r="CJ414" s="734">
        <f>'[3]Profit and Loss Highlights'!BC$24</f>
        <v>1773</v>
      </c>
      <c r="CK414" s="734">
        <f>'[3]Profit and Loss Highlights'!BD$24</f>
        <v>1797</v>
      </c>
      <c r="CL414" s="734">
        <f>'[3]Profit and Loss Highlights'!BE$24</f>
        <v>1823</v>
      </c>
      <c r="CM414" s="734">
        <f>'[3]Profit and Loss Highlights'!BF$24</f>
        <v>1854</v>
      </c>
      <c r="CN414" s="700">
        <f t="shared" si="1461"/>
        <v>7247</v>
      </c>
      <c r="CO414" s="734">
        <f>'[3]Profit and Loss Highlights'!BG$24</f>
        <v>1823</v>
      </c>
      <c r="CP414" s="734">
        <f>'[3]Profit and Loss Highlights'!BH$24</f>
        <v>1836</v>
      </c>
      <c r="CQ414" s="689">
        <f t="shared" ref="CQ414:CW414" si="1467">CQ408+CQ409+CQ410+CQ411</f>
        <v>7385.2564426887084</v>
      </c>
      <c r="CR414" s="689">
        <f t="shared" si="1467"/>
        <v>7506.9911940191487</v>
      </c>
      <c r="CS414" s="689">
        <f t="shared" si="1467"/>
        <v>7638.8286630421799</v>
      </c>
      <c r="CT414" s="689">
        <f t="shared" si="1467"/>
        <v>7780.6535185038101</v>
      </c>
      <c r="CU414" s="689">
        <f t="shared" si="1467"/>
        <v>7907.9243499508866</v>
      </c>
      <c r="CV414" s="689">
        <f t="shared" si="1467"/>
        <v>8033.3637155134847</v>
      </c>
      <c r="CW414" s="689">
        <f t="shared" si="1467"/>
        <v>8157.2380356165577</v>
      </c>
      <c r="CX414" s="159"/>
      <c r="CY414" s="159"/>
      <c r="CZ414" s="159"/>
      <c r="DA414" s="159"/>
      <c r="DB414" s="159"/>
      <c r="DC414" s="165"/>
      <c r="DD414" s="165"/>
      <c r="DF414" s="226"/>
      <c r="DG414" s="237"/>
      <c r="DH414" s="237"/>
      <c r="DI414" s="237"/>
      <c r="DJ414" s="237"/>
      <c r="DK414" s="237"/>
      <c r="DL414" s="237"/>
      <c r="DM414" s="237"/>
      <c r="DN414" s="237"/>
      <c r="DO414" s="237"/>
      <c r="EU414" s="286"/>
      <c r="EV414" s="287"/>
    </row>
    <row r="415" spans="1:152" ht="15" customHeight="1">
      <c r="A415" s="1009"/>
      <c r="B415" s="263"/>
      <c r="C415" s="237"/>
      <c r="D415" s="237"/>
      <c r="E415" s="237"/>
      <c r="F415" s="237"/>
      <c r="G415" s="263"/>
      <c r="H415" s="237"/>
      <c r="I415" s="237"/>
      <c r="J415" s="237"/>
      <c r="K415" s="237"/>
      <c r="L415" s="237"/>
      <c r="M415" s="237"/>
      <c r="N415" s="237"/>
      <c r="O415" s="237"/>
      <c r="P415" s="237"/>
      <c r="Q415" s="237"/>
      <c r="R415" s="237"/>
      <c r="S415" s="237"/>
      <c r="T415" s="237"/>
      <c r="U415" s="237"/>
      <c r="V415" s="237"/>
      <c r="W415" s="237"/>
      <c r="X415" s="237"/>
      <c r="Y415" s="237"/>
      <c r="Z415" s="237"/>
      <c r="AA415" s="237"/>
      <c r="AB415" s="237"/>
      <c r="AC415" s="237"/>
      <c r="AD415" s="237"/>
      <c r="AE415" s="237"/>
      <c r="AF415" s="237"/>
      <c r="AG415" s="237"/>
      <c r="AH415" s="237"/>
      <c r="AI415" s="237"/>
      <c r="AJ415" s="237"/>
      <c r="AK415" s="237"/>
      <c r="AL415" s="237"/>
      <c r="AM415" s="237"/>
      <c r="AN415" s="237"/>
      <c r="AO415" s="237"/>
      <c r="AP415" s="237"/>
      <c r="AQ415" s="237"/>
      <c r="AR415" s="237"/>
      <c r="AS415" s="237"/>
      <c r="AT415" s="237"/>
      <c r="AU415" s="237"/>
      <c r="AV415" s="237"/>
      <c r="AW415" s="237"/>
      <c r="AX415" s="237"/>
      <c r="AY415" s="237"/>
      <c r="AZ415" s="237"/>
      <c r="BA415" s="237"/>
      <c r="BB415" s="237"/>
      <c r="BC415" s="237"/>
      <c r="BD415" s="237"/>
      <c r="BE415" s="237"/>
      <c r="BF415" s="237"/>
      <c r="BG415" s="237"/>
      <c r="BH415" s="237"/>
      <c r="BI415" s="237"/>
      <c r="BJ415" s="237"/>
      <c r="BK415" s="237"/>
      <c r="BL415" s="237"/>
      <c r="BM415" s="237"/>
      <c r="BN415" s="237"/>
      <c r="BO415" s="237"/>
      <c r="BP415" s="165"/>
      <c r="BQ415" s="165"/>
      <c r="BR415" s="165"/>
      <c r="BS415" s="165"/>
      <c r="BT415" s="165"/>
      <c r="BU415" s="165"/>
      <c r="BV415" s="165"/>
      <c r="BW415" s="165"/>
      <c r="BX415" s="165"/>
      <c r="BY415" s="165"/>
      <c r="BZ415" s="165"/>
      <c r="CA415" s="165"/>
      <c r="CB415" s="165"/>
      <c r="CC415" s="165"/>
      <c r="CD415" s="165"/>
      <c r="CE415" s="165"/>
      <c r="CF415" s="165"/>
      <c r="CG415" s="165"/>
      <c r="CH415" s="165"/>
      <c r="CI415" s="165"/>
      <c r="CJ415" s="165"/>
      <c r="CK415" s="165"/>
      <c r="CL415" s="165"/>
      <c r="CM415" s="165"/>
      <c r="CN415" s="165"/>
      <c r="CO415" s="165"/>
      <c r="CP415" s="165"/>
      <c r="CQ415" s="209"/>
      <c r="CR415" s="209"/>
      <c r="CS415" s="209"/>
      <c r="CT415" s="209"/>
      <c r="CU415" s="209"/>
      <c r="CV415" s="209"/>
      <c r="CW415" s="209"/>
      <c r="CX415" s="159"/>
      <c r="CY415" s="159"/>
      <c r="CZ415" s="159"/>
      <c r="DA415" s="159"/>
      <c r="DB415" s="159"/>
      <c r="DC415" s="165"/>
      <c r="DD415" s="165"/>
      <c r="DF415" s="226"/>
      <c r="DG415" s="237"/>
      <c r="DH415" s="237"/>
      <c r="DI415" s="237"/>
      <c r="DJ415" s="237"/>
      <c r="DK415" s="237"/>
      <c r="DL415" s="237"/>
      <c r="DM415" s="237"/>
      <c r="DN415" s="237"/>
      <c r="DO415" s="237"/>
      <c r="EU415" s="286"/>
      <c r="EV415" s="287"/>
    </row>
    <row r="416" spans="1:152" ht="15" customHeight="1">
      <c r="A416" s="282" t="s">
        <v>64</v>
      </c>
      <c r="B416" s="263"/>
      <c r="C416" s="237"/>
      <c r="D416" s="237"/>
      <c r="E416" s="237"/>
      <c r="F416" s="237"/>
      <c r="G416" s="263"/>
      <c r="H416" s="237"/>
      <c r="I416" s="237"/>
      <c r="J416" s="237"/>
      <c r="K416" s="237"/>
      <c r="L416" s="237"/>
      <c r="M416" s="237"/>
      <c r="N416" s="237"/>
      <c r="O416" s="237"/>
      <c r="P416" s="237"/>
      <c r="Q416" s="237"/>
      <c r="R416" s="237"/>
      <c r="S416" s="237"/>
      <c r="T416" s="237"/>
      <c r="U416" s="237"/>
      <c r="V416" s="237"/>
      <c r="W416" s="237"/>
      <c r="X416" s="237"/>
      <c r="Y416" s="237"/>
      <c r="Z416" s="237"/>
      <c r="AA416" s="237"/>
      <c r="AB416" s="237"/>
      <c r="AC416" s="237"/>
      <c r="AD416" s="237"/>
      <c r="AE416" s="237"/>
      <c r="AF416" s="237"/>
      <c r="AG416" s="237"/>
      <c r="AH416" s="237"/>
      <c r="AI416" s="237"/>
      <c r="AJ416" s="237"/>
      <c r="AK416" s="237"/>
      <c r="AL416" s="237"/>
      <c r="AM416" s="237"/>
      <c r="AN416" s="237"/>
      <c r="AO416" s="237"/>
      <c r="AP416" s="237"/>
      <c r="AQ416" s="237"/>
      <c r="AR416" s="237"/>
      <c r="AS416" s="237"/>
      <c r="AT416" s="237"/>
      <c r="AU416" s="237"/>
      <c r="AV416" s="237"/>
      <c r="AW416" s="237"/>
      <c r="AX416" s="237"/>
      <c r="AY416" s="237"/>
      <c r="AZ416" s="237"/>
      <c r="BA416" s="237"/>
      <c r="BB416" s="237"/>
      <c r="BC416" s="237"/>
      <c r="BD416" s="237"/>
      <c r="BE416" s="237"/>
      <c r="BF416" s="237"/>
      <c r="BG416" s="237"/>
      <c r="BH416" s="237"/>
      <c r="BI416" s="237"/>
      <c r="BJ416" s="237"/>
      <c r="BK416" s="237"/>
      <c r="BL416" s="237"/>
      <c r="BM416" s="237"/>
      <c r="BN416" s="237"/>
      <c r="BO416" s="237"/>
      <c r="BP416" s="165"/>
      <c r="BQ416" s="165"/>
      <c r="BR416" s="165"/>
      <c r="BS416" s="165"/>
      <c r="BT416" s="165"/>
      <c r="BU416" s="165"/>
      <c r="BV416" s="165"/>
      <c r="BW416" s="165"/>
      <c r="BX416" s="165"/>
      <c r="BY416" s="165"/>
      <c r="BZ416" s="165"/>
      <c r="CA416" s="165"/>
      <c r="CB416" s="165"/>
      <c r="CC416" s="165"/>
      <c r="CD416" s="165"/>
      <c r="CE416" s="165"/>
      <c r="CF416" s="165"/>
      <c r="CG416" s="165"/>
      <c r="CH416" s="165"/>
      <c r="CI416" s="165"/>
      <c r="CJ416" s="165"/>
      <c r="CK416" s="165"/>
      <c r="CL416" s="165"/>
      <c r="CM416" s="165"/>
      <c r="CN416" s="165"/>
      <c r="CO416" s="165"/>
      <c r="CP416" s="165"/>
      <c r="CQ416" s="209"/>
      <c r="CR416" s="209"/>
      <c r="CS416" s="209"/>
      <c r="CT416" s="209"/>
      <c r="CU416" s="209"/>
      <c r="CV416" s="209"/>
      <c r="CW416" s="209"/>
      <c r="CX416" s="159"/>
      <c r="CY416" s="159"/>
      <c r="CZ416" s="159"/>
      <c r="DA416" s="159"/>
      <c r="DB416" s="159"/>
      <c r="DC416" s="165"/>
      <c r="DD416" s="165"/>
      <c r="DF416" s="226"/>
      <c r="DG416" s="237"/>
      <c r="DH416" s="237"/>
      <c r="DI416" s="237"/>
      <c r="DJ416" s="237"/>
      <c r="DK416" s="237"/>
      <c r="DL416" s="237"/>
      <c r="DM416" s="237"/>
      <c r="DN416" s="237"/>
      <c r="DO416" s="237"/>
      <c r="EU416" s="286"/>
      <c r="EV416" s="287"/>
    </row>
    <row r="417" spans="1:152" ht="15" customHeight="1">
      <c r="A417" s="137" t="str">
        <f>A408</f>
        <v>Postpaid</v>
      </c>
      <c r="B417" s="263"/>
      <c r="C417" s="237"/>
      <c r="D417" s="237"/>
      <c r="E417" s="237"/>
      <c r="F417" s="237"/>
      <c r="G417" s="263"/>
      <c r="H417" s="237"/>
      <c r="I417" s="237"/>
      <c r="J417" s="237"/>
      <c r="K417" s="237"/>
      <c r="L417" s="236"/>
      <c r="M417" s="236"/>
      <c r="N417" s="236"/>
      <c r="O417" s="236"/>
      <c r="P417" s="236"/>
      <c r="Q417" s="236"/>
      <c r="R417" s="236"/>
      <c r="S417" s="236"/>
      <c r="T417" s="236"/>
      <c r="U417" s="236"/>
      <c r="V417" s="236"/>
      <c r="W417" s="236"/>
      <c r="X417" s="236"/>
      <c r="Y417" s="236"/>
      <c r="Z417" s="236"/>
      <c r="AA417" s="236"/>
      <c r="AB417" s="236"/>
      <c r="AC417" s="236"/>
      <c r="AD417" s="236"/>
      <c r="AE417" s="236"/>
      <c r="AF417" s="236"/>
      <c r="AG417" s="236"/>
      <c r="AH417" s="236"/>
      <c r="AI417" s="236"/>
      <c r="AJ417" s="236"/>
      <c r="AK417" s="236"/>
      <c r="AL417" s="236"/>
      <c r="AM417" s="236"/>
      <c r="AN417" s="236"/>
      <c r="AO417" s="236"/>
      <c r="AP417" s="236"/>
      <c r="AQ417" s="236"/>
      <c r="AR417" s="236"/>
      <c r="AS417" s="236"/>
      <c r="AT417" s="236"/>
      <c r="AU417" s="236"/>
      <c r="AV417" s="236"/>
      <c r="AW417" s="236"/>
      <c r="AX417" s="236"/>
      <c r="AY417" s="236"/>
      <c r="AZ417" s="236"/>
      <c r="BA417" s="236"/>
      <c r="BB417" s="236"/>
      <c r="BC417" s="236"/>
      <c r="BD417" s="236"/>
      <c r="BE417" s="236"/>
      <c r="BF417" s="236"/>
      <c r="BG417" s="236"/>
      <c r="BH417" s="236"/>
      <c r="BI417" s="236"/>
      <c r="BJ417" s="236"/>
      <c r="BK417" s="236"/>
      <c r="BL417" s="236"/>
      <c r="BM417" s="236"/>
      <c r="BN417" s="236"/>
      <c r="BO417" s="236"/>
      <c r="BP417" s="236"/>
      <c r="BQ417" s="236"/>
      <c r="BR417" s="236"/>
      <c r="BS417" s="236"/>
      <c r="BT417" s="236"/>
      <c r="BU417" s="237">
        <f t="shared" ref="BU417" si="1468">BU408/BP408-1</f>
        <v>4.9465240641711317E-2</v>
      </c>
      <c r="BV417" s="237">
        <f t="shared" ref="BV417" si="1469">BV408/BQ408-1</f>
        <v>5.7441253263707637E-2</v>
      </c>
      <c r="BW417" s="237">
        <f t="shared" ref="BW417" si="1470">BW408/BR408-1</f>
        <v>6.0025542784163388E-2</v>
      </c>
      <c r="BX417" s="237">
        <f t="shared" ref="BX417" si="1471">BX408/BS408-1</f>
        <v>0.10966057441253274</v>
      </c>
      <c r="BY417" s="236">
        <f t="shared" ref="BY417" si="1472">BY408/BT408-1</f>
        <v>6.9213189683317022E-2</v>
      </c>
      <c r="BZ417" s="237">
        <f t="shared" ref="BZ417" si="1473">BZ408/BU408-1</f>
        <v>0.10063694267515921</v>
      </c>
      <c r="CA417" s="237">
        <f t="shared" ref="CA417" si="1474">CA408/BV408-1</f>
        <v>7.5308641975308621E-2</v>
      </c>
      <c r="CB417" s="237">
        <f t="shared" ref="CB417" si="1475">CB408/BW408-1</f>
        <v>6.2650602409638489E-2</v>
      </c>
      <c r="CC417" s="237">
        <f t="shared" ref="CC417" si="1476">CC408/BX408-1</f>
        <v>6.23529411764705E-2</v>
      </c>
      <c r="CD417" s="236">
        <f t="shared" ref="CD417" si="1477">CD408/BY408-1</f>
        <v>7.4809160305343569E-2</v>
      </c>
      <c r="CE417" s="237">
        <f t="shared" ref="CE417" si="1478">CE408/BZ408-1</f>
        <v>5.439814814814814E-2</v>
      </c>
      <c r="CF417" s="237">
        <f t="shared" ref="CF417" si="1479">CF408/CA408-1</f>
        <v>5.1664753157290466E-2</v>
      </c>
      <c r="CG417" s="237">
        <f t="shared" ref="CG417" si="1480">CG408/CB408-1</f>
        <v>4.8752834467120199E-2</v>
      </c>
      <c r="CH417" s="237">
        <f t="shared" ref="CH417" si="1481">CH408/CC408-1</f>
        <v>4.9833887043189362E-2</v>
      </c>
      <c r="CI417" s="236">
        <f t="shared" ref="CI417:CP418" si="1482">CI408/CD408-1</f>
        <v>5.1136363636363535E-2</v>
      </c>
      <c r="CJ417" s="237">
        <f t="shared" si="1482"/>
        <v>1.4270032930845167E-2</v>
      </c>
      <c r="CK417" s="237">
        <f t="shared" si="1482"/>
        <v>1.8558951965065518E-2</v>
      </c>
      <c r="CL417" s="237">
        <f t="shared" si="1482"/>
        <v>2.9189189189189113E-2</v>
      </c>
      <c r="CM417" s="237">
        <f t="shared" si="1482"/>
        <v>2.9535864978903037E-2</v>
      </c>
      <c r="CN417" s="236">
        <f t="shared" si="1482"/>
        <v>2.2972972972973071E-2</v>
      </c>
      <c r="CO417" s="237">
        <f t="shared" si="1482"/>
        <v>4.2207792207792139E-2</v>
      </c>
      <c r="CP417" s="237">
        <f t="shared" si="1482"/>
        <v>4.1800643086816747E-2</v>
      </c>
      <c r="CQ417" s="236">
        <f>CQ408/CN408-1</f>
        <v>3.0700985501203037E-2</v>
      </c>
      <c r="CR417" s="236">
        <f t="shared" ref="CR417" si="1483">CR408/CQ408-1</f>
        <v>1.5925897074634765E-2</v>
      </c>
      <c r="CS417" s="236">
        <f t="shared" ref="CS417" si="1484">CS408/CR408-1</f>
        <v>2.3295193126152025E-2</v>
      </c>
      <c r="CT417" s="236">
        <f t="shared" ref="CT417" si="1485">CT408/CS408-1</f>
        <v>2.2569810884425889E-2</v>
      </c>
      <c r="CU417" s="236">
        <f t="shared" ref="CU417" si="1486">CU408/CT408-1</f>
        <v>2.1920261526203078E-2</v>
      </c>
      <c r="CV417" s="236">
        <f t="shared" ref="CV417" si="1487">CV408/CU408-1</f>
        <v>2.1337529971448665E-2</v>
      </c>
      <c r="CW417" s="236">
        <f t="shared" ref="CW417" si="1488">CW408/CV408-1</f>
        <v>2.081381134025162E-2</v>
      </c>
      <c r="CX417" s="159"/>
      <c r="CY417" s="159"/>
      <c r="CZ417" s="159"/>
      <c r="DA417" s="159"/>
      <c r="DB417" s="159"/>
      <c r="DC417" s="165"/>
      <c r="DD417" s="165"/>
      <c r="DF417" s="226"/>
      <c r="DG417" s="237"/>
      <c r="DH417" s="237"/>
      <c r="DI417" s="237"/>
      <c r="DJ417" s="237"/>
      <c r="DK417" s="237"/>
      <c r="DL417" s="237"/>
      <c r="DM417" s="237"/>
      <c r="DN417" s="237"/>
      <c r="DO417" s="237"/>
      <c r="EU417" s="286"/>
      <c r="EV417" s="287"/>
    </row>
    <row r="418" spans="1:152" ht="15" customHeight="1">
      <c r="A418" s="137" t="str">
        <f t="shared" ref="A418" si="1489">A409</f>
        <v>Prepaid</v>
      </c>
      <c r="B418" s="263"/>
      <c r="C418" s="237"/>
      <c r="D418" s="237"/>
      <c r="E418" s="237"/>
      <c r="F418" s="237"/>
      <c r="G418" s="263"/>
      <c r="H418" s="237"/>
      <c r="I418" s="237"/>
      <c r="J418" s="237"/>
      <c r="K418" s="237"/>
      <c r="L418" s="236"/>
      <c r="M418" s="236"/>
      <c r="N418" s="236"/>
      <c r="O418" s="236"/>
      <c r="P418" s="236"/>
      <c r="Q418" s="236"/>
      <c r="R418" s="236"/>
      <c r="S418" s="236"/>
      <c r="T418" s="236"/>
      <c r="U418" s="236"/>
      <c r="V418" s="236"/>
      <c r="W418" s="236"/>
      <c r="X418" s="236"/>
      <c r="Y418" s="236"/>
      <c r="Z418" s="236"/>
      <c r="AA418" s="236"/>
      <c r="AB418" s="236"/>
      <c r="AC418" s="236"/>
      <c r="AD418" s="236"/>
      <c r="AE418" s="236"/>
      <c r="AF418" s="236"/>
      <c r="AG418" s="236"/>
      <c r="AH418" s="236"/>
      <c r="AI418" s="236"/>
      <c r="AJ418" s="236"/>
      <c r="AK418" s="236"/>
      <c r="AL418" s="236"/>
      <c r="AM418" s="236"/>
      <c r="AN418" s="236"/>
      <c r="AO418" s="236"/>
      <c r="AP418" s="236"/>
      <c r="AQ418" s="236"/>
      <c r="AR418" s="236"/>
      <c r="AS418" s="236"/>
      <c r="AT418" s="236"/>
      <c r="AU418" s="236"/>
      <c r="AV418" s="236"/>
      <c r="AW418" s="236"/>
      <c r="AX418" s="236"/>
      <c r="AY418" s="236"/>
      <c r="AZ418" s="236"/>
      <c r="BA418" s="236"/>
      <c r="BB418" s="236"/>
      <c r="BC418" s="236"/>
      <c r="BD418" s="236"/>
      <c r="BE418" s="236"/>
      <c r="BF418" s="236"/>
      <c r="BG418" s="236"/>
      <c r="BH418" s="236"/>
      <c r="BI418" s="236"/>
      <c r="BJ418" s="236"/>
      <c r="BK418" s="236"/>
      <c r="BL418" s="236"/>
      <c r="BM418" s="236"/>
      <c r="BN418" s="236"/>
      <c r="BO418" s="236"/>
      <c r="BP418" s="236"/>
      <c r="BQ418" s="236"/>
      <c r="BR418" s="236"/>
      <c r="BS418" s="236"/>
      <c r="BT418" s="236"/>
      <c r="BU418" s="237">
        <f t="shared" ref="BU418" si="1490">BU409/BP409-1</f>
        <v>-4.7826086956521685E-2</v>
      </c>
      <c r="BV418" s="237">
        <f t="shared" ref="BV418" si="1491">BV409/BQ409-1</f>
        <v>-8.7591240875912746E-3</v>
      </c>
      <c r="BW418" s="237">
        <f t="shared" ref="BW418" si="1492">BW409/BR409-1</f>
        <v>-1.3138686131386912E-2</v>
      </c>
      <c r="BX418" s="237">
        <f t="shared" ref="BX418" si="1493">BX409/BS409-1</f>
        <v>3.969465648854964E-2</v>
      </c>
      <c r="BY418" s="236">
        <f t="shared" ref="BY418" si="1494">BY409/BT409-1</f>
        <v>-8.1031307550644138E-3</v>
      </c>
      <c r="BZ418" s="237">
        <f t="shared" ref="BZ418" si="1495">BZ409/BU409-1</f>
        <v>6.0882800608828003E-3</v>
      </c>
      <c r="CA418" s="237">
        <f t="shared" ref="CA418" si="1496">CA409/BV409-1</f>
        <v>-4.123711340206182E-2</v>
      </c>
      <c r="CB418" s="237">
        <f t="shared" ref="CB418" si="1497">CB409/BW409-1</f>
        <v>-3.5502958579881616E-2</v>
      </c>
      <c r="CC418" s="237">
        <f t="shared" ref="CC418" si="1498">CC409/BX409-1</f>
        <v>-3.8179148311306865E-2</v>
      </c>
      <c r="CD418" s="236">
        <f t="shared" ref="CD418" si="1499">CD409/BY409-1</f>
        <v>-2.7478648347567747E-2</v>
      </c>
      <c r="CE418" s="237">
        <f t="shared" ref="CE418" si="1500">CE409/BZ409-1</f>
        <v>-1.8154311649016597E-2</v>
      </c>
      <c r="CF418" s="237">
        <f t="shared" ref="CF418" si="1501">CF409/CA409-1</f>
        <v>-4.6082949308755561E-3</v>
      </c>
      <c r="CG418" s="237">
        <f t="shared" ref="CG418" si="1502">CG409/CB409-1</f>
        <v>-1.6871165644171793E-2</v>
      </c>
      <c r="CH418" s="237">
        <f t="shared" ref="CH418" si="1503">CH409/CC409-1</f>
        <v>-4.2748091603053484E-2</v>
      </c>
      <c r="CI418" s="236">
        <f t="shared" ref="CI418" si="1504">CI409/CD409-1</f>
        <v>-2.0618556701030966E-2</v>
      </c>
      <c r="CJ418" s="237">
        <f t="shared" si="1482"/>
        <v>-8.3204930662557741E-2</v>
      </c>
      <c r="CK418" s="237">
        <f t="shared" si="1482"/>
        <v>-5.8641975308642014E-2</v>
      </c>
      <c r="CL418" s="237">
        <f t="shared" si="1482"/>
        <v>-3.9001560062402518E-2</v>
      </c>
      <c r="CM418" s="237">
        <f t="shared" si="1482"/>
        <v>-4.784688995215336E-3</v>
      </c>
      <c r="CN418" s="236">
        <f t="shared" si="1482"/>
        <v>-4.6783625730994149E-2</v>
      </c>
      <c r="CO418" s="237">
        <f t="shared" si="1482"/>
        <v>2.3529411764705799E-2</v>
      </c>
      <c r="CP418" s="237">
        <f t="shared" si="1482"/>
        <v>3.2786885245901232E-3</v>
      </c>
      <c r="CQ418" s="236">
        <f>CQ409/CN409-1</f>
        <v>1.0272186781272286E-2</v>
      </c>
      <c r="CR418" s="236">
        <f t="shared" ref="CR418" si="1505">CR409/CQ409-1</f>
        <v>3.6231447237886627E-3</v>
      </c>
      <c r="CS418" s="236">
        <f t="shared" ref="CS418" si="1506">CS409/CR409-1</f>
        <v>5.9092843323425015E-3</v>
      </c>
      <c r="CT418" s="236">
        <f t="shared" ref="CT418" si="1507">CT409/CS409-1</f>
        <v>5.212043294203772E-3</v>
      </c>
      <c r="CU418" s="236">
        <f t="shared" ref="CU418" si="1508">CU409/CT409-1</f>
        <v>4.5884290968609687E-3</v>
      </c>
      <c r="CV418" s="236">
        <f t="shared" ref="CV418" si="1509">CV409/CU409-1</f>
        <v>4.0295871230247027E-3</v>
      </c>
      <c r="CW418" s="236">
        <f t="shared" ref="CW418" si="1510">CW409/CV409-1</f>
        <v>3.5278517969790091E-3</v>
      </c>
      <c r="CX418" s="159"/>
      <c r="CY418" s="159"/>
      <c r="CZ418" s="159"/>
      <c r="DA418" s="159"/>
      <c r="DB418" s="159"/>
      <c r="DC418" s="165"/>
      <c r="DD418" s="165"/>
      <c r="DF418" s="226"/>
      <c r="DG418" s="237"/>
      <c r="DH418" s="237"/>
      <c r="DI418" s="237"/>
      <c r="DJ418" s="237"/>
      <c r="DK418" s="237"/>
      <c r="DL418" s="237"/>
      <c r="DM418" s="237"/>
      <c r="DN418" s="237"/>
      <c r="DO418" s="237"/>
      <c r="EU418" s="286"/>
      <c r="EV418" s="287"/>
    </row>
    <row r="419" spans="1:152" ht="15" customHeight="1">
      <c r="A419" s="137" t="str">
        <f>A411</f>
        <v>Home Connectivity</v>
      </c>
      <c r="B419" s="263"/>
      <c r="C419" s="237"/>
      <c r="D419" s="237"/>
      <c r="E419" s="237"/>
      <c r="F419" s="237"/>
      <c r="G419" s="263"/>
      <c r="H419" s="237"/>
      <c r="I419" s="237"/>
      <c r="J419" s="237"/>
      <c r="K419" s="237"/>
      <c r="L419" s="236"/>
      <c r="M419" s="236"/>
      <c r="N419" s="236"/>
      <c r="O419" s="236"/>
      <c r="P419" s="236"/>
      <c r="Q419" s="236"/>
      <c r="R419" s="236"/>
      <c r="S419" s="236"/>
      <c r="T419" s="236"/>
      <c r="U419" s="236"/>
      <c r="V419" s="236"/>
      <c r="W419" s="236"/>
      <c r="X419" s="236"/>
      <c r="Y419" s="236"/>
      <c r="Z419" s="236"/>
      <c r="AA419" s="236"/>
      <c r="AB419" s="236"/>
      <c r="AC419" s="236"/>
      <c r="AD419" s="236"/>
      <c r="AE419" s="236"/>
      <c r="AF419" s="236"/>
      <c r="AG419" s="236"/>
      <c r="AH419" s="236"/>
      <c r="AI419" s="236"/>
      <c r="AJ419" s="236"/>
      <c r="AK419" s="236"/>
      <c r="AL419" s="236"/>
      <c r="AM419" s="236"/>
      <c r="AN419" s="236"/>
      <c r="AO419" s="236"/>
      <c r="AP419" s="236"/>
      <c r="AQ419" s="236"/>
      <c r="AR419" s="236"/>
      <c r="AS419" s="236"/>
      <c r="AT419" s="236"/>
      <c r="AU419" s="236"/>
      <c r="AV419" s="236"/>
      <c r="AW419" s="236"/>
      <c r="AX419" s="236"/>
      <c r="AY419" s="236"/>
      <c r="AZ419" s="236"/>
      <c r="BA419" s="236"/>
      <c r="BB419" s="236"/>
      <c r="BC419" s="236"/>
      <c r="BD419" s="236"/>
      <c r="BE419" s="236"/>
      <c r="BF419" s="236"/>
      <c r="BG419" s="236"/>
      <c r="BH419" s="236"/>
      <c r="BI419" s="236"/>
      <c r="BJ419" s="236"/>
      <c r="BK419" s="236"/>
      <c r="BL419" s="236"/>
      <c r="BM419" s="236"/>
      <c r="BN419" s="236"/>
      <c r="BO419" s="236"/>
      <c r="BP419" s="236"/>
      <c r="BQ419" s="236"/>
      <c r="BR419" s="236"/>
      <c r="BS419" s="236"/>
      <c r="BT419" s="236"/>
      <c r="BU419" s="237">
        <f t="shared" ref="BU419:CC422" si="1511">BU411/BP411-1</f>
        <v>0.21212121212121215</v>
      </c>
      <c r="BV419" s="237">
        <f t="shared" si="1511"/>
        <v>0.19428571428571439</v>
      </c>
      <c r="BW419" s="237">
        <f t="shared" si="1511"/>
        <v>0.16216216216216206</v>
      </c>
      <c r="BX419" s="237">
        <f t="shared" si="1511"/>
        <v>0.11734693877551017</v>
      </c>
      <c r="BY419" s="236">
        <f t="shared" si="1511"/>
        <v>0.1692094313453536</v>
      </c>
      <c r="BZ419" s="237">
        <f t="shared" si="1511"/>
        <v>0.1100000000000001</v>
      </c>
      <c r="CA419" s="237">
        <f t="shared" si="1511"/>
        <v>9.5693779904306275E-2</v>
      </c>
      <c r="CB419" s="237">
        <f t="shared" si="1511"/>
        <v>7.441860465116279E-2</v>
      </c>
      <c r="CC419" s="237">
        <f t="shared" si="1511"/>
        <v>0.1095890410958904</v>
      </c>
      <c r="CD419" s="236">
        <f t="shared" ref="CD419:CP422" si="1512">CD411/BY411-1</f>
        <v>9.7271648873072269E-2</v>
      </c>
      <c r="CE419" s="237">
        <f t="shared" si="1512"/>
        <v>9.9099099099099197E-2</v>
      </c>
      <c r="CF419" s="237">
        <f t="shared" si="1512"/>
        <v>9.606986899563319E-2</v>
      </c>
      <c r="CG419" s="237">
        <f t="shared" si="1512"/>
        <v>8.6580086580086535E-2</v>
      </c>
      <c r="CH419" s="237">
        <f t="shared" si="1512"/>
        <v>1.6460905349794164E-2</v>
      </c>
      <c r="CI419" s="236">
        <f t="shared" si="1512"/>
        <v>7.3513513513513429E-2</v>
      </c>
      <c r="CJ419" s="237">
        <f t="shared" si="1512"/>
        <v>4.0983606557376984E-2</v>
      </c>
      <c r="CK419" s="237">
        <f t="shared" si="1512"/>
        <v>1.195219123505975E-2</v>
      </c>
      <c r="CL419" s="237">
        <f t="shared" si="1512"/>
        <v>1.5936254980079667E-2</v>
      </c>
      <c r="CM419" s="237">
        <f t="shared" si="1512"/>
        <v>2.8340080971659853E-2</v>
      </c>
      <c r="CN419" s="236">
        <f t="shared" si="1512"/>
        <v>2.4169184290030232E-2</v>
      </c>
      <c r="CO419" s="237">
        <f t="shared" si="1512"/>
        <v>-1.1811023622047223E-2</v>
      </c>
      <c r="CP419" s="237">
        <f t="shared" si="1512"/>
        <v>-7.8740157480314821E-3</v>
      </c>
      <c r="CQ419" s="236">
        <f>CQ411/CN411-1</f>
        <v>-3.0110954902227149E-3</v>
      </c>
      <c r="CR419" s="236">
        <f t="shared" ref="CR419:CW422" si="1513">CR411/CQ411-1</f>
        <v>4.9958694205445964E-2</v>
      </c>
      <c r="CS419" s="236">
        <f t="shared" si="1513"/>
        <v>2.3352922980046653E-2</v>
      </c>
      <c r="CT419" s="236">
        <f t="shared" si="1513"/>
        <v>3.4230013598889553E-2</v>
      </c>
      <c r="CU419" s="236">
        <f t="shared" si="1513"/>
        <v>2.206473295676048E-2</v>
      </c>
      <c r="CV419" s="236">
        <f t="shared" si="1513"/>
        <v>2.1588390877091301E-2</v>
      </c>
      <c r="CW419" s="236">
        <f t="shared" si="1513"/>
        <v>2.1132181091600533E-2</v>
      </c>
      <c r="CX419" s="159"/>
      <c r="CY419" s="159"/>
      <c r="CZ419" s="159"/>
      <c r="DA419" s="159"/>
      <c r="DB419" s="159"/>
      <c r="DC419" s="165"/>
      <c r="DD419" s="165"/>
      <c r="DF419" s="226"/>
      <c r="DG419" s="237"/>
      <c r="DH419" s="237"/>
      <c r="DI419" s="237"/>
      <c r="DJ419" s="237"/>
      <c r="DK419" s="237"/>
      <c r="DL419" s="237"/>
      <c r="DM419" s="237"/>
      <c r="DN419" s="237"/>
      <c r="DO419" s="237"/>
      <c r="EU419" s="286"/>
      <c r="EV419" s="287"/>
    </row>
    <row r="420" spans="1:152" ht="15" hidden="1" customHeight="1" outlineLevel="1">
      <c r="A420" s="138" t="str">
        <f>A412</f>
        <v>Fibre</v>
      </c>
      <c r="B420" s="263"/>
      <c r="C420" s="237"/>
      <c r="D420" s="237"/>
      <c r="E420" s="237"/>
      <c r="F420" s="237"/>
      <c r="G420" s="263"/>
      <c r="H420" s="237"/>
      <c r="I420" s="237"/>
      <c r="J420" s="237"/>
      <c r="K420" s="237"/>
      <c r="L420" s="236"/>
      <c r="M420" s="236"/>
      <c r="N420" s="236"/>
      <c r="O420" s="236"/>
      <c r="P420" s="236"/>
      <c r="Q420" s="236"/>
      <c r="R420" s="236"/>
      <c r="S420" s="236"/>
      <c r="T420" s="236"/>
      <c r="U420" s="236"/>
      <c r="V420" s="236"/>
      <c r="W420" s="236"/>
      <c r="X420" s="236"/>
      <c r="Y420" s="236"/>
      <c r="Z420" s="236"/>
      <c r="AA420" s="236"/>
      <c r="AB420" s="236"/>
      <c r="AC420" s="236"/>
      <c r="AD420" s="236"/>
      <c r="AE420" s="236"/>
      <c r="AF420" s="236"/>
      <c r="AG420" s="236"/>
      <c r="AH420" s="236"/>
      <c r="AI420" s="236"/>
      <c r="AJ420" s="236"/>
      <c r="AK420" s="236"/>
      <c r="AL420" s="236"/>
      <c r="AM420" s="236"/>
      <c r="AN420" s="236"/>
      <c r="AO420" s="236"/>
      <c r="AP420" s="236"/>
      <c r="AQ420" s="236"/>
      <c r="AR420" s="236"/>
      <c r="AS420" s="236"/>
      <c r="AT420" s="236"/>
      <c r="AU420" s="236"/>
      <c r="AV420" s="236"/>
      <c r="AW420" s="236"/>
      <c r="AX420" s="236"/>
      <c r="AY420" s="236"/>
      <c r="AZ420" s="236"/>
      <c r="BA420" s="236"/>
      <c r="BB420" s="236"/>
      <c r="BC420" s="236"/>
      <c r="BD420" s="236"/>
      <c r="BE420" s="236"/>
      <c r="BF420" s="236"/>
      <c r="BG420" s="236"/>
      <c r="BH420" s="236"/>
      <c r="BI420" s="236"/>
      <c r="BJ420" s="236"/>
      <c r="BK420" s="236"/>
      <c r="BL420" s="236"/>
      <c r="BM420" s="236"/>
      <c r="BN420" s="236"/>
      <c r="BO420" s="236"/>
      <c r="BP420" s="236"/>
      <c r="BQ420" s="236"/>
      <c r="BR420" s="236"/>
      <c r="BS420" s="236"/>
      <c r="BT420" s="236"/>
      <c r="BU420" s="237">
        <f t="shared" si="1511"/>
        <v>0.21641791044776126</v>
      </c>
      <c r="BV420" s="237">
        <f t="shared" si="1511"/>
        <v>0.22695035460992918</v>
      </c>
      <c r="BW420" s="237">
        <f t="shared" si="1511"/>
        <v>0.21621621621621623</v>
      </c>
      <c r="BX420" s="237">
        <f t="shared" si="1511"/>
        <v>0.19108280254777066</v>
      </c>
      <c r="BY420" s="236">
        <f t="shared" si="1511"/>
        <v>0.21206896551724141</v>
      </c>
      <c r="BZ420" s="237">
        <f t="shared" si="1511"/>
        <v>0.17791411042944794</v>
      </c>
      <c r="CA420" s="237">
        <f t="shared" si="1511"/>
        <v>0.16184971098265888</v>
      </c>
      <c r="CB420" s="237">
        <f t="shared" si="1511"/>
        <v>0.1166666666666667</v>
      </c>
      <c r="CC420" s="237">
        <f t="shared" si="1511"/>
        <v>0.14973262032085555</v>
      </c>
      <c r="CD420" s="236">
        <f t="shared" si="1512"/>
        <v>0.15078236130867717</v>
      </c>
      <c r="CE420" s="237">
        <f t="shared" si="1512"/>
        <v>0.125</v>
      </c>
      <c r="CF420" s="237">
        <f t="shared" si="1512"/>
        <v>0.11442786069651745</v>
      </c>
      <c r="CG420" s="237">
        <f t="shared" si="1512"/>
        <v>0.11940298507462677</v>
      </c>
      <c r="CH420" s="237">
        <f t="shared" si="1512"/>
        <v>3.2558139534883734E-2</v>
      </c>
      <c r="CI420" s="236">
        <f t="shared" si="1512"/>
        <v>9.6415327564894904E-2</v>
      </c>
      <c r="CJ420" s="237">
        <f t="shared" si="1512"/>
        <v>6.4814814814814881E-2</v>
      </c>
      <c r="CK420" s="237"/>
      <c r="CL420" s="237"/>
      <c r="CM420" s="237"/>
      <c r="CN420" s="236">
        <f t="shared" si="1512"/>
        <v>3.7204058624577208E-2</v>
      </c>
      <c r="CO420" s="237">
        <f t="shared" si="1512"/>
        <v>-1</v>
      </c>
      <c r="CP420" s="237"/>
      <c r="CQ420" s="236">
        <f>CQ412/CN412-1</f>
        <v>-1.1546566451701157E-3</v>
      </c>
      <c r="CR420" s="236">
        <f t="shared" si="1513"/>
        <v>5.5123435914778529E-2</v>
      </c>
      <c r="CS420" s="236">
        <f t="shared" si="1513"/>
        <v>2.5641025641025328E-2</v>
      </c>
      <c r="CT420" s="236">
        <f t="shared" si="1513"/>
        <v>3.7500000000000089E-2</v>
      </c>
      <c r="CU420" s="236">
        <f t="shared" si="1513"/>
        <v>2.4096385542168752E-2</v>
      </c>
      <c r="CV420" s="236">
        <f t="shared" si="1513"/>
        <v>2.3529411764706021E-2</v>
      </c>
      <c r="CW420" s="236">
        <f t="shared" si="1513"/>
        <v>2.2988505747126409E-2</v>
      </c>
      <c r="CX420" s="159"/>
      <c r="CY420" s="159"/>
      <c r="CZ420" s="159"/>
      <c r="DA420" s="159"/>
      <c r="DB420" s="159"/>
      <c r="DC420" s="165"/>
      <c r="DD420" s="165"/>
      <c r="DF420" s="226"/>
      <c r="DG420" s="237"/>
      <c r="DH420" s="237"/>
      <c r="DI420" s="237"/>
      <c r="DJ420" s="237"/>
      <c r="DK420" s="237"/>
      <c r="DL420" s="237"/>
      <c r="DM420" s="237"/>
      <c r="DN420" s="237"/>
      <c r="DO420" s="237"/>
      <c r="EU420" s="286"/>
      <c r="EV420" s="287"/>
    </row>
    <row r="421" spans="1:152" ht="15" hidden="1" customHeight="1" outlineLevel="1">
      <c r="A421" s="138" t="str">
        <f>A413</f>
        <v>WBB - Wireless broadband</v>
      </c>
      <c r="B421" s="263"/>
      <c r="C421" s="237"/>
      <c r="D421" s="237"/>
      <c r="E421" s="237"/>
      <c r="F421" s="237"/>
      <c r="G421" s="263"/>
      <c r="H421" s="237"/>
      <c r="I421" s="237"/>
      <c r="J421" s="237"/>
      <c r="K421" s="237"/>
      <c r="L421" s="236"/>
      <c r="M421" s="236"/>
      <c r="N421" s="236"/>
      <c r="O421" s="236"/>
      <c r="P421" s="236"/>
      <c r="Q421" s="236"/>
      <c r="R421" s="236"/>
      <c r="S421" s="236"/>
      <c r="T421" s="236"/>
      <c r="U421" s="236"/>
      <c r="V421" s="236"/>
      <c r="W421" s="236"/>
      <c r="X421" s="236"/>
      <c r="Y421" s="236"/>
      <c r="Z421" s="236"/>
      <c r="AA421" s="236"/>
      <c r="AB421" s="236"/>
      <c r="AC421" s="236"/>
      <c r="AD421" s="236"/>
      <c r="AE421" s="236"/>
      <c r="AF421" s="236"/>
      <c r="AG421" s="236"/>
      <c r="AH421" s="236"/>
      <c r="AI421" s="236"/>
      <c r="AJ421" s="236"/>
      <c r="AK421" s="236"/>
      <c r="AL421" s="236"/>
      <c r="AM421" s="236"/>
      <c r="AN421" s="236"/>
      <c r="AO421" s="236"/>
      <c r="AP421" s="236"/>
      <c r="AQ421" s="236"/>
      <c r="AR421" s="236"/>
      <c r="AS421" s="236"/>
      <c r="AT421" s="236"/>
      <c r="AU421" s="236"/>
      <c r="AV421" s="236"/>
      <c r="AW421" s="236"/>
      <c r="AX421" s="236"/>
      <c r="AY421" s="236"/>
      <c r="AZ421" s="236"/>
      <c r="BA421" s="236"/>
      <c r="BB421" s="236"/>
      <c r="BC421" s="236"/>
      <c r="BD421" s="236"/>
      <c r="BE421" s="236"/>
      <c r="BF421" s="236"/>
      <c r="BG421" s="236"/>
      <c r="BH421" s="236"/>
      <c r="BI421" s="236"/>
      <c r="BJ421" s="236"/>
      <c r="BK421" s="236"/>
      <c r="BL421" s="236"/>
      <c r="BM421" s="236"/>
      <c r="BN421" s="236"/>
      <c r="BO421" s="236"/>
      <c r="BP421" s="236"/>
      <c r="BQ421" s="236"/>
      <c r="BR421" s="236"/>
      <c r="BS421" s="236"/>
      <c r="BT421" s="236"/>
      <c r="BU421" s="237">
        <f t="shared" si="1511"/>
        <v>0.19354838709677424</v>
      </c>
      <c r="BV421" s="237">
        <f t="shared" si="1511"/>
        <v>5.8823529411764719E-2</v>
      </c>
      <c r="BW421" s="237">
        <f t="shared" si="1511"/>
        <v>-5.4054054054054057E-2</v>
      </c>
      <c r="BX421" s="237">
        <f t="shared" si="1511"/>
        <v>-0.17948717948717952</v>
      </c>
      <c r="BY421" s="236">
        <f t="shared" si="1511"/>
        <v>-7.0921985815602939E-3</v>
      </c>
      <c r="BZ421" s="237">
        <f t="shared" si="1511"/>
        <v>-0.18918918918918914</v>
      </c>
      <c r="CA421" s="237">
        <f t="shared" si="1511"/>
        <v>-0.22222222222222221</v>
      </c>
      <c r="CB421" s="237">
        <f t="shared" si="1511"/>
        <v>-0.19999999999999996</v>
      </c>
      <c r="CC421" s="237">
        <f t="shared" si="1511"/>
        <v>-0.125</v>
      </c>
      <c r="CD421" s="236">
        <f t="shared" si="1512"/>
        <v>-0.18571428571428572</v>
      </c>
      <c r="CE421" s="237">
        <f t="shared" si="1512"/>
        <v>-6.6666666666666652E-2</v>
      </c>
      <c r="CF421" s="237">
        <f t="shared" si="1512"/>
        <v>-3.5714285714285698E-2</v>
      </c>
      <c r="CG421" s="237">
        <f t="shared" si="1512"/>
        <v>-7.1428571428571397E-2</v>
      </c>
      <c r="CH421" s="237">
        <f t="shared" si="1512"/>
        <v>-0.1071428571428571</v>
      </c>
      <c r="CI421" s="236">
        <f t="shared" si="1512"/>
        <v>-7.0175438596491224E-2</v>
      </c>
      <c r="CJ421" s="237">
        <f t="shared" si="1512"/>
        <v>-0.1428571428571429</v>
      </c>
      <c r="CK421" s="237"/>
      <c r="CL421" s="237"/>
      <c r="CM421" s="237"/>
      <c r="CN421" s="236">
        <f t="shared" si="1512"/>
        <v>-8.4905660377358472E-2</v>
      </c>
      <c r="CO421" s="237">
        <f t="shared" si="1512"/>
        <v>-1</v>
      </c>
      <c r="CP421" s="237"/>
      <c r="CQ421" s="236">
        <f>CQ413/CN413-1</f>
        <v>-2.0618556701030966E-2</v>
      </c>
      <c r="CR421" s="236">
        <f t="shared" si="1513"/>
        <v>0</v>
      </c>
      <c r="CS421" s="236">
        <f t="shared" si="1513"/>
        <v>0</v>
      </c>
      <c r="CT421" s="236">
        <f t="shared" si="1513"/>
        <v>0</v>
      </c>
      <c r="CU421" s="236">
        <f t="shared" si="1513"/>
        <v>0</v>
      </c>
      <c r="CV421" s="236">
        <f t="shared" si="1513"/>
        <v>0</v>
      </c>
      <c r="CW421" s="236">
        <f t="shared" si="1513"/>
        <v>0</v>
      </c>
      <c r="CX421" s="159"/>
      <c r="CY421" s="159"/>
      <c r="CZ421" s="159"/>
      <c r="DA421" s="159"/>
      <c r="DB421" s="159"/>
      <c r="DC421" s="165"/>
      <c r="DD421" s="165"/>
      <c r="DF421" s="226"/>
      <c r="DG421" s="237"/>
      <c r="DH421" s="237"/>
      <c r="DI421" s="237"/>
      <c r="DJ421" s="237"/>
      <c r="DK421" s="237"/>
      <c r="DL421" s="237"/>
      <c r="DM421" s="237"/>
      <c r="DN421" s="237"/>
      <c r="DO421" s="237"/>
      <c r="EU421" s="286"/>
      <c r="EV421" s="287"/>
    </row>
    <row r="422" spans="1:152" s="221" customFormat="1" collapsed="1">
      <c r="A422" s="139" t="str">
        <f>A414</f>
        <v>Consumer Revenue</v>
      </c>
      <c r="B422" s="987"/>
      <c r="C422" s="987"/>
      <c r="D422" s="987"/>
      <c r="E422" s="987"/>
      <c r="F422" s="987"/>
      <c r="G422" s="987" t="e">
        <f>G414/B414-1</f>
        <v>#DIV/0!</v>
      </c>
      <c r="H422" s="987" t="e">
        <f>H414/C414-1</f>
        <v>#DIV/0!</v>
      </c>
      <c r="I422" s="987" t="e">
        <f>I414/D414-1</f>
        <v>#DIV/0!</v>
      </c>
      <c r="J422" s="987" t="e">
        <f>J414/E414-1</f>
        <v>#DIV/0!</v>
      </c>
      <c r="K422" s="987" t="e">
        <f>K414/F414-1</f>
        <v>#DIV/0!</v>
      </c>
      <c r="L422" s="987"/>
      <c r="M422" s="987"/>
      <c r="N422" s="987"/>
      <c r="O422" s="987"/>
      <c r="P422" s="987"/>
      <c r="Q422" s="987"/>
      <c r="R422" s="987"/>
      <c r="S422" s="987"/>
      <c r="T422" s="987"/>
      <c r="U422" s="987"/>
      <c r="V422" s="987"/>
      <c r="W422" s="987"/>
      <c r="X422" s="987"/>
      <c r="Y422" s="987"/>
      <c r="Z422" s="987"/>
      <c r="AA422" s="987"/>
      <c r="AB422" s="987"/>
      <c r="AC422" s="987"/>
      <c r="AD422" s="987"/>
      <c r="AE422" s="987"/>
      <c r="AF422" s="987"/>
      <c r="AG422" s="987"/>
      <c r="AH422" s="987"/>
      <c r="AI422" s="987"/>
      <c r="AJ422" s="987"/>
      <c r="AK422" s="987"/>
      <c r="AL422" s="987"/>
      <c r="AM422" s="987"/>
      <c r="AN422" s="987"/>
      <c r="AO422" s="987"/>
      <c r="AP422" s="987"/>
      <c r="AQ422" s="987"/>
      <c r="AR422" s="987"/>
      <c r="AS422" s="987"/>
      <c r="AT422" s="987"/>
      <c r="AU422" s="987"/>
      <c r="AV422" s="987"/>
      <c r="AW422" s="987"/>
      <c r="AX422" s="987"/>
      <c r="AY422" s="987"/>
      <c r="AZ422" s="987"/>
      <c r="BA422" s="987"/>
      <c r="BB422" s="987"/>
      <c r="BC422" s="987"/>
      <c r="BD422" s="987"/>
      <c r="BE422" s="987"/>
      <c r="BF422" s="987"/>
      <c r="BG422" s="987"/>
      <c r="BH422" s="987"/>
      <c r="BI422" s="987"/>
      <c r="BJ422" s="987"/>
      <c r="BK422" s="987"/>
      <c r="BL422" s="987"/>
      <c r="BM422" s="987"/>
      <c r="BN422" s="987"/>
      <c r="BO422" s="987"/>
      <c r="BP422" s="987"/>
      <c r="BQ422" s="987"/>
      <c r="BR422" s="987"/>
      <c r="BS422" s="987"/>
      <c r="BT422" s="987"/>
      <c r="BU422" s="987">
        <f t="shared" si="1511"/>
        <v>2.4329382407985101E-2</v>
      </c>
      <c r="BV422" s="987">
        <f t="shared" si="1511"/>
        <v>4.4280442804428111E-2</v>
      </c>
      <c r="BW422" s="987">
        <f t="shared" si="1511"/>
        <v>4.1137326073805269E-2</v>
      </c>
      <c r="BX422" s="987">
        <f t="shared" si="1511"/>
        <v>8.2251082251082241E-2</v>
      </c>
      <c r="BY422" s="987">
        <f t="shared" si="1511"/>
        <v>4.8007385751654086E-2</v>
      </c>
      <c r="BZ422" s="987">
        <f t="shared" si="1511"/>
        <v>6.3946406820950097E-2</v>
      </c>
      <c r="CA422" s="987">
        <f t="shared" si="1511"/>
        <v>3.1213191990577149E-2</v>
      </c>
      <c r="CB422" s="987">
        <f t="shared" si="1511"/>
        <v>2.5566531086577582E-2</v>
      </c>
      <c r="CC422" s="987">
        <f t="shared" si="1511"/>
        <v>2.9142857142857137E-2</v>
      </c>
      <c r="CD422" s="987">
        <f t="shared" si="1512"/>
        <v>3.7145793569226315E-2</v>
      </c>
      <c r="CE422" s="987">
        <f t="shared" si="1512"/>
        <v>3.2627361190612492E-2</v>
      </c>
      <c r="CF422" s="987">
        <f t="shared" si="1512"/>
        <v>3.6550542547115983E-2</v>
      </c>
      <c r="CG422" s="987">
        <f t="shared" si="1512"/>
        <v>2.9461756373937664E-2</v>
      </c>
      <c r="CH422" s="987">
        <f t="shared" si="1512"/>
        <v>1.1660188784008874E-2</v>
      </c>
      <c r="CI422" s="987">
        <f t="shared" si="1512"/>
        <v>2.7463193657984108E-2</v>
      </c>
      <c r="CJ422" s="987">
        <f t="shared" si="1512"/>
        <v>-1.7184035476718429E-2</v>
      </c>
      <c r="CK422" s="987">
        <f t="shared" si="1512"/>
        <v>-9.91735537190086E-3</v>
      </c>
      <c r="CL422" s="987">
        <f t="shared" si="1512"/>
        <v>3.302146395156802E-3</v>
      </c>
      <c r="CM422" s="987">
        <f t="shared" si="1512"/>
        <v>1.7563117453347932E-2</v>
      </c>
      <c r="CN422" s="987">
        <f t="shared" si="1512"/>
        <v>-1.515569027280228E-3</v>
      </c>
      <c r="CO422" s="987">
        <f t="shared" si="1512"/>
        <v>2.8200789622109479E-2</v>
      </c>
      <c r="CP422" s="987">
        <f t="shared" si="1512"/>
        <v>2.1702838063438978E-2</v>
      </c>
      <c r="CQ422" s="987">
        <f>CQ414/CN414-1</f>
        <v>1.9077748404678907E-2</v>
      </c>
      <c r="CR422" s="987">
        <f t="shared" si="1513"/>
        <v>1.6483483312343949E-2</v>
      </c>
      <c r="CS422" s="987">
        <f t="shared" si="1513"/>
        <v>1.7561958661689525E-2</v>
      </c>
      <c r="CT422" s="987">
        <f t="shared" si="1513"/>
        <v>1.8566309275635406E-2</v>
      </c>
      <c r="CU422" s="987">
        <f t="shared" si="1513"/>
        <v>1.6357344681189545E-2</v>
      </c>
      <c r="CV422" s="987">
        <f t="shared" si="1513"/>
        <v>1.5862489322293172E-2</v>
      </c>
      <c r="CW422" s="987">
        <f t="shared" si="1513"/>
        <v>1.5419981528267623E-2</v>
      </c>
      <c r="CX422" s="165"/>
      <c r="CY422" s="165"/>
      <c r="CZ422" s="165"/>
      <c r="DA422" s="165"/>
      <c r="DB422" s="165"/>
      <c r="DC422" s="165"/>
      <c r="DD422" s="165"/>
      <c r="DF422" s="235"/>
      <c r="DG422" s="261"/>
      <c r="DH422" s="261"/>
      <c r="DI422" s="261"/>
      <c r="DJ422" s="261"/>
      <c r="DK422" s="261"/>
      <c r="DL422" s="261"/>
      <c r="DM422" s="261"/>
      <c r="DN422" s="261"/>
      <c r="DO422" s="261"/>
      <c r="EU422" s="346"/>
      <c r="EV422" s="347"/>
    </row>
    <row r="423" spans="1:152">
      <c r="A423" s="280"/>
      <c r="B423" s="236"/>
      <c r="C423" s="236"/>
      <c r="D423" s="236"/>
      <c r="E423" s="236"/>
      <c r="F423" s="236"/>
      <c r="G423" s="236"/>
      <c r="H423" s="236"/>
      <c r="I423" s="236"/>
      <c r="J423" s="236"/>
      <c r="K423" s="236"/>
      <c r="L423" s="236"/>
      <c r="M423" s="236"/>
      <c r="N423" s="236"/>
      <c r="O423" s="236"/>
      <c r="P423" s="236"/>
      <c r="Q423" s="236"/>
      <c r="R423" s="236"/>
      <c r="S423" s="236"/>
      <c r="T423" s="236"/>
      <c r="U423" s="236"/>
      <c r="V423" s="236"/>
      <c r="W423" s="236"/>
      <c r="X423" s="236"/>
      <c r="Y423" s="236"/>
      <c r="Z423" s="236"/>
      <c r="AA423" s="236"/>
      <c r="AB423" s="236"/>
      <c r="AC423" s="236"/>
      <c r="AD423" s="236"/>
      <c r="AE423" s="236"/>
      <c r="AF423" s="236"/>
      <c r="AG423" s="236"/>
      <c r="AH423" s="236"/>
      <c r="AI423" s="236"/>
      <c r="AJ423" s="236"/>
      <c r="AK423" s="236"/>
      <c r="AL423" s="236"/>
      <c r="AM423" s="236"/>
      <c r="AN423" s="236"/>
      <c r="AO423" s="236"/>
      <c r="AP423" s="236"/>
      <c r="AQ423" s="236"/>
      <c r="AR423" s="236"/>
      <c r="AS423" s="236"/>
      <c r="AT423" s="236"/>
      <c r="AU423" s="236"/>
      <c r="AV423" s="236"/>
      <c r="AW423" s="236"/>
      <c r="AX423" s="236"/>
      <c r="AY423" s="236"/>
      <c r="AZ423" s="236"/>
      <c r="BA423" s="236"/>
      <c r="BB423" s="236"/>
      <c r="BC423" s="236"/>
      <c r="BD423" s="236"/>
      <c r="BE423" s="236"/>
      <c r="BF423" s="236"/>
      <c r="BG423" s="236"/>
      <c r="BH423" s="236"/>
      <c r="BI423" s="236"/>
      <c r="BJ423" s="236"/>
      <c r="BK423" s="236"/>
      <c r="BL423" s="236"/>
      <c r="BM423" s="236"/>
      <c r="BN423" s="236"/>
      <c r="BO423" s="236"/>
      <c r="BP423" s="236"/>
      <c r="BQ423" s="236"/>
      <c r="BR423" s="236"/>
      <c r="BS423" s="236"/>
      <c r="BT423" s="236"/>
      <c r="BU423" s="237"/>
      <c r="BV423" s="237"/>
      <c r="BW423" s="237"/>
      <c r="BX423" s="237"/>
      <c r="BY423" s="236"/>
      <c r="BZ423" s="237"/>
      <c r="CA423" s="237"/>
      <c r="CB423" s="237"/>
      <c r="CC423" s="237"/>
      <c r="CD423" s="236"/>
      <c r="CE423" s="237"/>
      <c r="CF423" s="237"/>
      <c r="CG423" s="237"/>
      <c r="CH423" s="237"/>
      <c r="CI423" s="236"/>
      <c r="CJ423" s="237"/>
      <c r="CK423" s="237"/>
      <c r="CL423" s="237"/>
      <c r="CM423" s="237"/>
      <c r="CN423" s="236"/>
      <c r="CO423" s="237"/>
      <c r="CP423" s="237"/>
      <c r="CQ423" s="236"/>
      <c r="CR423" s="236"/>
      <c r="CS423" s="236"/>
      <c r="CT423" s="236"/>
      <c r="CU423" s="236"/>
      <c r="CV423" s="236"/>
      <c r="CW423" s="236"/>
      <c r="CX423" s="159"/>
      <c r="CY423" s="159"/>
      <c r="CZ423" s="159"/>
      <c r="DA423" s="159"/>
      <c r="DB423" s="159"/>
      <c r="DC423" s="159"/>
      <c r="DD423" s="159"/>
      <c r="DF423" s="226"/>
      <c r="DG423" s="237"/>
      <c r="DH423" s="237"/>
      <c r="DI423" s="237"/>
      <c r="DJ423" s="237"/>
      <c r="DK423" s="237"/>
      <c r="DL423" s="237"/>
      <c r="DM423" s="237"/>
      <c r="DN423" s="237"/>
      <c r="DO423" s="237"/>
      <c r="EU423" s="286"/>
      <c r="EV423" s="287"/>
    </row>
    <row r="424" spans="1:152" ht="15" customHeight="1">
      <c r="A424" s="137" t="s">
        <v>646</v>
      </c>
      <c r="B424" s="712"/>
      <c r="C424" s="716"/>
      <c r="D424" s="716"/>
      <c r="E424" s="716"/>
      <c r="F424" s="716"/>
      <c r="G424" s="712"/>
      <c r="H424" s="716"/>
      <c r="I424" s="716"/>
      <c r="J424" s="716"/>
      <c r="K424" s="716"/>
      <c r="L424" s="716"/>
      <c r="M424" s="716"/>
      <c r="N424" s="716"/>
      <c r="O424" s="716"/>
      <c r="P424" s="716"/>
      <c r="Q424" s="716"/>
      <c r="R424" s="716"/>
      <c r="S424" s="716"/>
      <c r="T424" s="716"/>
      <c r="U424" s="716"/>
      <c r="V424" s="716"/>
      <c r="W424" s="716"/>
      <c r="X424" s="716"/>
      <c r="Y424" s="716"/>
      <c r="Z424" s="716"/>
      <c r="AA424" s="716"/>
      <c r="AB424" s="716"/>
      <c r="AC424" s="716"/>
      <c r="AD424" s="716"/>
      <c r="AE424" s="716"/>
      <c r="AF424" s="716"/>
      <c r="AG424" s="716"/>
      <c r="AH424" s="716"/>
      <c r="AI424" s="716"/>
      <c r="AJ424" s="716"/>
      <c r="AK424" s="716"/>
      <c r="AL424" s="716"/>
      <c r="AM424" s="716"/>
      <c r="AN424" s="716"/>
      <c r="AO424" s="716"/>
      <c r="AP424" s="716"/>
      <c r="AQ424" s="716"/>
      <c r="AR424" s="716"/>
      <c r="AS424" s="716"/>
      <c r="AT424" s="716"/>
      <c r="AU424" s="716"/>
      <c r="AV424" s="716"/>
      <c r="AW424" s="716"/>
      <c r="AX424" s="716"/>
      <c r="AY424" s="716"/>
      <c r="AZ424" s="716"/>
      <c r="BA424" s="716"/>
      <c r="BB424" s="716"/>
      <c r="BC424" s="716"/>
      <c r="BD424" s="716"/>
      <c r="BE424" s="716"/>
      <c r="BF424" s="716"/>
      <c r="BG424" s="716"/>
      <c r="BH424" s="716"/>
      <c r="BI424" s="716"/>
      <c r="BJ424" s="716"/>
      <c r="BK424" s="716"/>
      <c r="BL424" s="716"/>
      <c r="BM424" s="716"/>
      <c r="BN424" s="716"/>
      <c r="BO424" s="716"/>
      <c r="BP424" s="725">
        <f>'[3]Profit and Loss Highlights'!AM$26</f>
        <v>180</v>
      </c>
      <c r="BQ424" s="725">
        <f>'[3]Profit and Loss Highlights'!AN$26</f>
        <v>185</v>
      </c>
      <c r="BR424" s="725">
        <f>'[3]Profit and Loss Highlights'!AO$26</f>
        <v>186</v>
      </c>
      <c r="BS424" s="725">
        <f>'[3]Profit and Loss Highlights'!AP$26</f>
        <v>189</v>
      </c>
      <c r="BT424" s="694">
        <f>SUM(BP424:BS424)</f>
        <v>740</v>
      </c>
      <c r="BU424" s="725">
        <f>'[3]Profit and Loss Highlights'!AQ$26</f>
        <v>185</v>
      </c>
      <c r="BV424" s="725">
        <f>'[3]Profit and Loss Highlights'!AR$26</f>
        <v>185</v>
      </c>
      <c r="BW424" s="725">
        <f>'[3]Profit and Loss Highlights'!AS$26</f>
        <v>199</v>
      </c>
      <c r="BX424" s="725">
        <f>'[3]Profit and Loss Highlights'!AT$26</f>
        <v>207</v>
      </c>
      <c r="BY424" s="694">
        <f>SUM(BU424:BX424)</f>
        <v>776</v>
      </c>
      <c r="BZ424" s="725">
        <f>'[3]Profit and Loss Highlights'!AU$26</f>
        <v>200</v>
      </c>
      <c r="CA424" s="725">
        <f>'[3]Profit and Loss Highlights'!AV$26</f>
        <v>201</v>
      </c>
      <c r="CB424" s="725">
        <f>'[3]Profit and Loss Highlights'!AW$26</f>
        <v>200</v>
      </c>
      <c r="CC424" s="725">
        <f>'[3]Profit and Loss Highlights'!AX$26</f>
        <v>205</v>
      </c>
      <c r="CD424" s="694">
        <f>SUM(BZ424:CC424)</f>
        <v>806</v>
      </c>
      <c r="CE424" s="725">
        <f>'[3]Profit and Loss Highlights'!AY$26</f>
        <v>200</v>
      </c>
      <c r="CF424" s="725">
        <f>'[3]Profit and Loss Highlights'!AZ$26</f>
        <v>202</v>
      </c>
      <c r="CG424" s="725">
        <f>'[3]Profit and Loss Highlights'!BA$26</f>
        <v>209</v>
      </c>
      <c r="CH424" s="725">
        <f>'[3]Profit and Loss Highlights'!BB$26</f>
        <v>215</v>
      </c>
      <c r="CI424" s="694">
        <f>SUM(CE424:CH424)</f>
        <v>826</v>
      </c>
      <c r="CJ424" s="725">
        <f>'[3]Profit and Loss Highlights'!BC$26</f>
        <v>213</v>
      </c>
      <c r="CK424" s="725">
        <f>'[3]Profit and Loss Highlights'!BD$26</f>
        <v>207</v>
      </c>
      <c r="CL424" s="725">
        <f>'[3]Profit and Loss Highlights'!BE$26</f>
        <v>207</v>
      </c>
      <c r="CM424" s="725">
        <f>'[3]Profit and Loss Highlights'!BF$26</f>
        <v>214</v>
      </c>
      <c r="CN424" s="694">
        <f>SUM(CJ424:CM424)</f>
        <v>841</v>
      </c>
      <c r="CO424" s="725">
        <f>'[3]Profit and Loss Highlights'!BG$26</f>
        <v>211</v>
      </c>
      <c r="CP424" s="725">
        <f>'[3]Profit and Loss Highlights'!BH$26</f>
        <v>209</v>
      </c>
      <c r="CQ424" s="698"/>
      <c r="CR424" s="698"/>
      <c r="CS424" s="698"/>
      <c r="CT424" s="698"/>
      <c r="CU424" s="698"/>
      <c r="CV424" s="698"/>
      <c r="CW424" s="698"/>
      <c r="CX424" s="159"/>
      <c r="CY424" s="159"/>
      <c r="CZ424" s="159"/>
      <c r="DA424" s="159"/>
      <c r="DB424" s="159"/>
      <c r="DC424" s="165"/>
      <c r="DD424" s="165"/>
      <c r="DF424" s="226"/>
      <c r="DG424" s="237"/>
      <c r="DH424" s="237"/>
      <c r="DI424" s="237"/>
      <c r="DJ424" s="237"/>
      <c r="DK424" s="237"/>
      <c r="DL424" s="237"/>
      <c r="DM424" s="237"/>
      <c r="DN424" s="237"/>
      <c r="DO424" s="237"/>
      <c r="EU424" s="286"/>
      <c r="EV424" s="287"/>
    </row>
    <row r="425" spans="1:152" ht="15" customHeight="1">
      <c r="A425" s="137" t="s">
        <v>635</v>
      </c>
      <c r="B425" s="712"/>
      <c r="C425" s="716"/>
      <c r="D425" s="716"/>
      <c r="E425" s="716"/>
      <c r="F425" s="716"/>
      <c r="G425" s="712"/>
      <c r="H425" s="716"/>
      <c r="I425" s="716"/>
      <c r="J425" s="716"/>
      <c r="K425" s="716"/>
      <c r="L425" s="716"/>
      <c r="M425" s="716"/>
      <c r="N425" s="716"/>
      <c r="O425" s="716"/>
      <c r="P425" s="716"/>
      <c r="Q425" s="716"/>
      <c r="R425" s="716"/>
      <c r="S425" s="716"/>
      <c r="T425" s="716"/>
      <c r="U425" s="716"/>
      <c r="V425" s="716"/>
      <c r="W425" s="716"/>
      <c r="X425" s="716"/>
      <c r="Y425" s="716"/>
      <c r="Z425" s="716"/>
      <c r="AA425" s="716"/>
      <c r="AB425" s="716"/>
      <c r="AC425" s="716"/>
      <c r="AD425" s="716"/>
      <c r="AE425" s="716"/>
      <c r="AF425" s="716"/>
      <c r="AG425" s="716"/>
      <c r="AH425" s="716"/>
      <c r="AI425" s="716"/>
      <c r="AJ425" s="716"/>
      <c r="AK425" s="716"/>
      <c r="AL425" s="716"/>
      <c r="AM425" s="716"/>
      <c r="AN425" s="716"/>
      <c r="AO425" s="716"/>
      <c r="AP425" s="716"/>
      <c r="AQ425" s="716"/>
      <c r="AR425" s="716"/>
      <c r="AS425" s="716"/>
      <c r="AT425" s="716"/>
      <c r="AU425" s="716"/>
      <c r="AV425" s="716"/>
      <c r="AW425" s="716"/>
      <c r="AX425" s="716"/>
      <c r="AY425" s="716"/>
      <c r="AZ425" s="716"/>
      <c r="BA425" s="716"/>
      <c r="BB425" s="716"/>
      <c r="BC425" s="716"/>
      <c r="BD425" s="716"/>
      <c r="BE425" s="716"/>
      <c r="BF425" s="716"/>
      <c r="BG425" s="716"/>
      <c r="BH425" s="716"/>
      <c r="BI425" s="716"/>
      <c r="BJ425" s="716"/>
      <c r="BK425" s="716"/>
      <c r="BL425" s="716"/>
      <c r="BM425" s="716"/>
      <c r="BN425" s="716"/>
      <c r="BO425" s="716"/>
      <c r="BP425" s="725">
        <f>'[3]Profit and Loss Highlights'!AM$27</f>
        <v>188</v>
      </c>
      <c r="BQ425" s="725">
        <f>'[3]Profit and Loss Highlights'!AN$27</f>
        <v>186</v>
      </c>
      <c r="BR425" s="725">
        <f>'[3]Profit and Loss Highlights'!AO$27</f>
        <v>194</v>
      </c>
      <c r="BS425" s="725">
        <f>'[3]Profit and Loss Highlights'!AP$27</f>
        <v>210</v>
      </c>
      <c r="BT425" s="694">
        <f>SUM(BP425:BS425)</f>
        <v>778</v>
      </c>
      <c r="BU425" s="725">
        <f>'[3]Profit and Loss Highlights'!AQ$27</f>
        <v>203</v>
      </c>
      <c r="BV425" s="725">
        <f>'[3]Profit and Loss Highlights'!AR$27</f>
        <v>201</v>
      </c>
      <c r="BW425" s="725">
        <f>'[3]Profit and Loss Highlights'!AS$27</f>
        <v>188</v>
      </c>
      <c r="BX425" s="725">
        <f>'[3]Profit and Loss Highlights'!AT$27</f>
        <v>157</v>
      </c>
      <c r="BY425" s="694">
        <f>SUM(BU425:BX425)</f>
        <v>749</v>
      </c>
      <c r="BZ425" s="725">
        <f>'[3]Profit and Loss Highlights'!AU$27</f>
        <v>165</v>
      </c>
      <c r="CA425" s="725">
        <f>'[3]Profit and Loss Highlights'!AV$27</f>
        <v>161</v>
      </c>
      <c r="CB425" s="725">
        <f>'[3]Profit and Loss Highlights'!AW$27</f>
        <v>180</v>
      </c>
      <c r="CC425" s="725">
        <f>'[3]Profit and Loss Highlights'!AX$27</f>
        <v>196</v>
      </c>
      <c r="CD425" s="694">
        <f>SUM(BZ425:CC425)</f>
        <v>702</v>
      </c>
      <c r="CE425" s="725">
        <f>'[3]Profit and Loss Highlights'!AY$27</f>
        <v>187</v>
      </c>
      <c r="CF425" s="725">
        <f>'[3]Profit and Loss Highlights'!AZ$27</f>
        <v>199</v>
      </c>
      <c r="CG425" s="725">
        <f>'[3]Profit and Loss Highlights'!BA$27</f>
        <v>187</v>
      </c>
      <c r="CH425" s="725">
        <f>'[3]Profit and Loss Highlights'!BB$27</f>
        <v>211</v>
      </c>
      <c r="CI425" s="694">
        <f>SUM(CE425:CH425)</f>
        <v>784</v>
      </c>
      <c r="CJ425" s="725">
        <f>'[3]Profit and Loss Highlights'!BC$27</f>
        <v>185</v>
      </c>
      <c r="CK425" s="725">
        <f>'[3]Profit and Loss Highlights'!BD$27</f>
        <v>200</v>
      </c>
      <c r="CL425" s="725">
        <f>'[3]Profit and Loss Highlights'!BE$27</f>
        <v>211</v>
      </c>
      <c r="CM425" s="725">
        <f>'[3]Profit and Loss Highlights'!BF$27</f>
        <v>228</v>
      </c>
      <c r="CN425" s="694">
        <f>SUM(CJ425:CM425)</f>
        <v>824</v>
      </c>
      <c r="CO425" s="725">
        <f>'[3]Profit and Loss Highlights'!BG$27</f>
        <v>208</v>
      </c>
      <c r="CP425" s="725">
        <f>'[3]Profit and Loss Highlights'!BH$27</f>
        <v>207</v>
      </c>
      <c r="CQ425" s="698"/>
      <c r="CR425" s="698"/>
      <c r="CS425" s="698"/>
      <c r="CT425" s="698"/>
      <c r="CU425" s="698"/>
      <c r="CV425" s="698"/>
      <c r="CW425" s="698"/>
      <c r="CX425" s="159"/>
      <c r="CY425" s="159"/>
      <c r="CZ425" s="159"/>
      <c r="DA425" s="159"/>
      <c r="DB425" s="159"/>
      <c r="DC425" s="165"/>
      <c r="DD425" s="165"/>
      <c r="DF425" s="226"/>
      <c r="DG425" s="237"/>
      <c r="DH425" s="237"/>
      <c r="DI425" s="237"/>
      <c r="DJ425" s="237"/>
      <c r="DK425" s="237"/>
      <c r="DL425" s="237"/>
      <c r="DM425" s="237"/>
      <c r="DN425" s="237"/>
      <c r="DO425" s="237"/>
      <c r="EU425" s="286"/>
      <c r="EV425" s="287"/>
    </row>
    <row r="426" spans="1:152" ht="15" customHeight="1">
      <c r="A426" s="139" t="s">
        <v>647</v>
      </c>
      <c r="B426" s="732"/>
      <c r="C426" s="733"/>
      <c r="D426" s="733"/>
      <c r="E426" s="733"/>
      <c r="F426" s="733"/>
      <c r="G426" s="732"/>
      <c r="H426" s="733"/>
      <c r="I426" s="733"/>
      <c r="J426" s="733"/>
      <c r="K426" s="733"/>
      <c r="L426" s="733"/>
      <c r="M426" s="733"/>
      <c r="N426" s="733"/>
      <c r="O426" s="733"/>
      <c r="P426" s="733"/>
      <c r="Q426" s="733"/>
      <c r="R426" s="733"/>
      <c r="S426" s="733"/>
      <c r="T426" s="733"/>
      <c r="U426" s="733"/>
      <c r="V426" s="733"/>
      <c r="W426" s="733"/>
      <c r="X426" s="733"/>
      <c r="Y426" s="733"/>
      <c r="Z426" s="733"/>
      <c r="AA426" s="733"/>
      <c r="AB426" s="733"/>
      <c r="AC426" s="733"/>
      <c r="AD426" s="733"/>
      <c r="AE426" s="733"/>
      <c r="AF426" s="733"/>
      <c r="AG426" s="733"/>
      <c r="AH426" s="733"/>
      <c r="AI426" s="733"/>
      <c r="AJ426" s="733"/>
      <c r="AK426" s="733"/>
      <c r="AL426" s="733"/>
      <c r="AM426" s="733"/>
      <c r="AN426" s="733"/>
      <c r="AO426" s="733"/>
      <c r="AP426" s="733"/>
      <c r="AQ426" s="733"/>
      <c r="AR426" s="733"/>
      <c r="AS426" s="733"/>
      <c r="AT426" s="733"/>
      <c r="AU426" s="733"/>
      <c r="AV426" s="733"/>
      <c r="AW426" s="733"/>
      <c r="AX426" s="733"/>
      <c r="AY426" s="733"/>
      <c r="AZ426" s="733"/>
      <c r="BA426" s="733"/>
      <c r="BB426" s="733"/>
      <c r="BC426" s="733"/>
      <c r="BD426" s="733"/>
      <c r="BE426" s="733"/>
      <c r="BF426" s="733"/>
      <c r="BG426" s="733"/>
      <c r="BH426" s="733"/>
      <c r="BI426" s="733"/>
      <c r="BJ426" s="733"/>
      <c r="BK426" s="733"/>
      <c r="BL426" s="733"/>
      <c r="BM426" s="733"/>
      <c r="BN426" s="733"/>
      <c r="BO426" s="733"/>
      <c r="BP426" s="734">
        <f>'[3]Profit and Loss Highlights'!AM$28</f>
        <v>368</v>
      </c>
      <c r="BQ426" s="734">
        <f>'[3]Profit and Loss Highlights'!AN$28</f>
        <v>371</v>
      </c>
      <c r="BR426" s="734">
        <f>'[3]Profit and Loss Highlights'!AO$28</f>
        <v>380</v>
      </c>
      <c r="BS426" s="734">
        <f>'[3]Profit and Loss Highlights'!AP$28</f>
        <v>399</v>
      </c>
      <c r="BT426" s="700">
        <f>SUM(BP426:BS426)</f>
        <v>1518</v>
      </c>
      <c r="BU426" s="734">
        <f>'[3]Profit and Loss Highlights'!AQ$28</f>
        <v>388</v>
      </c>
      <c r="BV426" s="734">
        <f>'[3]Profit and Loss Highlights'!AR$28</f>
        <v>386</v>
      </c>
      <c r="BW426" s="734">
        <f>'[3]Profit and Loss Highlights'!AS$28</f>
        <v>387</v>
      </c>
      <c r="BX426" s="734">
        <f>'[3]Profit and Loss Highlights'!AT$28</f>
        <v>364</v>
      </c>
      <c r="BY426" s="700">
        <f>SUM(BU426:BX426)</f>
        <v>1525</v>
      </c>
      <c r="BZ426" s="734">
        <f>'[3]Profit and Loss Highlights'!AU$28</f>
        <v>365</v>
      </c>
      <c r="CA426" s="734">
        <f>'[3]Profit and Loss Highlights'!AV$28</f>
        <v>362</v>
      </c>
      <c r="CB426" s="734">
        <f>'[3]Profit and Loss Highlights'!AW$28</f>
        <v>380</v>
      </c>
      <c r="CC426" s="734">
        <f>'[3]Profit and Loss Highlights'!AX$28</f>
        <v>401</v>
      </c>
      <c r="CD426" s="700">
        <f>SUM(BZ426:CC426)</f>
        <v>1508</v>
      </c>
      <c r="CE426" s="734">
        <f>'[3]Profit and Loss Highlights'!AY$28</f>
        <v>387</v>
      </c>
      <c r="CF426" s="734">
        <f>'[3]Profit and Loss Highlights'!AZ$28</f>
        <v>401</v>
      </c>
      <c r="CG426" s="734">
        <f>'[3]Profit and Loss Highlights'!BA$28</f>
        <v>396</v>
      </c>
      <c r="CH426" s="734">
        <f>'[3]Profit and Loss Highlights'!BB$28</f>
        <v>426</v>
      </c>
      <c r="CI426" s="700">
        <f>SUM(CE426:CH426)</f>
        <v>1610</v>
      </c>
      <c r="CJ426" s="734">
        <f>'[3]Profit and Loss Highlights'!BC$28</f>
        <v>398</v>
      </c>
      <c r="CK426" s="734">
        <f>'[3]Profit and Loss Highlights'!BD$28</f>
        <v>407</v>
      </c>
      <c r="CL426" s="734">
        <f>'[3]Profit and Loss Highlights'!BE$28</f>
        <v>418</v>
      </c>
      <c r="CM426" s="734">
        <f>'[3]Profit and Loss Highlights'!BF$28</f>
        <v>442</v>
      </c>
      <c r="CN426" s="700">
        <f>SUM(CJ426:CM426)</f>
        <v>1665</v>
      </c>
      <c r="CO426" s="734">
        <f>'[3]Profit and Loss Highlights'!BG$28</f>
        <v>419</v>
      </c>
      <c r="CP426" s="734">
        <f>'[3]Profit and Loss Highlights'!BH$28</f>
        <v>416</v>
      </c>
      <c r="CQ426" s="689">
        <f t="shared" ref="CQ426:CW426" si="1514">CQ280</f>
        <v>1669.1624999999999</v>
      </c>
      <c r="CR426" s="689">
        <f t="shared" si="1514"/>
        <v>1752.620625</v>
      </c>
      <c r="CS426" s="689">
        <f t="shared" si="1514"/>
        <v>1840.25165625</v>
      </c>
      <c r="CT426" s="689">
        <f t="shared" si="1514"/>
        <v>1932.2642390625001</v>
      </c>
      <c r="CU426" s="689">
        <f t="shared" si="1514"/>
        <v>2028.8774510156252</v>
      </c>
      <c r="CV426" s="689">
        <f t="shared" si="1514"/>
        <v>2130.3213235664066</v>
      </c>
      <c r="CW426" s="689">
        <f t="shared" si="1514"/>
        <v>2236.8373897447268</v>
      </c>
      <c r="CX426" s="159"/>
      <c r="CY426" s="159" t="s">
        <v>680</v>
      </c>
      <c r="CZ426" s="159"/>
      <c r="DA426" s="159"/>
      <c r="DB426" s="159"/>
      <c r="DC426" s="165"/>
      <c r="DD426" s="165"/>
      <c r="DF426" s="226"/>
      <c r="DG426" s="237"/>
      <c r="DH426" s="237"/>
      <c r="DI426" s="237"/>
      <c r="DJ426" s="237"/>
      <c r="DK426" s="237"/>
      <c r="DL426" s="237"/>
      <c r="DM426" s="237"/>
      <c r="DN426" s="237"/>
      <c r="DO426" s="237"/>
      <c r="EU426" s="286"/>
      <c r="EV426" s="287"/>
    </row>
    <row r="427" spans="1:152">
      <c r="A427" s="280" t="s">
        <v>64</v>
      </c>
      <c r="B427" s="236"/>
      <c r="C427" s="236"/>
      <c r="D427" s="236"/>
      <c r="E427" s="236"/>
      <c r="F427" s="236"/>
      <c r="G427" s="236"/>
      <c r="H427" s="236"/>
      <c r="I427" s="236"/>
      <c r="J427" s="236"/>
      <c r="K427" s="236"/>
      <c r="L427" s="236"/>
      <c r="M427" s="236"/>
      <c r="N427" s="236"/>
      <c r="O427" s="236"/>
      <c r="P427" s="236"/>
      <c r="Q427" s="236"/>
      <c r="R427" s="236"/>
      <c r="S427" s="236"/>
      <c r="T427" s="236"/>
      <c r="U427" s="236"/>
      <c r="V427" s="236"/>
      <c r="W427" s="236"/>
      <c r="X427" s="236"/>
      <c r="Y427" s="236"/>
      <c r="Z427" s="236"/>
      <c r="AA427" s="236"/>
      <c r="AB427" s="236"/>
      <c r="AC427" s="236"/>
      <c r="AD427" s="236"/>
      <c r="AE427" s="236"/>
      <c r="AF427" s="236"/>
      <c r="AG427" s="236"/>
      <c r="AH427" s="236"/>
      <c r="AI427" s="236"/>
      <c r="AJ427" s="236"/>
      <c r="AK427" s="236"/>
      <c r="AL427" s="236"/>
      <c r="AM427" s="236"/>
      <c r="AN427" s="236"/>
      <c r="AO427" s="236"/>
      <c r="AP427" s="236"/>
      <c r="AQ427" s="236"/>
      <c r="AR427" s="236"/>
      <c r="AS427" s="236"/>
      <c r="AT427" s="236"/>
      <c r="AU427" s="236"/>
      <c r="AV427" s="236"/>
      <c r="AW427" s="236"/>
      <c r="AX427" s="236"/>
      <c r="AY427" s="236"/>
      <c r="AZ427" s="236"/>
      <c r="BA427" s="236"/>
      <c r="BB427" s="236"/>
      <c r="BC427" s="236"/>
      <c r="BD427" s="236"/>
      <c r="BE427" s="236"/>
      <c r="BF427" s="236"/>
      <c r="BG427" s="236"/>
      <c r="BH427" s="236"/>
      <c r="BI427" s="236"/>
      <c r="BJ427" s="236"/>
      <c r="BK427" s="236"/>
      <c r="BL427" s="236"/>
      <c r="BM427" s="236"/>
      <c r="BN427" s="236"/>
      <c r="BO427" s="236"/>
      <c r="BP427" s="236"/>
      <c r="BQ427" s="236"/>
      <c r="BR427" s="236"/>
      <c r="BS427" s="236"/>
      <c r="BT427" s="236"/>
      <c r="BU427" s="237">
        <f t="shared" ref="BU427" si="1515">BU426/BP426-1</f>
        <v>5.4347826086956541E-2</v>
      </c>
      <c r="BV427" s="237">
        <f t="shared" ref="BV427" si="1516">BV426/BQ426-1</f>
        <v>4.0431266846361114E-2</v>
      </c>
      <c r="BW427" s="237">
        <f t="shared" ref="BW427" si="1517">BW426/BR426-1</f>
        <v>1.8421052631578894E-2</v>
      </c>
      <c r="BX427" s="237">
        <f t="shared" ref="BX427" si="1518">BX426/BS426-1</f>
        <v>-8.7719298245614086E-2</v>
      </c>
      <c r="BY427" s="236">
        <f t="shared" ref="BY427" si="1519">BY426/BT426-1</f>
        <v>4.6113306982871194E-3</v>
      </c>
      <c r="BZ427" s="237">
        <f t="shared" ref="BZ427" si="1520">BZ426/BU426-1</f>
        <v>-5.9278350515463929E-2</v>
      </c>
      <c r="CA427" s="237">
        <f t="shared" ref="CA427" si="1521">CA426/BV426-1</f>
        <v>-6.2176165803108807E-2</v>
      </c>
      <c r="CB427" s="237">
        <f t="shared" ref="CB427" si="1522">CB426/BW426-1</f>
        <v>-1.8087855297157618E-2</v>
      </c>
      <c r="CC427" s="237">
        <f t="shared" ref="CC427:CP427" si="1523">CC426/BX426-1</f>
        <v>0.10164835164835173</v>
      </c>
      <c r="CD427" s="236">
        <f t="shared" ref="CD427" si="1524">CD426/BY426-1</f>
        <v>-1.1147540983606596E-2</v>
      </c>
      <c r="CE427" s="237">
        <f t="shared" si="1523"/>
        <v>6.02739726027397E-2</v>
      </c>
      <c r="CF427" s="237">
        <f t="shared" si="1523"/>
        <v>0.10773480662983426</v>
      </c>
      <c r="CG427" s="237">
        <f t="shared" si="1523"/>
        <v>4.2105263157894646E-2</v>
      </c>
      <c r="CH427" s="237">
        <f t="shared" si="1523"/>
        <v>6.2344139650872821E-2</v>
      </c>
      <c r="CI427" s="236">
        <f t="shared" si="1523"/>
        <v>6.7639257294429767E-2</v>
      </c>
      <c r="CJ427" s="237">
        <f t="shared" si="1523"/>
        <v>2.8423772609819098E-2</v>
      </c>
      <c r="CK427" s="237">
        <f t="shared" si="1523"/>
        <v>1.4962593516209433E-2</v>
      </c>
      <c r="CL427" s="237">
        <f t="shared" si="1523"/>
        <v>5.555555555555558E-2</v>
      </c>
      <c r="CM427" s="237">
        <f t="shared" si="1523"/>
        <v>3.7558685446009488E-2</v>
      </c>
      <c r="CN427" s="236">
        <f t="shared" si="1523"/>
        <v>3.4161490683229712E-2</v>
      </c>
      <c r="CO427" s="237">
        <f t="shared" si="1523"/>
        <v>5.2763819095477338E-2</v>
      </c>
      <c r="CP427" s="237">
        <f t="shared" si="1523"/>
        <v>2.2113022113022129E-2</v>
      </c>
      <c r="CQ427" s="236">
        <f>CQ426/CN426-1</f>
        <v>2.4999999999999467E-3</v>
      </c>
      <c r="CR427" s="236">
        <f t="shared" ref="CR427" si="1525">CR426/CQ426-1</f>
        <v>5.0000000000000044E-2</v>
      </c>
      <c r="CS427" s="236">
        <f t="shared" ref="CS427" si="1526">CS426/CR426-1</f>
        <v>5.0000000000000044E-2</v>
      </c>
      <c r="CT427" s="236">
        <f t="shared" ref="CT427" si="1527">CT426/CS426-1</f>
        <v>5.0000000000000044E-2</v>
      </c>
      <c r="CU427" s="236">
        <f t="shared" ref="CU427" si="1528">CU426/CT426-1</f>
        <v>5.0000000000000044E-2</v>
      </c>
      <c r="CV427" s="236">
        <f t="shared" ref="CV427" si="1529">CV426/CU426-1</f>
        <v>5.0000000000000044E-2</v>
      </c>
      <c r="CW427" s="236">
        <f t="shared" ref="CW427" si="1530">CW426/CV426-1</f>
        <v>5.0000000000000044E-2</v>
      </c>
      <c r="CX427" s="159"/>
      <c r="CY427" s="159"/>
      <c r="CZ427" s="159"/>
      <c r="DA427" s="159"/>
      <c r="DB427" s="159"/>
      <c r="DC427" s="159"/>
      <c r="DD427" s="159"/>
      <c r="DF427" s="226"/>
      <c r="DG427" s="237"/>
      <c r="DH427" s="237"/>
      <c r="DI427" s="237"/>
      <c r="DJ427" s="237"/>
      <c r="DK427" s="237"/>
      <c r="DL427" s="237"/>
      <c r="DM427" s="237"/>
      <c r="DN427" s="237"/>
      <c r="DO427" s="237"/>
      <c r="EU427" s="286"/>
      <c r="EV427" s="287"/>
    </row>
    <row r="428" spans="1:152" ht="15" customHeight="1">
      <c r="A428" s="226"/>
      <c r="B428" s="262"/>
      <c r="C428" s="236"/>
      <c r="D428" s="236"/>
      <c r="E428" s="236"/>
      <c r="F428" s="236"/>
      <c r="G428" s="262"/>
      <c r="H428" s="236"/>
      <c r="I428" s="236"/>
      <c r="J428" s="236"/>
      <c r="K428" s="236"/>
      <c r="L428" s="236"/>
      <c r="M428" s="236"/>
      <c r="N428" s="236"/>
      <c r="O428" s="236"/>
      <c r="P428" s="236"/>
      <c r="Q428" s="236"/>
      <c r="R428" s="236"/>
      <c r="S428" s="236"/>
      <c r="T428" s="236"/>
      <c r="U428" s="236"/>
      <c r="V428" s="236"/>
      <c r="W428" s="236"/>
      <c r="X428" s="236"/>
      <c r="Y428" s="236"/>
      <c r="Z428" s="236"/>
      <c r="AA428" s="236"/>
      <c r="AB428" s="236"/>
      <c r="AC428" s="236"/>
      <c r="AD428" s="236"/>
      <c r="AE428" s="236"/>
      <c r="AF428" s="236"/>
      <c r="AG428" s="236"/>
      <c r="AH428" s="236"/>
      <c r="AI428" s="236"/>
      <c r="AJ428" s="236"/>
      <c r="AK428" s="236"/>
      <c r="AL428" s="236"/>
      <c r="AM428" s="236"/>
      <c r="AN428" s="236"/>
      <c r="AO428" s="236"/>
      <c r="AP428" s="236"/>
      <c r="AQ428" s="236"/>
      <c r="AR428" s="236"/>
      <c r="AS428" s="236"/>
      <c r="AT428" s="236"/>
      <c r="AU428" s="236"/>
      <c r="AV428" s="236"/>
      <c r="AW428" s="236"/>
      <c r="AX428" s="236"/>
      <c r="AY428" s="236"/>
      <c r="AZ428" s="236"/>
      <c r="BA428" s="236"/>
      <c r="BB428" s="236"/>
      <c r="BC428" s="236"/>
      <c r="BD428" s="236"/>
      <c r="BE428" s="236"/>
      <c r="BF428" s="236"/>
      <c r="BG428" s="236"/>
      <c r="BH428" s="236"/>
      <c r="BI428" s="236"/>
      <c r="BJ428" s="236"/>
      <c r="BK428" s="236"/>
      <c r="BL428" s="236"/>
      <c r="BM428" s="236"/>
      <c r="BN428" s="236"/>
      <c r="BO428" s="236"/>
      <c r="BP428" s="236"/>
      <c r="BQ428" s="236"/>
      <c r="BR428" s="236"/>
      <c r="BS428" s="236"/>
      <c r="BT428" s="236"/>
      <c r="BU428" s="237"/>
      <c r="BV428" s="237"/>
      <c r="BW428" s="237"/>
      <c r="BX428" s="237"/>
      <c r="BY428" s="236"/>
      <c r="BZ428" s="237"/>
      <c r="CA428" s="237"/>
      <c r="CB428" s="237"/>
      <c r="CC428" s="237"/>
      <c r="CD428" s="236"/>
      <c r="CE428" s="237"/>
      <c r="CF428" s="237"/>
      <c r="CG428" s="237"/>
      <c r="CH428" s="237"/>
      <c r="CI428" s="236"/>
      <c r="CJ428" s="237"/>
      <c r="CK428" s="237"/>
      <c r="CL428" s="237"/>
      <c r="CM428" s="237"/>
      <c r="CN428" s="236"/>
      <c r="CO428" s="237"/>
      <c r="CP428" s="237"/>
      <c r="CQ428" s="167"/>
      <c r="CR428" s="167"/>
      <c r="CS428" s="167"/>
      <c r="CT428" s="167"/>
      <c r="CU428" s="167"/>
      <c r="CV428" s="167"/>
      <c r="CW428" s="167"/>
      <c r="CX428" s="159"/>
      <c r="CY428" s="159"/>
      <c r="CZ428" s="159"/>
      <c r="DA428" s="159"/>
      <c r="DB428" s="159"/>
      <c r="DC428" s="165"/>
      <c r="DD428" s="165"/>
      <c r="DF428" s="226"/>
      <c r="DG428" s="237"/>
      <c r="DH428" s="237"/>
      <c r="DI428" s="237"/>
      <c r="DJ428" s="237"/>
      <c r="DK428" s="237"/>
      <c r="DL428" s="237"/>
      <c r="DM428" s="237"/>
      <c r="DN428" s="237"/>
      <c r="DO428" s="237"/>
      <c r="EU428" s="286"/>
      <c r="EV428" s="287"/>
    </row>
    <row r="429" spans="1:152">
      <c r="A429" s="283" t="s">
        <v>448</v>
      </c>
      <c r="B429" s="735"/>
      <c r="C429" s="735"/>
      <c r="D429" s="735"/>
      <c r="E429" s="735"/>
      <c r="F429" s="735"/>
      <c r="G429" s="735"/>
      <c r="H429" s="735"/>
      <c r="I429" s="735"/>
      <c r="J429" s="735"/>
      <c r="K429" s="735"/>
      <c r="L429" s="735"/>
      <c r="M429" s="735"/>
      <c r="N429" s="735"/>
      <c r="O429" s="735"/>
      <c r="P429" s="735"/>
      <c r="Q429" s="735"/>
      <c r="R429" s="735"/>
      <c r="S429" s="735"/>
      <c r="T429" s="735"/>
      <c r="U429" s="735"/>
      <c r="V429" s="735"/>
      <c r="W429" s="734">
        <f>'[3]Profit and Loss Highlights'!C$30</f>
        <v>2089</v>
      </c>
      <c r="X429" s="734">
        <f>'[3]Profit and Loss Highlights'!D$30</f>
        <v>2144</v>
      </c>
      <c r="Y429" s="734">
        <f>'[3]Profit and Loss Highlights'!E$30</f>
        <v>2128</v>
      </c>
      <c r="Z429" s="734">
        <f>'[3]Profit and Loss Highlights'!F$30</f>
        <v>2177</v>
      </c>
      <c r="AA429" s="700">
        <f>SUM(W429:Z429)</f>
        <v>8538</v>
      </c>
      <c r="AB429" s="734">
        <f>'[3]Profit and Loss Highlights'!G$30</f>
        <v>2143</v>
      </c>
      <c r="AC429" s="734">
        <f>'[3]Profit and Loss Highlights'!$C29</f>
        <v>0</v>
      </c>
      <c r="AD429" s="734">
        <f>'[3]Profit and Loss Highlights'!$C29</f>
        <v>0</v>
      </c>
      <c r="AE429" s="734">
        <f>'[3]Profit and Loss Highlights'!$C29</f>
        <v>0</v>
      </c>
      <c r="AF429" s="700">
        <f>SUM(AB429:AE429)</f>
        <v>2143</v>
      </c>
      <c r="AG429" s="734">
        <f>'[3]Profit and Loss Highlights'!K$30</f>
        <v>2037</v>
      </c>
      <c r="AH429" s="734">
        <f>'[3]Profit and Loss Highlights'!L$30</f>
        <v>2046</v>
      </c>
      <c r="AI429" s="734">
        <f>'[3]Profit and Loss Highlights'!M$30</f>
        <v>2041</v>
      </c>
      <c r="AJ429" s="734">
        <f>'[3]Profit and Loss Highlights'!N$30</f>
        <v>2090</v>
      </c>
      <c r="AK429" s="700">
        <f>SUM(AG429:AJ429)</f>
        <v>8214</v>
      </c>
      <c r="AL429" s="734">
        <f>'[3]Profit and Loss Highlights'!O$30</f>
        <v>2122</v>
      </c>
      <c r="AM429" s="734">
        <f>'[3]Profit and Loss Highlights'!P$30</f>
        <v>2089</v>
      </c>
      <c r="AN429" s="734">
        <f>'[3]Profit and Loss Highlights'!Q$30</f>
        <v>2154</v>
      </c>
      <c r="AO429" s="734">
        <f>'[3]Profit and Loss Highlights'!R$30</f>
        <v>2155</v>
      </c>
      <c r="AP429" s="700">
        <f>SUM(AL429:AO429)</f>
        <v>8520</v>
      </c>
      <c r="AQ429" s="734">
        <f>'[3]Profit and Loss Highlights'!S$30</f>
        <v>2122</v>
      </c>
      <c r="AR429" s="734">
        <f>'[3]Profit and Loss Highlights'!T$30</f>
        <v>2055</v>
      </c>
      <c r="AS429" s="734">
        <f>'[3]Profit and Loss Highlights'!U$30</f>
        <v>2113</v>
      </c>
      <c r="AT429" s="734">
        <f>'[3]Profit and Loss Highlights'!V$30</f>
        <v>2165</v>
      </c>
      <c r="AU429" s="700">
        <f>SUM(AQ429:AT429)</f>
        <v>8455</v>
      </c>
      <c r="AV429" s="734">
        <f>'[3]Profit and Loss Highlights'!W$30</f>
        <v>2076</v>
      </c>
      <c r="AW429" s="734">
        <f>'[3]Profit and Loss Highlights'!X$30</f>
        <v>2069</v>
      </c>
      <c r="AX429" s="734">
        <f>'[3]Profit and Loss Highlights'!Y$30</f>
        <v>2090</v>
      </c>
      <c r="AY429" s="734">
        <f>'[3]Profit and Loss Highlights'!Z$30</f>
        <v>2036</v>
      </c>
      <c r="AZ429" s="700">
        <f>SUM(AV429:AY429)</f>
        <v>8271</v>
      </c>
      <c r="BA429" s="734">
        <f>'[3]Profit and Loss Highlights'!AA$30</f>
        <v>1980</v>
      </c>
      <c r="BB429" s="734">
        <f>'[3]Profit and Loss Highlights'!AB$30</f>
        <v>2013</v>
      </c>
      <c r="BC429" s="734">
        <f>'[3]Profit and Loss Highlights'!AC$30</f>
        <v>2027</v>
      </c>
      <c r="BD429" s="734">
        <f>'[3]Profit and Loss Highlights'!AD$30</f>
        <v>2048</v>
      </c>
      <c r="BE429" s="700">
        <f>SUM(BA429:BD429)</f>
        <v>8068</v>
      </c>
      <c r="BF429" s="734">
        <f>'[3]Profit and Loss Highlights'!AE$30</f>
        <v>1947</v>
      </c>
      <c r="BG429" s="734">
        <f>'[3]Profit and Loss Highlights'!AF$30</f>
        <v>1918</v>
      </c>
      <c r="BH429" s="734">
        <f>'[3]Profit and Loss Highlights'!AG$30</f>
        <v>1940</v>
      </c>
      <c r="BI429" s="734">
        <f>'[3]Profit and Loss Highlights'!AH$30</f>
        <v>1992</v>
      </c>
      <c r="BJ429" s="700">
        <f>SUM(BF429:BI429)</f>
        <v>7797</v>
      </c>
      <c r="BK429" s="734">
        <f>'[3]Profit and Loss Highlights'!AI$30</f>
        <v>1940</v>
      </c>
      <c r="BL429" s="734">
        <f>'[3]Profit and Loss Highlights'!AJ$30</f>
        <v>1900</v>
      </c>
      <c r="BM429" s="734">
        <f>'[3]Profit and Loss Highlights'!AK$30</f>
        <v>1940</v>
      </c>
      <c r="BN429" s="734">
        <f>'[3]Profit and Loss Highlights'!AL$30</f>
        <v>1945</v>
      </c>
      <c r="BO429" s="700">
        <f>SUM(BK429:BN429)</f>
        <v>7725</v>
      </c>
      <c r="BP429" s="734">
        <f>'[3]Profit and Loss Highlights'!AM$30</f>
        <v>1971</v>
      </c>
      <c r="BQ429" s="734">
        <f>'[3]Profit and Loss Highlights'!AN$30</f>
        <v>1997</v>
      </c>
      <c r="BR429" s="734">
        <f>'[3]Profit and Loss Highlights'!AO$30</f>
        <v>2033</v>
      </c>
      <c r="BS429" s="734">
        <f>'[3]Profit and Loss Highlights'!AP$30</f>
        <v>2016</v>
      </c>
      <c r="BT429" s="700">
        <f>SUM(BP429:BS429)</f>
        <v>8017</v>
      </c>
      <c r="BU429" s="734">
        <f>'[3]Profit and Loss Highlights'!AQ$30</f>
        <v>2030</v>
      </c>
      <c r="BV429" s="734">
        <f>'[3]Profit and Loss Highlights'!AR$30</f>
        <v>2084</v>
      </c>
      <c r="BW429" s="734">
        <f>'[3]Profit and Loss Highlights'!AS$30</f>
        <v>2108</v>
      </c>
      <c r="BX429" s="734">
        <f>'[3]Profit and Loss Highlights'!AT$30</f>
        <v>2114</v>
      </c>
      <c r="BY429" s="700">
        <f>SUM(BU429:BX429)</f>
        <v>8336</v>
      </c>
      <c r="BZ429" s="734">
        <f>'[3]Profit and Loss Highlights'!AU$30</f>
        <v>2112</v>
      </c>
      <c r="CA429" s="734">
        <f>'[3]Profit and Loss Highlights'!AV$30</f>
        <v>2113</v>
      </c>
      <c r="CB429" s="734">
        <f>'[3]Profit and Loss Highlights'!AW$30</f>
        <v>2145</v>
      </c>
      <c r="CC429" s="734">
        <f>'[3]Profit and Loss Highlights'!AX$30</f>
        <v>2202</v>
      </c>
      <c r="CD429" s="700">
        <f>SUM(BZ429:CC429)</f>
        <v>8572</v>
      </c>
      <c r="CE429" s="734">
        <f>'[3]Profit and Loss Highlights'!AY$30</f>
        <v>2191</v>
      </c>
      <c r="CF429" s="734">
        <f>'[3]Profit and Loss Highlights'!AZ$30</f>
        <v>2216</v>
      </c>
      <c r="CG429" s="734">
        <f>'[3]Profit and Loss Highlights'!BA$30</f>
        <v>2213</v>
      </c>
      <c r="CH429" s="734">
        <f>'[3]Profit and Loss Highlights'!BB$30</f>
        <v>2248</v>
      </c>
      <c r="CI429" s="700">
        <f>SUM(CE429:CH429)</f>
        <v>8868</v>
      </c>
      <c r="CJ429" s="734">
        <f>'[3]Profit and Loss Highlights'!BC$30</f>
        <v>2171</v>
      </c>
      <c r="CK429" s="734">
        <f>'[3]Profit and Loss Highlights'!BD$30</f>
        <v>2204</v>
      </c>
      <c r="CL429" s="734">
        <f>'[3]Profit and Loss Highlights'!BE$30</f>
        <v>2241</v>
      </c>
      <c r="CM429" s="734">
        <f>'[3]Profit and Loss Highlights'!BF$30</f>
        <v>2296</v>
      </c>
      <c r="CN429" s="700">
        <f>SUM(CJ429:CM429)</f>
        <v>8912</v>
      </c>
      <c r="CO429" s="734">
        <f>'[3]Profit and Loss Highlights'!BG$30</f>
        <v>2242</v>
      </c>
      <c r="CP429" s="734">
        <f>'[3]Profit and Loss Highlights'!BH$30</f>
        <v>2252</v>
      </c>
      <c r="CQ429" s="689">
        <f>CQ414+CQ426</f>
        <v>9054.4189426887078</v>
      </c>
      <c r="CR429" s="689">
        <f t="shared" ref="CR429:CW429" si="1531">CR414+CR426</f>
        <v>9259.6118190191482</v>
      </c>
      <c r="CS429" s="689">
        <f t="shared" si="1531"/>
        <v>9479.0803192921794</v>
      </c>
      <c r="CT429" s="689">
        <f t="shared" si="1531"/>
        <v>9712.9177575663107</v>
      </c>
      <c r="CU429" s="689">
        <f t="shared" si="1531"/>
        <v>9936.801800966512</v>
      </c>
      <c r="CV429" s="689">
        <f t="shared" si="1531"/>
        <v>10163.685039079892</v>
      </c>
      <c r="CW429" s="689">
        <f t="shared" si="1531"/>
        <v>10394.075425361285</v>
      </c>
      <c r="CX429" s="159"/>
      <c r="CY429" s="159"/>
      <c r="CZ429" s="159"/>
      <c r="DA429" s="159"/>
      <c r="DB429" s="159"/>
      <c r="DC429" s="159"/>
      <c r="DD429" s="159"/>
      <c r="DF429" s="226"/>
      <c r="DG429" s="237"/>
      <c r="DH429" s="237"/>
      <c r="DI429" s="237"/>
      <c r="DJ429" s="237"/>
      <c r="DK429" s="237"/>
      <c r="DL429" s="237"/>
      <c r="DM429" s="237"/>
      <c r="DN429" s="237"/>
      <c r="DO429" s="237"/>
      <c r="EU429" s="286"/>
      <c r="EV429" s="287"/>
    </row>
    <row r="430" spans="1:152">
      <c r="A430" s="280" t="s">
        <v>64</v>
      </c>
      <c r="B430" s="348"/>
      <c r="C430" s="348"/>
      <c r="D430" s="348"/>
      <c r="E430" s="348"/>
      <c r="F430" s="348"/>
      <c r="G430" s="348"/>
      <c r="H430" s="348"/>
      <c r="I430" s="348"/>
      <c r="J430" s="348"/>
      <c r="K430" s="348"/>
      <c r="L430" s="348"/>
      <c r="M430" s="348"/>
      <c r="N430" s="348"/>
      <c r="O430" s="348"/>
      <c r="P430" s="348"/>
      <c r="Q430" s="348"/>
      <c r="R430" s="348"/>
      <c r="S430" s="348"/>
      <c r="T430" s="348"/>
      <c r="U430" s="348"/>
      <c r="V430" s="348"/>
      <c r="W430" s="348"/>
      <c r="X430" s="348"/>
      <c r="Y430" s="348"/>
      <c r="Z430" s="348"/>
      <c r="AA430" s="348"/>
      <c r="AB430" s="348"/>
      <c r="AC430" s="348"/>
      <c r="AD430" s="348"/>
      <c r="AE430" s="348"/>
      <c r="AF430" s="348"/>
      <c r="AG430" s="348"/>
      <c r="AH430" s="348"/>
      <c r="AI430" s="348"/>
      <c r="AJ430" s="348"/>
      <c r="AK430" s="348"/>
      <c r="AL430" s="348"/>
      <c r="AM430" s="348"/>
      <c r="AN430" s="348"/>
      <c r="AO430" s="348"/>
      <c r="AP430" s="348"/>
      <c r="AQ430" s="348"/>
      <c r="AR430" s="348"/>
      <c r="AS430" s="348"/>
      <c r="AT430" s="348"/>
      <c r="AU430" s="348"/>
      <c r="AV430" s="348"/>
      <c r="AW430" s="348"/>
      <c r="AX430" s="348"/>
      <c r="AY430" s="348"/>
      <c r="AZ430" s="348"/>
      <c r="BA430" s="160"/>
      <c r="BB430" s="160"/>
      <c r="BC430" s="160"/>
      <c r="BD430" s="160"/>
      <c r="BE430" s="348"/>
      <c r="BF430" s="236">
        <f t="shared" ref="BF430:CP430" si="1532">BF429/BA429-1</f>
        <v>-1.6666666666666718E-2</v>
      </c>
      <c r="BG430" s="236">
        <f t="shared" si="1532"/>
        <v>-4.7193243914555372E-2</v>
      </c>
      <c r="BH430" s="236">
        <f t="shared" si="1532"/>
        <v>-4.292057227429702E-2</v>
      </c>
      <c r="BI430" s="236">
        <f t="shared" si="1532"/>
        <v>-2.734375E-2</v>
      </c>
      <c r="BJ430" s="236">
        <f>BJ429/BE429-1</f>
        <v>-3.3589489340604906E-2</v>
      </c>
      <c r="BK430" s="236">
        <f t="shared" si="1532"/>
        <v>-3.5952747817155073E-3</v>
      </c>
      <c r="BL430" s="236">
        <f t="shared" si="1532"/>
        <v>-9.3847758081334609E-3</v>
      </c>
      <c r="BM430" s="236">
        <f t="shared" si="1532"/>
        <v>0</v>
      </c>
      <c r="BN430" s="236">
        <f t="shared" si="1532"/>
        <v>-2.3594377510040121E-2</v>
      </c>
      <c r="BO430" s="236">
        <f>BO429/BJ429-1</f>
        <v>-9.2343208926509712E-3</v>
      </c>
      <c r="BP430" s="236">
        <f t="shared" si="1532"/>
        <v>1.5979381443298912E-2</v>
      </c>
      <c r="BQ430" s="236">
        <f t="shared" si="1532"/>
        <v>5.1052631578947461E-2</v>
      </c>
      <c r="BR430" s="236">
        <f t="shared" si="1532"/>
        <v>4.7938144329896959E-2</v>
      </c>
      <c r="BS430" s="236">
        <f t="shared" si="1532"/>
        <v>3.6503856041131044E-2</v>
      </c>
      <c r="BT430" s="236">
        <f>BT429/BO429-1</f>
        <v>3.7799352750809145E-2</v>
      </c>
      <c r="BU430" s="237">
        <f t="shared" si="1532"/>
        <v>2.9934043632673824E-2</v>
      </c>
      <c r="BV430" s="237">
        <f t="shared" si="1532"/>
        <v>4.3565348022033046E-2</v>
      </c>
      <c r="BW430" s="237">
        <f t="shared" si="1532"/>
        <v>3.6891293654697455E-2</v>
      </c>
      <c r="BX430" s="237">
        <f t="shared" si="1532"/>
        <v>4.861111111111116E-2</v>
      </c>
      <c r="BY430" s="236">
        <f>BY429/BT429-1</f>
        <v>3.979044530372966E-2</v>
      </c>
      <c r="BZ430" s="237">
        <f t="shared" si="1532"/>
        <v>4.0394088669950756E-2</v>
      </c>
      <c r="CA430" s="237">
        <f t="shared" si="1532"/>
        <v>1.3915547024952124E-2</v>
      </c>
      <c r="CB430" s="237">
        <f t="shared" si="1532"/>
        <v>1.7552182163187879E-2</v>
      </c>
      <c r="CC430" s="237">
        <f t="shared" si="1532"/>
        <v>4.1627246925260097E-2</v>
      </c>
      <c r="CD430" s="236">
        <f>CD429/BY429-1</f>
        <v>2.831094049904026E-2</v>
      </c>
      <c r="CE430" s="237">
        <f t="shared" si="1532"/>
        <v>3.7405303030302983E-2</v>
      </c>
      <c r="CF430" s="237">
        <f t="shared" si="1532"/>
        <v>4.8745858968291422E-2</v>
      </c>
      <c r="CG430" s="237">
        <f t="shared" si="1532"/>
        <v>3.170163170163165E-2</v>
      </c>
      <c r="CH430" s="237">
        <f t="shared" si="1532"/>
        <v>2.0890099909173454E-2</v>
      </c>
      <c r="CI430" s="236">
        <f>CI429/CD429-1</f>
        <v>3.4531031264582346E-2</v>
      </c>
      <c r="CJ430" s="237">
        <f t="shared" si="1532"/>
        <v>-9.1282519397535289E-3</v>
      </c>
      <c r="CK430" s="237">
        <f t="shared" si="1532"/>
        <v>-5.4151624548736121E-3</v>
      </c>
      <c r="CL430" s="237">
        <f t="shared" si="1532"/>
        <v>1.2652507907817467E-2</v>
      </c>
      <c r="CM430" s="237">
        <f t="shared" si="1532"/>
        <v>2.1352313167259718E-2</v>
      </c>
      <c r="CN430" s="236">
        <f>CN429/CI429-1</f>
        <v>4.9616599007669127E-3</v>
      </c>
      <c r="CO430" s="237">
        <f t="shared" si="1532"/>
        <v>3.270382312298481E-2</v>
      </c>
      <c r="CP430" s="237">
        <f t="shared" si="1532"/>
        <v>2.1778584392014411E-2</v>
      </c>
      <c r="CQ430" s="236">
        <f>CQ429/CN429-1</f>
        <v>1.5980581540474326E-2</v>
      </c>
      <c r="CR430" s="236">
        <f t="shared" ref="CR430:CS430" si="1533">CR429/CQ429-1</f>
        <v>2.2662180492115436E-2</v>
      </c>
      <c r="CS430" s="236">
        <f t="shared" si="1533"/>
        <v>2.3701695552965418E-2</v>
      </c>
      <c r="CT430" s="236">
        <f t="shared" ref="CT430" si="1534">CT429/CS429-1</f>
        <v>2.4668789629118004E-2</v>
      </c>
      <c r="CU430" s="236">
        <f t="shared" ref="CU430" si="1535">CU429/CT429-1</f>
        <v>2.3050132718955396E-2</v>
      </c>
      <c r="CV430" s="236">
        <f t="shared" ref="CV430:CW430" si="1536">CV429/CU429-1</f>
        <v>2.2832621869474323E-2</v>
      </c>
      <c r="CW430" s="236">
        <f t="shared" si="1536"/>
        <v>2.2667997423722719E-2</v>
      </c>
      <c r="CX430" s="159"/>
      <c r="CY430" s="159"/>
      <c r="CZ430" s="159"/>
      <c r="DA430" s="159"/>
      <c r="DB430" s="159"/>
      <c r="DC430" s="159"/>
      <c r="DD430" s="159"/>
      <c r="DF430" s="226"/>
      <c r="DG430" s="237"/>
      <c r="DH430" s="237"/>
      <c r="DI430" s="237"/>
      <c r="DJ430" s="237"/>
      <c r="DK430" s="237"/>
      <c r="DL430" s="237"/>
      <c r="DM430" s="237"/>
      <c r="DN430" s="237"/>
      <c r="DO430" s="237"/>
      <c r="EU430" s="286"/>
      <c r="EV430" s="287"/>
    </row>
    <row r="431" spans="1:152" ht="15" customHeight="1">
      <c r="A431" s="235" t="s">
        <v>640</v>
      </c>
      <c r="B431" s="712"/>
      <c r="C431" s="716"/>
      <c r="D431" s="716"/>
      <c r="E431" s="716"/>
      <c r="F431" s="716"/>
      <c r="G431" s="712"/>
      <c r="H431" s="716"/>
      <c r="I431" s="716"/>
      <c r="J431" s="716"/>
      <c r="K431" s="716"/>
      <c r="L431" s="716"/>
      <c r="M431" s="716"/>
      <c r="N431" s="716"/>
      <c r="O431" s="716"/>
      <c r="P431" s="716"/>
      <c r="Q431" s="716"/>
      <c r="R431" s="716"/>
      <c r="S431" s="716"/>
      <c r="T431" s="716"/>
      <c r="U431" s="716"/>
      <c r="V431" s="716"/>
      <c r="W431" s="716"/>
      <c r="X431" s="716"/>
      <c r="Y431" s="716"/>
      <c r="Z431" s="716"/>
      <c r="AA431" s="716"/>
      <c r="AB431" s="716"/>
      <c r="AC431" s="716"/>
      <c r="AD431" s="716"/>
      <c r="AE431" s="716"/>
      <c r="AF431" s="716"/>
      <c r="AG431" s="716"/>
      <c r="AH431" s="716"/>
      <c r="AI431" s="716"/>
      <c r="AJ431" s="716"/>
      <c r="AK431" s="716"/>
      <c r="AL431" s="716"/>
      <c r="AM431" s="716"/>
      <c r="AN431" s="716"/>
      <c r="AO431" s="716"/>
      <c r="AP431" s="716"/>
      <c r="AQ431" s="716"/>
      <c r="AR431" s="716"/>
      <c r="AS431" s="716"/>
      <c r="AT431" s="716"/>
      <c r="AU431" s="716"/>
      <c r="AV431" s="716"/>
      <c r="AW431" s="716"/>
      <c r="AX431" s="716"/>
      <c r="AY431" s="716"/>
      <c r="AZ431" s="716"/>
      <c r="BA431" s="716"/>
      <c r="BB431" s="716"/>
      <c r="BC431" s="716"/>
      <c r="BD431" s="716"/>
      <c r="BE431" s="716"/>
      <c r="BF431" s="716"/>
      <c r="BG431" s="716"/>
      <c r="BH431" s="716"/>
      <c r="BI431" s="716"/>
      <c r="BJ431" s="716"/>
      <c r="BK431" s="716"/>
      <c r="BL431" s="716"/>
      <c r="BM431" s="716"/>
      <c r="BN431" s="716"/>
      <c r="BO431" s="716"/>
      <c r="BP431" s="736">
        <f>'[3]Profit and Loss Highlights'!AM$31</f>
        <v>269</v>
      </c>
      <c r="BQ431" s="736">
        <f>'[3]Profit and Loss Highlights'!AN$31</f>
        <v>276</v>
      </c>
      <c r="BR431" s="736">
        <f>'[3]Profit and Loss Highlights'!AO$31</f>
        <v>238</v>
      </c>
      <c r="BS431" s="736">
        <f>'[3]Profit and Loss Highlights'!AP$31</f>
        <v>440</v>
      </c>
      <c r="BT431" s="737">
        <f>SUM(BP431:BS431)</f>
        <v>1223</v>
      </c>
      <c r="BU431" s="736">
        <f>'[3]Profit and Loss Highlights'!AQ$31</f>
        <v>376</v>
      </c>
      <c r="BV431" s="736">
        <f>'[3]Profit and Loss Highlights'!AR$31</f>
        <v>340</v>
      </c>
      <c r="BW431" s="736">
        <f>'[3]Profit and Loss Highlights'!AS$31</f>
        <v>297</v>
      </c>
      <c r="BX431" s="736">
        <f>'[3]Profit and Loss Highlights'!AT$31</f>
        <v>440</v>
      </c>
      <c r="BY431" s="737">
        <f>SUM(BU431:BX431)</f>
        <v>1453</v>
      </c>
      <c r="BZ431" s="736">
        <f>'[3]Profit and Loss Highlights'!AU$31</f>
        <v>414</v>
      </c>
      <c r="CA431" s="736">
        <f>'[3]Profit and Loss Highlights'!AV$31</f>
        <v>357</v>
      </c>
      <c r="CB431" s="736">
        <f>'[3]Profit and Loss Highlights'!AW$31</f>
        <v>297</v>
      </c>
      <c r="CC431" s="736">
        <f>'[3]Profit and Loss Highlights'!AX$31</f>
        <v>540</v>
      </c>
      <c r="CD431" s="737">
        <f>SUM(BZ431:CC431)</f>
        <v>1608</v>
      </c>
      <c r="CE431" s="736">
        <f>'[3]Profit and Loss Highlights'!AY$31</f>
        <v>412</v>
      </c>
      <c r="CF431" s="736">
        <f>'[3]Profit and Loss Highlights'!AZ$31</f>
        <v>370</v>
      </c>
      <c r="CG431" s="736">
        <f>'[3]Profit and Loss Highlights'!BA$31</f>
        <v>363</v>
      </c>
      <c r="CH431" s="736">
        <f>'[3]Profit and Loss Highlights'!BB$31</f>
        <v>523</v>
      </c>
      <c r="CI431" s="737">
        <f>SUM(CE431:CH431)</f>
        <v>1668</v>
      </c>
      <c r="CJ431" s="736">
        <f>'[3]Profit and Loss Highlights'!BC$31</f>
        <v>437</v>
      </c>
      <c r="CK431" s="736">
        <f>'[3]Profit and Loss Highlights'!BD$31</f>
        <v>358</v>
      </c>
      <c r="CL431" s="736">
        <f>'[3]Profit and Loss Highlights'!BE$31</f>
        <v>348</v>
      </c>
      <c r="CM431" s="736">
        <f>'[3]Profit and Loss Highlights'!BF$31</f>
        <v>580</v>
      </c>
      <c r="CN431" s="737">
        <f>SUM(CJ431:CM431)</f>
        <v>1723</v>
      </c>
      <c r="CO431" s="736">
        <f>'[3]Profit and Loss Highlights'!BG$31</f>
        <v>489</v>
      </c>
      <c r="CP431" s="736">
        <f>'[3]Profit and Loss Highlights'!BH$31</f>
        <v>404</v>
      </c>
      <c r="CQ431" s="738">
        <f t="shared" ref="CQ431:CW431" si="1537">CQ291</f>
        <v>1891.1696371070805</v>
      </c>
      <c r="CR431" s="738">
        <f t="shared" si="1537"/>
        <v>1957.4385394257304</v>
      </c>
      <c r="CS431" s="738">
        <f t="shared" si="1537"/>
        <v>2012.5538642355245</v>
      </c>
      <c r="CT431" s="738">
        <f t="shared" si="1537"/>
        <v>2068.5893918696747</v>
      </c>
      <c r="CU431" s="738">
        <f t="shared" si="1537"/>
        <v>2125.604075098508</v>
      </c>
      <c r="CV431" s="738">
        <f t="shared" si="1537"/>
        <v>2183.6555708187434</v>
      </c>
      <c r="CW431" s="738">
        <f t="shared" si="1537"/>
        <v>2242.8004223853263</v>
      </c>
      <c r="CX431" s="159"/>
      <c r="CY431" s="159"/>
      <c r="CZ431" s="159"/>
      <c r="DA431" s="159"/>
      <c r="DB431" s="159"/>
      <c r="DC431" s="165"/>
      <c r="DD431" s="165"/>
      <c r="DF431" s="226"/>
      <c r="DG431" s="237"/>
      <c r="DH431" s="237"/>
      <c r="DI431" s="237"/>
      <c r="DJ431" s="237"/>
      <c r="DK431" s="237"/>
      <c r="DL431" s="237"/>
      <c r="DM431" s="237"/>
      <c r="DN431" s="237"/>
      <c r="DO431" s="237"/>
      <c r="EU431" s="286"/>
      <c r="EV431" s="287"/>
    </row>
    <row r="432" spans="1:152">
      <c r="A432" s="349" t="s">
        <v>81</v>
      </c>
      <c r="B432" s="739">
        <f>B382+B384+B403+B391+B394+B396</f>
        <v>7690</v>
      </c>
      <c r="C432" s="739"/>
      <c r="D432" s="739"/>
      <c r="E432" s="739"/>
      <c r="F432" s="739">
        <f>F382+F384+F403+F391+F394</f>
        <v>2204</v>
      </c>
      <c r="G432" s="739">
        <f>G382+G384+G403+G391+G394+G396</f>
        <v>8449.9</v>
      </c>
      <c r="H432" s="739">
        <f t="shared" ref="H432:AU432" si="1538">H382+H384+H403+H391+H394</f>
        <v>2129</v>
      </c>
      <c r="I432" s="739">
        <f t="shared" si="1538"/>
        <v>2116</v>
      </c>
      <c r="J432" s="739">
        <f t="shared" si="1538"/>
        <v>2156</v>
      </c>
      <c r="K432" s="739">
        <f t="shared" si="1538"/>
        <v>2211</v>
      </c>
      <c r="L432" s="739">
        <f t="shared" si="1538"/>
        <v>8612</v>
      </c>
      <c r="M432" s="739">
        <f t="shared" si="1538"/>
        <v>2152</v>
      </c>
      <c r="N432" s="739">
        <f t="shared" si="1538"/>
        <v>2191</v>
      </c>
      <c r="O432" s="739">
        <f t="shared" si="1538"/>
        <v>2216</v>
      </c>
      <c r="P432" s="739">
        <f t="shared" si="1538"/>
        <v>2310</v>
      </c>
      <c r="Q432" s="739">
        <f t="shared" si="1538"/>
        <v>8869</v>
      </c>
      <c r="R432" s="739">
        <f t="shared" si="1538"/>
        <v>2133</v>
      </c>
      <c r="S432" s="739">
        <f t="shared" si="1538"/>
        <v>2158</v>
      </c>
      <c r="T432" s="739">
        <f t="shared" si="1538"/>
        <v>2244</v>
      </c>
      <c r="U432" s="739">
        <f t="shared" si="1538"/>
        <v>2248</v>
      </c>
      <c r="V432" s="739">
        <f t="shared" si="1538"/>
        <v>8783</v>
      </c>
      <c r="W432" s="739">
        <f t="shared" si="1538"/>
        <v>2135</v>
      </c>
      <c r="X432" s="739">
        <f t="shared" si="1538"/>
        <v>2223</v>
      </c>
      <c r="Y432" s="739">
        <f t="shared" si="1538"/>
        <v>2216</v>
      </c>
      <c r="Z432" s="739">
        <f t="shared" si="1538"/>
        <v>2306</v>
      </c>
      <c r="AA432" s="739">
        <f t="shared" si="1538"/>
        <v>8880</v>
      </c>
      <c r="AB432" s="739">
        <f t="shared" si="1538"/>
        <v>2327</v>
      </c>
      <c r="AC432" s="739">
        <f t="shared" si="1538"/>
        <v>2295</v>
      </c>
      <c r="AD432" s="739">
        <f t="shared" si="1538"/>
        <v>2239</v>
      </c>
      <c r="AE432" s="739">
        <f t="shared" si="1538"/>
        <v>2224</v>
      </c>
      <c r="AF432" s="739">
        <f t="shared" si="1538"/>
        <v>9028.3719999999994</v>
      </c>
      <c r="AG432" s="739">
        <f t="shared" si="1538"/>
        <v>2119</v>
      </c>
      <c r="AH432" s="739">
        <f t="shared" si="1538"/>
        <v>2082</v>
      </c>
      <c r="AI432" s="739">
        <f t="shared" si="1538"/>
        <v>2065</v>
      </c>
      <c r="AJ432" s="739">
        <f t="shared" si="1538"/>
        <v>2123</v>
      </c>
      <c r="AK432" s="739">
        <f t="shared" si="1538"/>
        <v>8404</v>
      </c>
      <c r="AL432" s="739">
        <f t="shared" si="1538"/>
        <v>2149</v>
      </c>
      <c r="AM432" s="739">
        <f t="shared" si="1538"/>
        <v>2110</v>
      </c>
      <c r="AN432" s="739">
        <f t="shared" si="1538"/>
        <v>2166</v>
      </c>
      <c r="AO432" s="739">
        <f t="shared" si="1538"/>
        <v>2176</v>
      </c>
      <c r="AP432" s="739">
        <f t="shared" si="1538"/>
        <v>8601</v>
      </c>
      <c r="AQ432" s="739">
        <f t="shared" si="1538"/>
        <v>2140</v>
      </c>
      <c r="AR432" s="739">
        <f t="shared" si="1538"/>
        <v>2102</v>
      </c>
      <c r="AS432" s="739">
        <f t="shared" si="1538"/>
        <v>2156</v>
      </c>
      <c r="AT432" s="739">
        <f t="shared" si="1538"/>
        <v>2214</v>
      </c>
      <c r="AU432" s="739">
        <f t="shared" si="1538"/>
        <v>8612</v>
      </c>
      <c r="AV432" s="739">
        <f>'[3]Profit and Loss Highlights'!W$32</f>
        <v>2375</v>
      </c>
      <c r="AW432" s="739">
        <f>'[3]Profit and Loss Highlights'!X$32</f>
        <v>2335</v>
      </c>
      <c r="AX432" s="739">
        <f>'[3]Profit and Loss Highlights'!Y$32</f>
        <v>2333</v>
      </c>
      <c r="AY432" s="739">
        <f>'[3]Profit and Loss Highlights'!Z$32</f>
        <v>2376</v>
      </c>
      <c r="AZ432" s="739">
        <f>SUM(AV432:AY432)</f>
        <v>9419</v>
      </c>
      <c r="BA432" s="739">
        <f>'[3]Profit and Loss Highlights'!AA$32</f>
        <v>2237</v>
      </c>
      <c r="BB432" s="739">
        <f>'[3]Profit and Loss Highlights'!AB$32</f>
        <v>2246</v>
      </c>
      <c r="BC432" s="739">
        <f>'[3]Profit and Loss Highlights'!AC$32</f>
        <v>2264</v>
      </c>
      <c r="BD432" s="739">
        <f>'[3]Profit and Loss Highlights'!AD$32</f>
        <v>2445</v>
      </c>
      <c r="BE432" s="739">
        <f>SUM(BA432:BD432)</f>
        <v>9192</v>
      </c>
      <c r="BF432" s="739">
        <f>'[3]Profit and Loss Highlights'!AE$32</f>
        <v>2232</v>
      </c>
      <c r="BG432" s="739">
        <f>'[3]Profit and Loss Highlights'!AF$32</f>
        <v>2206</v>
      </c>
      <c r="BH432" s="739">
        <f>'[3]Profit and Loss Highlights'!AG$32</f>
        <v>2285</v>
      </c>
      <c r="BI432" s="739">
        <f>'[3]Profit and Loss Highlights'!AH$32</f>
        <v>2590</v>
      </c>
      <c r="BJ432" s="739">
        <f>SUM(BF432:BI432)</f>
        <v>9313</v>
      </c>
      <c r="BK432" s="739">
        <f>'[3]Profit and Loss Highlights'!AI$32</f>
        <v>2341</v>
      </c>
      <c r="BL432" s="739">
        <f>'[3]Profit and Loss Highlights'!AJ$32</f>
        <v>2151</v>
      </c>
      <c r="BM432" s="739">
        <f>'[3]Profit and Loss Highlights'!AK$32</f>
        <v>2213</v>
      </c>
      <c r="BN432" s="739">
        <f>'[3]Profit and Loss Highlights'!AL$32</f>
        <v>2261</v>
      </c>
      <c r="BO432" s="739">
        <f>SUM(BK432:BN432)</f>
        <v>8966</v>
      </c>
      <c r="BP432" s="739">
        <f>'[3]Profit and Loss Highlights'!AM$32</f>
        <v>2240</v>
      </c>
      <c r="BQ432" s="739">
        <f>'[3]Profit and Loss Highlights'!AN$32</f>
        <v>2274</v>
      </c>
      <c r="BR432" s="739">
        <f>'[3]Profit and Loss Highlights'!AO$32</f>
        <v>2271</v>
      </c>
      <c r="BS432" s="739">
        <f>'[3]Profit and Loss Highlights'!AP$32</f>
        <v>2456</v>
      </c>
      <c r="BT432" s="739">
        <f>SUM(BP432:BS432)</f>
        <v>9241</v>
      </c>
      <c r="BU432" s="739">
        <f>'[3]Profit and Loss Highlights'!AQ$32</f>
        <v>2406</v>
      </c>
      <c r="BV432" s="739">
        <f>'[3]Profit and Loss Highlights'!AR$32</f>
        <v>2424</v>
      </c>
      <c r="BW432" s="739">
        <f>'[3]Profit and Loss Highlights'!AS$32</f>
        <v>2405</v>
      </c>
      <c r="BX432" s="739">
        <f>'[3]Profit and Loss Highlights'!AT$32</f>
        <v>2554</v>
      </c>
      <c r="BY432" s="739">
        <f>SUM(BU432:BX432)</f>
        <v>9789</v>
      </c>
      <c r="BZ432" s="739">
        <f>'[3]Profit and Loss Highlights'!AU$32</f>
        <v>2526</v>
      </c>
      <c r="CA432" s="739">
        <f>'[3]Profit and Loss Highlights'!AV$32</f>
        <v>2470</v>
      </c>
      <c r="CB432" s="739">
        <f>'[3]Profit and Loss Highlights'!AW$32</f>
        <v>2442</v>
      </c>
      <c r="CC432" s="739">
        <f>'[3]Profit and Loss Highlights'!AX$32</f>
        <v>2742</v>
      </c>
      <c r="CD432" s="739">
        <f>SUM(BZ432:CC432)</f>
        <v>10180</v>
      </c>
      <c r="CE432" s="739">
        <f>'[3]Profit and Loss Highlights'!AY$32</f>
        <v>2603</v>
      </c>
      <c r="CF432" s="739">
        <f>'[3]Profit and Loss Highlights'!AZ$32</f>
        <v>2586</v>
      </c>
      <c r="CG432" s="739">
        <f>'[3]Profit and Loss Highlights'!BA$32</f>
        <v>2576</v>
      </c>
      <c r="CH432" s="739">
        <f>'[3]Profit and Loss Highlights'!BB$32</f>
        <v>2771</v>
      </c>
      <c r="CI432" s="739">
        <f>SUM(CE432:CH432)</f>
        <v>10536</v>
      </c>
      <c r="CJ432" s="739">
        <f>'[3]Profit and Loss Highlights'!BC$32</f>
        <v>2608</v>
      </c>
      <c r="CK432" s="739">
        <f>'[3]Profit and Loss Highlights'!BD$32</f>
        <v>2562</v>
      </c>
      <c r="CL432" s="739">
        <f>'[3]Profit and Loss Highlights'!BE$32</f>
        <v>2589</v>
      </c>
      <c r="CM432" s="739">
        <f>'[3]Profit and Loss Highlights'!BF$32</f>
        <v>2876</v>
      </c>
      <c r="CN432" s="739">
        <f>SUM(CJ432:CM432)</f>
        <v>10635</v>
      </c>
      <c r="CO432" s="739">
        <f>'[3]Profit and Loss Highlights'!BG$32</f>
        <v>2731</v>
      </c>
      <c r="CP432" s="739">
        <f>'[3]Profit and Loss Highlights'!BH$32</f>
        <v>2656</v>
      </c>
      <c r="CQ432" s="739">
        <f t="shared" ref="CQ432:CW432" si="1539">CQ429+CQ431</f>
        <v>10945.588579795789</v>
      </c>
      <c r="CR432" s="739">
        <f t="shared" si="1539"/>
        <v>11217.050358444878</v>
      </c>
      <c r="CS432" s="739">
        <f t="shared" si="1539"/>
        <v>11491.634183527703</v>
      </c>
      <c r="CT432" s="739">
        <f t="shared" si="1539"/>
        <v>11781.507149435985</v>
      </c>
      <c r="CU432" s="739">
        <f t="shared" si="1539"/>
        <v>12062.40587606502</v>
      </c>
      <c r="CV432" s="739">
        <f t="shared" si="1539"/>
        <v>12347.340609898634</v>
      </c>
      <c r="CW432" s="739">
        <f t="shared" si="1539"/>
        <v>12636.875847746611</v>
      </c>
      <c r="CX432" s="159"/>
      <c r="CY432" s="159"/>
      <c r="CZ432" s="159"/>
      <c r="DA432" s="159"/>
      <c r="DB432" s="159"/>
      <c r="DC432" s="159"/>
      <c r="DD432" s="159"/>
      <c r="DF432" s="235"/>
      <c r="DG432" s="258"/>
      <c r="DH432" s="258"/>
      <c r="DI432" s="258"/>
      <c r="DJ432" s="258"/>
      <c r="DK432" s="258"/>
      <c r="DL432" s="258"/>
      <c r="DM432" s="258"/>
      <c r="DN432" s="258"/>
      <c r="DO432" s="258"/>
      <c r="EU432" s="286"/>
      <c r="EV432" s="287"/>
    </row>
    <row r="433" spans="1:152">
      <c r="A433" s="280" t="s">
        <v>64</v>
      </c>
      <c r="B433" s="236"/>
      <c r="C433" s="236"/>
      <c r="D433" s="236"/>
      <c r="E433" s="236"/>
      <c r="F433" s="236"/>
      <c r="G433" s="236">
        <f t="shared" ref="G433:AL433" si="1540">G432/B432-1</f>
        <v>9.881664499349796E-2</v>
      </c>
      <c r="H433" s="236" t="e">
        <f t="shared" si="1540"/>
        <v>#DIV/0!</v>
      </c>
      <c r="I433" s="236" t="e">
        <f t="shared" si="1540"/>
        <v>#DIV/0!</v>
      </c>
      <c r="J433" s="236" t="e">
        <f t="shared" si="1540"/>
        <v>#DIV/0!</v>
      </c>
      <c r="K433" s="236">
        <f t="shared" si="1540"/>
        <v>3.1760435571688284E-3</v>
      </c>
      <c r="L433" s="236">
        <f t="shared" si="1540"/>
        <v>1.9183658978212836E-2</v>
      </c>
      <c r="M433" s="236">
        <f t="shared" si="1540"/>
        <v>1.0803193987787729E-2</v>
      </c>
      <c r="N433" s="236">
        <f t="shared" si="1540"/>
        <v>3.5444234404536923E-2</v>
      </c>
      <c r="O433" s="236">
        <f t="shared" si="1540"/>
        <v>2.7829313543599188E-2</v>
      </c>
      <c r="P433" s="236">
        <f t="shared" si="1540"/>
        <v>4.4776119402984982E-2</v>
      </c>
      <c r="Q433" s="236">
        <f t="shared" si="1540"/>
        <v>2.9842080817463978E-2</v>
      </c>
      <c r="R433" s="236">
        <f t="shared" si="1540"/>
        <v>-8.8289962825278678E-3</v>
      </c>
      <c r="S433" s="236">
        <f t="shared" si="1540"/>
        <v>-1.5061615700593389E-2</v>
      </c>
      <c r="T433" s="236">
        <f t="shared" si="1540"/>
        <v>1.2635379061371799E-2</v>
      </c>
      <c r="U433" s="236">
        <f t="shared" si="1540"/>
        <v>-2.6839826839826886E-2</v>
      </c>
      <c r="V433" s="236">
        <f t="shared" si="1540"/>
        <v>-9.69669635810122E-3</v>
      </c>
      <c r="W433" s="236">
        <f t="shared" si="1540"/>
        <v>9.3764650726679832E-4</v>
      </c>
      <c r="X433" s="236">
        <f t="shared" si="1540"/>
        <v>3.0120481927710774E-2</v>
      </c>
      <c r="Y433" s="236">
        <f t="shared" si="1540"/>
        <v>-1.2477718360071277E-2</v>
      </c>
      <c r="Z433" s="236">
        <f t="shared" si="1540"/>
        <v>2.5800711743772187E-2</v>
      </c>
      <c r="AA433" s="236">
        <f t="shared" si="1540"/>
        <v>1.1044062393259724E-2</v>
      </c>
      <c r="AB433" s="236">
        <f t="shared" si="1540"/>
        <v>8.9929742388758838E-2</v>
      </c>
      <c r="AC433" s="236">
        <f t="shared" si="1540"/>
        <v>3.238866396761142E-2</v>
      </c>
      <c r="AD433" s="236">
        <f t="shared" si="1540"/>
        <v>1.0379061371841081E-2</v>
      </c>
      <c r="AE433" s="236">
        <f t="shared" si="1540"/>
        <v>-3.5559410234171751E-2</v>
      </c>
      <c r="AF433" s="236">
        <f t="shared" si="1540"/>
        <v>1.6708558558558462E-2</v>
      </c>
      <c r="AG433" s="236">
        <f t="shared" si="1540"/>
        <v>-8.9385474860335212E-2</v>
      </c>
      <c r="AH433" s="236">
        <f t="shared" si="1540"/>
        <v>-9.2810457516339873E-2</v>
      </c>
      <c r="AI433" s="236">
        <f t="shared" si="1540"/>
        <v>-7.771326485037966E-2</v>
      </c>
      <c r="AJ433" s="236">
        <f t="shared" si="1540"/>
        <v>-4.5413669064748197E-2</v>
      </c>
      <c r="AK433" s="236">
        <f t="shared" si="1540"/>
        <v>-6.9156654156474651E-2</v>
      </c>
      <c r="AL433" s="236">
        <f t="shared" si="1540"/>
        <v>1.4157621519584662E-2</v>
      </c>
      <c r="AM433" s="236">
        <f t="shared" ref="AM433:CP433" si="1541">AM432/AH432-1</f>
        <v>1.344860710854956E-2</v>
      </c>
      <c r="AN433" s="236">
        <f t="shared" si="1541"/>
        <v>4.8910411622276051E-2</v>
      </c>
      <c r="AO433" s="236">
        <f t="shared" si="1541"/>
        <v>2.4964672633066343E-2</v>
      </c>
      <c r="AP433" s="236">
        <f t="shared" si="1541"/>
        <v>2.3441218467396441E-2</v>
      </c>
      <c r="AQ433" s="236">
        <f t="shared" si="1541"/>
        <v>-4.1879944160074789E-3</v>
      </c>
      <c r="AR433" s="236">
        <f t="shared" si="1541"/>
        <v>-3.7914691943128354E-3</v>
      </c>
      <c r="AS433" s="236">
        <f t="shared" si="1541"/>
        <v>-4.6168051708217472E-3</v>
      </c>
      <c r="AT433" s="236">
        <f t="shared" si="1541"/>
        <v>1.7463235294117752E-2</v>
      </c>
      <c r="AU433" s="236">
        <f t="shared" si="1541"/>
        <v>1.2789210556911623E-3</v>
      </c>
      <c r="AV433" s="236">
        <f t="shared" si="1541"/>
        <v>0.10981308411214963</v>
      </c>
      <c r="AW433" s="236">
        <f t="shared" si="1541"/>
        <v>0.11084681255946727</v>
      </c>
      <c r="AX433" s="236">
        <f t="shared" si="1541"/>
        <v>8.2096474953617715E-2</v>
      </c>
      <c r="AY433" s="236">
        <f t="shared" si="1541"/>
        <v>7.3170731707317138E-2</v>
      </c>
      <c r="AZ433" s="236">
        <f t="shared" si="1541"/>
        <v>9.3706456107756519E-2</v>
      </c>
      <c r="BA433" s="236">
        <f t="shared" si="1541"/>
        <v>-5.8105263157894771E-2</v>
      </c>
      <c r="BB433" s="236">
        <f t="shared" si="1541"/>
        <v>-3.8115631691648777E-2</v>
      </c>
      <c r="BC433" s="236">
        <f t="shared" si="1541"/>
        <v>-2.9575653664809298E-2</v>
      </c>
      <c r="BD433" s="236">
        <f t="shared" si="1541"/>
        <v>2.9040404040403978E-2</v>
      </c>
      <c r="BE433" s="236">
        <f t="shared" si="1541"/>
        <v>-2.4100222953604367E-2</v>
      </c>
      <c r="BF433" s="236">
        <f t="shared" si="1541"/>
        <v>-2.2351363433169569E-3</v>
      </c>
      <c r="BG433" s="236">
        <f t="shared" si="1541"/>
        <v>-1.7809439002671401E-2</v>
      </c>
      <c r="BH433" s="236">
        <f t="shared" si="1541"/>
        <v>9.2756183745583698E-3</v>
      </c>
      <c r="BI433" s="236">
        <f t="shared" si="1541"/>
        <v>5.9304703476482645E-2</v>
      </c>
      <c r="BJ433" s="236">
        <f t="shared" si="1541"/>
        <v>1.3163620539599741E-2</v>
      </c>
      <c r="BK433" s="236">
        <f t="shared" si="1541"/>
        <v>4.8835125448028593E-2</v>
      </c>
      <c r="BL433" s="236">
        <f t="shared" si="1541"/>
        <v>-2.4932003626473298E-2</v>
      </c>
      <c r="BM433" s="236">
        <f t="shared" si="1541"/>
        <v>-3.1509846827133425E-2</v>
      </c>
      <c r="BN433" s="236">
        <f t="shared" si="1541"/>
        <v>-0.12702702702702706</v>
      </c>
      <c r="BO433" s="236">
        <f t="shared" si="1541"/>
        <v>-3.7259744443251419E-2</v>
      </c>
      <c r="BP433" s="236">
        <f t="shared" si="1541"/>
        <v>-4.314395557454076E-2</v>
      </c>
      <c r="BQ433" s="236">
        <f t="shared" si="1541"/>
        <v>5.7182705718270554E-2</v>
      </c>
      <c r="BR433" s="236">
        <f t="shared" si="1541"/>
        <v>2.6208766380479087E-2</v>
      </c>
      <c r="BS433" s="236">
        <f t="shared" si="1541"/>
        <v>8.6245024325519726E-2</v>
      </c>
      <c r="BT433" s="236">
        <f t="shared" si="1541"/>
        <v>3.0671425384787065E-2</v>
      </c>
      <c r="BU433" s="237">
        <f t="shared" si="1541"/>
        <v>7.4107142857142927E-2</v>
      </c>
      <c r="BV433" s="237">
        <f t="shared" si="1541"/>
        <v>6.5963060686015762E-2</v>
      </c>
      <c r="BW433" s="237">
        <f t="shared" si="1541"/>
        <v>5.9004843681197627E-2</v>
      </c>
      <c r="BX433" s="237">
        <f t="shared" si="1541"/>
        <v>3.9902280130293066E-2</v>
      </c>
      <c r="BY433" s="236">
        <f t="shared" si="1541"/>
        <v>5.9300941456552403E-2</v>
      </c>
      <c r="BZ433" s="237">
        <f t="shared" si="1541"/>
        <v>4.9875311720698257E-2</v>
      </c>
      <c r="CA433" s="237">
        <f t="shared" si="1541"/>
        <v>1.8976897689769068E-2</v>
      </c>
      <c r="CB433" s="237">
        <f t="shared" si="1541"/>
        <v>1.538461538461533E-2</v>
      </c>
      <c r="CC433" s="237">
        <f t="shared" si="1541"/>
        <v>7.3610023492560739E-2</v>
      </c>
      <c r="CD433" s="236">
        <f t="shared" si="1541"/>
        <v>3.9942792930840687E-2</v>
      </c>
      <c r="CE433" s="237">
        <f t="shared" si="1541"/>
        <v>3.0482977038796433E-2</v>
      </c>
      <c r="CF433" s="237">
        <f t="shared" si="1541"/>
        <v>4.6963562753036481E-2</v>
      </c>
      <c r="CG433" s="237">
        <f t="shared" si="1541"/>
        <v>5.4873054873054938E-2</v>
      </c>
      <c r="CH433" s="237">
        <f t="shared" si="1541"/>
        <v>1.0576221735959068E-2</v>
      </c>
      <c r="CI433" s="236">
        <f t="shared" si="1541"/>
        <v>3.4970530451866377E-2</v>
      </c>
      <c r="CJ433" s="237">
        <f t="shared" si="1541"/>
        <v>1.9208605455243166E-3</v>
      </c>
      <c r="CK433" s="237">
        <f t="shared" si="1541"/>
        <v>-9.2807424593968069E-3</v>
      </c>
      <c r="CL433" s="237">
        <f t="shared" si="1541"/>
        <v>5.0465838509317074E-3</v>
      </c>
      <c r="CM433" s="237">
        <f t="shared" si="1541"/>
        <v>3.7892457596535589E-2</v>
      </c>
      <c r="CN433" s="236">
        <f t="shared" si="1541"/>
        <v>9.3963553530751476E-3</v>
      </c>
      <c r="CO433" s="237">
        <f t="shared" si="1541"/>
        <v>4.7162576687116653E-2</v>
      </c>
      <c r="CP433" s="237">
        <f t="shared" si="1541"/>
        <v>3.669008587041378E-2</v>
      </c>
      <c r="CQ433" s="236">
        <f>CQ432/CN432-1</f>
        <v>2.9204379858560392E-2</v>
      </c>
      <c r="CR433" s="236">
        <f t="shared" ref="CR433:CS433" si="1542">CR432/CQ432-1</f>
        <v>2.4801021586922545E-2</v>
      </c>
      <c r="CS433" s="236">
        <f t="shared" si="1542"/>
        <v>2.4479147040300298E-2</v>
      </c>
      <c r="CT433" s="236">
        <f t="shared" ref="CT433" si="1543">CT432/CS432-1</f>
        <v>2.5224694876190057E-2</v>
      </c>
      <c r="CU433" s="236">
        <f t="shared" ref="CU433" si="1544">CU432/CT432-1</f>
        <v>2.3842342330750332E-2</v>
      </c>
      <c r="CV433" s="236">
        <f t="shared" ref="CV433:CW433" si="1545">CV432/CU432-1</f>
        <v>2.3621716659277592E-2</v>
      </c>
      <c r="CW433" s="236">
        <f t="shared" si="1545"/>
        <v>2.3449198252120995E-2</v>
      </c>
      <c r="CX433" s="159"/>
      <c r="CY433" s="159"/>
      <c r="CZ433" s="159"/>
      <c r="DA433" s="159"/>
      <c r="DB433" s="159"/>
      <c r="DC433" s="159"/>
      <c r="DD433" s="159"/>
      <c r="DF433" s="226"/>
      <c r="DG433" s="237"/>
      <c r="DH433" s="237"/>
      <c r="DI433" s="237"/>
      <c r="DJ433" s="237"/>
      <c r="DK433" s="237"/>
      <c r="DL433" s="237"/>
      <c r="DM433" s="237"/>
      <c r="DN433" s="237"/>
      <c r="DO433" s="237"/>
      <c r="EU433" s="286"/>
      <c r="EV433" s="287"/>
    </row>
    <row r="434" spans="1:152">
      <c r="A434" s="350" t="s">
        <v>129</v>
      </c>
      <c r="B434" s="740"/>
      <c r="C434" s="740"/>
      <c r="D434" s="740"/>
      <c r="E434" s="740"/>
      <c r="F434" s="740"/>
      <c r="G434" s="740"/>
      <c r="H434" s="740"/>
      <c r="I434" s="740"/>
      <c r="J434" s="740"/>
      <c r="K434" s="740"/>
      <c r="L434" s="740"/>
      <c r="M434" s="740"/>
      <c r="N434" s="740"/>
      <c r="O434" s="740"/>
      <c r="P434" s="740"/>
      <c r="Q434" s="740"/>
      <c r="R434" s="740"/>
      <c r="S434" s="740"/>
      <c r="T434" s="740"/>
      <c r="U434" s="740"/>
      <c r="V434" s="740"/>
      <c r="W434" s="740"/>
      <c r="X434" s="740"/>
      <c r="Y434" s="740"/>
      <c r="Z434" s="740"/>
      <c r="AA434" s="740"/>
      <c r="AB434" s="740"/>
      <c r="AC434" s="740"/>
      <c r="AD434" s="740"/>
      <c r="AE434" s="740"/>
      <c r="AF434" s="740"/>
      <c r="AG434" s="740"/>
      <c r="AH434" s="740"/>
      <c r="AI434" s="740"/>
      <c r="AJ434" s="740"/>
      <c r="AK434" s="740"/>
      <c r="AL434" s="740"/>
      <c r="AM434" s="740"/>
      <c r="AN434" s="740"/>
      <c r="AO434" s="740"/>
      <c r="AP434" s="740"/>
      <c r="AQ434" s="740"/>
      <c r="AR434" s="740"/>
      <c r="AS434" s="740"/>
      <c r="AT434" s="740"/>
      <c r="AU434" s="740"/>
      <c r="AV434" s="741">
        <f t="shared" ref="AV434:BO434" si="1546">AV388+AV403-AV432</f>
        <v>10</v>
      </c>
      <c r="AW434" s="741">
        <f t="shared" si="1546"/>
        <v>11</v>
      </c>
      <c r="AX434" s="741">
        <f t="shared" si="1546"/>
        <v>4</v>
      </c>
      <c r="AY434" s="741">
        <f t="shared" si="1546"/>
        <v>-1</v>
      </c>
      <c r="AZ434" s="741">
        <f t="shared" si="1546"/>
        <v>24</v>
      </c>
      <c r="BA434" s="741">
        <f t="shared" si="1546"/>
        <v>0</v>
      </c>
      <c r="BB434" s="741">
        <f t="shared" si="1546"/>
        <v>0</v>
      </c>
      <c r="BC434" s="741">
        <f t="shared" si="1546"/>
        <v>0</v>
      </c>
      <c r="BD434" s="741">
        <f t="shared" si="1546"/>
        <v>0</v>
      </c>
      <c r="BE434" s="741">
        <f t="shared" si="1546"/>
        <v>0</v>
      </c>
      <c r="BF434" s="741">
        <f t="shared" si="1546"/>
        <v>0</v>
      </c>
      <c r="BG434" s="741">
        <f t="shared" si="1546"/>
        <v>0</v>
      </c>
      <c r="BH434" s="741">
        <f t="shared" si="1546"/>
        <v>0</v>
      </c>
      <c r="BI434" s="741">
        <f t="shared" si="1546"/>
        <v>0</v>
      </c>
      <c r="BJ434" s="741">
        <f t="shared" si="1546"/>
        <v>0</v>
      </c>
      <c r="BK434" s="741">
        <f t="shared" si="1546"/>
        <v>0</v>
      </c>
      <c r="BL434" s="741">
        <f t="shared" si="1546"/>
        <v>0</v>
      </c>
      <c r="BM434" s="741">
        <f t="shared" si="1546"/>
        <v>0</v>
      </c>
      <c r="BN434" s="741">
        <f t="shared" si="1546"/>
        <v>0</v>
      </c>
      <c r="BO434" s="741">
        <f t="shared" si="1546"/>
        <v>0</v>
      </c>
      <c r="BP434" s="741">
        <f t="shared" ref="BP434:CW434" si="1547">ROUND(BP414+BP426+BP431-BP432,0)</f>
        <v>0</v>
      </c>
      <c r="BQ434" s="741">
        <f t="shared" si="1547"/>
        <v>-1</v>
      </c>
      <c r="BR434" s="741">
        <f t="shared" si="1547"/>
        <v>0</v>
      </c>
      <c r="BS434" s="741">
        <f t="shared" si="1547"/>
        <v>0</v>
      </c>
      <c r="BT434" s="741">
        <f t="shared" si="1547"/>
        <v>-1</v>
      </c>
      <c r="BU434" s="741">
        <f t="shared" si="1547"/>
        <v>0</v>
      </c>
      <c r="BV434" s="741">
        <f t="shared" si="1547"/>
        <v>0</v>
      </c>
      <c r="BW434" s="741">
        <f t="shared" si="1547"/>
        <v>0</v>
      </c>
      <c r="BX434" s="741">
        <f t="shared" si="1547"/>
        <v>0</v>
      </c>
      <c r="BY434" s="741">
        <f t="shared" si="1547"/>
        <v>0</v>
      </c>
      <c r="BZ434" s="741">
        <f t="shared" si="1547"/>
        <v>0</v>
      </c>
      <c r="CA434" s="741">
        <f t="shared" si="1547"/>
        <v>0</v>
      </c>
      <c r="CB434" s="741">
        <f t="shared" si="1547"/>
        <v>0</v>
      </c>
      <c r="CC434" s="741">
        <f t="shared" si="1547"/>
        <v>0</v>
      </c>
      <c r="CD434" s="741">
        <f t="shared" si="1547"/>
        <v>0</v>
      </c>
      <c r="CE434" s="741">
        <f t="shared" si="1547"/>
        <v>0</v>
      </c>
      <c r="CF434" s="741">
        <f t="shared" si="1547"/>
        <v>0</v>
      </c>
      <c r="CG434" s="741">
        <f t="shared" si="1547"/>
        <v>0</v>
      </c>
      <c r="CH434" s="741">
        <f t="shared" si="1547"/>
        <v>0</v>
      </c>
      <c r="CI434" s="741">
        <f t="shared" si="1547"/>
        <v>0</v>
      </c>
      <c r="CJ434" s="741">
        <f>ROUND(CJ414+CJ426+CJ431-CJ432,0)</f>
        <v>0</v>
      </c>
      <c r="CK434" s="741">
        <f>ROUND(CK414+CK426+CK431-CK432,0)</f>
        <v>0</v>
      </c>
      <c r="CL434" s="741">
        <f>ROUND(CL414+CL426+CL431-CL432,0)</f>
        <v>0</v>
      </c>
      <c r="CM434" s="741">
        <f>ROUND(CM414+CM426+CM431-CM432,0)</f>
        <v>0</v>
      </c>
      <c r="CN434" s="741">
        <f t="shared" ref="CN434" si="1548">ROUND(CN414+CN426+CN431-CN432,0)</f>
        <v>0</v>
      </c>
      <c r="CO434" s="741">
        <f>ROUND(CO414+CO426+CO431-CO432,0)</f>
        <v>0</v>
      </c>
      <c r="CP434" s="741">
        <f>ROUND(CP414+CP426+CP431-CP432,0)</f>
        <v>0</v>
      </c>
      <c r="CQ434" s="741">
        <f t="shared" si="1547"/>
        <v>0</v>
      </c>
      <c r="CR434" s="741">
        <f t="shared" si="1547"/>
        <v>0</v>
      </c>
      <c r="CS434" s="741">
        <f t="shared" si="1547"/>
        <v>0</v>
      </c>
      <c r="CT434" s="741">
        <f t="shared" si="1547"/>
        <v>0</v>
      </c>
      <c r="CU434" s="741">
        <f t="shared" si="1547"/>
        <v>0</v>
      </c>
      <c r="CV434" s="741">
        <f t="shared" si="1547"/>
        <v>0</v>
      </c>
      <c r="CW434" s="741">
        <f t="shared" si="1547"/>
        <v>0</v>
      </c>
      <c r="CX434" s="159"/>
      <c r="CY434" s="159"/>
      <c r="CZ434" s="159"/>
      <c r="DA434" s="159"/>
      <c r="DB434" s="159"/>
      <c r="DC434" s="159"/>
      <c r="DD434" s="159"/>
      <c r="DF434" s="226"/>
      <c r="DG434" s="237"/>
      <c r="DH434" s="237"/>
      <c r="DI434" s="237"/>
      <c r="DJ434" s="237"/>
      <c r="DK434" s="237"/>
      <c r="DL434" s="237"/>
      <c r="DM434" s="237"/>
      <c r="DN434" s="237"/>
      <c r="DO434" s="237"/>
      <c r="EU434" s="286"/>
      <c r="EV434" s="287"/>
    </row>
    <row r="435" spans="1:152">
      <c r="A435" s="351" t="s">
        <v>718</v>
      </c>
      <c r="B435" s="352"/>
      <c r="C435" s="352"/>
      <c r="D435" s="352"/>
      <c r="E435" s="352"/>
      <c r="F435" s="352"/>
      <c r="G435" s="352"/>
      <c r="H435" s="352"/>
      <c r="I435" s="352"/>
      <c r="J435" s="352"/>
      <c r="K435" s="352"/>
      <c r="L435" s="352"/>
      <c r="M435" s="352"/>
      <c r="N435" s="352"/>
      <c r="O435" s="352"/>
      <c r="P435" s="352"/>
      <c r="Q435" s="352"/>
      <c r="R435" s="352"/>
      <c r="S435" s="352"/>
      <c r="T435" s="352"/>
      <c r="U435" s="352"/>
      <c r="V435" s="352"/>
      <c r="W435" s="352"/>
      <c r="X435" s="352"/>
      <c r="Y435" s="352"/>
      <c r="Z435" s="352"/>
      <c r="AA435" s="352"/>
      <c r="AB435" s="352"/>
      <c r="AC435" s="352"/>
      <c r="AD435" s="352"/>
      <c r="AE435" s="352"/>
      <c r="AF435" s="352"/>
      <c r="AG435" s="352"/>
      <c r="AH435" s="352"/>
      <c r="AI435" s="352"/>
      <c r="AJ435" s="352"/>
      <c r="AK435" s="352"/>
      <c r="AL435" s="352"/>
      <c r="AM435" s="352"/>
      <c r="AN435" s="352"/>
      <c r="AO435" s="352"/>
      <c r="AP435" s="352"/>
      <c r="AQ435" s="352"/>
      <c r="AR435" s="352"/>
      <c r="AS435" s="352"/>
      <c r="AT435" s="352"/>
      <c r="AU435" s="352"/>
      <c r="AV435" s="352"/>
      <c r="AW435" s="352"/>
      <c r="AX435" s="352"/>
      <c r="AY435" s="352"/>
      <c r="AZ435" s="352"/>
      <c r="BA435" s="352"/>
      <c r="BB435" s="352"/>
      <c r="BC435" s="352"/>
      <c r="BD435" s="352"/>
      <c r="BE435" s="352"/>
      <c r="BF435" s="352"/>
      <c r="BG435" s="352"/>
      <c r="BH435" s="352"/>
      <c r="BI435" s="352"/>
      <c r="BJ435" s="352"/>
      <c r="BK435" s="216"/>
      <c r="BL435" s="216"/>
      <c r="BM435" s="216"/>
      <c r="BN435" s="216"/>
      <c r="BO435" s="357" t="s">
        <v>568</v>
      </c>
      <c r="BP435" s="357"/>
      <c r="BQ435" s="357"/>
      <c r="BR435" s="357"/>
      <c r="BS435" s="357"/>
      <c r="BT435" s="352"/>
      <c r="BU435" s="358"/>
      <c r="BV435" s="358"/>
      <c r="BW435" s="358"/>
      <c r="BX435" s="358"/>
      <c r="BY435" s="359" t="s">
        <v>622</v>
      </c>
      <c r="BZ435" s="358"/>
      <c r="CA435" s="358"/>
      <c r="CB435" s="358"/>
      <c r="CC435" s="358"/>
      <c r="CD435" s="358"/>
      <c r="CE435" s="358"/>
      <c r="CF435" s="358"/>
      <c r="CG435" s="358"/>
      <c r="CH435" s="358"/>
      <c r="CI435" s="358" t="s">
        <v>719</v>
      </c>
      <c r="CJ435" s="358"/>
      <c r="CK435" s="358"/>
      <c r="CL435" s="358"/>
      <c r="CM435" s="358"/>
      <c r="CN435" s="358" t="s">
        <v>719</v>
      </c>
      <c r="CO435" s="358"/>
      <c r="CP435" s="358"/>
      <c r="CQ435" s="880" t="str">
        <f t="shared" ref="CQ435:CW435" si="1549">CQ16</f>
        <v>LSD</v>
      </c>
      <c r="CR435" s="880">
        <f t="shared" si="1549"/>
        <v>0</v>
      </c>
      <c r="CS435" s="880">
        <f t="shared" si="1549"/>
        <v>0</v>
      </c>
      <c r="CT435" s="880">
        <f t="shared" si="1549"/>
        <v>0</v>
      </c>
      <c r="CU435" s="880">
        <f t="shared" si="1549"/>
        <v>0</v>
      </c>
      <c r="CV435" s="880">
        <f t="shared" si="1549"/>
        <v>0</v>
      </c>
      <c r="CW435" s="880">
        <f t="shared" si="1549"/>
        <v>0</v>
      </c>
      <c r="CX435" s="159"/>
      <c r="CY435" s="159"/>
      <c r="CZ435" s="159"/>
      <c r="DA435" s="159"/>
      <c r="DB435" s="159"/>
      <c r="DC435" s="159"/>
      <c r="DD435" s="159"/>
      <c r="DF435" s="226"/>
      <c r="DG435" s="237"/>
      <c r="DH435" s="237"/>
      <c r="DI435" s="237"/>
      <c r="DJ435" s="237"/>
      <c r="DK435" s="237"/>
      <c r="DL435" s="237"/>
      <c r="DM435" s="237"/>
      <c r="DN435" s="237"/>
      <c r="DO435" s="237"/>
      <c r="EU435" s="286"/>
      <c r="EV435" s="287"/>
    </row>
    <row r="436" spans="1:152">
      <c r="A436" s="351" t="s">
        <v>857</v>
      </c>
      <c r="B436" s="352"/>
      <c r="C436" s="352"/>
      <c r="D436" s="352"/>
      <c r="E436" s="352"/>
      <c r="F436" s="352"/>
      <c r="G436" s="352"/>
      <c r="H436" s="352"/>
      <c r="I436" s="352"/>
      <c r="J436" s="352"/>
      <c r="K436" s="352"/>
      <c r="L436" s="352"/>
      <c r="M436" s="352"/>
      <c r="N436" s="352"/>
      <c r="O436" s="352"/>
      <c r="P436" s="352"/>
      <c r="Q436" s="352"/>
      <c r="R436" s="352"/>
      <c r="S436" s="352"/>
      <c r="T436" s="352"/>
      <c r="U436" s="352"/>
      <c r="V436" s="352"/>
      <c r="W436" s="352"/>
      <c r="X436" s="352"/>
      <c r="Y436" s="352"/>
      <c r="Z436" s="352"/>
      <c r="AA436" s="352"/>
      <c r="AB436" s="352"/>
      <c r="AC436" s="352"/>
      <c r="AD436" s="352"/>
      <c r="AE436" s="352"/>
      <c r="AF436" s="352"/>
      <c r="AG436" s="352"/>
      <c r="AH436" s="352"/>
      <c r="AI436" s="352"/>
      <c r="AJ436" s="352"/>
      <c r="AK436" s="352"/>
      <c r="AL436" s="352"/>
      <c r="AM436" s="352"/>
      <c r="AN436" s="352"/>
      <c r="AO436" s="352"/>
      <c r="AP436" s="352"/>
      <c r="AQ436" s="352"/>
      <c r="AR436" s="352"/>
      <c r="AS436" s="352"/>
      <c r="AT436" s="352"/>
      <c r="AU436" s="352"/>
      <c r="AV436" s="352"/>
      <c r="AW436" s="352"/>
      <c r="AX436" s="352"/>
      <c r="AY436" s="352"/>
      <c r="AZ436" s="352"/>
      <c r="BA436" s="353"/>
      <c r="BB436" s="353"/>
      <c r="BC436" s="353"/>
      <c r="BD436" s="353"/>
      <c r="BE436" s="352"/>
      <c r="BF436" s="353"/>
      <c r="BG436" s="353"/>
      <c r="BH436" s="352"/>
      <c r="BI436" s="352"/>
      <c r="BJ436" s="352"/>
      <c r="BK436" s="353"/>
      <c r="BL436" s="353"/>
      <c r="BM436" s="353"/>
      <c r="BN436" s="353"/>
      <c r="BO436" s="354"/>
      <c r="BP436" s="354"/>
      <c r="BQ436" s="354"/>
      <c r="BR436" s="354"/>
      <c r="BS436" s="354"/>
      <c r="BT436" s="354"/>
      <c r="BU436" s="355"/>
      <c r="BV436" s="355"/>
      <c r="BW436" s="355"/>
      <c r="BX436" s="355"/>
      <c r="BY436" s="354"/>
      <c r="BZ436" s="355"/>
      <c r="CA436" s="355"/>
      <c r="CB436" s="355"/>
      <c r="CC436" s="355"/>
      <c r="CD436" s="352"/>
      <c r="CE436" s="355"/>
      <c r="CF436" s="355"/>
      <c r="CG436" s="355"/>
      <c r="CH436" s="355"/>
      <c r="CI436" s="352"/>
      <c r="CJ436" s="355"/>
      <c r="CK436" s="355"/>
      <c r="CL436" s="355"/>
      <c r="CM436" s="355"/>
      <c r="CN436" s="352"/>
      <c r="CO436" s="355"/>
      <c r="CP436" s="355"/>
      <c r="CQ436" s="881">
        <f t="shared" ref="CQ436:CW436" si="1550">CQ17</f>
        <v>9151.2201344850291</v>
      </c>
      <c r="CR436" s="881">
        <f t="shared" si="1550"/>
        <v>9376.3743680768875</v>
      </c>
      <c r="CS436" s="881">
        <f t="shared" si="1550"/>
        <v>9603.7866105323246</v>
      </c>
      <c r="CT436" s="881">
        <f t="shared" si="1550"/>
        <v>9707.7286432659475</v>
      </c>
      <c r="CU436" s="881">
        <f t="shared" si="1550"/>
        <v>9915.0175429440587</v>
      </c>
      <c r="CV436" s="881">
        <f t="shared" si="1550"/>
        <v>10131.996129631891</v>
      </c>
      <c r="CW436" s="881">
        <f t="shared" si="1550"/>
        <v>10210.502370938169</v>
      </c>
      <c r="CX436" s="159"/>
      <c r="CY436" s="159"/>
      <c r="CZ436" s="159"/>
      <c r="DA436" s="159"/>
      <c r="DB436" s="159"/>
      <c r="DC436" s="159"/>
      <c r="DD436" s="159"/>
      <c r="DF436" s="226"/>
      <c r="DG436" s="237"/>
      <c r="DH436" s="237"/>
      <c r="DI436" s="237"/>
      <c r="DJ436" s="237"/>
      <c r="DK436" s="237"/>
      <c r="DL436" s="237"/>
      <c r="DM436" s="237"/>
      <c r="DN436" s="237"/>
      <c r="DO436" s="237"/>
      <c r="EU436" s="286"/>
      <c r="EV436" s="287"/>
    </row>
    <row r="437" spans="1:152">
      <c r="A437" s="351" t="s">
        <v>858</v>
      </c>
      <c r="B437" s="352"/>
      <c r="C437" s="352"/>
      <c r="D437" s="352"/>
      <c r="E437" s="352"/>
      <c r="F437" s="352"/>
      <c r="G437" s="352"/>
      <c r="H437" s="352"/>
      <c r="I437" s="352"/>
      <c r="J437" s="352"/>
      <c r="K437" s="352"/>
      <c r="L437" s="352"/>
      <c r="M437" s="352"/>
      <c r="N437" s="352"/>
      <c r="O437" s="352"/>
      <c r="P437" s="352"/>
      <c r="Q437" s="352"/>
      <c r="R437" s="352"/>
      <c r="S437" s="352"/>
      <c r="T437" s="352"/>
      <c r="U437" s="352"/>
      <c r="V437" s="352"/>
      <c r="W437" s="352"/>
      <c r="X437" s="352"/>
      <c r="Y437" s="352"/>
      <c r="Z437" s="352"/>
      <c r="AA437" s="352"/>
      <c r="AB437" s="352"/>
      <c r="AC437" s="352"/>
      <c r="AD437" s="352"/>
      <c r="AE437" s="352"/>
      <c r="AF437" s="352"/>
      <c r="AG437" s="352"/>
      <c r="AH437" s="352"/>
      <c r="AI437" s="352"/>
      <c r="AJ437" s="352"/>
      <c r="AK437" s="352"/>
      <c r="AL437" s="352"/>
      <c r="AM437" s="352"/>
      <c r="AN437" s="352"/>
      <c r="AO437" s="352"/>
      <c r="AP437" s="352"/>
      <c r="AQ437" s="352"/>
      <c r="AR437" s="352"/>
      <c r="AS437" s="352"/>
      <c r="AT437" s="352"/>
      <c r="AU437" s="352"/>
      <c r="AV437" s="352"/>
      <c r="AW437" s="352"/>
      <c r="AX437" s="352"/>
      <c r="AY437" s="352"/>
      <c r="AZ437" s="352"/>
      <c r="BA437" s="353"/>
      <c r="BB437" s="353"/>
      <c r="BC437" s="353"/>
      <c r="BD437" s="353"/>
      <c r="BE437" s="352"/>
      <c r="BF437" s="353"/>
      <c r="BG437" s="353"/>
      <c r="BH437" s="352"/>
      <c r="BI437" s="352"/>
      <c r="BJ437" s="352"/>
      <c r="BK437" s="353"/>
      <c r="BL437" s="353"/>
      <c r="BM437" s="353"/>
      <c r="BN437" s="353"/>
      <c r="BO437" s="354"/>
      <c r="BP437" s="354"/>
      <c r="BQ437" s="354"/>
      <c r="BR437" s="354"/>
      <c r="BS437" s="354"/>
      <c r="BT437" s="354"/>
      <c r="BU437" s="355"/>
      <c r="BV437" s="355"/>
      <c r="BW437" s="355"/>
      <c r="BX437" s="355"/>
      <c r="BY437" s="354"/>
      <c r="BZ437" s="355"/>
      <c r="CA437" s="355"/>
      <c r="CB437" s="355"/>
      <c r="CC437" s="355"/>
      <c r="CD437" s="352"/>
      <c r="CE437" s="355"/>
      <c r="CF437" s="355"/>
      <c r="CG437" s="355"/>
      <c r="CH437" s="355"/>
      <c r="CI437" s="352"/>
      <c r="CJ437" s="355"/>
      <c r="CK437" s="355"/>
      <c r="CL437" s="355"/>
      <c r="CM437" s="355"/>
      <c r="CN437" s="352"/>
      <c r="CO437" s="355"/>
      <c r="CP437" s="355"/>
      <c r="CQ437" s="881"/>
      <c r="CR437" s="881"/>
      <c r="CS437" s="881"/>
      <c r="CT437" s="881"/>
      <c r="CU437" s="881"/>
      <c r="CV437" s="881"/>
      <c r="CW437" s="881"/>
      <c r="CX437" s="159"/>
      <c r="CY437" s="159"/>
      <c r="CZ437" s="159"/>
      <c r="DA437" s="159"/>
      <c r="DB437" s="159"/>
      <c r="DC437" s="159"/>
      <c r="DD437" s="159"/>
      <c r="DF437" s="226"/>
      <c r="DG437" s="237"/>
      <c r="DH437" s="237"/>
      <c r="DI437" s="237"/>
      <c r="DJ437" s="237"/>
      <c r="DK437" s="237"/>
      <c r="DL437" s="237"/>
      <c r="DM437" s="237"/>
      <c r="DN437" s="237"/>
      <c r="DO437" s="237"/>
      <c r="EU437" s="286"/>
      <c r="EV437" s="287"/>
    </row>
    <row r="438" spans="1:152">
      <c r="A438" s="351" t="s">
        <v>785</v>
      </c>
      <c r="B438" s="352"/>
      <c r="C438" s="352"/>
      <c r="D438" s="352"/>
      <c r="E438" s="352"/>
      <c r="F438" s="352"/>
      <c r="G438" s="352"/>
      <c r="H438" s="352"/>
      <c r="I438" s="352"/>
      <c r="J438" s="352"/>
      <c r="K438" s="352"/>
      <c r="L438" s="352"/>
      <c r="M438" s="352"/>
      <c r="N438" s="352"/>
      <c r="O438" s="352"/>
      <c r="P438" s="352"/>
      <c r="Q438" s="352"/>
      <c r="R438" s="352"/>
      <c r="S438" s="352"/>
      <c r="T438" s="352"/>
      <c r="U438" s="352"/>
      <c r="V438" s="352"/>
      <c r="W438" s="352"/>
      <c r="X438" s="352"/>
      <c r="Y438" s="352"/>
      <c r="Z438" s="352"/>
      <c r="AA438" s="352"/>
      <c r="AB438" s="352"/>
      <c r="AC438" s="352"/>
      <c r="AD438" s="352"/>
      <c r="AE438" s="352"/>
      <c r="AF438" s="352"/>
      <c r="AG438" s="352"/>
      <c r="AH438" s="352"/>
      <c r="AI438" s="352"/>
      <c r="AJ438" s="352"/>
      <c r="AK438" s="352"/>
      <c r="AL438" s="352"/>
      <c r="AM438" s="352"/>
      <c r="AN438" s="352"/>
      <c r="AO438" s="352"/>
      <c r="AP438" s="352"/>
      <c r="AQ438" s="352"/>
      <c r="AR438" s="352"/>
      <c r="AS438" s="352"/>
      <c r="AT438" s="352"/>
      <c r="AU438" s="352"/>
      <c r="AV438" s="352"/>
      <c r="AW438" s="352"/>
      <c r="AX438" s="352"/>
      <c r="AY438" s="352"/>
      <c r="AZ438" s="352"/>
      <c r="BA438" s="353"/>
      <c r="BB438" s="353"/>
      <c r="BC438" s="353"/>
      <c r="BD438" s="353"/>
      <c r="BE438" s="352"/>
      <c r="BF438" s="353"/>
      <c r="BG438" s="353"/>
      <c r="BH438" s="352"/>
      <c r="BI438" s="352"/>
      <c r="BJ438" s="352"/>
      <c r="BK438" s="353"/>
      <c r="BL438" s="353"/>
      <c r="BM438" s="353"/>
      <c r="BN438" s="353"/>
      <c r="BO438" s="354"/>
      <c r="BP438" s="354"/>
      <c r="BQ438" s="354"/>
      <c r="BR438" s="354"/>
      <c r="BS438" s="354"/>
      <c r="BT438" s="354"/>
      <c r="BU438" s="355"/>
      <c r="BV438" s="355"/>
      <c r="BW438" s="355"/>
      <c r="BX438" s="355"/>
      <c r="BY438" s="354"/>
      <c r="BZ438" s="355"/>
      <c r="CA438" s="355"/>
      <c r="CB438" s="355"/>
      <c r="CC438" s="355"/>
      <c r="CD438" s="352"/>
      <c r="CE438" s="355"/>
      <c r="CF438" s="355"/>
      <c r="CG438" s="355"/>
      <c r="CH438" s="355"/>
      <c r="CI438" s="352"/>
      <c r="CJ438" s="355"/>
      <c r="CK438" s="355"/>
      <c r="CL438" s="355"/>
      <c r="CM438" s="355"/>
      <c r="CN438" s="352"/>
      <c r="CO438" s="355"/>
      <c r="CP438" s="355"/>
      <c r="CQ438" s="882">
        <f t="shared" ref="CQ438:CW438" si="1551">IFERROR(CQ429/CQ436-1,"")</f>
        <v>-1.0577954674212298E-2</v>
      </c>
      <c r="CR438" s="882">
        <f t="shared" si="1551"/>
        <v>-1.2452846321417521E-2</v>
      </c>
      <c r="CS438" s="882">
        <f t="shared" si="1551"/>
        <v>-1.2985116839578814E-2</v>
      </c>
      <c r="CT438" s="882">
        <f t="shared" si="1551"/>
        <v>5.3453433764483194E-4</v>
      </c>
      <c r="CU438" s="882">
        <f t="shared" si="1551"/>
        <v>2.1970972747249462E-3</v>
      </c>
      <c r="CV438" s="882">
        <f t="shared" si="1551"/>
        <v>3.1276077332209606E-3</v>
      </c>
      <c r="CW438" s="882">
        <f t="shared" si="1551"/>
        <v>1.7978846461621067E-2</v>
      </c>
      <c r="CX438" s="159"/>
      <c r="CY438" s="159"/>
      <c r="CZ438" s="159"/>
      <c r="DA438" s="159"/>
      <c r="DB438" s="159"/>
      <c r="DC438" s="159"/>
      <c r="DD438" s="159"/>
      <c r="DF438" s="226"/>
      <c r="DG438" s="237"/>
      <c r="DH438" s="237"/>
      <c r="DI438" s="237"/>
      <c r="DJ438" s="237"/>
      <c r="DK438" s="237"/>
      <c r="DL438" s="237"/>
      <c r="DM438" s="237"/>
      <c r="DN438" s="237"/>
      <c r="DO438" s="237"/>
      <c r="EU438" s="286"/>
      <c r="EV438" s="287"/>
    </row>
    <row r="439" spans="1:152">
      <c r="A439" s="356"/>
      <c r="B439" s="348"/>
      <c r="C439" s="348"/>
      <c r="D439" s="348"/>
      <c r="E439" s="348"/>
      <c r="F439" s="348"/>
      <c r="G439" s="348"/>
      <c r="H439" s="348"/>
      <c r="I439" s="348"/>
      <c r="J439" s="348"/>
      <c r="K439" s="348"/>
      <c r="L439" s="348"/>
      <c r="M439" s="348"/>
      <c r="N439" s="348"/>
      <c r="O439" s="348"/>
      <c r="P439" s="348"/>
      <c r="Q439" s="348"/>
      <c r="R439" s="348"/>
      <c r="S439" s="348"/>
      <c r="T439" s="348"/>
      <c r="U439" s="348"/>
      <c r="V439" s="348"/>
      <c r="W439" s="348"/>
      <c r="X439" s="348"/>
      <c r="Y439" s="348"/>
      <c r="Z439" s="348"/>
      <c r="AA439" s="348"/>
      <c r="AB439" s="348"/>
      <c r="AC439" s="348"/>
      <c r="AD439" s="348"/>
      <c r="AE439" s="348"/>
      <c r="AF439" s="348"/>
      <c r="AG439" s="348"/>
      <c r="AH439" s="348"/>
      <c r="AI439" s="348"/>
      <c r="AJ439" s="348"/>
      <c r="AK439" s="348"/>
      <c r="AL439" s="348"/>
      <c r="AM439" s="348"/>
      <c r="AN439" s="348"/>
      <c r="AO439" s="348"/>
      <c r="AP439" s="348"/>
      <c r="AQ439" s="348"/>
      <c r="AR439" s="348"/>
      <c r="AS439" s="348"/>
      <c r="AT439" s="348"/>
      <c r="AU439" s="348"/>
      <c r="AV439" s="348"/>
      <c r="AW439" s="348"/>
      <c r="AX439" s="348"/>
      <c r="AY439" s="348"/>
      <c r="AZ439" s="348"/>
      <c r="BA439" s="216"/>
      <c r="BB439" s="216"/>
      <c r="BC439" s="216"/>
      <c r="BD439" s="216"/>
      <c r="BE439" s="348"/>
      <c r="BF439" s="216"/>
      <c r="BG439" s="216"/>
      <c r="BH439" s="348"/>
      <c r="BI439" s="348"/>
      <c r="BJ439" s="348"/>
      <c r="BK439" s="216"/>
      <c r="BL439" s="216"/>
      <c r="BM439" s="216"/>
      <c r="BN439" s="216"/>
      <c r="BO439" s="348"/>
      <c r="BP439" s="348"/>
      <c r="BQ439" s="348"/>
      <c r="BR439" s="348"/>
      <c r="BS439" s="348"/>
      <c r="BT439" s="348"/>
      <c r="BU439" s="360"/>
      <c r="BV439" s="360"/>
      <c r="BW439" s="360"/>
      <c r="BX439" s="360"/>
      <c r="BY439" s="348"/>
      <c r="BZ439" s="360"/>
      <c r="CA439" s="360"/>
      <c r="CB439" s="360"/>
      <c r="CC439" s="360"/>
      <c r="CD439" s="348"/>
      <c r="CE439" s="360"/>
      <c r="CF439" s="360"/>
      <c r="CG439" s="360"/>
      <c r="CH439" s="360"/>
      <c r="CI439" s="348"/>
      <c r="CJ439" s="360"/>
      <c r="CK439" s="360"/>
      <c r="CL439" s="360"/>
      <c r="CM439" s="360"/>
      <c r="CN439" s="348"/>
      <c r="CO439" s="360"/>
      <c r="CP439" s="360"/>
      <c r="CQ439" s="348"/>
      <c r="CR439" s="348"/>
      <c r="CS439" s="348"/>
      <c r="CT439" s="348"/>
      <c r="CU439" s="348"/>
      <c r="CV439" s="348"/>
      <c r="CW439" s="348"/>
      <c r="CX439" s="159"/>
      <c r="CY439" s="159"/>
      <c r="CZ439" s="159"/>
      <c r="DA439" s="159"/>
      <c r="DB439" s="159"/>
      <c r="DC439" s="159"/>
      <c r="DD439" s="159"/>
      <c r="DF439" s="226"/>
      <c r="DG439" s="237"/>
      <c r="DH439" s="237"/>
      <c r="DI439" s="237"/>
      <c r="DJ439" s="237"/>
      <c r="DK439" s="237"/>
      <c r="DL439" s="237"/>
      <c r="DM439" s="237"/>
      <c r="DN439" s="237"/>
      <c r="DO439" s="237"/>
      <c r="EU439" s="286"/>
      <c r="EV439" s="287"/>
    </row>
    <row r="440" spans="1:152">
      <c r="A440" s="678" t="s">
        <v>689</v>
      </c>
      <c r="B440" s="348"/>
      <c r="C440" s="348"/>
      <c r="D440" s="348"/>
      <c r="E440" s="348"/>
      <c r="F440" s="348"/>
      <c r="G440" s="348"/>
      <c r="H440" s="348"/>
      <c r="I440" s="348"/>
      <c r="J440" s="348"/>
      <c r="K440" s="348"/>
      <c r="L440" s="348"/>
      <c r="M440" s="348"/>
      <c r="N440" s="348"/>
      <c r="O440" s="348"/>
      <c r="P440" s="348"/>
      <c r="Q440" s="348"/>
      <c r="R440" s="348"/>
      <c r="S440" s="348"/>
      <c r="T440" s="348"/>
      <c r="U440" s="348"/>
      <c r="V440" s="348"/>
      <c r="W440" s="348"/>
      <c r="X440" s="348"/>
      <c r="Y440" s="348"/>
      <c r="Z440" s="348"/>
      <c r="AA440" s="348"/>
      <c r="AB440" s="348"/>
      <c r="AC440" s="348"/>
      <c r="AD440" s="348"/>
      <c r="AE440" s="348"/>
      <c r="AF440" s="348"/>
      <c r="AG440" s="348"/>
      <c r="AH440" s="348"/>
      <c r="AI440" s="348"/>
      <c r="AJ440" s="348"/>
      <c r="AK440" s="348"/>
      <c r="AL440" s="348"/>
      <c r="AM440" s="348"/>
      <c r="AN440" s="348"/>
      <c r="AO440" s="348"/>
      <c r="AP440" s="348"/>
      <c r="AQ440" s="348"/>
      <c r="AR440" s="348"/>
      <c r="AS440" s="348"/>
      <c r="AT440" s="348"/>
      <c r="AU440" s="348"/>
      <c r="AV440" s="348"/>
      <c r="AW440" s="348"/>
      <c r="AX440" s="348"/>
      <c r="AY440" s="348"/>
      <c r="AZ440" s="348"/>
      <c r="BA440" s="216"/>
      <c r="BB440" s="216"/>
      <c r="BC440" s="216"/>
      <c r="BD440" s="216"/>
      <c r="BE440" s="348"/>
      <c r="BF440" s="216"/>
      <c r="BG440" s="216"/>
      <c r="BH440" s="348"/>
      <c r="BI440" s="348"/>
      <c r="BJ440" s="348"/>
      <c r="BK440" s="216"/>
      <c r="BL440" s="216"/>
      <c r="BM440" s="216"/>
      <c r="BN440" s="216"/>
      <c r="BO440" s="348"/>
      <c r="BP440" s="348"/>
      <c r="BQ440" s="348"/>
      <c r="BR440" s="348"/>
      <c r="BS440" s="348"/>
      <c r="BT440" s="348"/>
      <c r="BU440" s="360"/>
      <c r="BV440" s="360"/>
      <c r="BW440" s="360"/>
      <c r="BX440" s="360"/>
      <c r="BY440" s="348"/>
      <c r="BZ440" s="360"/>
      <c r="CA440" s="360"/>
      <c r="CB440" s="360"/>
      <c r="CC440" s="360"/>
      <c r="CD440" s="348"/>
      <c r="CE440" s="360"/>
      <c r="CF440" s="360"/>
      <c r="CG440" s="360"/>
      <c r="CH440" s="360"/>
      <c r="CI440" s="348"/>
      <c r="CJ440" s="360"/>
      <c r="CK440" s="360"/>
      <c r="CL440" s="360"/>
      <c r="CM440" s="360"/>
      <c r="CN440" s="348"/>
      <c r="CO440" s="360"/>
      <c r="CP440" s="360"/>
      <c r="CQ440" s="348"/>
      <c r="CR440" s="348"/>
      <c r="CS440" s="348"/>
      <c r="CT440" s="348"/>
      <c r="CU440" s="348"/>
      <c r="CV440" s="348"/>
      <c r="CW440" s="348"/>
      <c r="CX440" s="159"/>
      <c r="CY440" s="159"/>
      <c r="CZ440" s="159"/>
      <c r="DA440" s="159"/>
      <c r="DB440" s="159"/>
      <c r="DC440" s="159"/>
      <c r="DD440" s="159"/>
      <c r="DF440" s="226"/>
      <c r="DG440" s="237"/>
      <c r="DH440" s="237"/>
      <c r="DI440" s="237"/>
      <c r="DJ440" s="237"/>
      <c r="DK440" s="237"/>
      <c r="DL440" s="237"/>
      <c r="DM440" s="237"/>
      <c r="DN440" s="237"/>
      <c r="DO440" s="237"/>
      <c r="EU440" s="286"/>
      <c r="EV440" s="287"/>
    </row>
    <row r="441" spans="1:152">
      <c r="A441" s="137" t="s">
        <v>642</v>
      </c>
      <c r="B441" s="348"/>
      <c r="C441" s="348"/>
      <c r="D441" s="348"/>
      <c r="E441" s="348"/>
      <c r="F441" s="348"/>
      <c r="G441" s="348"/>
      <c r="H441" s="348"/>
      <c r="I441" s="348"/>
      <c r="J441" s="348"/>
      <c r="K441" s="348"/>
      <c r="L441" s="348"/>
      <c r="M441" s="348"/>
      <c r="N441" s="348"/>
      <c r="O441" s="348"/>
      <c r="P441" s="348"/>
      <c r="Q441" s="348"/>
      <c r="R441" s="348"/>
      <c r="S441" s="348"/>
      <c r="T441" s="348"/>
      <c r="U441" s="348"/>
      <c r="V441" s="348"/>
      <c r="W441" s="348"/>
      <c r="X441" s="348"/>
      <c r="Y441" s="348"/>
      <c r="Z441" s="348"/>
      <c r="AA441" s="348"/>
      <c r="AB441" s="348"/>
      <c r="AC441" s="348"/>
      <c r="AD441" s="348"/>
      <c r="AE441" s="348"/>
      <c r="AF441" s="348"/>
      <c r="AG441" s="348"/>
      <c r="AH441" s="348"/>
      <c r="AI441" s="348"/>
      <c r="AJ441" s="348"/>
      <c r="AK441" s="348"/>
      <c r="AL441" s="348"/>
      <c r="AM441" s="348"/>
      <c r="AN441" s="348"/>
      <c r="AO441" s="348"/>
      <c r="AP441" s="348"/>
      <c r="AQ441" s="348"/>
      <c r="AR441" s="348"/>
      <c r="AS441" s="348"/>
      <c r="AT441" s="348"/>
      <c r="AU441" s="348"/>
      <c r="AV441" s="348"/>
      <c r="AW441" s="348"/>
      <c r="AX441" s="348"/>
      <c r="AY441" s="348"/>
      <c r="AZ441" s="348"/>
      <c r="BA441" s="216"/>
      <c r="BB441" s="216"/>
      <c r="BC441" s="216"/>
      <c r="BD441" s="216"/>
      <c r="BE441" s="348"/>
      <c r="BF441" s="216"/>
      <c r="BG441" s="216"/>
      <c r="BH441" s="348"/>
      <c r="BI441" s="348"/>
      <c r="BJ441" s="348"/>
      <c r="BK441" s="216"/>
      <c r="BL441" s="216"/>
      <c r="BM441" s="216"/>
      <c r="BN441" s="216"/>
      <c r="BO441" s="348"/>
      <c r="BP441" s="348">
        <f t="shared" ref="BP441:CW441" si="1552">IFERROR(BP408/BP$429,"")</f>
        <v>0.37950279046169455</v>
      </c>
      <c r="BQ441" s="348">
        <f t="shared" si="1552"/>
        <v>0.38357536304456685</v>
      </c>
      <c r="BR441" s="348">
        <f t="shared" si="1552"/>
        <v>0.38514510575504179</v>
      </c>
      <c r="BS441" s="348">
        <f t="shared" si="1552"/>
        <v>0.37996031746031744</v>
      </c>
      <c r="BT441" s="348">
        <f t="shared" si="1552"/>
        <v>0.38206311587875763</v>
      </c>
      <c r="BU441" s="348">
        <f t="shared" si="1552"/>
        <v>0.38669950738916259</v>
      </c>
      <c r="BV441" s="348">
        <f t="shared" si="1552"/>
        <v>0.3886756238003839</v>
      </c>
      <c r="BW441" s="348">
        <f t="shared" si="1552"/>
        <v>0.39373814041745731</v>
      </c>
      <c r="BX441" s="348">
        <f t="shared" si="1552"/>
        <v>0.40208136234626302</v>
      </c>
      <c r="BY441" s="348">
        <f t="shared" si="1552"/>
        <v>0.39287428023032628</v>
      </c>
      <c r="BZ441" s="348">
        <f t="shared" si="1552"/>
        <v>0.40909090909090912</v>
      </c>
      <c r="CA441" s="348">
        <f t="shared" si="1552"/>
        <v>0.412210127780407</v>
      </c>
      <c r="CB441" s="348">
        <f t="shared" si="1552"/>
        <v>0.41118881118881118</v>
      </c>
      <c r="CC441" s="348">
        <f t="shared" si="1552"/>
        <v>0.41008174386920981</v>
      </c>
      <c r="CD441" s="348">
        <f t="shared" si="1552"/>
        <v>0.41063929071395239</v>
      </c>
      <c r="CE441" s="348">
        <f t="shared" si="1552"/>
        <v>0.4157918758557736</v>
      </c>
      <c r="CF441" s="348">
        <f t="shared" si="1552"/>
        <v>0.41335740072202165</v>
      </c>
      <c r="CG441" s="348">
        <f t="shared" si="1552"/>
        <v>0.41798463624039767</v>
      </c>
      <c r="CH441" s="348">
        <f t="shared" si="1552"/>
        <v>0.42170818505338076</v>
      </c>
      <c r="CI441" s="348">
        <f t="shared" si="1552"/>
        <v>0.41723049165539017</v>
      </c>
      <c r="CJ441" s="348">
        <f t="shared" si="1552"/>
        <v>0.42561031782588671</v>
      </c>
      <c r="CK441" s="348">
        <f t="shared" si="1552"/>
        <v>0.42332123411978223</v>
      </c>
      <c r="CL441" s="348">
        <f t="shared" ref="CL441:CP441" si="1553">IFERROR(CL408/CL$429,"")</f>
        <v>0.42481035252119592</v>
      </c>
      <c r="CM441" s="348">
        <f t="shared" si="1553"/>
        <v>0.42508710801393729</v>
      </c>
      <c r="CN441" s="348">
        <f t="shared" si="1553"/>
        <v>0.42470825852782768</v>
      </c>
      <c r="CO441" s="348">
        <f t="shared" si="1553"/>
        <v>0.42952720785013382</v>
      </c>
      <c r="CP441" s="348">
        <f t="shared" si="1553"/>
        <v>0.43161634103019536</v>
      </c>
      <c r="CQ441" s="348">
        <f t="shared" si="1552"/>
        <v>0.43086179851134565</v>
      </c>
      <c r="CR441" s="348">
        <f t="shared" si="1552"/>
        <v>0.42802370862799705</v>
      </c>
      <c r="CS441" s="348">
        <f t="shared" si="1552"/>
        <v>0.42785374439227608</v>
      </c>
      <c r="CT441" s="348">
        <f t="shared" si="1552"/>
        <v>0.42697730907541492</v>
      </c>
      <c r="CU441" s="348">
        <f t="shared" si="1552"/>
        <v>0.42650574923093204</v>
      </c>
      <c r="CV441" s="348">
        <f t="shared" si="1552"/>
        <v>0.42588231849896041</v>
      </c>
      <c r="CW441" s="348">
        <f t="shared" si="1552"/>
        <v>0.42511015679042297</v>
      </c>
      <c r="CX441" s="159"/>
      <c r="CY441" s="159"/>
      <c r="CZ441" s="159"/>
      <c r="DA441" s="159"/>
      <c r="DB441" s="159"/>
      <c r="DC441" s="159"/>
      <c r="DD441" s="159"/>
      <c r="DF441" s="226"/>
      <c r="DG441" s="237"/>
      <c r="DH441" s="237"/>
      <c r="DI441" s="237"/>
      <c r="DJ441" s="237"/>
      <c r="DK441" s="237"/>
      <c r="DL441" s="237"/>
      <c r="DM441" s="237"/>
      <c r="DN441" s="237"/>
      <c r="DO441" s="237"/>
      <c r="EU441" s="286"/>
      <c r="EV441" s="287"/>
    </row>
    <row r="442" spans="1:152">
      <c r="A442" s="137" t="s">
        <v>534</v>
      </c>
      <c r="B442" s="348"/>
      <c r="C442" s="348"/>
      <c r="D442" s="348"/>
      <c r="E442" s="348"/>
      <c r="F442" s="348"/>
      <c r="G442" s="348"/>
      <c r="H442" s="348"/>
      <c r="I442" s="348"/>
      <c r="J442" s="348"/>
      <c r="K442" s="348"/>
      <c r="L442" s="348"/>
      <c r="M442" s="348"/>
      <c r="N442" s="348"/>
      <c r="O442" s="348"/>
      <c r="P442" s="348"/>
      <c r="Q442" s="348"/>
      <c r="R442" s="348"/>
      <c r="S442" s="348"/>
      <c r="T442" s="348"/>
      <c r="U442" s="348"/>
      <c r="V442" s="348"/>
      <c r="W442" s="348"/>
      <c r="X442" s="348"/>
      <c r="Y442" s="348"/>
      <c r="Z442" s="348"/>
      <c r="AA442" s="348"/>
      <c r="AB442" s="348"/>
      <c r="AC442" s="348"/>
      <c r="AD442" s="348"/>
      <c r="AE442" s="348"/>
      <c r="AF442" s="348"/>
      <c r="AG442" s="348"/>
      <c r="AH442" s="348"/>
      <c r="AI442" s="348"/>
      <c r="AJ442" s="348"/>
      <c r="AK442" s="348"/>
      <c r="AL442" s="348"/>
      <c r="AM442" s="348"/>
      <c r="AN442" s="348"/>
      <c r="AO442" s="348"/>
      <c r="AP442" s="348"/>
      <c r="AQ442" s="348"/>
      <c r="AR442" s="348"/>
      <c r="AS442" s="348"/>
      <c r="AT442" s="348"/>
      <c r="AU442" s="348"/>
      <c r="AV442" s="348"/>
      <c r="AW442" s="348"/>
      <c r="AX442" s="348"/>
      <c r="AY442" s="348"/>
      <c r="AZ442" s="348"/>
      <c r="BA442" s="216"/>
      <c r="BB442" s="216"/>
      <c r="BC442" s="216"/>
      <c r="BD442" s="216"/>
      <c r="BE442" s="348"/>
      <c r="BF442" s="216"/>
      <c r="BG442" s="216"/>
      <c r="BH442" s="348"/>
      <c r="BI442" s="348"/>
      <c r="BJ442" s="348"/>
      <c r="BK442" s="216"/>
      <c r="BL442" s="216"/>
      <c r="BM442" s="216"/>
      <c r="BN442" s="216"/>
      <c r="BO442" s="348"/>
      <c r="BP442" s="348">
        <f t="shared" ref="BP442:CW442" si="1554">IFERROR(BP409/BP$429,"")</f>
        <v>0.35007610350076102</v>
      </c>
      <c r="BQ442" s="348">
        <f t="shared" si="1554"/>
        <v>0.343014521782674</v>
      </c>
      <c r="BR442" s="348">
        <f t="shared" si="1554"/>
        <v>0.33694048204623711</v>
      </c>
      <c r="BS442" s="348">
        <f t="shared" si="1554"/>
        <v>0.32490079365079366</v>
      </c>
      <c r="BT442" s="348">
        <f t="shared" si="1554"/>
        <v>0.3386553573655981</v>
      </c>
      <c r="BU442" s="348">
        <f t="shared" si="1554"/>
        <v>0.32364532019704434</v>
      </c>
      <c r="BV442" s="348">
        <f t="shared" si="1554"/>
        <v>0.32581573896353166</v>
      </c>
      <c r="BW442" s="348">
        <f t="shared" si="1554"/>
        <v>0.3206831119544592</v>
      </c>
      <c r="BX442" s="348">
        <f t="shared" si="1554"/>
        <v>0.32213812677388837</v>
      </c>
      <c r="BY442" s="348">
        <f t="shared" si="1554"/>
        <v>0.3230566218809981</v>
      </c>
      <c r="BZ442" s="348">
        <f t="shared" si="1554"/>
        <v>0.31297348484848486</v>
      </c>
      <c r="CA442" s="348">
        <f t="shared" si="1554"/>
        <v>0.30809275911026973</v>
      </c>
      <c r="CB442" s="348">
        <f t="shared" si="1554"/>
        <v>0.30396270396270397</v>
      </c>
      <c r="CC442" s="348">
        <f t="shared" si="1554"/>
        <v>0.2974568574023615</v>
      </c>
      <c r="CD442" s="348">
        <f t="shared" si="1554"/>
        <v>0.30552963135790945</v>
      </c>
      <c r="CE442" s="348">
        <f t="shared" si="1554"/>
        <v>0.29621177544500227</v>
      </c>
      <c r="CF442" s="348">
        <f t="shared" si="1554"/>
        <v>0.29241877256317689</v>
      </c>
      <c r="CG442" s="348">
        <f t="shared" si="1554"/>
        <v>0.28965205603253502</v>
      </c>
      <c r="CH442" s="348">
        <f t="shared" si="1554"/>
        <v>0.27891459074733094</v>
      </c>
      <c r="CI442" s="348">
        <f t="shared" si="1554"/>
        <v>0.28924221921515564</v>
      </c>
      <c r="CJ442" s="348">
        <f t="shared" si="1554"/>
        <v>0.27406725011515432</v>
      </c>
      <c r="CK442" s="348">
        <f t="shared" si="1554"/>
        <v>0.27676950998185118</v>
      </c>
      <c r="CL442" s="348">
        <f t="shared" ref="CL442:CP442" si="1555">IFERROR(CL409/CL$429,"")</f>
        <v>0.27487728692547969</v>
      </c>
      <c r="CM442" s="348">
        <f t="shared" si="1555"/>
        <v>0.27177700348432055</v>
      </c>
      <c r="CN442" s="348">
        <f t="shared" si="1555"/>
        <v>0.2743491921005386</v>
      </c>
      <c r="CO442" s="348">
        <f t="shared" si="1555"/>
        <v>0.27163247100802856</v>
      </c>
      <c r="CP442" s="348">
        <f t="shared" si="1555"/>
        <v>0.27175843694493784</v>
      </c>
      <c r="CQ442" s="348">
        <f t="shared" si="1554"/>
        <v>0.27280773203837538</v>
      </c>
      <c r="CR442" s="348">
        <f t="shared" si="1554"/>
        <v>0.26772883475710957</v>
      </c>
      <c r="CS442" s="348">
        <f t="shared" si="1554"/>
        <v>0.26307558318557284</v>
      </c>
      <c r="CT442" s="348">
        <f t="shared" si="1554"/>
        <v>0.25808021791168367</v>
      </c>
      <c r="CU442" s="348">
        <f t="shared" si="1554"/>
        <v>0.25342296765440819</v>
      </c>
      <c r="CV442" s="348">
        <f t="shared" si="1554"/>
        <v>0.24876421825155401</v>
      </c>
      <c r="CW442" s="348">
        <f t="shared" si="1554"/>
        <v>0.24410837356290374</v>
      </c>
      <c r="CX442" s="159"/>
      <c r="CY442" s="159"/>
      <c r="CZ442" s="159"/>
      <c r="DA442" s="159"/>
      <c r="DB442" s="159"/>
      <c r="DC442" s="159"/>
      <c r="DD442" s="159"/>
      <c r="DF442" s="226"/>
      <c r="DG442" s="237"/>
      <c r="DH442" s="237"/>
      <c r="DI442" s="237"/>
      <c r="DJ442" s="237"/>
      <c r="DK442" s="237"/>
      <c r="DL442" s="237"/>
      <c r="DM442" s="237"/>
      <c r="DN442" s="237"/>
      <c r="DO442" s="237"/>
      <c r="EU442" s="286"/>
      <c r="EV442" s="287"/>
    </row>
    <row r="443" spans="1:152">
      <c r="A443" s="137" t="s">
        <v>619</v>
      </c>
      <c r="B443" s="348"/>
      <c r="C443" s="348"/>
      <c r="D443" s="348"/>
      <c r="E443" s="348"/>
      <c r="F443" s="348"/>
      <c r="G443" s="348"/>
      <c r="H443" s="348"/>
      <c r="I443" s="348"/>
      <c r="J443" s="348"/>
      <c r="K443" s="348"/>
      <c r="L443" s="348"/>
      <c r="M443" s="348"/>
      <c r="N443" s="348"/>
      <c r="O443" s="348"/>
      <c r="P443" s="348"/>
      <c r="Q443" s="348"/>
      <c r="R443" s="348"/>
      <c r="S443" s="348"/>
      <c r="T443" s="348"/>
      <c r="U443" s="348"/>
      <c r="V443" s="348"/>
      <c r="W443" s="348"/>
      <c r="X443" s="348"/>
      <c r="Y443" s="348"/>
      <c r="Z443" s="348"/>
      <c r="AA443" s="348"/>
      <c r="AB443" s="348"/>
      <c r="AC443" s="348"/>
      <c r="AD443" s="348"/>
      <c r="AE443" s="348"/>
      <c r="AF443" s="348"/>
      <c r="AG443" s="348"/>
      <c r="AH443" s="348"/>
      <c r="AI443" s="348"/>
      <c r="AJ443" s="348"/>
      <c r="AK443" s="348"/>
      <c r="AL443" s="348"/>
      <c r="AM443" s="348"/>
      <c r="AN443" s="348"/>
      <c r="AO443" s="348"/>
      <c r="AP443" s="348"/>
      <c r="AQ443" s="348"/>
      <c r="AR443" s="348"/>
      <c r="AS443" s="348"/>
      <c r="AT443" s="348"/>
      <c r="AU443" s="348"/>
      <c r="AV443" s="348"/>
      <c r="AW443" s="348"/>
      <c r="AX443" s="348"/>
      <c r="AY443" s="348"/>
      <c r="AZ443" s="348"/>
      <c r="BA443" s="216"/>
      <c r="BB443" s="216"/>
      <c r="BC443" s="216"/>
      <c r="BD443" s="216"/>
      <c r="BE443" s="348"/>
      <c r="BF443" s="216"/>
      <c r="BG443" s="216"/>
      <c r="BH443" s="348"/>
      <c r="BI443" s="348"/>
      <c r="BJ443" s="348"/>
      <c r="BK443" s="216"/>
      <c r="BL443" s="216"/>
      <c r="BM443" s="216"/>
      <c r="BN443" s="216"/>
      <c r="BO443" s="348"/>
      <c r="BP443" s="348">
        <f t="shared" ref="BP443:CW443" si="1556">IFERROR(BP412/BP$429,"")</f>
        <v>6.798579401319127E-2</v>
      </c>
      <c r="BQ443" s="348">
        <f t="shared" si="1556"/>
        <v>7.0605908863294944E-2</v>
      </c>
      <c r="BR443" s="348">
        <f t="shared" si="1556"/>
        <v>7.2798819478603047E-2</v>
      </c>
      <c r="BS443" s="348">
        <f t="shared" si="1556"/>
        <v>7.7876984126984128E-2</v>
      </c>
      <c r="BT443" s="348">
        <f t="shared" si="1556"/>
        <v>7.2346264188599227E-2</v>
      </c>
      <c r="BU443" s="348">
        <f t="shared" si="1556"/>
        <v>8.0295566502463056E-2</v>
      </c>
      <c r="BV443" s="348">
        <f t="shared" si="1556"/>
        <v>8.3013435700575816E-2</v>
      </c>
      <c r="BW443" s="348">
        <f t="shared" si="1556"/>
        <v>8.5388994307400379E-2</v>
      </c>
      <c r="BX443" s="348">
        <f t="shared" si="1556"/>
        <v>8.845789971617786E-2</v>
      </c>
      <c r="BY443" s="348">
        <f t="shared" si="1556"/>
        <v>8.4333013435700571E-2</v>
      </c>
      <c r="BZ443" s="348">
        <f t="shared" si="1556"/>
        <v>9.0909090909090912E-2</v>
      </c>
      <c r="CA443" s="348">
        <f t="shared" si="1556"/>
        <v>9.5125414103170852E-2</v>
      </c>
      <c r="CB443" s="348">
        <f t="shared" si="1556"/>
        <v>9.37062937062937E-2</v>
      </c>
      <c r="CC443" s="348">
        <f t="shared" si="1556"/>
        <v>9.7638510445049953E-2</v>
      </c>
      <c r="CD443" s="348">
        <f t="shared" si="1556"/>
        <v>9.4377041530564629E-2</v>
      </c>
      <c r="CE443" s="348">
        <f t="shared" si="1556"/>
        <v>9.8585120949338204E-2</v>
      </c>
      <c r="CF443" s="348">
        <f t="shared" si="1556"/>
        <v>0.10108303249097472</v>
      </c>
      <c r="CG443" s="348">
        <f t="shared" si="1556"/>
        <v>0.10167193854496159</v>
      </c>
      <c r="CH443" s="348">
        <f t="shared" si="1556"/>
        <v>9.8754448398576514E-2</v>
      </c>
      <c r="CI443" s="348">
        <f t="shared" si="1556"/>
        <v>0.10002255299954894</v>
      </c>
      <c r="CJ443" s="348">
        <f t="shared" si="1556"/>
        <v>0.10594196222938738</v>
      </c>
      <c r="CK443" s="348">
        <f t="shared" si="1556"/>
        <v>0</v>
      </c>
      <c r="CL443" s="348">
        <f t="shared" ref="CL443:CP443" si="1557">IFERROR(CL412/CL$429,"")</f>
        <v>0</v>
      </c>
      <c r="CM443" s="348">
        <f t="shared" si="1557"/>
        <v>0</v>
      </c>
      <c r="CN443" s="348">
        <f t="shared" si="1557"/>
        <v>0.10323159784560143</v>
      </c>
      <c r="CO443" s="348">
        <f t="shared" si="1557"/>
        <v>0</v>
      </c>
      <c r="CP443" s="348">
        <f t="shared" si="1557"/>
        <v>0</v>
      </c>
      <c r="CQ443" s="348">
        <f t="shared" si="1556"/>
        <v>0.10149052321336095</v>
      </c>
      <c r="CR443" s="348">
        <f t="shared" si="1556"/>
        <v>0.10471202671652489</v>
      </c>
      <c r="CS443" s="348">
        <f t="shared" si="1556"/>
        <v>0.10491039620724203</v>
      </c>
      <c r="CT443" s="348">
        <f t="shared" si="1556"/>
        <v>0.10622411570124063</v>
      </c>
      <c r="CU443" s="348">
        <f t="shared" si="1556"/>
        <v>0.10633274897090299</v>
      </c>
      <c r="CV443" s="348">
        <f t="shared" si="1556"/>
        <v>0.10640518661459068</v>
      </c>
      <c r="CW443" s="348">
        <f t="shared" si="1556"/>
        <v>0.10643853443426354</v>
      </c>
      <c r="CX443" s="159"/>
      <c r="CY443" s="159"/>
      <c r="CZ443" s="159"/>
      <c r="DA443" s="159"/>
      <c r="DB443" s="159"/>
      <c r="DC443" s="159"/>
      <c r="DD443" s="159"/>
      <c r="DF443" s="226"/>
      <c r="DG443" s="237"/>
      <c r="DH443" s="237"/>
      <c r="DI443" s="237"/>
      <c r="DJ443" s="237"/>
      <c r="DK443" s="237"/>
      <c r="DL443" s="237"/>
      <c r="DM443" s="237"/>
      <c r="DN443" s="237"/>
      <c r="DO443" s="237"/>
      <c r="EU443" s="286"/>
      <c r="EV443" s="287"/>
    </row>
    <row r="444" spans="1:152">
      <c r="A444" s="137" t="s">
        <v>644</v>
      </c>
      <c r="B444" s="348"/>
      <c r="C444" s="348"/>
      <c r="D444" s="348"/>
      <c r="E444" s="348"/>
      <c r="F444" s="348"/>
      <c r="G444" s="348"/>
      <c r="H444" s="348"/>
      <c r="I444" s="348"/>
      <c r="J444" s="348"/>
      <c r="K444" s="348"/>
      <c r="L444" s="348"/>
      <c r="M444" s="348"/>
      <c r="N444" s="348"/>
      <c r="O444" s="348"/>
      <c r="P444" s="348"/>
      <c r="Q444" s="348"/>
      <c r="R444" s="348"/>
      <c r="S444" s="348"/>
      <c r="T444" s="348"/>
      <c r="U444" s="348"/>
      <c r="V444" s="348"/>
      <c r="W444" s="348"/>
      <c r="X444" s="348"/>
      <c r="Y444" s="348"/>
      <c r="Z444" s="348"/>
      <c r="AA444" s="348"/>
      <c r="AB444" s="348"/>
      <c r="AC444" s="348"/>
      <c r="AD444" s="348"/>
      <c r="AE444" s="348"/>
      <c r="AF444" s="348"/>
      <c r="AG444" s="348"/>
      <c r="AH444" s="348"/>
      <c r="AI444" s="348"/>
      <c r="AJ444" s="348"/>
      <c r="AK444" s="348"/>
      <c r="AL444" s="348"/>
      <c r="AM444" s="348"/>
      <c r="AN444" s="348"/>
      <c r="AO444" s="348"/>
      <c r="AP444" s="348"/>
      <c r="AQ444" s="348"/>
      <c r="AR444" s="348"/>
      <c r="AS444" s="348"/>
      <c r="AT444" s="348"/>
      <c r="AU444" s="348"/>
      <c r="AV444" s="348"/>
      <c r="AW444" s="348"/>
      <c r="AX444" s="348"/>
      <c r="AY444" s="348"/>
      <c r="AZ444" s="348"/>
      <c r="BA444" s="216"/>
      <c r="BB444" s="216"/>
      <c r="BC444" s="216"/>
      <c r="BD444" s="216"/>
      <c r="BE444" s="348"/>
      <c r="BF444" s="216"/>
      <c r="BG444" s="216"/>
      <c r="BH444" s="348"/>
      <c r="BI444" s="348"/>
      <c r="BJ444" s="348"/>
      <c r="BK444" s="216"/>
      <c r="BL444" s="216"/>
      <c r="BM444" s="216"/>
      <c r="BN444" s="216"/>
      <c r="BO444" s="348"/>
      <c r="BP444" s="348">
        <f t="shared" ref="BP444:CW444" si="1558">IFERROR(BP413/BP$429,"")</f>
        <v>1.5728056823947234E-2</v>
      </c>
      <c r="BQ444" s="348">
        <f t="shared" si="1558"/>
        <v>1.7025538307461192E-2</v>
      </c>
      <c r="BR444" s="348">
        <f t="shared" si="1558"/>
        <v>1.8199704869650762E-2</v>
      </c>
      <c r="BS444" s="348">
        <f t="shared" si="1558"/>
        <v>1.9345238095238096E-2</v>
      </c>
      <c r="BT444" s="348">
        <f t="shared" si="1558"/>
        <v>1.7587626294124983E-2</v>
      </c>
      <c r="BU444" s="348">
        <f t="shared" si="1558"/>
        <v>1.8226600985221674E-2</v>
      </c>
      <c r="BV444" s="348">
        <f t="shared" si="1558"/>
        <v>1.7274472168905951E-2</v>
      </c>
      <c r="BW444" s="348">
        <f t="shared" si="1558"/>
        <v>1.6603415559772294E-2</v>
      </c>
      <c r="BX444" s="348">
        <f t="shared" si="1558"/>
        <v>1.5137180700094607E-2</v>
      </c>
      <c r="BY444" s="348">
        <f t="shared" si="1558"/>
        <v>1.6794625719769675E-2</v>
      </c>
      <c r="BZ444" s="348">
        <f t="shared" si="1558"/>
        <v>1.4204545454545454E-2</v>
      </c>
      <c r="CA444" s="348">
        <f t="shared" si="1558"/>
        <v>1.3251301467108376E-2</v>
      </c>
      <c r="CB444" s="348">
        <f t="shared" si="1558"/>
        <v>1.3053613053613054E-2</v>
      </c>
      <c r="CC444" s="348">
        <f t="shared" si="1558"/>
        <v>1.2715712988192553E-2</v>
      </c>
      <c r="CD444" s="348">
        <f t="shared" si="1558"/>
        <v>1.3299113392440503E-2</v>
      </c>
      <c r="CE444" s="348">
        <f t="shared" si="1558"/>
        <v>1.2779552715654952E-2</v>
      </c>
      <c r="CF444" s="348">
        <f t="shared" si="1558"/>
        <v>1.2184115523465704E-2</v>
      </c>
      <c r="CG444" s="348">
        <f t="shared" si="1558"/>
        <v>1.1748757342973339E-2</v>
      </c>
      <c r="CH444" s="348">
        <f t="shared" si="1558"/>
        <v>1.1120996441281139E-2</v>
      </c>
      <c r="CI444" s="348">
        <f t="shared" si="1558"/>
        <v>1.1953089760938205E-2</v>
      </c>
      <c r="CJ444" s="348">
        <f t="shared" si="1558"/>
        <v>1.1054813450023031E-2</v>
      </c>
      <c r="CK444" s="348">
        <f t="shared" si="1558"/>
        <v>0</v>
      </c>
      <c r="CL444" s="348">
        <f t="shared" ref="CL444:CP444" si="1559">IFERROR(CL413/CL$429,"")</f>
        <v>0</v>
      </c>
      <c r="CM444" s="348">
        <f t="shared" si="1559"/>
        <v>0</v>
      </c>
      <c r="CN444" s="348">
        <f t="shared" si="1559"/>
        <v>1.0884201077199281E-2</v>
      </c>
      <c r="CO444" s="348">
        <f t="shared" si="1559"/>
        <v>0</v>
      </c>
      <c r="CP444" s="348">
        <f t="shared" si="1559"/>
        <v>0</v>
      </c>
      <c r="CQ444" s="348">
        <f t="shared" si="1558"/>
        <v>1.0492114469334436E-2</v>
      </c>
      <c r="CR444" s="348">
        <f t="shared" si="1558"/>
        <v>1.0259609350455811E-2</v>
      </c>
      <c r="CS444" s="348">
        <f t="shared" si="1558"/>
        <v>1.0022069314746963E-2</v>
      </c>
      <c r="CT444" s="348">
        <f t="shared" si="1558"/>
        <v>9.7807890863685649E-3</v>
      </c>
      <c r="CU444" s="348">
        <f t="shared" si="1558"/>
        <v>9.5604201334437144E-3</v>
      </c>
      <c r="CV444" s="348">
        <f t="shared" si="1558"/>
        <v>9.3470035360914971E-3</v>
      </c>
      <c r="CW444" s="348">
        <f t="shared" si="1558"/>
        <v>9.1398220728899429E-3</v>
      </c>
      <c r="CX444" s="159"/>
      <c r="CY444" s="159"/>
      <c r="CZ444" s="159"/>
      <c r="DA444" s="159"/>
      <c r="DB444" s="159"/>
      <c r="DC444" s="159"/>
      <c r="DD444" s="159"/>
      <c r="DF444" s="226"/>
      <c r="DG444" s="237"/>
      <c r="DH444" s="237"/>
      <c r="DI444" s="237"/>
      <c r="DJ444" s="237"/>
      <c r="DK444" s="237"/>
      <c r="DL444" s="237"/>
      <c r="DM444" s="237"/>
      <c r="DN444" s="237"/>
      <c r="DO444" s="237"/>
      <c r="EU444" s="286"/>
      <c r="EV444" s="287"/>
    </row>
    <row r="445" spans="1:152">
      <c r="A445" s="137" t="s">
        <v>647</v>
      </c>
      <c r="B445" s="348"/>
      <c r="C445" s="348"/>
      <c r="D445" s="348"/>
      <c r="E445" s="348"/>
      <c r="F445" s="348"/>
      <c r="G445" s="348"/>
      <c r="H445" s="348"/>
      <c r="I445" s="348"/>
      <c r="J445" s="348"/>
      <c r="K445" s="348"/>
      <c r="L445" s="348"/>
      <c r="M445" s="348"/>
      <c r="N445" s="348"/>
      <c r="O445" s="348"/>
      <c r="P445" s="348"/>
      <c r="Q445" s="348"/>
      <c r="R445" s="348"/>
      <c r="S445" s="348"/>
      <c r="T445" s="348"/>
      <c r="U445" s="348"/>
      <c r="V445" s="348"/>
      <c r="W445" s="348"/>
      <c r="X445" s="348"/>
      <c r="Y445" s="348"/>
      <c r="Z445" s="348"/>
      <c r="AA445" s="348"/>
      <c r="AB445" s="348"/>
      <c r="AC445" s="348"/>
      <c r="AD445" s="348"/>
      <c r="AE445" s="348"/>
      <c r="AF445" s="348"/>
      <c r="AG445" s="348"/>
      <c r="AH445" s="348"/>
      <c r="AI445" s="348"/>
      <c r="AJ445" s="348"/>
      <c r="AK445" s="348"/>
      <c r="AL445" s="348"/>
      <c r="AM445" s="348"/>
      <c r="AN445" s="348"/>
      <c r="AO445" s="348"/>
      <c r="AP445" s="348"/>
      <c r="AQ445" s="348"/>
      <c r="AR445" s="348"/>
      <c r="AS445" s="348"/>
      <c r="AT445" s="348"/>
      <c r="AU445" s="348"/>
      <c r="AV445" s="348"/>
      <c r="AW445" s="348"/>
      <c r="AX445" s="348"/>
      <c r="AY445" s="348"/>
      <c r="AZ445" s="348"/>
      <c r="BA445" s="216"/>
      <c r="BB445" s="216"/>
      <c r="BC445" s="216"/>
      <c r="BD445" s="216"/>
      <c r="BE445" s="348"/>
      <c r="BF445" s="216"/>
      <c r="BG445" s="216"/>
      <c r="BH445" s="348"/>
      <c r="BI445" s="348"/>
      <c r="BJ445" s="348"/>
      <c r="BK445" s="216"/>
      <c r="BL445" s="216"/>
      <c r="BM445" s="216"/>
      <c r="BN445" s="216"/>
      <c r="BO445" s="348"/>
      <c r="BP445" s="348">
        <f t="shared" ref="BP445:CW445" si="1560">IFERROR(BP426/BP$429,"")</f>
        <v>0.18670725520040587</v>
      </c>
      <c r="BQ445" s="348">
        <f t="shared" si="1560"/>
        <v>0.18577866800200302</v>
      </c>
      <c r="BR445" s="348">
        <f t="shared" si="1560"/>
        <v>0.18691588785046728</v>
      </c>
      <c r="BS445" s="348">
        <f t="shared" si="1560"/>
        <v>0.19791666666666666</v>
      </c>
      <c r="BT445" s="348">
        <f t="shared" si="1560"/>
        <v>0.18934763627292003</v>
      </c>
      <c r="BU445" s="348">
        <f t="shared" si="1560"/>
        <v>0.19113300492610838</v>
      </c>
      <c r="BV445" s="348">
        <f t="shared" si="1560"/>
        <v>0.18522072936660269</v>
      </c>
      <c r="BW445" s="348">
        <f t="shared" si="1560"/>
        <v>0.18358633776091082</v>
      </c>
      <c r="BX445" s="348">
        <f t="shared" si="1560"/>
        <v>0.17218543046357615</v>
      </c>
      <c r="BY445" s="348">
        <f t="shared" si="1560"/>
        <v>0.18294145873320539</v>
      </c>
      <c r="BZ445" s="348">
        <f t="shared" si="1560"/>
        <v>0.1728219696969697</v>
      </c>
      <c r="CA445" s="348">
        <f t="shared" si="1560"/>
        <v>0.17132039753904402</v>
      </c>
      <c r="CB445" s="348">
        <f t="shared" si="1560"/>
        <v>0.17715617715617715</v>
      </c>
      <c r="CC445" s="348">
        <f t="shared" si="1560"/>
        <v>0.18210717529518619</v>
      </c>
      <c r="CD445" s="348">
        <f t="shared" si="1560"/>
        <v>0.17592160522631825</v>
      </c>
      <c r="CE445" s="348">
        <f t="shared" si="1560"/>
        <v>0.17663167503423094</v>
      </c>
      <c r="CF445" s="348">
        <f t="shared" si="1560"/>
        <v>0.180956678700361</v>
      </c>
      <c r="CG445" s="348">
        <f t="shared" si="1560"/>
        <v>0.1789426118391324</v>
      </c>
      <c r="CH445" s="348">
        <f t="shared" si="1560"/>
        <v>0.18950177935943061</v>
      </c>
      <c r="CI445" s="348">
        <f t="shared" si="1560"/>
        <v>0.18155164636896706</v>
      </c>
      <c r="CJ445" s="348">
        <f t="shared" si="1560"/>
        <v>0.18332565637954859</v>
      </c>
      <c r="CK445" s="348">
        <f t="shared" si="1560"/>
        <v>0.18466424682395643</v>
      </c>
      <c r="CL445" s="348">
        <f t="shared" ref="CL445:CP445" si="1561">IFERROR(CL426/CL$429,"")</f>
        <v>0.18652387327086123</v>
      </c>
      <c r="CM445" s="348">
        <f t="shared" si="1561"/>
        <v>0.19250871080139373</v>
      </c>
      <c r="CN445" s="348">
        <f t="shared" si="1561"/>
        <v>0.18682675044883304</v>
      </c>
      <c r="CO445" s="348">
        <f t="shared" si="1561"/>
        <v>0.18688670829616413</v>
      </c>
      <c r="CP445" s="348">
        <f t="shared" si="1561"/>
        <v>0.1847246891651865</v>
      </c>
      <c r="CQ445" s="348">
        <f t="shared" si="1560"/>
        <v>0.18434783176758357</v>
      </c>
      <c r="CR445" s="348">
        <f t="shared" si="1560"/>
        <v>0.18927582054791273</v>
      </c>
      <c r="CS445" s="348">
        <f t="shared" si="1560"/>
        <v>0.19413820690016212</v>
      </c>
      <c r="CT445" s="348">
        <f t="shared" si="1560"/>
        <v>0.19893756822529221</v>
      </c>
      <c r="CU445" s="348">
        <f t="shared" si="1560"/>
        <v>0.20417811401031311</v>
      </c>
      <c r="CV445" s="348">
        <f t="shared" si="1560"/>
        <v>0.20960127309880339</v>
      </c>
      <c r="CW445" s="348">
        <f t="shared" si="1560"/>
        <v>0.21520311313951979</v>
      </c>
      <c r="CX445" s="159"/>
      <c r="CY445" s="159"/>
      <c r="CZ445" s="159"/>
      <c r="DA445" s="159"/>
      <c r="DB445" s="159"/>
      <c r="DC445" s="159"/>
      <c r="DD445" s="159"/>
      <c r="DF445" s="226"/>
      <c r="DG445" s="237"/>
      <c r="DH445" s="237"/>
      <c r="DI445" s="237"/>
      <c r="DJ445" s="237"/>
      <c r="DK445" s="237"/>
      <c r="DL445" s="237"/>
      <c r="DM445" s="237"/>
      <c r="DN445" s="237"/>
      <c r="DO445" s="237"/>
      <c r="EU445" s="286"/>
      <c r="EV445" s="287"/>
    </row>
    <row r="446" spans="1:152">
      <c r="A446" s="356"/>
      <c r="B446" s="348"/>
      <c r="C446" s="348"/>
      <c r="D446" s="348"/>
      <c r="E446" s="348"/>
      <c r="F446" s="348"/>
      <c r="G446" s="348"/>
      <c r="H446" s="348"/>
      <c r="I446" s="348"/>
      <c r="J446" s="348"/>
      <c r="K446" s="348"/>
      <c r="L446" s="348"/>
      <c r="M446" s="348"/>
      <c r="N446" s="348"/>
      <c r="O446" s="348"/>
      <c r="P446" s="348"/>
      <c r="Q446" s="348"/>
      <c r="R446" s="348"/>
      <c r="S446" s="348"/>
      <c r="T446" s="348"/>
      <c r="U446" s="348"/>
      <c r="V446" s="348"/>
      <c r="W446" s="348"/>
      <c r="X446" s="348"/>
      <c r="Y446" s="348"/>
      <c r="Z446" s="348"/>
      <c r="AA446" s="348"/>
      <c r="AB446" s="348"/>
      <c r="AC446" s="348"/>
      <c r="AD446" s="348"/>
      <c r="AE446" s="348"/>
      <c r="AF446" s="348"/>
      <c r="AG446" s="348"/>
      <c r="AH446" s="348"/>
      <c r="AI446" s="348"/>
      <c r="AJ446" s="348"/>
      <c r="AK446" s="348"/>
      <c r="AL446" s="348"/>
      <c r="AM446" s="348"/>
      <c r="AN446" s="348"/>
      <c r="AO446" s="348"/>
      <c r="AP446" s="348"/>
      <c r="AQ446" s="348"/>
      <c r="AR446" s="348"/>
      <c r="AS446" s="348"/>
      <c r="AT446" s="348"/>
      <c r="AU446" s="348"/>
      <c r="AV446" s="348"/>
      <c r="AW446" s="348"/>
      <c r="AX446" s="348"/>
      <c r="AY446" s="348"/>
      <c r="AZ446" s="348"/>
      <c r="BA446" s="216"/>
      <c r="BB446" s="216"/>
      <c r="BC446" s="216"/>
      <c r="BD446" s="216"/>
      <c r="BE446" s="348"/>
      <c r="BF446" s="216"/>
      <c r="BG446" s="216"/>
      <c r="BH446" s="348"/>
      <c r="BI446" s="348"/>
      <c r="BJ446" s="348"/>
      <c r="BK446" s="216"/>
      <c r="BL446" s="216"/>
      <c r="BM446" s="216"/>
      <c r="BN446" s="216"/>
      <c r="BO446" s="348"/>
      <c r="BP446" s="348"/>
      <c r="BQ446" s="348"/>
      <c r="BR446" s="348"/>
      <c r="BS446" s="348"/>
      <c r="BT446" s="348"/>
      <c r="BU446" s="360"/>
      <c r="BV446" s="360"/>
      <c r="BW446" s="360"/>
      <c r="BX446" s="360"/>
      <c r="BY446" s="348"/>
      <c r="BZ446" s="360"/>
      <c r="CA446" s="360"/>
      <c r="CB446" s="360"/>
      <c r="CC446" s="360"/>
      <c r="CD446" s="348"/>
      <c r="CE446" s="360"/>
      <c r="CF446" s="360"/>
      <c r="CG446" s="360"/>
      <c r="CH446" s="360"/>
      <c r="CI446" s="348"/>
      <c r="CJ446" s="360"/>
      <c r="CK446" s="360"/>
      <c r="CL446" s="360"/>
      <c r="CM446" s="360"/>
      <c r="CN446" s="348"/>
      <c r="CO446" s="360"/>
      <c r="CP446" s="360"/>
      <c r="CQ446" s="348"/>
      <c r="CR446" s="348"/>
      <c r="CS446" s="348"/>
      <c r="CT446" s="348"/>
      <c r="CU446" s="348"/>
      <c r="CV446" s="348"/>
      <c r="CW446" s="348"/>
      <c r="CX446" s="159"/>
      <c r="CY446" s="159"/>
      <c r="CZ446" s="159"/>
      <c r="DA446" s="159"/>
      <c r="DB446" s="159"/>
      <c r="DC446" s="159"/>
      <c r="DD446" s="159"/>
      <c r="DF446" s="226"/>
      <c r="DG446" s="237"/>
      <c r="DH446" s="237"/>
      <c r="DI446" s="237"/>
      <c r="DJ446" s="237"/>
      <c r="DK446" s="237"/>
      <c r="DL446" s="237"/>
      <c r="DM446" s="237"/>
      <c r="DN446" s="237"/>
      <c r="DO446" s="237"/>
      <c r="EU446" s="286"/>
      <c r="EV446" s="287"/>
    </row>
    <row r="447" spans="1:152">
      <c r="A447" s="356"/>
      <c r="B447" s="348"/>
      <c r="C447" s="348"/>
      <c r="D447" s="348"/>
      <c r="E447" s="348"/>
      <c r="F447" s="348"/>
      <c r="G447" s="348"/>
      <c r="H447" s="348"/>
      <c r="I447" s="348"/>
      <c r="J447" s="348"/>
      <c r="K447" s="348"/>
      <c r="L447" s="348"/>
      <c r="M447" s="348"/>
      <c r="N447" s="348"/>
      <c r="O447" s="348"/>
      <c r="P447" s="348"/>
      <c r="Q447" s="348"/>
      <c r="R447" s="348"/>
      <c r="S447" s="348"/>
      <c r="T447" s="348"/>
      <c r="U447" s="348"/>
      <c r="V447" s="348"/>
      <c r="W447" s="348"/>
      <c r="X447" s="348"/>
      <c r="Y447" s="348"/>
      <c r="Z447" s="348"/>
      <c r="AA447" s="348"/>
      <c r="AB447" s="348"/>
      <c r="AC447" s="348"/>
      <c r="AD447" s="348"/>
      <c r="AE447" s="348"/>
      <c r="AF447" s="348"/>
      <c r="AG447" s="348"/>
      <c r="AH447" s="348"/>
      <c r="AI447" s="348"/>
      <c r="AJ447" s="348"/>
      <c r="AK447" s="348"/>
      <c r="AL447" s="348"/>
      <c r="AM447" s="348"/>
      <c r="AN447" s="348"/>
      <c r="AO447" s="348"/>
      <c r="AP447" s="348"/>
      <c r="AQ447" s="348"/>
      <c r="AR447" s="348"/>
      <c r="AS447" s="348"/>
      <c r="AT447" s="348"/>
      <c r="AU447" s="348"/>
      <c r="AV447" s="348"/>
      <c r="AW447" s="348"/>
      <c r="AX447" s="348"/>
      <c r="AY447" s="348"/>
      <c r="AZ447" s="348"/>
      <c r="BA447" s="216"/>
      <c r="BB447" s="216"/>
      <c r="BC447" s="216"/>
      <c r="BD447" s="216"/>
      <c r="BE447" s="348"/>
      <c r="BF447" s="216"/>
      <c r="BG447" s="216"/>
      <c r="BH447" s="348"/>
      <c r="BI447" s="348"/>
      <c r="BJ447" s="348"/>
      <c r="BK447" s="216"/>
      <c r="BL447" s="216"/>
      <c r="BM447" s="216"/>
      <c r="BN447" s="216"/>
      <c r="BO447" s="348"/>
      <c r="BP447" s="348"/>
      <c r="BQ447" s="348"/>
      <c r="BR447" s="348"/>
      <c r="BS447" s="348"/>
      <c r="BT447" s="348"/>
      <c r="BU447" s="360"/>
      <c r="BV447" s="360"/>
      <c r="BW447" s="360"/>
      <c r="BX447" s="360"/>
      <c r="BY447" s="348"/>
      <c r="BZ447" s="360"/>
      <c r="CA447" s="360"/>
      <c r="CB447" s="360"/>
      <c r="CC447" s="360"/>
      <c r="CD447" s="348"/>
      <c r="CE447" s="360"/>
      <c r="CF447" s="360"/>
      <c r="CG447" s="360"/>
      <c r="CH447" s="360"/>
      <c r="CI447" s="348"/>
      <c r="CJ447" s="360"/>
      <c r="CK447" s="360"/>
      <c r="CL447" s="360"/>
      <c r="CM447" s="360"/>
      <c r="CN447" s="348"/>
      <c r="CO447" s="360"/>
      <c r="CP447" s="360"/>
      <c r="CQ447" s="348"/>
      <c r="CR447" s="348"/>
      <c r="CS447" s="348"/>
      <c r="CT447" s="348"/>
      <c r="CU447" s="348"/>
      <c r="CV447" s="348"/>
      <c r="CW447" s="348"/>
      <c r="CX447" s="159"/>
      <c r="CY447" s="159"/>
      <c r="CZ447" s="159"/>
      <c r="DA447" s="159"/>
      <c r="DB447" s="159"/>
      <c r="DC447" s="159"/>
      <c r="DD447" s="159"/>
      <c r="DF447" s="226"/>
      <c r="DG447" s="237"/>
      <c r="DH447" s="237"/>
      <c r="DI447" s="237"/>
      <c r="DJ447" s="237"/>
      <c r="DK447" s="237"/>
      <c r="DL447" s="237"/>
      <c r="DM447" s="237"/>
      <c r="DN447" s="237"/>
      <c r="DO447" s="237"/>
      <c r="EU447" s="286"/>
      <c r="EV447" s="287"/>
    </row>
    <row r="448" spans="1:152" s="159" customFormat="1">
      <c r="A448" s="226" t="s">
        <v>705</v>
      </c>
      <c r="B448" s="716"/>
      <c r="C448" s="716"/>
      <c r="D448" s="716"/>
      <c r="E448" s="716"/>
      <c r="F448" s="716"/>
      <c r="G448" s="716">
        <f t="shared" ref="G448:AL448" si="1562">G374</f>
        <v>1192.2</v>
      </c>
      <c r="H448" s="716">
        <f t="shared" si="1562"/>
        <v>0</v>
      </c>
      <c r="I448" s="716">
        <f t="shared" si="1562"/>
        <v>0</v>
      </c>
      <c r="J448" s="716">
        <f t="shared" si="1562"/>
        <v>278</v>
      </c>
      <c r="K448" s="716">
        <f t="shared" si="1562"/>
        <v>281</v>
      </c>
      <c r="L448" s="716">
        <f t="shared" si="1562"/>
        <v>1165</v>
      </c>
      <c r="M448" s="716">
        <f t="shared" si="1562"/>
        <v>267</v>
      </c>
      <c r="N448" s="716">
        <f t="shared" si="1562"/>
        <v>253</v>
      </c>
      <c r="O448" s="716">
        <f t="shared" si="1562"/>
        <v>274</v>
      </c>
      <c r="P448" s="716">
        <f t="shared" si="1562"/>
        <v>279</v>
      </c>
      <c r="Q448" s="716">
        <f t="shared" si="1562"/>
        <v>1073</v>
      </c>
      <c r="R448" s="716">
        <f t="shared" si="1562"/>
        <v>285</v>
      </c>
      <c r="S448" s="716">
        <f t="shared" si="1562"/>
        <v>288</v>
      </c>
      <c r="T448" s="716">
        <f t="shared" si="1562"/>
        <v>309</v>
      </c>
      <c r="U448" s="716">
        <f t="shared" si="1562"/>
        <v>309</v>
      </c>
      <c r="V448" s="716">
        <f t="shared" si="1562"/>
        <v>1191</v>
      </c>
      <c r="W448" s="716">
        <f t="shared" si="1562"/>
        <v>1297.3825000000002</v>
      </c>
      <c r="X448" s="716">
        <f t="shared" si="1562"/>
        <v>1406.0575000000001</v>
      </c>
      <c r="Y448" s="716">
        <f t="shared" si="1562"/>
        <v>1450.184</v>
      </c>
      <c r="Z448" s="716">
        <f t="shared" si="1562"/>
        <v>1729.6279999999999</v>
      </c>
      <c r="AA448" s="716">
        <f t="shared" si="1562"/>
        <v>5883.2520000000004</v>
      </c>
      <c r="AB448" s="716">
        <f t="shared" si="1562"/>
        <v>1575.386</v>
      </c>
      <c r="AC448" s="716">
        <f t="shared" si="1562"/>
        <v>1469.14</v>
      </c>
      <c r="AD448" s="716">
        <f t="shared" si="1562"/>
        <v>1388.915</v>
      </c>
      <c r="AE448" s="716">
        <f t="shared" si="1562"/>
        <v>1496.136</v>
      </c>
      <c r="AF448" s="716">
        <f t="shared" si="1562"/>
        <v>5929.5770000000002</v>
      </c>
      <c r="AG448" s="716">
        <f t="shared" si="1562"/>
        <v>1378.046</v>
      </c>
      <c r="AH448" s="716">
        <f t="shared" si="1562"/>
        <v>1330.9660000000001</v>
      </c>
      <c r="AI448" s="716">
        <f t="shared" si="1562"/>
        <v>1312.04</v>
      </c>
      <c r="AJ448" s="716">
        <f t="shared" si="1562"/>
        <v>1523.0440000000001</v>
      </c>
      <c r="AK448" s="716">
        <f t="shared" si="1562"/>
        <v>5718.6694805769366</v>
      </c>
      <c r="AL448" s="716">
        <f t="shared" si="1562"/>
        <v>351.5</v>
      </c>
      <c r="AM448" s="716">
        <f t="shared" ref="AM448:BR448" si="1563">AM374</f>
        <v>350.1</v>
      </c>
      <c r="AN448" s="716">
        <f t="shared" si="1563"/>
        <v>366</v>
      </c>
      <c r="AO448" s="716">
        <f t="shared" si="1563"/>
        <v>379</v>
      </c>
      <c r="AP448" s="716">
        <f t="shared" si="1563"/>
        <v>1542</v>
      </c>
      <c r="AQ448" s="716">
        <f t="shared" si="1563"/>
        <v>639</v>
      </c>
      <c r="AR448" s="716">
        <f t="shared" si="1563"/>
        <v>767</v>
      </c>
      <c r="AS448" s="716">
        <f t="shared" si="1563"/>
        <v>670</v>
      </c>
      <c r="AT448" s="716">
        <f t="shared" si="1563"/>
        <v>705</v>
      </c>
      <c r="AU448" s="716">
        <f t="shared" si="1563"/>
        <v>2781</v>
      </c>
      <c r="AV448" s="716">
        <f t="shared" si="1563"/>
        <v>716</v>
      </c>
      <c r="AW448" s="716">
        <f t="shared" si="1563"/>
        <v>637</v>
      </c>
      <c r="AX448" s="716">
        <f t="shared" si="1563"/>
        <v>655</v>
      </c>
      <c r="AY448" s="716">
        <f t="shared" si="1563"/>
        <v>668</v>
      </c>
      <c r="AZ448" s="716">
        <f t="shared" si="1563"/>
        <v>2676</v>
      </c>
      <c r="BA448" s="716">
        <f t="shared" si="1563"/>
        <v>660</v>
      </c>
      <c r="BB448" s="716">
        <f t="shared" si="1563"/>
        <v>683</v>
      </c>
      <c r="BC448" s="716">
        <f t="shared" si="1563"/>
        <v>713</v>
      </c>
      <c r="BD448" s="716">
        <f t="shared" si="1563"/>
        <v>1009</v>
      </c>
      <c r="BE448" s="716">
        <f t="shared" si="1563"/>
        <v>3065</v>
      </c>
      <c r="BF448" s="716">
        <f t="shared" si="1563"/>
        <v>600</v>
      </c>
      <c r="BG448" s="716">
        <f t="shared" si="1563"/>
        <v>548</v>
      </c>
      <c r="BH448" s="716">
        <f t="shared" si="1563"/>
        <v>543</v>
      </c>
      <c r="BI448" s="716">
        <f t="shared" si="1563"/>
        <v>550</v>
      </c>
      <c r="BJ448" s="716">
        <f t="shared" si="1563"/>
        <v>2241</v>
      </c>
      <c r="BK448" s="716">
        <f t="shared" si="1563"/>
        <v>525</v>
      </c>
      <c r="BL448" s="716">
        <f t="shared" si="1563"/>
        <v>559</v>
      </c>
      <c r="BM448" s="716">
        <f t="shared" si="1563"/>
        <v>542</v>
      </c>
      <c r="BN448" s="716">
        <f t="shared" si="1563"/>
        <v>585</v>
      </c>
      <c r="BO448" s="716">
        <f t="shared" si="1563"/>
        <v>2211</v>
      </c>
      <c r="BP448" s="716">
        <f t="shared" si="1563"/>
        <v>559</v>
      </c>
      <c r="BQ448" s="716">
        <f t="shared" si="1563"/>
        <v>540</v>
      </c>
      <c r="BR448" s="716">
        <f t="shared" si="1563"/>
        <v>584</v>
      </c>
      <c r="BS448" s="716">
        <f t="shared" ref="BS448:CW448" si="1564">BS374</f>
        <v>591</v>
      </c>
      <c r="BT448" s="716">
        <f t="shared" si="1564"/>
        <v>2274</v>
      </c>
      <c r="BU448" s="716">
        <f t="shared" si="1564"/>
        <v>1479</v>
      </c>
      <c r="BV448" s="716">
        <f t="shared" si="1564"/>
        <v>1412</v>
      </c>
      <c r="BW448" s="716">
        <f t="shared" si="1564"/>
        <v>1401</v>
      </c>
      <c r="BX448" s="716">
        <f t="shared" si="1564"/>
        <v>1568</v>
      </c>
      <c r="BY448" s="716">
        <f t="shared" si="1564"/>
        <v>5860</v>
      </c>
      <c r="BZ448" s="716">
        <f t="shared" si="1564"/>
        <v>1554</v>
      </c>
      <c r="CA448" s="716">
        <f t="shared" si="1564"/>
        <v>1468</v>
      </c>
      <c r="CB448" s="716">
        <f t="shared" si="1564"/>
        <v>1513</v>
      </c>
      <c r="CC448" s="716">
        <f t="shared" si="1564"/>
        <v>1685</v>
      </c>
      <c r="CD448" s="716">
        <f t="shared" si="1564"/>
        <v>6220</v>
      </c>
      <c r="CE448" s="716">
        <f t="shared" si="1564"/>
        <v>1559</v>
      </c>
      <c r="CF448" s="716">
        <f t="shared" si="1564"/>
        <v>1540</v>
      </c>
      <c r="CG448" s="716">
        <f t="shared" si="1564"/>
        <v>1528</v>
      </c>
      <c r="CH448" s="716">
        <f t="shared" si="1564"/>
        <v>1787</v>
      </c>
      <c r="CI448" s="716">
        <f t="shared" si="1564"/>
        <v>6414</v>
      </c>
      <c r="CJ448" s="716">
        <f t="shared" si="1564"/>
        <v>1553</v>
      </c>
      <c r="CK448" s="716">
        <f t="shared" si="1564"/>
        <v>1468</v>
      </c>
      <c r="CL448" s="716">
        <f t="shared" ref="CL448:CP448" si="1565">CL374</f>
        <v>1487</v>
      </c>
      <c r="CM448" s="716">
        <f t="shared" si="1565"/>
        <v>1798</v>
      </c>
      <c r="CN448" s="716">
        <f t="shared" si="1565"/>
        <v>6306</v>
      </c>
      <c r="CO448" s="716">
        <f t="shared" si="1565"/>
        <v>1632</v>
      </c>
      <c r="CP448" s="716">
        <f t="shared" si="1565"/>
        <v>1532</v>
      </c>
      <c r="CQ448" s="716">
        <f t="shared" si="1564"/>
        <v>6423.9953079919314</v>
      </c>
      <c r="CR448" s="716">
        <f t="shared" si="1564"/>
        <v>6564.2757119795497</v>
      </c>
      <c r="CS448" s="716">
        <f t="shared" si="1564"/>
        <v>6708.9064009547628</v>
      </c>
      <c r="CT448" s="716">
        <f t="shared" si="1564"/>
        <v>6860.894427408899</v>
      </c>
      <c r="CU448" s="716">
        <f t="shared" si="1564"/>
        <v>7007.3506418680308</v>
      </c>
      <c r="CV448" s="716">
        <f t="shared" si="1564"/>
        <v>7155.2173515819841</v>
      </c>
      <c r="CW448" s="716">
        <f t="shared" si="1564"/>
        <v>7304.8047711586332</v>
      </c>
      <c r="DF448" s="361"/>
      <c r="DG448" s="903"/>
      <c r="DH448" s="903"/>
      <c r="DI448" s="903"/>
      <c r="DJ448" s="903"/>
      <c r="DK448" s="903"/>
      <c r="DL448" s="903"/>
      <c r="DM448" s="903"/>
      <c r="DN448" s="903"/>
      <c r="DO448" s="903"/>
    </row>
    <row r="449" spans="1:152">
      <c r="A449" s="356"/>
      <c r="B449" s="742"/>
      <c r="C449" s="742"/>
      <c r="D449" s="742"/>
      <c r="E449" s="742"/>
      <c r="F449" s="742"/>
      <c r="G449" s="742"/>
      <c r="H449" s="742"/>
      <c r="I449" s="742"/>
      <c r="J449" s="742"/>
      <c r="K449" s="742"/>
      <c r="L449" s="742"/>
      <c r="M449" s="742"/>
      <c r="N449" s="742"/>
      <c r="O449" s="742"/>
      <c r="P449" s="742"/>
      <c r="Q449" s="742"/>
      <c r="R449" s="742"/>
      <c r="S449" s="742"/>
      <c r="T449" s="742"/>
      <c r="U449" s="742"/>
      <c r="V449" s="742"/>
      <c r="W449" s="742"/>
      <c r="X449" s="742"/>
      <c r="Y449" s="742"/>
      <c r="Z449" s="742"/>
      <c r="AA449" s="742"/>
      <c r="AB449" s="742"/>
      <c r="AC449" s="742"/>
      <c r="AD449" s="742"/>
      <c r="AE449" s="742"/>
      <c r="AF449" s="742"/>
      <c r="AG449" s="742"/>
      <c r="AH449" s="742"/>
      <c r="AI449" s="742"/>
      <c r="AJ449" s="742"/>
      <c r="AK449" s="742"/>
      <c r="AL449" s="742"/>
      <c r="AM449" s="742"/>
      <c r="AN449" s="742"/>
      <c r="AO449" s="742"/>
      <c r="AP449" s="742"/>
      <c r="AQ449" s="742"/>
      <c r="AR449" s="742"/>
      <c r="AS449" s="742"/>
      <c r="AT449" s="742"/>
      <c r="AU449" s="742"/>
      <c r="AV449" s="742"/>
      <c r="AW449" s="742"/>
      <c r="AX449" s="742"/>
      <c r="AY449" s="742"/>
      <c r="AZ449" s="742"/>
      <c r="BA449" s="743"/>
      <c r="BB449" s="743"/>
      <c r="BC449" s="743"/>
      <c r="BD449" s="743"/>
      <c r="BE449" s="742"/>
      <c r="BF449" s="743"/>
      <c r="BG449" s="743"/>
      <c r="BH449" s="742"/>
      <c r="BI449" s="742"/>
      <c r="BJ449" s="742"/>
      <c r="BK449" s="743"/>
      <c r="BL449" s="743"/>
      <c r="BM449" s="743"/>
      <c r="BN449" s="743"/>
      <c r="BO449" s="742"/>
      <c r="BP449" s="743"/>
      <c r="BQ449" s="743"/>
      <c r="BR449" s="743"/>
      <c r="BS449" s="743"/>
      <c r="BT449" s="742"/>
      <c r="BU449" s="744"/>
      <c r="BV449" s="744"/>
      <c r="BW449" s="744"/>
      <c r="BX449" s="744"/>
      <c r="BY449" s="742"/>
      <c r="BZ449" s="744"/>
      <c r="CA449" s="744"/>
      <c r="CB449" s="744"/>
      <c r="CC449" s="744"/>
      <c r="CD449" s="742"/>
      <c r="CE449" s="744"/>
      <c r="CF449" s="744"/>
      <c r="CG449" s="744"/>
      <c r="CH449" s="744"/>
      <c r="CI449" s="742"/>
      <c r="CJ449" s="744"/>
      <c r="CK449" s="744"/>
      <c r="CL449" s="744"/>
      <c r="CM449" s="744"/>
      <c r="CN449" s="742"/>
      <c r="CO449" s="744"/>
      <c r="CP449" s="744"/>
      <c r="CQ449" s="742"/>
      <c r="CR449" s="742"/>
      <c r="CS449" s="742"/>
      <c r="CT449" s="742"/>
      <c r="CU449" s="742"/>
      <c r="CV449" s="742"/>
      <c r="CW449" s="742"/>
      <c r="CX449" s="159"/>
      <c r="CY449" s="159"/>
      <c r="CZ449" s="159"/>
      <c r="DA449" s="159"/>
      <c r="DB449" s="159"/>
      <c r="DC449" s="159"/>
      <c r="DD449" s="159"/>
      <c r="DF449" s="226"/>
      <c r="DG449" s="237"/>
      <c r="DH449" s="237"/>
      <c r="DI449" s="237"/>
      <c r="DJ449" s="237"/>
      <c r="DK449" s="237"/>
      <c r="DL449" s="237"/>
      <c r="DM449" s="237"/>
      <c r="DN449" s="237"/>
      <c r="DO449" s="237"/>
      <c r="EU449" s="286"/>
      <c r="EV449" s="287"/>
    </row>
    <row r="450" spans="1:152" s="159" customFormat="1">
      <c r="A450" s="361"/>
      <c r="B450" s="712"/>
      <c r="C450" s="712"/>
      <c r="D450" s="712"/>
      <c r="E450" s="712"/>
      <c r="F450" s="712"/>
      <c r="G450" s="712"/>
      <c r="H450" s="712"/>
      <c r="I450" s="712"/>
      <c r="J450" s="712"/>
      <c r="K450" s="712"/>
      <c r="L450" s="712"/>
      <c r="M450" s="712"/>
      <c r="N450" s="712"/>
      <c r="O450" s="712"/>
      <c r="P450" s="712"/>
      <c r="Q450" s="712"/>
      <c r="R450" s="712"/>
      <c r="S450" s="712"/>
      <c r="T450" s="712"/>
      <c r="U450" s="712"/>
      <c r="V450" s="712"/>
      <c r="W450" s="712"/>
      <c r="X450" s="712"/>
      <c r="Y450" s="712"/>
      <c r="Z450" s="712"/>
      <c r="AA450" s="712"/>
      <c r="AB450" s="712"/>
      <c r="AC450" s="712"/>
      <c r="AD450" s="712"/>
      <c r="AE450" s="712"/>
      <c r="AF450" s="712"/>
      <c r="AG450" s="712"/>
      <c r="AH450" s="712"/>
      <c r="AI450" s="712"/>
      <c r="AJ450" s="712"/>
      <c r="AK450" s="712"/>
      <c r="AL450" s="712"/>
      <c r="AM450" s="712"/>
      <c r="AN450" s="712"/>
      <c r="AO450" s="712"/>
      <c r="AP450" s="712"/>
      <c r="AQ450" s="712"/>
      <c r="AR450" s="712"/>
      <c r="AS450" s="712"/>
      <c r="AT450" s="716"/>
      <c r="AU450" s="716"/>
      <c r="AV450" s="716"/>
      <c r="AW450" s="716"/>
      <c r="AX450" s="712"/>
      <c r="AY450" s="712"/>
      <c r="AZ450" s="716"/>
      <c r="BA450" s="721"/>
      <c r="BB450" s="721"/>
      <c r="BC450" s="721"/>
      <c r="BD450" s="721"/>
      <c r="BE450" s="742"/>
      <c r="BF450" s="721"/>
      <c r="BG450" s="721"/>
      <c r="BH450" s="742"/>
      <c r="BI450" s="742"/>
      <c r="BJ450" s="716"/>
      <c r="BK450" s="721"/>
      <c r="BL450" s="721"/>
      <c r="BM450" s="721"/>
      <c r="BN450" s="721"/>
      <c r="BO450" s="716"/>
      <c r="BP450" s="721"/>
      <c r="BQ450" s="721"/>
      <c r="BR450" s="713">
        <f>SUM(BP453:BR453)</f>
        <v>2944</v>
      </c>
      <c r="BS450" s="721"/>
      <c r="BT450" s="716"/>
      <c r="BU450" s="745"/>
      <c r="BV450" s="745"/>
      <c r="BW450" s="713">
        <f>SUM(BU453:BW453)</f>
        <v>2943</v>
      </c>
      <c r="BX450" s="713">
        <f>SUM(BV453:BX453)</f>
        <v>3002</v>
      </c>
      <c r="BY450" s="716"/>
      <c r="BZ450" s="745"/>
      <c r="CA450" s="745"/>
      <c r="CB450" s="745"/>
      <c r="CC450" s="745"/>
      <c r="CD450" s="716"/>
      <c r="CE450" s="745"/>
      <c r="CF450" s="745"/>
      <c r="CG450" s="745"/>
      <c r="CH450" s="745"/>
      <c r="CI450" s="716"/>
      <c r="CJ450" s="745"/>
      <c r="CK450" s="745"/>
      <c r="CL450" s="745"/>
      <c r="CM450" s="745"/>
      <c r="CN450" s="716"/>
      <c r="CO450" s="745"/>
      <c r="CP450" s="745"/>
      <c r="CQ450" s="716"/>
      <c r="CR450" s="716"/>
      <c r="CS450" s="716"/>
      <c r="CT450" s="716"/>
      <c r="CU450" s="716"/>
      <c r="CV450" s="716"/>
      <c r="CW450" s="716"/>
      <c r="DF450" s="361"/>
      <c r="DG450" s="903"/>
      <c r="DH450" s="903"/>
      <c r="DI450" s="903"/>
      <c r="DJ450" s="903"/>
      <c r="DK450" s="903"/>
      <c r="DL450" s="903"/>
      <c r="DM450" s="903"/>
      <c r="DN450" s="903"/>
      <c r="DO450" s="903"/>
    </row>
    <row r="451" spans="1:152">
      <c r="A451" s="226" t="s">
        <v>422</v>
      </c>
      <c r="B451" s="712"/>
      <c r="C451" s="712"/>
      <c r="D451" s="712"/>
      <c r="E451" s="714">
        <v>1185</v>
      </c>
      <c r="F451" s="714">
        <v>1144</v>
      </c>
      <c r="G451" s="714">
        <v>4402.2000000000007</v>
      </c>
      <c r="H451" s="714">
        <v>1071</v>
      </c>
      <c r="I451" s="714">
        <v>1075.2475247524753</v>
      </c>
      <c r="J451" s="714">
        <v>1086</v>
      </c>
      <c r="K451" s="714">
        <v>1106</v>
      </c>
      <c r="L451" s="714">
        <v>4220</v>
      </c>
      <c r="M451" s="714">
        <v>1082</v>
      </c>
      <c r="N451" s="714">
        <v>1028</v>
      </c>
      <c r="O451" s="714">
        <v>1140</v>
      </c>
      <c r="P451" s="714">
        <v>1166</v>
      </c>
      <c r="Q451" s="714">
        <v>4416</v>
      </c>
      <c r="R451" s="714">
        <v>1090</v>
      </c>
      <c r="S451" s="714">
        <v>1106</v>
      </c>
      <c r="T451" s="714">
        <v>1123</v>
      </c>
      <c r="U451" s="714">
        <v>1104</v>
      </c>
      <c r="V451" s="714">
        <v>4423</v>
      </c>
      <c r="W451" s="714">
        <v>1133</v>
      </c>
      <c r="X451" s="714">
        <v>1106</v>
      </c>
      <c r="Y451" s="714">
        <v>1060</v>
      </c>
      <c r="Z451" s="714">
        <v>1065</v>
      </c>
      <c r="AA451" s="714">
        <v>4359</v>
      </c>
      <c r="AB451" s="714">
        <v>1133</v>
      </c>
      <c r="AC451" s="714">
        <v>1106</v>
      </c>
      <c r="AD451" s="714">
        <v>1060</v>
      </c>
      <c r="AE451" s="714">
        <v>1065</v>
      </c>
      <c r="AF451" s="714">
        <f>SUM(AB451:AE451)</f>
        <v>4364</v>
      </c>
      <c r="AG451" s="714">
        <f>'[3]Profit and Loss Highlights'!K$60</f>
        <v>1073</v>
      </c>
      <c r="AH451" s="714">
        <f>'[3]Profit and Loss Highlights'!L$60</f>
        <v>1086</v>
      </c>
      <c r="AI451" s="714">
        <f>'[3]Profit and Loss Highlights'!M$60</f>
        <v>1079</v>
      </c>
      <c r="AJ451" s="714">
        <f>'[3]Profit and Loss Highlights'!N$60</f>
        <v>1034</v>
      </c>
      <c r="AK451" s="714">
        <f>SUM(AG451:AJ451)</f>
        <v>4272</v>
      </c>
      <c r="AL451" s="714">
        <f>'[3]Profit and Loss Highlights'!O$60</f>
        <v>1047</v>
      </c>
      <c r="AM451" s="714">
        <f>'[3]Profit and Loss Highlights'!P$60</f>
        <v>1101</v>
      </c>
      <c r="AN451" s="714">
        <f>'[3]Profit and Loss Highlights'!Q$60</f>
        <v>1021</v>
      </c>
      <c r="AO451" s="714">
        <f>'[3]Profit and Loss Highlights'!R$60</f>
        <v>1162</v>
      </c>
      <c r="AP451" s="714">
        <v>4331</v>
      </c>
      <c r="AQ451" s="714">
        <f>'[3]Profit and Loss Highlights'!S$60</f>
        <v>1213</v>
      </c>
      <c r="AR451" s="714">
        <f>'[3]Profit and Loss Highlights'!T$60</f>
        <v>1050</v>
      </c>
      <c r="AS451" s="714">
        <f>'[3]Profit and Loss Highlights'!U$60</f>
        <v>1130</v>
      </c>
      <c r="AT451" s="714">
        <f>'[3]Profit and Loss Highlights'!V$60</f>
        <v>1158</v>
      </c>
      <c r="AU451" s="714">
        <f>SUM(AQ451:AT451)</f>
        <v>4551</v>
      </c>
      <c r="AV451" s="714">
        <f>'[3]Profit and Loss Highlights'!W$60</f>
        <v>1013</v>
      </c>
      <c r="AW451" s="714">
        <f>'[3]Profit and Loss Highlights'!X$60</f>
        <v>1125</v>
      </c>
      <c r="AX451" s="714">
        <f>'[3]Profit and Loss Highlights'!Y$60</f>
        <v>1109</v>
      </c>
      <c r="AY451" s="714">
        <f>'[3]Profit and Loss Highlights'!Z$60</f>
        <v>1061</v>
      </c>
      <c r="AZ451" s="714">
        <f>SUM(AV451:AY451)</f>
        <v>4308</v>
      </c>
      <c r="BA451" s="714">
        <f>'[3]Profit and Loss Highlights'!AA$60</f>
        <v>1023</v>
      </c>
      <c r="BB451" s="714">
        <f>'[3]Profit and Loss Highlights'!AB$60</f>
        <v>1007</v>
      </c>
      <c r="BC451" s="714">
        <f>'[3]Profit and Loss Highlights'!AC$60</f>
        <v>1025</v>
      </c>
      <c r="BD451" s="714">
        <f>'[3]Profit and Loss Highlights'!AD$60</f>
        <v>762</v>
      </c>
      <c r="BE451" s="712">
        <f>SUM(BA451:BD451)</f>
        <v>3817</v>
      </c>
      <c r="BF451" s="714">
        <f>'[3]Profit and Loss Highlights'!AE$60</f>
        <v>982</v>
      </c>
      <c r="BG451" s="714">
        <f>'[3]Profit and Loss Highlights'!AF$60</f>
        <v>978</v>
      </c>
      <c r="BH451" s="714">
        <f>'[3]Profit and Loss Highlights'!AG$60</f>
        <v>986</v>
      </c>
      <c r="BI451" s="714">
        <f>'[3]Profit and Loss Highlights'!AH$60</f>
        <v>945</v>
      </c>
      <c r="BJ451" s="712">
        <f>SUM(BF451:BI451)</f>
        <v>3891</v>
      </c>
      <c r="BK451" s="714">
        <f>'[3]Profit and Loss Highlights'!AI$60</f>
        <v>944</v>
      </c>
      <c r="BL451" s="714">
        <f>'[3]Profit and Loss Highlights'!AJ$60</f>
        <v>938</v>
      </c>
      <c r="BM451" s="714">
        <f>'[3]Profit and Loss Highlights'!AK$60</f>
        <v>953</v>
      </c>
      <c r="BN451" s="714">
        <f>'[3]Profit and Loss Highlights'!AL$60</f>
        <v>924</v>
      </c>
      <c r="BO451" s="712">
        <f>SUM(BK451:BN451)</f>
        <v>3759</v>
      </c>
      <c r="BP451" s="714">
        <f>'[3]Profit and Loss Highlights'!AM$60</f>
        <v>961</v>
      </c>
      <c r="BQ451" s="714">
        <f>'[3]Profit and Loss Highlights'!AN$60</f>
        <v>996</v>
      </c>
      <c r="BR451" s="714">
        <f>'[3]Profit and Loss Highlights'!AO$60</f>
        <v>969</v>
      </c>
      <c r="BS451" s="714">
        <f>'[3]Profit and Loss Highlights'!AP$60</f>
        <v>932</v>
      </c>
      <c r="BT451" s="712">
        <f>SUM(BP451:BS451)</f>
        <v>3858</v>
      </c>
      <c r="BU451" s="746">
        <f>'[3]Profit and Loss Highlights'!AQ$60</f>
        <v>927</v>
      </c>
      <c r="BV451" s="746">
        <f>'[3]Profit and Loss Highlights'!AR$60</f>
        <v>1012</v>
      </c>
      <c r="BW451" s="746">
        <f>'[3]Profit and Loss Highlights'!AS$60</f>
        <v>1004</v>
      </c>
      <c r="BX451" s="746">
        <f>'[3]Profit and Loss Highlights'!AT$60</f>
        <v>986</v>
      </c>
      <c r="BY451" s="712">
        <f>SUM(BU451:BX451)</f>
        <v>3929</v>
      </c>
      <c r="BZ451" s="746">
        <f>'[3]Profit and Loss Highlights'!AU$60</f>
        <v>972</v>
      </c>
      <c r="CA451" s="746">
        <f>'[3]Profit and Loss Highlights'!AV$60</f>
        <v>1002</v>
      </c>
      <c r="CB451" s="746">
        <f>'[3]Profit and Loss Highlights'!AW$60</f>
        <v>929</v>
      </c>
      <c r="CC451" s="746">
        <f>'[3]Profit and Loss Highlights'!AX$60</f>
        <v>1057</v>
      </c>
      <c r="CD451" s="712">
        <f>SUM(BZ451:CC451)</f>
        <v>3960</v>
      </c>
      <c r="CE451" s="746">
        <f>'[3]Profit and Loss Highlights'!AY$60</f>
        <v>1044</v>
      </c>
      <c r="CF451" s="746">
        <f>'[3]Profit and Loss Highlights'!AZ$60</f>
        <v>1046</v>
      </c>
      <c r="CG451" s="746">
        <f>'[3]Profit and Loss Highlights'!BA$60</f>
        <v>1048</v>
      </c>
      <c r="CH451" s="746">
        <f>'[3]Profit and Loss Highlights'!BB$60</f>
        <v>984</v>
      </c>
      <c r="CI451" s="712">
        <f>SUM(CE451:CH451)</f>
        <v>4122</v>
      </c>
      <c r="CJ451" s="746">
        <f>'[3]Profit and Loss Highlights'!BC$60</f>
        <v>1055</v>
      </c>
      <c r="CK451" s="746">
        <f>'[3]Profit and Loss Highlights'!BD$60</f>
        <v>1094</v>
      </c>
      <c r="CL451" s="746">
        <f>'[3]Profit and Loss Highlights'!BE$60</f>
        <v>1102</v>
      </c>
      <c r="CM451" s="746">
        <f>'[3]Profit and Loss Highlights'!BF$60</f>
        <v>1078</v>
      </c>
      <c r="CN451" s="712">
        <f>SUM(CJ451:CM451)</f>
        <v>4329</v>
      </c>
      <c r="CO451" s="746">
        <f>'[3]Profit and Loss Highlights'!BG$60</f>
        <v>1099</v>
      </c>
      <c r="CP451" s="746">
        <f>'[3]Profit and Loss Highlights'!BH$60</f>
        <v>1124</v>
      </c>
      <c r="CQ451" s="712">
        <f t="shared" ref="CQ451:CS451" si="1566">CQ453-CQ452</f>
        <v>4521.5932718038575</v>
      </c>
      <c r="CR451" s="712">
        <f t="shared" si="1566"/>
        <v>4652.7746464653283</v>
      </c>
      <c r="CS451" s="712">
        <f t="shared" si="1566"/>
        <v>4782.7277825729407</v>
      </c>
      <c r="CT451" s="712">
        <f t="shared" ref="CT451:CV451" si="1567">CT453-CT452</f>
        <v>4920.6127220270864</v>
      </c>
      <c r="CU451" s="712">
        <f t="shared" si="1567"/>
        <v>5055.0552341969897</v>
      </c>
      <c r="CV451" s="712">
        <f t="shared" si="1567"/>
        <v>5192.1232583166502</v>
      </c>
      <c r="CW451" s="712">
        <f t="shared" ref="CW451" si="1568">CW453-CW452</f>
        <v>5332.0710765879776</v>
      </c>
      <c r="CX451" s="159"/>
      <c r="CY451" s="159"/>
      <c r="CZ451" s="159"/>
      <c r="DA451" s="159"/>
      <c r="DB451" s="159"/>
      <c r="DC451" s="159"/>
      <c r="DD451" s="159"/>
      <c r="DF451" s="226"/>
      <c r="DG451" s="237"/>
      <c r="DH451" s="237"/>
      <c r="DI451" s="237"/>
      <c r="DJ451" s="237"/>
      <c r="DK451" s="237"/>
      <c r="DL451" s="237"/>
      <c r="DM451" s="237"/>
      <c r="DN451" s="237"/>
      <c r="DO451" s="237"/>
      <c r="EU451" s="286"/>
      <c r="EV451" s="287"/>
    </row>
    <row r="452" spans="1:152">
      <c r="A452" s="226" t="s">
        <v>516</v>
      </c>
      <c r="B452" s="712"/>
      <c r="C452" s="712"/>
      <c r="D452" s="712"/>
      <c r="E452" s="712">
        <f t="shared" ref="E452:AT452" si="1569">E453-E451</f>
        <v>0</v>
      </c>
      <c r="F452" s="712">
        <f t="shared" si="1569"/>
        <v>0</v>
      </c>
      <c r="G452" s="712">
        <f t="shared" si="1569"/>
        <v>0</v>
      </c>
      <c r="H452" s="712">
        <f t="shared" si="1569"/>
        <v>0</v>
      </c>
      <c r="I452" s="712">
        <f t="shared" si="1569"/>
        <v>0</v>
      </c>
      <c r="J452" s="712">
        <f t="shared" si="1569"/>
        <v>0</v>
      </c>
      <c r="K452" s="712">
        <f t="shared" si="1569"/>
        <v>0</v>
      </c>
      <c r="L452" s="712">
        <f t="shared" si="1569"/>
        <v>0</v>
      </c>
      <c r="M452" s="712">
        <f t="shared" si="1569"/>
        <v>0</v>
      </c>
      <c r="N452" s="712">
        <f t="shared" si="1569"/>
        <v>0</v>
      </c>
      <c r="O452" s="712">
        <f t="shared" si="1569"/>
        <v>0</v>
      </c>
      <c r="P452" s="712">
        <f t="shared" si="1569"/>
        <v>0</v>
      </c>
      <c r="Q452" s="712">
        <f t="shared" si="1569"/>
        <v>0</v>
      </c>
      <c r="R452" s="712">
        <f t="shared" si="1569"/>
        <v>0</v>
      </c>
      <c r="S452" s="712">
        <f t="shared" si="1569"/>
        <v>0</v>
      </c>
      <c r="T452" s="712">
        <f t="shared" si="1569"/>
        <v>0</v>
      </c>
      <c r="U452" s="712">
        <f t="shared" si="1569"/>
        <v>0</v>
      </c>
      <c r="V452" s="712">
        <f t="shared" si="1569"/>
        <v>0</v>
      </c>
      <c r="W452" s="712">
        <f t="shared" si="1569"/>
        <v>0</v>
      </c>
      <c r="X452" s="712">
        <f t="shared" si="1569"/>
        <v>0</v>
      </c>
      <c r="Y452" s="712">
        <f t="shared" si="1569"/>
        <v>-5</v>
      </c>
      <c r="Z452" s="712">
        <f t="shared" si="1569"/>
        <v>0</v>
      </c>
      <c r="AA452" s="712">
        <f t="shared" si="1569"/>
        <v>0</v>
      </c>
      <c r="AB452" s="712">
        <f t="shared" si="1569"/>
        <v>-11</v>
      </c>
      <c r="AC452" s="712">
        <f t="shared" si="1569"/>
        <v>59</v>
      </c>
      <c r="AD452" s="712">
        <f t="shared" si="1569"/>
        <v>94</v>
      </c>
      <c r="AE452" s="712">
        <f t="shared" si="1569"/>
        <v>16</v>
      </c>
      <c r="AF452" s="712">
        <f t="shared" si="1569"/>
        <v>158</v>
      </c>
      <c r="AG452" s="712">
        <f t="shared" si="1569"/>
        <v>-365.25399999999991</v>
      </c>
      <c r="AH452" s="712">
        <f t="shared" si="1569"/>
        <v>-434.33399999999995</v>
      </c>
      <c r="AI452" s="712">
        <f t="shared" si="1569"/>
        <v>-426.46000000000004</v>
      </c>
      <c r="AJ452" s="712">
        <f t="shared" si="1569"/>
        <v>-337.65599999999995</v>
      </c>
      <c r="AK452" s="712">
        <f t="shared" si="1569"/>
        <v>-159.66948057693662</v>
      </c>
      <c r="AL452" s="712">
        <f t="shared" si="1569"/>
        <v>-333.53199999999993</v>
      </c>
      <c r="AM452" s="712">
        <f t="shared" si="1569"/>
        <v>-451.12</v>
      </c>
      <c r="AN452" s="712">
        <f t="shared" si="1569"/>
        <v>-332</v>
      </c>
      <c r="AO452" s="712">
        <f t="shared" si="1569"/>
        <v>-486</v>
      </c>
      <c r="AP452" s="712">
        <f t="shared" si="1569"/>
        <v>95</v>
      </c>
      <c r="AQ452" s="712">
        <f t="shared" si="1569"/>
        <v>-52</v>
      </c>
      <c r="AR452" s="712">
        <f t="shared" si="1569"/>
        <v>-40</v>
      </c>
      <c r="AS452" s="712">
        <f t="shared" si="1569"/>
        <v>14</v>
      </c>
      <c r="AT452" s="712">
        <f t="shared" si="1569"/>
        <v>29</v>
      </c>
      <c r="AU452" s="712">
        <f>SUM(AQ452:AT452)</f>
        <v>-49</v>
      </c>
      <c r="AV452" s="712">
        <f>AV453-AV451</f>
        <v>11</v>
      </c>
      <c r="AW452" s="712">
        <f>AW453-AW451</f>
        <v>-119</v>
      </c>
      <c r="AX452" s="712">
        <f>AX453-AX451</f>
        <v>10</v>
      </c>
      <c r="AY452" s="712">
        <f>AY453-AY451</f>
        <v>-15</v>
      </c>
      <c r="AZ452" s="712">
        <f>SUM(AV452:AY452)</f>
        <v>-113</v>
      </c>
      <c r="BA452" s="712">
        <f>BA453-BA451</f>
        <v>-3</v>
      </c>
      <c r="BB452" s="712">
        <f>BB453-BB451</f>
        <v>0</v>
      </c>
      <c r="BC452" s="712">
        <f>BC453-BC451</f>
        <v>22</v>
      </c>
      <c r="BD452" s="712">
        <f>BD453-BD451</f>
        <v>7</v>
      </c>
      <c r="BE452" s="712">
        <f>BE453-BE451</f>
        <v>26</v>
      </c>
      <c r="BF452" s="712">
        <f t="shared" ref="BF452:BK452" si="1570">BF453-BF451</f>
        <v>9</v>
      </c>
      <c r="BG452" s="712">
        <f t="shared" si="1570"/>
        <v>7</v>
      </c>
      <c r="BH452" s="712">
        <f t="shared" si="1570"/>
        <v>19</v>
      </c>
      <c r="BI452" s="712">
        <f t="shared" si="1570"/>
        <v>0</v>
      </c>
      <c r="BJ452" s="712">
        <f t="shared" si="1570"/>
        <v>35</v>
      </c>
      <c r="BK452" s="712">
        <f t="shared" si="1570"/>
        <v>18</v>
      </c>
      <c r="BL452" s="712">
        <f t="shared" ref="BL452:BV452" si="1571">BL453-BL451</f>
        <v>8</v>
      </c>
      <c r="BM452" s="712">
        <f t="shared" si="1571"/>
        <v>14</v>
      </c>
      <c r="BN452" s="712">
        <f t="shared" si="1571"/>
        <v>15</v>
      </c>
      <c r="BO452" s="712">
        <f t="shared" si="1571"/>
        <v>55</v>
      </c>
      <c r="BP452" s="712">
        <f t="shared" si="1571"/>
        <v>0</v>
      </c>
      <c r="BQ452" s="712">
        <f t="shared" si="1571"/>
        <v>10</v>
      </c>
      <c r="BR452" s="712">
        <f t="shared" si="1571"/>
        <v>8</v>
      </c>
      <c r="BS452" s="712">
        <f t="shared" si="1571"/>
        <v>0</v>
      </c>
      <c r="BT452" s="712">
        <f t="shared" si="1571"/>
        <v>18</v>
      </c>
      <c r="BU452" s="713">
        <f t="shared" si="1571"/>
        <v>0</v>
      </c>
      <c r="BV452" s="713">
        <f t="shared" si="1571"/>
        <v>0</v>
      </c>
      <c r="BW452" s="713">
        <f t="shared" ref="BW452:BZ452" si="1572">BW453-BW451</f>
        <v>0</v>
      </c>
      <c r="BX452" s="713">
        <f t="shared" si="1572"/>
        <v>0</v>
      </c>
      <c r="BY452" s="712">
        <f t="shared" si="1572"/>
        <v>0</v>
      </c>
      <c r="BZ452" s="713">
        <f t="shared" si="1572"/>
        <v>0</v>
      </c>
      <c r="CA452" s="713">
        <f t="shared" ref="CA452:CB452" si="1573">CA453-CA451</f>
        <v>0</v>
      </c>
      <c r="CB452" s="713">
        <f t="shared" si="1573"/>
        <v>0</v>
      </c>
      <c r="CC452" s="713">
        <f t="shared" ref="CC452:CD452" si="1574">CC453-CC451</f>
        <v>0</v>
      </c>
      <c r="CD452" s="712">
        <f t="shared" si="1574"/>
        <v>0</v>
      </c>
      <c r="CE452" s="713">
        <f t="shared" ref="CE452:CF452" si="1575">CE453-CE451</f>
        <v>0</v>
      </c>
      <c r="CF452" s="713">
        <f t="shared" si="1575"/>
        <v>0</v>
      </c>
      <c r="CG452" s="713">
        <f t="shared" ref="CG452:CJ452" si="1576">CG453-CG451</f>
        <v>0</v>
      </c>
      <c r="CH452" s="713">
        <f t="shared" si="1576"/>
        <v>0</v>
      </c>
      <c r="CI452" s="712">
        <f t="shared" si="1576"/>
        <v>0</v>
      </c>
      <c r="CJ452" s="713">
        <f t="shared" si="1576"/>
        <v>0</v>
      </c>
      <c r="CK452" s="713">
        <f t="shared" ref="CK452:CL452" si="1577">CK453-CK451</f>
        <v>0</v>
      </c>
      <c r="CL452" s="713">
        <f t="shared" si="1577"/>
        <v>0</v>
      </c>
      <c r="CM452" s="713">
        <f t="shared" ref="CM452:CP452" si="1578">CM453-CM451</f>
        <v>0</v>
      </c>
      <c r="CN452" s="712">
        <f t="shared" si="1578"/>
        <v>0</v>
      </c>
      <c r="CO452" s="713">
        <f t="shared" si="1578"/>
        <v>0</v>
      </c>
      <c r="CP452" s="713">
        <f t="shared" si="1578"/>
        <v>0</v>
      </c>
      <c r="CQ452" s="714">
        <v>0</v>
      </c>
      <c r="CR452" s="714">
        <v>0</v>
      </c>
      <c r="CS452" s="714">
        <v>0</v>
      </c>
      <c r="CT452" s="714">
        <v>0</v>
      </c>
      <c r="CU452" s="714">
        <v>0</v>
      </c>
      <c r="CV452" s="714">
        <v>0</v>
      </c>
      <c r="CW452" s="714">
        <v>0</v>
      </c>
      <c r="CX452" s="159"/>
      <c r="CY452" s="159"/>
      <c r="CZ452" s="159"/>
      <c r="DA452" s="159"/>
      <c r="DB452" s="159"/>
      <c r="DC452" s="159"/>
      <c r="DD452" s="159"/>
      <c r="DF452" s="226"/>
      <c r="DG452" s="237"/>
      <c r="DH452" s="237"/>
      <c r="DI452" s="237"/>
      <c r="DJ452" s="237"/>
      <c r="DK452" s="237"/>
      <c r="DL452" s="237"/>
      <c r="DM452" s="237"/>
      <c r="DN452" s="237"/>
      <c r="DO452" s="237"/>
      <c r="EU452" s="286"/>
      <c r="EV452" s="287"/>
    </row>
    <row r="453" spans="1:152">
      <c r="A453" s="283" t="s">
        <v>2</v>
      </c>
      <c r="B453" s="747">
        <v>3590</v>
      </c>
      <c r="C453" s="747"/>
      <c r="D453" s="747"/>
      <c r="E453" s="747">
        <v>1185</v>
      </c>
      <c r="F453" s="747">
        <v>1144</v>
      </c>
      <c r="G453" s="747">
        <v>4402.2000000000007</v>
      </c>
      <c r="H453" s="747">
        <v>1071</v>
      </c>
      <c r="I453" s="747">
        <v>1075.2475247524753</v>
      </c>
      <c r="J453" s="747">
        <v>1086</v>
      </c>
      <c r="K453" s="747">
        <v>1106</v>
      </c>
      <c r="L453" s="747">
        <v>4220</v>
      </c>
      <c r="M453" s="747">
        <v>1082</v>
      </c>
      <c r="N453" s="747">
        <v>1028</v>
      </c>
      <c r="O453" s="747">
        <v>1140</v>
      </c>
      <c r="P453" s="747">
        <v>1166</v>
      </c>
      <c r="Q453" s="747">
        <v>4416</v>
      </c>
      <c r="R453" s="747">
        <v>1090</v>
      </c>
      <c r="S453" s="747">
        <v>1106</v>
      </c>
      <c r="T453" s="747">
        <v>1123</v>
      </c>
      <c r="U453" s="747">
        <v>1104</v>
      </c>
      <c r="V453" s="747">
        <v>4423</v>
      </c>
      <c r="W453" s="747">
        <v>1133</v>
      </c>
      <c r="X453" s="747">
        <v>1106</v>
      </c>
      <c r="Y453" s="747">
        <v>1055</v>
      </c>
      <c r="Z453" s="747">
        <v>1065</v>
      </c>
      <c r="AA453" s="747">
        <v>4359</v>
      </c>
      <c r="AB453" s="747">
        <v>1122</v>
      </c>
      <c r="AC453" s="747">
        <v>1165</v>
      </c>
      <c r="AD453" s="747">
        <v>1154</v>
      </c>
      <c r="AE453" s="747">
        <v>1081</v>
      </c>
      <c r="AF453" s="747">
        <v>4522</v>
      </c>
      <c r="AG453" s="748">
        <f>'[3]Profit and Loss Highlights'!K$50</f>
        <v>707.74600000000009</v>
      </c>
      <c r="AH453" s="748">
        <f>'[3]Profit and Loss Highlights'!L$50</f>
        <v>651.66600000000005</v>
      </c>
      <c r="AI453" s="748">
        <f>'[3]Profit and Loss Highlights'!M$50</f>
        <v>652.54</v>
      </c>
      <c r="AJ453" s="748">
        <f>'[3]Profit and Loss Highlights'!N$50</f>
        <v>696.34400000000005</v>
      </c>
      <c r="AK453" s="747">
        <v>4112.3305194230634</v>
      </c>
      <c r="AL453" s="748">
        <f>'[3]Profit and Loss Highlights'!O$50</f>
        <v>713.46800000000007</v>
      </c>
      <c r="AM453" s="748">
        <f>'[3]Profit and Loss Highlights'!P$50</f>
        <v>649.88</v>
      </c>
      <c r="AN453" s="748">
        <f>'[3]Profit and Loss Highlights'!Q$50</f>
        <v>689</v>
      </c>
      <c r="AO453" s="748">
        <f>'[3]Profit and Loss Highlights'!R$50</f>
        <v>676</v>
      </c>
      <c r="AP453" s="747">
        <v>4426</v>
      </c>
      <c r="AQ453" s="748">
        <f>'[3]Profit and Loss Highlights'!S$55</f>
        <v>1161</v>
      </c>
      <c r="AR453" s="748">
        <f>'[3]Profit and Loss Highlights'!T$55</f>
        <v>1010</v>
      </c>
      <c r="AS453" s="748">
        <f>'[3]Profit and Loss Highlights'!U$55</f>
        <v>1144</v>
      </c>
      <c r="AT453" s="748">
        <f>'[3]Profit and Loss Highlights'!V$55</f>
        <v>1187</v>
      </c>
      <c r="AU453" s="748">
        <f>SUM(AQ453:AT453)</f>
        <v>4502</v>
      </c>
      <c r="AV453" s="748">
        <f>'[3]Profit and Loss Highlights'!W$55</f>
        <v>1024</v>
      </c>
      <c r="AW453" s="748">
        <f>'[3]Profit and Loss Highlights'!X$55</f>
        <v>1006</v>
      </c>
      <c r="AX453" s="748">
        <f>'[3]Profit and Loss Highlights'!Y$55</f>
        <v>1119</v>
      </c>
      <c r="AY453" s="748">
        <f>'[3]Profit and Loss Highlights'!Z$55</f>
        <v>1046</v>
      </c>
      <c r="AZ453" s="748">
        <f>SUM(AV453:AY453)</f>
        <v>4195</v>
      </c>
      <c r="BA453" s="748">
        <f>'[3]Profit and Loss Highlights'!AA$55</f>
        <v>1020</v>
      </c>
      <c r="BB453" s="748">
        <f>'[3]Profit and Loss Highlights'!AB$55</f>
        <v>1007</v>
      </c>
      <c r="BC453" s="748">
        <f>'[3]Profit and Loss Highlights'!AC$55</f>
        <v>1047</v>
      </c>
      <c r="BD453" s="748">
        <f>'[3]Profit and Loss Highlights'!AD$55</f>
        <v>769</v>
      </c>
      <c r="BE453" s="724">
        <f>SUM(BA453:BD453)</f>
        <v>3843</v>
      </c>
      <c r="BF453" s="748">
        <f>'[3]Profit and Loss Highlights'!AE$55</f>
        <v>991</v>
      </c>
      <c r="BG453" s="748">
        <f>'[3]Profit and Loss Highlights'!AF$55</f>
        <v>985</v>
      </c>
      <c r="BH453" s="748">
        <f>'[3]Profit and Loss Highlights'!AG$55</f>
        <v>1005</v>
      </c>
      <c r="BI453" s="748">
        <f>'[3]Profit and Loss Highlights'!AH$55</f>
        <v>945</v>
      </c>
      <c r="BJ453" s="724">
        <f>SUM(BF453:BI453)</f>
        <v>3926</v>
      </c>
      <c r="BK453" s="748">
        <f>'[3]Profit and Loss Highlights'!AI$55</f>
        <v>962</v>
      </c>
      <c r="BL453" s="748">
        <f>'[3]Profit and Loss Highlights'!AJ$55</f>
        <v>946</v>
      </c>
      <c r="BM453" s="748">
        <f>'[3]Profit and Loss Highlights'!AK$55</f>
        <v>967</v>
      </c>
      <c r="BN453" s="748">
        <f>'[3]Profit and Loss Highlights'!AL$55</f>
        <v>939</v>
      </c>
      <c r="BO453" s="724">
        <f>SUM(BK453:BN453)</f>
        <v>3814</v>
      </c>
      <c r="BP453" s="748">
        <f>'[3]Profit and Loss Highlights'!AM$55</f>
        <v>961</v>
      </c>
      <c r="BQ453" s="748">
        <f>'[3]Profit and Loss Highlights'!AN$55</f>
        <v>1006</v>
      </c>
      <c r="BR453" s="748">
        <f>'[3]Profit and Loss Highlights'!AO$55</f>
        <v>977</v>
      </c>
      <c r="BS453" s="748">
        <f>'[3]Profit and Loss Highlights'!AP$55</f>
        <v>932</v>
      </c>
      <c r="BT453" s="724">
        <f>SUM(BP453:BS453)</f>
        <v>3876</v>
      </c>
      <c r="BU453" s="748">
        <f>'[3]Profit and Loss Highlights'!AQ$55</f>
        <v>927</v>
      </c>
      <c r="BV453" s="748">
        <f>'[3]Profit and Loss Highlights'!AR$55</f>
        <v>1012</v>
      </c>
      <c r="BW453" s="748">
        <f>'[3]Profit and Loss Highlights'!AS$55</f>
        <v>1004</v>
      </c>
      <c r="BX453" s="748">
        <f>'[3]Profit and Loss Highlights'!AT$55</f>
        <v>986</v>
      </c>
      <c r="BY453" s="724">
        <f>SUM(BU453:BX453)</f>
        <v>3929</v>
      </c>
      <c r="BZ453" s="748">
        <f>'[3]Profit and Loss Highlights'!AU$55</f>
        <v>972</v>
      </c>
      <c r="CA453" s="748">
        <f>'[3]Profit and Loss Highlights'!AV$55</f>
        <v>1002</v>
      </c>
      <c r="CB453" s="748">
        <f>'[3]Profit and Loss Highlights'!AW$55</f>
        <v>929</v>
      </c>
      <c r="CC453" s="748">
        <f>'[3]Profit and Loss Highlights'!AX$55</f>
        <v>1057</v>
      </c>
      <c r="CD453" s="724">
        <f>SUM(BZ453:CC453)</f>
        <v>3960</v>
      </c>
      <c r="CE453" s="748">
        <f>'[3]Profit and Loss Highlights'!AY$55</f>
        <v>1044</v>
      </c>
      <c r="CF453" s="748">
        <f>'[3]Profit and Loss Highlights'!AZ$55</f>
        <v>1046</v>
      </c>
      <c r="CG453" s="748">
        <f>'[3]Profit and Loss Highlights'!BA$55</f>
        <v>1048</v>
      </c>
      <c r="CH453" s="748">
        <f>'[3]Profit and Loss Highlights'!BB$55</f>
        <v>984</v>
      </c>
      <c r="CI453" s="724">
        <f>SUM(CE453:CH453)</f>
        <v>4122</v>
      </c>
      <c r="CJ453" s="748">
        <f>'[3]Profit and Loss Highlights'!BC$55</f>
        <v>1055</v>
      </c>
      <c r="CK453" s="748">
        <f>'[3]Profit and Loss Highlights'!BD$55</f>
        <v>1094</v>
      </c>
      <c r="CL453" s="748">
        <f>'[3]Profit and Loss Highlights'!BE$55</f>
        <v>1102</v>
      </c>
      <c r="CM453" s="748">
        <f>'[3]Profit and Loss Highlights'!BF$55</f>
        <v>1078</v>
      </c>
      <c r="CN453" s="724">
        <f>SUM(CJ453:CM453)</f>
        <v>4329</v>
      </c>
      <c r="CO453" s="748">
        <f>'[3]Profit and Loss Highlights'!BG$55</f>
        <v>1099</v>
      </c>
      <c r="CP453" s="748">
        <f>'[3]Profit and Loss Highlights'!BH$55</f>
        <v>1124</v>
      </c>
      <c r="CQ453" s="724">
        <f>CQ432-CQ448</f>
        <v>4521.5932718038575</v>
      </c>
      <c r="CR453" s="724">
        <f t="shared" ref="CR453:CW453" si="1579">CR432-CR448</f>
        <v>4652.7746464653283</v>
      </c>
      <c r="CS453" s="724">
        <f t="shared" si="1579"/>
        <v>4782.7277825729407</v>
      </c>
      <c r="CT453" s="724">
        <f t="shared" si="1579"/>
        <v>4920.6127220270864</v>
      </c>
      <c r="CU453" s="724">
        <f t="shared" si="1579"/>
        <v>5055.0552341969897</v>
      </c>
      <c r="CV453" s="724">
        <f t="shared" si="1579"/>
        <v>5192.1232583166502</v>
      </c>
      <c r="CW453" s="724">
        <f t="shared" si="1579"/>
        <v>5332.0710765879776</v>
      </c>
      <c r="CX453" s="159"/>
      <c r="CY453" s="159"/>
      <c r="CZ453" s="159"/>
      <c r="DA453" s="159"/>
      <c r="DB453" s="159"/>
      <c r="DC453" s="159"/>
      <c r="DD453" s="159"/>
      <c r="DF453" s="226"/>
      <c r="DG453" s="237"/>
      <c r="DH453" s="237"/>
      <c r="DI453" s="237"/>
      <c r="DJ453" s="237"/>
      <c r="DK453" s="237"/>
      <c r="DL453" s="237"/>
      <c r="DM453" s="237"/>
      <c r="DN453" s="237"/>
      <c r="DO453" s="237"/>
      <c r="EU453" s="286"/>
      <c r="EV453" s="287"/>
    </row>
    <row r="454" spans="1:152">
      <c r="A454" s="226" t="s">
        <v>82</v>
      </c>
      <c r="B454" s="236"/>
      <c r="C454" s="236"/>
      <c r="D454" s="236"/>
      <c r="E454" s="236"/>
      <c r="F454" s="236"/>
      <c r="G454" s="236">
        <f>G453/B453-1</f>
        <v>0.22623955431754905</v>
      </c>
      <c r="H454" s="236"/>
      <c r="I454" s="236"/>
      <c r="J454" s="236"/>
      <c r="K454" s="236"/>
      <c r="L454" s="236">
        <f>L453/G453-1</f>
        <v>-4.1388396710735686E-2</v>
      </c>
      <c r="M454" s="236"/>
      <c r="N454" s="236"/>
      <c r="O454" s="236"/>
      <c r="P454" s="236"/>
      <c r="Q454" s="236">
        <f>Q453/L453-1</f>
        <v>4.6445497630331678E-2</v>
      </c>
      <c r="R454" s="236"/>
      <c r="S454" s="236"/>
      <c r="T454" s="236"/>
      <c r="U454" s="236"/>
      <c r="V454" s="236">
        <f>V453/Q453-1</f>
        <v>1.5851449275361418E-3</v>
      </c>
      <c r="W454" s="236"/>
      <c r="X454" s="236"/>
      <c r="Y454" s="236"/>
      <c r="Z454" s="236"/>
      <c r="AA454" s="236">
        <f>AA453/V453-1</f>
        <v>-1.446981686638027E-2</v>
      </c>
      <c r="AB454" s="236"/>
      <c r="AC454" s="236"/>
      <c r="AD454" s="236"/>
      <c r="AE454" s="236"/>
      <c r="AF454" s="236">
        <f>AF453/AA453-1</f>
        <v>3.7393897682954869E-2</v>
      </c>
      <c r="AG454" s="236"/>
      <c r="AH454" s="236"/>
      <c r="AI454" s="236"/>
      <c r="AJ454" s="236"/>
      <c r="AK454" s="236">
        <f>AK453/AF453-1</f>
        <v>-9.0594754660976662E-2</v>
      </c>
      <c r="AL454" s="236"/>
      <c r="AM454" s="236"/>
      <c r="AN454" s="236"/>
      <c r="AO454" s="236"/>
      <c r="AP454" s="236">
        <f t="shared" ref="AP454:CP454" si="1580">AP453/AK453-1</f>
        <v>7.6275357512105568E-2</v>
      </c>
      <c r="AQ454" s="236">
        <f t="shared" si="1580"/>
        <v>0.6272628905571096</v>
      </c>
      <c r="AR454" s="236">
        <f t="shared" si="1580"/>
        <v>0.55413307072074836</v>
      </c>
      <c r="AS454" s="236">
        <f t="shared" si="1580"/>
        <v>0.66037735849056611</v>
      </c>
      <c r="AT454" s="236">
        <f t="shared" si="1580"/>
        <v>0.75591715976331364</v>
      </c>
      <c r="AU454" s="236">
        <f t="shared" si="1580"/>
        <v>1.7171260732038007E-2</v>
      </c>
      <c r="AV454" s="236">
        <f t="shared" si="1580"/>
        <v>-0.11800172265288544</v>
      </c>
      <c r="AW454" s="236">
        <f t="shared" si="1580"/>
        <v>-3.9603960396039639E-3</v>
      </c>
      <c r="AX454" s="236">
        <f t="shared" si="1580"/>
        <v>-2.1853146853146876E-2</v>
      </c>
      <c r="AY454" s="236">
        <f t="shared" si="1580"/>
        <v>-0.11878685762426289</v>
      </c>
      <c r="AZ454" s="236">
        <f t="shared" si="1580"/>
        <v>-6.8191914704575751E-2</v>
      </c>
      <c r="BA454" s="236">
        <f t="shared" si="1580"/>
        <v>-3.90625E-3</v>
      </c>
      <c r="BB454" s="236">
        <f t="shared" si="1580"/>
        <v>9.9403578528822756E-4</v>
      </c>
      <c r="BC454" s="236">
        <f t="shared" si="1580"/>
        <v>-6.4343163538874037E-2</v>
      </c>
      <c r="BD454" s="236">
        <f t="shared" si="1580"/>
        <v>-0.26481835564053535</v>
      </c>
      <c r="BE454" s="236">
        <f t="shared" si="1580"/>
        <v>-8.3909415971394563E-2</v>
      </c>
      <c r="BF454" s="236">
        <f t="shared" si="1580"/>
        <v>-2.8431372549019618E-2</v>
      </c>
      <c r="BG454" s="236">
        <f t="shared" si="1580"/>
        <v>-2.1847070506454846E-2</v>
      </c>
      <c r="BH454" s="236">
        <f t="shared" si="1580"/>
        <v>-4.011461318051579E-2</v>
      </c>
      <c r="BI454" s="236">
        <f t="shared" si="1580"/>
        <v>0.22886866059817956</v>
      </c>
      <c r="BJ454" s="236">
        <f>BJ453/BE453-1</f>
        <v>2.1597710122300384E-2</v>
      </c>
      <c r="BK454" s="236">
        <f t="shared" si="1580"/>
        <v>-2.9263370332996974E-2</v>
      </c>
      <c r="BL454" s="236">
        <f t="shared" si="1580"/>
        <v>-3.9593908629441676E-2</v>
      </c>
      <c r="BM454" s="236">
        <f t="shared" si="1580"/>
        <v>-3.7810945273631824E-2</v>
      </c>
      <c r="BN454" s="236">
        <f t="shared" si="1580"/>
        <v>-6.3492063492063266E-3</v>
      </c>
      <c r="BO454" s="236">
        <f>BO453/BJ453-1</f>
        <v>-2.852776362710141E-2</v>
      </c>
      <c r="BP454" s="236">
        <f t="shared" si="1580"/>
        <v>-1.0395010395010118E-3</v>
      </c>
      <c r="BQ454" s="236">
        <f t="shared" si="1580"/>
        <v>6.3424947145877431E-2</v>
      </c>
      <c r="BR454" s="236">
        <f t="shared" si="1580"/>
        <v>1.0341261633919352E-2</v>
      </c>
      <c r="BS454" s="236">
        <f t="shared" si="1580"/>
        <v>-7.4547390841320782E-3</v>
      </c>
      <c r="BT454" s="236">
        <f>BT453/BO453-1</f>
        <v>1.625589931830107E-2</v>
      </c>
      <c r="BU454" s="237">
        <f t="shared" si="1580"/>
        <v>-3.5379812695109258E-2</v>
      </c>
      <c r="BV454" s="237">
        <f t="shared" si="1580"/>
        <v>5.9642147117295874E-3</v>
      </c>
      <c r="BW454" s="237">
        <f t="shared" si="1580"/>
        <v>2.763561924257929E-2</v>
      </c>
      <c r="BX454" s="237">
        <f t="shared" si="1580"/>
        <v>5.7939914163090078E-2</v>
      </c>
      <c r="BY454" s="236">
        <f>BY453/BT453-1</f>
        <v>1.3673890608875139E-2</v>
      </c>
      <c r="BZ454" s="237">
        <f t="shared" si="1580"/>
        <v>4.8543689320388328E-2</v>
      </c>
      <c r="CA454" s="237">
        <f t="shared" si="1580"/>
        <v>-9.8814229249012397E-3</v>
      </c>
      <c r="CB454" s="237">
        <f t="shared" si="1580"/>
        <v>-7.4701195219123551E-2</v>
      </c>
      <c r="CC454" s="237">
        <f t="shared" si="1580"/>
        <v>7.2008113590263712E-2</v>
      </c>
      <c r="CD454" s="236">
        <f>CD453/BY453-1</f>
        <v>7.8900483583608239E-3</v>
      </c>
      <c r="CE454" s="237">
        <f t="shared" si="1580"/>
        <v>7.4074074074074181E-2</v>
      </c>
      <c r="CF454" s="237">
        <f t="shared" si="1580"/>
        <v>4.3912175648702645E-2</v>
      </c>
      <c r="CG454" s="237">
        <f t="shared" si="1580"/>
        <v>0.12809472551130252</v>
      </c>
      <c r="CH454" s="237">
        <f t="shared" si="1580"/>
        <v>-6.9063386944181682E-2</v>
      </c>
      <c r="CI454" s="236">
        <f>CI453/CD453-1</f>
        <v>4.0909090909091006E-2</v>
      </c>
      <c r="CJ454" s="237">
        <f t="shared" si="1580"/>
        <v>1.0536398467432928E-2</v>
      </c>
      <c r="CK454" s="237">
        <f t="shared" si="1580"/>
        <v>4.5889101338432159E-2</v>
      </c>
      <c r="CL454" s="237">
        <f t="shared" si="1580"/>
        <v>5.15267175572518E-2</v>
      </c>
      <c r="CM454" s="237">
        <f t="shared" si="1580"/>
        <v>9.5528455284552782E-2</v>
      </c>
      <c r="CN454" s="236">
        <f>CN453/CI453-1</f>
        <v>5.0218340611353662E-2</v>
      </c>
      <c r="CO454" s="237">
        <f t="shared" si="1580"/>
        <v>4.1706161137440745E-2</v>
      </c>
      <c r="CP454" s="237">
        <f t="shared" si="1580"/>
        <v>2.7422303473491727E-2</v>
      </c>
      <c r="CQ454" s="236">
        <f>CQ453/CN453-1</f>
        <v>4.4489090275781296E-2</v>
      </c>
      <c r="CR454" s="236">
        <f t="shared" ref="CR454:CS454" si="1581">CR453/CQ453-1</f>
        <v>2.9012201402435434E-2</v>
      </c>
      <c r="CS454" s="236">
        <f t="shared" si="1581"/>
        <v>2.7930245064917703E-2</v>
      </c>
      <c r="CT454" s="236">
        <f t="shared" ref="CT454" si="1582">CT453/CS453-1</f>
        <v>2.8829769479367773E-2</v>
      </c>
      <c r="CU454" s="236">
        <f t="shared" ref="CU454" si="1583">CU453/CT453-1</f>
        <v>2.7322311217071071E-2</v>
      </c>
      <c r="CV454" s="236">
        <f t="shared" ref="CV454:CW454" si="1584">CV453/CU453-1</f>
        <v>2.7115039850090561E-2</v>
      </c>
      <c r="CW454" s="236">
        <f t="shared" si="1584"/>
        <v>2.6953870566759353E-2</v>
      </c>
      <c r="CX454" s="159"/>
      <c r="CY454" s="159"/>
      <c r="CZ454" s="159"/>
      <c r="DA454" s="159"/>
      <c r="DB454" s="159"/>
      <c r="DC454" s="159"/>
      <c r="DD454" s="159"/>
      <c r="DF454" s="235"/>
      <c r="DG454" s="258"/>
      <c r="DH454" s="258"/>
      <c r="DI454" s="258"/>
      <c r="DJ454" s="258"/>
      <c r="DK454" s="258"/>
      <c r="DL454" s="258"/>
      <c r="DM454" s="258"/>
      <c r="DN454" s="258"/>
      <c r="DO454" s="258"/>
      <c r="EU454" s="286"/>
      <c r="EV454" s="287"/>
    </row>
    <row r="455" spans="1:152">
      <c r="A455" s="226" t="s">
        <v>275</v>
      </c>
      <c r="B455" s="237">
        <f>B453/B432</f>
        <v>0.46684005201560469</v>
      </c>
      <c r="C455" s="237"/>
      <c r="D455" s="237"/>
      <c r="E455" s="237"/>
      <c r="F455" s="237">
        <f t="shared" ref="F455:AK455" si="1585">F453/F432</f>
        <v>0.51905626134301275</v>
      </c>
      <c r="G455" s="237">
        <f t="shared" si="1585"/>
        <v>0.52097657960449251</v>
      </c>
      <c r="H455" s="237">
        <f t="shared" si="1585"/>
        <v>0.50305307656176612</v>
      </c>
      <c r="I455" s="237">
        <f t="shared" si="1585"/>
        <v>0.50815100413633052</v>
      </c>
      <c r="J455" s="237">
        <f t="shared" si="1585"/>
        <v>0.50371057513914652</v>
      </c>
      <c r="K455" s="237">
        <f t="shared" si="1585"/>
        <v>0.50022614201718685</v>
      </c>
      <c r="L455" s="237">
        <f t="shared" si="1585"/>
        <v>0.49001393404551791</v>
      </c>
      <c r="M455" s="237">
        <f t="shared" si="1585"/>
        <v>0.50278810408921937</v>
      </c>
      <c r="N455" s="237">
        <f t="shared" si="1585"/>
        <v>0.46919214970333178</v>
      </c>
      <c r="O455" s="237">
        <f t="shared" si="1585"/>
        <v>0.51444043321299637</v>
      </c>
      <c r="P455" s="237">
        <f t="shared" si="1585"/>
        <v>0.50476190476190474</v>
      </c>
      <c r="Q455" s="237">
        <f t="shared" si="1585"/>
        <v>0.4979140827601759</v>
      </c>
      <c r="R455" s="237">
        <f t="shared" si="1585"/>
        <v>0.51101734646038444</v>
      </c>
      <c r="S455" s="237">
        <f t="shared" si="1585"/>
        <v>0.51251158480074144</v>
      </c>
      <c r="T455" s="237">
        <f t="shared" si="1585"/>
        <v>0.50044563279857401</v>
      </c>
      <c r="U455" s="237">
        <f t="shared" si="1585"/>
        <v>0.49110320284697506</v>
      </c>
      <c r="V455" s="237">
        <f t="shared" si="1585"/>
        <v>0.50358647386997613</v>
      </c>
      <c r="W455" s="237">
        <f t="shared" si="1585"/>
        <v>0.53067915690866507</v>
      </c>
      <c r="X455" s="237">
        <f t="shared" si="1585"/>
        <v>0.49752586594691856</v>
      </c>
      <c r="Y455" s="237">
        <f t="shared" si="1585"/>
        <v>0.47608303249097472</v>
      </c>
      <c r="Z455" s="237">
        <f t="shared" si="1585"/>
        <v>0.46183868169991327</v>
      </c>
      <c r="AA455" s="237">
        <f t="shared" si="1585"/>
        <v>0.49087837837837839</v>
      </c>
      <c r="AB455" s="237">
        <f t="shared" si="1585"/>
        <v>0.48216587881392353</v>
      </c>
      <c r="AC455" s="237">
        <f t="shared" si="1585"/>
        <v>0.50762527233115473</v>
      </c>
      <c r="AD455" s="237">
        <f t="shared" si="1585"/>
        <v>0.51540866458240286</v>
      </c>
      <c r="AE455" s="237">
        <f t="shared" si="1585"/>
        <v>0.48606115107913667</v>
      </c>
      <c r="AF455" s="237">
        <f t="shared" si="1585"/>
        <v>0.50086549380109724</v>
      </c>
      <c r="AG455" s="237">
        <f t="shared" si="1585"/>
        <v>0.33400000000000002</v>
      </c>
      <c r="AH455" s="237">
        <f t="shared" si="1585"/>
        <v>0.313</v>
      </c>
      <c r="AI455" s="237">
        <f t="shared" si="1585"/>
        <v>0.316</v>
      </c>
      <c r="AJ455" s="237">
        <f t="shared" si="1585"/>
        <v>0.32800000000000001</v>
      </c>
      <c r="AK455" s="237">
        <f t="shared" si="1585"/>
        <v>0.4893301427204978</v>
      </c>
      <c r="AL455" s="237">
        <f t="shared" ref="AL455:BQ455" si="1586">AL453/AL432</f>
        <v>0.33200000000000002</v>
      </c>
      <c r="AM455" s="237">
        <f t="shared" si="1586"/>
        <v>0.308</v>
      </c>
      <c r="AN455" s="237">
        <f t="shared" si="1586"/>
        <v>0.31809787626962144</v>
      </c>
      <c r="AO455" s="237">
        <f t="shared" si="1586"/>
        <v>0.31066176470588236</v>
      </c>
      <c r="AP455" s="237">
        <f t="shared" si="1586"/>
        <v>0.51459132658993145</v>
      </c>
      <c r="AQ455" s="237">
        <f t="shared" si="1586"/>
        <v>0.54252336448598126</v>
      </c>
      <c r="AR455" s="237">
        <f t="shared" si="1586"/>
        <v>0.48049476688867743</v>
      </c>
      <c r="AS455" s="237">
        <f t="shared" si="1586"/>
        <v>0.53061224489795922</v>
      </c>
      <c r="AT455" s="237">
        <f t="shared" si="1586"/>
        <v>0.53613369467028005</v>
      </c>
      <c r="AU455" s="237">
        <f t="shared" si="1586"/>
        <v>0.52275894101254061</v>
      </c>
      <c r="AV455" s="237">
        <f t="shared" si="1586"/>
        <v>0.43115789473684213</v>
      </c>
      <c r="AW455" s="237">
        <f t="shared" si="1586"/>
        <v>0.43083511777301925</v>
      </c>
      <c r="AX455" s="237">
        <f t="shared" si="1586"/>
        <v>0.4796399485640806</v>
      </c>
      <c r="AY455" s="237">
        <f t="shared" si="1586"/>
        <v>0.44023569023569026</v>
      </c>
      <c r="AZ455" s="237">
        <f t="shared" si="1586"/>
        <v>0.44537636691793187</v>
      </c>
      <c r="BA455" s="237">
        <f t="shared" si="1586"/>
        <v>0.45596781403665626</v>
      </c>
      <c r="BB455" s="237">
        <f t="shared" si="1586"/>
        <v>0.44835262689225291</v>
      </c>
      <c r="BC455" s="237">
        <f t="shared" si="1586"/>
        <v>0.46245583038869259</v>
      </c>
      <c r="BD455" s="237">
        <f t="shared" si="1586"/>
        <v>0.31451942740286298</v>
      </c>
      <c r="BE455" s="237">
        <f t="shared" si="1586"/>
        <v>0.41808093994778067</v>
      </c>
      <c r="BF455" s="237">
        <f t="shared" si="1586"/>
        <v>0.44399641577060933</v>
      </c>
      <c r="BG455" s="237">
        <f t="shared" si="1586"/>
        <v>0.44650951949229373</v>
      </c>
      <c r="BH455" s="237">
        <f t="shared" si="1586"/>
        <v>0.43982494529540483</v>
      </c>
      <c r="BI455" s="237">
        <f t="shared" si="1586"/>
        <v>0.36486486486486486</v>
      </c>
      <c r="BJ455" s="237">
        <f t="shared" si="1586"/>
        <v>0.42156125845592185</v>
      </c>
      <c r="BK455" s="237">
        <f t="shared" si="1586"/>
        <v>0.41093549765057669</v>
      </c>
      <c r="BL455" s="237">
        <f t="shared" si="1586"/>
        <v>0.4397954439795444</v>
      </c>
      <c r="BM455" s="237">
        <f t="shared" si="1586"/>
        <v>0.43696339810212381</v>
      </c>
      <c r="BN455" s="237">
        <f t="shared" si="1586"/>
        <v>0.41530296329057936</v>
      </c>
      <c r="BO455" s="237">
        <f t="shared" si="1586"/>
        <v>0.42538478697300913</v>
      </c>
      <c r="BP455" s="237">
        <f t="shared" si="1586"/>
        <v>0.42901785714285712</v>
      </c>
      <c r="BQ455" s="237">
        <f t="shared" si="1586"/>
        <v>0.44239226033421286</v>
      </c>
      <c r="BR455" s="237">
        <f t="shared" ref="BR455:CW455" si="1587">BR453/BR432</f>
        <v>0.43020695728753855</v>
      </c>
      <c r="BS455" s="237">
        <f t="shared" si="1587"/>
        <v>0.37947882736156352</v>
      </c>
      <c r="BT455" s="237">
        <f t="shared" si="1587"/>
        <v>0.41943512606860728</v>
      </c>
      <c r="BU455" s="237">
        <f t="shared" si="1587"/>
        <v>0.385286783042394</v>
      </c>
      <c r="BV455" s="237">
        <f t="shared" si="1587"/>
        <v>0.41749174917491749</v>
      </c>
      <c r="BW455" s="237">
        <f t="shared" si="1587"/>
        <v>0.41746361746361749</v>
      </c>
      <c r="BX455" s="237">
        <f t="shared" si="1587"/>
        <v>0.38606108065779171</v>
      </c>
      <c r="BY455" s="237">
        <f t="shared" si="1587"/>
        <v>0.40136888344059657</v>
      </c>
      <c r="BZ455" s="237">
        <f t="shared" si="1587"/>
        <v>0.38479809976247031</v>
      </c>
      <c r="CA455" s="237">
        <f t="shared" si="1587"/>
        <v>0.40566801619433196</v>
      </c>
      <c r="CB455" s="237">
        <f t="shared" si="1587"/>
        <v>0.38042588042588044</v>
      </c>
      <c r="CC455" s="237">
        <f t="shared" si="1587"/>
        <v>0.38548504741064915</v>
      </c>
      <c r="CD455" s="237">
        <f t="shared" si="1587"/>
        <v>0.38899803536345778</v>
      </c>
      <c r="CE455" s="237">
        <f t="shared" si="1587"/>
        <v>0.40107568190549364</v>
      </c>
      <c r="CF455" s="237">
        <f t="shared" si="1587"/>
        <v>0.40448569218870845</v>
      </c>
      <c r="CG455" s="237">
        <f t="shared" si="1587"/>
        <v>0.40683229813664595</v>
      </c>
      <c r="CH455" s="237">
        <f t="shared" si="1587"/>
        <v>0.35510645976181882</v>
      </c>
      <c r="CI455" s="237">
        <f t="shared" si="1587"/>
        <v>0.39123006833712987</v>
      </c>
      <c r="CJ455" s="237">
        <f t="shared" si="1587"/>
        <v>0.40452453987730064</v>
      </c>
      <c r="CK455" s="237">
        <f t="shared" si="1587"/>
        <v>0.42701014832162371</v>
      </c>
      <c r="CL455" s="237">
        <f t="shared" ref="CL455" si="1588">CL453/CL432</f>
        <v>0.42564696794129009</v>
      </c>
      <c r="CM455" s="237">
        <f t="shared" ref="CM455:CP455" si="1589">CM453/CM432</f>
        <v>0.37482614742698189</v>
      </c>
      <c r="CN455" s="237">
        <f t="shared" si="1589"/>
        <v>0.4070521861777151</v>
      </c>
      <c r="CO455" s="237">
        <f t="shared" si="1589"/>
        <v>0.40241669718051998</v>
      </c>
      <c r="CP455" s="237">
        <f t="shared" si="1589"/>
        <v>0.42319277108433734</v>
      </c>
      <c r="CQ455" s="237">
        <f t="shared" si="1587"/>
        <v>0.41309731668063632</v>
      </c>
      <c r="CR455" s="237">
        <f t="shared" si="1587"/>
        <v>0.4147948433665038</v>
      </c>
      <c r="CS455" s="237">
        <f t="shared" si="1587"/>
        <v>0.41619213648730491</v>
      </c>
      <c r="CT455" s="237">
        <f t="shared" si="1587"/>
        <v>0.41765562415863322</v>
      </c>
      <c r="CU455" s="237">
        <f t="shared" si="1587"/>
        <v>0.41907520656617486</v>
      </c>
      <c r="CV455" s="237">
        <f t="shared" si="1587"/>
        <v>0.42050538835498075</v>
      </c>
      <c r="CW455" s="237">
        <f t="shared" si="1587"/>
        <v>0.42194535586410659</v>
      </c>
      <c r="CX455" s="159"/>
      <c r="CY455" s="159"/>
      <c r="CZ455" s="159"/>
      <c r="DA455" s="159"/>
      <c r="DB455" s="159"/>
      <c r="DC455" s="159"/>
      <c r="DD455" s="159"/>
      <c r="DF455" s="235"/>
      <c r="DG455" s="258"/>
      <c r="DH455" s="258"/>
      <c r="DI455" s="258"/>
      <c r="DJ455" s="258"/>
      <c r="DK455" s="258"/>
      <c r="DL455" s="258"/>
      <c r="DM455" s="258"/>
      <c r="DN455" s="258"/>
      <c r="DO455" s="258"/>
      <c r="EU455" s="286"/>
      <c r="EV455" s="287"/>
    </row>
    <row r="456" spans="1:152">
      <c r="A456" s="226" t="s">
        <v>83</v>
      </c>
      <c r="B456" s="160">
        <f t="shared" ref="B456:AG456" si="1590">B453/(B382+B391+B394)</f>
        <v>0.54824494423478443</v>
      </c>
      <c r="C456" s="160" t="e">
        <f t="shared" si="1590"/>
        <v>#DIV/0!</v>
      </c>
      <c r="D456" s="160" t="e">
        <f t="shared" si="1590"/>
        <v>#DIV/0!</v>
      </c>
      <c r="E456" s="160" t="e">
        <f t="shared" si="1590"/>
        <v>#DIV/0!</v>
      </c>
      <c r="F456" s="160">
        <f t="shared" si="1590"/>
        <v>0.54357923166215982</v>
      </c>
      <c r="G456" s="160">
        <f t="shared" si="1590"/>
        <v>0.53320035437777991</v>
      </c>
      <c r="H456" s="160">
        <f t="shared" si="1590"/>
        <v>0.53019581502730384</v>
      </c>
      <c r="I456" s="160">
        <f t="shared" si="1590"/>
        <v>0.53739289838709059</v>
      </c>
      <c r="J456" s="160">
        <f t="shared" si="1590"/>
        <v>0.53020736869116691</v>
      </c>
      <c r="K456" s="160">
        <f t="shared" si="1590"/>
        <v>0.53323176537802319</v>
      </c>
      <c r="L456" s="160">
        <f t="shared" si="1590"/>
        <v>0.50909949293388912</v>
      </c>
      <c r="M456" s="160">
        <f t="shared" si="1590"/>
        <v>0.53180090789522838</v>
      </c>
      <c r="N456" s="160">
        <f t="shared" si="1590"/>
        <v>0.49706427456902158</v>
      </c>
      <c r="O456" s="160">
        <f t="shared" si="1590"/>
        <v>0.55516163969425203</v>
      </c>
      <c r="P456" s="160">
        <f t="shared" si="1590"/>
        <v>0.54800791368546364</v>
      </c>
      <c r="Q456" s="160">
        <f t="shared" si="1590"/>
        <v>0.52347270082752773</v>
      </c>
      <c r="R456" s="160">
        <f t="shared" si="1590"/>
        <v>0.54222664626103634</v>
      </c>
      <c r="S456" s="160">
        <f t="shared" si="1590"/>
        <v>0.55839591936783117</v>
      </c>
      <c r="T456" s="160">
        <f t="shared" si="1590"/>
        <v>0.53622042431604444</v>
      </c>
      <c r="U456" s="160">
        <f t="shared" si="1590"/>
        <v>0.52456847828101194</v>
      </c>
      <c r="V456" s="160">
        <f t="shared" si="1590"/>
        <v>0.52139769948442571</v>
      </c>
      <c r="W456" s="160">
        <f t="shared" si="1590"/>
        <v>0.54418828049951973</v>
      </c>
      <c r="X456" s="160">
        <f t="shared" si="1590"/>
        <v>0.50542671084199708</v>
      </c>
      <c r="Y456" s="160">
        <f t="shared" si="1590"/>
        <v>0.50724080235398195</v>
      </c>
      <c r="Z456" s="160">
        <f t="shared" si="1590"/>
        <v>0.49362413743237588</v>
      </c>
      <c r="AA456" s="160">
        <f t="shared" si="1590"/>
        <v>0.51236288503912131</v>
      </c>
      <c r="AB456" s="160">
        <f t="shared" si="1590"/>
        <v>0.52291529471310261</v>
      </c>
      <c r="AC456" s="160">
        <f t="shared" si="1590"/>
        <v>0.5530183170109858</v>
      </c>
      <c r="AD456" s="160">
        <f t="shared" si="1590"/>
        <v>0.55475648401685995</v>
      </c>
      <c r="AE456" s="160">
        <f t="shared" si="1590"/>
        <v>0.52532059864194169</v>
      </c>
      <c r="AF456" s="160">
        <f t="shared" si="1590"/>
        <v>0.53895781862484238</v>
      </c>
      <c r="AG456" s="160">
        <f t="shared" si="1590"/>
        <v>0.36432174772474574</v>
      </c>
      <c r="AH456" s="160">
        <f t="shared" ref="AH456:BM456" si="1591">AH453/(AH382+AH391+AH394)</f>
        <v>0.33587135512633848</v>
      </c>
      <c r="AI456" s="160">
        <f t="shared" si="1591"/>
        <v>0.34053856591170023</v>
      </c>
      <c r="AJ456" s="160">
        <f t="shared" si="1591"/>
        <v>0.35408522322790609</v>
      </c>
      <c r="AK456" s="160">
        <f t="shared" si="1591"/>
        <v>0.52955291265114623</v>
      </c>
      <c r="AL456" s="160">
        <f t="shared" si="1591"/>
        <v>0.36598312554887114</v>
      </c>
      <c r="AM456" s="160">
        <f t="shared" si="1591"/>
        <v>0.3363255445792554</v>
      </c>
      <c r="AN456" s="160">
        <f t="shared" si="1591"/>
        <v>0.34521519958975005</v>
      </c>
      <c r="AO456" s="160">
        <f t="shared" si="1591"/>
        <v>0.33744321868916288</v>
      </c>
      <c r="AP456" s="160">
        <f t="shared" si="1591"/>
        <v>0.56161048468152208</v>
      </c>
      <c r="AQ456" s="160">
        <f t="shared" si="1591"/>
        <v>0.59743734883960276</v>
      </c>
      <c r="AR456" s="160">
        <f t="shared" si="1591"/>
        <v>0.52988151377180415</v>
      </c>
      <c r="AS456" s="160">
        <f t="shared" si="1591"/>
        <v>0.59517461143265915</v>
      </c>
      <c r="AT456" s="160">
        <f t="shared" si="1591"/>
        <v>0.58520183793803859</v>
      </c>
      <c r="AU456" s="160">
        <f t="shared" si="1591"/>
        <v>0.57718899599820339</v>
      </c>
      <c r="AV456" s="160">
        <f t="shared" si="1591"/>
        <v>0.49089165867689355</v>
      </c>
      <c r="AW456" s="160">
        <f t="shared" si="1591"/>
        <v>0.48365384615384616</v>
      </c>
      <c r="AX456" s="160">
        <f t="shared" si="1591"/>
        <v>0.53438395415472784</v>
      </c>
      <c r="AY456" s="160">
        <f t="shared" si="1591"/>
        <v>0.51400491400491399</v>
      </c>
      <c r="AZ456" s="160">
        <f t="shared" si="1591"/>
        <v>0.50572634116937909</v>
      </c>
      <c r="BA456" s="160">
        <f t="shared" si="1591"/>
        <v>0.51515151515151514</v>
      </c>
      <c r="BB456" s="160">
        <f t="shared" si="1591"/>
        <v>0.50024838549428718</v>
      </c>
      <c r="BC456" s="160">
        <f t="shared" si="1591"/>
        <v>0.51652688702516036</v>
      </c>
      <c r="BD456" s="160">
        <f t="shared" si="1591"/>
        <v>0.37548828125</v>
      </c>
      <c r="BE456" s="160">
        <f t="shared" si="1591"/>
        <v>0.47632622706990579</v>
      </c>
      <c r="BF456" s="160">
        <f t="shared" si="1591"/>
        <v>0.5089881869542886</v>
      </c>
      <c r="BG456" s="160">
        <f t="shared" si="1591"/>
        <v>0.513555787278415</v>
      </c>
      <c r="BH456" s="160">
        <f t="shared" si="1591"/>
        <v>0.51804123711340211</v>
      </c>
      <c r="BI456" s="160">
        <f t="shared" si="1591"/>
        <v>0.4743975903614458</v>
      </c>
      <c r="BJ456" s="160">
        <f t="shared" si="1591"/>
        <v>0.50352699756316532</v>
      </c>
      <c r="BK456" s="160">
        <f t="shared" si="1591"/>
        <v>0.49587628865979383</v>
      </c>
      <c r="BL456" s="160">
        <f t="shared" si="1591"/>
        <v>0.49789473684210528</v>
      </c>
      <c r="BM456" s="160">
        <f t="shared" si="1591"/>
        <v>0.49845360824742269</v>
      </c>
      <c r="BN456" s="160">
        <f t="shared" ref="BN456:CW456" si="1592">BN453/(BN382+BN391+BN394)</f>
        <v>0.48277634961439586</v>
      </c>
      <c r="BO456" s="160">
        <f t="shared" si="1592"/>
        <v>0.49372168284789641</v>
      </c>
      <c r="BP456" s="160">
        <f t="shared" si="1592"/>
        <v>0.49664082687338501</v>
      </c>
      <c r="BQ456" s="160">
        <f t="shared" si="1592"/>
        <v>0.51221995926680242</v>
      </c>
      <c r="BR456" s="160">
        <f t="shared" si="1592"/>
        <v>0.48825587206396803</v>
      </c>
      <c r="BS456" s="160">
        <f t="shared" si="1592"/>
        <v>0.46975806451612906</v>
      </c>
      <c r="BT456" s="160">
        <f t="shared" si="1592"/>
        <v>0.49162861491628612</v>
      </c>
      <c r="BU456" s="161">
        <f t="shared" si="1592"/>
        <v>0.53001715265866212</v>
      </c>
      <c r="BV456" s="161">
        <f t="shared" si="1592"/>
        <v>0.56191004997223759</v>
      </c>
      <c r="BW456" s="161">
        <f t="shared" si="1592"/>
        <v>0.55134541460735864</v>
      </c>
      <c r="BX456" s="161">
        <f t="shared" si="1592"/>
        <v>0.54027397260273968</v>
      </c>
      <c r="BY456" s="160">
        <f t="shared" si="1592"/>
        <v>0.54599777654252357</v>
      </c>
      <c r="BZ456" s="161">
        <f t="shared" si="1592"/>
        <v>0.53201970443349755</v>
      </c>
      <c r="CA456" s="161">
        <f t="shared" si="1592"/>
        <v>0.54664484451718498</v>
      </c>
      <c r="CB456" s="161">
        <f t="shared" si="1592"/>
        <v>0.50352303523035236</v>
      </c>
      <c r="CC456" s="161">
        <f t="shared" si="1592"/>
        <v>0.67843388960205386</v>
      </c>
      <c r="CD456" s="160">
        <f t="shared" si="1592"/>
        <v>0.51804779079827812</v>
      </c>
      <c r="CE456" s="161">
        <f t="shared" si="1592"/>
        <v>0.66923076923076918</v>
      </c>
      <c r="CF456" s="161">
        <f t="shared" si="1592"/>
        <v>0.66879795396419439</v>
      </c>
      <c r="CG456" s="161">
        <f t="shared" si="1592"/>
        <v>0.669220945083014</v>
      </c>
      <c r="CH456" s="161">
        <f t="shared" si="1592"/>
        <v>0.62476190476190474</v>
      </c>
      <c r="CI456" s="160">
        <f t="shared" si="1592"/>
        <v>0.52323030534696235</v>
      </c>
      <c r="CJ456" s="161">
        <f t="shared" si="1592"/>
        <v>0.69453587886767609</v>
      </c>
      <c r="CK456" s="161">
        <f t="shared" si="1592"/>
        <v>0.70900842514581985</v>
      </c>
      <c r="CL456" s="161">
        <f t="shared" ref="CL456" si="1593">CL453/(CL382+CL391+CL394)</f>
        <v>0.70280612244897955</v>
      </c>
      <c r="CM456" s="161">
        <f t="shared" ref="CM456:CP456" si="1594">CM453/(CM382+CM391+CM394)</f>
        <v>0.67374999999999996</v>
      </c>
      <c r="CN456" s="160">
        <f t="shared" si="1594"/>
        <v>0.53154130201925986</v>
      </c>
      <c r="CO456" s="161">
        <f t="shared" si="1594"/>
        <v>0.69910941475826971</v>
      </c>
      <c r="CP456" s="161">
        <f t="shared" si="1594"/>
        <v>0.70959595959595956</v>
      </c>
      <c r="CQ456" s="160">
        <f t="shared" si="1592"/>
        <v>0.52277529777704013</v>
      </c>
      <c r="CR456" s="160">
        <f t="shared" si="1592"/>
        <v>0.5174451312953593</v>
      </c>
      <c r="CS456" s="160">
        <f t="shared" si="1592"/>
        <v>0.51238583692942585</v>
      </c>
      <c r="CT456" s="160">
        <f t="shared" si="1592"/>
        <v>0.50754716271909439</v>
      </c>
      <c r="CU456" s="160">
        <f t="shared" si="1592"/>
        <v>0.50168334491768818</v>
      </c>
      <c r="CV456" s="160">
        <f t="shared" si="1592"/>
        <v>0.49539834013078698</v>
      </c>
      <c r="CW456" s="160">
        <f t="shared" si="1592"/>
        <v>0.48867797934448104</v>
      </c>
      <c r="CX456" s="159"/>
      <c r="CY456" s="159"/>
      <c r="CZ456" s="159"/>
      <c r="DA456" s="159"/>
      <c r="DB456" s="159"/>
      <c r="DC456" s="159"/>
      <c r="DD456" s="159"/>
      <c r="DF456" s="226"/>
      <c r="DG456" s="237"/>
      <c r="DH456" s="237"/>
      <c r="DI456" s="237"/>
      <c r="DJ456" s="237"/>
      <c r="DK456" s="237"/>
      <c r="DL456" s="237"/>
      <c r="DM456" s="237"/>
      <c r="DN456" s="237"/>
      <c r="DO456" s="237"/>
      <c r="EF456" s="221"/>
      <c r="EK456" s="221"/>
      <c r="EL456" s="221"/>
      <c r="EM456" s="221"/>
      <c r="EN456" s="221"/>
      <c r="EO456" s="221"/>
      <c r="EU456" s="286"/>
      <c r="EV456" s="287"/>
    </row>
    <row r="457" spans="1:152">
      <c r="A457" s="226"/>
      <c r="B457" s="236"/>
      <c r="C457" s="236"/>
      <c r="D457" s="236"/>
      <c r="E457" s="236"/>
      <c r="F457" s="236"/>
      <c r="G457" s="236"/>
      <c r="H457" s="236"/>
      <c r="I457" s="236"/>
      <c r="J457" s="236"/>
      <c r="K457" s="236"/>
      <c r="L457" s="236"/>
      <c r="M457" s="236"/>
      <c r="N457" s="236"/>
      <c r="O457" s="236"/>
      <c r="P457" s="236"/>
      <c r="Q457" s="236"/>
      <c r="R457" s="236"/>
      <c r="S457" s="236"/>
      <c r="T457" s="236"/>
      <c r="U457" s="236"/>
      <c r="V457" s="236"/>
      <c r="W457" s="236"/>
      <c r="X457" s="236"/>
      <c r="Y457" s="236"/>
      <c r="Z457" s="236"/>
      <c r="AA457" s="236"/>
      <c r="AB457" s="236"/>
      <c r="AC457" s="236"/>
      <c r="AD457" s="236"/>
      <c r="AE457" s="236"/>
      <c r="AF457" s="236"/>
      <c r="AG457" s="236"/>
      <c r="AH457" s="236"/>
      <c r="AI457" s="236"/>
      <c r="AJ457" s="236"/>
      <c r="AK457" s="236"/>
      <c r="AL457" s="236"/>
      <c r="AM457" s="236"/>
      <c r="AN457" s="236"/>
      <c r="AO457" s="236"/>
      <c r="AP457" s="236"/>
      <c r="AQ457" s="236"/>
      <c r="AR457" s="236"/>
      <c r="AS457" s="236"/>
      <c r="AT457" s="236"/>
      <c r="AU457" s="236"/>
      <c r="AV457" s="236"/>
      <c r="AW457" s="236"/>
      <c r="AX457" s="236"/>
      <c r="AY457" s="236"/>
      <c r="AZ457" s="236"/>
      <c r="BA457" s="236"/>
      <c r="BB457" s="236"/>
      <c r="BC457" s="236"/>
      <c r="BD457" s="236"/>
      <c r="BE457" s="236"/>
      <c r="BF457" s="236"/>
      <c r="BG457" s="236"/>
      <c r="BH457" s="236"/>
      <c r="BI457" s="236"/>
      <c r="BJ457" s="236"/>
      <c r="BK457" s="236"/>
      <c r="BL457" s="236"/>
      <c r="BM457" s="236"/>
      <c r="BN457" s="236"/>
      <c r="BO457" s="236"/>
      <c r="BP457" s="236"/>
      <c r="BQ457" s="236"/>
      <c r="BR457" s="236"/>
      <c r="BS457" s="236"/>
      <c r="BT457" s="236"/>
      <c r="BU457" s="237"/>
      <c r="BV457" s="237"/>
      <c r="BW457" s="237"/>
      <c r="BX457" s="237"/>
      <c r="BY457" s="236"/>
      <c r="BZ457" s="237"/>
      <c r="CA457" s="237"/>
      <c r="CB457" s="237"/>
      <c r="CC457" s="237"/>
      <c r="CD457" s="236"/>
      <c r="CE457" s="237"/>
      <c r="CF457" s="237"/>
      <c r="CG457" s="237"/>
      <c r="CH457" s="237"/>
      <c r="CI457" s="236"/>
      <c r="CJ457" s="237"/>
      <c r="CK457" s="237"/>
      <c r="CL457" s="237"/>
      <c r="CM457" s="237"/>
      <c r="CN457" s="236"/>
      <c r="CO457" s="237"/>
      <c r="CP457" s="237"/>
      <c r="CQ457" s="236"/>
      <c r="CR457" s="236"/>
      <c r="CS457" s="236"/>
      <c r="CT457" s="236"/>
      <c r="CU457" s="236"/>
      <c r="CV457" s="236"/>
      <c r="CW457" s="236"/>
      <c r="CX457" s="159"/>
      <c r="CY457" s="159"/>
      <c r="CZ457" s="159"/>
      <c r="DA457" s="159"/>
      <c r="DB457" s="159"/>
      <c r="DC457" s="159"/>
      <c r="DD457" s="159"/>
      <c r="DF457" s="235"/>
      <c r="DG457" s="258"/>
      <c r="DH457" s="258"/>
      <c r="DI457" s="258"/>
      <c r="DJ457" s="258"/>
      <c r="DK457" s="258"/>
      <c r="DL457" s="258"/>
      <c r="DM457" s="258"/>
      <c r="DN457" s="258"/>
      <c r="DO457" s="258"/>
      <c r="EU457" s="286"/>
      <c r="EV457" s="287"/>
    </row>
    <row r="458" spans="1:152">
      <c r="A458" s="351" t="s">
        <v>682</v>
      </c>
      <c r="B458" s="352"/>
      <c r="C458" s="352"/>
      <c r="D458" s="352"/>
      <c r="E458" s="352"/>
      <c r="F458" s="352"/>
      <c r="G458" s="352"/>
      <c r="H458" s="352"/>
      <c r="I458" s="352"/>
      <c r="J458" s="352"/>
      <c r="K458" s="352"/>
      <c r="L458" s="352"/>
      <c r="M458" s="352"/>
      <c r="N458" s="352"/>
      <c r="O458" s="352"/>
      <c r="P458" s="352"/>
      <c r="Q458" s="352"/>
      <c r="R458" s="352"/>
      <c r="S458" s="352"/>
      <c r="T458" s="352"/>
      <c r="U458" s="352"/>
      <c r="V458" s="352"/>
      <c r="W458" s="352"/>
      <c r="X458" s="352"/>
      <c r="Y458" s="352"/>
      <c r="Z458" s="352"/>
      <c r="AA458" s="352"/>
      <c r="AB458" s="352"/>
      <c r="AC458" s="352"/>
      <c r="AD458" s="352"/>
      <c r="AE458" s="352"/>
      <c r="AF458" s="352"/>
      <c r="AG458" s="352"/>
      <c r="AH458" s="352"/>
      <c r="AI458" s="352"/>
      <c r="AJ458" s="352"/>
      <c r="AK458" s="352"/>
      <c r="AL458" s="352"/>
      <c r="AM458" s="352"/>
      <c r="AN458" s="352"/>
      <c r="AO458" s="352"/>
      <c r="AP458" s="352"/>
      <c r="AQ458" s="352"/>
      <c r="AR458" s="352"/>
      <c r="AS458" s="352"/>
      <c r="AT458" s="352"/>
      <c r="AU458" s="352"/>
      <c r="AV458" s="352"/>
      <c r="AW458" s="352"/>
      <c r="AX458" s="352"/>
      <c r="AY458" s="352"/>
      <c r="AZ458" s="352"/>
      <c r="BA458" s="353"/>
      <c r="BB458" s="353"/>
      <c r="BC458" s="353"/>
      <c r="BD458" s="353"/>
      <c r="BE458" s="352"/>
      <c r="BF458" s="353"/>
      <c r="BG458" s="353"/>
      <c r="BH458" s="352"/>
      <c r="BI458" s="352"/>
      <c r="BJ458" s="352"/>
      <c r="BK458" s="353"/>
      <c r="BL458" s="353"/>
      <c r="BM458" s="353"/>
      <c r="BN458" s="353"/>
      <c r="BO458" s="362">
        <v>3671</v>
      </c>
      <c r="BP458" s="362"/>
      <c r="BQ458" s="362"/>
      <c r="BR458" s="362"/>
      <c r="BS458" s="362"/>
      <c r="BT458" s="354">
        <v>3843.22</v>
      </c>
      <c r="BU458" s="363"/>
      <c r="BV458" s="363"/>
      <c r="BW458" s="363"/>
      <c r="BX458" s="363"/>
      <c r="BY458" s="354">
        <v>3843.22</v>
      </c>
      <c r="BZ458" s="363"/>
      <c r="CA458" s="363"/>
      <c r="CB458" s="363"/>
      <c r="CC458" s="363"/>
      <c r="CD458" s="352"/>
      <c r="CE458" s="363"/>
      <c r="CF458" s="363"/>
      <c r="CG458" s="363"/>
      <c r="CH458" s="363"/>
      <c r="CI458" s="352"/>
      <c r="CJ458" s="363"/>
      <c r="CK458" s="363"/>
      <c r="CL458" s="363"/>
      <c r="CM458" s="363"/>
      <c r="CN458" s="352"/>
      <c r="CO458" s="363"/>
      <c r="CP458" s="363"/>
      <c r="CQ458" s="352"/>
      <c r="CR458" s="352"/>
      <c r="CS458" s="352"/>
      <c r="CT458" s="352"/>
      <c r="CU458" s="352"/>
      <c r="CV458" s="352"/>
      <c r="CW458" s="352"/>
      <c r="CX458" s="159"/>
      <c r="CY458" s="159"/>
      <c r="CZ458" s="159"/>
      <c r="DA458" s="159"/>
      <c r="DB458" s="159"/>
      <c r="DC458" s="159"/>
      <c r="DD458" s="159"/>
      <c r="DF458" s="226"/>
      <c r="DG458" s="237"/>
      <c r="DH458" s="237"/>
      <c r="DI458" s="237"/>
      <c r="DJ458" s="237"/>
      <c r="DK458" s="237"/>
      <c r="DL458" s="237"/>
      <c r="DM458" s="237"/>
      <c r="DN458" s="237"/>
      <c r="DO458" s="237"/>
      <c r="EU458" s="286"/>
      <c r="EV458" s="287"/>
    </row>
    <row r="459" spans="1:152">
      <c r="A459" s="351" t="s">
        <v>1</v>
      </c>
      <c r="B459" s="883"/>
      <c r="C459" s="883"/>
      <c r="D459" s="883"/>
      <c r="E459" s="883"/>
      <c r="F459" s="883"/>
      <c r="G459" s="883"/>
      <c r="H459" s="883"/>
      <c r="I459" s="883"/>
      <c r="J459" s="883"/>
      <c r="K459" s="883"/>
      <c r="L459" s="883"/>
      <c r="M459" s="883"/>
      <c r="N459" s="883"/>
      <c r="O459" s="883"/>
      <c r="P459" s="883"/>
      <c r="Q459" s="883"/>
      <c r="R459" s="883"/>
      <c r="S459" s="883"/>
      <c r="T459" s="883"/>
      <c r="U459" s="883"/>
      <c r="V459" s="883"/>
      <c r="W459" s="883"/>
      <c r="X459" s="883"/>
      <c r="Y459" s="883"/>
      <c r="Z459" s="883"/>
      <c r="AA459" s="883"/>
      <c r="AB459" s="883"/>
      <c r="AC459" s="883"/>
      <c r="AD459" s="883"/>
      <c r="AE459" s="883"/>
      <c r="AF459" s="883"/>
      <c r="AG459" s="883"/>
      <c r="AH459" s="883"/>
      <c r="AI459" s="883"/>
      <c r="AJ459" s="883"/>
      <c r="AK459" s="883"/>
      <c r="AL459" s="883"/>
      <c r="AM459" s="883"/>
      <c r="AN459" s="883"/>
      <c r="AO459" s="883"/>
      <c r="AP459" s="883"/>
      <c r="AQ459" s="883"/>
      <c r="AR459" s="883"/>
      <c r="AS459" s="883"/>
      <c r="AT459" s="883"/>
      <c r="AU459" s="883"/>
      <c r="AV459" s="883"/>
      <c r="AW459" s="883"/>
      <c r="AX459" s="883"/>
      <c r="AY459" s="883"/>
      <c r="AZ459" s="883"/>
      <c r="BA459" s="883"/>
      <c r="BB459" s="883"/>
      <c r="BC459" s="883"/>
      <c r="BD459" s="883"/>
      <c r="BE459" s="883"/>
      <c r="BF459" s="883"/>
      <c r="BG459" s="883"/>
      <c r="BH459" s="883"/>
      <c r="BI459" s="883"/>
      <c r="BJ459" s="883"/>
      <c r="BK459" s="883"/>
      <c r="BL459" s="883"/>
      <c r="BM459" s="883"/>
      <c r="BN459" s="883"/>
      <c r="BO459" s="883">
        <v>3671</v>
      </c>
      <c r="BP459" s="883"/>
      <c r="BQ459" s="883"/>
      <c r="BR459" s="883"/>
      <c r="BS459" s="883"/>
      <c r="BT459" s="883">
        <v>3843.22</v>
      </c>
      <c r="BU459" s="883"/>
      <c r="BV459" s="883"/>
      <c r="BW459" s="883"/>
      <c r="BX459" s="883"/>
      <c r="BY459" s="883">
        <v>3843.22</v>
      </c>
      <c r="BZ459" s="883"/>
      <c r="CA459" s="883"/>
      <c r="CB459" s="883"/>
      <c r="CC459" s="883"/>
      <c r="CD459" s="883"/>
      <c r="CE459" s="883"/>
      <c r="CF459" s="883"/>
      <c r="CG459" s="883"/>
      <c r="CH459" s="883"/>
      <c r="CI459" s="883">
        <f>CI42</f>
        <v>4122</v>
      </c>
      <c r="CJ459" s="363"/>
      <c r="CK459" s="363"/>
      <c r="CL459" s="363"/>
      <c r="CM459" s="363"/>
      <c r="CN459" s="883">
        <f>CN42</f>
        <v>4329</v>
      </c>
      <c r="CO459" s="363"/>
      <c r="CP459" s="363"/>
      <c r="CQ459" s="883">
        <f t="shared" ref="CQ459:CW459" si="1595">CQ42</f>
        <v>4437.0575774980398</v>
      </c>
      <c r="CR459" s="883">
        <f t="shared" si="1595"/>
        <v>4493.3138470381155</v>
      </c>
      <c r="CS459" s="883">
        <f t="shared" si="1595"/>
        <v>4570.1480438309072</v>
      </c>
      <c r="CT459" s="883">
        <f t="shared" si="1595"/>
        <v>4636.4906309505704</v>
      </c>
      <c r="CU459" s="883">
        <f t="shared" si="1595"/>
        <v>4723.2378259795641</v>
      </c>
      <c r="CV459" s="883">
        <f t="shared" si="1595"/>
        <v>4818.6238618239477</v>
      </c>
      <c r="CW459" s="883">
        <f t="shared" si="1595"/>
        <v>4880.9811578284825</v>
      </c>
      <c r="CX459" s="159"/>
      <c r="CY459" s="159"/>
      <c r="CZ459" s="159"/>
      <c r="DA459" s="159"/>
      <c r="DB459" s="159"/>
      <c r="DC459" s="159"/>
      <c r="DD459" s="159"/>
      <c r="DF459" s="226"/>
      <c r="DG459" s="237"/>
      <c r="DH459" s="237"/>
      <c r="DI459" s="237"/>
      <c r="DJ459" s="237"/>
      <c r="DK459" s="237"/>
      <c r="DL459" s="237"/>
      <c r="DM459" s="237"/>
      <c r="DN459" s="237"/>
      <c r="DO459" s="237"/>
      <c r="EU459" s="286"/>
      <c r="EV459" s="287"/>
    </row>
    <row r="460" spans="1:152">
      <c r="A460" s="351" t="s">
        <v>858</v>
      </c>
      <c r="B460" s="352"/>
      <c r="C460" s="352"/>
      <c r="D460" s="352"/>
      <c r="E460" s="352"/>
      <c r="F460" s="352"/>
      <c r="G460" s="352"/>
      <c r="H460" s="352"/>
      <c r="I460" s="352"/>
      <c r="J460" s="352"/>
      <c r="K460" s="352"/>
      <c r="L460" s="352"/>
      <c r="M460" s="352"/>
      <c r="N460" s="352"/>
      <c r="O460" s="352"/>
      <c r="P460" s="352"/>
      <c r="Q460" s="352"/>
      <c r="R460" s="352"/>
      <c r="S460" s="352"/>
      <c r="T460" s="352"/>
      <c r="U460" s="352"/>
      <c r="V460" s="352"/>
      <c r="W460" s="352"/>
      <c r="X460" s="352"/>
      <c r="Y460" s="352"/>
      <c r="Z460" s="352"/>
      <c r="AA460" s="352"/>
      <c r="AB460" s="352"/>
      <c r="AC460" s="352"/>
      <c r="AD460" s="352"/>
      <c r="AE460" s="352"/>
      <c r="AF460" s="352"/>
      <c r="AG460" s="352"/>
      <c r="AH460" s="352"/>
      <c r="AI460" s="352"/>
      <c r="AJ460" s="352"/>
      <c r="AK460" s="352"/>
      <c r="AL460" s="352"/>
      <c r="AM460" s="352"/>
      <c r="AN460" s="352"/>
      <c r="AO460" s="352"/>
      <c r="AP460" s="352"/>
      <c r="AQ460" s="352"/>
      <c r="AR460" s="352"/>
      <c r="AS460" s="352"/>
      <c r="AT460" s="352"/>
      <c r="AU460" s="352"/>
      <c r="AV460" s="352"/>
      <c r="AW460" s="352"/>
      <c r="AX460" s="352"/>
      <c r="AY460" s="352"/>
      <c r="AZ460" s="352"/>
      <c r="BA460" s="353"/>
      <c r="BB460" s="353"/>
      <c r="BC460" s="353"/>
      <c r="BD460" s="353"/>
      <c r="BE460" s="352"/>
      <c r="BF460" s="353"/>
      <c r="BG460" s="353"/>
      <c r="BH460" s="352"/>
      <c r="BI460" s="352"/>
      <c r="BJ460" s="352"/>
      <c r="BK460" s="353"/>
      <c r="BL460" s="353"/>
      <c r="BM460" s="353"/>
      <c r="BN460" s="353"/>
      <c r="BO460" s="357" t="s">
        <v>568</v>
      </c>
      <c r="BP460" s="357"/>
      <c r="BQ460" s="357"/>
      <c r="BR460" s="357"/>
      <c r="BS460" s="357"/>
      <c r="BT460" s="352"/>
      <c r="BU460" s="358"/>
      <c r="BV460" s="358"/>
      <c r="BW460" s="358"/>
      <c r="BX460" s="358"/>
      <c r="BY460" s="352"/>
      <c r="BZ460" s="358"/>
      <c r="CA460" s="358"/>
      <c r="CB460" s="358"/>
      <c r="CC460" s="358"/>
      <c r="CD460" s="352"/>
      <c r="CE460" s="358"/>
      <c r="CF460" s="358"/>
      <c r="CG460" s="358"/>
      <c r="CH460" s="358"/>
      <c r="CI460" s="352"/>
      <c r="CJ460" s="358"/>
      <c r="CK460" s="358"/>
      <c r="CL460" s="358"/>
      <c r="CM460" s="358"/>
      <c r="CN460" s="352"/>
      <c r="CO460" s="358"/>
      <c r="CP460" s="358"/>
      <c r="CQ460" s="352">
        <f>IFERROR(CQ459/CN459-1,"")</f>
        <v>2.4961325363372477E-2</v>
      </c>
      <c r="CR460" s="352">
        <f t="shared" ref="CR460:CW460" si="1596">IFERROR(CR459/CQ459-1,"")</f>
        <v>1.2678733272557086E-2</v>
      </c>
      <c r="CS460" s="352">
        <f t="shared" si="1596"/>
        <v>1.709967284912417E-2</v>
      </c>
      <c r="CT460" s="352">
        <f t="shared" si="1596"/>
        <v>1.4516507229829667E-2</v>
      </c>
      <c r="CU460" s="352">
        <f t="shared" si="1596"/>
        <v>1.8709666843693906E-2</v>
      </c>
      <c r="CV460" s="352">
        <f t="shared" si="1596"/>
        <v>2.0195052495499022E-2</v>
      </c>
      <c r="CW460" s="352">
        <f t="shared" si="1596"/>
        <v>1.2940893041801127E-2</v>
      </c>
      <c r="CX460" s="159"/>
      <c r="CY460" s="159"/>
      <c r="CZ460" s="159"/>
      <c r="DA460" s="159"/>
      <c r="DB460" s="159"/>
      <c r="DC460" s="159"/>
      <c r="DD460" s="159"/>
      <c r="DF460" s="226"/>
      <c r="DG460" s="237"/>
      <c r="DH460" s="237"/>
      <c r="DI460" s="237"/>
      <c r="DJ460" s="237"/>
      <c r="DK460" s="237"/>
      <c r="DL460" s="237"/>
      <c r="DM460" s="237"/>
      <c r="DN460" s="237"/>
      <c r="DO460" s="237"/>
      <c r="EU460" s="286"/>
      <c r="EV460" s="287"/>
    </row>
    <row r="461" spans="1:152">
      <c r="A461" s="351" t="s">
        <v>785</v>
      </c>
      <c r="B461" s="352"/>
      <c r="C461" s="352"/>
      <c r="D461" s="352"/>
      <c r="E461" s="352"/>
      <c r="F461" s="352"/>
      <c r="G461" s="352"/>
      <c r="H461" s="352"/>
      <c r="I461" s="352"/>
      <c r="J461" s="352"/>
      <c r="K461" s="352"/>
      <c r="L461" s="352"/>
      <c r="M461" s="352"/>
      <c r="N461" s="352"/>
      <c r="O461" s="352"/>
      <c r="P461" s="352"/>
      <c r="Q461" s="352"/>
      <c r="R461" s="352"/>
      <c r="S461" s="352"/>
      <c r="T461" s="352"/>
      <c r="U461" s="352"/>
      <c r="V461" s="352"/>
      <c r="W461" s="352"/>
      <c r="X461" s="352"/>
      <c r="Y461" s="352"/>
      <c r="Z461" s="352"/>
      <c r="AA461" s="352"/>
      <c r="AB461" s="352"/>
      <c r="AC461" s="352"/>
      <c r="AD461" s="352"/>
      <c r="AE461" s="352"/>
      <c r="AF461" s="352"/>
      <c r="AG461" s="352"/>
      <c r="AH461" s="352"/>
      <c r="AI461" s="352"/>
      <c r="AJ461" s="352"/>
      <c r="AK461" s="352"/>
      <c r="AL461" s="352"/>
      <c r="AM461" s="352"/>
      <c r="AN461" s="352"/>
      <c r="AO461" s="352"/>
      <c r="AP461" s="352"/>
      <c r="AQ461" s="352"/>
      <c r="AR461" s="352"/>
      <c r="AS461" s="352"/>
      <c r="AT461" s="352"/>
      <c r="AU461" s="352"/>
      <c r="AV461" s="352"/>
      <c r="AW461" s="352"/>
      <c r="AX461" s="352"/>
      <c r="AY461" s="352"/>
      <c r="AZ461" s="352"/>
      <c r="BA461" s="353"/>
      <c r="BB461" s="353"/>
      <c r="BC461" s="353"/>
      <c r="BD461" s="353"/>
      <c r="BE461" s="352"/>
      <c r="BF461" s="353"/>
      <c r="BG461" s="353"/>
      <c r="BH461" s="352"/>
      <c r="BI461" s="352"/>
      <c r="BJ461" s="352"/>
      <c r="BK461" s="353"/>
      <c r="BL461" s="353"/>
      <c r="BM461" s="353"/>
      <c r="BN461" s="353"/>
      <c r="BO461" s="357"/>
      <c r="BP461" s="357"/>
      <c r="BQ461" s="357"/>
      <c r="BR461" s="357"/>
      <c r="BS461" s="357"/>
      <c r="BT461" s="352"/>
      <c r="BU461" s="358"/>
      <c r="BV461" s="358"/>
      <c r="BW461" s="358"/>
      <c r="BX461" s="358"/>
      <c r="BY461" s="352"/>
      <c r="BZ461" s="358"/>
      <c r="CA461" s="358"/>
      <c r="CB461" s="358"/>
      <c r="CC461" s="358"/>
      <c r="CD461" s="352"/>
      <c r="CE461" s="358"/>
      <c r="CF461" s="358"/>
      <c r="CG461" s="358"/>
      <c r="CH461" s="358"/>
      <c r="CI461" s="352"/>
      <c r="CJ461" s="358"/>
      <c r="CK461" s="358"/>
      <c r="CL461" s="358"/>
      <c r="CM461" s="358"/>
      <c r="CN461" s="352"/>
      <c r="CO461" s="358"/>
      <c r="CP461" s="358"/>
      <c r="CQ461" s="352">
        <f t="shared" ref="CQ461:CW461" si="1597">IFERROR(CQ453/CQ459-1,"")</f>
        <v>1.9052196828486023E-2</v>
      </c>
      <c r="CR461" s="352">
        <f t="shared" si="1597"/>
        <v>3.5488462381127794E-2</v>
      </c>
      <c r="CS461" s="352">
        <f t="shared" si="1597"/>
        <v>4.651484737545597E-2</v>
      </c>
      <c r="CT461" s="352">
        <f t="shared" si="1597"/>
        <v>6.127955682254127E-2</v>
      </c>
      <c r="CU461" s="352">
        <f t="shared" si="1597"/>
        <v>7.0252106805273717E-2</v>
      </c>
      <c r="CV461" s="352">
        <f t="shared" si="1597"/>
        <v>7.7511631370896339E-2</v>
      </c>
      <c r="CW461" s="352">
        <f t="shared" si="1597"/>
        <v>9.2417877507271928E-2</v>
      </c>
      <c r="CX461" s="159"/>
      <c r="CY461" s="159"/>
      <c r="CZ461" s="159"/>
      <c r="DA461" s="159"/>
      <c r="DB461" s="159"/>
      <c r="DC461" s="159"/>
      <c r="DD461" s="159"/>
      <c r="DF461" s="226"/>
      <c r="DG461" s="237"/>
      <c r="DH461" s="237"/>
      <c r="DI461" s="237"/>
      <c r="DJ461" s="237"/>
      <c r="DK461" s="237"/>
      <c r="DL461" s="237"/>
      <c r="DM461" s="237"/>
      <c r="DN461" s="237"/>
      <c r="DO461" s="237"/>
      <c r="EU461" s="286"/>
      <c r="EV461" s="287"/>
    </row>
    <row r="463" spans="1:152">
      <c r="A463" s="226" t="s">
        <v>84</v>
      </c>
      <c r="B463" s="703">
        <v>894</v>
      </c>
      <c r="C463" s="703"/>
      <c r="D463" s="703"/>
      <c r="E463" s="703"/>
      <c r="F463" s="703"/>
      <c r="G463" s="703">
        <v>1192.2</v>
      </c>
      <c r="H463" s="703">
        <v>0</v>
      </c>
      <c r="I463" s="703">
        <v>0</v>
      </c>
      <c r="J463" s="703">
        <v>278</v>
      </c>
      <c r="K463" s="703">
        <v>281</v>
      </c>
      <c r="L463" s="703">
        <v>1165</v>
      </c>
      <c r="M463" s="703">
        <v>267</v>
      </c>
      <c r="N463" s="703">
        <v>253</v>
      </c>
      <c r="O463" s="703">
        <v>274</v>
      </c>
      <c r="P463" s="703">
        <v>279</v>
      </c>
      <c r="Q463" s="703">
        <v>1073</v>
      </c>
      <c r="R463" s="703">
        <v>285</v>
      </c>
      <c r="S463" s="703">
        <v>288</v>
      </c>
      <c r="T463" s="703">
        <v>309</v>
      </c>
      <c r="U463" s="703">
        <v>309</v>
      </c>
      <c r="V463" s="704">
        <v>1191</v>
      </c>
      <c r="W463" s="704">
        <v>295</v>
      </c>
      <c r="X463" s="704">
        <v>289</v>
      </c>
      <c r="Y463" s="704">
        <v>289</v>
      </c>
      <c r="Z463" s="704">
        <v>489</v>
      </c>
      <c r="AA463" s="704">
        <v>1362</v>
      </c>
      <c r="AB463" s="704">
        <v>370</v>
      </c>
      <c r="AC463" s="704">
        <v>340</v>
      </c>
      <c r="AD463" s="704">
        <v>303</v>
      </c>
      <c r="AE463" s="704">
        <v>353</v>
      </c>
      <c r="AF463" s="704">
        <v>1366</v>
      </c>
      <c r="AG463" s="704">
        <v>332</v>
      </c>
      <c r="AH463" s="704">
        <v>335</v>
      </c>
      <c r="AI463" s="704">
        <v>326</v>
      </c>
      <c r="AJ463" s="704">
        <v>434</v>
      </c>
      <c r="AK463" s="704">
        <v>1427</v>
      </c>
      <c r="AL463" s="704">
        <f>237+6</f>
        <v>243</v>
      </c>
      <c r="AM463" s="704">
        <f>240+2</f>
        <v>242</v>
      </c>
      <c r="AN463" s="704">
        <f>238+9</f>
        <v>247</v>
      </c>
      <c r="AO463" s="704">
        <f>249+10</f>
        <v>259</v>
      </c>
      <c r="AP463" s="704">
        <f>SUM(AL463:AO463)</f>
        <v>991</v>
      </c>
      <c r="AQ463" s="704">
        <f>256+18</f>
        <v>274</v>
      </c>
      <c r="AR463" s="704">
        <f>254+3</f>
        <v>257</v>
      </c>
      <c r="AS463" s="704">
        <f>261+4</f>
        <v>265</v>
      </c>
      <c r="AT463" s="704">
        <f>266-10</f>
        <v>256</v>
      </c>
      <c r="AU463" s="704">
        <f>SUM(AQ463:AT463)</f>
        <v>1052</v>
      </c>
      <c r="AV463" s="704">
        <v>240</v>
      </c>
      <c r="AW463" s="704">
        <f>'[3]Profit and Loss Highlights'!X$65</f>
        <v>238</v>
      </c>
      <c r="AX463" s="704">
        <f>'[3]Profit and Loss Highlights'!Y$65</f>
        <v>264</v>
      </c>
      <c r="AY463" s="704">
        <f>'[3]Profit and Loss Highlights'!Z$65</f>
        <v>279</v>
      </c>
      <c r="AZ463" s="704">
        <f>SUM(AV463:AY463)</f>
        <v>1021</v>
      </c>
      <c r="BA463" s="704">
        <f>'[3]Profit and Loss Highlights'!AA$65</f>
        <v>235</v>
      </c>
      <c r="BB463" s="704">
        <f>'[3]Profit and Loss Highlights'!AB$65</f>
        <v>268</v>
      </c>
      <c r="BC463" s="704">
        <f>'[3]Profit and Loss Highlights'!AC$65</f>
        <v>260</v>
      </c>
      <c r="BD463" s="704">
        <f>'[3]Profit and Loss Highlights'!AD$65</f>
        <v>305</v>
      </c>
      <c r="BE463" s="693">
        <f>SUM(BA463:BD463)</f>
        <v>1068</v>
      </c>
      <c r="BF463" s="704">
        <f>'[3]Profit and Loss Highlights'!AE$65</f>
        <v>323</v>
      </c>
      <c r="BG463" s="704">
        <f>'[3]Profit and Loss Highlights'!AF$65</f>
        <v>323</v>
      </c>
      <c r="BH463" s="704">
        <f>'[3]Profit and Loss Highlights'!AG$65</f>
        <v>375</v>
      </c>
      <c r="BI463" s="704">
        <f>'[3]Profit and Loss Highlights'!AH$65</f>
        <v>358</v>
      </c>
      <c r="BJ463" s="693">
        <f>SUM(BF463:BI463)</f>
        <v>1379</v>
      </c>
      <c r="BK463" s="704">
        <f>'[3]Profit and Loss Highlights'!AI$65</f>
        <v>355</v>
      </c>
      <c r="BL463" s="704">
        <f>'[3]Profit and Loss Highlights'!AJ$65</f>
        <v>357</v>
      </c>
      <c r="BM463" s="704">
        <f>'[3]Profit and Loss Highlights'!AK$65</f>
        <v>339</v>
      </c>
      <c r="BN463" s="704">
        <f>'[3]Profit and Loss Highlights'!AL$65</f>
        <v>362</v>
      </c>
      <c r="BO463" s="693">
        <f>SUM(BK463:BN463)</f>
        <v>1413</v>
      </c>
      <c r="BP463" s="704">
        <f>'[3]Profit and Loss Highlights'!AM$65</f>
        <v>386</v>
      </c>
      <c r="BQ463" s="704">
        <f>'[3]Profit and Loss Highlights'!AN$65</f>
        <v>393</v>
      </c>
      <c r="BR463" s="704">
        <f>'[3]Profit and Loss Highlights'!AO$65</f>
        <v>369</v>
      </c>
      <c r="BS463" s="704">
        <f>'[3]Profit and Loss Highlights'!AP$65</f>
        <v>372</v>
      </c>
      <c r="BT463" s="693">
        <f>SUM(BP463:BS463)</f>
        <v>1520</v>
      </c>
      <c r="BU463" s="704">
        <f>'[3]Profit and Loss Highlights'!AQ$65</f>
        <v>350</v>
      </c>
      <c r="BV463" s="704">
        <f>'[3]Profit and Loss Highlights'!AR$65</f>
        <v>343</v>
      </c>
      <c r="BW463" s="704">
        <f>'[3]Profit and Loss Highlights'!AS$65</f>
        <v>343</v>
      </c>
      <c r="BX463" s="704">
        <f>'[3]Profit and Loss Highlights'!AT$65</f>
        <v>372</v>
      </c>
      <c r="BY463" s="693">
        <f>SUM(BU463:BX463)</f>
        <v>1408</v>
      </c>
      <c r="BZ463" s="704">
        <f>'[3]Profit and Loss Highlights'!AU$65</f>
        <v>349</v>
      </c>
      <c r="CA463" s="704">
        <f>'[3]Profit and Loss Highlights'!AV$65</f>
        <v>346</v>
      </c>
      <c r="CB463" s="704">
        <f>'[3]Profit and Loss Highlights'!AW$65</f>
        <v>350</v>
      </c>
      <c r="CC463" s="704">
        <f>'[3]Profit and Loss Highlights'!AX$65</f>
        <v>480</v>
      </c>
      <c r="CD463" s="693">
        <f>SUM(BZ463:CC463)</f>
        <v>1525</v>
      </c>
      <c r="CE463" s="704">
        <f>'[3]Profit and Loss Highlights'!AY$65</f>
        <v>367</v>
      </c>
      <c r="CF463" s="704">
        <f>'[3]Profit and Loss Highlights'!AZ$65</f>
        <v>364</v>
      </c>
      <c r="CG463" s="704">
        <f>'[3]Profit and Loss Highlights'!BA$65</f>
        <v>362</v>
      </c>
      <c r="CH463" s="704">
        <f>'[3]Profit and Loss Highlights'!BB$65</f>
        <v>370</v>
      </c>
      <c r="CI463" s="693">
        <f>SUM(CE463:CH463)</f>
        <v>1463</v>
      </c>
      <c r="CJ463" s="704">
        <f>'[3]Profit and Loss Highlights'!BC$65</f>
        <v>361</v>
      </c>
      <c r="CK463" s="704">
        <f>'[3]Profit and Loss Highlights'!BD$65</f>
        <v>361</v>
      </c>
      <c r="CL463" s="704">
        <f>'[3]Profit and Loss Highlights'!BE$65</f>
        <v>368</v>
      </c>
      <c r="CM463" s="704">
        <f>'[3]Profit and Loss Highlights'!BF$65</f>
        <v>404</v>
      </c>
      <c r="CN463" s="693">
        <f>SUM(CJ463:CM463)</f>
        <v>1494</v>
      </c>
      <c r="CO463" s="704">
        <f>'[3]Profit and Loss Highlights'!BG$65</f>
        <v>361</v>
      </c>
      <c r="CP463" s="704">
        <f>'[3]Profit and Loss Highlights'!BH$65</f>
        <v>355</v>
      </c>
      <c r="CQ463" s="979">
        <f>-'Balance Sheet and Cflow'!U93</f>
        <v>1406.16</v>
      </c>
      <c r="CR463" s="979">
        <f>-'Balance Sheet and Cflow'!V93</f>
        <v>1401.3436602489246</v>
      </c>
      <c r="CS463" s="979">
        <f>-'Balance Sheet and Cflow'!W93</f>
        <v>1403.5416622469752</v>
      </c>
      <c r="CT463" s="979">
        <f>-'Balance Sheet and Cflow'!X93</f>
        <v>1411.8730140733828</v>
      </c>
      <c r="CU463" s="979">
        <f>-'Balance Sheet and Cflow'!Y93</f>
        <v>1349.1591651138999</v>
      </c>
      <c r="CV463" s="979">
        <f>-'Balance Sheet and Cflow'!Z93</f>
        <v>1300.3439035739173</v>
      </c>
      <c r="CW463" s="979">
        <f>-'Balance Sheet and Cflow'!AA93</f>
        <v>1226.6014365875315</v>
      </c>
      <c r="CX463" s="159"/>
      <c r="CY463" s="159"/>
      <c r="CZ463" s="159"/>
      <c r="DA463" s="159"/>
      <c r="DB463" s="159"/>
      <c r="DC463" s="159"/>
      <c r="DD463" s="159"/>
      <c r="DF463" s="197"/>
      <c r="DG463" s="258"/>
      <c r="DH463" s="258"/>
      <c r="DI463" s="258"/>
      <c r="DJ463" s="258"/>
      <c r="DK463" s="258"/>
      <c r="DL463" s="258"/>
      <c r="DM463" s="258"/>
      <c r="DN463" s="258"/>
      <c r="DO463" s="258"/>
      <c r="EU463" s="286"/>
      <c r="EV463" s="287"/>
    </row>
    <row r="464" spans="1:152">
      <c r="A464" s="226" t="s">
        <v>85</v>
      </c>
      <c r="B464" s="703"/>
      <c r="C464" s="703"/>
      <c r="D464" s="703"/>
      <c r="E464" s="703"/>
      <c r="F464" s="703"/>
      <c r="G464" s="703">
        <v>0</v>
      </c>
      <c r="H464" s="703">
        <v>0</v>
      </c>
      <c r="I464" s="703">
        <v>0</v>
      </c>
      <c r="J464" s="703">
        <v>0</v>
      </c>
      <c r="K464" s="703">
        <v>0</v>
      </c>
      <c r="L464" s="703">
        <v>0</v>
      </c>
      <c r="M464" s="703">
        <v>0</v>
      </c>
      <c r="N464" s="703">
        <v>0</v>
      </c>
      <c r="O464" s="703">
        <v>0</v>
      </c>
      <c r="P464" s="703">
        <v>0</v>
      </c>
      <c r="Q464" s="703">
        <v>0</v>
      </c>
      <c r="R464" s="703">
        <v>0</v>
      </c>
      <c r="S464" s="703">
        <v>0</v>
      </c>
      <c r="T464" s="703">
        <v>0</v>
      </c>
      <c r="U464" s="703">
        <v>0</v>
      </c>
      <c r="V464" s="703">
        <v>0</v>
      </c>
      <c r="W464" s="703">
        <v>0</v>
      </c>
      <c r="X464" s="703">
        <v>0</v>
      </c>
      <c r="Y464" s="703">
        <v>0</v>
      </c>
      <c r="Z464" s="703">
        <v>0</v>
      </c>
      <c r="AA464" s="704">
        <v>0</v>
      </c>
      <c r="AB464" s="704">
        <v>0</v>
      </c>
      <c r="AC464" s="704">
        <v>0</v>
      </c>
      <c r="AD464" s="704">
        <v>0</v>
      </c>
      <c r="AE464" s="704">
        <v>0</v>
      </c>
      <c r="AF464" s="704">
        <v>0</v>
      </c>
      <c r="AG464" s="704">
        <v>0</v>
      </c>
      <c r="AH464" s="704">
        <v>0</v>
      </c>
      <c r="AI464" s="704">
        <v>0</v>
      </c>
      <c r="AJ464" s="704">
        <v>0</v>
      </c>
      <c r="AK464" s="704">
        <v>0</v>
      </c>
      <c r="AL464" s="704">
        <v>62</v>
      </c>
      <c r="AM464" s="704">
        <v>67</v>
      </c>
      <c r="AN464" s="704">
        <v>71</v>
      </c>
      <c r="AO464" s="704">
        <v>79</v>
      </c>
      <c r="AP464" s="704">
        <f>SUM(AL464:AO464)</f>
        <v>279</v>
      </c>
      <c r="AQ464" s="704">
        <v>86</v>
      </c>
      <c r="AR464" s="704">
        <v>82</v>
      </c>
      <c r="AS464" s="704">
        <v>83</v>
      </c>
      <c r="AT464" s="704">
        <v>90</v>
      </c>
      <c r="AU464" s="704">
        <f>SUM(AQ464:AT464)</f>
        <v>341</v>
      </c>
      <c r="AV464" s="704">
        <f>97+2</f>
        <v>99</v>
      </c>
      <c r="AW464" s="704">
        <f>'[3]Profit and Loss Highlights'!X$66</f>
        <v>98</v>
      </c>
      <c r="AX464" s="704">
        <f>'[3]Profit and Loss Highlights'!Y$66</f>
        <v>98</v>
      </c>
      <c r="AY464" s="704">
        <f>'[3]Profit and Loss Highlights'!Z$66</f>
        <v>104</v>
      </c>
      <c r="AZ464" s="704">
        <f>SUM(AV464:AY464)</f>
        <v>399</v>
      </c>
      <c r="BA464" s="704">
        <f>'[3]Profit and Loss Highlights'!AA$66</f>
        <v>0</v>
      </c>
      <c r="BB464" s="704">
        <f>'[3]Profit and Loss Highlights'!AB$66</f>
        <v>0</v>
      </c>
      <c r="BC464" s="704">
        <f>'[3]Profit and Loss Highlights'!AC$66</f>
        <v>0</v>
      </c>
      <c r="BD464" s="704">
        <f>'[3]Profit and Loss Highlights'!AD$66</f>
        <v>0</v>
      </c>
      <c r="BE464" s="693">
        <f>SUM(BA464:BD464)</f>
        <v>0</v>
      </c>
      <c r="BF464" s="704">
        <f>'[3]Profit and Loss Highlights'!AE$66</f>
        <v>0</v>
      </c>
      <c r="BG464" s="704">
        <f>'[3]Profit and Loss Highlights'!AF$66</f>
        <v>0</v>
      </c>
      <c r="BH464" s="704">
        <f>'[3]Profit and Loss Highlights'!AG$66</f>
        <v>0</v>
      </c>
      <c r="BI464" s="704">
        <f>'[3]Profit and Loss Highlights'!AH$66</f>
        <v>0</v>
      </c>
      <c r="BJ464" s="693">
        <f>SUM(BF464:BI464)</f>
        <v>0</v>
      </c>
      <c r="BK464" s="704">
        <f>'[3]Profit and Loss Highlights'!AI$66</f>
        <v>10</v>
      </c>
      <c r="BL464" s="704">
        <f>'[3]Profit and Loss Highlights'!AJ$66</f>
        <v>17</v>
      </c>
      <c r="BM464" s="704">
        <f>'[3]Profit and Loss Highlights'!AK$66</f>
        <v>16</v>
      </c>
      <c r="BN464" s="704">
        <f>'[3]Profit and Loss Highlights'!AL$66</f>
        <v>19</v>
      </c>
      <c r="BO464" s="693">
        <f>SUM(BK464:BN464)</f>
        <v>62</v>
      </c>
      <c r="BP464" s="704">
        <f>'[3]Profit and Loss Highlights'!AM$66</f>
        <v>21</v>
      </c>
      <c r="BQ464" s="704">
        <f>'[3]Profit and Loss Highlights'!AN$66</f>
        <v>31</v>
      </c>
      <c r="BR464" s="704">
        <f>'[3]Profit and Loss Highlights'!AO$66</f>
        <v>66</v>
      </c>
      <c r="BS464" s="704">
        <f>'[3]Profit and Loss Highlights'!AP$66</f>
        <v>63</v>
      </c>
      <c r="BT464" s="693">
        <f>SUM(BP464:BS464)</f>
        <v>181</v>
      </c>
      <c r="BU464" s="704">
        <f>'[3]Profit and Loss Highlights'!AQ$66</f>
        <v>67</v>
      </c>
      <c r="BV464" s="704">
        <f>'[3]Profit and Loss Highlights'!AR$66</f>
        <v>69</v>
      </c>
      <c r="BW464" s="704">
        <f>'[3]Profit and Loss Highlights'!AS$66</f>
        <v>84</v>
      </c>
      <c r="BX464" s="704">
        <f>'[3]Profit and Loss Highlights'!AT$66</f>
        <v>93</v>
      </c>
      <c r="BY464" s="693">
        <f>SUM(BU464:BX464)</f>
        <v>313</v>
      </c>
      <c r="BZ464" s="704">
        <f>'[3]Profit and Loss Highlights'!AU$66</f>
        <v>82</v>
      </c>
      <c r="CA464" s="704">
        <f>'[3]Profit and Loss Highlights'!AV$66</f>
        <v>85</v>
      </c>
      <c r="CB464" s="704">
        <f>'[3]Profit and Loss Highlights'!AW$66</f>
        <v>82</v>
      </c>
      <c r="CC464" s="704">
        <f>'[3]Profit and Loss Highlights'!AX$66</f>
        <v>129</v>
      </c>
      <c r="CD464" s="693">
        <f>SUM(BZ464:CC464)</f>
        <v>378</v>
      </c>
      <c r="CE464" s="704">
        <f>'[3]Profit and Loss Highlights'!AY$66</f>
        <v>81</v>
      </c>
      <c r="CF464" s="704">
        <f>'[3]Profit and Loss Highlights'!AZ$66</f>
        <v>75</v>
      </c>
      <c r="CG464" s="704">
        <f>'[3]Profit and Loss Highlights'!BA$66</f>
        <v>81</v>
      </c>
      <c r="CH464" s="704">
        <f>'[3]Profit and Loss Highlights'!BB$66</f>
        <v>80</v>
      </c>
      <c r="CI464" s="693">
        <f>SUM(CE464:CH464)</f>
        <v>317</v>
      </c>
      <c r="CJ464" s="704">
        <f>'[3]Profit and Loss Highlights'!BC$66</f>
        <v>80</v>
      </c>
      <c r="CK464" s="704">
        <f>'[3]Profit and Loss Highlights'!BD$66</f>
        <v>85</v>
      </c>
      <c r="CL464" s="704">
        <f>'[3]Profit and Loss Highlights'!BE$66</f>
        <v>80</v>
      </c>
      <c r="CM464" s="704">
        <f>'[3]Profit and Loss Highlights'!BF$66</f>
        <v>73</v>
      </c>
      <c r="CN464" s="693">
        <f>SUM(CJ464:CM464)</f>
        <v>318</v>
      </c>
      <c r="CO464" s="704">
        <f>'[3]Profit and Loss Highlights'!BG$66</f>
        <v>72</v>
      </c>
      <c r="CP464" s="704">
        <f>'[3]Profit and Loss Highlights'!BH$66</f>
        <v>75</v>
      </c>
      <c r="CQ464" s="979">
        <f>-'Balance Sheet and Cflow'!U105</f>
        <v>306.45999999999998</v>
      </c>
      <c r="CR464" s="979">
        <f>-'Balance Sheet and Cflow'!V105</f>
        <v>314.87035923926828</v>
      </c>
      <c r="CS464" s="979">
        <f>-'Balance Sheet and Cflow'!W105</f>
        <v>322.80112605321978</v>
      </c>
      <c r="CT464" s="979">
        <f>-'Balance Sheet and Cflow'!X105</f>
        <v>319.57779222251634</v>
      </c>
      <c r="CU464" s="979">
        <f>-'Balance Sheet and Cflow'!Y105</f>
        <v>369.11775252753114</v>
      </c>
      <c r="CV464" s="979">
        <f>-'Balance Sheet and Cflow'!Z105</f>
        <v>415.52723977522379</v>
      </c>
      <c r="CW464" s="979">
        <f>-'Balance Sheet and Cflow'!AA105</f>
        <v>458.12555552571791</v>
      </c>
      <c r="CX464" s="159"/>
      <c r="CY464" s="159"/>
      <c r="CZ464" s="159"/>
      <c r="DA464" s="159"/>
      <c r="DB464" s="159"/>
      <c r="DC464" s="159"/>
      <c r="DD464" s="159"/>
      <c r="DF464" s="356"/>
      <c r="DG464" s="360"/>
      <c r="DH464" s="360"/>
      <c r="DI464" s="360"/>
      <c r="DJ464" s="360"/>
      <c r="DK464" s="360"/>
      <c r="DL464" s="360"/>
      <c r="DM464" s="360"/>
      <c r="DN464" s="360"/>
      <c r="DO464" s="360"/>
      <c r="EU464" s="286"/>
      <c r="EV464" s="287"/>
    </row>
    <row r="465" spans="1:152">
      <c r="A465" s="283" t="s">
        <v>859</v>
      </c>
      <c r="B465" s="700">
        <f>B463+B464</f>
        <v>894</v>
      </c>
      <c r="C465" s="700">
        <f t="shared" ref="C465:BN465" si="1598">C463+C464</f>
        <v>0</v>
      </c>
      <c r="D465" s="700">
        <f t="shared" si="1598"/>
        <v>0</v>
      </c>
      <c r="E465" s="700">
        <f t="shared" si="1598"/>
        <v>0</v>
      </c>
      <c r="F465" s="700">
        <f t="shared" si="1598"/>
        <v>0</v>
      </c>
      <c r="G465" s="700">
        <f t="shared" si="1598"/>
        <v>1192.2</v>
      </c>
      <c r="H465" s="700">
        <f t="shared" si="1598"/>
        <v>0</v>
      </c>
      <c r="I465" s="700">
        <f t="shared" si="1598"/>
        <v>0</v>
      </c>
      <c r="J465" s="700">
        <f t="shared" si="1598"/>
        <v>278</v>
      </c>
      <c r="K465" s="700">
        <f t="shared" si="1598"/>
        <v>281</v>
      </c>
      <c r="L465" s="700">
        <f t="shared" si="1598"/>
        <v>1165</v>
      </c>
      <c r="M465" s="700">
        <f t="shared" si="1598"/>
        <v>267</v>
      </c>
      <c r="N465" s="700">
        <f t="shared" si="1598"/>
        <v>253</v>
      </c>
      <c r="O465" s="700">
        <f t="shared" si="1598"/>
        <v>274</v>
      </c>
      <c r="P465" s="700">
        <f t="shared" si="1598"/>
        <v>279</v>
      </c>
      <c r="Q465" s="700">
        <f t="shared" si="1598"/>
        <v>1073</v>
      </c>
      <c r="R465" s="700">
        <f t="shared" si="1598"/>
        <v>285</v>
      </c>
      <c r="S465" s="700">
        <f t="shared" si="1598"/>
        <v>288</v>
      </c>
      <c r="T465" s="700">
        <f t="shared" si="1598"/>
        <v>309</v>
      </c>
      <c r="U465" s="700">
        <f t="shared" si="1598"/>
        <v>309</v>
      </c>
      <c r="V465" s="700">
        <f t="shared" si="1598"/>
        <v>1191</v>
      </c>
      <c r="W465" s="700">
        <f t="shared" si="1598"/>
        <v>295</v>
      </c>
      <c r="X465" s="700">
        <f t="shared" si="1598"/>
        <v>289</v>
      </c>
      <c r="Y465" s="700">
        <f t="shared" si="1598"/>
        <v>289</v>
      </c>
      <c r="Z465" s="700">
        <f t="shared" si="1598"/>
        <v>489</v>
      </c>
      <c r="AA465" s="700">
        <f t="shared" si="1598"/>
        <v>1362</v>
      </c>
      <c r="AB465" s="700">
        <f t="shared" si="1598"/>
        <v>370</v>
      </c>
      <c r="AC465" s="700">
        <f t="shared" si="1598"/>
        <v>340</v>
      </c>
      <c r="AD465" s="700">
        <f t="shared" si="1598"/>
        <v>303</v>
      </c>
      <c r="AE465" s="700">
        <f t="shared" si="1598"/>
        <v>353</v>
      </c>
      <c r="AF465" s="700">
        <f t="shared" si="1598"/>
        <v>1366</v>
      </c>
      <c r="AG465" s="700">
        <f t="shared" si="1598"/>
        <v>332</v>
      </c>
      <c r="AH465" s="700">
        <f t="shared" si="1598"/>
        <v>335</v>
      </c>
      <c r="AI465" s="700">
        <f t="shared" si="1598"/>
        <v>326</v>
      </c>
      <c r="AJ465" s="700">
        <f t="shared" si="1598"/>
        <v>434</v>
      </c>
      <c r="AK465" s="700">
        <f t="shared" si="1598"/>
        <v>1427</v>
      </c>
      <c r="AL465" s="700">
        <f t="shared" si="1598"/>
        <v>305</v>
      </c>
      <c r="AM465" s="700">
        <f t="shared" si="1598"/>
        <v>309</v>
      </c>
      <c r="AN465" s="700">
        <f t="shared" si="1598"/>
        <v>318</v>
      </c>
      <c r="AO465" s="700">
        <f t="shared" si="1598"/>
        <v>338</v>
      </c>
      <c r="AP465" s="700">
        <f t="shared" si="1598"/>
        <v>1270</v>
      </c>
      <c r="AQ465" s="700">
        <f t="shared" si="1598"/>
        <v>360</v>
      </c>
      <c r="AR465" s="700">
        <f t="shared" si="1598"/>
        <v>339</v>
      </c>
      <c r="AS465" s="700">
        <f t="shared" si="1598"/>
        <v>348</v>
      </c>
      <c r="AT465" s="700">
        <f t="shared" si="1598"/>
        <v>346</v>
      </c>
      <c r="AU465" s="700">
        <f t="shared" si="1598"/>
        <v>1393</v>
      </c>
      <c r="AV465" s="700">
        <f t="shared" si="1598"/>
        <v>339</v>
      </c>
      <c r="AW465" s="700">
        <f t="shared" si="1598"/>
        <v>336</v>
      </c>
      <c r="AX465" s="700">
        <f t="shared" si="1598"/>
        <v>362</v>
      </c>
      <c r="AY465" s="700">
        <f t="shared" si="1598"/>
        <v>383</v>
      </c>
      <c r="AZ465" s="700">
        <f t="shared" si="1598"/>
        <v>1420</v>
      </c>
      <c r="BA465" s="700">
        <f t="shared" si="1598"/>
        <v>235</v>
      </c>
      <c r="BB465" s="700">
        <f t="shared" si="1598"/>
        <v>268</v>
      </c>
      <c r="BC465" s="700">
        <f t="shared" si="1598"/>
        <v>260</v>
      </c>
      <c r="BD465" s="700">
        <f t="shared" si="1598"/>
        <v>305</v>
      </c>
      <c r="BE465" s="700">
        <f t="shared" si="1598"/>
        <v>1068</v>
      </c>
      <c r="BF465" s="700">
        <f t="shared" si="1598"/>
        <v>323</v>
      </c>
      <c r="BG465" s="700">
        <f t="shared" si="1598"/>
        <v>323</v>
      </c>
      <c r="BH465" s="700">
        <f t="shared" si="1598"/>
        <v>375</v>
      </c>
      <c r="BI465" s="700">
        <f t="shared" si="1598"/>
        <v>358</v>
      </c>
      <c r="BJ465" s="700">
        <f t="shared" si="1598"/>
        <v>1379</v>
      </c>
      <c r="BK465" s="700">
        <f t="shared" si="1598"/>
        <v>365</v>
      </c>
      <c r="BL465" s="700">
        <f t="shared" si="1598"/>
        <v>374</v>
      </c>
      <c r="BM465" s="700">
        <f t="shared" si="1598"/>
        <v>355</v>
      </c>
      <c r="BN465" s="700">
        <f t="shared" si="1598"/>
        <v>381</v>
      </c>
      <c r="BO465" s="700">
        <f t="shared" ref="BO465:CK465" si="1599">BO463+BO464</f>
        <v>1475</v>
      </c>
      <c r="BP465" s="700">
        <f t="shared" si="1599"/>
        <v>407</v>
      </c>
      <c r="BQ465" s="700">
        <f t="shared" si="1599"/>
        <v>424</v>
      </c>
      <c r="BR465" s="700">
        <f t="shared" si="1599"/>
        <v>435</v>
      </c>
      <c r="BS465" s="700">
        <f t="shared" si="1599"/>
        <v>435</v>
      </c>
      <c r="BT465" s="700">
        <f t="shared" si="1599"/>
        <v>1701</v>
      </c>
      <c r="BU465" s="700">
        <f t="shared" si="1599"/>
        <v>417</v>
      </c>
      <c r="BV465" s="700">
        <f t="shared" si="1599"/>
        <v>412</v>
      </c>
      <c r="BW465" s="700">
        <f t="shared" si="1599"/>
        <v>427</v>
      </c>
      <c r="BX465" s="700">
        <f t="shared" si="1599"/>
        <v>465</v>
      </c>
      <c r="BY465" s="700">
        <f t="shared" si="1599"/>
        <v>1721</v>
      </c>
      <c r="BZ465" s="700">
        <f t="shared" si="1599"/>
        <v>431</v>
      </c>
      <c r="CA465" s="700">
        <f t="shared" si="1599"/>
        <v>431</v>
      </c>
      <c r="CB465" s="700">
        <f t="shared" si="1599"/>
        <v>432</v>
      </c>
      <c r="CC465" s="700">
        <f t="shared" si="1599"/>
        <v>609</v>
      </c>
      <c r="CD465" s="700">
        <f t="shared" si="1599"/>
        <v>1903</v>
      </c>
      <c r="CE465" s="700">
        <f t="shared" si="1599"/>
        <v>448</v>
      </c>
      <c r="CF465" s="700">
        <f t="shared" si="1599"/>
        <v>439</v>
      </c>
      <c r="CG465" s="700">
        <f t="shared" si="1599"/>
        <v>443</v>
      </c>
      <c r="CH465" s="700">
        <f t="shared" si="1599"/>
        <v>450</v>
      </c>
      <c r="CI465" s="700">
        <f t="shared" si="1599"/>
        <v>1780</v>
      </c>
      <c r="CJ465" s="700">
        <f t="shared" si="1599"/>
        <v>441</v>
      </c>
      <c r="CK465" s="700">
        <f t="shared" si="1599"/>
        <v>446</v>
      </c>
      <c r="CL465" s="700">
        <f t="shared" ref="CL465:CP465" si="1600">CL463+CL464</f>
        <v>448</v>
      </c>
      <c r="CM465" s="700">
        <f t="shared" si="1600"/>
        <v>477</v>
      </c>
      <c r="CN465" s="700">
        <f t="shared" si="1600"/>
        <v>1812</v>
      </c>
      <c r="CO465" s="700">
        <f t="shared" si="1600"/>
        <v>433</v>
      </c>
      <c r="CP465" s="700">
        <f t="shared" si="1600"/>
        <v>430</v>
      </c>
      <c r="CQ465" s="700">
        <f t="shared" ref="CQ465:CW465" si="1601">CQ463+CQ464</f>
        <v>1712.6200000000001</v>
      </c>
      <c r="CR465" s="700">
        <f t="shared" si="1601"/>
        <v>1716.2140194881929</v>
      </c>
      <c r="CS465" s="700">
        <f t="shared" si="1601"/>
        <v>1726.342788300195</v>
      </c>
      <c r="CT465" s="700">
        <f t="shared" si="1601"/>
        <v>1731.4508062958992</v>
      </c>
      <c r="CU465" s="700">
        <f t="shared" si="1601"/>
        <v>1718.2769176414311</v>
      </c>
      <c r="CV465" s="700">
        <f t="shared" si="1601"/>
        <v>1715.871143349141</v>
      </c>
      <c r="CW465" s="700">
        <f t="shared" si="1601"/>
        <v>1684.7269921132493</v>
      </c>
      <c r="CX465" s="159"/>
      <c r="CY465" s="159"/>
      <c r="CZ465" s="159"/>
      <c r="DA465" s="159"/>
      <c r="DB465" s="159"/>
      <c r="DC465" s="159"/>
      <c r="DD465" s="159"/>
      <c r="DF465" s="356"/>
      <c r="DG465" s="360"/>
      <c r="DH465" s="360"/>
      <c r="DI465" s="360"/>
      <c r="DJ465" s="360"/>
      <c r="DK465" s="360"/>
      <c r="DL465" s="360"/>
      <c r="DM465" s="360"/>
      <c r="DN465" s="360"/>
      <c r="DO465" s="360"/>
      <c r="EU465" s="286"/>
      <c r="EV465" s="287"/>
    </row>
    <row r="466" spans="1:152">
      <c r="A466" s="226" t="s">
        <v>0</v>
      </c>
      <c r="B466" s="236"/>
      <c r="C466" s="236"/>
      <c r="D466" s="236"/>
      <c r="E466" s="236"/>
      <c r="F466" s="236"/>
      <c r="G466" s="236">
        <f>G465/B465-1</f>
        <v>0.33355704697986588</v>
      </c>
      <c r="H466" s="236"/>
      <c r="I466" s="236"/>
      <c r="J466" s="236"/>
      <c r="K466" s="236"/>
      <c r="L466" s="236">
        <f>L465/G465-1</f>
        <v>-2.2814963932226151E-2</v>
      </c>
      <c r="M466" s="236"/>
      <c r="N466" s="236"/>
      <c r="O466" s="236"/>
      <c r="P466" s="236"/>
      <c r="Q466" s="236">
        <f>Q465/L465-1</f>
        <v>-7.8969957081545084E-2</v>
      </c>
      <c r="R466" s="236"/>
      <c r="S466" s="236"/>
      <c r="T466" s="236"/>
      <c r="U466" s="236"/>
      <c r="V466" s="236">
        <f>V465/Q465-1</f>
        <v>0.10997204100652369</v>
      </c>
      <c r="W466" s="236"/>
      <c r="X466" s="236"/>
      <c r="Y466" s="236"/>
      <c r="Z466" s="236"/>
      <c r="AA466" s="236">
        <f>AA465/V465-1</f>
        <v>0.14357682619647361</v>
      </c>
      <c r="AB466" s="236"/>
      <c r="AC466" s="236"/>
      <c r="AD466" s="236"/>
      <c r="AE466" s="236"/>
      <c r="AF466" s="236">
        <f>AF465/AA465-1</f>
        <v>2.936857562408246E-3</v>
      </c>
      <c r="AG466" s="236"/>
      <c r="AH466" s="236"/>
      <c r="AI466" s="236"/>
      <c r="AJ466" s="236"/>
      <c r="AK466" s="236">
        <f>AK465/AF465-1</f>
        <v>4.4655929721815424E-2</v>
      </c>
      <c r="AL466" s="236"/>
      <c r="AM466" s="236"/>
      <c r="AN466" s="236"/>
      <c r="AO466" s="236"/>
      <c r="AP466" s="236">
        <f t="shared" ref="AP466" si="1602">AP465/AK465-1</f>
        <v>-0.11002102312543793</v>
      </c>
      <c r="AQ466" s="236">
        <f t="shared" ref="AQ466" si="1603">AQ465/AL465-1</f>
        <v>0.18032786885245899</v>
      </c>
      <c r="AR466" s="236">
        <f t="shared" ref="AR466" si="1604">AR465/AM465-1</f>
        <v>9.7087378640776656E-2</v>
      </c>
      <c r="AS466" s="236">
        <f t="shared" ref="AS466" si="1605">AS465/AN465-1</f>
        <v>9.4339622641509413E-2</v>
      </c>
      <c r="AT466" s="236">
        <f t="shared" ref="AT466" si="1606">AT465/AO465-1</f>
        <v>2.3668639053254337E-2</v>
      </c>
      <c r="AU466" s="236">
        <f t="shared" ref="AU466" si="1607">AU465/AP465-1</f>
        <v>9.6850393700787407E-2</v>
      </c>
      <c r="AV466" s="236">
        <f t="shared" ref="AV466" si="1608">AV465/AQ465-1</f>
        <v>-5.8333333333333348E-2</v>
      </c>
      <c r="AW466" s="236">
        <f t="shared" ref="AW466" si="1609">AW465/AR465-1</f>
        <v>-8.8495575221239076E-3</v>
      </c>
      <c r="AX466" s="236">
        <f t="shared" ref="AX466" si="1610">AX465/AS465-1</f>
        <v>4.022988505747116E-2</v>
      </c>
      <c r="AY466" s="236">
        <f t="shared" ref="AY466" si="1611">AY465/AT465-1</f>
        <v>0.10693641618497107</v>
      </c>
      <c r="AZ466" s="236">
        <f t="shared" ref="AZ466" si="1612">AZ465/AU465-1</f>
        <v>1.9382627422828369E-2</v>
      </c>
      <c r="BA466" s="236">
        <f t="shared" ref="BA466" si="1613">BA465/AV465-1</f>
        <v>-0.30678466076696165</v>
      </c>
      <c r="BB466" s="236">
        <f t="shared" ref="BB466" si="1614">BB465/AW465-1</f>
        <v>-0.20238095238095233</v>
      </c>
      <c r="BC466" s="236">
        <f t="shared" ref="BC466" si="1615">BC465/AX465-1</f>
        <v>-0.28176795580110492</v>
      </c>
      <c r="BD466" s="236">
        <f t="shared" ref="BD466" si="1616">BD465/AY465-1</f>
        <v>-0.20365535248041777</v>
      </c>
      <c r="BE466" s="236">
        <f t="shared" ref="BE466" si="1617">BE465/AZ465-1</f>
        <v>-0.24788732394366197</v>
      </c>
      <c r="BF466" s="236">
        <f t="shared" ref="BF466" si="1618">BF465/BA465-1</f>
        <v>0.37446808510638308</v>
      </c>
      <c r="BG466" s="236">
        <f t="shared" ref="BG466" si="1619">BG465/BB465-1</f>
        <v>0.20522388059701502</v>
      </c>
      <c r="BH466" s="236">
        <f t="shared" ref="BH466" si="1620">BH465/BC465-1</f>
        <v>0.44230769230769229</v>
      </c>
      <c r="BI466" s="236">
        <f t="shared" ref="BI466" si="1621">BI465/BD465-1</f>
        <v>0.17377049180327875</v>
      </c>
      <c r="BJ466" s="236">
        <f>BJ465/BE465-1</f>
        <v>0.29119850187265928</v>
      </c>
      <c r="BK466" s="236">
        <f t="shared" ref="BK466" si="1622">BK465/BF465-1</f>
        <v>0.13003095975232193</v>
      </c>
      <c r="BL466" s="236">
        <f t="shared" ref="BL466" si="1623">BL465/BG465-1</f>
        <v>0.15789473684210531</v>
      </c>
      <c r="BM466" s="236">
        <f t="shared" ref="BM466" si="1624">BM465/BH465-1</f>
        <v>-5.3333333333333344E-2</v>
      </c>
      <c r="BN466" s="236">
        <f t="shared" ref="BN466" si="1625">BN465/BI465-1</f>
        <v>6.4245810055865826E-2</v>
      </c>
      <c r="BO466" s="236">
        <f>BO465/BJ465-1</f>
        <v>6.9615663524293048E-2</v>
      </c>
      <c r="BP466" s="236">
        <f t="shared" ref="BP466" si="1626">BP465/BK465-1</f>
        <v>0.1150684931506849</v>
      </c>
      <c r="BQ466" s="236">
        <f t="shared" ref="BQ466" si="1627">BQ465/BL465-1</f>
        <v>0.1336898395721926</v>
      </c>
      <c r="BR466" s="236">
        <f t="shared" ref="BR466" si="1628">BR465/BM465-1</f>
        <v>0.22535211267605626</v>
      </c>
      <c r="BS466" s="236">
        <f t="shared" ref="BS466" si="1629">BS465/BN465-1</f>
        <v>0.1417322834645669</v>
      </c>
      <c r="BT466" s="236">
        <f>BT465/BO465-1</f>
        <v>0.15322033898305087</v>
      </c>
      <c r="BU466" s="237">
        <f t="shared" ref="BU466" si="1630">BU465/BP465-1</f>
        <v>2.4570024570024662E-2</v>
      </c>
      <c r="BV466" s="237">
        <f t="shared" ref="BV466" si="1631">BV465/BQ465-1</f>
        <v>-2.8301886792452824E-2</v>
      </c>
      <c r="BW466" s="237">
        <f t="shared" ref="BW466" si="1632">BW465/BR465-1</f>
        <v>-1.8390804597701149E-2</v>
      </c>
      <c r="BX466" s="237">
        <f t="shared" ref="BX466" si="1633">BX465/BS465-1</f>
        <v>6.8965517241379226E-2</v>
      </c>
      <c r="BY466" s="236">
        <f>BY465/BT465-1</f>
        <v>1.1757789535567387E-2</v>
      </c>
      <c r="BZ466" s="237">
        <f t="shared" ref="BZ466" si="1634">BZ465/BU465-1</f>
        <v>3.3573141486810565E-2</v>
      </c>
      <c r="CA466" s="237">
        <f t="shared" ref="CA466" si="1635">CA465/BV465-1</f>
        <v>4.6116504854369023E-2</v>
      </c>
      <c r="CB466" s="237">
        <f t="shared" ref="CB466" si="1636">CB465/BW465-1</f>
        <v>1.1709601873536313E-2</v>
      </c>
      <c r="CC466" s="237">
        <f t="shared" ref="CC466" si="1637">CC465/BX465-1</f>
        <v>0.30967741935483861</v>
      </c>
      <c r="CD466" s="236">
        <f>CD465/BY465-1</f>
        <v>0.10575246949448003</v>
      </c>
      <c r="CE466" s="237">
        <f t="shared" ref="CE466" si="1638">CE465/BZ465-1</f>
        <v>3.9443155452436152E-2</v>
      </c>
      <c r="CF466" s="237">
        <f t="shared" ref="CF466" si="1639">CF465/CA465-1</f>
        <v>1.8561484918793614E-2</v>
      </c>
      <c r="CG466" s="237">
        <f t="shared" ref="CG466" si="1640">CG465/CB465-1</f>
        <v>2.5462962962963021E-2</v>
      </c>
      <c r="CH466" s="237">
        <f t="shared" ref="CH466" si="1641">CH465/CC465-1</f>
        <v>-0.26108374384236455</v>
      </c>
      <c r="CI466" s="236">
        <f>CI465/CD465-1</f>
        <v>-6.4634787178139752E-2</v>
      </c>
      <c r="CJ466" s="237">
        <f t="shared" ref="CJ466" si="1642">CJ465/CE465-1</f>
        <v>-1.5625E-2</v>
      </c>
      <c r="CK466" s="237">
        <f t="shared" ref="CK466:CM466" si="1643">CK465/CF465-1</f>
        <v>1.5945330296127658E-2</v>
      </c>
      <c r="CL466" s="237">
        <f t="shared" si="1643"/>
        <v>1.1286681715575675E-2</v>
      </c>
      <c r="CM466" s="237">
        <f t="shared" si="1643"/>
        <v>6.0000000000000053E-2</v>
      </c>
      <c r="CN466" s="236">
        <f>CN465/CI465-1</f>
        <v>1.7977528089887729E-2</v>
      </c>
      <c r="CO466" s="237">
        <f t="shared" ref="CO466:CP466" si="1644">CO465/CJ465-1</f>
        <v>-1.8140589569160981E-2</v>
      </c>
      <c r="CP466" s="237">
        <f t="shared" si="1644"/>
        <v>-3.5874439461883401E-2</v>
      </c>
      <c r="CQ466" s="236">
        <f>CQ465/CN465-1</f>
        <v>-5.4845474613686496E-2</v>
      </c>
      <c r="CR466" s="236">
        <f t="shared" ref="CR466" si="1645">CR465/CQ465-1</f>
        <v>2.0985504596424676E-3</v>
      </c>
      <c r="CS466" s="236">
        <f t="shared" ref="CS466" si="1646">CS465/CR465-1</f>
        <v>5.9018098541245845E-3</v>
      </c>
      <c r="CT466" s="236">
        <f t="shared" ref="CT466" si="1647">CT465/CS465-1</f>
        <v>2.9588665879813902E-3</v>
      </c>
      <c r="CU466" s="236">
        <f t="shared" ref="CU466" si="1648">CU465/CT465-1</f>
        <v>-7.6085838572861331E-3</v>
      </c>
      <c r="CV466" s="236">
        <f t="shared" ref="CV466" si="1649">CV465/CU465-1</f>
        <v>-1.4001086015822395E-3</v>
      </c>
      <c r="CW466" s="236">
        <f t="shared" ref="CW466" si="1650">CW465/CV465-1</f>
        <v>-1.8150635236573009E-2</v>
      </c>
      <c r="CX466" s="159"/>
      <c r="CY466" s="159"/>
      <c r="CZ466" s="159"/>
      <c r="DA466" s="159"/>
      <c r="DB466" s="159"/>
      <c r="DC466" s="159"/>
      <c r="DD466" s="159"/>
      <c r="DF466" s="356"/>
      <c r="DG466" s="360"/>
      <c r="DH466" s="360"/>
      <c r="DI466" s="360"/>
      <c r="DJ466" s="360"/>
      <c r="DK466" s="360"/>
      <c r="DL466" s="360"/>
      <c r="DM466" s="360"/>
      <c r="DN466" s="360"/>
      <c r="DO466" s="360"/>
      <c r="EU466" s="286"/>
      <c r="EV466" s="287"/>
    </row>
    <row r="467" spans="1:152">
      <c r="A467" s="226" t="s">
        <v>87</v>
      </c>
      <c r="B467" s="160">
        <f>B463/'Balance Sheet and Cflow'!B73</f>
        <v>0.79551521623064603</v>
      </c>
      <c r="C467" s="160"/>
      <c r="D467" s="160"/>
      <c r="E467" s="160"/>
      <c r="F467" s="160"/>
      <c r="G467" s="160">
        <f>G463/'Balance Sheet and Cflow'!C73</f>
        <v>1.485052316890882</v>
      </c>
      <c r="H467" s="160"/>
      <c r="I467" s="160"/>
      <c r="J467" s="160"/>
      <c r="K467" s="160"/>
      <c r="L467" s="160">
        <f>L463/'Balance Sheet and Cflow'!D73</f>
        <v>1.9745762711864407</v>
      </c>
      <c r="M467" s="160"/>
      <c r="N467" s="160"/>
      <c r="O467" s="160"/>
      <c r="P467" s="160"/>
      <c r="Q467" s="160">
        <f>Q463/'Balance Sheet and Cflow'!E73</f>
        <v>0.74307479224376727</v>
      </c>
      <c r="R467" s="160"/>
      <c r="S467" s="160"/>
      <c r="T467" s="160"/>
      <c r="U467" s="160"/>
      <c r="V467" s="160">
        <f>V463/'Balance Sheet and Cflow'!F73</f>
        <v>1.204246713852376</v>
      </c>
      <c r="W467" s="160"/>
      <c r="X467" s="160"/>
      <c r="Y467" s="160"/>
      <c r="Z467" s="160"/>
      <c r="AA467" s="160">
        <f>AA463/'Balance Sheet and Cflow'!G73</f>
        <v>1.3757575757575757</v>
      </c>
      <c r="AB467" s="160"/>
      <c r="AC467" s="160"/>
      <c r="AD467" s="160"/>
      <c r="AE467" s="160"/>
      <c r="AF467" s="160">
        <f>AF463/'Balance Sheet and Cflow'!H73</f>
        <v>1.6760736196319019</v>
      </c>
      <c r="AG467" s="160"/>
      <c r="AH467" s="160"/>
      <c r="AI467" s="160"/>
      <c r="AJ467" s="160"/>
      <c r="AK467" s="160">
        <f>AK463/'Balance Sheet and Cflow'!I73</f>
        <v>1.2517543859649123</v>
      </c>
      <c r="AL467" s="160"/>
      <c r="AM467" s="160"/>
      <c r="AN467" s="160"/>
      <c r="AO467" s="160"/>
      <c r="AP467" s="160">
        <f>AP463/'Balance Sheet and Cflow'!J73</f>
        <v>0.75996932515337423</v>
      </c>
      <c r="AQ467" s="160"/>
      <c r="AR467" s="160"/>
      <c r="AS467" s="160"/>
      <c r="AT467" s="204"/>
      <c r="AU467" s="160">
        <f>AU463/'Balance Sheet and Cflow'!K73</f>
        <v>0.8847771236333053</v>
      </c>
      <c r="AV467" s="160"/>
      <c r="AW467" s="160"/>
      <c r="AX467" s="160"/>
      <c r="AY467" s="160"/>
      <c r="AZ467" s="160">
        <f>AZ463/'Balance Sheet and Cflow'!P73</f>
        <v>0.8601516427969671</v>
      </c>
      <c r="BA467" s="160"/>
      <c r="BB467" s="160"/>
      <c r="BC467" s="160"/>
      <c r="BD467" s="160"/>
      <c r="BE467" s="160">
        <f>BE463/'Balance Sheet and Cflow'!M73</f>
        <v>1.0289017341040463</v>
      </c>
      <c r="BF467" s="160"/>
      <c r="BG467" s="160"/>
      <c r="BH467" s="204"/>
      <c r="BI467" s="204"/>
      <c r="BJ467" s="160">
        <f>BJ463/'Balance Sheet and Cflow'!N73</f>
        <v>1.136850783182193</v>
      </c>
      <c r="BK467" s="160"/>
      <c r="BL467" s="160"/>
      <c r="BM467" s="160"/>
      <c r="BN467" s="160"/>
      <c r="BO467" s="160">
        <f>BO463/'Balance Sheet and Cflow'!S73</f>
        <v>2.0964391691394657</v>
      </c>
      <c r="BP467" s="160"/>
      <c r="BQ467" s="160"/>
      <c r="BR467" s="160"/>
      <c r="BS467" s="160"/>
      <c r="BT467" s="160">
        <f>BT463/'Balance Sheet and Cflow'!P73</f>
        <v>1.2805391743892165</v>
      </c>
      <c r="BU467" s="161"/>
      <c r="BV467" s="161"/>
      <c r="BW467" s="161"/>
      <c r="BX467" s="161"/>
      <c r="BY467" s="160">
        <f>BY463/'Balance Sheet and Cflow'!Q73</f>
        <v>1.2639138240574506</v>
      </c>
      <c r="BZ467" s="161"/>
      <c r="CA467" s="161"/>
      <c r="CB467" s="161"/>
      <c r="CC467" s="161"/>
      <c r="CD467" s="160">
        <f>CD463/'Balance Sheet and Cflow'!R73</f>
        <v>1.8757687576875768</v>
      </c>
      <c r="CE467" s="161"/>
      <c r="CF467" s="161"/>
      <c r="CG467" s="161"/>
      <c r="CH467" s="161"/>
      <c r="CI467" s="160">
        <f>CI463/'Balance Sheet and Cflow'!S73</f>
        <v>2.1706231454005933</v>
      </c>
      <c r="CJ467" s="161"/>
      <c r="CK467" s="161"/>
      <c r="CL467" s="161"/>
      <c r="CM467" s="161"/>
      <c r="CN467" s="160">
        <f>CN463/'Balance Sheet and Cflow'!X73</f>
        <v>1.4089878136512177</v>
      </c>
      <c r="CO467" s="161"/>
      <c r="CP467" s="161"/>
      <c r="CQ467" s="160">
        <f>CQ463/'Balance Sheet and Cflow'!U73</f>
        <v>1.284681942637236</v>
      </c>
      <c r="CR467" s="160">
        <f>CR463/'Balance Sheet and Cflow'!V73</f>
        <v>1.3881086931337998</v>
      </c>
      <c r="CS467" s="160">
        <f>CS463/'Balance Sheet and Cflow'!W73</f>
        <v>1.357066115161734</v>
      </c>
      <c r="CT467" s="160">
        <f>CT463/'Balance Sheet and Cflow'!X73</f>
        <v>1.3315340503697528</v>
      </c>
      <c r="CU467" s="160">
        <f>CU463/'Balance Sheet and Cflow'!Y73</f>
        <v>1.2427584964538327</v>
      </c>
      <c r="CV467" s="160">
        <f>CV463/'Balance Sheet and Cflow'!Z73</f>
        <v>1.1701520231557263</v>
      </c>
      <c r="CW467" s="160">
        <f>CW463/'Balance Sheet and Cflow'!AA73</f>
        <v>0.80887703269254985</v>
      </c>
      <c r="CX467" s="159"/>
      <c r="CY467" s="159"/>
      <c r="CZ467" s="159"/>
      <c r="DA467" s="159"/>
      <c r="DB467" s="159"/>
      <c r="DC467" s="292"/>
      <c r="DD467" s="292"/>
      <c r="DF467" s="356"/>
      <c r="DG467" s="360"/>
      <c r="DH467" s="360"/>
      <c r="DI467" s="360"/>
      <c r="DJ467" s="360"/>
      <c r="DK467" s="360"/>
      <c r="DL467" s="360"/>
      <c r="DM467" s="360"/>
      <c r="DN467" s="360"/>
      <c r="DO467" s="360"/>
      <c r="EU467" s="286"/>
      <c r="EV467" s="287"/>
    </row>
    <row r="468" spans="1:152">
      <c r="A468" s="364"/>
      <c r="B468" s="292"/>
      <c r="C468" s="292"/>
      <c r="D468" s="292"/>
      <c r="E468" s="292"/>
      <c r="F468" s="292"/>
      <c r="G468" s="292"/>
      <c r="H468" s="292"/>
      <c r="I468" s="292"/>
      <c r="J468" s="292"/>
      <c r="K468" s="292"/>
      <c r="L468" s="292"/>
      <c r="M468" s="292"/>
      <c r="N468" s="292"/>
      <c r="O468" s="292"/>
      <c r="P468" s="292"/>
      <c r="Q468" s="292"/>
      <c r="R468" s="292"/>
      <c r="S468" s="292"/>
      <c r="T468" s="292"/>
      <c r="U468" s="292"/>
      <c r="V468" s="292"/>
      <c r="W468" s="292"/>
      <c r="X468" s="292"/>
      <c r="Y468" s="292"/>
      <c r="Z468" s="292"/>
      <c r="AA468" s="292"/>
      <c r="AB468" s="292"/>
      <c r="AC468" s="292"/>
      <c r="AD468" s="292"/>
      <c r="AE468" s="292"/>
      <c r="AF468" s="292"/>
      <c r="AG468" s="292"/>
      <c r="AH468" s="292"/>
      <c r="AI468" s="292"/>
      <c r="AJ468" s="292"/>
      <c r="AK468" s="292"/>
      <c r="AL468" s="292"/>
      <c r="AM468" s="292"/>
      <c r="AN468" s="292"/>
      <c r="AO468" s="292"/>
      <c r="AP468" s="365"/>
      <c r="AQ468" s="292"/>
      <c r="AR468" s="292"/>
      <c r="AS468" s="292"/>
      <c r="AT468" s="292"/>
      <c r="AU468" s="292"/>
      <c r="AV468" s="292"/>
      <c r="AW468" s="292"/>
      <c r="AX468" s="292"/>
      <c r="AY468" s="292"/>
      <c r="AZ468" s="292"/>
      <c r="BA468" s="292"/>
      <c r="BB468" s="292"/>
      <c r="BC468" s="292"/>
      <c r="BD468" s="292"/>
      <c r="BE468" s="292"/>
      <c r="BF468" s="292"/>
      <c r="BG468" s="292"/>
      <c r="BH468" s="292"/>
      <c r="BI468" s="292"/>
      <c r="BJ468" s="292"/>
      <c r="BK468" s="292"/>
      <c r="BL468" s="292"/>
      <c r="BM468" s="292"/>
      <c r="BN468" s="292"/>
      <c r="BO468" s="292"/>
      <c r="BP468" s="292"/>
      <c r="BQ468" s="292"/>
      <c r="BR468" s="292"/>
      <c r="BS468" s="292"/>
      <c r="BT468" s="292"/>
      <c r="BU468" s="292"/>
      <c r="BV468" s="292"/>
      <c r="BW468" s="292"/>
      <c r="BX468" s="292"/>
      <c r="BY468" s="292"/>
      <c r="BZ468" s="292"/>
      <c r="CA468" s="292"/>
      <c r="CB468" s="292"/>
      <c r="CC468" s="292"/>
      <c r="CD468" s="292"/>
      <c r="CE468" s="292"/>
      <c r="CF468" s="292"/>
      <c r="CG468" s="292"/>
      <c r="CH468" s="292"/>
      <c r="CI468" s="292"/>
      <c r="CJ468" s="292"/>
      <c r="CK468" s="292"/>
      <c r="CL468" s="292"/>
      <c r="CM468" s="292"/>
      <c r="CN468" s="292"/>
      <c r="CO468" s="292"/>
      <c r="CP468" s="292"/>
      <c r="CQ468" s="292"/>
      <c r="CR468" s="292"/>
      <c r="CS468" s="292"/>
      <c r="CT468" s="292"/>
      <c r="CU468" s="292"/>
      <c r="CV468" s="292"/>
      <c r="CW468" s="292"/>
      <c r="CX468" s="159"/>
      <c r="CY468" s="159"/>
      <c r="CZ468" s="159"/>
      <c r="DA468" s="159"/>
      <c r="DB468" s="159"/>
      <c r="DC468" s="159"/>
      <c r="DD468" s="159"/>
      <c r="DF468" s="356"/>
      <c r="DG468" s="360"/>
      <c r="DH468" s="360"/>
      <c r="DI468" s="360"/>
      <c r="DJ468" s="360"/>
      <c r="DK468" s="360"/>
      <c r="DL468" s="360"/>
      <c r="DM468" s="360"/>
      <c r="DN468" s="360"/>
      <c r="DO468" s="360"/>
      <c r="EU468" s="286"/>
      <c r="EV468" s="287"/>
    </row>
    <row r="469" spans="1:152">
      <c r="A469" s="364" t="s">
        <v>198</v>
      </c>
      <c r="B469" s="693"/>
      <c r="C469" s="693"/>
      <c r="D469" s="693"/>
      <c r="E469" s="693"/>
      <c r="F469" s="693"/>
      <c r="G469" s="693"/>
      <c r="H469" s="693"/>
      <c r="I469" s="693"/>
      <c r="J469" s="693"/>
      <c r="K469" s="693"/>
      <c r="L469" s="693"/>
      <c r="M469" s="693"/>
      <c r="N469" s="693"/>
      <c r="O469" s="693"/>
      <c r="P469" s="693"/>
      <c r="Q469" s="693"/>
      <c r="R469" s="693"/>
      <c r="S469" s="693"/>
      <c r="T469" s="693"/>
      <c r="U469" s="693"/>
      <c r="V469" s="693"/>
      <c r="W469" s="693"/>
      <c r="X469" s="693"/>
      <c r="Y469" s="693"/>
      <c r="Z469" s="693"/>
      <c r="AA469" s="693"/>
      <c r="AB469" s="693"/>
      <c r="AC469" s="693"/>
      <c r="AD469" s="693"/>
      <c r="AE469" s="693"/>
      <c r="AF469" s="693"/>
      <c r="AG469" s="693"/>
      <c r="AH469" s="693"/>
      <c r="AI469" s="693"/>
      <c r="AJ469" s="693"/>
      <c r="AK469" s="693"/>
      <c r="AL469" s="693"/>
      <c r="AM469" s="693"/>
      <c r="AN469" s="693"/>
      <c r="AO469" s="693"/>
      <c r="AP469" s="693"/>
      <c r="AQ469" s="693"/>
      <c r="AR469" s="693"/>
      <c r="AS469" s="693"/>
      <c r="AT469" s="693"/>
      <c r="AU469" s="693"/>
      <c r="AV469" s="734">
        <f>'[3]Profit and Loss Highlights'!W$67</f>
        <v>3</v>
      </c>
      <c r="AW469" s="734">
        <f>'[3]Profit and Loss Highlights'!X$67</f>
        <v>95</v>
      </c>
      <c r="AX469" s="734">
        <f>'[3]Profit and Loss Highlights'!Y$67</f>
        <v>2</v>
      </c>
      <c r="AY469" s="734">
        <f>'[3]Profit and Loss Highlights'!Z$67</f>
        <v>9</v>
      </c>
      <c r="AZ469" s="694">
        <f>SUM(AV469:AY469)</f>
        <v>109</v>
      </c>
      <c r="BA469" s="725">
        <f>'[3]Profit and Loss Highlights'!AA$67</f>
        <v>7</v>
      </c>
      <c r="BB469" s="725">
        <f>'[3]Profit and Loss Highlights'!AB$67</f>
        <v>16</v>
      </c>
      <c r="BC469" s="725">
        <f>'[3]Profit and Loss Highlights'!AC$67</f>
        <v>11</v>
      </c>
      <c r="BD469" s="725">
        <f>'[3]Profit and Loss Highlights'!AD$67</f>
        <v>30</v>
      </c>
      <c r="BE469" s="694">
        <f>SUM(BA469:BD469)</f>
        <v>64</v>
      </c>
      <c r="BF469" s="725">
        <f>'[3]Profit and Loss Highlights'!AE$67</f>
        <v>20</v>
      </c>
      <c r="BG469" s="725">
        <f>'[3]Profit and Loss Highlights'!AF$67</f>
        <v>21</v>
      </c>
      <c r="BH469" s="725">
        <f>'[3]Profit and Loss Highlights'!AG$67</f>
        <v>38</v>
      </c>
      <c r="BI469" s="725">
        <f>'[3]Profit and Loss Highlights'!AH$67</f>
        <v>14</v>
      </c>
      <c r="BJ469" s="694">
        <f>SUM(BF469:BI469)</f>
        <v>93</v>
      </c>
      <c r="BK469" s="725">
        <f>'[3]Profit and Loss Highlights'!AI$67</f>
        <v>18</v>
      </c>
      <c r="BL469" s="725">
        <f>'[3]Profit and Loss Highlights'!AJ$67</f>
        <v>19</v>
      </c>
      <c r="BM469" s="725">
        <f>'[3]Profit and Loss Highlights'!AK$67</f>
        <v>24</v>
      </c>
      <c r="BN469" s="725">
        <f>'[3]Profit and Loss Highlights'!AL$67</f>
        <v>26</v>
      </c>
      <c r="BO469" s="694">
        <f>SUM(BK469:BN469)</f>
        <v>87</v>
      </c>
      <c r="BP469" s="725">
        <f>'[3]Profit and Loss Highlights'!AM$67</f>
        <v>16</v>
      </c>
      <c r="BQ469" s="725">
        <f>'[3]Profit and Loss Highlights'!AN$67</f>
        <v>24</v>
      </c>
      <c r="BR469" s="725">
        <f>'[3]Profit and Loss Highlights'!AO$67</f>
        <v>9</v>
      </c>
      <c r="BS469" s="725">
        <f>'[3]Profit and Loss Highlights'!AP$67</f>
        <v>26</v>
      </c>
      <c r="BT469" s="694">
        <f>SUM(BP469:BS469)</f>
        <v>75</v>
      </c>
      <c r="BU469" s="725">
        <f>'[3]Profit and Loss Highlights'!AQ$67</f>
        <v>10</v>
      </c>
      <c r="BV469" s="725">
        <f>'[3]Profit and Loss Highlights'!AR$67</f>
        <v>-3</v>
      </c>
      <c r="BW469" s="725">
        <f>'[3]Profit and Loss Highlights'!AS$67</f>
        <v>-3</v>
      </c>
      <c r="BX469" s="725">
        <f>'[3]Profit and Loss Highlights'!AT$67</f>
        <v>-3</v>
      </c>
      <c r="BY469" s="694">
        <f>SUM(BU469:BX469)</f>
        <v>1</v>
      </c>
      <c r="BZ469" s="725">
        <f>'[3]Profit and Loss Highlights'!AU$67</f>
        <v>0</v>
      </c>
      <c r="CA469" s="725">
        <f>'[3]Profit and Loss Highlights'!AV$67</f>
        <v>-3</v>
      </c>
      <c r="CB469" s="725">
        <f>'[3]Profit and Loss Highlights'!AW$67</f>
        <v>-5</v>
      </c>
      <c r="CC469" s="725">
        <f>'[3]Profit and Loss Highlights'!AX$67</f>
        <v>-159</v>
      </c>
      <c r="CD469" s="694">
        <f>SUM(BZ469:CC469)</f>
        <v>-167</v>
      </c>
      <c r="CE469" s="725">
        <f>'[3]Profit and Loss Highlights'!AY$67</f>
        <v>-1</v>
      </c>
      <c r="CF469" s="725">
        <f>'[3]Profit and Loss Highlights'!AZ$67</f>
        <v>-12</v>
      </c>
      <c r="CG469" s="725">
        <f>'[3]Profit and Loss Highlights'!BA$67</f>
        <v>-8</v>
      </c>
      <c r="CH469" s="725">
        <f>'[3]Profit and Loss Highlights'!BB$67</f>
        <v>3</v>
      </c>
      <c r="CI469" s="694">
        <f>SUM(CE469:CH469)</f>
        <v>-18</v>
      </c>
      <c r="CJ469" s="725">
        <f>'[3]Profit and Loss Highlights'!BC$67</f>
        <v>-3</v>
      </c>
      <c r="CK469" s="725">
        <f>'[3]Profit and Loss Highlights'!BD$67</f>
        <v>-1</v>
      </c>
      <c r="CL469" s="725">
        <f>'[3]Profit and Loss Highlights'!BE$67</f>
        <v>-3</v>
      </c>
      <c r="CM469" s="725">
        <f>'[3]Profit and Loss Highlights'!BF$67</f>
        <v>11</v>
      </c>
      <c r="CN469" s="694">
        <f>SUM(CJ469:CM469)</f>
        <v>4</v>
      </c>
      <c r="CO469" s="725">
        <f>'[3]Profit and Loss Highlights'!BG$67</f>
        <v>3</v>
      </c>
      <c r="CP469" s="725">
        <f>'[3]Profit and Loss Highlights'!BH$67</f>
        <v>3</v>
      </c>
      <c r="CQ469" s="693"/>
      <c r="CR469" s="693"/>
      <c r="CS469" s="693"/>
      <c r="CT469" s="693"/>
      <c r="CU469" s="693"/>
      <c r="CV469" s="693"/>
      <c r="CW469" s="693"/>
      <c r="CX469" s="159"/>
      <c r="CY469" s="159"/>
      <c r="CZ469" s="159"/>
      <c r="DA469" s="159"/>
      <c r="DB469" s="159"/>
      <c r="DC469" s="159"/>
      <c r="DD469" s="159"/>
      <c r="DF469" s="356"/>
      <c r="DG469" s="360"/>
      <c r="DH469" s="360"/>
      <c r="DI469" s="360"/>
      <c r="DJ469" s="360"/>
      <c r="DK469" s="360"/>
      <c r="DL469" s="360"/>
      <c r="DM469" s="360"/>
      <c r="DN469" s="360"/>
      <c r="DO469" s="360"/>
      <c r="EU469" s="286"/>
      <c r="EV469" s="287"/>
    </row>
    <row r="470" spans="1:152">
      <c r="A470" s="364"/>
      <c r="B470" s="693"/>
      <c r="C470" s="693"/>
      <c r="D470" s="693"/>
      <c r="E470" s="693"/>
      <c r="F470" s="693"/>
      <c r="G470" s="693"/>
      <c r="H470" s="693"/>
      <c r="I470" s="693"/>
      <c r="J470" s="693"/>
      <c r="K470" s="693"/>
      <c r="L470" s="693"/>
      <c r="M470" s="693"/>
      <c r="N470" s="693"/>
      <c r="O470" s="693"/>
      <c r="P470" s="693"/>
      <c r="Q470" s="693"/>
      <c r="R470" s="693"/>
      <c r="S470" s="693"/>
      <c r="T470" s="693"/>
      <c r="U470" s="693"/>
      <c r="V470" s="693"/>
      <c r="W470" s="693"/>
      <c r="X470" s="693"/>
      <c r="Y470" s="693"/>
      <c r="Z470" s="693"/>
      <c r="AA470" s="693"/>
      <c r="AB470" s="693"/>
      <c r="AC470" s="693"/>
      <c r="AD470" s="693"/>
      <c r="AE470" s="693"/>
      <c r="AF470" s="693"/>
      <c r="AG470" s="693"/>
      <c r="AH470" s="693"/>
      <c r="AI470" s="693"/>
      <c r="AJ470" s="693"/>
      <c r="AK470" s="693"/>
      <c r="AL470" s="693"/>
      <c r="AM470" s="693"/>
      <c r="AN470" s="693"/>
      <c r="AO470" s="693"/>
      <c r="AP470" s="693"/>
      <c r="AQ470" s="693"/>
      <c r="AR470" s="693"/>
      <c r="AS470" s="693"/>
      <c r="AT470" s="693"/>
      <c r="AU470" s="693"/>
      <c r="AV470" s="693"/>
      <c r="AW470" s="693"/>
      <c r="AX470" s="693"/>
      <c r="AY470" s="693"/>
      <c r="AZ470" s="693"/>
      <c r="BA470" s="693"/>
      <c r="BB470" s="693"/>
      <c r="BC470" s="693"/>
      <c r="BD470" s="693"/>
      <c r="BE470" s="693"/>
      <c r="BF470" s="693"/>
      <c r="BG470" s="693"/>
      <c r="BH470" s="693"/>
      <c r="BI470" s="693"/>
      <c r="BJ470" s="693"/>
      <c r="BK470" s="693"/>
      <c r="BL470" s="693"/>
      <c r="BM470" s="693"/>
      <c r="BN470" s="693"/>
      <c r="BO470" s="693"/>
      <c r="BP470" s="693"/>
      <c r="BQ470" s="693"/>
      <c r="BR470" s="693"/>
      <c r="BS470" s="693"/>
      <c r="BT470" s="693"/>
      <c r="BU470" s="693"/>
      <c r="BV470" s="693"/>
      <c r="BW470" s="693"/>
      <c r="BX470" s="693"/>
      <c r="BY470" s="693"/>
      <c r="BZ470" s="693"/>
      <c r="CA470" s="693"/>
      <c r="CB470" s="693"/>
      <c r="CC470" s="693"/>
      <c r="CD470" s="693"/>
      <c r="CE470" s="693"/>
      <c r="CF470" s="693"/>
      <c r="CG470" s="693"/>
      <c r="CH470" s="693"/>
      <c r="CI470" s="693"/>
      <c r="CJ470" s="693"/>
      <c r="CK470" s="693"/>
      <c r="CL470" s="693"/>
      <c r="CM470" s="693"/>
      <c r="CN470" s="693"/>
      <c r="CO470" s="693"/>
      <c r="CP470" s="693"/>
      <c r="CQ470" s="693"/>
      <c r="CR470" s="693"/>
      <c r="CS470" s="693"/>
      <c r="CT470" s="693"/>
      <c r="CU470" s="693"/>
      <c r="CV470" s="693"/>
      <c r="CW470" s="693"/>
      <c r="CX470" s="159"/>
      <c r="CY470" s="159"/>
      <c r="CZ470" s="159"/>
      <c r="DA470" s="159"/>
      <c r="DB470" s="159"/>
      <c r="DC470" s="159"/>
      <c r="DD470" s="159"/>
      <c r="DF470" s="356"/>
      <c r="DG470" s="360"/>
      <c r="DH470" s="360"/>
      <c r="DI470" s="360"/>
      <c r="DJ470" s="360"/>
      <c r="DK470" s="360"/>
      <c r="DL470" s="360"/>
      <c r="DM470" s="360"/>
      <c r="DN470" s="360"/>
      <c r="DO470" s="360"/>
      <c r="EU470" s="286"/>
      <c r="EV470" s="287"/>
    </row>
    <row r="471" spans="1:152">
      <c r="A471" s="283" t="s">
        <v>75</v>
      </c>
      <c r="B471" s="700">
        <f>B453-B463-B464</f>
        <v>2696</v>
      </c>
      <c r="C471" s="700"/>
      <c r="D471" s="700"/>
      <c r="E471" s="700"/>
      <c r="F471" s="700"/>
      <c r="G471" s="700">
        <f t="shared" ref="G471:AL471" si="1651">G453-G463-G464</f>
        <v>3210.0000000000009</v>
      </c>
      <c r="H471" s="700">
        <f t="shared" si="1651"/>
        <v>1071</v>
      </c>
      <c r="I471" s="700">
        <f t="shared" si="1651"/>
        <v>1075.2475247524753</v>
      </c>
      <c r="J471" s="700">
        <f t="shared" si="1651"/>
        <v>808</v>
      </c>
      <c r="K471" s="700">
        <f t="shared" si="1651"/>
        <v>825</v>
      </c>
      <c r="L471" s="700">
        <f t="shared" si="1651"/>
        <v>3055</v>
      </c>
      <c r="M471" s="700">
        <f t="shared" si="1651"/>
        <v>815</v>
      </c>
      <c r="N471" s="700">
        <f t="shared" si="1651"/>
        <v>775</v>
      </c>
      <c r="O471" s="700">
        <f t="shared" si="1651"/>
        <v>866</v>
      </c>
      <c r="P471" s="700">
        <f t="shared" si="1651"/>
        <v>887</v>
      </c>
      <c r="Q471" s="700">
        <f t="shared" si="1651"/>
        <v>3343</v>
      </c>
      <c r="R471" s="700">
        <f t="shared" si="1651"/>
        <v>805</v>
      </c>
      <c r="S471" s="700">
        <f t="shared" si="1651"/>
        <v>818</v>
      </c>
      <c r="T471" s="700">
        <f t="shared" si="1651"/>
        <v>814</v>
      </c>
      <c r="U471" s="700">
        <f t="shared" si="1651"/>
        <v>795</v>
      </c>
      <c r="V471" s="700">
        <f t="shared" si="1651"/>
        <v>3232</v>
      </c>
      <c r="W471" s="700">
        <f t="shared" si="1651"/>
        <v>838</v>
      </c>
      <c r="X471" s="700">
        <f t="shared" si="1651"/>
        <v>817</v>
      </c>
      <c r="Y471" s="700">
        <f t="shared" si="1651"/>
        <v>766</v>
      </c>
      <c r="Z471" s="700">
        <f t="shared" si="1651"/>
        <v>576</v>
      </c>
      <c r="AA471" s="700">
        <f t="shared" si="1651"/>
        <v>2997</v>
      </c>
      <c r="AB471" s="700">
        <f t="shared" si="1651"/>
        <v>752</v>
      </c>
      <c r="AC471" s="700">
        <f t="shared" si="1651"/>
        <v>825</v>
      </c>
      <c r="AD471" s="700">
        <f t="shared" si="1651"/>
        <v>851</v>
      </c>
      <c r="AE471" s="700">
        <f t="shared" si="1651"/>
        <v>728</v>
      </c>
      <c r="AF471" s="700">
        <f t="shared" si="1651"/>
        <v>3156</v>
      </c>
      <c r="AG471" s="700">
        <f t="shared" si="1651"/>
        <v>375.74600000000009</v>
      </c>
      <c r="AH471" s="700">
        <f t="shared" si="1651"/>
        <v>316.66600000000005</v>
      </c>
      <c r="AI471" s="700">
        <f t="shared" si="1651"/>
        <v>326.53999999999996</v>
      </c>
      <c r="AJ471" s="700">
        <f t="shared" si="1651"/>
        <v>262.34400000000005</v>
      </c>
      <c r="AK471" s="700">
        <f t="shared" si="1651"/>
        <v>2685.3305194230634</v>
      </c>
      <c r="AL471" s="700">
        <f t="shared" si="1651"/>
        <v>408.46800000000007</v>
      </c>
      <c r="AM471" s="700">
        <f t="shared" ref="AM471:BD471" si="1652">AM453-AM463-AM464</f>
        <v>340.88</v>
      </c>
      <c r="AN471" s="700">
        <f t="shared" si="1652"/>
        <v>371</v>
      </c>
      <c r="AO471" s="700">
        <f t="shared" si="1652"/>
        <v>338</v>
      </c>
      <c r="AP471" s="700">
        <f t="shared" si="1652"/>
        <v>3156</v>
      </c>
      <c r="AQ471" s="700">
        <f t="shared" si="1652"/>
        <v>801</v>
      </c>
      <c r="AR471" s="700">
        <f t="shared" si="1652"/>
        <v>671</v>
      </c>
      <c r="AS471" s="700">
        <f t="shared" si="1652"/>
        <v>796</v>
      </c>
      <c r="AT471" s="700">
        <f t="shared" si="1652"/>
        <v>841</v>
      </c>
      <c r="AU471" s="700">
        <f t="shared" si="1652"/>
        <v>3109</v>
      </c>
      <c r="AV471" s="700">
        <f t="shared" si="1652"/>
        <v>685</v>
      </c>
      <c r="AW471" s="700">
        <f t="shared" si="1652"/>
        <v>670</v>
      </c>
      <c r="AX471" s="700">
        <f t="shared" si="1652"/>
        <v>757</v>
      </c>
      <c r="AY471" s="700">
        <f t="shared" si="1652"/>
        <v>663</v>
      </c>
      <c r="AZ471" s="700">
        <f t="shared" si="1652"/>
        <v>2775</v>
      </c>
      <c r="BA471" s="700">
        <f t="shared" si="1652"/>
        <v>785</v>
      </c>
      <c r="BB471" s="700">
        <f t="shared" si="1652"/>
        <v>739</v>
      </c>
      <c r="BC471" s="700">
        <f t="shared" si="1652"/>
        <v>787</v>
      </c>
      <c r="BD471" s="700">
        <f t="shared" si="1652"/>
        <v>464</v>
      </c>
      <c r="BE471" s="700">
        <f>BE451-BE463-BE464-BE469</f>
        <v>2685</v>
      </c>
      <c r="BF471" s="700">
        <f>BF453-BF463-BF464</f>
        <v>668</v>
      </c>
      <c r="BG471" s="700">
        <f>BG453-BG463-BG464</f>
        <v>662</v>
      </c>
      <c r="BH471" s="700">
        <f>BH453-BH463-BH464</f>
        <v>630</v>
      </c>
      <c r="BI471" s="700">
        <f>BI453-BI463-BI464</f>
        <v>587</v>
      </c>
      <c r="BJ471" s="700">
        <f>BJ451-BJ463-BJ464</f>
        <v>2512</v>
      </c>
      <c r="BK471" s="700">
        <f>BK453-BK463-BK464</f>
        <v>597</v>
      </c>
      <c r="BL471" s="700">
        <f>BL453-BL463-BL464</f>
        <v>572</v>
      </c>
      <c r="BM471" s="700">
        <f>BM453-BM463-BM464</f>
        <v>612</v>
      </c>
      <c r="BN471" s="700">
        <f>BN453-BN463-BN464</f>
        <v>558</v>
      </c>
      <c r="BO471" s="700">
        <f>BO451-BO463-BO464</f>
        <v>2284</v>
      </c>
      <c r="BP471" s="700">
        <f>BP451-BP463-BP464-BP469</f>
        <v>538</v>
      </c>
      <c r="BQ471" s="700">
        <f>BQ451-BQ463-BQ464-BQ469</f>
        <v>548</v>
      </c>
      <c r="BR471" s="700">
        <f>BR451-BR463-BR464-BR469</f>
        <v>525</v>
      </c>
      <c r="BS471" s="700">
        <f>BS451-BS463-BS464-BS469</f>
        <v>471</v>
      </c>
      <c r="BT471" s="700">
        <f>BT451-BT463-BT464-BT469</f>
        <v>2082</v>
      </c>
      <c r="BU471" s="700">
        <f t="shared" ref="BU471:CW471" si="1653">BU451-BU463-BU464+BU469</f>
        <v>520</v>
      </c>
      <c r="BV471" s="700">
        <f t="shared" si="1653"/>
        <v>597</v>
      </c>
      <c r="BW471" s="700">
        <f t="shared" si="1653"/>
        <v>574</v>
      </c>
      <c r="BX471" s="700">
        <f t="shared" si="1653"/>
        <v>518</v>
      </c>
      <c r="BY471" s="700">
        <f t="shared" si="1653"/>
        <v>2209</v>
      </c>
      <c r="BZ471" s="700">
        <f t="shared" si="1653"/>
        <v>541</v>
      </c>
      <c r="CA471" s="700">
        <f t="shared" si="1653"/>
        <v>568</v>
      </c>
      <c r="CB471" s="700">
        <f t="shared" si="1653"/>
        <v>492</v>
      </c>
      <c r="CC471" s="700">
        <f t="shared" si="1653"/>
        <v>289</v>
      </c>
      <c r="CD471" s="700">
        <f t="shared" si="1653"/>
        <v>1890</v>
      </c>
      <c r="CE471" s="700">
        <f t="shared" si="1653"/>
        <v>595</v>
      </c>
      <c r="CF471" s="700">
        <f t="shared" si="1653"/>
        <v>595</v>
      </c>
      <c r="CG471" s="700">
        <f t="shared" si="1653"/>
        <v>597</v>
      </c>
      <c r="CH471" s="700">
        <f t="shared" si="1653"/>
        <v>537</v>
      </c>
      <c r="CI471" s="700">
        <f t="shared" si="1653"/>
        <v>2324</v>
      </c>
      <c r="CJ471" s="700">
        <f t="shared" si="1653"/>
        <v>611</v>
      </c>
      <c r="CK471" s="700">
        <f t="shared" si="1653"/>
        <v>647</v>
      </c>
      <c r="CL471" s="700">
        <f t="shared" ref="CL471:CP471" si="1654">CL451-CL463-CL464+CL469</f>
        <v>651</v>
      </c>
      <c r="CM471" s="700">
        <f t="shared" si="1654"/>
        <v>612</v>
      </c>
      <c r="CN471" s="700">
        <f t="shared" si="1654"/>
        <v>2521</v>
      </c>
      <c r="CO471" s="700">
        <f t="shared" si="1654"/>
        <v>669</v>
      </c>
      <c r="CP471" s="700">
        <f t="shared" si="1654"/>
        <v>697</v>
      </c>
      <c r="CQ471" s="700">
        <f t="shared" si="1653"/>
        <v>2808.9732718038576</v>
      </c>
      <c r="CR471" s="700">
        <f t="shared" si="1653"/>
        <v>2936.5606269771351</v>
      </c>
      <c r="CS471" s="700">
        <f t="shared" si="1653"/>
        <v>3056.3849942727456</v>
      </c>
      <c r="CT471" s="700">
        <f t="shared" si="1653"/>
        <v>3189.161915731187</v>
      </c>
      <c r="CU471" s="700">
        <f t="shared" si="1653"/>
        <v>3336.7783165555588</v>
      </c>
      <c r="CV471" s="700">
        <f t="shared" si="1653"/>
        <v>3476.252114967509</v>
      </c>
      <c r="CW471" s="700">
        <f t="shared" si="1653"/>
        <v>3647.3440844747279</v>
      </c>
      <c r="CX471" s="159"/>
      <c r="CY471" s="159"/>
      <c r="CZ471" s="159"/>
      <c r="DA471" s="159"/>
      <c r="DB471" s="159"/>
      <c r="DC471" s="159"/>
      <c r="DD471" s="159"/>
      <c r="DF471" s="226"/>
      <c r="DG471" s="365"/>
      <c r="DH471" s="365"/>
      <c r="DI471" s="365"/>
      <c r="DJ471" s="365"/>
      <c r="DK471" s="365"/>
      <c r="DL471" s="365"/>
      <c r="DM471" s="365"/>
      <c r="DN471" s="365"/>
      <c r="DO471" s="365"/>
      <c r="EU471" s="286"/>
      <c r="EV471" s="287"/>
    </row>
    <row r="472" spans="1:152">
      <c r="A472" s="226" t="s">
        <v>712</v>
      </c>
      <c r="B472" s="160">
        <f>B471/B$432</f>
        <v>0.35058517555266577</v>
      </c>
      <c r="C472" s="160" t="e">
        <f t="shared" ref="C472:BN472" si="1655">C471/C$432</f>
        <v>#DIV/0!</v>
      </c>
      <c r="D472" s="160" t="e">
        <f t="shared" si="1655"/>
        <v>#DIV/0!</v>
      </c>
      <c r="E472" s="160" t="e">
        <f t="shared" si="1655"/>
        <v>#DIV/0!</v>
      </c>
      <c r="F472" s="160">
        <f t="shared" si="1655"/>
        <v>0</v>
      </c>
      <c r="G472" s="160">
        <f t="shared" si="1655"/>
        <v>0.37988615249884627</v>
      </c>
      <c r="H472" s="160">
        <f t="shared" si="1655"/>
        <v>0.50305307656176612</v>
      </c>
      <c r="I472" s="160">
        <f t="shared" si="1655"/>
        <v>0.50815100413633052</v>
      </c>
      <c r="J472" s="160">
        <f t="shared" si="1655"/>
        <v>0.37476808905380332</v>
      </c>
      <c r="K472" s="160">
        <f t="shared" si="1655"/>
        <v>0.37313432835820898</v>
      </c>
      <c r="L472" s="160">
        <f t="shared" si="1655"/>
        <v>0.35473757547607987</v>
      </c>
      <c r="M472" s="160">
        <f t="shared" si="1655"/>
        <v>0.37871747211895912</v>
      </c>
      <c r="N472" s="160">
        <f t="shared" si="1655"/>
        <v>0.35371976266544958</v>
      </c>
      <c r="O472" s="160">
        <f t="shared" si="1655"/>
        <v>0.3907942238267148</v>
      </c>
      <c r="P472" s="160">
        <f t="shared" si="1655"/>
        <v>0.38398268398268398</v>
      </c>
      <c r="Q472" s="160">
        <f t="shared" si="1655"/>
        <v>0.37693088285037774</v>
      </c>
      <c r="R472" s="160">
        <f t="shared" si="1655"/>
        <v>0.37740271917487106</v>
      </c>
      <c r="S472" s="160">
        <f t="shared" si="1655"/>
        <v>0.37905468025949951</v>
      </c>
      <c r="T472" s="160">
        <f t="shared" si="1655"/>
        <v>0.36274509803921567</v>
      </c>
      <c r="U472" s="160">
        <f t="shared" si="1655"/>
        <v>0.35364768683274023</v>
      </c>
      <c r="V472" s="160">
        <f t="shared" si="1655"/>
        <v>0.3679836046908801</v>
      </c>
      <c r="W472" s="160">
        <f t="shared" si="1655"/>
        <v>0.39250585480093675</v>
      </c>
      <c r="X472" s="160">
        <f t="shared" si="1655"/>
        <v>0.36752136752136755</v>
      </c>
      <c r="Y472" s="160">
        <f t="shared" si="1655"/>
        <v>0.34566787003610111</v>
      </c>
      <c r="Z472" s="160">
        <f t="shared" si="1655"/>
        <v>0.24978317432784042</v>
      </c>
      <c r="AA472" s="160">
        <f t="shared" si="1655"/>
        <v>0.33750000000000002</v>
      </c>
      <c r="AB472" s="160">
        <f t="shared" si="1655"/>
        <v>0.32316287064890414</v>
      </c>
      <c r="AC472" s="160">
        <f t="shared" si="1655"/>
        <v>0.35947712418300654</v>
      </c>
      <c r="AD472" s="160">
        <f t="shared" si="1655"/>
        <v>0.38008039303260382</v>
      </c>
      <c r="AE472" s="160">
        <f t="shared" si="1655"/>
        <v>0.3273381294964029</v>
      </c>
      <c r="AF472" s="160">
        <f t="shared" si="1655"/>
        <v>0.34956468342243763</v>
      </c>
      <c r="AG472" s="160">
        <f t="shared" si="1655"/>
        <v>0.17732232184992924</v>
      </c>
      <c r="AH472" s="160">
        <f t="shared" si="1655"/>
        <v>0.15209702209414028</v>
      </c>
      <c r="AI472" s="160">
        <f t="shared" si="1655"/>
        <v>0.15813075060532686</v>
      </c>
      <c r="AJ472" s="160">
        <f t="shared" si="1655"/>
        <v>0.12357230334432409</v>
      </c>
      <c r="AK472" s="160">
        <f t="shared" si="1655"/>
        <v>0.31953004752773245</v>
      </c>
      <c r="AL472" s="160">
        <f t="shared" si="1655"/>
        <v>0.1900735225686366</v>
      </c>
      <c r="AM472" s="160">
        <f t="shared" si="1655"/>
        <v>0.16155450236966826</v>
      </c>
      <c r="AN472" s="160">
        <f t="shared" si="1655"/>
        <v>0.17128347183748846</v>
      </c>
      <c r="AO472" s="160">
        <f t="shared" si="1655"/>
        <v>0.15533088235294118</v>
      </c>
      <c r="AP472" s="160">
        <f t="shared" si="1655"/>
        <v>0.36693407743285666</v>
      </c>
      <c r="AQ472" s="160">
        <f t="shared" si="1655"/>
        <v>0.37429906542056074</v>
      </c>
      <c r="AR472" s="160">
        <f t="shared" si="1655"/>
        <v>0.31921979067554712</v>
      </c>
      <c r="AS472" s="160">
        <f t="shared" si="1655"/>
        <v>0.36920222634508348</v>
      </c>
      <c r="AT472" s="160">
        <f t="shared" si="1655"/>
        <v>0.37985546522131886</v>
      </c>
      <c r="AU472" s="160">
        <f t="shared" si="1655"/>
        <v>0.3610078959591268</v>
      </c>
      <c r="AV472" s="160">
        <f t="shared" si="1655"/>
        <v>0.28842105263157897</v>
      </c>
      <c r="AW472" s="160">
        <f t="shared" si="1655"/>
        <v>0.28693790149892934</v>
      </c>
      <c r="AX472" s="160">
        <f t="shared" si="1655"/>
        <v>0.32447492498928421</v>
      </c>
      <c r="AY472" s="160">
        <f t="shared" si="1655"/>
        <v>0.27904040404040403</v>
      </c>
      <c r="AZ472" s="160">
        <f t="shared" si="1655"/>
        <v>0.2946172629790848</v>
      </c>
      <c r="BA472" s="160">
        <f t="shared" si="1655"/>
        <v>0.35091640590075995</v>
      </c>
      <c r="BB472" s="160">
        <f t="shared" si="1655"/>
        <v>0.3290293855743544</v>
      </c>
      <c r="BC472" s="160">
        <f t="shared" si="1655"/>
        <v>0.34761484098939932</v>
      </c>
      <c r="BD472" s="160">
        <f t="shared" si="1655"/>
        <v>0.18977505112474438</v>
      </c>
      <c r="BE472" s="160">
        <f t="shared" si="1655"/>
        <v>0.29210182767624021</v>
      </c>
      <c r="BF472" s="160">
        <f t="shared" si="1655"/>
        <v>0.29928315412186379</v>
      </c>
      <c r="BG472" s="160">
        <f t="shared" si="1655"/>
        <v>0.30009066183136901</v>
      </c>
      <c r="BH472" s="160">
        <f t="shared" si="1655"/>
        <v>0.27571115973741794</v>
      </c>
      <c r="BI472" s="160">
        <f t="shared" si="1655"/>
        <v>0.22664092664092664</v>
      </c>
      <c r="BJ472" s="160">
        <f t="shared" si="1655"/>
        <v>0.26973048426930096</v>
      </c>
      <c r="BK472" s="160">
        <f t="shared" si="1655"/>
        <v>0.25501922255446391</v>
      </c>
      <c r="BL472" s="160">
        <f t="shared" si="1655"/>
        <v>0.26592282659228267</v>
      </c>
      <c r="BM472" s="160">
        <f t="shared" si="1655"/>
        <v>0.27654767284229553</v>
      </c>
      <c r="BN472" s="160">
        <f t="shared" si="1655"/>
        <v>0.24679345422379478</v>
      </c>
      <c r="BO472" s="160">
        <f t="shared" ref="BO472:CW472" si="1656">BO471/BO$432</f>
        <v>0.25474012937764889</v>
      </c>
      <c r="BP472" s="160">
        <f t="shared" si="1656"/>
        <v>0.24017857142857144</v>
      </c>
      <c r="BQ472" s="160">
        <f t="shared" si="1656"/>
        <v>0.24098504837291118</v>
      </c>
      <c r="BR472" s="160">
        <f t="shared" si="1656"/>
        <v>0.23117569352708059</v>
      </c>
      <c r="BS472" s="160">
        <f t="shared" si="1656"/>
        <v>0.19177524429967427</v>
      </c>
      <c r="BT472" s="160">
        <f t="shared" si="1656"/>
        <v>0.22530029217617142</v>
      </c>
      <c r="BU472" s="160">
        <f t="shared" si="1656"/>
        <v>0.21612635078969245</v>
      </c>
      <c r="BV472" s="160">
        <f t="shared" si="1656"/>
        <v>0.24628712871287128</v>
      </c>
      <c r="BW472" s="160">
        <f t="shared" si="1656"/>
        <v>0.23866943866943868</v>
      </c>
      <c r="BX472" s="160">
        <f t="shared" si="1656"/>
        <v>0.20281910728269381</v>
      </c>
      <c r="BY472" s="160">
        <f t="shared" si="1656"/>
        <v>0.22566145673715396</v>
      </c>
      <c r="BZ472" s="160">
        <f t="shared" si="1656"/>
        <v>0.21417260490894696</v>
      </c>
      <c r="CA472" s="160">
        <f t="shared" ref="CA472:CB472" si="1657">CA471/CA$432</f>
        <v>0.22995951417004049</v>
      </c>
      <c r="CB472" s="160">
        <f t="shared" si="1657"/>
        <v>0.20147420147420148</v>
      </c>
      <c r="CC472" s="160">
        <f t="shared" ref="CC472:CE472" si="1658">CC471/CC$432</f>
        <v>0.10539752005835157</v>
      </c>
      <c r="CD472" s="160">
        <f t="shared" si="1656"/>
        <v>0.1856581532416503</v>
      </c>
      <c r="CE472" s="160">
        <f t="shared" si="1658"/>
        <v>0.228582404917403</v>
      </c>
      <c r="CF472" s="160">
        <f t="shared" ref="CF472:CG472" si="1659">CF471/CF$432</f>
        <v>0.23008507347254448</v>
      </c>
      <c r="CG472" s="160">
        <f t="shared" si="1659"/>
        <v>0.23175465838509315</v>
      </c>
      <c r="CH472" s="160">
        <f t="shared" ref="CH472:CJ472" si="1660">CH471/CH$432</f>
        <v>0.19379285456513895</v>
      </c>
      <c r="CI472" s="160">
        <f t="shared" si="1660"/>
        <v>0.22057706909643129</v>
      </c>
      <c r="CJ472" s="160">
        <f t="shared" si="1660"/>
        <v>0.23427914110429449</v>
      </c>
      <c r="CK472" s="160">
        <f t="shared" ref="CK472:CL472" si="1661">CK471/CK$432</f>
        <v>0.25253708040593287</v>
      </c>
      <c r="CL472" s="160">
        <f t="shared" si="1661"/>
        <v>0.25144843568945541</v>
      </c>
      <c r="CM472" s="160">
        <f t="shared" ref="CM472:CP472" si="1662">CM471/CM$432</f>
        <v>0.21279554937413073</v>
      </c>
      <c r="CN472" s="160">
        <f t="shared" si="1662"/>
        <v>0.23704748472026327</v>
      </c>
      <c r="CO472" s="160">
        <f t="shared" si="1662"/>
        <v>0.24496521420725009</v>
      </c>
      <c r="CP472" s="160">
        <f t="shared" si="1662"/>
        <v>0.26242469879518071</v>
      </c>
      <c r="CQ472" s="160">
        <f t="shared" si="1656"/>
        <v>0.25663062806772008</v>
      </c>
      <c r="CR472" s="160">
        <f t="shared" si="1656"/>
        <v>0.26179436956582025</v>
      </c>
      <c r="CS472" s="160">
        <f t="shared" si="1656"/>
        <v>0.26596608850060838</v>
      </c>
      <c r="CT472" s="160">
        <f t="shared" si="1656"/>
        <v>0.27069218524251892</v>
      </c>
      <c r="CU472" s="160">
        <f t="shared" si="1656"/>
        <v>0.27662626766494425</v>
      </c>
      <c r="CV472" s="160">
        <f t="shared" si="1656"/>
        <v>0.28153852921014116</v>
      </c>
      <c r="CW472" s="160">
        <f t="shared" si="1656"/>
        <v>0.28862704108350618</v>
      </c>
      <c r="CX472" s="159"/>
      <c r="CY472" s="159"/>
      <c r="CZ472" s="159"/>
      <c r="DA472" s="159"/>
      <c r="DB472" s="159"/>
      <c r="DC472" s="159"/>
      <c r="DD472" s="159"/>
      <c r="DF472" s="226"/>
      <c r="DG472" s="365"/>
      <c r="DH472" s="365"/>
      <c r="DI472" s="365"/>
      <c r="DJ472" s="365"/>
      <c r="DK472" s="365"/>
      <c r="DL472" s="365"/>
      <c r="DM472" s="365"/>
      <c r="DN472" s="365"/>
      <c r="DO472" s="365"/>
      <c r="EU472" s="286"/>
      <c r="EV472" s="287"/>
    </row>
    <row r="473" spans="1:152">
      <c r="A473" s="226" t="s">
        <v>86</v>
      </c>
      <c r="B473" s="160">
        <f>B471/(B432-B384)</f>
        <v>0.43093471914437076</v>
      </c>
      <c r="C473" s="160"/>
      <c r="D473" s="160"/>
      <c r="E473" s="160"/>
      <c r="F473" s="160"/>
      <c r="G473" s="160">
        <f t="shared" ref="G473:AL473" si="1663">G471/(G432-G384)</f>
        <v>0.40656669503210313</v>
      </c>
      <c r="H473" s="160">
        <f t="shared" si="1663"/>
        <v>0.51864195806661129</v>
      </c>
      <c r="I473" s="160">
        <f t="shared" si="1663"/>
        <v>0.52200049632153278</v>
      </c>
      <c r="J473" s="160">
        <f t="shared" si="1663"/>
        <v>0.38692588913462289</v>
      </c>
      <c r="K473" s="160">
        <f t="shared" si="1663"/>
        <v>0.38949174867631819</v>
      </c>
      <c r="L473" s="160">
        <f t="shared" si="1663"/>
        <v>0.36038072459988735</v>
      </c>
      <c r="M473" s="160">
        <f t="shared" si="1663"/>
        <v>0.39228030858742508</v>
      </c>
      <c r="N473" s="160">
        <f t="shared" si="1663"/>
        <v>0.36675227374579006</v>
      </c>
      <c r="O473" s="160">
        <f t="shared" si="1663"/>
        <v>0.4122914262426825</v>
      </c>
      <c r="P473" s="160">
        <f t="shared" si="1663"/>
        <v>0.40730924943283214</v>
      </c>
      <c r="Q473" s="160">
        <f t="shared" si="1663"/>
        <v>0.38777538954433194</v>
      </c>
      <c r="R473" s="160">
        <f t="shared" si="1663"/>
        <v>0.39130296352448768</v>
      </c>
      <c r="S473" s="160">
        <f t="shared" si="1663"/>
        <v>0.40222779123590879</v>
      </c>
      <c r="T473" s="160">
        <f t="shared" si="1663"/>
        <v>0.37996758605752357</v>
      </c>
      <c r="U473" s="160">
        <f t="shared" si="1663"/>
        <v>0.37191468698116148</v>
      </c>
      <c r="V473" s="160">
        <f t="shared" si="1663"/>
        <v>0.37303923560197816</v>
      </c>
      <c r="W473" s="160">
        <f t="shared" si="1663"/>
        <v>0.39398213446168312</v>
      </c>
      <c r="X473" s="160">
        <f t="shared" si="1663"/>
        <v>0.36501731263263709</v>
      </c>
      <c r="Y473" s="160">
        <f t="shared" si="1663"/>
        <v>0.35913881699861216</v>
      </c>
      <c r="Z473" s="160">
        <f t="shared" si="1663"/>
        <v>0.26033757105046212</v>
      </c>
      <c r="AA473" s="160">
        <f t="shared" si="1663"/>
        <v>0.34406189578219376</v>
      </c>
      <c r="AB473" s="160">
        <f t="shared" si="1663"/>
        <v>0.34047747438156023</v>
      </c>
      <c r="AC473" s="160">
        <f t="shared" si="1663"/>
        <v>0.38112907525151052</v>
      </c>
      <c r="AD473" s="160">
        <f t="shared" si="1663"/>
        <v>0.39799980544310332</v>
      </c>
      <c r="AE473" s="160">
        <f t="shared" si="1663"/>
        <v>0.3435921711957432</v>
      </c>
      <c r="AF473" s="160">
        <f t="shared" si="1663"/>
        <v>0.36568972895044849</v>
      </c>
      <c r="AG473" s="160">
        <f t="shared" si="1663"/>
        <v>0.18771907036230295</v>
      </c>
      <c r="AH473" s="160">
        <f t="shared" si="1663"/>
        <v>0.1581570502815618</v>
      </c>
      <c r="AI473" s="160">
        <f t="shared" si="1663"/>
        <v>0.16490253509746489</v>
      </c>
      <c r="AJ473" s="160">
        <f t="shared" si="1663"/>
        <v>0.12894131524624008</v>
      </c>
      <c r="AK473" s="160">
        <f t="shared" si="1663"/>
        <v>0.33488498639400244</v>
      </c>
      <c r="AL473" s="160">
        <f t="shared" si="1663"/>
        <v>0.20276839007652692</v>
      </c>
      <c r="AM473" s="160">
        <f t="shared" ref="AM473:BR473" si="1664">AM471/(AM432-AM384)</f>
        <v>0.17075636886240983</v>
      </c>
      <c r="AN473" s="160">
        <f t="shared" si="1664"/>
        <v>0.18019711427192717</v>
      </c>
      <c r="AO473" s="160">
        <f t="shared" si="1664"/>
        <v>0.16373589110109962</v>
      </c>
      <c r="AP473" s="160">
        <f t="shared" si="1664"/>
        <v>0.38800541978166209</v>
      </c>
      <c r="AQ473" s="160">
        <f t="shared" si="1664"/>
        <v>0.39844799283689003</v>
      </c>
      <c r="AR473" s="160">
        <f t="shared" si="1664"/>
        <v>0.34007632204670196</v>
      </c>
      <c r="AS473" s="160">
        <f t="shared" si="1664"/>
        <v>0.39877262195503788</v>
      </c>
      <c r="AT473" s="160">
        <f t="shared" si="1664"/>
        <v>0.39926698190242887</v>
      </c>
      <c r="AU473" s="160">
        <f t="shared" si="1664"/>
        <v>0.38449782438417435</v>
      </c>
      <c r="AV473" s="160">
        <f t="shared" si="1664"/>
        <v>0.32996146435452794</v>
      </c>
      <c r="AW473" s="160">
        <f t="shared" si="1664"/>
        <v>0.32382793620106332</v>
      </c>
      <c r="AX473" s="160">
        <f t="shared" si="1664"/>
        <v>0.36220095693779902</v>
      </c>
      <c r="AY473" s="160">
        <f t="shared" si="1664"/>
        <v>0.32563850687622792</v>
      </c>
      <c r="AZ473" s="160">
        <f t="shared" si="1664"/>
        <v>0.33550961189698947</v>
      </c>
      <c r="BA473" s="160">
        <f t="shared" si="1664"/>
        <v>0.39646464646464646</v>
      </c>
      <c r="BB473" s="160">
        <f t="shared" si="1664"/>
        <v>0.36711376055638351</v>
      </c>
      <c r="BC473" s="160">
        <f t="shared" si="1664"/>
        <v>0.38825851011346818</v>
      </c>
      <c r="BD473" s="160">
        <f t="shared" si="1664"/>
        <v>0.2265625</v>
      </c>
      <c r="BE473" s="160">
        <f t="shared" si="1664"/>
        <v>0.33279623202776398</v>
      </c>
      <c r="BF473" s="160">
        <f t="shared" si="1664"/>
        <v>0.3430919363122753</v>
      </c>
      <c r="BG473" s="160">
        <f t="shared" si="1664"/>
        <v>0.34515119916579773</v>
      </c>
      <c r="BH473" s="160">
        <f t="shared" si="1664"/>
        <v>0.32474226804123713</v>
      </c>
      <c r="BI473" s="160">
        <f t="shared" si="1664"/>
        <v>0.29467871485943775</v>
      </c>
      <c r="BJ473" s="160">
        <f t="shared" si="1664"/>
        <v>0.32217519558804669</v>
      </c>
      <c r="BK473" s="160">
        <f t="shared" si="1664"/>
        <v>0.30773195876288661</v>
      </c>
      <c r="BL473" s="160">
        <f t="shared" si="1664"/>
        <v>0.30105263157894735</v>
      </c>
      <c r="BM473" s="160">
        <f t="shared" si="1664"/>
        <v>0.31546391752577319</v>
      </c>
      <c r="BN473" s="160">
        <f t="shared" si="1664"/>
        <v>0.28688946015424166</v>
      </c>
      <c r="BO473" s="160">
        <f t="shared" si="1664"/>
        <v>0.29566343042071197</v>
      </c>
      <c r="BP473" s="160">
        <f t="shared" si="1664"/>
        <v>0.27295788939624555</v>
      </c>
      <c r="BQ473" s="160">
        <f t="shared" si="1664"/>
        <v>0.27427427427427425</v>
      </c>
      <c r="BR473" s="160">
        <f t="shared" si="1664"/>
        <v>0.25823905558288246</v>
      </c>
      <c r="BS473" s="160">
        <f t="shared" ref="BS473:CW473" si="1665">BS471/(BS432-BS384)</f>
        <v>0.23363095238095238</v>
      </c>
      <c r="BT473" s="160">
        <f t="shared" si="1665"/>
        <v>0.25966575205786979</v>
      </c>
      <c r="BU473" s="161">
        <f t="shared" si="1665"/>
        <v>0.25615763546798032</v>
      </c>
      <c r="BV473" s="161">
        <f t="shared" si="1665"/>
        <v>0.28646833013435702</v>
      </c>
      <c r="BW473" s="161">
        <f t="shared" si="1665"/>
        <v>0.27229601518026564</v>
      </c>
      <c r="BX473" s="161">
        <f t="shared" si="1665"/>
        <v>0.24503311258278146</v>
      </c>
      <c r="BY473" s="160">
        <f t="shared" si="1665"/>
        <v>0.26499520153550865</v>
      </c>
      <c r="BZ473" s="161">
        <f t="shared" si="1665"/>
        <v>0.25615530303030304</v>
      </c>
      <c r="CA473" s="161">
        <f t="shared" si="1665"/>
        <v>0.26881211547562706</v>
      </c>
      <c r="CB473" s="161">
        <f t="shared" si="1665"/>
        <v>0.22937062937062938</v>
      </c>
      <c r="CC473" s="161">
        <f t="shared" si="1665"/>
        <v>0.13124432334241598</v>
      </c>
      <c r="CD473" s="160">
        <f t="shared" si="1665"/>
        <v>0.22048530097993468</v>
      </c>
      <c r="CE473" s="161">
        <f t="shared" si="1665"/>
        <v>0.27156549520766771</v>
      </c>
      <c r="CF473" s="161">
        <f t="shared" si="1665"/>
        <v>0.26850180505415161</v>
      </c>
      <c r="CG473" s="161">
        <f t="shared" si="1665"/>
        <v>0.26976954360596478</v>
      </c>
      <c r="CH473" s="161">
        <f t="shared" si="1665"/>
        <v>0.23887900355871886</v>
      </c>
      <c r="CI473" s="160">
        <f t="shared" si="1665"/>
        <v>0.26206585475868288</v>
      </c>
      <c r="CJ473" s="161">
        <f t="shared" si="1665"/>
        <v>0.28143712574850299</v>
      </c>
      <c r="CK473" s="161">
        <f t="shared" si="1665"/>
        <v>0.29355716878402904</v>
      </c>
      <c r="CL473" s="161">
        <f t="shared" ref="CL473:CP473" si="1666">CL471/(CL432-CL384)</f>
        <v>0.29049531459170014</v>
      </c>
      <c r="CM473" s="161">
        <f t="shared" si="1666"/>
        <v>0.2665505226480836</v>
      </c>
      <c r="CN473" s="160">
        <f t="shared" si="1666"/>
        <v>0.28287701974865348</v>
      </c>
      <c r="CO473" s="161">
        <f t="shared" si="1666"/>
        <v>0.29839429081177521</v>
      </c>
      <c r="CP473" s="161">
        <f t="shared" si="1666"/>
        <v>0.3095026642984014</v>
      </c>
      <c r="CQ473" s="160">
        <f t="shared" si="1665"/>
        <v>0.31023230641123101</v>
      </c>
      <c r="CR473" s="160">
        <f t="shared" si="1665"/>
        <v>0.3171364722812105</v>
      </c>
      <c r="CS473" s="160">
        <f t="shared" si="1665"/>
        <v>0.32243476068583116</v>
      </c>
      <c r="CT473" s="160">
        <f t="shared" si="1665"/>
        <v>0.32834231642153533</v>
      </c>
      <c r="CU473" s="160">
        <f t="shared" si="1665"/>
        <v>0.33580002735195985</v>
      </c>
      <c r="CV473" s="160">
        <f t="shared" si="1665"/>
        <v>0.34202674537838801</v>
      </c>
      <c r="CW473" s="160">
        <f t="shared" si="1665"/>
        <v>0.35090606284954401</v>
      </c>
      <c r="CX473" s="159"/>
      <c r="CY473" s="159"/>
      <c r="CZ473" s="159"/>
      <c r="DA473" s="159"/>
      <c r="DB473" s="159"/>
      <c r="DC473" s="159"/>
      <c r="DD473" s="159"/>
      <c r="DF473" s="904"/>
      <c r="DG473" s="258"/>
      <c r="DH473" s="258"/>
      <c r="DI473" s="258"/>
      <c r="DJ473" s="258"/>
      <c r="DK473" s="258"/>
      <c r="DL473" s="258"/>
      <c r="DM473" s="258"/>
      <c r="DN473" s="258"/>
      <c r="DO473" s="258"/>
      <c r="EU473" s="286"/>
      <c r="EV473" s="287"/>
    </row>
    <row r="474" spans="1:152">
      <c r="A474" s="356"/>
      <c r="B474" s="160"/>
      <c r="C474" s="160"/>
      <c r="D474" s="160"/>
      <c r="E474" s="160"/>
      <c r="F474" s="160"/>
      <c r="G474" s="160"/>
      <c r="H474" s="160"/>
      <c r="I474" s="160"/>
      <c r="J474" s="160"/>
      <c r="K474" s="160"/>
      <c r="L474" s="160"/>
      <c r="M474" s="160"/>
      <c r="N474" s="160"/>
      <c r="O474" s="160"/>
      <c r="P474" s="160"/>
      <c r="Q474" s="160"/>
      <c r="R474" s="160"/>
      <c r="S474" s="160"/>
      <c r="T474" s="160"/>
      <c r="U474" s="160"/>
      <c r="V474" s="160"/>
      <c r="W474" s="160"/>
      <c r="X474" s="160"/>
      <c r="Y474" s="160"/>
      <c r="Z474" s="160"/>
      <c r="AA474" s="160"/>
      <c r="AB474" s="160"/>
      <c r="AC474" s="160"/>
      <c r="AD474" s="160"/>
      <c r="AE474" s="160"/>
      <c r="AF474" s="160"/>
      <c r="AG474" s="160"/>
      <c r="AH474" s="160"/>
      <c r="AI474" s="160"/>
      <c r="AJ474" s="160"/>
      <c r="AK474" s="160"/>
      <c r="AL474" s="160"/>
      <c r="AM474" s="160"/>
      <c r="AN474" s="160"/>
      <c r="AO474" s="160"/>
      <c r="AP474" s="160"/>
      <c r="AQ474" s="160"/>
      <c r="AR474" s="160"/>
      <c r="AS474" s="160"/>
      <c r="AT474" s="160"/>
      <c r="AU474" s="160"/>
      <c r="AV474" s="160"/>
      <c r="AW474" s="160"/>
      <c r="AX474" s="160"/>
      <c r="AY474" s="160"/>
      <c r="AZ474" s="160"/>
      <c r="BA474" s="160"/>
      <c r="BB474" s="160"/>
      <c r="BC474" s="160"/>
      <c r="BD474" s="160"/>
      <c r="BE474" s="160"/>
      <c r="BF474" s="160"/>
      <c r="BG474" s="160"/>
      <c r="BH474" s="204"/>
      <c r="BI474" s="204"/>
      <c r="BJ474" s="160"/>
      <c r="BK474" s="160"/>
      <c r="BL474" s="160"/>
      <c r="BM474" s="160"/>
      <c r="BN474" s="160"/>
      <c r="BO474" s="160"/>
      <c r="BP474" s="160"/>
      <c r="BQ474" s="160"/>
      <c r="BR474" s="160"/>
      <c r="BS474" s="160"/>
      <c r="BT474" s="160"/>
      <c r="BU474" s="161"/>
      <c r="BV474" s="161"/>
      <c r="BW474" s="161"/>
      <c r="BX474" s="161"/>
      <c r="BY474" s="160"/>
      <c r="BZ474" s="161"/>
      <c r="CA474" s="161"/>
      <c r="CB474" s="161"/>
      <c r="CC474" s="161"/>
      <c r="CD474" s="160"/>
      <c r="CE474" s="161"/>
      <c r="CF474" s="161"/>
      <c r="CG474" s="161"/>
      <c r="CH474" s="161"/>
      <c r="CI474" s="160"/>
      <c r="CJ474" s="161"/>
      <c r="CK474" s="161"/>
      <c r="CL474" s="161"/>
      <c r="CM474" s="161"/>
      <c r="CN474" s="160"/>
      <c r="CO474" s="161"/>
      <c r="CP474" s="161"/>
      <c r="CQ474" s="160"/>
      <c r="CR474" s="160"/>
      <c r="CS474" s="160"/>
      <c r="CT474" s="160"/>
      <c r="CU474" s="160"/>
      <c r="CV474" s="160"/>
      <c r="CW474" s="160"/>
      <c r="CX474" s="159"/>
      <c r="CY474" s="159"/>
      <c r="CZ474" s="159"/>
      <c r="DA474" s="159"/>
      <c r="DB474" s="159"/>
      <c r="DC474" s="159"/>
      <c r="DD474" s="159"/>
      <c r="DF474" s="904"/>
      <c r="DG474" s="258"/>
      <c r="DH474" s="258"/>
      <c r="DI474" s="258"/>
      <c r="DJ474" s="258"/>
      <c r="DK474" s="258"/>
      <c r="DL474" s="258"/>
      <c r="DM474" s="258"/>
      <c r="DN474" s="258"/>
      <c r="DO474" s="258"/>
      <c r="EU474" s="286"/>
      <c r="EV474" s="287"/>
    </row>
    <row r="475" spans="1:152">
      <c r="CQ475" s="981"/>
      <c r="CR475" s="981"/>
      <c r="CS475" s="981"/>
      <c r="CT475" s="981"/>
      <c r="CU475" s="981"/>
      <c r="CV475" s="981"/>
      <c r="CW475" s="981"/>
      <c r="EU475" s="286"/>
      <c r="EV475" s="287"/>
    </row>
    <row r="476" spans="1:152">
      <c r="A476" s="366" t="s">
        <v>88</v>
      </c>
      <c r="B476" s="749">
        <v>-8.6000000000000014</v>
      </c>
      <c r="C476" s="749"/>
      <c r="D476" s="749"/>
      <c r="E476" s="749"/>
      <c r="F476" s="749"/>
      <c r="G476" s="749">
        <v>17.899999999999999</v>
      </c>
      <c r="H476" s="749">
        <v>-1</v>
      </c>
      <c r="I476" s="749">
        <v>0</v>
      </c>
      <c r="J476" s="749">
        <v>-1</v>
      </c>
      <c r="K476" s="749">
        <v>-45</v>
      </c>
      <c r="L476" s="749">
        <v>-48</v>
      </c>
      <c r="M476" s="749">
        <v>-50</v>
      </c>
      <c r="N476" s="749">
        <v>-55</v>
      </c>
      <c r="O476" s="749">
        <v>-51</v>
      </c>
      <c r="P476" s="749">
        <v>-55</v>
      </c>
      <c r="Q476" s="749">
        <v>-211</v>
      </c>
      <c r="R476" s="749">
        <v>-64</v>
      </c>
      <c r="S476" s="749">
        <v>-61</v>
      </c>
      <c r="T476" s="749">
        <v>-68</v>
      </c>
      <c r="U476" s="749">
        <v>-35</v>
      </c>
      <c r="V476" s="722">
        <v>-228</v>
      </c>
      <c r="W476" s="722">
        <v>-71</v>
      </c>
      <c r="X476" s="722">
        <v>-64</v>
      </c>
      <c r="Y476" s="722">
        <v>-76</v>
      </c>
      <c r="Z476" s="722">
        <v>-77</v>
      </c>
      <c r="AA476" s="722">
        <v>-288</v>
      </c>
      <c r="AB476" s="722">
        <v>-79</v>
      </c>
      <c r="AC476" s="722">
        <v>-81</v>
      </c>
      <c r="AD476" s="722">
        <v>-82</v>
      </c>
      <c r="AE476" s="722">
        <v>-87</v>
      </c>
      <c r="AF476" s="722">
        <v>-329</v>
      </c>
      <c r="AG476" s="722">
        <v>-90</v>
      </c>
      <c r="AH476" s="722">
        <v>-100</v>
      </c>
      <c r="AI476" s="722">
        <v>-101</v>
      </c>
      <c r="AJ476" s="722">
        <v>-98</v>
      </c>
      <c r="AK476" s="722">
        <v>-389</v>
      </c>
      <c r="AL476" s="722">
        <v>-95</v>
      </c>
      <c r="AM476" s="722">
        <v>-105</v>
      </c>
      <c r="AN476" s="722">
        <v>-110</v>
      </c>
      <c r="AO476" s="722">
        <v>-101</v>
      </c>
      <c r="AP476" s="722">
        <v>-378.82078737102057</v>
      </c>
      <c r="AQ476" s="722">
        <v>-124</v>
      </c>
      <c r="AR476" s="722">
        <v>-102</v>
      </c>
      <c r="AS476" s="722">
        <f>-111+13</f>
        <v>-98</v>
      </c>
      <c r="AT476" s="722">
        <f>-123+14</f>
        <v>-109</v>
      </c>
      <c r="AU476" s="722">
        <f>'Balance Sheet and Cflow'!K126</f>
        <v>-669</v>
      </c>
      <c r="AV476" s="722">
        <f>-95</f>
        <v>-95</v>
      </c>
      <c r="AW476" s="722">
        <f>'[3]Profit and Loss Highlights'!X$73</f>
        <v>-107</v>
      </c>
      <c r="AX476" s="722">
        <f>'[3]Profit and Loss Highlights'!Y$73</f>
        <v>-100</v>
      </c>
      <c r="AY476" s="722">
        <f>'[3]Profit and Loss Highlights'!Z$73</f>
        <v>-82</v>
      </c>
      <c r="AZ476" s="722">
        <f>'Balance Sheet and Cflow'!L126</f>
        <v>-384</v>
      </c>
      <c r="BA476" s="722">
        <f>'[3]Profit and Loss Highlights'!AA$73</f>
        <v>-102</v>
      </c>
      <c r="BB476" s="722">
        <f>'[3]Profit and Loss Highlights'!AB$73</f>
        <v>-85</v>
      </c>
      <c r="BC476" s="722">
        <f>'[3]Profit and Loss Highlights'!AC$73</f>
        <v>-92</v>
      </c>
      <c r="BD476" s="722">
        <f>'[3]Profit and Loss Highlights'!AD$73</f>
        <v>-79</v>
      </c>
      <c r="BE476" s="750">
        <f>SUM(BA476:BD476)</f>
        <v>-358</v>
      </c>
      <c r="BF476" s="722">
        <f>'[3]Profit and Loss Highlights'!AE$73</f>
        <v>-112</v>
      </c>
      <c r="BG476" s="722">
        <f>'[3]Profit and Loss Highlights'!AF$73</f>
        <v>-113</v>
      </c>
      <c r="BH476" s="722">
        <f>'[3]Profit and Loss Highlights'!AG$73</f>
        <v>-108</v>
      </c>
      <c r="BI476" s="722">
        <f>'[3]Profit and Loss Highlights'!AH$73</f>
        <v>-119</v>
      </c>
      <c r="BJ476" s="750">
        <f>SUM(BF476:BI476)</f>
        <v>-452</v>
      </c>
      <c r="BK476" s="722">
        <f>'[3]Profit and Loss Highlights'!AI$73</f>
        <v>-102</v>
      </c>
      <c r="BL476" s="722">
        <f>'[3]Profit and Loss Highlights'!AJ$73</f>
        <v>-103</v>
      </c>
      <c r="BM476" s="722">
        <f>'[3]Profit and Loss Highlights'!AK$73</f>
        <v>-99</v>
      </c>
      <c r="BN476" s="722">
        <f>'[3]Profit and Loss Highlights'!AL$73</f>
        <v>-101</v>
      </c>
      <c r="BO476" s="750">
        <f>SUM(BK476:BN476)</f>
        <v>-405</v>
      </c>
      <c r="BP476" s="722">
        <f>'[3]Profit and Loss Highlights'!AM$73</f>
        <v>-109</v>
      </c>
      <c r="BQ476" s="722">
        <f>'[3]Profit and Loss Highlights'!AN$73</f>
        <v>-110</v>
      </c>
      <c r="BR476" s="722">
        <f>'[3]Profit and Loss Highlights'!AO$73</f>
        <v>-99</v>
      </c>
      <c r="BS476" s="722">
        <f>'[3]Profit and Loss Highlights'!AP$73</f>
        <v>-94</v>
      </c>
      <c r="BT476" s="750">
        <f>SUM(BP476:BS476)</f>
        <v>-412</v>
      </c>
      <c r="BU476" s="730">
        <f>'[3]Profit and Loss Highlights'!AQ$73</f>
        <v>-91</v>
      </c>
      <c r="BV476" s="730">
        <f>'[3]Profit and Loss Highlights'!AR$73</f>
        <v>-99</v>
      </c>
      <c r="BW476" s="730">
        <f>'[3]Profit and Loss Highlights'!AS$73</f>
        <v>-106</v>
      </c>
      <c r="BX476" s="730">
        <f>'[3]Profit and Loss Highlights'!AT$73</f>
        <v>-111</v>
      </c>
      <c r="BY476" s="750">
        <f>SUM(BU476:BX476)</f>
        <v>-407</v>
      </c>
      <c r="BZ476" s="730">
        <f>'[3]Profit and Loss Highlights'!AU$73</f>
        <v>-112</v>
      </c>
      <c r="CA476" s="730">
        <f>'[3]Profit and Loss Highlights'!AV$73</f>
        <v>-115</v>
      </c>
      <c r="CB476" s="730">
        <f>'[3]Profit and Loss Highlights'!AW$73</f>
        <v>-108</v>
      </c>
      <c r="CC476" s="730">
        <f>'[3]Profit and Loss Highlights'!AX$73</f>
        <v>-111</v>
      </c>
      <c r="CD476" s="750">
        <f>SUM(BZ476:CC476)</f>
        <v>-446</v>
      </c>
      <c r="CE476" s="730">
        <f>'[3]Profit and Loss Highlights'!AY$73</f>
        <v>-116</v>
      </c>
      <c r="CF476" s="730">
        <f>'[3]Profit and Loss Highlights'!AZ$73</f>
        <v>-112</v>
      </c>
      <c r="CG476" s="730">
        <f>'[3]Profit and Loss Highlights'!BA$73</f>
        <v>-110</v>
      </c>
      <c r="CH476" s="730">
        <f>'[3]Profit and Loss Highlights'!BB$73</f>
        <v>-109</v>
      </c>
      <c r="CI476" s="750">
        <f>SUM(CE476:CH476)</f>
        <v>-447</v>
      </c>
      <c r="CJ476" s="730">
        <f>'[3]Profit and Loss Highlights'!BC$73</f>
        <v>-111</v>
      </c>
      <c r="CK476" s="730">
        <f>'[3]Profit and Loss Highlights'!BD$73</f>
        <v>-110</v>
      </c>
      <c r="CL476" s="730">
        <f>'[3]Profit and Loss Highlights'!BE$73</f>
        <v>-107</v>
      </c>
      <c r="CM476" s="730">
        <f>'[3]Profit and Loss Highlights'!BF$73</f>
        <v>-104</v>
      </c>
      <c r="CN476" s="750">
        <f>SUM(CJ476:CM476)</f>
        <v>-432</v>
      </c>
      <c r="CO476" s="730">
        <f>'[3]Profit and Loss Highlights'!BG$73</f>
        <v>-104</v>
      </c>
      <c r="CP476" s="730">
        <f>'[3]Profit and Loss Highlights'!BH$73</f>
        <v>-106</v>
      </c>
      <c r="CQ476" s="751">
        <v>-432.2472885032538</v>
      </c>
      <c r="CR476" s="751">
        <v>-404.22957606993174</v>
      </c>
      <c r="CS476" s="751">
        <v>-371.2795361682812</v>
      </c>
      <c r="CT476" s="751">
        <v>-338.41561780012677</v>
      </c>
      <c r="CU476" s="751">
        <v>-305.78952964444761</v>
      </c>
      <c r="CV476" s="751">
        <v>-274.45966587974783</v>
      </c>
      <c r="CW476" s="751">
        <v>-243.73695033454078</v>
      </c>
      <c r="CX476" s="292"/>
      <c r="CY476" s="292"/>
      <c r="CZ476" s="292"/>
      <c r="DA476" s="292"/>
      <c r="DB476" s="292"/>
      <c r="DC476" s="292"/>
      <c r="DD476" s="292"/>
      <c r="DF476" s="197"/>
      <c r="DG476" s="311"/>
      <c r="DH476" s="311"/>
      <c r="DI476" s="311"/>
      <c r="DJ476" s="311"/>
      <c r="DK476" s="311"/>
      <c r="DL476" s="311"/>
      <c r="DM476" s="311"/>
      <c r="DN476" s="311"/>
      <c r="DO476" s="311"/>
      <c r="EU476" s="286"/>
      <c r="EV476" s="287"/>
    </row>
    <row r="477" spans="1:152">
      <c r="A477" s="366" t="s">
        <v>88</v>
      </c>
      <c r="B477" s="720"/>
      <c r="C477" s="720"/>
      <c r="D477" s="720"/>
      <c r="E477" s="720"/>
      <c r="F477" s="720"/>
      <c r="G477" s="720"/>
      <c r="H477" s="720"/>
      <c r="I477" s="720"/>
      <c r="J477" s="720"/>
      <c r="K477" s="720"/>
      <c r="L477" s="720"/>
      <c r="M477" s="720"/>
      <c r="N477" s="720"/>
      <c r="O477" s="720"/>
      <c r="P477" s="720"/>
      <c r="Q477" s="720"/>
      <c r="R477" s="720"/>
      <c r="S477" s="720"/>
      <c r="T477" s="720"/>
      <c r="U477" s="720"/>
      <c r="V477" s="720"/>
      <c r="W477" s="720"/>
      <c r="X477" s="720"/>
      <c r="Y477" s="720"/>
      <c r="Z477" s="720"/>
      <c r="AA477" s="720"/>
      <c r="AB477" s="720"/>
      <c r="AC477" s="720"/>
      <c r="AD477" s="720"/>
      <c r="AE477" s="720"/>
      <c r="AF477" s="720"/>
      <c r="AG477" s="720"/>
      <c r="AH477" s="720"/>
      <c r="AI477" s="720"/>
      <c r="AJ477" s="720"/>
      <c r="AK477" s="720"/>
      <c r="AL477" s="720"/>
      <c r="AM477" s="720"/>
      <c r="AN477" s="720"/>
      <c r="AO477" s="720"/>
      <c r="AP477" s="720"/>
      <c r="AQ477" s="720"/>
      <c r="AR477" s="720"/>
      <c r="AS477" s="720"/>
      <c r="AT477" s="720"/>
      <c r="AU477" s="720"/>
      <c r="AV477" s="720"/>
      <c r="AW477" s="720"/>
      <c r="AX477" s="720"/>
      <c r="AY477" s="720"/>
      <c r="AZ477" s="720"/>
      <c r="BA477" s="720"/>
      <c r="BB477" s="720"/>
      <c r="BC477" s="720"/>
      <c r="BD477" s="720"/>
      <c r="BE477" s="722">
        <f>BE476</f>
        <v>-358</v>
      </c>
      <c r="BF477" s="720">
        <f>BF479-BF471-BF476</f>
        <v>-20</v>
      </c>
      <c r="BG477" s="720">
        <f>BG479-BG471-BG476</f>
        <v>-21</v>
      </c>
      <c r="BH477" s="720">
        <f>BH479-BH471-BH476</f>
        <v>-38</v>
      </c>
      <c r="BI477" s="720">
        <f>BI479-BI471-BI476</f>
        <v>-14</v>
      </c>
      <c r="BJ477" s="722">
        <f>BJ476</f>
        <v>-452</v>
      </c>
      <c r="BK477" s="720">
        <f>BK479-BK471-BK476</f>
        <v>-18</v>
      </c>
      <c r="BL477" s="720">
        <f>BL479-BL471-BL476</f>
        <v>-19</v>
      </c>
      <c r="BM477" s="720">
        <f>BM479-BM471-BM476</f>
        <v>-24</v>
      </c>
      <c r="BN477" s="720">
        <f>BN479-BN471-BN476</f>
        <v>-26</v>
      </c>
      <c r="BO477" s="722">
        <f>BO476</f>
        <v>-405</v>
      </c>
      <c r="BP477" s="720">
        <f>BP479-BP471-BP476</f>
        <v>24</v>
      </c>
      <c r="BQ477" s="720">
        <f>BQ479-BQ471-BQ476</f>
        <v>46</v>
      </c>
      <c r="BR477" s="720">
        <f>BR479-BR471-BR476</f>
        <v>15</v>
      </c>
      <c r="BS477" s="720">
        <f>BS479-BS471-BS476</f>
        <v>7</v>
      </c>
      <c r="BT477" s="722">
        <f>BT476</f>
        <v>-412</v>
      </c>
      <c r="BU477" s="717">
        <f>BU479-BU471-BU476</f>
        <v>0</v>
      </c>
      <c r="BV477" s="717">
        <f>BV479-BV471-BV476</f>
        <v>0</v>
      </c>
      <c r="BW477" s="717">
        <f>BW479-BW471-BW476</f>
        <v>0</v>
      </c>
      <c r="BX477" s="717">
        <f>BX479-BX471-BX476</f>
        <v>0</v>
      </c>
      <c r="BY477" s="722">
        <f>BY476</f>
        <v>-407</v>
      </c>
      <c r="BZ477" s="717">
        <f>BZ479-BZ471-BZ476</f>
        <v>0</v>
      </c>
      <c r="CA477" s="717">
        <f>CA479-CA471-CA476</f>
        <v>0</v>
      </c>
      <c r="CB477" s="717">
        <f>CB479-CB471-CB476</f>
        <v>0</v>
      </c>
      <c r="CC477" s="717">
        <f>CC479-CC471-CC476</f>
        <v>0</v>
      </c>
      <c r="CD477" s="722">
        <f>CD476</f>
        <v>-446</v>
      </c>
      <c r="CE477" s="717">
        <f>CE479-CE471-CE476</f>
        <v>0</v>
      </c>
      <c r="CF477" s="717">
        <f>CF479-CF471-CF476</f>
        <v>0</v>
      </c>
      <c r="CG477" s="717">
        <f>CG479-CG471-CG476</f>
        <v>0</v>
      </c>
      <c r="CH477" s="717">
        <f>CH479-CH471-CH476</f>
        <v>0</v>
      </c>
      <c r="CI477" s="722">
        <f>CI476</f>
        <v>-447</v>
      </c>
      <c r="CJ477" s="717">
        <f>CJ479-CJ471-CJ476</f>
        <v>0</v>
      </c>
      <c r="CK477" s="717">
        <f>CK479-CK471-CK476</f>
        <v>0</v>
      </c>
      <c r="CL477" s="717">
        <f>CL479-CL471-CL476</f>
        <v>0</v>
      </c>
      <c r="CM477" s="717">
        <f>CM479-CM471-CM476</f>
        <v>-22</v>
      </c>
      <c r="CN477" s="722">
        <f>CN476</f>
        <v>-432</v>
      </c>
      <c r="CO477" s="717">
        <f>CO479-CO471-CO476</f>
        <v>-6</v>
      </c>
      <c r="CP477" s="717">
        <f>CP479-CP471-CP476</f>
        <v>-6</v>
      </c>
      <c r="CQ477" s="984">
        <f>'Balance Sheet and Cflow'!U126</f>
        <v>-432.2472885032538</v>
      </c>
      <c r="CR477" s="984">
        <f>'Balance Sheet and Cflow'!V126</f>
        <v>-404.22957606993174</v>
      </c>
      <c r="CS477" s="984">
        <f>'Balance Sheet and Cflow'!W126</f>
        <v>-371.2795361682812</v>
      </c>
      <c r="CT477" s="984">
        <f>'Balance Sheet and Cflow'!X126</f>
        <v>-338.42089043880958</v>
      </c>
      <c r="CU477" s="984">
        <f>'Balance Sheet and Cflow'!Y126</f>
        <v>-305.81839984445975</v>
      </c>
      <c r="CV477" s="984">
        <f>'Balance Sheet and Cflow'!Z126</f>
        <v>-274.54280377027874</v>
      </c>
      <c r="CW477" s="984">
        <f>'Balance Sheet and Cflow'!AA126</f>
        <v>-243.91394578134179</v>
      </c>
      <c r="CX477" s="292"/>
      <c r="CY477" s="292"/>
      <c r="CZ477" s="292"/>
      <c r="DA477" s="292"/>
      <c r="DB477" s="292"/>
      <c r="DC477" s="292"/>
      <c r="DD477" s="292"/>
      <c r="DF477" s="197"/>
      <c r="DG477" s="311"/>
      <c r="DH477" s="311"/>
      <c r="DI477" s="311"/>
      <c r="DJ477" s="311"/>
      <c r="DK477" s="311"/>
      <c r="DL477" s="311"/>
      <c r="DM477" s="311"/>
      <c r="DN477" s="311"/>
      <c r="DO477" s="311"/>
      <c r="EU477" s="286"/>
      <c r="EV477" s="287"/>
    </row>
    <row r="478" spans="1:152">
      <c r="A478" s="366"/>
      <c r="B478" s="720"/>
      <c r="C478" s="720"/>
      <c r="D478" s="720"/>
      <c r="E478" s="720"/>
      <c r="F478" s="720"/>
      <c r="G478" s="720"/>
      <c r="H478" s="720"/>
      <c r="I478" s="720"/>
      <c r="J478" s="720"/>
      <c r="K478" s="720"/>
      <c r="L478" s="720"/>
      <c r="M478" s="720"/>
      <c r="N478" s="720"/>
      <c r="O478" s="720"/>
      <c r="P478" s="720"/>
      <c r="Q478" s="720"/>
      <c r="R478" s="720"/>
      <c r="S478" s="720"/>
      <c r="T478" s="720"/>
      <c r="U478" s="720"/>
      <c r="V478" s="720"/>
      <c r="W478" s="720"/>
      <c r="X478" s="720"/>
      <c r="Y478" s="720"/>
      <c r="Z478" s="720"/>
      <c r="AA478" s="720"/>
      <c r="AB478" s="720"/>
      <c r="AC478" s="720"/>
      <c r="AD478" s="720"/>
      <c r="AE478" s="720"/>
      <c r="AF478" s="720"/>
      <c r="AG478" s="720"/>
      <c r="AH478" s="720"/>
      <c r="AI478" s="720"/>
      <c r="AJ478" s="720"/>
      <c r="AK478" s="720"/>
      <c r="AL478" s="720"/>
      <c r="AM478" s="720"/>
      <c r="AN478" s="720"/>
      <c r="AO478" s="720"/>
      <c r="AP478" s="720"/>
      <c r="AQ478" s="720"/>
      <c r="AR478" s="720"/>
      <c r="AS478" s="720"/>
      <c r="AT478" s="720"/>
      <c r="AU478" s="720"/>
      <c r="AV478" s="720"/>
      <c r="AW478" s="720"/>
      <c r="AX478" s="720"/>
      <c r="AY478" s="720"/>
      <c r="AZ478" s="720"/>
      <c r="BA478" s="720"/>
      <c r="BB478" s="720"/>
      <c r="BC478" s="720"/>
      <c r="BD478" s="720"/>
      <c r="BE478" s="750"/>
      <c r="BF478" s="720"/>
      <c r="BG478" s="720"/>
      <c r="BH478" s="720"/>
      <c r="BI478" s="720"/>
      <c r="BJ478" s="722">
        <f>2036-(BJ471+BJ476)</f>
        <v>-24</v>
      </c>
      <c r="BK478" s="720"/>
      <c r="BL478" s="720"/>
      <c r="BM478" s="720"/>
      <c r="BN478" s="720"/>
      <c r="BO478" s="722"/>
      <c r="BP478" s="720"/>
      <c r="BQ478" s="720"/>
      <c r="BR478" s="720"/>
      <c r="BS478" s="720"/>
      <c r="BT478" s="722"/>
      <c r="BU478" s="717"/>
      <c r="BV478" s="717"/>
      <c r="BW478" s="717"/>
      <c r="BX478" s="717"/>
      <c r="BY478" s="722"/>
      <c r="BZ478" s="717"/>
      <c r="CA478" s="717"/>
      <c r="CB478" s="717"/>
      <c r="CC478" s="717"/>
      <c r="CD478" s="722"/>
      <c r="CE478" s="717"/>
      <c r="CF478" s="717"/>
      <c r="CG478" s="717"/>
      <c r="CH478" s="717"/>
      <c r="CI478" s="722"/>
      <c r="CJ478" s="717"/>
      <c r="CK478" s="717"/>
      <c r="CL478" s="717"/>
      <c r="CM478" s="717"/>
      <c r="CN478" s="722"/>
      <c r="CO478" s="717"/>
      <c r="CP478" s="717"/>
      <c r="CQ478" s="722"/>
      <c r="CR478" s="722"/>
      <c r="CS478" s="722"/>
      <c r="CT478" s="722"/>
      <c r="CU478" s="722"/>
      <c r="CV478" s="722"/>
      <c r="CW478" s="722"/>
      <c r="CX478" s="292"/>
      <c r="CY478" s="292"/>
      <c r="CZ478" s="292"/>
      <c r="DA478" s="292"/>
      <c r="DB478" s="292"/>
      <c r="DC478" s="292"/>
      <c r="DD478" s="292"/>
      <c r="DF478" s="197"/>
      <c r="DG478" s="311"/>
      <c r="DH478" s="311"/>
      <c r="DI478" s="311"/>
      <c r="DJ478" s="311"/>
      <c r="DK478" s="311"/>
      <c r="DL478" s="311"/>
      <c r="DM478" s="311"/>
      <c r="DN478" s="311"/>
      <c r="DO478" s="311"/>
      <c r="EU478" s="286"/>
      <c r="EV478" s="287"/>
    </row>
    <row r="479" spans="1:152">
      <c r="A479" s="368" t="s">
        <v>648</v>
      </c>
      <c r="B479" s="752">
        <f>B471+B476</f>
        <v>2687.4</v>
      </c>
      <c r="C479" s="752"/>
      <c r="D479" s="752"/>
      <c r="E479" s="752"/>
      <c r="F479" s="752"/>
      <c r="G479" s="752">
        <f t="shared" ref="G479:AP479" si="1667">G471+G476</f>
        <v>3227.900000000001</v>
      </c>
      <c r="H479" s="752">
        <f t="shared" si="1667"/>
        <v>1070</v>
      </c>
      <c r="I479" s="752">
        <f t="shared" si="1667"/>
        <v>1075.2475247524753</v>
      </c>
      <c r="J479" s="752">
        <f t="shared" si="1667"/>
        <v>807</v>
      </c>
      <c r="K479" s="752">
        <f t="shared" si="1667"/>
        <v>780</v>
      </c>
      <c r="L479" s="752">
        <f t="shared" si="1667"/>
        <v>3007</v>
      </c>
      <c r="M479" s="752">
        <f t="shared" si="1667"/>
        <v>765</v>
      </c>
      <c r="N479" s="752">
        <f t="shared" si="1667"/>
        <v>720</v>
      </c>
      <c r="O479" s="752">
        <f t="shared" si="1667"/>
        <v>815</v>
      </c>
      <c r="P479" s="752">
        <f t="shared" si="1667"/>
        <v>832</v>
      </c>
      <c r="Q479" s="752">
        <f t="shared" si="1667"/>
        <v>3132</v>
      </c>
      <c r="R479" s="752">
        <f t="shared" si="1667"/>
        <v>741</v>
      </c>
      <c r="S479" s="752">
        <f t="shared" si="1667"/>
        <v>757</v>
      </c>
      <c r="T479" s="752">
        <f t="shared" si="1667"/>
        <v>746</v>
      </c>
      <c r="U479" s="752">
        <f t="shared" si="1667"/>
        <v>760</v>
      </c>
      <c r="V479" s="752">
        <f t="shared" si="1667"/>
        <v>3004</v>
      </c>
      <c r="W479" s="752">
        <f t="shared" si="1667"/>
        <v>767</v>
      </c>
      <c r="X479" s="752">
        <f t="shared" si="1667"/>
        <v>753</v>
      </c>
      <c r="Y479" s="752">
        <f t="shared" si="1667"/>
        <v>690</v>
      </c>
      <c r="Z479" s="752">
        <f t="shared" si="1667"/>
        <v>499</v>
      </c>
      <c r="AA479" s="752">
        <f t="shared" si="1667"/>
        <v>2709</v>
      </c>
      <c r="AB479" s="752">
        <f t="shared" si="1667"/>
        <v>673</v>
      </c>
      <c r="AC479" s="752">
        <f t="shared" si="1667"/>
        <v>744</v>
      </c>
      <c r="AD479" s="752">
        <f t="shared" si="1667"/>
        <v>769</v>
      </c>
      <c r="AE479" s="752">
        <f t="shared" si="1667"/>
        <v>641</v>
      </c>
      <c r="AF479" s="752">
        <f t="shared" si="1667"/>
        <v>2827</v>
      </c>
      <c r="AG479" s="752">
        <f t="shared" si="1667"/>
        <v>285.74600000000009</v>
      </c>
      <c r="AH479" s="752">
        <f t="shared" si="1667"/>
        <v>216.66600000000005</v>
      </c>
      <c r="AI479" s="752">
        <f t="shared" si="1667"/>
        <v>225.53999999999996</v>
      </c>
      <c r="AJ479" s="752">
        <f t="shared" si="1667"/>
        <v>164.34400000000005</v>
      </c>
      <c r="AK479" s="752">
        <f t="shared" si="1667"/>
        <v>2296.3305194230634</v>
      </c>
      <c r="AL479" s="752">
        <f t="shared" si="1667"/>
        <v>313.46800000000007</v>
      </c>
      <c r="AM479" s="752">
        <f t="shared" si="1667"/>
        <v>235.88</v>
      </c>
      <c r="AN479" s="752">
        <f t="shared" si="1667"/>
        <v>261</v>
      </c>
      <c r="AO479" s="752">
        <f t="shared" si="1667"/>
        <v>237</v>
      </c>
      <c r="AP479" s="752">
        <f t="shared" si="1667"/>
        <v>2777.1792126289793</v>
      </c>
      <c r="AQ479" s="747">
        <f>'[3]Profit and Loss Highlights'!S$76</f>
        <v>686</v>
      </c>
      <c r="AR479" s="747">
        <f>'[3]Profit and Loss Highlights'!T$76</f>
        <v>568</v>
      </c>
      <c r="AS479" s="747">
        <f>'[3]Profit and Loss Highlights'!U$76</f>
        <v>698</v>
      </c>
      <c r="AT479" s="747">
        <f>'[3]Profit and Loss Highlights'!V$76</f>
        <v>732</v>
      </c>
      <c r="AU479" s="752">
        <f>AU471+AU476</f>
        <v>2440</v>
      </c>
      <c r="AV479" s="747">
        <f>'[3]Profit and Loss Highlights'!W$76</f>
        <v>684</v>
      </c>
      <c r="AW479" s="747">
        <f>'[3]Profit and Loss Highlights'!X$76</f>
        <v>658</v>
      </c>
      <c r="AX479" s="747">
        <f>'[3]Profit and Loss Highlights'!Y$76</f>
        <v>736</v>
      </c>
      <c r="AY479" s="747">
        <f>'[3]Profit and Loss Highlights'!Z$76</f>
        <v>659</v>
      </c>
      <c r="AZ479" s="752">
        <f>SUM(AV479:AY479)</f>
        <v>2737</v>
      </c>
      <c r="BA479" s="747">
        <f>'[3]Profit and Loss Highlights'!AA$76</f>
        <v>676</v>
      </c>
      <c r="BB479" s="747">
        <f>'[3]Profit and Loss Highlights'!AB$76</f>
        <v>635</v>
      </c>
      <c r="BC479" s="747">
        <f>'[3]Profit and Loss Highlights'!AC$76</f>
        <v>684</v>
      </c>
      <c r="BD479" s="747">
        <f>'[3]Profit and Loss Highlights'!AD$76</f>
        <v>355</v>
      </c>
      <c r="BE479" s="752">
        <f>SUM(BA479:BD479)</f>
        <v>2350</v>
      </c>
      <c r="BF479" s="747">
        <f>'[3]Profit and Loss Highlights'!AE$76</f>
        <v>536</v>
      </c>
      <c r="BG479" s="747">
        <f>'[3]Profit and Loss Highlights'!AF$76</f>
        <v>528</v>
      </c>
      <c r="BH479" s="747">
        <f>'[3]Profit and Loss Highlights'!AG$76</f>
        <v>484</v>
      </c>
      <c r="BI479" s="747">
        <f>'[3]Profit and Loss Highlights'!AH$76</f>
        <v>454</v>
      </c>
      <c r="BJ479" s="752">
        <f>BJ471+BJ476+BJ478</f>
        <v>2036</v>
      </c>
      <c r="BK479" s="747">
        <f>'[3]Profit and Loss Highlights'!AI$76</f>
        <v>477</v>
      </c>
      <c r="BL479" s="747">
        <f>'[3]Profit and Loss Highlights'!AJ$76</f>
        <v>450</v>
      </c>
      <c r="BM479" s="747">
        <f>'[3]Profit and Loss Highlights'!AK$76</f>
        <v>489</v>
      </c>
      <c r="BN479" s="747">
        <f>'[3]Profit and Loss Highlights'!AL$76</f>
        <v>431</v>
      </c>
      <c r="BO479" s="752">
        <f>BO471+BO476+BO478</f>
        <v>1879</v>
      </c>
      <c r="BP479" s="747">
        <f>'[3]Profit and Loss Highlights'!AM$76</f>
        <v>453</v>
      </c>
      <c r="BQ479" s="747">
        <f>'[3]Profit and Loss Highlights'!AN$76</f>
        <v>484</v>
      </c>
      <c r="BR479" s="747">
        <f>'[3]Profit and Loss Highlights'!AO$76</f>
        <v>441</v>
      </c>
      <c r="BS479" s="747">
        <f>'[3]Profit and Loss Highlights'!AP$76</f>
        <v>384</v>
      </c>
      <c r="BT479" s="752">
        <f>BT471+BT476+BT478</f>
        <v>1670</v>
      </c>
      <c r="BU479" s="747">
        <f>'[3]Profit and Loss Highlights'!AQ$76</f>
        <v>429</v>
      </c>
      <c r="BV479" s="747">
        <f>'[3]Profit and Loss Highlights'!AR$76</f>
        <v>498</v>
      </c>
      <c r="BW479" s="747">
        <f>'[3]Profit and Loss Highlights'!AS$76</f>
        <v>468</v>
      </c>
      <c r="BX479" s="747">
        <f>'[3]Profit and Loss Highlights'!AT$76</f>
        <v>407</v>
      </c>
      <c r="BY479" s="752">
        <f>BY471+BY476+BY478</f>
        <v>1802</v>
      </c>
      <c r="BZ479" s="747">
        <f>'[3]Profit and Loss Highlights'!AU$76</f>
        <v>429</v>
      </c>
      <c r="CA479" s="747">
        <f>'[3]Profit and Loss Highlights'!AV$76</f>
        <v>453</v>
      </c>
      <c r="CB479" s="747">
        <f>'[3]Profit and Loss Highlights'!AW$76</f>
        <v>384</v>
      </c>
      <c r="CC479" s="747">
        <f>'[3]Profit and Loss Highlights'!AX$76</f>
        <v>178</v>
      </c>
      <c r="CD479" s="752">
        <f t="shared" ref="CD479:CS479" si="1668">CD471+CD476</f>
        <v>1444</v>
      </c>
      <c r="CE479" s="747">
        <f>'[3]Profit and Loss Highlights'!AY$76</f>
        <v>479</v>
      </c>
      <c r="CF479" s="747">
        <f>'[3]Profit and Loss Highlights'!AZ$76</f>
        <v>483</v>
      </c>
      <c r="CG479" s="747">
        <f>'[3]Profit and Loss Highlights'!BA$76</f>
        <v>487</v>
      </c>
      <c r="CH479" s="747">
        <f>'[3]Profit and Loss Highlights'!BB$76</f>
        <v>428</v>
      </c>
      <c r="CI479" s="752">
        <f t="shared" ref="CI479" si="1669">CI471+CI476</f>
        <v>1877</v>
      </c>
      <c r="CJ479" s="747">
        <f>'[3]Profit and Loss Highlights'!BC$76</f>
        <v>500</v>
      </c>
      <c r="CK479" s="747">
        <f>'[3]Profit and Loss Highlights'!BD$76</f>
        <v>537</v>
      </c>
      <c r="CL479" s="747">
        <f>'[3]Profit and Loss Highlights'!BE$76</f>
        <v>544</v>
      </c>
      <c r="CM479" s="747">
        <f>'[3]Profit and Loss Highlights'!BF$76</f>
        <v>486</v>
      </c>
      <c r="CN479" s="752">
        <f t="shared" ref="CN479" si="1670">CN471+CN476</f>
        <v>2089</v>
      </c>
      <c r="CO479" s="747">
        <f>'[3]Profit and Loss Highlights'!BG$76</f>
        <v>559</v>
      </c>
      <c r="CP479" s="747">
        <f>'[3]Profit and Loss Highlights'!BH$76</f>
        <v>585</v>
      </c>
      <c r="CQ479" s="752">
        <f t="shared" si="1668"/>
        <v>2376.7259833006037</v>
      </c>
      <c r="CR479" s="752">
        <f t="shared" si="1668"/>
        <v>2532.3310509072035</v>
      </c>
      <c r="CS479" s="752">
        <f t="shared" si="1668"/>
        <v>2685.1054581044646</v>
      </c>
      <c r="CT479" s="752">
        <f t="shared" ref="CT479:CV479" si="1671">CT471+CT476</f>
        <v>2850.7462979310603</v>
      </c>
      <c r="CU479" s="752">
        <f t="shared" si="1671"/>
        <v>3030.9887869111112</v>
      </c>
      <c r="CV479" s="752">
        <f t="shared" si="1671"/>
        <v>3201.7924490877613</v>
      </c>
      <c r="CW479" s="752">
        <f t="shared" ref="CW479" si="1672">CW471+CW476</f>
        <v>3403.6071341401871</v>
      </c>
      <c r="CX479" s="292"/>
      <c r="CY479" s="292"/>
      <c r="CZ479" s="292"/>
      <c r="DA479" s="292"/>
      <c r="DB479" s="292"/>
      <c r="DC479" s="292"/>
      <c r="DD479" s="292"/>
      <c r="DF479" s="364"/>
      <c r="DG479" s="237"/>
      <c r="DH479" s="237"/>
      <c r="DI479" s="237"/>
      <c r="DJ479" s="237"/>
      <c r="DK479" s="237"/>
      <c r="DL479" s="237"/>
      <c r="DM479" s="237"/>
      <c r="DN479" s="237"/>
      <c r="DO479" s="237"/>
      <c r="EU479" s="286"/>
      <c r="EV479" s="287"/>
    </row>
    <row r="480" spans="1:152">
      <c r="A480" s="366"/>
      <c r="B480" s="717"/>
      <c r="C480" s="717"/>
      <c r="D480" s="717"/>
      <c r="E480" s="717"/>
      <c r="F480" s="717"/>
      <c r="G480" s="717"/>
      <c r="H480" s="717"/>
      <c r="I480" s="717"/>
      <c r="J480" s="717"/>
      <c r="K480" s="717"/>
      <c r="L480" s="717"/>
      <c r="M480" s="717"/>
      <c r="N480" s="717"/>
      <c r="O480" s="717"/>
      <c r="P480" s="717"/>
      <c r="Q480" s="717"/>
      <c r="R480" s="717"/>
      <c r="S480" s="717"/>
      <c r="T480" s="717"/>
      <c r="U480" s="717"/>
      <c r="V480" s="717"/>
      <c r="W480" s="717"/>
      <c r="X480" s="717"/>
      <c r="Y480" s="717"/>
      <c r="Z480" s="717"/>
      <c r="AA480" s="717"/>
      <c r="AB480" s="717"/>
      <c r="AC480" s="717"/>
      <c r="AD480" s="717"/>
      <c r="AE480" s="717"/>
      <c r="AF480" s="717"/>
      <c r="AG480" s="717"/>
      <c r="AH480" s="717"/>
      <c r="AI480" s="717"/>
      <c r="AJ480" s="717"/>
      <c r="AK480" s="717"/>
      <c r="AL480" s="717"/>
      <c r="AM480" s="717"/>
      <c r="AN480" s="717"/>
      <c r="AO480" s="717"/>
      <c r="AP480" s="717"/>
      <c r="AQ480" s="717"/>
      <c r="AR480" s="717"/>
      <c r="AS480" s="717"/>
      <c r="AT480" s="717"/>
      <c r="AU480" s="717"/>
      <c r="AV480" s="717"/>
      <c r="AW480" s="717"/>
      <c r="AX480" s="717"/>
      <c r="AY480" s="717"/>
      <c r="AZ480" s="717"/>
      <c r="BA480" s="717"/>
      <c r="BB480" s="717"/>
      <c r="BC480" s="717"/>
      <c r="BD480" s="717"/>
      <c r="BE480" s="717"/>
      <c r="BF480" s="717"/>
      <c r="BG480" s="717"/>
      <c r="BH480" s="717"/>
      <c r="BI480" s="717"/>
      <c r="BJ480" s="717"/>
      <c r="BK480" s="717"/>
      <c r="BL480" s="717"/>
      <c r="BM480" s="717"/>
      <c r="BN480" s="717"/>
      <c r="BO480" s="717"/>
      <c r="BP480" s="717"/>
      <c r="BQ480" s="717"/>
      <c r="BR480" s="717"/>
      <c r="BS480" s="717"/>
      <c r="BT480" s="717"/>
      <c r="BU480" s="717"/>
      <c r="BV480" s="717"/>
      <c r="BW480" s="717"/>
      <c r="BX480" s="717"/>
      <c r="BY480" s="717"/>
      <c r="BZ480" s="717"/>
      <c r="CA480" s="717"/>
      <c r="CB480" s="717"/>
      <c r="CC480" s="717"/>
      <c r="CD480" s="717"/>
      <c r="CE480" s="717"/>
      <c r="CF480" s="717"/>
      <c r="CG480" s="717"/>
      <c r="CH480" s="717"/>
      <c r="CI480" s="717"/>
      <c r="CJ480" s="717"/>
      <c r="CK480" s="717"/>
      <c r="CL480" s="717"/>
      <c r="CM480" s="717"/>
      <c r="CN480" s="717"/>
      <c r="CO480" s="717"/>
      <c r="CP480" s="717"/>
      <c r="CQ480" s="717"/>
      <c r="CR480" s="717"/>
      <c r="CS480" s="717"/>
      <c r="CT480" s="717"/>
      <c r="CU480" s="717"/>
      <c r="CV480" s="717"/>
      <c r="CW480" s="717"/>
      <c r="CX480" s="292"/>
      <c r="CY480" s="292"/>
      <c r="CZ480" s="292"/>
      <c r="DA480" s="292"/>
      <c r="DB480" s="292"/>
      <c r="DC480" s="292"/>
      <c r="DD480" s="292"/>
      <c r="DF480" s="364"/>
      <c r="DG480" s="237"/>
      <c r="DH480" s="237"/>
      <c r="DI480" s="237"/>
      <c r="DJ480" s="237"/>
      <c r="DK480" s="237"/>
      <c r="DL480" s="237"/>
      <c r="DM480" s="237"/>
      <c r="DN480" s="237"/>
      <c r="DO480" s="237"/>
      <c r="EU480" s="286"/>
      <c r="EV480" s="287"/>
    </row>
    <row r="481" spans="1:152">
      <c r="A481" s="366" t="s">
        <v>89</v>
      </c>
      <c r="B481" s="753">
        <v>-707.5</v>
      </c>
      <c r="C481" s="753"/>
      <c r="D481" s="753"/>
      <c r="E481" s="753"/>
      <c r="F481" s="753"/>
      <c r="G481" s="753">
        <v>-827.3</v>
      </c>
      <c r="H481" s="753">
        <v>-25</v>
      </c>
      <c r="I481" s="753"/>
      <c r="J481" s="753">
        <v>-192</v>
      </c>
      <c r="K481" s="753">
        <v>-192</v>
      </c>
      <c r="L481" s="753">
        <v>-775</v>
      </c>
      <c r="M481" s="753">
        <v>-213</v>
      </c>
      <c r="N481" s="753">
        <v>-188</v>
      </c>
      <c r="O481" s="753">
        <v>-214</v>
      </c>
      <c r="P481" s="753">
        <v>-222</v>
      </c>
      <c r="Q481" s="753">
        <v>-837</v>
      </c>
      <c r="R481" s="753">
        <v>-201</v>
      </c>
      <c r="S481" s="753">
        <v>-205</v>
      </c>
      <c r="T481" s="753">
        <v>-208</v>
      </c>
      <c r="U481" s="753">
        <v>141</v>
      </c>
      <c r="V481" s="718">
        <v>-473</v>
      </c>
      <c r="W481" s="718">
        <v>-194</v>
      </c>
      <c r="X481" s="718">
        <v>-164</v>
      </c>
      <c r="Y481" s="718">
        <v>-189</v>
      </c>
      <c r="Z481" s="718">
        <v>-169</v>
      </c>
      <c r="AA481" s="718">
        <v>-716</v>
      </c>
      <c r="AB481" s="718">
        <v>-190</v>
      </c>
      <c r="AC481" s="718">
        <v>-205</v>
      </c>
      <c r="AD481" s="718">
        <v>-193</v>
      </c>
      <c r="AE481" s="718">
        <v>-136</v>
      </c>
      <c r="AF481" s="718">
        <v>-724</v>
      </c>
      <c r="AG481" s="718">
        <v>-169</v>
      </c>
      <c r="AH481" s="718">
        <v>-160.76864535768644</v>
      </c>
      <c r="AI481" s="718">
        <v>-192</v>
      </c>
      <c r="AJ481" s="718">
        <v>-167</v>
      </c>
      <c r="AK481" s="718">
        <v>-688.76864535768641</v>
      </c>
      <c r="AL481" s="718">
        <v>-178</v>
      </c>
      <c r="AM481" s="718">
        <v>-188</v>
      </c>
      <c r="AN481" s="718">
        <v>-144</v>
      </c>
      <c r="AO481" s="718">
        <v>-203</v>
      </c>
      <c r="AP481" s="718">
        <v>-713</v>
      </c>
      <c r="AQ481" s="718">
        <v>-202</v>
      </c>
      <c r="AR481" s="718">
        <v>-144</v>
      </c>
      <c r="AS481" s="718">
        <v>-179</v>
      </c>
      <c r="AT481" s="718">
        <v>-184</v>
      </c>
      <c r="AU481" s="718">
        <f>SUM(AQ481:AT481)</f>
        <v>-709</v>
      </c>
      <c r="AV481" s="718">
        <v>-174</v>
      </c>
      <c r="AW481" s="730">
        <f>'[3]Profit and Loss Highlights'!X$77</f>
        <v>-176</v>
      </c>
      <c r="AX481" s="730">
        <f>'[3]Profit and Loss Highlights'!Y$77</f>
        <v>-175</v>
      </c>
      <c r="AY481" s="730">
        <f>'[3]Profit and Loss Highlights'!Z$77</f>
        <v>-151</v>
      </c>
      <c r="AZ481" s="754">
        <f>SUM(AV481:AY481)</f>
        <v>-676</v>
      </c>
      <c r="BA481" s="730">
        <f>'[3]Profit and Loss Highlights'!AA$77</f>
        <v>-166</v>
      </c>
      <c r="BB481" s="730">
        <f>'[3]Profit and Loss Highlights'!AB$77</f>
        <v>-157</v>
      </c>
      <c r="BC481" s="730">
        <f>'[3]Profit and Loss Highlights'!AC$77</f>
        <v>-166</v>
      </c>
      <c r="BD481" s="730">
        <f>'[3]Profit and Loss Highlights'!AD$77</f>
        <v>-96</v>
      </c>
      <c r="BE481" s="754">
        <f>SUM(BA481:BD481)</f>
        <v>-585</v>
      </c>
      <c r="BF481" s="730">
        <f>'[3]Profit and Loss Highlights'!AE$77</f>
        <v>-134</v>
      </c>
      <c r="BG481" s="730">
        <f>'[3]Profit and Loss Highlights'!AF$77</f>
        <v>-139</v>
      </c>
      <c r="BH481" s="730">
        <f>'[3]Profit and Loss Highlights'!AG$77</f>
        <v>-124</v>
      </c>
      <c r="BI481" s="730">
        <f>'[3]Profit and Loss Highlights'!AH$77</f>
        <v>-112</v>
      </c>
      <c r="BJ481" s="754">
        <f>SUM(BF481:BI481)</f>
        <v>-509</v>
      </c>
      <c r="BK481" s="730">
        <f>'[3]Profit and Loss Highlights'!AI$77</f>
        <v>-118</v>
      </c>
      <c r="BL481" s="730">
        <f>'[3]Profit and Loss Highlights'!AJ$77</f>
        <v>-113</v>
      </c>
      <c r="BM481" s="730">
        <f>'[3]Profit and Loss Highlights'!AK$77</f>
        <v>-126</v>
      </c>
      <c r="BN481" s="730">
        <f>'[3]Profit and Loss Highlights'!AL$77</f>
        <v>-112</v>
      </c>
      <c r="BO481" s="754">
        <f>SUM(BK481:BN481)</f>
        <v>-469</v>
      </c>
      <c r="BP481" s="730">
        <f>'[3]Profit and Loss Highlights'!AM$77</f>
        <v>-119</v>
      </c>
      <c r="BQ481" s="730">
        <f>'[3]Profit and Loss Highlights'!AN$77</f>
        <v>-124</v>
      </c>
      <c r="BR481" s="730">
        <f>'[3]Profit and Loss Highlights'!AO$77</f>
        <v>-116</v>
      </c>
      <c r="BS481" s="730">
        <f>'[3]Profit and Loss Highlights'!AP$77</f>
        <v>-95</v>
      </c>
      <c r="BT481" s="754">
        <f>SUM(BP481:BS481)</f>
        <v>-454</v>
      </c>
      <c r="BU481" s="730">
        <f>'[3]Profit and Loss Highlights'!AQ$77</f>
        <v>-140</v>
      </c>
      <c r="BV481" s="730">
        <f>'[3]Profit and Loss Highlights'!AR$77</f>
        <v>-176</v>
      </c>
      <c r="BW481" s="730">
        <f>'[3]Profit and Loss Highlights'!AS$77</f>
        <v>-160</v>
      </c>
      <c r="BX481" s="730">
        <f>'[3]Profit and Loss Highlights'!AT$77</f>
        <v>-175</v>
      </c>
      <c r="BY481" s="754">
        <f>SUM(BU481:BX481)</f>
        <v>-651</v>
      </c>
      <c r="BZ481" s="730">
        <f>'[3]Profit and Loss Highlights'!AU$77</f>
        <v>-109</v>
      </c>
      <c r="CA481" s="730">
        <f>'[3]Profit and Loss Highlights'!AV$77</f>
        <v>-124</v>
      </c>
      <c r="CB481" s="730">
        <f>'[3]Profit and Loss Highlights'!AW$77</f>
        <v>-97</v>
      </c>
      <c r="CC481" s="730">
        <f>'[3]Profit and Loss Highlights'!AX$77</f>
        <v>-122</v>
      </c>
      <c r="CD481" s="754">
        <f>SUM(BZ481:CC481)</f>
        <v>-452</v>
      </c>
      <c r="CE481" s="730">
        <f>'[3]Profit and Loss Highlights'!AY$77</f>
        <v>-126</v>
      </c>
      <c r="CF481" s="730">
        <f>'[3]Profit and Loss Highlights'!AZ$77</f>
        <v>-127</v>
      </c>
      <c r="CG481" s="730">
        <f>'[3]Profit and Loss Highlights'!BA$77</f>
        <v>-121</v>
      </c>
      <c r="CH481" s="730">
        <f>'[3]Profit and Loss Highlights'!BB$77</f>
        <v>-107</v>
      </c>
      <c r="CI481" s="754">
        <f>SUM(CE481:CH481)</f>
        <v>-481</v>
      </c>
      <c r="CJ481" s="730">
        <f>'[3]Profit and Loss Highlights'!BC$77</f>
        <v>-129</v>
      </c>
      <c r="CK481" s="730">
        <f>'[3]Profit and Loss Highlights'!BD$77</f>
        <v>-139</v>
      </c>
      <c r="CL481" s="730">
        <f>'[3]Profit and Loss Highlights'!BE$77</f>
        <v>-132</v>
      </c>
      <c r="CM481" s="730">
        <f>'[3]Profit and Loss Highlights'!BF$77</f>
        <v>-106</v>
      </c>
      <c r="CN481" s="754">
        <f>SUM(CJ481:CM481)</f>
        <v>-506</v>
      </c>
      <c r="CO481" s="730">
        <f>'[3]Profit and Loss Highlights'!BG$77</f>
        <v>-142</v>
      </c>
      <c r="CP481" s="730">
        <f>'[3]Profit and Loss Highlights'!BH$77</f>
        <v>-149</v>
      </c>
      <c r="CQ481" s="692">
        <f>-'Balance Sheet and Cflow'!U194</f>
        <v>-582.29786590864785</v>
      </c>
      <c r="CR481" s="692">
        <f>-'Balance Sheet and Cflow'!V194</f>
        <v>-607.75945221772884</v>
      </c>
      <c r="CS481" s="692">
        <f>-'Balance Sheet and Cflow'!W194</f>
        <v>-644.42530994507149</v>
      </c>
      <c r="CT481" s="692">
        <f>-'Balance Sheet and Cflow'!X194</f>
        <v>-684.17911150345446</v>
      </c>
      <c r="CU481" s="692">
        <f>-'Balance Sheet and Cflow'!Y194</f>
        <v>-727.43730885866671</v>
      </c>
      <c r="CV481" s="692">
        <f>-'Balance Sheet and Cflow'!Z194</f>
        <v>-768.43018778106273</v>
      </c>
      <c r="CW481" s="692">
        <f>-'Balance Sheet and Cflow'!AA194</f>
        <v>-816.86571219364487</v>
      </c>
      <c r="CX481" s="292"/>
      <c r="CY481" s="292"/>
      <c r="CZ481" s="292"/>
      <c r="DA481" s="292"/>
      <c r="DB481" s="292"/>
      <c r="DC481" s="159"/>
      <c r="DD481" s="159"/>
      <c r="DF481" s="356"/>
      <c r="DG481" s="185"/>
      <c r="DH481" s="185"/>
      <c r="DI481" s="161"/>
      <c r="DJ481" s="161"/>
      <c r="DK481" s="161"/>
      <c r="DL481" s="161"/>
      <c r="DM481" s="161"/>
      <c r="DN481" s="161"/>
      <c r="DO481" s="161"/>
      <c r="EU481" s="286"/>
      <c r="EV481" s="287"/>
    </row>
    <row r="482" spans="1:152">
      <c r="A482" s="226" t="s">
        <v>90</v>
      </c>
      <c r="B482" s="218">
        <f>B481/B479</f>
        <v>-0.26326560988315845</v>
      </c>
      <c r="C482" s="218"/>
      <c r="D482" s="218"/>
      <c r="E482" s="218"/>
      <c r="F482" s="218"/>
      <c r="G482" s="218">
        <f t="shared" ref="G482:AL482" si="1673">G481/G479</f>
        <v>-0.25629666346541086</v>
      </c>
      <c r="H482" s="218">
        <f t="shared" si="1673"/>
        <v>-2.336448598130841E-2</v>
      </c>
      <c r="I482" s="218">
        <f t="shared" si="1673"/>
        <v>0</v>
      </c>
      <c r="J482" s="218">
        <f t="shared" si="1673"/>
        <v>-0.23791821561338289</v>
      </c>
      <c r="K482" s="218">
        <f t="shared" si="1673"/>
        <v>-0.24615384615384617</v>
      </c>
      <c r="L482" s="218">
        <f t="shared" si="1673"/>
        <v>-0.25773195876288657</v>
      </c>
      <c r="M482" s="218">
        <f t="shared" si="1673"/>
        <v>-0.27843137254901962</v>
      </c>
      <c r="N482" s="218">
        <f t="shared" si="1673"/>
        <v>-0.26111111111111113</v>
      </c>
      <c r="O482" s="218">
        <f t="shared" si="1673"/>
        <v>-0.2625766871165644</v>
      </c>
      <c r="P482" s="218">
        <f t="shared" si="1673"/>
        <v>-0.26682692307692307</v>
      </c>
      <c r="Q482" s="218">
        <f t="shared" si="1673"/>
        <v>-0.26724137931034481</v>
      </c>
      <c r="R482" s="218">
        <f t="shared" si="1673"/>
        <v>-0.27125506072874495</v>
      </c>
      <c r="S482" s="218">
        <f t="shared" si="1673"/>
        <v>-0.27080581241743723</v>
      </c>
      <c r="T482" s="218">
        <f t="shared" si="1673"/>
        <v>-0.27882037533512066</v>
      </c>
      <c r="U482" s="218">
        <f t="shared" si="1673"/>
        <v>0.18552631578947368</v>
      </c>
      <c r="V482" s="218">
        <f t="shared" si="1673"/>
        <v>-0.15745672436750999</v>
      </c>
      <c r="W482" s="218">
        <f t="shared" si="1673"/>
        <v>-0.25293350717079532</v>
      </c>
      <c r="X482" s="218">
        <f t="shared" si="1673"/>
        <v>-0.21779548472775564</v>
      </c>
      <c r="Y482" s="218">
        <f t="shared" si="1673"/>
        <v>-0.27391304347826084</v>
      </c>
      <c r="Z482" s="218">
        <f t="shared" si="1673"/>
        <v>-0.33867735470941884</v>
      </c>
      <c r="AA482" s="218">
        <f t="shared" si="1673"/>
        <v>-0.26430417128091549</v>
      </c>
      <c r="AB482" s="218">
        <f t="shared" si="1673"/>
        <v>-0.28231797919762258</v>
      </c>
      <c r="AC482" s="218">
        <f t="shared" si="1673"/>
        <v>-0.27553763440860213</v>
      </c>
      <c r="AD482" s="218">
        <f t="shared" si="1673"/>
        <v>-0.25097529258777634</v>
      </c>
      <c r="AE482" s="218">
        <f t="shared" si="1673"/>
        <v>-0.21216848673946959</v>
      </c>
      <c r="AF482" s="218">
        <f t="shared" si="1673"/>
        <v>-0.2561018747789176</v>
      </c>
      <c r="AG482" s="218">
        <f t="shared" si="1673"/>
        <v>-0.59143435078706241</v>
      </c>
      <c r="AH482" s="218">
        <f t="shared" si="1673"/>
        <v>-0.7420114155321389</v>
      </c>
      <c r="AI482" s="218">
        <f t="shared" si="1673"/>
        <v>-0.85129023676509719</v>
      </c>
      <c r="AJ482" s="218">
        <f t="shared" si="1673"/>
        <v>-1.0161612228009538</v>
      </c>
      <c r="AK482" s="218">
        <f t="shared" si="1673"/>
        <v>-0.29994316564269441</v>
      </c>
      <c r="AL482" s="218">
        <f t="shared" si="1673"/>
        <v>-0.56784105554633957</v>
      </c>
      <c r="AM482" s="218">
        <f t="shared" ref="AM482:BF482" si="1674">AM481/AM479</f>
        <v>-0.79701543157537735</v>
      </c>
      <c r="AN482" s="218">
        <f t="shared" si="1674"/>
        <v>-0.55172413793103448</v>
      </c>
      <c r="AO482" s="218">
        <f t="shared" si="1674"/>
        <v>-0.85654008438818563</v>
      </c>
      <c r="AP482" s="218">
        <f t="shared" si="1674"/>
        <v>-0.2567353222138834</v>
      </c>
      <c r="AQ482" s="218">
        <f t="shared" si="1674"/>
        <v>-0.29446064139941691</v>
      </c>
      <c r="AR482" s="218">
        <f t="shared" si="1674"/>
        <v>-0.25352112676056338</v>
      </c>
      <c r="AS482" s="218">
        <f t="shared" si="1674"/>
        <v>-0.25644699140401145</v>
      </c>
      <c r="AT482" s="227">
        <f t="shared" si="1674"/>
        <v>-0.25136612021857924</v>
      </c>
      <c r="AU482" s="218">
        <f t="shared" si="1674"/>
        <v>-0.29057377049180327</v>
      </c>
      <c r="AV482" s="227">
        <f t="shared" si="1674"/>
        <v>-0.25438596491228072</v>
      </c>
      <c r="AW482" s="227">
        <f t="shared" si="1674"/>
        <v>-0.26747720364741639</v>
      </c>
      <c r="AX482" s="227">
        <f t="shared" si="1674"/>
        <v>-0.23777173913043478</v>
      </c>
      <c r="AY482" s="227">
        <f t="shared" si="1674"/>
        <v>-0.2291350531107739</v>
      </c>
      <c r="AZ482" s="218">
        <f t="shared" si="1674"/>
        <v>-0.24698575082206795</v>
      </c>
      <c r="BA482" s="227">
        <f t="shared" si="1674"/>
        <v>-0.2455621301775148</v>
      </c>
      <c r="BB482" s="227">
        <f t="shared" si="1674"/>
        <v>-0.24724409448818899</v>
      </c>
      <c r="BC482" s="227">
        <f t="shared" si="1674"/>
        <v>-0.24269005847953215</v>
      </c>
      <c r="BD482" s="227">
        <f t="shared" si="1674"/>
        <v>-0.27042253521126758</v>
      </c>
      <c r="BE482" s="218">
        <f t="shared" si="1674"/>
        <v>-0.24893617021276596</v>
      </c>
      <c r="BF482" s="227">
        <f t="shared" si="1674"/>
        <v>-0.25</v>
      </c>
      <c r="BG482" s="227">
        <f t="shared" ref="BG482:CS482" si="1675">BG481/BG479</f>
        <v>-0.26325757575757575</v>
      </c>
      <c r="BH482" s="227">
        <f t="shared" si="1675"/>
        <v>-0.256198347107438</v>
      </c>
      <c r="BI482" s="227">
        <f t="shared" si="1675"/>
        <v>-0.24669603524229075</v>
      </c>
      <c r="BJ482" s="218">
        <f t="shared" si="1675"/>
        <v>-0.25</v>
      </c>
      <c r="BK482" s="227">
        <f t="shared" si="1675"/>
        <v>-0.24737945492662475</v>
      </c>
      <c r="BL482" s="227">
        <f t="shared" si="1675"/>
        <v>-0.25111111111111112</v>
      </c>
      <c r="BM482" s="227">
        <f t="shared" si="1675"/>
        <v>-0.25766871165644173</v>
      </c>
      <c r="BN482" s="227">
        <f t="shared" si="1675"/>
        <v>-0.25986078886310904</v>
      </c>
      <c r="BO482" s="218">
        <f t="shared" si="1675"/>
        <v>-0.24960085151676423</v>
      </c>
      <c r="BP482" s="227">
        <f t="shared" si="1675"/>
        <v>-0.26269315673289184</v>
      </c>
      <c r="BQ482" s="227">
        <f t="shared" si="1675"/>
        <v>-0.256198347107438</v>
      </c>
      <c r="BR482" s="227">
        <f t="shared" si="1675"/>
        <v>-0.26303854875283444</v>
      </c>
      <c r="BS482" s="227">
        <f t="shared" si="1675"/>
        <v>-0.24739583333333334</v>
      </c>
      <c r="BT482" s="218">
        <f t="shared" si="1675"/>
        <v>-0.27185628742514972</v>
      </c>
      <c r="BU482" s="229">
        <f t="shared" si="1675"/>
        <v>-0.32634032634032634</v>
      </c>
      <c r="BV482" s="229">
        <f t="shared" si="1675"/>
        <v>-0.3534136546184739</v>
      </c>
      <c r="BW482" s="229">
        <f t="shared" ref="BW482:BX482" si="1676">BW481/BW479</f>
        <v>-0.34188034188034189</v>
      </c>
      <c r="BX482" s="229">
        <f t="shared" si="1676"/>
        <v>-0.42997542997542998</v>
      </c>
      <c r="BY482" s="218">
        <f t="shared" si="1675"/>
        <v>-0.36126526082130966</v>
      </c>
      <c r="BZ482" s="229">
        <f t="shared" ref="BZ482:CA482" si="1677">BZ481/BZ479</f>
        <v>-0.25407925407925408</v>
      </c>
      <c r="CA482" s="229">
        <f t="shared" si="1677"/>
        <v>-0.27373068432671083</v>
      </c>
      <c r="CB482" s="229">
        <f t="shared" ref="CB482:CC482" si="1678">CB481/CB479</f>
        <v>-0.25260416666666669</v>
      </c>
      <c r="CC482" s="229">
        <f t="shared" si="1678"/>
        <v>-0.6853932584269663</v>
      </c>
      <c r="CD482" s="218">
        <f t="shared" si="1675"/>
        <v>-0.31301939058171746</v>
      </c>
      <c r="CE482" s="229">
        <f t="shared" si="1675"/>
        <v>-0.26304801670146138</v>
      </c>
      <c r="CF482" s="229">
        <f t="shared" ref="CF482:CG482" si="1679">CF481/CF479</f>
        <v>-0.26293995859213248</v>
      </c>
      <c r="CG482" s="229">
        <f t="shared" si="1679"/>
        <v>-0.24845995893223818</v>
      </c>
      <c r="CH482" s="229">
        <f t="shared" ref="CH482:CJ482" si="1680">CH481/CH479</f>
        <v>-0.25</v>
      </c>
      <c r="CI482" s="218">
        <f t="shared" si="1680"/>
        <v>-0.25625998934469901</v>
      </c>
      <c r="CJ482" s="229">
        <f t="shared" si="1680"/>
        <v>-0.25800000000000001</v>
      </c>
      <c r="CK482" s="229">
        <f t="shared" ref="CK482:CL482" si="1681">CK481/CK479</f>
        <v>-0.25884543761638734</v>
      </c>
      <c r="CL482" s="229">
        <f t="shared" si="1681"/>
        <v>-0.24264705882352941</v>
      </c>
      <c r="CM482" s="229">
        <f t="shared" ref="CM482:CP482" si="1682">CM481/CM479</f>
        <v>-0.21810699588477367</v>
      </c>
      <c r="CN482" s="218">
        <f t="shared" si="1682"/>
        <v>-0.24222115844901868</v>
      </c>
      <c r="CO482" s="229">
        <f t="shared" si="1682"/>
        <v>-0.25402504472271914</v>
      </c>
      <c r="CP482" s="229">
        <f t="shared" si="1682"/>
        <v>-0.25470085470085468</v>
      </c>
      <c r="CQ482" s="218">
        <f t="shared" si="1675"/>
        <v>-0.24499999999999997</v>
      </c>
      <c r="CR482" s="218">
        <f t="shared" si="1675"/>
        <v>-0.24</v>
      </c>
      <c r="CS482" s="218">
        <f t="shared" si="1675"/>
        <v>-0.24</v>
      </c>
      <c r="CT482" s="218">
        <f t="shared" ref="CT482:CW482" si="1683">CT481/CT479</f>
        <v>-0.24</v>
      </c>
      <c r="CU482" s="218">
        <f t="shared" si="1683"/>
        <v>-0.24000000000000002</v>
      </c>
      <c r="CV482" s="218">
        <f t="shared" si="1683"/>
        <v>-0.24000000000000002</v>
      </c>
      <c r="CW482" s="218">
        <f t="shared" si="1683"/>
        <v>-0.24</v>
      </c>
      <c r="CX482" s="159"/>
      <c r="CY482" s="159"/>
      <c r="CZ482" s="159"/>
      <c r="DA482" s="159"/>
      <c r="DB482" s="159"/>
      <c r="DC482" s="159"/>
      <c r="DD482" s="159"/>
      <c r="DF482" s="364"/>
      <c r="DG482" s="365"/>
      <c r="DH482" s="365"/>
      <c r="DI482" s="365"/>
      <c r="DJ482" s="365"/>
      <c r="DK482" s="365"/>
      <c r="DL482" s="365"/>
      <c r="DM482" s="365"/>
      <c r="DN482" s="365"/>
      <c r="DO482" s="365"/>
      <c r="EP482" s="221"/>
      <c r="EU482" s="286"/>
      <c r="EV482" s="287"/>
    </row>
    <row r="483" spans="1:152">
      <c r="A483" s="226" t="s">
        <v>123</v>
      </c>
      <c r="B483" s="728">
        <v>0</v>
      </c>
      <c r="C483" s="728">
        <v>0</v>
      </c>
      <c r="D483" s="728">
        <v>0</v>
      </c>
      <c r="E483" s="728">
        <v>0</v>
      </c>
      <c r="F483" s="728">
        <v>0</v>
      </c>
      <c r="G483" s="728">
        <v>0</v>
      </c>
      <c r="H483" s="728">
        <v>0</v>
      </c>
      <c r="I483" s="728">
        <v>0</v>
      </c>
      <c r="J483" s="728">
        <v>0</v>
      </c>
      <c r="K483" s="728">
        <v>0</v>
      </c>
      <c r="L483" s="728">
        <v>0</v>
      </c>
      <c r="M483" s="728">
        <v>0</v>
      </c>
      <c r="N483" s="728">
        <v>0</v>
      </c>
      <c r="O483" s="728">
        <v>0</v>
      </c>
      <c r="P483" s="728">
        <v>0</v>
      </c>
      <c r="Q483" s="728">
        <v>0</v>
      </c>
      <c r="R483" s="728">
        <v>0</v>
      </c>
      <c r="S483" s="728">
        <v>0</v>
      </c>
      <c r="T483" s="728">
        <v>0</v>
      </c>
      <c r="U483" s="728">
        <v>0</v>
      </c>
      <c r="V483" s="728">
        <v>0</v>
      </c>
      <c r="W483" s="728">
        <v>0</v>
      </c>
      <c r="X483" s="728">
        <v>0</v>
      </c>
      <c r="Y483" s="728">
        <v>0</v>
      </c>
      <c r="Z483" s="728">
        <v>0</v>
      </c>
      <c r="AA483" s="728">
        <v>0</v>
      </c>
      <c r="AB483" s="728">
        <v>0</v>
      </c>
      <c r="AC483" s="728">
        <v>0</v>
      </c>
      <c r="AD483" s="728">
        <v>0</v>
      </c>
      <c r="AE483" s="728">
        <v>0</v>
      </c>
      <c r="AF483" s="728">
        <v>0</v>
      </c>
      <c r="AG483" s="728">
        <v>0</v>
      </c>
      <c r="AH483" s="728">
        <v>0</v>
      </c>
      <c r="AI483" s="728">
        <v>0</v>
      </c>
      <c r="AJ483" s="728">
        <v>0</v>
      </c>
      <c r="AK483" s="728">
        <v>0</v>
      </c>
      <c r="AL483" s="728">
        <v>0</v>
      </c>
      <c r="AM483" s="728">
        <v>0</v>
      </c>
      <c r="AN483" s="728">
        <v>0</v>
      </c>
      <c r="AO483" s="728">
        <v>0</v>
      </c>
      <c r="AP483" s="728">
        <v>0</v>
      </c>
      <c r="AQ483" s="693"/>
      <c r="AR483" s="693"/>
      <c r="AS483" s="693"/>
      <c r="AT483" s="693"/>
      <c r="AU483" s="691">
        <f>AP483</f>
        <v>0</v>
      </c>
      <c r="AV483" s="691"/>
      <c r="AW483" s="691"/>
      <c r="AX483" s="691"/>
      <c r="AY483" s="691"/>
      <c r="AZ483" s="691">
        <f>AU483</f>
        <v>0</v>
      </c>
      <c r="BA483" s="691"/>
      <c r="BB483" s="691"/>
      <c r="BC483" s="691"/>
      <c r="BD483" s="691"/>
      <c r="BE483" s="691">
        <f>AR483</f>
        <v>0</v>
      </c>
      <c r="BF483" s="728">
        <v>0</v>
      </c>
      <c r="BG483" s="728">
        <v>0</v>
      </c>
      <c r="BH483" s="728">
        <v>0</v>
      </c>
      <c r="BI483" s="728">
        <v>0</v>
      </c>
      <c r="BJ483" s="691">
        <f>SUM(BF483:BI483)</f>
        <v>0</v>
      </c>
      <c r="BK483" s="728">
        <v>0</v>
      </c>
      <c r="BL483" s="728">
        <v>0</v>
      </c>
      <c r="BM483" s="728">
        <v>0</v>
      </c>
      <c r="BN483" s="728">
        <v>0</v>
      </c>
      <c r="BO483" s="691">
        <f>SUM(BK483:BN483)</f>
        <v>0</v>
      </c>
      <c r="BP483" s="728">
        <v>0</v>
      </c>
      <c r="BQ483" s="728">
        <v>0</v>
      </c>
      <c r="BR483" s="728">
        <v>0</v>
      </c>
      <c r="BS483" s="728">
        <v>0</v>
      </c>
      <c r="BT483" s="691">
        <f>SUM(BP483:BS483)</f>
        <v>0</v>
      </c>
      <c r="BU483" s="718">
        <v>0</v>
      </c>
      <c r="BV483" s="718">
        <v>0</v>
      </c>
      <c r="BW483" s="718">
        <v>0</v>
      </c>
      <c r="BX483" s="718">
        <v>0</v>
      </c>
      <c r="BY483" s="728">
        <v>0</v>
      </c>
      <c r="BZ483" s="718">
        <v>0</v>
      </c>
      <c r="CA483" s="718">
        <v>0</v>
      </c>
      <c r="CB483" s="718">
        <v>0</v>
      </c>
      <c r="CC483" s="718">
        <v>0</v>
      </c>
      <c r="CD483" s="728">
        <v>0</v>
      </c>
      <c r="CE483" s="718">
        <v>0</v>
      </c>
      <c r="CF483" s="718">
        <v>0</v>
      </c>
      <c r="CG483" s="718">
        <v>0</v>
      </c>
      <c r="CH483" s="718">
        <v>0</v>
      </c>
      <c r="CI483" s="728">
        <v>0</v>
      </c>
      <c r="CJ483" s="718">
        <v>0</v>
      </c>
      <c r="CK483" s="718">
        <v>0</v>
      </c>
      <c r="CL483" s="718">
        <v>0</v>
      </c>
      <c r="CM483" s="718">
        <v>0</v>
      </c>
      <c r="CN483" s="728">
        <v>0</v>
      </c>
      <c r="CO483" s="718">
        <v>0</v>
      </c>
      <c r="CP483" s="718">
        <v>0</v>
      </c>
      <c r="CQ483" s="728">
        <v>0</v>
      </c>
      <c r="CR483" s="728">
        <v>0</v>
      </c>
      <c r="CS483" s="728">
        <v>0</v>
      </c>
      <c r="CT483" s="728">
        <v>0</v>
      </c>
      <c r="CU483" s="728">
        <v>0</v>
      </c>
      <c r="CV483" s="728">
        <v>0</v>
      </c>
      <c r="CW483" s="728">
        <v>0</v>
      </c>
      <c r="CX483" s="159"/>
      <c r="CY483" s="159"/>
      <c r="CZ483" s="159"/>
      <c r="DA483" s="159"/>
      <c r="DB483" s="159"/>
      <c r="DC483" s="159"/>
      <c r="DD483" s="159"/>
      <c r="DF483" s="364"/>
      <c r="DG483" s="365"/>
      <c r="DH483" s="365"/>
      <c r="DI483" s="365"/>
      <c r="DJ483" s="365"/>
      <c r="DK483" s="365"/>
      <c r="DL483" s="365"/>
      <c r="DM483" s="365"/>
      <c r="DN483" s="365"/>
      <c r="DO483" s="365"/>
      <c r="EP483" s="221"/>
      <c r="EU483" s="286"/>
      <c r="EV483" s="287"/>
    </row>
    <row r="484" spans="1:152">
      <c r="A484" s="283" t="s">
        <v>855</v>
      </c>
      <c r="B484" s="688">
        <f>B479+B481</f>
        <v>1979.9</v>
      </c>
      <c r="C484" s="688"/>
      <c r="D484" s="688"/>
      <c r="E484" s="688"/>
      <c r="F484" s="688"/>
      <c r="G484" s="688">
        <f t="shared" ref="G484:AS484" si="1684">G479+G481</f>
        <v>2400.6000000000013</v>
      </c>
      <c r="H484" s="688">
        <f t="shared" si="1684"/>
        <v>1045</v>
      </c>
      <c r="I484" s="688">
        <f t="shared" si="1684"/>
        <v>1075.2475247524753</v>
      </c>
      <c r="J484" s="688">
        <f t="shared" si="1684"/>
        <v>615</v>
      </c>
      <c r="K484" s="688">
        <f t="shared" si="1684"/>
        <v>588</v>
      </c>
      <c r="L484" s="688">
        <f t="shared" si="1684"/>
        <v>2232</v>
      </c>
      <c r="M484" s="688">
        <f t="shared" si="1684"/>
        <v>552</v>
      </c>
      <c r="N484" s="688">
        <f t="shared" si="1684"/>
        <v>532</v>
      </c>
      <c r="O484" s="688">
        <f t="shared" si="1684"/>
        <v>601</v>
      </c>
      <c r="P484" s="688">
        <f t="shared" si="1684"/>
        <v>610</v>
      </c>
      <c r="Q484" s="688">
        <f t="shared" si="1684"/>
        <v>2295</v>
      </c>
      <c r="R484" s="688">
        <f t="shared" si="1684"/>
        <v>540</v>
      </c>
      <c r="S484" s="688">
        <f t="shared" si="1684"/>
        <v>552</v>
      </c>
      <c r="T484" s="688">
        <f t="shared" si="1684"/>
        <v>538</v>
      </c>
      <c r="U484" s="688">
        <f t="shared" si="1684"/>
        <v>901</v>
      </c>
      <c r="V484" s="688">
        <f t="shared" si="1684"/>
        <v>2531</v>
      </c>
      <c r="W484" s="688">
        <f t="shared" si="1684"/>
        <v>573</v>
      </c>
      <c r="X484" s="688">
        <f t="shared" si="1684"/>
        <v>589</v>
      </c>
      <c r="Y484" s="688">
        <f t="shared" si="1684"/>
        <v>501</v>
      </c>
      <c r="Z484" s="688">
        <f t="shared" si="1684"/>
        <v>330</v>
      </c>
      <c r="AA484" s="688">
        <f t="shared" si="1684"/>
        <v>1993</v>
      </c>
      <c r="AB484" s="688">
        <f t="shared" si="1684"/>
        <v>483</v>
      </c>
      <c r="AC484" s="688">
        <f t="shared" si="1684"/>
        <v>539</v>
      </c>
      <c r="AD484" s="688">
        <f t="shared" si="1684"/>
        <v>576</v>
      </c>
      <c r="AE484" s="688">
        <f t="shared" si="1684"/>
        <v>505</v>
      </c>
      <c r="AF484" s="688">
        <f t="shared" si="1684"/>
        <v>2103</v>
      </c>
      <c r="AG484" s="688">
        <f t="shared" si="1684"/>
        <v>116.74600000000009</v>
      </c>
      <c r="AH484" s="688">
        <f t="shared" si="1684"/>
        <v>55.897354642313616</v>
      </c>
      <c r="AI484" s="688">
        <f t="shared" si="1684"/>
        <v>33.539999999999964</v>
      </c>
      <c r="AJ484" s="688">
        <f t="shared" si="1684"/>
        <v>-2.6559999999999491</v>
      </c>
      <c r="AK484" s="688">
        <f t="shared" si="1684"/>
        <v>1607.561874065377</v>
      </c>
      <c r="AL484" s="688">
        <f t="shared" si="1684"/>
        <v>135.46800000000007</v>
      </c>
      <c r="AM484" s="688">
        <f t="shared" si="1684"/>
        <v>47.879999999999995</v>
      </c>
      <c r="AN484" s="688">
        <f t="shared" si="1684"/>
        <v>117</v>
      </c>
      <c r="AO484" s="688">
        <f t="shared" si="1684"/>
        <v>34</v>
      </c>
      <c r="AP484" s="688">
        <f t="shared" si="1684"/>
        <v>2064.1792126289793</v>
      </c>
      <c r="AQ484" s="688">
        <f t="shared" si="1684"/>
        <v>484</v>
      </c>
      <c r="AR484" s="688">
        <f t="shared" si="1684"/>
        <v>424</v>
      </c>
      <c r="AS484" s="688">
        <f t="shared" si="1684"/>
        <v>519</v>
      </c>
      <c r="AT484" s="689">
        <v>544</v>
      </c>
      <c r="AU484" s="688">
        <f>SUM(AQ484:AT484)</f>
        <v>1971</v>
      </c>
      <c r="AV484" s="688">
        <f>AV479+AV481</f>
        <v>510</v>
      </c>
      <c r="AW484" s="688">
        <f>AW479+AW481</f>
        <v>482</v>
      </c>
      <c r="AX484" s="688">
        <f>AX479+AX481</f>
        <v>561</v>
      </c>
      <c r="AY484" s="688">
        <f>AY479+AY481</f>
        <v>508</v>
      </c>
      <c r="AZ484" s="688">
        <f>SUM(AV484:AY484)</f>
        <v>2061</v>
      </c>
      <c r="BA484" s="688">
        <f t="shared" ref="BA484:BF484" si="1685">BA479+BA481</f>
        <v>510</v>
      </c>
      <c r="BB484" s="688">
        <f t="shared" si="1685"/>
        <v>478</v>
      </c>
      <c r="BC484" s="688">
        <f t="shared" si="1685"/>
        <v>518</v>
      </c>
      <c r="BD484" s="688">
        <f t="shared" si="1685"/>
        <v>259</v>
      </c>
      <c r="BE484" s="688">
        <f t="shared" si="1685"/>
        <v>1765</v>
      </c>
      <c r="BF484" s="688">
        <f t="shared" si="1685"/>
        <v>402</v>
      </c>
      <c r="BG484" s="688">
        <f>BG479+BG481</f>
        <v>389</v>
      </c>
      <c r="BH484" s="688">
        <f>BH479+BH481</f>
        <v>360</v>
      </c>
      <c r="BI484" s="688">
        <f>BI479+BI481</f>
        <v>342</v>
      </c>
      <c r="BJ484" s="688">
        <f>BJ479+BJ481+BJ483</f>
        <v>1527</v>
      </c>
      <c r="BK484" s="688">
        <f>BK479+BK481</f>
        <v>359</v>
      </c>
      <c r="BL484" s="688">
        <f>BL479+BL481</f>
        <v>337</v>
      </c>
      <c r="BM484" s="688">
        <f>BM479+BM481</f>
        <v>363</v>
      </c>
      <c r="BN484" s="688">
        <f>BN479+BN481</f>
        <v>319</v>
      </c>
      <c r="BO484" s="688">
        <f>BO479+BO481+BO483</f>
        <v>1410</v>
      </c>
      <c r="BP484" s="688">
        <f>BP479+BP481</f>
        <v>334</v>
      </c>
      <c r="BQ484" s="688">
        <f>BQ479+BQ481</f>
        <v>360</v>
      </c>
      <c r="BR484" s="688">
        <f>BR479+BR481</f>
        <v>325</v>
      </c>
      <c r="BS484" s="688">
        <f>BS479+BS481</f>
        <v>289</v>
      </c>
      <c r="BT484" s="688">
        <f>BT479+BT481+BT483</f>
        <v>1216</v>
      </c>
      <c r="BU484" s="688">
        <f>BU479+BU481</f>
        <v>289</v>
      </c>
      <c r="BV484" s="688">
        <f>BV479+BV481</f>
        <v>322</v>
      </c>
      <c r="BW484" s="688">
        <f>BW479+BW481</f>
        <v>308</v>
      </c>
      <c r="BX484" s="688">
        <f>BX479+BX481</f>
        <v>232</v>
      </c>
      <c r="BY484" s="688">
        <f t="shared" ref="BY484:CS484" si="1686">BY479+BY481+BY483</f>
        <v>1151</v>
      </c>
      <c r="BZ484" s="688">
        <f>BZ479+BZ481</f>
        <v>320</v>
      </c>
      <c r="CA484" s="688">
        <f>CA479+CA481</f>
        <v>329</v>
      </c>
      <c r="CB484" s="688">
        <f>CB479+CB481</f>
        <v>287</v>
      </c>
      <c r="CC484" s="688">
        <f>CC479+CC481</f>
        <v>56</v>
      </c>
      <c r="CD484" s="688">
        <f t="shared" si="1686"/>
        <v>992</v>
      </c>
      <c r="CE484" s="688">
        <f>CE479+CE481</f>
        <v>353</v>
      </c>
      <c r="CF484" s="688">
        <f>CF479+CF481</f>
        <v>356</v>
      </c>
      <c r="CG484" s="688">
        <f>CG479+CG481</f>
        <v>366</v>
      </c>
      <c r="CH484" s="688">
        <f>CH479+CH481</f>
        <v>321</v>
      </c>
      <c r="CI484" s="688">
        <f t="shared" ref="CI484" si="1687">CI479+CI481+CI483</f>
        <v>1396</v>
      </c>
      <c r="CJ484" s="688">
        <f>CJ479+CJ481</f>
        <v>371</v>
      </c>
      <c r="CK484" s="688">
        <f>CK479+CK481</f>
        <v>398</v>
      </c>
      <c r="CL484" s="688">
        <f>CL479+CL481</f>
        <v>412</v>
      </c>
      <c r="CM484" s="688">
        <f>CM479+CM481</f>
        <v>380</v>
      </c>
      <c r="CN484" s="688">
        <f t="shared" ref="CN484" si="1688">CN479+CN481+CN483</f>
        <v>1583</v>
      </c>
      <c r="CO484" s="688">
        <f>CO479+CO481</f>
        <v>417</v>
      </c>
      <c r="CP484" s="688">
        <f>CP479+CP481</f>
        <v>436</v>
      </c>
      <c r="CQ484" s="688">
        <f t="shared" si="1686"/>
        <v>1794.4281173919558</v>
      </c>
      <c r="CR484" s="688">
        <f t="shared" si="1686"/>
        <v>1924.5715986894747</v>
      </c>
      <c r="CS484" s="688">
        <f t="shared" si="1686"/>
        <v>2040.680148159393</v>
      </c>
      <c r="CT484" s="688">
        <f t="shared" ref="CT484:CW484" si="1689">CT479+CT481+CT483</f>
        <v>2166.567186427606</v>
      </c>
      <c r="CU484" s="688">
        <f t="shared" si="1689"/>
        <v>2303.5514780524445</v>
      </c>
      <c r="CV484" s="688">
        <f t="shared" si="1689"/>
        <v>2433.3622613066987</v>
      </c>
      <c r="CW484" s="688">
        <f t="shared" si="1689"/>
        <v>2586.7414219465422</v>
      </c>
      <c r="CX484" s="159"/>
      <c r="CY484" s="159"/>
      <c r="CZ484" s="159"/>
      <c r="DA484" s="159"/>
      <c r="DB484" s="159"/>
      <c r="DC484" s="159"/>
      <c r="DD484" s="159"/>
      <c r="DF484" s="364"/>
      <c r="DG484" s="292"/>
      <c r="DH484" s="292"/>
      <c r="DI484" s="292"/>
      <c r="DJ484" s="292"/>
      <c r="DK484" s="292"/>
      <c r="DL484" s="292"/>
      <c r="DM484" s="292"/>
      <c r="DN484" s="292"/>
      <c r="DO484" s="292"/>
      <c r="ED484" s="221"/>
      <c r="EE484" s="221"/>
      <c r="EQ484" s="221"/>
      <c r="ER484" s="221"/>
      <c r="ES484" s="221"/>
      <c r="EU484" s="286"/>
      <c r="EV484" s="287"/>
    </row>
    <row r="485" spans="1:152">
      <c r="A485" s="226" t="s">
        <v>561</v>
      </c>
      <c r="B485" s="166"/>
      <c r="C485" s="166"/>
      <c r="D485" s="166"/>
      <c r="E485" s="166"/>
      <c r="F485" s="166"/>
      <c r="G485" s="166"/>
      <c r="H485" s="166"/>
      <c r="I485" s="166"/>
      <c r="J485" s="166"/>
      <c r="K485" s="166"/>
      <c r="L485" s="166"/>
      <c r="M485" s="166"/>
      <c r="N485" s="166"/>
      <c r="O485" s="166"/>
      <c r="P485" s="166"/>
      <c r="Q485" s="166"/>
      <c r="R485" s="166"/>
      <c r="S485" s="166"/>
      <c r="T485" s="166"/>
      <c r="U485" s="166"/>
      <c r="V485" s="166"/>
      <c r="W485" s="166"/>
      <c r="X485" s="166"/>
      <c r="Y485" s="166"/>
      <c r="Z485" s="166"/>
      <c r="AA485" s="166"/>
      <c r="AB485" s="166"/>
      <c r="AC485" s="166"/>
      <c r="AD485" s="166"/>
      <c r="AE485" s="166"/>
      <c r="AF485" s="166"/>
      <c r="AG485" s="166"/>
      <c r="AH485" s="166"/>
      <c r="AI485" s="166"/>
      <c r="AJ485" s="166"/>
      <c r="AK485" s="166"/>
      <c r="AL485" s="166"/>
      <c r="AM485" s="166"/>
      <c r="AN485" s="166"/>
      <c r="AO485" s="166"/>
      <c r="AP485" s="166"/>
      <c r="AQ485" s="166"/>
      <c r="AR485" s="166"/>
      <c r="AS485" s="166"/>
      <c r="AT485" s="167">
        <f>1921-AS484-AR484-AQ484</f>
        <v>494</v>
      </c>
      <c r="AU485" s="170">
        <f t="shared" ref="AU485:CP485" si="1690">AU484/AP484-1</f>
        <v>-4.5141047860037475E-2</v>
      </c>
      <c r="AV485" s="170">
        <f t="shared" si="1690"/>
        <v>5.3719008264462742E-2</v>
      </c>
      <c r="AW485" s="170">
        <f t="shared" si="1690"/>
        <v>0.1367924528301887</v>
      </c>
      <c r="AX485" s="170">
        <f t="shared" si="1690"/>
        <v>8.092485549132955E-2</v>
      </c>
      <c r="AY485" s="170">
        <f t="shared" si="1690"/>
        <v>-6.6176470588235281E-2</v>
      </c>
      <c r="AZ485" s="170">
        <f t="shared" si="1690"/>
        <v>4.5662100456621113E-2</v>
      </c>
      <c r="BA485" s="170">
        <f t="shared" si="1690"/>
        <v>0</v>
      </c>
      <c r="BB485" s="170">
        <f t="shared" si="1690"/>
        <v>-8.2987551867219622E-3</v>
      </c>
      <c r="BC485" s="170">
        <f t="shared" si="1690"/>
        <v>-7.6648841354723718E-2</v>
      </c>
      <c r="BD485" s="170">
        <f t="shared" si="1690"/>
        <v>-0.49015748031496065</v>
      </c>
      <c r="BE485" s="170">
        <f t="shared" si="1690"/>
        <v>-0.143619602134886</v>
      </c>
      <c r="BF485" s="170">
        <f t="shared" si="1690"/>
        <v>-0.21176470588235297</v>
      </c>
      <c r="BG485" s="170">
        <f t="shared" si="1690"/>
        <v>-0.18619246861924688</v>
      </c>
      <c r="BH485" s="170">
        <f t="shared" si="1690"/>
        <v>-0.30501930501930496</v>
      </c>
      <c r="BI485" s="170">
        <f t="shared" si="1690"/>
        <v>0.32046332046332049</v>
      </c>
      <c r="BJ485" s="170">
        <f t="shared" si="1690"/>
        <v>-0.13484419263456093</v>
      </c>
      <c r="BK485" s="170">
        <f t="shared" si="1690"/>
        <v>-0.10696517412935325</v>
      </c>
      <c r="BL485" s="170">
        <f t="shared" si="1690"/>
        <v>-0.13367609254498714</v>
      </c>
      <c r="BM485" s="170">
        <f t="shared" si="1690"/>
        <v>8.3333333333333037E-3</v>
      </c>
      <c r="BN485" s="170">
        <f t="shared" si="1690"/>
        <v>-6.7251461988304118E-2</v>
      </c>
      <c r="BO485" s="170">
        <f t="shared" si="1690"/>
        <v>-7.6620825147347693E-2</v>
      </c>
      <c r="BP485" s="170">
        <f t="shared" si="1690"/>
        <v>-6.9637883008356494E-2</v>
      </c>
      <c r="BQ485" s="170">
        <f t="shared" si="1690"/>
        <v>6.8249258160237414E-2</v>
      </c>
      <c r="BR485" s="170">
        <f t="shared" si="1690"/>
        <v>-0.10468319559228645</v>
      </c>
      <c r="BS485" s="170">
        <f t="shared" si="1690"/>
        <v>-9.404388714733547E-2</v>
      </c>
      <c r="BT485" s="170">
        <f t="shared" si="1690"/>
        <v>-0.13758865248226948</v>
      </c>
      <c r="BU485" s="170">
        <f t="shared" si="1690"/>
        <v>-0.1347305389221557</v>
      </c>
      <c r="BV485" s="170">
        <f t="shared" si="1690"/>
        <v>-0.10555555555555551</v>
      </c>
      <c r="BW485" s="170">
        <f t="shared" si="1690"/>
        <v>-5.2307692307692277E-2</v>
      </c>
      <c r="BX485" s="170">
        <f t="shared" si="1690"/>
        <v>-0.19723183391003463</v>
      </c>
      <c r="BY485" s="170">
        <f>BY484/BT484-1</f>
        <v>-5.3453947368421018E-2</v>
      </c>
      <c r="BZ485" s="170">
        <f t="shared" si="1690"/>
        <v>0.10726643598615926</v>
      </c>
      <c r="CA485" s="170">
        <f t="shared" si="1690"/>
        <v>2.1739130434782705E-2</v>
      </c>
      <c r="CB485" s="170">
        <f t="shared" si="1690"/>
        <v>-6.8181818181818232E-2</v>
      </c>
      <c r="CC485" s="170">
        <f t="shared" si="1690"/>
        <v>-0.75862068965517238</v>
      </c>
      <c r="CD485" s="170">
        <f>CD484/BY484-1</f>
        <v>-0.13814074717636837</v>
      </c>
      <c r="CE485" s="170">
        <f t="shared" si="1690"/>
        <v>0.10312499999999991</v>
      </c>
      <c r="CF485" s="170">
        <f t="shared" si="1690"/>
        <v>8.2066869300911893E-2</v>
      </c>
      <c r="CG485" s="170">
        <f t="shared" si="1690"/>
        <v>0.27526132404181181</v>
      </c>
      <c r="CH485" s="170">
        <f t="shared" si="1690"/>
        <v>4.7321428571428568</v>
      </c>
      <c r="CI485" s="170">
        <f>CI484/CD484-1</f>
        <v>0.407258064516129</v>
      </c>
      <c r="CJ485" s="170">
        <f t="shared" si="1690"/>
        <v>5.0991501416430607E-2</v>
      </c>
      <c r="CK485" s="170">
        <f t="shared" si="1690"/>
        <v>0.1179775280898876</v>
      </c>
      <c r="CL485" s="170">
        <f t="shared" si="1690"/>
        <v>0.12568306010928953</v>
      </c>
      <c r="CM485" s="170">
        <f t="shared" si="1690"/>
        <v>0.18380062305295941</v>
      </c>
      <c r="CN485" s="170">
        <f>CN484/CI484-1</f>
        <v>0.1339541547277936</v>
      </c>
      <c r="CO485" s="170">
        <f t="shared" si="1690"/>
        <v>0.12398921832884091</v>
      </c>
      <c r="CP485" s="170">
        <f t="shared" si="1690"/>
        <v>9.5477386934673447E-2</v>
      </c>
      <c r="CQ485" s="170">
        <f>CQ484/CN484-1</f>
        <v>0.13356166607198716</v>
      </c>
      <c r="CR485" s="170">
        <f t="shared" ref="CR485:CS485" si="1691">CR484/CQ484-1</f>
        <v>7.2526438945167193E-2</v>
      </c>
      <c r="CS485" s="170">
        <f t="shared" si="1691"/>
        <v>6.0329555704231375E-2</v>
      </c>
      <c r="CT485" s="170">
        <f t="shared" ref="CT485" si="1692">CT484/CS484-1</f>
        <v>6.1688765082444696E-2</v>
      </c>
      <c r="CU485" s="170">
        <f t="shared" ref="CU485" si="1693">CU484/CT484-1</f>
        <v>6.3226422186661191E-2</v>
      </c>
      <c r="CV485" s="170">
        <f t="shared" ref="CV485" si="1694">CV484/CU484-1</f>
        <v>5.6352455975502425E-2</v>
      </c>
      <c r="CW485" s="170">
        <f t="shared" ref="CW485" si="1695">CW484/CV484-1</f>
        <v>6.3031782434843864E-2</v>
      </c>
      <c r="CX485" s="159"/>
      <c r="CY485" s="159"/>
      <c r="CZ485" s="159"/>
      <c r="DA485" s="159"/>
      <c r="DB485" s="159"/>
      <c r="DC485" s="159"/>
      <c r="DD485" s="159"/>
      <c r="DF485" s="364"/>
      <c r="DG485" s="292"/>
      <c r="DH485" s="292"/>
      <c r="DI485" s="292"/>
      <c r="DJ485" s="292"/>
      <c r="DK485" s="292"/>
      <c r="DL485" s="292"/>
      <c r="DM485" s="292"/>
      <c r="DN485" s="292"/>
      <c r="DO485" s="292"/>
      <c r="ED485" s="221"/>
      <c r="EE485" s="221"/>
      <c r="EQ485" s="221"/>
      <c r="ER485" s="221"/>
      <c r="ES485" s="221"/>
      <c r="EU485" s="286"/>
      <c r="EV485" s="287"/>
    </row>
    <row r="486" spans="1:152">
      <c r="A486" s="226" t="s">
        <v>856</v>
      </c>
      <c r="B486" s="170">
        <f>IFERROR(B484/B$432,"")</f>
        <v>0.25746423927178153</v>
      </c>
      <c r="C486" s="170" t="str">
        <f t="shared" ref="C486:BN486" si="1696">IFERROR(C484/C$432,"")</f>
        <v/>
      </c>
      <c r="D486" s="170" t="str">
        <f t="shared" si="1696"/>
        <v/>
      </c>
      <c r="E486" s="170" t="str">
        <f t="shared" si="1696"/>
        <v/>
      </c>
      <c r="F486" s="170">
        <f t="shared" si="1696"/>
        <v>0</v>
      </c>
      <c r="G486" s="170">
        <f t="shared" si="1696"/>
        <v>0.28409803666315592</v>
      </c>
      <c r="H486" s="170">
        <f t="shared" si="1696"/>
        <v>0.49084077031470175</v>
      </c>
      <c r="I486" s="170">
        <f t="shared" si="1696"/>
        <v>0.50815100413633052</v>
      </c>
      <c r="J486" s="170">
        <f t="shared" si="1696"/>
        <v>0.2852504638218924</v>
      </c>
      <c r="K486" s="170">
        <f t="shared" si="1696"/>
        <v>0.26594301221166894</v>
      </c>
      <c r="L486" s="170">
        <f t="shared" si="1696"/>
        <v>0.25917324663260566</v>
      </c>
      <c r="M486" s="170">
        <f t="shared" si="1696"/>
        <v>0.25650557620817843</v>
      </c>
      <c r="N486" s="170">
        <f t="shared" si="1696"/>
        <v>0.24281150159744408</v>
      </c>
      <c r="O486" s="170">
        <f t="shared" si="1696"/>
        <v>0.27120938628158847</v>
      </c>
      <c r="P486" s="170">
        <f t="shared" si="1696"/>
        <v>0.26406926406926406</v>
      </c>
      <c r="Q486" s="170">
        <f t="shared" si="1696"/>
        <v>0.25876649002142293</v>
      </c>
      <c r="R486" s="170">
        <f t="shared" si="1696"/>
        <v>0.25316455696202533</v>
      </c>
      <c r="S486" s="170">
        <f t="shared" si="1696"/>
        <v>0.2557924003707136</v>
      </c>
      <c r="T486" s="170">
        <f t="shared" si="1696"/>
        <v>0.23975044563279857</v>
      </c>
      <c r="U486" s="170">
        <f t="shared" si="1696"/>
        <v>0.40080071174377224</v>
      </c>
      <c r="V486" s="170">
        <f t="shared" si="1696"/>
        <v>0.28817032904474554</v>
      </c>
      <c r="W486" s="170">
        <f t="shared" si="1696"/>
        <v>0.268384074941452</v>
      </c>
      <c r="X486" s="170">
        <f t="shared" si="1696"/>
        <v>0.26495726495726496</v>
      </c>
      <c r="Y486" s="170">
        <f t="shared" si="1696"/>
        <v>0.22608303249097472</v>
      </c>
      <c r="Z486" s="170">
        <f t="shared" si="1696"/>
        <v>0.14310494362532525</v>
      </c>
      <c r="AA486" s="170">
        <f t="shared" si="1696"/>
        <v>0.22443693693693695</v>
      </c>
      <c r="AB486" s="170">
        <f t="shared" si="1696"/>
        <v>0.20756338633433605</v>
      </c>
      <c r="AC486" s="170">
        <f t="shared" si="1696"/>
        <v>0.23485838779956428</v>
      </c>
      <c r="AD486" s="170">
        <f t="shared" si="1696"/>
        <v>0.25725770433229123</v>
      </c>
      <c r="AE486" s="170">
        <f t="shared" si="1696"/>
        <v>0.22706834532374101</v>
      </c>
      <c r="AF486" s="170">
        <f t="shared" si="1696"/>
        <v>0.23293236034137718</v>
      </c>
      <c r="AG486" s="170">
        <f t="shared" si="1696"/>
        <v>5.5094856064181262E-2</v>
      </c>
      <c r="AH486" s="170">
        <f t="shared" si="1696"/>
        <v>2.6847912892561776E-2</v>
      </c>
      <c r="AI486" s="170">
        <f t="shared" si="1696"/>
        <v>1.6242130750605308E-2</v>
      </c>
      <c r="AJ486" s="170">
        <f t="shared" si="1696"/>
        <v>-1.2510598210079835E-3</v>
      </c>
      <c r="AK486" s="170">
        <f t="shared" si="1696"/>
        <v>0.19128532532905484</v>
      </c>
      <c r="AL486" s="170">
        <f t="shared" si="1696"/>
        <v>6.3037691949744096E-2</v>
      </c>
      <c r="AM486" s="170">
        <f t="shared" si="1696"/>
        <v>2.2691943127962085E-2</v>
      </c>
      <c r="AN486" s="170">
        <f t="shared" si="1696"/>
        <v>5.4016620498614956E-2</v>
      </c>
      <c r="AO486" s="170">
        <f t="shared" si="1696"/>
        <v>1.5625E-2</v>
      </c>
      <c r="AP486" s="170">
        <f t="shared" si="1696"/>
        <v>0.23999293252284376</v>
      </c>
      <c r="AQ486" s="170">
        <f t="shared" si="1696"/>
        <v>0.22616822429906541</v>
      </c>
      <c r="AR486" s="170">
        <f t="shared" si="1696"/>
        <v>0.20171265461465271</v>
      </c>
      <c r="AS486" s="170">
        <f t="shared" si="1696"/>
        <v>0.24072356215213359</v>
      </c>
      <c r="AT486" s="170">
        <f t="shared" si="1696"/>
        <v>0.24570912375790424</v>
      </c>
      <c r="AU486" s="170">
        <f t="shared" si="1696"/>
        <v>0.22886669763121226</v>
      </c>
      <c r="AV486" s="170">
        <f t="shared" si="1696"/>
        <v>0.21473684210526317</v>
      </c>
      <c r="AW486" s="170">
        <f t="shared" si="1696"/>
        <v>0.20642398286937902</v>
      </c>
      <c r="AX486" s="170">
        <f t="shared" si="1696"/>
        <v>0.24046292327475355</v>
      </c>
      <c r="AY486" s="170">
        <f t="shared" si="1696"/>
        <v>0.2138047138047138</v>
      </c>
      <c r="AZ486" s="170">
        <f t="shared" si="1696"/>
        <v>0.21881303747743922</v>
      </c>
      <c r="BA486" s="170">
        <f t="shared" si="1696"/>
        <v>0.22798390701832813</v>
      </c>
      <c r="BB486" s="170">
        <f t="shared" si="1696"/>
        <v>0.21282279608192342</v>
      </c>
      <c r="BC486" s="170">
        <f t="shared" si="1696"/>
        <v>0.22879858657243815</v>
      </c>
      <c r="BD486" s="170">
        <f t="shared" si="1696"/>
        <v>0.10593047034764826</v>
      </c>
      <c r="BE486" s="170">
        <f t="shared" si="1696"/>
        <v>0.19201479547432551</v>
      </c>
      <c r="BF486" s="170">
        <f t="shared" si="1696"/>
        <v>0.18010752688172044</v>
      </c>
      <c r="BG486" s="170">
        <f t="shared" si="1696"/>
        <v>0.17633726201269265</v>
      </c>
      <c r="BH486" s="170">
        <f t="shared" si="1696"/>
        <v>0.1575492341356674</v>
      </c>
      <c r="BI486" s="170">
        <f t="shared" si="1696"/>
        <v>0.13204633204633204</v>
      </c>
      <c r="BJ486" s="170">
        <f t="shared" si="1696"/>
        <v>0.16396435090733383</v>
      </c>
      <c r="BK486" s="170">
        <f t="shared" si="1696"/>
        <v>0.15335326783425887</v>
      </c>
      <c r="BL486" s="170">
        <f t="shared" si="1696"/>
        <v>0.15667131566713158</v>
      </c>
      <c r="BM486" s="170">
        <f t="shared" si="1696"/>
        <v>0.16403072751920469</v>
      </c>
      <c r="BN486" s="170">
        <f t="shared" si="1696"/>
        <v>0.14108801415302963</v>
      </c>
      <c r="BO486" s="170">
        <f t="shared" ref="BO486:CK486" si="1697">IFERROR(BO484/BO$432,"")</f>
        <v>0.15726076288199867</v>
      </c>
      <c r="BP486" s="170">
        <f t="shared" si="1697"/>
        <v>0.14910714285714285</v>
      </c>
      <c r="BQ486" s="170">
        <f t="shared" si="1697"/>
        <v>0.15831134564643801</v>
      </c>
      <c r="BR486" s="170">
        <f t="shared" si="1697"/>
        <v>0.1431087626596213</v>
      </c>
      <c r="BS486" s="170">
        <f t="shared" si="1697"/>
        <v>0.11767100977198697</v>
      </c>
      <c r="BT486" s="170">
        <f t="shared" si="1697"/>
        <v>0.13158749053132779</v>
      </c>
      <c r="BU486" s="170">
        <f t="shared" si="1697"/>
        <v>0.12011637572734829</v>
      </c>
      <c r="BV486" s="170">
        <f t="shared" si="1697"/>
        <v>0.13283828382838284</v>
      </c>
      <c r="BW486" s="170">
        <f t="shared" si="1697"/>
        <v>0.12806652806652807</v>
      </c>
      <c r="BX486" s="170">
        <f t="shared" si="1697"/>
        <v>9.0837901331245099E-2</v>
      </c>
      <c r="BY486" s="170">
        <f t="shared" si="1697"/>
        <v>0.11758095821840842</v>
      </c>
      <c r="BZ486" s="170">
        <f t="shared" si="1697"/>
        <v>0.12668250197941408</v>
      </c>
      <c r="CA486" s="170">
        <f t="shared" si="1697"/>
        <v>0.13319838056680161</v>
      </c>
      <c r="CB486" s="170">
        <f t="shared" si="1697"/>
        <v>0.11752661752661753</v>
      </c>
      <c r="CC486" s="170">
        <f t="shared" si="1697"/>
        <v>2.0423048869438368E-2</v>
      </c>
      <c r="CD486" s="170">
        <f t="shared" si="1697"/>
        <v>9.7445972495088407E-2</v>
      </c>
      <c r="CE486" s="170">
        <f t="shared" si="1697"/>
        <v>0.13561275451402227</v>
      </c>
      <c r="CF486" s="170">
        <f t="shared" si="1697"/>
        <v>0.13766434648105183</v>
      </c>
      <c r="CG486" s="170">
        <f t="shared" si="1697"/>
        <v>0.14208074534161491</v>
      </c>
      <c r="CH486" s="170">
        <f t="shared" si="1697"/>
        <v>0.11584265608083724</v>
      </c>
      <c r="CI486" s="170">
        <f t="shared" si="1697"/>
        <v>0.13249810174639332</v>
      </c>
      <c r="CJ486" s="170">
        <f t="shared" si="1697"/>
        <v>0.14225460122699388</v>
      </c>
      <c r="CK486" s="170">
        <f t="shared" si="1697"/>
        <v>0.15534738485558158</v>
      </c>
      <c r="CL486" s="170">
        <f t="shared" ref="CL486:CP486" si="1698">IFERROR(CL484/CL$432,"")</f>
        <v>0.15913480108149866</v>
      </c>
      <c r="CM486" s="170">
        <f t="shared" si="1698"/>
        <v>0.13212795549374132</v>
      </c>
      <c r="CN486" s="170">
        <f t="shared" si="1698"/>
        <v>0.14884814292430654</v>
      </c>
      <c r="CO486" s="170">
        <f t="shared" si="1698"/>
        <v>0.15269132186012449</v>
      </c>
      <c r="CP486" s="170">
        <f t="shared" si="1698"/>
        <v>0.16415662650602408</v>
      </c>
      <c r="CQ486" s="170">
        <f t="shared" ref="CQ486:CW486" si="1699">IFERROR(CQ484/CQ$432,"")</f>
        <v>0.1639407606370524</v>
      </c>
      <c r="CR486" s="170">
        <f t="shared" si="1699"/>
        <v>0.17157555125359139</v>
      </c>
      <c r="CS486" s="170">
        <f t="shared" si="1699"/>
        <v>0.1775796301525624</v>
      </c>
      <c r="CT486" s="170">
        <f t="shared" si="1699"/>
        <v>0.18389558814054838</v>
      </c>
      <c r="CU486" s="170">
        <f t="shared" si="1699"/>
        <v>0.1909694883193489</v>
      </c>
      <c r="CV486" s="170">
        <f t="shared" si="1699"/>
        <v>0.19707581884927652</v>
      </c>
      <c r="CW486" s="170">
        <f t="shared" si="1699"/>
        <v>0.20469785832451667</v>
      </c>
      <c r="CX486" s="159"/>
      <c r="CY486" s="159"/>
      <c r="CZ486" s="159"/>
      <c r="DA486" s="159"/>
      <c r="DB486" s="159"/>
      <c r="DC486" s="159"/>
      <c r="DD486" s="159"/>
      <c r="DF486" s="364"/>
      <c r="DG486" s="292"/>
      <c r="DH486" s="292"/>
      <c r="DI486" s="292"/>
      <c r="DJ486" s="292"/>
      <c r="DK486" s="292"/>
      <c r="DL486" s="292"/>
      <c r="DM486" s="292"/>
      <c r="DN486" s="292"/>
      <c r="DO486" s="292"/>
      <c r="ED486" s="221"/>
      <c r="EE486" s="221"/>
      <c r="EQ486" s="221"/>
      <c r="ER486" s="221"/>
      <c r="ES486" s="221"/>
      <c r="EU486" s="286"/>
      <c r="EV486" s="287"/>
    </row>
    <row r="487" spans="1:152">
      <c r="A487" s="235" t="s">
        <v>569</v>
      </c>
      <c r="B487" s="705"/>
      <c r="C487" s="705"/>
      <c r="D487" s="705"/>
      <c r="E487" s="705"/>
      <c r="F487" s="705"/>
      <c r="G487" s="705">
        <v>2400.6000000000013</v>
      </c>
      <c r="H487" s="705">
        <v>-42</v>
      </c>
      <c r="I487" s="705">
        <v>591.34615384615381</v>
      </c>
      <c r="J487" s="705">
        <v>615</v>
      </c>
      <c r="K487" s="705">
        <v>503</v>
      </c>
      <c r="L487" s="705">
        <v>2232</v>
      </c>
      <c r="M487" s="705">
        <v>552</v>
      </c>
      <c r="N487" s="705">
        <v>532</v>
      </c>
      <c r="O487" s="705">
        <v>601</v>
      </c>
      <c r="P487" s="705">
        <v>610</v>
      </c>
      <c r="Q487" s="705">
        <v>2295</v>
      </c>
      <c r="R487" s="705">
        <v>539</v>
      </c>
      <c r="S487" s="705">
        <v>552</v>
      </c>
      <c r="T487" s="705">
        <v>538</v>
      </c>
      <c r="U487" s="705">
        <v>901</v>
      </c>
      <c r="V487" s="705">
        <v>2527</v>
      </c>
      <c r="W487" s="705">
        <v>573</v>
      </c>
      <c r="X487" s="705">
        <v>466</v>
      </c>
      <c r="Y487" s="705">
        <v>443</v>
      </c>
      <c r="Z487" s="705">
        <v>378</v>
      </c>
      <c r="AA487" s="705">
        <v>1860</v>
      </c>
      <c r="AB487" s="705">
        <v>476</v>
      </c>
      <c r="AC487" s="705">
        <v>530</v>
      </c>
      <c r="AD487" s="705">
        <v>474</v>
      </c>
      <c r="AE487" s="705">
        <v>292</v>
      </c>
      <c r="AF487" s="705">
        <v>1984</v>
      </c>
      <c r="AG487" s="705">
        <v>488</v>
      </c>
      <c r="AH487" s="705">
        <v>451</v>
      </c>
      <c r="AI487" s="705">
        <v>451</v>
      </c>
      <c r="AJ487" s="705">
        <v>335</v>
      </c>
      <c r="AK487" s="705">
        <v>1725</v>
      </c>
      <c r="AL487" s="705">
        <v>412</v>
      </c>
      <c r="AM487" s="705">
        <v>443</v>
      </c>
      <c r="AN487" s="705">
        <v>422</v>
      </c>
      <c r="AO487" s="705">
        <v>470</v>
      </c>
      <c r="AP487" s="705">
        <v>1747</v>
      </c>
      <c r="AQ487" s="705">
        <v>520</v>
      </c>
      <c r="AR487" s="705">
        <v>483</v>
      </c>
      <c r="AS487" s="705">
        <v>505</v>
      </c>
      <c r="AT487" s="705">
        <v>505</v>
      </c>
      <c r="AU487" s="705">
        <f>SUM(AQ487:AT487)</f>
        <v>2013</v>
      </c>
      <c r="AV487" s="705">
        <v>505</v>
      </c>
      <c r="AW487" s="705">
        <v>574</v>
      </c>
      <c r="AX487" s="705">
        <v>564</v>
      </c>
      <c r="AY487" s="705">
        <v>541</v>
      </c>
      <c r="AZ487" s="705">
        <f>SUM(AV487:AY487)</f>
        <v>2184</v>
      </c>
      <c r="BA487" s="755">
        <v>523</v>
      </c>
      <c r="BB487" s="755">
        <v>478</v>
      </c>
      <c r="BC487" s="755">
        <v>513</v>
      </c>
      <c r="BD487" s="755">
        <v>266</v>
      </c>
      <c r="BE487" s="705">
        <f>SUM(BA487:BD487)</f>
        <v>1780</v>
      </c>
      <c r="BF487" s="755">
        <v>409</v>
      </c>
      <c r="BG487" s="755">
        <v>397</v>
      </c>
      <c r="BH487" s="755">
        <v>358</v>
      </c>
      <c r="BI487" s="755">
        <v>355</v>
      </c>
      <c r="BJ487" s="708">
        <f>SUM(BF487:BI487)</f>
        <v>1519</v>
      </c>
      <c r="BK487" s="755">
        <v>358</v>
      </c>
      <c r="BL487" s="755">
        <v>343</v>
      </c>
      <c r="BM487" s="755">
        <v>365</v>
      </c>
      <c r="BN487" s="756">
        <v>319</v>
      </c>
      <c r="BO487" s="708">
        <f>SUM(BK487:BN487)</f>
        <v>1385</v>
      </c>
      <c r="BP487" s="755">
        <f>BP484</f>
        <v>334</v>
      </c>
      <c r="BQ487" s="755">
        <f t="shared" ref="BQ487:CW487" si="1700">BQ484</f>
        <v>360</v>
      </c>
      <c r="BR487" s="755">
        <f t="shared" si="1700"/>
        <v>325</v>
      </c>
      <c r="BS487" s="755">
        <f t="shared" si="1700"/>
        <v>289</v>
      </c>
      <c r="BT487" s="755">
        <f t="shared" si="1700"/>
        <v>1216</v>
      </c>
      <c r="BU487" s="755">
        <f t="shared" si="1700"/>
        <v>289</v>
      </c>
      <c r="BV487" s="755">
        <f t="shared" si="1700"/>
        <v>322</v>
      </c>
      <c r="BW487" s="755">
        <f t="shared" si="1700"/>
        <v>308</v>
      </c>
      <c r="BX487" s="755">
        <f t="shared" si="1700"/>
        <v>232</v>
      </c>
      <c r="BY487" s="755">
        <f t="shared" si="1700"/>
        <v>1151</v>
      </c>
      <c r="BZ487" s="755">
        <f t="shared" si="1700"/>
        <v>320</v>
      </c>
      <c r="CA487" s="755">
        <f t="shared" ref="CA487:CB487" si="1701">CA484</f>
        <v>329</v>
      </c>
      <c r="CB487" s="755">
        <f t="shared" si="1701"/>
        <v>287</v>
      </c>
      <c r="CC487" s="755">
        <f t="shared" ref="CC487:CE487" si="1702">CC484</f>
        <v>56</v>
      </c>
      <c r="CD487" s="755">
        <f t="shared" si="1700"/>
        <v>992</v>
      </c>
      <c r="CE487" s="755">
        <f t="shared" si="1702"/>
        <v>353</v>
      </c>
      <c r="CF487" s="755">
        <f t="shared" ref="CF487:CG487" si="1703">CF484</f>
        <v>356</v>
      </c>
      <c r="CG487" s="755">
        <f t="shared" si="1703"/>
        <v>366</v>
      </c>
      <c r="CH487" s="755">
        <f t="shared" ref="CH487" si="1704">CH484</f>
        <v>321</v>
      </c>
      <c r="CI487" s="706">
        <f t="shared" si="1700"/>
        <v>1396</v>
      </c>
      <c r="CJ487" s="755">
        <f t="shared" si="1700"/>
        <v>371</v>
      </c>
      <c r="CK487" s="755">
        <f t="shared" ref="CK487:CL487" si="1705">CK484</f>
        <v>398</v>
      </c>
      <c r="CL487" s="755">
        <f t="shared" si="1705"/>
        <v>412</v>
      </c>
      <c r="CM487" s="755">
        <f t="shared" ref="CM487:CP487" si="1706">CM484</f>
        <v>380</v>
      </c>
      <c r="CN487" s="706">
        <f t="shared" si="1706"/>
        <v>1583</v>
      </c>
      <c r="CO487" s="755">
        <f t="shared" si="1706"/>
        <v>417</v>
      </c>
      <c r="CP487" s="755">
        <f t="shared" si="1706"/>
        <v>436</v>
      </c>
      <c r="CQ487" s="706">
        <f t="shared" si="1700"/>
        <v>1794.4281173919558</v>
      </c>
      <c r="CR487" s="706">
        <f t="shared" si="1700"/>
        <v>1924.5715986894747</v>
      </c>
      <c r="CS487" s="706">
        <f t="shared" si="1700"/>
        <v>2040.680148159393</v>
      </c>
      <c r="CT487" s="706">
        <f t="shared" si="1700"/>
        <v>2166.567186427606</v>
      </c>
      <c r="CU487" s="706">
        <f t="shared" si="1700"/>
        <v>2303.5514780524445</v>
      </c>
      <c r="CV487" s="706">
        <f t="shared" si="1700"/>
        <v>2433.3622613066987</v>
      </c>
      <c r="CW487" s="706">
        <f t="shared" si="1700"/>
        <v>2586.7414219465422</v>
      </c>
      <c r="CX487" s="159"/>
      <c r="CY487" s="159"/>
      <c r="CZ487" s="159"/>
      <c r="DA487" s="159"/>
      <c r="DB487" s="159"/>
      <c r="DC487" s="159"/>
      <c r="DD487" s="159"/>
      <c r="DF487" s="364"/>
      <c r="DG487" s="292"/>
      <c r="DH487" s="292"/>
      <c r="DI487" s="292"/>
      <c r="DJ487" s="292"/>
      <c r="DK487" s="292"/>
      <c r="DL487" s="292"/>
      <c r="DM487" s="292"/>
      <c r="DN487" s="292"/>
      <c r="DO487" s="292"/>
      <c r="ED487" s="221"/>
      <c r="EE487" s="221"/>
      <c r="EQ487" s="221"/>
      <c r="ER487" s="221"/>
      <c r="ES487" s="221"/>
      <c r="EU487" s="286"/>
      <c r="EV487" s="287"/>
    </row>
    <row r="488" spans="1:152">
      <c r="A488" s="235"/>
      <c r="B488" s="706"/>
      <c r="C488" s="706"/>
      <c r="D488" s="706"/>
      <c r="E488" s="706"/>
      <c r="F488" s="706"/>
      <c r="G488" s="706"/>
      <c r="H488" s="706"/>
      <c r="I488" s="706"/>
      <c r="J488" s="706"/>
      <c r="K488" s="706"/>
      <c r="L488" s="706"/>
      <c r="M488" s="706"/>
      <c r="N488" s="706"/>
      <c r="O488" s="706"/>
      <c r="P488" s="706"/>
      <c r="Q488" s="706"/>
      <c r="R488" s="706"/>
      <c r="S488" s="706"/>
      <c r="T488" s="706"/>
      <c r="U488" s="706"/>
      <c r="V488" s="706"/>
      <c r="W488" s="706"/>
      <c r="X488" s="706"/>
      <c r="Y488" s="706"/>
      <c r="Z488" s="706"/>
      <c r="AA488" s="706"/>
      <c r="AB488" s="706"/>
      <c r="AC488" s="706"/>
      <c r="AD488" s="706"/>
      <c r="AE488" s="706"/>
      <c r="AF488" s="706"/>
      <c r="AG488" s="706"/>
      <c r="AH488" s="706"/>
      <c r="AI488" s="706"/>
      <c r="AJ488" s="706"/>
      <c r="AK488" s="706"/>
      <c r="AL488" s="706"/>
      <c r="AM488" s="706"/>
      <c r="AN488" s="706"/>
      <c r="AO488" s="706"/>
      <c r="AP488" s="706"/>
      <c r="AQ488" s="706"/>
      <c r="AR488" s="706"/>
      <c r="AS488" s="706"/>
      <c r="AT488" s="706"/>
      <c r="AU488" s="706"/>
      <c r="AV488" s="706"/>
      <c r="AW488" s="706"/>
      <c r="AX488" s="706"/>
      <c r="AY488" s="706"/>
      <c r="AZ488" s="706"/>
      <c r="BA488" s="755"/>
      <c r="BB488" s="755"/>
      <c r="BC488" s="755"/>
      <c r="BD488" s="755"/>
      <c r="BE488" s="706"/>
      <c r="BF488" s="755"/>
      <c r="BG488" s="755"/>
      <c r="BH488" s="755"/>
      <c r="BI488" s="755"/>
      <c r="BJ488" s="706"/>
      <c r="BK488" s="755"/>
      <c r="BL488" s="755"/>
      <c r="BM488" s="755"/>
      <c r="BN488" s="755"/>
      <c r="BO488" s="706"/>
      <c r="BP488" s="755"/>
      <c r="BQ488" s="755"/>
      <c r="BR488" s="755"/>
      <c r="BS488" s="755"/>
      <c r="BT488" s="755"/>
      <c r="BU488" s="755"/>
      <c r="BV488" s="755"/>
      <c r="BW488" s="755"/>
      <c r="BX488" s="755"/>
      <c r="BY488" s="755"/>
      <c r="BZ488" s="755"/>
      <c r="CA488" s="755"/>
      <c r="CB488" s="755"/>
      <c r="CC488" s="755"/>
      <c r="CD488" s="755"/>
      <c r="CE488" s="755"/>
      <c r="CF488" s="755"/>
      <c r="CG488" s="755"/>
      <c r="CH488" s="755"/>
      <c r="CI488" s="706"/>
      <c r="CJ488" s="755"/>
      <c r="CK488" s="755"/>
      <c r="CL488" s="755"/>
      <c r="CM488" s="755"/>
      <c r="CN488" s="706"/>
      <c r="CO488" s="755"/>
      <c r="CP488" s="755"/>
      <c r="CQ488" s="706"/>
      <c r="CR488" s="706"/>
      <c r="CS488" s="706"/>
      <c r="CT488" s="706"/>
      <c r="CU488" s="706"/>
      <c r="CV488" s="706"/>
      <c r="CW488" s="706"/>
      <c r="CX488" s="159"/>
      <c r="CY488" s="159"/>
      <c r="CZ488" s="159"/>
      <c r="DA488" s="159"/>
      <c r="DB488" s="159"/>
      <c r="DC488" s="159"/>
      <c r="DD488" s="159"/>
      <c r="DF488" s="364"/>
      <c r="DG488" s="292"/>
      <c r="DH488" s="292"/>
      <c r="DI488" s="292"/>
      <c r="DJ488" s="292"/>
      <c r="DK488" s="292"/>
      <c r="DL488" s="292"/>
      <c r="DM488" s="292"/>
      <c r="DN488" s="292"/>
      <c r="DO488" s="292"/>
      <c r="ED488" s="221"/>
      <c r="EE488" s="221"/>
      <c r="EQ488" s="221"/>
      <c r="ER488" s="221"/>
      <c r="ES488" s="221"/>
      <c r="EU488" s="286"/>
      <c r="EV488" s="287"/>
    </row>
    <row r="489" spans="1:152">
      <c r="A489" s="351" t="s">
        <v>1</v>
      </c>
      <c r="B489" s="188"/>
      <c r="C489" s="188"/>
      <c r="D489" s="188"/>
      <c r="E489" s="188"/>
      <c r="F489" s="188"/>
      <c r="G489" s="188"/>
      <c r="H489" s="188"/>
      <c r="I489" s="188"/>
      <c r="J489" s="188"/>
      <c r="K489" s="188"/>
      <c r="L489" s="188"/>
      <c r="M489" s="188"/>
      <c r="N489" s="188"/>
      <c r="O489" s="188"/>
      <c r="P489" s="188"/>
      <c r="Q489" s="188"/>
      <c r="R489" s="188"/>
      <c r="S489" s="188"/>
      <c r="T489" s="188"/>
      <c r="U489" s="188"/>
      <c r="V489" s="188"/>
      <c r="W489" s="188"/>
      <c r="X489" s="188"/>
      <c r="Y489" s="188"/>
      <c r="Z489" s="188"/>
      <c r="AA489" s="188"/>
      <c r="AB489" s="188"/>
      <c r="AC489" s="188"/>
      <c r="AD489" s="188"/>
      <c r="AE489" s="188"/>
      <c r="AF489" s="188"/>
      <c r="AG489" s="188"/>
      <c r="AH489" s="188"/>
      <c r="AI489" s="188"/>
      <c r="AJ489" s="188"/>
      <c r="AK489" s="188"/>
      <c r="AL489" s="188"/>
      <c r="AM489" s="188"/>
      <c r="AN489" s="188"/>
      <c r="AO489" s="188"/>
      <c r="AP489" s="188"/>
      <c r="AQ489" s="188"/>
      <c r="AR489" s="188"/>
      <c r="AS489" s="188"/>
      <c r="AT489" s="188"/>
      <c r="AU489" s="188"/>
      <c r="AV489" s="188"/>
      <c r="AW489" s="188"/>
      <c r="AX489" s="188"/>
      <c r="AY489" s="188"/>
      <c r="AZ489" s="188"/>
      <c r="BA489" s="188"/>
      <c r="BB489" s="188"/>
      <c r="BC489" s="188"/>
      <c r="BD489" s="188"/>
      <c r="BE489" s="188"/>
      <c r="BF489" s="188"/>
      <c r="BG489" s="188"/>
      <c r="BH489" s="188"/>
      <c r="BI489" s="188"/>
      <c r="BJ489" s="188"/>
      <c r="BK489" s="188"/>
      <c r="BL489" s="188"/>
      <c r="BM489" s="188"/>
      <c r="BN489" s="188"/>
      <c r="BO489" s="188"/>
      <c r="BP489" s="188"/>
      <c r="BQ489" s="188"/>
      <c r="BR489" s="188"/>
      <c r="BS489" s="188"/>
      <c r="BT489" s="188"/>
      <c r="BU489" s="188"/>
      <c r="BV489" s="188"/>
      <c r="BW489" s="188"/>
      <c r="BX489" s="188"/>
      <c r="BY489" s="187">
        <v>1654.9</v>
      </c>
      <c r="BZ489" s="188"/>
      <c r="CA489" s="188"/>
      <c r="CB489" s="188"/>
      <c r="CC489" s="188"/>
      <c r="CD489" s="188"/>
      <c r="CE489" s="188"/>
      <c r="CF489" s="188"/>
      <c r="CG489" s="188"/>
      <c r="CH489" s="188"/>
      <c r="CI489" s="876">
        <f>CI484</f>
        <v>1396</v>
      </c>
      <c r="CJ489" s="188"/>
      <c r="CK489" s="188"/>
      <c r="CL489" s="188"/>
      <c r="CM489" s="188"/>
      <c r="CN489" s="876">
        <f>CN484</f>
        <v>1583</v>
      </c>
      <c r="CO489" s="188"/>
      <c r="CP489" s="188"/>
      <c r="CQ489" s="385" cm="1">
        <f t="array" ref="CQ489">_xll.VAData("MXSC_MY", "FY-"&amp;CQ$2, "Net income/(loss)", "Consensus", "CD", "","","")</f>
        <v>1626.0320064203399</v>
      </c>
      <c r="CR489" s="385" cm="1">
        <f t="array" ref="CR489">_xll.VAData("MXSC_MY", "FY-"&amp;CR$2, "Net income/(loss)", "Consensus", "CD", "","","")</f>
        <v>1639.7239924008018</v>
      </c>
      <c r="CS489" s="385" cm="1">
        <f t="array" ref="CS489">_xll.VAData("MXSC_MY", "FY-"&amp;CS$2, "Net income/(loss)", "Consensus", "CD", "","","")</f>
        <v>1750.066604084456</v>
      </c>
      <c r="CT489" s="385" cm="1">
        <f t="array" ref="CT489">_xll.VAData("MXSC_MY", "FY-"&amp;CT$2, "Net income/(loss)", "Consensus", "CD", "","","")</f>
        <v>1872.72637820821</v>
      </c>
      <c r="CU489" s="385" cm="1">
        <f t="array" ref="CU489">_xll.VAData("MXSC_MY", "FY-"&amp;CU$2, "Net income/(loss)", "Consensus", "CD", "","","")</f>
        <v>2005.7761800700832</v>
      </c>
      <c r="CV489" s="385" cm="1">
        <f t="array" ref="CV489">_xll.VAData("MXSC_MY", "FY-"&amp;CV$2, "Net income/(loss)", "Consensus", "CD", "","","")</f>
        <v>2127.7522923664565</v>
      </c>
      <c r="CW489" s="385" cm="1">
        <f t="array" ref="CW489">_xll.VAData("MXSC_MY", "FY-"&amp;CW$2, "Net income/(loss)", "Consensus", "CD", "","","")</f>
        <v>2168.1678911449649</v>
      </c>
    </row>
    <row r="490" spans="1:152">
      <c r="A490" s="351" t="s">
        <v>854</v>
      </c>
      <c r="B490" s="874"/>
      <c r="C490" s="874"/>
      <c r="D490" s="874"/>
      <c r="E490" s="874"/>
      <c r="F490" s="874"/>
      <c r="G490" s="187"/>
      <c r="H490" s="187"/>
      <c r="I490" s="187"/>
      <c r="J490" s="187"/>
      <c r="K490" s="187"/>
      <c r="L490" s="187"/>
      <c r="M490" s="187"/>
      <c r="N490" s="187"/>
      <c r="O490" s="187"/>
      <c r="P490" s="187"/>
      <c r="Q490" s="187"/>
      <c r="R490" s="187"/>
      <c r="S490" s="187"/>
      <c r="T490" s="187"/>
      <c r="U490" s="187"/>
      <c r="V490" s="187"/>
      <c r="W490" s="187"/>
      <c r="X490" s="187"/>
      <c r="Y490" s="187"/>
      <c r="Z490" s="187"/>
      <c r="AA490" s="187"/>
      <c r="AB490" s="187"/>
      <c r="AC490" s="187"/>
      <c r="AD490" s="187"/>
      <c r="AE490" s="187"/>
      <c r="AF490" s="187"/>
      <c r="AG490" s="187"/>
      <c r="AH490" s="187"/>
      <c r="AI490" s="187"/>
      <c r="AJ490" s="187"/>
      <c r="AK490" s="187"/>
      <c r="AL490" s="187"/>
      <c r="AM490" s="187"/>
      <c r="AN490" s="187"/>
      <c r="AO490" s="187"/>
      <c r="AP490" s="187"/>
      <c r="AQ490" s="187"/>
      <c r="AR490" s="187"/>
      <c r="AS490" s="187"/>
      <c r="AT490" s="874"/>
      <c r="AU490" s="874"/>
      <c r="AV490" s="874"/>
      <c r="AW490" s="874"/>
      <c r="AX490" s="874"/>
      <c r="AY490" s="874"/>
      <c r="AZ490" s="874"/>
      <c r="BA490" s="874"/>
      <c r="BB490" s="874"/>
      <c r="BC490" s="874"/>
      <c r="BD490" s="874"/>
      <c r="BE490" s="874"/>
      <c r="BF490" s="874"/>
      <c r="BG490" s="874"/>
      <c r="BH490" s="874"/>
      <c r="BI490" s="874"/>
      <c r="BJ490" s="874"/>
      <c r="BK490" s="874"/>
      <c r="BL490" s="874"/>
      <c r="BM490" s="874"/>
      <c r="BN490" s="874"/>
      <c r="BO490" s="874"/>
      <c r="BP490" s="874"/>
      <c r="BQ490" s="874"/>
      <c r="BR490" s="874"/>
      <c r="BS490" s="874"/>
      <c r="BT490" s="874"/>
      <c r="BU490" s="875"/>
      <c r="BV490" s="875"/>
      <c r="BW490" s="875"/>
      <c r="BX490" s="875"/>
      <c r="BY490" s="874"/>
      <c r="BZ490" s="875"/>
      <c r="CA490" s="875"/>
      <c r="CB490" s="875"/>
      <c r="CC490" s="875"/>
      <c r="CD490" s="874"/>
      <c r="CE490" s="875"/>
      <c r="CF490" s="875"/>
      <c r="CG490" s="875"/>
      <c r="CH490" s="875"/>
      <c r="CI490" s="874"/>
      <c r="CJ490" s="875"/>
      <c r="CK490" s="875"/>
      <c r="CL490" s="875"/>
      <c r="CM490" s="875"/>
      <c r="CN490" s="874"/>
      <c r="CO490" s="875"/>
      <c r="CP490" s="875"/>
      <c r="CQ490" s="877">
        <f>IFERROR(CQ489/CN489-1,"")</f>
        <v>2.7183832230157856E-2</v>
      </c>
      <c r="CR490" s="877">
        <f t="shared" ref="CR490:CW490" si="1707">IFERROR(CR489/CQ489-1,"")</f>
        <v>8.4204898343940293E-3</v>
      </c>
      <c r="CS490" s="877">
        <f t="shared" si="1707"/>
        <v>6.729340559449648E-2</v>
      </c>
      <c r="CT490" s="877">
        <f t="shared" si="1707"/>
        <v>7.0088631962623715E-2</v>
      </c>
      <c r="CU490" s="877">
        <f t="shared" si="1707"/>
        <v>7.1046044638497952E-2</v>
      </c>
      <c r="CV490" s="877">
        <f t="shared" si="1707"/>
        <v>6.0812424391295306E-2</v>
      </c>
      <c r="CW490" s="877">
        <f t="shared" si="1707"/>
        <v>1.8994503694581333E-2</v>
      </c>
      <c r="CX490" s="159"/>
      <c r="CY490" s="159"/>
      <c r="CZ490" s="159"/>
      <c r="DA490" s="159"/>
      <c r="DB490" s="159"/>
      <c r="DC490" s="159"/>
      <c r="DD490" s="159"/>
      <c r="DF490" s="364"/>
      <c r="DG490" s="292"/>
      <c r="DH490" s="292"/>
      <c r="DI490" s="292"/>
      <c r="DJ490" s="292"/>
      <c r="DK490" s="292"/>
      <c r="DL490" s="292"/>
      <c r="DM490" s="292"/>
      <c r="DN490" s="292"/>
      <c r="DO490" s="292"/>
      <c r="ED490" s="221"/>
      <c r="EE490" s="221"/>
      <c r="EQ490" s="221"/>
      <c r="ER490" s="221"/>
      <c r="ES490" s="221"/>
      <c r="EU490" s="286"/>
      <c r="EV490" s="287"/>
    </row>
    <row r="491" spans="1:152">
      <c r="A491" s="351" t="s">
        <v>785</v>
      </c>
      <c r="B491" s="874"/>
      <c r="C491" s="874"/>
      <c r="D491" s="874"/>
      <c r="E491" s="874"/>
      <c r="F491" s="874"/>
      <c r="G491" s="187"/>
      <c r="H491" s="187"/>
      <c r="I491" s="187"/>
      <c r="J491" s="187"/>
      <c r="K491" s="187"/>
      <c r="L491" s="187"/>
      <c r="M491" s="187"/>
      <c r="N491" s="187"/>
      <c r="O491" s="187"/>
      <c r="P491" s="187"/>
      <c r="Q491" s="187"/>
      <c r="R491" s="187"/>
      <c r="S491" s="187"/>
      <c r="T491" s="187"/>
      <c r="U491" s="187"/>
      <c r="V491" s="187"/>
      <c r="W491" s="187"/>
      <c r="X491" s="187"/>
      <c r="Y491" s="187"/>
      <c r="Z491" s="187"/>
      <c r="AA491" s="187"/>
      <c r="AB491" s="187"/>
      <c r="AC491" s="187"/>
      <c r="AD491" s="187"/>
      <c r="AE491" s="187"/>
      <c r="AF491" s="187"/>
      <c r="AG491" s="187"/>
      <c r="AH491" s="187"/>
      <c r="AI491" s="187"/>
      <c r="AJ491" s="187"/>
      <c r="AK491" s="187"/>
      <c r="AL491" s="187"/>
      <c r="AM491" s="187"/>
      <c r="AN491" s="187"/>
      <c r="AO491" s="187"/>
      <c r="AP491" s="187"/>
      <c r="AQ491" s="187"/>
      <c r="AR491" s="187"/>
      <c r="AS491" s="187"/>
      <c r="AT491" s="874"/>
      <c r="AU491" s="874"/>
      <c r="AV491" s="874"/>
      <c r="AW491" s="874"/>
      <c r="AX491" s="874"/>
      <c r="AY491" s="874"/>
      <c r="AZ491" s="874"/>
      <c r="BA491" s="874"/>
      <c r="BB491" s="874"/>
      <c r="BC491" s="874"/>
      <c r="BD491" s="874"/>
      <c r="BE491" s="874"/>
      <c r="BF491" s="874"/>
      <c r="BG491" s="874"/>
      <c r="BH491" s="874"/>
      <c r="BI491" s="874"/>
      <c r="BJ491" s="874"/>
      <c r="BK491" s="874"/>
      <c r="BL491" s="874"/>
      <c r="BM491" s="874"/>
      <c r="BN491" s="874"/>
      <c r="BO491" s="874"/>
      <c r="BP491" s="874"/>
      <c r="BQ491" s="874"/>
      <c r="BR491" s="874"/>
      <c r="BS491" s="874"/>
      <c r="BT491" s="874"/>
      <c r="BU491" s="875"/>
      <c r="BV491" s="875"/>
      <c r="BW491" s="875"/>
      <c r="BX491" s="875"/>
      <c r="BY491" s="874"/>
      <c r="BZ491" s="875"/>
      <c r="CA491" s="875"/>
      <c r="CB491" s="875"/>
      <c r="CC491" s="875"/>
      <c r="CD491" s="874"/>
      <c r="CE491" s="875"/>
      <c r="CF491" s="875"/>
      <c r="CG491" s="875"/>
      <c r="CH491" s="875"/>
      <c r="CI491" s="874"/>
      <c r="CJ491" s="875"/>
      <c r="CK491" s="875"/>
      <c r="CL491" s="875"/>
      <c r="CM491" s="875"/>
      <c r="CN491" s="874"/>
      <c r="CO491" s="875"/>
      <c r="CP491" s="875"/>
      <c r="CQ491" s="877">
        <f t="shared" ref="CQ491:CW491" si="1708">IFERROR(CQ484/CQ489-1,"")</f>
        <v>0.10356260535260597</v>
      </c>
      <c r="CR491" s="877">
        <f t="shared" si="1708"/>
        <v>0.17371680088160035</v>
      </c>
      <c r="CS491" s="877">
        <f t="shared" si="1708"/>
        <v>0.16605856222653359</v>
      </c>
      <c r="CT491" s="877">
        <f t="shared" si="1708"/>
        <v>0.15690536088915308</v>
      </c>
      <c r="CU491" s="877">
        <f t="shared" si="1708"/>
        <v>0.14845888636086846</v>
      </c>
      <c r="CV491" s="877">
        <f t="shared" si="1708"/>
        <v>0.14363042635961487</v>
      </c>
      <c r="CW491" s="877">
        <f t="shared" si="1708"/>
        <v>0.1930540215594363</v>
      </c>
      <c r="CX491" s="159"/>
      <c r="CY491" s="159"/>
      <c r="CZ491" s="159"/>
      <c r="DA491" s="159"/>
      <c r="DB491" s="159"/>
      <c r="DC491" s="159"/>
      <c r="DD491" s="159"/>
      <c r="DF491" s="364"/>
      <c r="DG491" s="292"/>
      <c r="DH491" s="292"/>
      <c r="DI491" s="292"/>
      <c r="DJ491" s="292"/>
      <c r="DK491" s="292"/>
      <c r="DL491" s="292"/>
      <c r="DM491" s="292"/>
      <c r="DN491" s="292"/>
      <c r="DO491" s="292"/>
      <c r="ED491" s="221"/>
      <c r="EE491" s="221"/>
      <c r="EQ491" s="221"/>
      <c r="ER491" s="221"/>
      <c r="ES491" s="221"/>
      <c r="EU491" s="286"/>
      <c r="EV491" s="287"/>
    </row>
    <row r="492" spans="1:152">
      <c r="A492" s="226" t="s">
        <v>749</v>
      </c>
      <c r="B492" s="750"/>
      <c r="C492" s="750"/>
      <c r="D492" s="750"/>
      <c r="E492" s="750"/>
      <c r="F492" s="750"/>
      <c r="G492" s="690"/>
      <c r="H492" s="690"/>
      <c r="I492" s="690"/>
      <c r="J492" s="690"/>
      <c r="K492" s="690"/>
      <c r="L492" s="690"/>
      <c r="M492" s="690"/>
      <c r="N492" s="690"/>
      <c r="O492" s="690"/>
      <c r="P492" s="690"/>
      <c r="Q492" s="690"/>
      <c r="R492" s="690"/>
      <c r="S492" s="690"/>
      <c r="T492" s="690"/>
      <c r="U492" s="690"/>
      <c r="V492" s="690"/>
      <c r="W492" s="690"/>
      <c r="X492" s="690"/>
      <c r="Y492" s="690"/>
      <c r="Z492" s="690"/>
      <c r="AA492" s="690"/>
      <c r="AB492" s="690"/>
      <c r="AC492" s="690"/>
      <c r="AD492" s="690"/>
      <c r="AE492" s="690"/>
      <c r="AF492" s="690"/>
      <c r="AG492" s="690"/>
      <c r="AH492" s="690"/>
      <c r="AI492" s="690"/>
      <c r="AJ492" s="690"/>
      <c r="AK492" s="690"/>
      <c r="AL492" s="690"/>
      <c r="AM492" s="690"/>
      <c r="AN492" s="690"/>
      <c r="AO492" s="690"/>
      <c r="AP492" s="690"/>
      <c r="AQ492" s="690"/>
      <c r="AR492" s="690"/>
      <c r="AS492" s="690"/>
      <c r="AT492" s="720"/>
      <c r="AU492" s="750"/>
      <c r="AV492" s="750"/>
      <c r="AW492" s="750"/>
      <c r="AX492" s="750"/>
      <c r="AY492" s="750"/>
      <c r="AZ492" s="750"/>
      <c r="BA492" s="750"/>
      <c r="BB492" s="750"/>
      <c r="BC492" s="750"/>
      <c r="BD492" s="750"/>
      <c r="BE492" s="750"/>
      <c r="BF492" s="750"/>
      <c r="BG492" s="750"/>
      <c r="BH492" s="720"/>
      <c r="BI492" s="720"/>
      <c r="BJ492" s="750"/>
      <c r="BK492" s="750"/>
      <c r="BL492" s="750"/>
      <c r="BM492" s="750"/>
      <c r="BN492" s="720"/>
      <c r="BO492" s="750"/>
      <c r="BP492" s="720"/>
      <c r="BQ492" s="720"/>
      <c r="BR492" s="720"/>
      <c r="BS492" s="720"/>
      <c r="BT492" s="750"/>
      <c r="BU492" s="717"/>
      <c r="BV492" s="717"/>
      <c r="BW492" s="717"/>
      <c r="BX492" s="717"/>
      <c r="BY492" s="750"/>
      <c r="BZ492" s="691">
        <f t="shared" ref="BZ492:CF492" si="1709">BZ494-BZ484</f>
        <v>0</v>
      </c>
      <c r="CA492" s="691">
        <f t="shared" si="1709"/>
        <v>0</v>
      </c>
      <c r="CB492" s="691">
        <f t="shared" si="1709"/>
        <v>57</v>
      </c>
      <c r="CC492" s="691">
        <f t="shared" si="1709"/>
        <v>304</v>
      </c>
      <c r="CD492" s="691">
        <f t="shared" si="1709"/>
        <v>361</v>
      </c>
      <c r="CE492" s="691">
        <f t="shared" si="1709"/>
        <v>0</v>
      </c>
      <c r="CF492" s="691">
        <f t="shared" si="1709"/>
        <v>0</v>
      </c>
      <c r="CG492" s="691">
        <f t="shared" ref="CG492:CJ492" si="1710">CG494-CG484</f>
        <v>0</v>
      </c>
      <c r="CH492" s="691">
        <f t="shared" si="1710"/>
        <v>0</v>
      </c>
      <c r="CI492" s="691">
        <f t="shared" si="1710"/>
        <v>0</v>
      </c>
      <c r="CJ492" s="691">
        <f t="shared" si="1710"/>
        <v>0</v>
      </c>
      <c r="CK492" s="691">
        <f t="shared" ref="CK492:CL492" si="1711">CK494-CK484</f>
        <v>0</v>
      </c>
      <c r="CL492" s="691">
        <f t="shared" si="1711"/>
        <v>0</v>
      </c>
      <c r="CM492" s="691">
        <f t="shared" ref="CM492:CP492" si="1712">CM494-CM484</f>
        <v>0</v>
      </c>
      <c r="CN492" s="691">
        <f t="shared" si="1712"/>
        <v>-22</v>
      </c>
      <c r="CO492" s="691">
        <f t="shared" si="1712"/>
        <v>0</v>
      </c>
      <c r="CP492" s="691">
        <f t="shared" si="1712"/>
        <v>0</v>
      </c>
      <c r="CQ492" s="750"/>
      <c r="CR492" s="750"/>
      <c r="CS492" s="750"/>
      <c r="CT492" s="750"/>
      <c r="CU492" s="750"/>
      <c r="CV492" s="750"/>
      <c r="CW492" s="750"/>
      <c r="CX492" s="159"/>
      <c r="CY492" s="159"/>
      <c r="CZ492" s="159"/>
      <c r="DA492" s="159"/>
      <c r="DB492" s="159"/>
      <c r="DC492" s="159"/>
      <c r="DD492" s="159"/>
      <c r="DF492" s="364"/>
      <c r="DG492" s="292"/>
      <c r="DH492" s="292"/>
      <c r="DI492" s="292"/>
      <c r="DJ492" s="292"/>
      <c r="DK492" s="292"/>
      <c r="DL492" s="292"/>
      <c r="DM492" s="292"/>
      <c r="DN492" s="292"/>
      <c r="DO492" s="292"/>
      <c r="ED492" s="221"/>
      <c r="EE492" s="221"/>
      <c r="EQ492" s="221"/>
      <c r="ER492" s="221"/>
      <c r="ES492" s="221"/>
      <c r="EU492" s="286"/>
      <c r="EV492" s="287"/>
    </row>
    <row r="493" spans="1:152">
      <c r="A493" s="226"/>
      <c r="B493" s="750"/>
      <c r="C493" s="750"/>
      <c r="D493" s="750"/>
      <c r="E493" s="750"/>
      <c r="F493" s="750"/>
      <c r="G493" s="690"/>
      <c r="H493" s="690"/>
      <c r="I493" s="690"/>
      <c r="J493" s="690"/>
      <c r="K493" s="690"/>
      <c r="L493" s="690"/>
      <c r="M493" s="690"/>
      <c r="N493" s="690"/>
      <c r="O493" s="690"/>
      <c r="P493" s="690"/>
      <c r="Q493" s="690"/>
      <c r="R493" s="690"/>
      <c r="S493" s="690"/>
      <c r="T493" s="690"/>
      <c r="U493" s="690"/>
      <c r="V493" s="690"/>
      <c r="W493" s="690"/>
      <c r="X493" s="690"/>
      <c r="Y493" s="690"/>
      <c r="Z493" s="690"/>
      <c r="AA493" s="690"/>
      <c r="AB493" s="690"/>
      <c r="AC493" s="690"/>
      <c r="AD493" s="690"/>
      <c r="AE493" s="690"/>
      <c r="AF493" s="690"/>
      <c r="AG493" s="690"/>
      <c r="AH493" s="690"/>
      <c r="AI493" s="690"/>
      <c r="AJ493" s="690"/>
      <c r="AK493" s="690"/>
      <c r="AL493" s="690"/>
      <c r="AM493" s="690"/>
      <c r="AN493" s="690"/>
      <c r="AO493" s="690"/>
      <c r="AP493" s="690"/>
      <c r="AQ493" s="690"/>
      <c r="AR493" s="690"/>
      <c r="AS493" s="690"/>
      <c r="AT493" s="720"/>
      <c r="AU493" s="750"/>
      <c r="AV493" s="750"/>
      <c r="AW493" s="750"/>
      <c r="AX493" s="750"/>
      <c r="AY493" s="750"/>
      <c r="AZ493" s="750"/>
      <c r="BA493" s="750"/>
      <c r="BB493" s="750"/>
      <c r="BC493" s="750"/>
      <c r="BD493" s="750"/>
      <c r="BE493" s="750"/>
      <c r="BF493" s="750"/>
      <c r="BG493" s="750"/>
      <c r="BH493" s="720"/>
      <c r="BI493" s="720"/>
      <c r="BJ493" s="750"/>
      <c r="BK493" s="750"/>
      <c r="BL493" s="750"/>
      <c r="BM493" s="750"/>
      <c r="BN493" s="720"/>
      <c r="BO493" s="750"/>
      <c r="BP493" s="720"/>
      <c r="BQ493" s="720"/>
      <c r="BR493" s="720"/>
      <c r="BS493" s="720"/>
      <c r="BT493" s="750"/>
      <c r="BU493" s="717"/>
      <c r="BV493" s="717"/>
      <c r="BW493" s="717"/>
      <c r="BX493" s="717"/>
      <c r="BY493" s="750"/>
      <c r="BZ493" s="717"/>
      <c r="CA493" s="717"/>
      <c r="CB493" s="717"/>
      <c r="CC493" s="717"/>
      <c r="CD493" s="750"/>
      <c r="CE493" s="717"/>
      <c r="CF493" s="717"/>
      <c r="CG493" s="717"/>
      <c r="CH493" s="717"/>
      <c r="CI493" s="750"/>
      <c r="CJ493" s="717"/>
      <c r="CK493" s="717"/>
      <c r="CL493" s="717"/>
      <c r="CM493" s="717"/>
      <c r="CN493" s="750"/>
      <c r="CO493" s="717"/>
      <c r="CP493" s="717"/>
      <c r="CQ493" s="750"/>
      <c r="CR493" s="750"/>
      <c r="CS493" s="750"/>
      <c r="CT493" s="750"/>
      <c r="CU493" s="750"/>
      <c r="CV493" s="750"/>
      <c r="CW493" s="750"/>
      <c r="CX493" s="159"/>
      <c r="CY493" s="159"/>
      <c r="CZ493" s="159"/>
      <c r="DA493" s="159"/>
      <c r="DB493" s="159"/>
      <c r="DC493" s="159"/>
      <c r="DD493" s="159"/>
      <c r="DF493" s="364"/>
      <c r="DG493" s="292"/>
      <c r="DH493" s="292"/>
      <c r="DI493" s="292"/>
      <c r="DJ493" s="292"/>
      <c r="DK493" s="292"/>
      <c r="DL493" s="292"/>
      <c r="DM493" s="292"/>
      <c r="DN493" s="292"/>
      <c r="DO493" s="292"/>
      <c r="ED493" s="221"/>
      <c r="EE493" s="221"/>
      <c r="EQ493" s="221"/>
      <c r="ER493" s="221"/>
      <c r="ES493" s="221"/>
      <c r="EU493" s="286"/>
      <c r="EV493" s="287"/>
    </row>
    <row r="494" spans="1:152">
      <c r="A494" s="283" t="s">
        <v>748</v>
      </c>
      <c r="B494" s="757"/>
      <c r="C494" s="757"/>
      <c r="D494" s="757"/>
      <c r="E494" s="757"/>
      <c r="F494" s="757"/>
      <c r="G494" s="758"/>
      <c r="H494" s="758"/>
      <c r="I494" s="758"/>
      <c r="J494" s="758"/>
      <c r="K494" s="758"/>
      <c r="L494" s="758"/>
      <c r="M494" s="758"/>
      <c r="N494" s="758"/>
      <c r="O494" s="758"/>
      <c r="P494" s="758"/>
      <c r="Q494" s="758"/>
      <c r="R494" s="758"/>
      <c r="S494" s="758"/>
      <c r="T494" s="758"/>
      <c r="U494" s="758"/>
      <c r="V494" s="758"/>
      <c r="W494" s="758"/>
      <c r="X494" s="758"/>
      <c r="Y494" s="758"/>
      <c r="Z494" s="758"/>
      <c r="AA494" s="758"/>
      <c r="AB494" s="758"/>
      <c r="AC494" s="758"/>
      <c r="AD494" s="758"/>
      <c r="AE494" s="758"/>
      <c r="AF494" s="758"/>
      <c r="AG494" s="758"/>
      <c r="AH494" s="758"/>
      <c r="AI494" s="758"/>
      <c r="AJ494" s="758"/>
      <c r="AK494" s="758"/>
      <c r="AL494" s="758"/>
      <c r="AM494" s="758"/>
      <c r="AN494" s="758"/>
      <c r="AO494" s="758"/>
      <c r="AP494" s="758"/>
      <c r="AQ494" s="758"/>
      <c r="AR494" s="758"/>
      <c r="AS494" s="758"/>
      <c r="AT494" s="723"/>
      <c r="AU494" s="757"/>
      <c r="AV494" s="757"/>
      <c r="AW494" s="757"/>
      <c r="AX494" s="757"/>
      <c r="AY494" s="757"/>
      <c r="AZ494" s="757"/>
      <c r="BA494" s="757"/>
      <c r="BB494" s="757"/>
      <c r="BC494" s="757"/>
      <c r="BD494" s="757"/>
      <c r="BE494" s="757"/>
      <c r="BF494" s="757"/>
      <c r="BG494" s="757"/>
      <c r="BH494" s="723"/>
      <c r="BI494" s="723"/>
      <c r="BJ494" s="757"/>
      <c r="BK494" s="757"/>
      <c r="BL494" s="757"/>
      <c r="BM494" s="757"/>
      <c r="BN494" s="723"/>
      <c r="BO494" s="757"/>
      <c r="BP494" s="723"/>
      <c r="BQ494" s="723"/>
      <c r="BR494" s="723"/>
      <c r="BS494" s="723"/>
      <c r="BT494" s="757"/>
      <c r="BU494" s="723"/>
      <c r="BV494" s="723"/>
      <c r="BW494" s="723"/>
      <c r="BX494" s="723"/>
      <c r="BY494" s="757"/>
      <c r="BZ494" s="747">
        <f>'[3]Profit and Loss Highlights'!AU$83</f>
        <v>320</v>
      </c>
      <c r="CA494" s="747">
        <f>'[3]Profit and Loss Highlights'!AV$83</f>
        <v>329</v>
      </c>
      <c r="CB494" s="747">
        <f>'[3]Profit and Loss Highlights'!AW$83</f>
        <v>344</v>
      </c>
      <c r="CC494" s="747">
        <f>'[3]Profit and Loss Highlights'!AX$83</f>
        <v>360</v>
      </c>
      <c r="CD494" s="752">
        <f>SUM(BZ494:CC494)</f>
        <v>1353</v>
      </c>
      <c r="CE494" s="747">
        <f>'[3]Profit and Loss Highlights'!AY$83</f>
        <v>353</v>
      </c>
      <c r="CF494" s="747">
        <f>'[3]Profit and Loss Highlights'!AZ$83</f>
        <v>356</v>
      </c>
      <c r="CG494" s="747">
        <f>'[3]Profit and Loss Highlights'!BA$83</f>
        <v>366</v>
      </c>
      <c r="CH494" s="747">
        <f>'[3]Profit and Loss Highlights'!BB$83</f>
        <v>321</v>
      </c>
      <c r="CI494" s="752">
        <f>SUM(CE494:CH494)</f>
        <v>1396</v>
      </c>
      <c r="CJ494" s="747">
        <f>'[3]Profit and Loss Highlights'!BC$83</f>
        <v>371</v>
      </c>
      <c r="CK494" s="747">
        <f>'[3]Profit and Loss Highlights'!BD$83</f>
        <v>398</v>
      </c>
      <c r="CL494" s="747">
        <f>'[3]Profit and Loss Highlights'!BE$83</f>
        <v>412</v>
      </c>
      <c r="CM494" s="747">
        <f>'[3]Profit and Loss Highlights'!BF$83</f>
        <v>380</v>
      </c>
      <c r="CN494" s="752">
        <f>SUM(CJ494:CM494)</f>
        <v>1561</v>
      </c>
      <c r="CO494" s="747">
        <f>'[3]Profit and Loss Highlights'!BG$83</f>
        <v>417</v>
      </c>
      <c r="CP494" s="747">
        <f>'[3]Profit and Loss Highlights'!BH$83</f>
        <v>436</v>
      </c>
      <c r="CQ494" s="757"/>
      <c r="CR494" s="757"/>
      <c r="CS494" s="757"/>
      <c r="CT494" s="757"/>
      <c r="CU494" s="757"/>
      <c r="CV494" s="757"/>
      <c r="CW494" s="757"/>
      <c r="CX494" s="159"/>
      <c r="CY494" s="159"/>
      <c r="CZ494" s="159"/>
      <c r="DA494" s="159"/>
      <c r="DB494" s="159"/>
      <c r="DC494" s="159"/>
      <c r="DD494" s="159"/>
      <c r="DF494" s="364"/>
      <c r="DG494" s="292"/>
      <c r="DH494" s="292"/>
      <c r="DI494" s="292"/>
      <c r="DJ494" s="292"/>
      <c r="DK494" s="292"/>
      <c r="DL494" s="292"/>
      <c r="DM494" s="292"/>
      <c r="DN494" s="292"/>
      <c r="DO494" s="292"/>
      <c r="ED494" s="221"/>
      <c r="EE494" s="221"/>
      <c r="EQ494" s="221"/>
      <c r="ER494" s="221"/>
      <c r="ES494" s="221"/>
      <c r="EU494" s="286"/>
      <c r="EV494" s="287"/>
    </row>
    <row r="495" spans="1:152">
      <c r="A495" s="226"/>
      <c r="B495" s="367"/>
      <c r="C495" s="367"/>
      <c r="D495" s="367"/>
      <c r="E495" s="367"/>
      <c r="F495" s="367"/>
      <c r="G495" s="166"/>
      <c r="H495" s="166"/>
      <c r="I495" s="166"/>
      <c r="J495" s="166"/>
      <c r="K495" s="166"/>
      <c r="L495" s="166"/>
      <c r="M495" s="166"/>
      <c r="N495" s="166"/>
      <c r="O495" s="166"/>
      <c r="P495" s="166"/>
      <c r="Q495" s="166"/>
      <c r="R495" s="166"/>
      <c r="S495" s="166"/>
      <c r="T495" s="166"/>
      <c r="U495" s="166"/>
      <c r="V495" s="166"/>
      <c r="W495" s="166"/>
      <c r="X495" s="166"/>
      <c r="Y495" s="166"/>
      <c r="Z495" s="166"/>
      <c r="AA495" s="166"/>
      <c r="AB495" s="166"/>
      <c r="AC495" s="166"/>
      <c r="AD495" s="166"/>
      <c r="AE495" s="166"/>
      <c r="AF495" s="166"/>
      <c r="AG495" s="166"/>
      <c r="AH495" s="166"/>
      <c r="AI495" s="166"/>
      <c r="AJ495" s="166"/>
      <c r="AK495" s="166"/>
      <c r="AL495" s="166"/>
      <c r="AM495" s="166"/>
      <c r="AN495" s="166"/>
      <c r="AO495" s="166"/>
      <c r="AP495" s="166"/>
      <c r="AQ495" s="166"/>
      <c r="AR495" s="166"/>
      <c r="AS495" s="166"/>
      <c r="AT495" s="302"/>
      <c r="AU495" s="367"/>
      <c r="AV495" s="367"/>
      <c r="AW495" s="367"/>
      <c r="AX495" s="367"/>
      <c r="AY495" s="367"/>
      <c r="AZ495" s="367"/>
      <c r="BA495" s="367"/>
      <c r="BB495" s="367"/>
      <c r="BC495" s="367"/>
      <c r="BD495" s="367"/>
      <c r="BE495" s="367"/>
      <c r="BF495" s="367"/>
      <c r="BG495" s="367"/>
      <c r="BH495" s="302"/>
      <c r="BI495" s="302"/>
      <c r="BJ495" s="367"/>
      <c r="BK495" s="367"/>
      <c r="BL495" s="367"/>
      <c r="BM495" s="367"/>
      <c r="BN495" s="302"/>
      <c r="BO495" s="367"/>
      <c r="BP495" s="302"/>
      <c r="BQ495" s="302"/>
      <c r="BR495" s="302"/>
      <c r="BS495" s="302"/>
      <c r="BT495" s="367"/>
      <c r="BU495" s="307"/>
      <c r="BV495" s="307"/>
      <c r="BW495" s="307"/>
      <c r="BX495" s="307"/>
      <c r="BY495" s="367"/>
      <c r="BZ495" s="307"/>
      <c r="CA495" s="307"/>
      <c r="CB495" s="307"/>
      <c r="CC495" s="307"/>
      <c r="CD495" s="367"/>
      <c r="CE495" s="307"/>
      <c r="CF495" s="307"/>
      <c r="CG495" s="307"/>
      <c r="CH495" s="307"/>
      <c r="CI495" s="367"/>
      <c r="CJ495" s="307"/>
      <c r="CK495" s="307"/>
      <c r="CL495" s="307"/>
      <c r="CM495" s="307"/>
      <c r="CN495" s="367"/>
      <c r="CO495" s="307"/>
      <c r="CP495" s="307"/>
      <c r="CQ495" s="367"/>
      <c r="CR495" s="367"/>
      <c r="CS495" s="367"/>
      <c r="CT495" s="367"/>
      <c r="CU495" s="367"/>
      <c r="CV495" s="367"/>
      <c r="CW495" s="367"/>
      <c r="CX495" s="159"/>
      <c r="CY495" s="159"/>
      <c r="CZ495" s="159"/>
      <c r="DA495" s="159"/>
      <c r="DB495" s="159"/>
      <c r="DC495" s="159"/>
      <c r="DD495" s="159"/>
      <c r="DF495" s="364"/>
      <c r="DG495" s="292"/>
      <c r="DH495" s="292"/>
      <c r="DI495" s="292"/>
      <c r="DJ495" s="292"/>
      <c r="DK495" s="292"/>
      <c r="DL495" s="292"/>
      <c r="DM495" s="292"/>
      <c r="DN495" s="292"/>
      <c r="DO495" s="292"/>
      <c r="ED495" s="221"/>
      <c r="EE495" s="221"/>
      <c r="EQ495" s="221"/>
      <c r="ER495" s="221"/>
      <c r="ES495" s="221"/>
      <c r="EU495" s="286"/>
      <c r="EV495" s="287"/>
    </row>
    <row r="496" spans="1:152">
      <c r="A496" s="226"/>
      <c r="B496" s="367"/>
      <c r="C496" s="367"/>
      <c r="D496" s="367"/>
      <c r="E496" s="367"/>
      <c r="F496" s="367"/>
      <c r="G496" s="166"/>
      <c r="H496" s="166"/>
      <c r="I496" s="166"/>
      <c r="J496" s="166"/>
      <c r="K496" s="166"/>
      <c r="L496" s="166"/>
      <c r="M496" s="166"/>
      <c r="N496" s="166"/>
      <c r="O496" s="166"/>
      <c r="P496" s="166"/>
      <c r="Q496" s="166"/>
      <c r="R496" s="166"/>
      <c r="S496" s="166"/>
      <c r="T496" s="166"/>
      <c r="U496" s="166"/>
      <c r="V496" s="166"/>
      <c r="W496" s="166"/>
      <c r="X496" s="166"/>
      <c r="Y496" s="166"/>
      <c r="Z496" s="166"/>
      <c r="AA496" s="166"/>
      <c r="AB496" s="166"/>
      <c r="AC496" s="166"/>
      <c r="AD496" s="166"/>
      <c r="AE496" s="166"/>
      <c r="AF496" s="166"/>
      <c r="AG496" s="166"/>
      <c r="AH496" s="166"/>
      <c r="AI496" s="166"/>
      <c r="AJ496" s="166"/>
      <c r="AK496" s="166"/>
      <c r="AL496" s="166"/>
      <c r="AM496" s="166"/>
      <c r="AN496" s="166"/>
      <c r="AO496" s="166"/>
      <c r="AP496" s="166"/>
      <c r="AQ496" s="166"/>
      <c r="AR496" s="166"/>
      <c r="AS496" s="166"/>
      <c r="AT496" s="302"/>
      <c r="AU496" s="367"/>
      <c r="AV496" s="367"/>
      <c r="AW496" s="367"/>
      <c r="AX496" s="367"/>
      <c r="AY496" s="367"/>
      <c r="AZ496" s="367"/>
      <c r="BA496" s="367"/>
      <c r="BB496" s="367"/>
      <c r="BC496" s="367"/>
      <c r="BD496" s="367"/>
      <c r="BE496" s="367"/>
      <c r="BF496" s="367"/>
      <c r="BG496" s="367"/>
      <c r="BH496" s="302"/>
      <c r="BI496" s="302"/>
      <c r="BJ496" s="367"/>
      <c r="BK496" s="367"/>
      <c r="BL496" s="367"/>
      <c r="BM496" s="367"/>
      <c r="BN496" s="302"/>
      <c r="BO496" s="367"/>
      <c r="BP496" s="302"/>
      <c r="BQ496" s="302"/>
      <c r="BR496" s="302"/>
      <c r="BS496" s="302"/>
      <c r="BT496" s="367"/>
      <c r="BU496" s="307"/>
      <c r="BV496" s="307"/>
      <c r="BW496" s="307"/>
      <c r="BX496" s="307"/>
      <c r="BY496" s="367"/>
      <c r="BZ496" s="307"/>
      <c r="CA496" s="307"/>
      <c r="CB496" s="307"/>
      <c r="CC496" s="307"/>
      <c r="CD496" s="367"/>
      <c r="CE496" s="307"/>
      <c r="CF496" s="307"/>
      <c r="CG496" s="307"/>
      <c r="CH496" s="307"/>
      <c r="CI496" s="367"/>
      <c r="CJ496" s="307"/>
      <c r="CK496" s="307"/>
      <c r="CL496" s="307"/>
      <c r="CM496" s="307"/>
      <c r="CN496" s="367"/>
      <c r="CO496" s="307"/>
      <c r="CP496" s="307"/>
      <c r="CQ496" s="367"/>
      <c r="CR496" s="367"/>
      <c r="CS496" s="367"/>
      <c r="CT496" s="367"/>
      <c r="CU496" s="367"/>
      <c r="CV496" s="367"/>
      <c r="CW496" s="367"/>
      <c r="CX496" s="159"/>
      <c r="CY496" s="159"/>
      <c r="CZ496" s="159"/>
      <c r="DA496" s="159"/>
      <c r="DB496" s="159"/>
      <c r="DC496" s="159"/>
      <c r="DD496" s="159"/>
      <c r="DF496" s="364"/>
      <c r="DG496" s="292"/>
      <c r="DH496" s="292"/>
      <c r="DI496" s="292"/>
      <c r="DJ496" s="292"/>
      <c r="DK496" s="292"/>
      <c r="DL496" s="292"/>
      <c r="DM496" s="292"/>
      <c r="DN496" s="292"/>
      <c r="DO496" s="292"/>
      <c r="ED496" s="221"/>
      <c r="EE496" s="221"/>
      <c r="EQ496" s="221"/>
      <c r="ER496" s="221"/>
      <c r="ES496" s="221"/>
      <c r="EU496" s="286"/>
      <c r="EV496" s="287"/>
    </row>
    <row r="497" spans="1:152">
      <c r="A497" s="235" t="s">
        <v>687</v>
      </c>
      <c r="B497" s="367"/>
      <c r="C497" s="367"/>
      <c r="D497" s="367"/>
      <c r="E497" s="367"/>
      <c r="F497" s="367"/>
      <c r="G497" s="367"/>
      <c r="H497" s="367"/>
      <c r="I497" s="367"/>
      <c r="J497" s="367"/>
      <c r="K497" s="367"/>
      <c r="L497" s="367"/>
      <c r="M497" s="367"/>
      <c r="N497" s="367"/>
      <c r="O497" s="367"/>
      <c r="P497" s="367"/>
      <c r="Q497" s="367"/>
      <c r="R497" s="367"/>
      <c r="S497" s="367"/>
      <c r="T497" s="367"/>
      <c r="U497" s="367"/>
      <c r="V497" s="367"/>
      <c r="W497" s="367"/>
      <c r="X497" s="367"/>
      <c r="Y497" s="367"/>
      <c r="Z497" s="367"/>
      <c r="AA497" s="367"/>
      <c r="AB497" s="367"/>
      <c r="AC497" s="367"/>
      <c r="AD497" s="367"/>
      <c r="AE497" s="367"/>
      <c r="AF497" s="367"/>
      <c r="AG497" s="367"/>
      <c r="AH497" s="367"/>
      <c r="AI497" s="367"/>
      <c r="AJ497" s="367"/>
      <c r="AK497" s="367"/>
      <c r="AL497" s="367"/>
      <c r="AM497" s="367"/>
      <c r="AN497" s="367"/>
      <c r="AO497" s="367"/>
      <c r="AP497" s="367"/>
      <c r="AQ497" s="367"/>
      <c r="AR497" s="367"/>
      <c r="AS497" s="367"/>
      <c r="AT497" s="302"/>
      <c r="AU497" s="218"/>
      <c r="AV497" s="218"/>
      <c r="AW497" s="218"/>
      <c r="AX497" s="218"/>
      <c r="AY497" s="218"/>
      <c r="AZ497" s="218"/>
      <c r="BA497" s="218"/>
      <c r="BB497" s="218"/>
      <c r="BC497" s="218"/>
      <c r="BD497" s="218"/>
      <c r="BE497" s="218"/>
      <c r="BF497" s="218"/>
      <c r="BG497" s="218"/>
      <c r="BH497" s="227"/>
      <c r="BI497" s="227"/>
      <c r="BJ497" s="218"/>
      <c r="BK497" s="218"/>
      <c r="BL497" s="218"/>
      <c r="BM497" s="218"/>
      <c r="BN497" s="227"/>
      <c r="BO497" s="218"/>
      <c r="BP497" s="227"/>
      <c r="BQ497" s="227"/>
      <c r="BR497" s="227"/>
      <c r="BS497" s="227"/>
      <c r="BT497" s="218"/>
      <c r="BU497" s="229"/>
      <c r="BV497" s="229"/>
      <c r="BW497" s="229"/>
      <c r="BX497" s="229"/>
      <c r="BY497" s="159"/>
      <c r="BZ497" s="229"/>
      <c r="CA497" s="229"/>
      <c r="CB497" s="229"/>
      <c r="CC497" s="229"/>
      <c r="CD497" s="159"/>
      <c r="CE497" s="229"/>
      <c r="CF497" s="229"/>
      <c r="CG497" s="229"/>
      <c r="CH497" s="229"/>
      <c r="CI497" s="159"/>
      <c r="CJ497" s="229"/>
      <c r="CK497" s="229"/>
      <c r="CL497" s="229"/>
      <c r="CM497" s="229"/>
      <c r="CN497" s="159"/>
      <c r="CO497" s="229"/>
      <c r="CP497" s="229"/>
      <c r="CQ497" s="159"/>
      <c r="CR497" s="159"/>
      <c r="CS497" s="159"/>
      <c r="CT497" s="159"/>
      <c r="CU497" s="159"/>
      <c r="CV497" s="159"/>
      <c r="CW497" s="159"/>
      <c r="CX497" s="159"/>
      <c r="CY497" s="159"/>
      <c r="CZ497" s="159"/>
      <c r="DA497" s="159"/>
      <c r="DB497" s="159"/>
      <c r="DC497" s="159"/>
      <c r="DD497" s="159"/>
      <c r="DF497" s="197"/>
      <c r="DG497" s="258"/>
      <c r="DH497" s="258"/>
      <c r="DI497" s="258"/>
      <c r="DJ497" s="258"/>
      <c r="DK497" s="258"/>
      <c r="DL497" s="258"/>
      <c r="DM497" s="258"/>
      <c r="DN497" s="258"/>
      <c r="DO497" s="258"/>
      <c r="EU497" s="286"/>
      <c r="EV497" s="287"/>
    </row>
    <row r="498" spans="1:152">
      <c r="A498" s="226" t="s">
        <v>524</v>
      </c>
      <c r="B498" s="370"/>
      <c r="C498" s="370"/>
      <c r="D498" s="370"/>
      <c r="E498" s="370"/>
      <c r="F498" s="370"/>
      <c r="G498" s="370"/>
      <c r="H498" s="370" t="e">
        <f>H484/'Balance Sheet and Cflow'!$C215</f>
        <v>#DIV/0!</v>
      </c>
      <c r="I498" s="370" t="e">
        <f>I484/'Balance Sheet and Cflow'!$C215</f>
        <v>#DIV/0!</v>
      </c>
      <c r="J498" s="370" t="e">
        <f>J484/'Balance Sheet and Cflow'!$C215</f>
        <v>#DIV/0!</v>
      </c>
      <c r="K498" s="370" t="e">
        <f>K484/'Balance Sheet and Cflow'!$C215</f>
        <v>#DIV/0!</v>
      </c>
      <c r="L498" s="370">
        <f>L484/'Balance Sheet and Cflow'!$D215</f>
        <v>0.29759999999999998</v>
      </c>
      <c r="M498" s="370">
        <f>M484/'Balance Sheet and Cflow'!$D215</f>
        <v>7.3599999999999999E-2</v>
      </c>
      <c r="N498" s="370">
        <f>N484/'Balance Sheet and Cflow'!$D215</f>
        <v>7.0933333333333334E-2</v>
      </c>
      <c r="O498" s="370">
        <f>O484/'Balance Sheet and Cflow'!$D215</f>
        <v>8.0133333333333334E-2</v>
      </c>
      <c r="P498" s="370">
        <f>P484/'Balance Sheet and Cflow'!$D215</f>
        <v>8.1333333333333327E-2</v>
      </c>
      <c r="Q498" s="370">
        <f>Q484/'Balance Sheet and Cflow'!$E215</f>
        <v>0.30599999999999999</v>
      </c>
      <c r="R498" s="370">
        <f>R484/'Balance Sheet and Cflow'!$E215</f>
        <v>7.1999999999999995E-2</v>
      </c>
      <c r="S498" s="370">
        <f>S484/'Balance Sheet and Cflow'!$E215</f>
        <v>7.3599999999999999E-2</v>
      </c>
      <c r="T498" s="370">
        <f>T484/'Balance Sheet and Cflow'!$E215</f>
        <v>7.173333333333333E-2</v>
      </c>
      <c r="U498" s="370">
        <f>U484/'Balance Sheet and Cflow'!$E215</f>
        <v>0.12013333333333333</v>
      </c>
      <c r="V498" s="370">
        <f>V484/'Balance Sheet and Cflow'!$F215</f>
        <v>0.33746666666666669</v>
      </c>
      <c r="W498" s="370">
        <f>W484/'Balance Sheet and Cflow'!$F215</f>
        <v>7.6399999999999996E-2</v>
      </c>
      <c r="X498" s="370">
        <f>X484/'Balance Sheet and Cflow'!$F215</f>
        <v>7.853333333333333E-2</v>
      </c>
      <c r="Y498" s="370">
        <f>Y484/'Balance Sheet and Cflow'!$F215</f>
        <v>6.6799999999999998E-2</v>
      </c>
      <c r="Z498" s="370">
        <f>Z484/'Balance Sheet and Cflow'!$F215</f>
        <v>4.3999999999999997E-2</v>
      </c>
      <c r="AA498" s="370">
        <f>AA484/'Balance Sheet and Cflow'!$G215</f>
        <v>0.26573333333333332</v>
      </c>
      <c r="AB498" s="370">
        <f>AB484/'Balance Sheet and Cflow'!$G215</f>
        <v>6.4399999999999999E-2</v>
      </c>
      <c r="AC498" s="370">
        <f>AC484/'Balance Sheet and Cflow'!$G215</f>
        <v>7.1866666666666662E-2</v>
      </c>
      <c r="AD498" s="370">
        <f>AD484/'Balance Sheet and Cflow'!$G215</f>
        <v>7.6799999999999993E-2</v>
      </c>
      <c r="AE498" s="370">
        <f>AE484/'Balance Sheet and Cflow'!$G215</f>
        <v>6.7333333333333328E-2</v>
      </c>
      <c r="AF498" s="370">
        <f>AF484/'Balance Sheet and Cflow'!$H215</f>
        <v>0.28039999999999998</v>
      </c>
      <c r="AG498" s="370">
        <f>AG484/'Balance Sheet and Cflow'!$H215</f>
        <v>1.5566133333333346E-2</v>
      </c>
      <c r="AH498" s="370">
        <f>AH484/'Balance Sheet and Cflow'!$H215</f>
        <v>7.4529806189751486E-3</v>
      </c>
      <c r="AI498" s="370">
        <f>AI484/'Balance Sheet and Cflow'!$H215</f>
        <v>4.4719999999999951E-3</v>
      </c>
      <c r="AJ498" s="370">
        <f>AJ484/'Balance Sheet and Cflow'!$H215</f>
        <v>-3.5413333333332656E-4</v>
      </c>
      <c r="AK498" s="370">
        <f>AK484/'Balance Sheet and Cflow'!I215</f>
        <v>0.21434158320871693</v>
      </c>
      <c r="AL498" s="370">
        <f>AL484/'Balance Sheet and Cflow'!$J215</f>
        <v>1.806240000000001E-2</v>
      </c>
      <c r="AM498" s="370">
        <f>AM484/'Balance Sheet and Cflow'!$J215</f>
        <v>6.3839999999999991E-3</v>
      </c>
      <c r="AN498" s="370">
        <f>AN484/'Balance Sheet and Cflow'!$J215</f>
        <v>1.5599999999999999E-2</v>
      </c>
      <c r="AO498" s="370">
        <f>AO484/'Balance Sheet and Cflow'!$J215</f>
        <v>4.5333333333333337E-3</v>
      </c>
      <c r="AP498" s="370">
        <f>AP484/'Balance Sheet and Cflow'!J215</f>
        <v>0.27522389501719724</v>
      </c>
      <c r="AQ498" s="370">
        <f>AQ484/'Balance Sheet and Cflow'!$J215</f>
        <v>6.4533333333333331E-2</v>
      </c>
      <c r="AR498" s="370">
        <f>AR484/'Balance Sheet and Cflow'!$J215</f>
        <v>5.6533333333333331E-2</v>
      </c>
      <c r="AS498" s="370">
        <f>AS484/'Balance Sheet and Cflow'!$J215</f>
        <v>6.9199999999999998E-2</v>
      </c>
      <c r="AT498" s="370">
        <f>AT484/'Balance Sheet and Cflow'!$J215</f>
        <v>7.2533333333333339E-2</v>
      </c>
      <c r="AU498" s="371">
        <f>AU484/'Balance Sheet and Cflow'!K215</f>
        <v>0.26279999999999998</v>
      </c>
      <c r="AV498" s="371">
        <f>AV484/'Balance Sheet and Cflow'!L215</f>
        <v>6.6666666666666666E-2</v>
      </c>
      <c r="AW498" s="371">
        <f>AW484/'Balance Sheet and Cflow'!M215</f>
        <v>6.1755285073670722E-2</v>
      </c>
      <c r="AX498" s="371">
        <f>AX484/'Balance Sheet and Cflow'!N215</f>
        <v>7.1785028790786951E-2</v>
      </c>
      <c r="AY498" s="371">
        <f>AY484/'Balance Sheet and Cflow'!O215</f>
        <v>6.4940875679130719E-2</v>
      </c>
      <c r="AZ498" s="371">
        <f>AZ484/'Balance Sheet and Cflow'!P215</f>
        <v>0.26338658146964855</v>
      </c>
      <c r="BA498" s="371">
        <f>'[3]Profit and Loss Highlights'!AA86</f>
        <v>6.8000000000000005E-2</v>
      </c>
      <c r="BB498" s="371">
        <f>'[3]Profit and Loss Highlights'!AB86</f>
        <v>6.3733333333333336E-2</v>
      </c>
      <c r="BC498" s="371">
        <f>'[3]Profit and Loss Highlights'!AC86</f>
        <v>6.9066666666666665E-2</v>
      </c>
      <c r="BD498" s="371">
        <f>'[3]Profit and Loss Highlights'!AD86</f>
        <v>3.4533333333333333E-2</v>
      </c>
      <c r="BE498" s="291">
        <f>SUM(BA498:BD498)</f>
        <v>0.23533333333333334</v>
      </c>
      <c r="BF498" s="372">
        <f>'[3]Profit and Loss Highlights'!AE86</f>
        <v>5.1406649616368288E-2</v>
      </c>
      <c r="BG498" s="372">
        <f>'[3]Profit and Loss Highlights'!AF86</f>
        <v>4.9744245524296675E-2</v>
      </c>
      <c r="BH498" s="372">
        <f>'[3]Profit and Loss Highlights'!AG86</f>
        <v>4.6035805626598467E-2</v>
      </c>
      <c r="BI498" s="372">
        <f>'[3]Profit and Loss Highlights'!AH86</f>
        <v>4.3734015345268544E-2</v>
      </c>
      <c r="BJ498" s="291">
        <f>SUM(BF498:BI498)</f>
        <v>0.19092071611253197</v>
      </c>
      <c r="BK498" s="372">
        <f>'[3]Profit and Loss Highlights'!AI86</f>
        <v>4.5907928388746806E-2</v>
      </c>
      <c r="BL498" s="372">
        <f>'[3]Profit and Loss Highlights'!AJ86</f>
        <v>4.3094629156010228E-2</v>
      </c>
      <c r="BM498" s="372">
        <f>'[3]Profit and Loss Highlights'!AK86</f>
        <v>4.6419437340153455E-2</v>
      </c>
      <c r="BN498" s="372">
        <f>'[3]Profit and Loss Highlights'!AL86</f>
        <v>4.0792838874680305E-2</v>
      </c>
      <c r="BO498" s="291">
        <f>SUM(BK498:BN498)</f>
        <v>0.17621483375959077</v>
      </c>
      <c r="BP498" s="372">
        <f>'[3]Profit and Loss Highlights'!AM86</f>
        <v>4.271099744245524E-2</v>
      </c>
      <c r="BQ498" s="372">
        <f>'[3]Profit and Loss Highlights'!AN86</f>
        <v>4.6035805626598467E-2</v>
      </c>
      <c r="BR498" s="372">
        <f>'[3]Profit and Loss Highlights'!AO86</f>
        <v>4.1560102301790282E-2</v>
      </c>
      <c r="BS498" s="372">
        <f>'[3]Profit and Loss Highlights'!AP86</f>
        <v>3.6956521739130437E-2</v>
      </c>
      <c r="BT498" s="291">
        <f>SUM(BP498:BS498)</f>
        <v>0.16726342710997444</v>
      </c>
      <c r="BU498" s="373">
        <f>'[3]Profit and Loss Highlights'!AQ86</f>
        <v>3.6928188090978788E-2</v>
      </c>
      <c r="BV498" s="373">
        <f>'[3]Profit and Loss Highlights'!AR86</f>
        <v>4.1176470588235294E-2</v>
      </c>
      <c r="BW498" s="373">
        <f>'[3]Profit and Loss Highlights'!AS86</f>
        <v>3.938618925831202E-2</v>
      </c>
      <c r="BX498" s="373">
        <f>'[3]Profit and Loss Highlights'!AT86</f>
        <v>2.9667519181585677E-2</v>
      </c>
      <c r="BY498" s="291">
        <f>SUM(BU498:BX498)</f>
        <v>0.14715836711911176</v>
      </c>
      <c r="BZ498" s="373">
        <f>'[3]Profit and Loss Highlights'!AU86</f>
        <v>4.0920716112531973E-2</v>
      </c>
      <c r="CA498" s="373">
        <f>'[3]Profit and Loss Highlights'!AV86</f>
        <v>4.2071611253196931E-2</v>
      </c>
      <c r="CB498" s="373">
        <f>'[3]Profit and Loss Highlights'!AW86</f>
        <v>3.6700767263427109E-2</v>
      </c>
      <c r="CC498" s="373">
        <f>'[3]Profit and Loss Highlights'!AX86</f>
        <v>7.1611253196930949E-3</v>
      </c>
      <c r="CD498" s="291">
        <f>SUM(BZ498:CC498)</f>
        <v>0.1268542199488491</v>
      </c>
      <c r="CE498" s="373">
        <f>'[3]Profit and Loss Highlights'!AY86</f>
        <v>4.514066496163683E-2</v>
      </c>
      <c r="CF498" s="373">
        <f>'[3]Profit and Loss Highlights'!AZ86</f>
        <v>4.5524296675191818E-2</v>
      </c>
      <c r="CG498" s="373">
        <f>'[3]Profit and Loss Highlights'!BA86</f>
        <v>4.6803069053708443E-2</v>
      </c>
      <c r="CH498" s="373">
        <f>'[3]Profit and Loss Highlights'!BB86</f>
        <v>4.09804672539257E-2</v>
      </c>
      <c r="CI498" s="291">
        <f>SUM(CE498:CH498)</f>
        <v>0.1784484979444628</v>
      </c>
      <c r="CJ498" s="373">
        <f>'[3]Profit and Loss Highlights'!BC86</f>
        <v>4.7442455242966752E-2</v>
      </c>
      <c r="CK498" s="373">
        <f>'[3]Profit and Loss Highlights'!BD86</f>
        <v>5.089514066496164E-2</v>
      </c>
      <c r="CL498" s="373">
        <f>'[3]Profit and Loss Highlights'!BE86</f>
        <v>5.2685421994884914E-2</v>
      </c>
      <c r="CM498" s="373">
        <f>'[3]Profit and Loss Highlights'!BF86</f>
        <v>4.8500319081046586E-2</v>
      </c>
      <c r="CN498" s="291">
        <f>SUM(CJ498:CM498)</f>
        <v>0.19952333698385988</v>
      </c>
      <c r="CO498" s="373">
        <f>'[3]Profit and Loss Highlights'!BG86</f>
        <v>5.3324808184143223E-2</v>
      </c>
      <c r="CP498" s="373">
        <f>'[3]Profit and Loss Highlights'!BH86</f>
        <v>5.5754475703324806E-2</v>
      </c>
      <c r="CQ498" s="291">
        <f t="shared" ref="CQ498:CS498" si="1713">CQ484/CQ504</f>
        <v>0.22902720068818835</v>
      </c>
      <c r="CR498" s="291">
        <f t="shared" si="1713"/>
        <v>0.24563772797568281</v>
      </c>
      <c r="CS498" s="291">
        <f t="shared" si="1713"/>
        <v>0.26045694296865257</v>
      </c>
      <c r="CT498" s="291">
        <f t="shared" ref="CT498:CW498" si="1714">CT484/CT504</f>
        <v>0.27652421013753747</v>
      </c>
      <c r="CU498" s="291">
        <f t="shared" si="1714"/>
        <v>0.29400784659252643</v>
      </c>
      <c r="CV498" s="291">
        <f t="shared" si="1714"/>
        <v>0.31057591082408409</v>
      </c>
      <c r="CW498" s="291">
        <f t="shared" si="1714"/>
        <v>0.3301520640646512</v>
      </c>
      <c r="CX498" s="159"/>
      <c r="CY498" s="159"/>
      <c r="CZ498" s="159"/>
      <c r="DA498" s="159"/>
      <c r="DB498" s="159"/>
      <c r="DC498" s="159"/>
      <c r="DD498" s="159"/>
      <c r="DF498" s="356"/>
      <c r="DG498" s="185"/>
      <c r="DH498" s="185"/>
      <c r="DI498" s="161"/>
      <c r="DJ498" s="161"/>
      <c r="DK498" s="161"/>
      <c r="DL498" s="161"/>
      <c r="DM498" s="161"/>
      <c r="DN498" s="161"/>
      <c r="DO498" s="161"/>
      <c r="EU498" s="286"/>
      <c r="EV498" s="287"/>
    </row>
    <row r="499" spans="1:152">
      <c r="A499" s="226" t="s">
        <v>92</v>
      </c>
      <c r="B499" s="370"/>
      <c r="C499" s="370"/>
      <c r="D499" s="370"/>
      <c r="E499" s="370"/>
      <c r="F499" s="370"/>
      <c r="G499" s="370"/>
      <c r="H499" s="370"/>
      <c r="I499" s="370"/>
      <c r="J499" s="370"/>
      <c r="K499" s="370"/>
      <c r="L499" s="370">
        <f t="shared" ref="L499:BD499" si="1715">L487/L504</f>
        <v>0.29759999999999998</v>
      </c>
      <c r="M499" s="370">
        <f t="shared" si="1715"/>
        <v>7.3599999999999999E-2</v>
      </c>
      <c r="N499" s="370">
        <f t="shared" si="1715"/>
        <v>7.0933333333333334E-2</v>
      </c>
      <c r="O499" s="370">
        <f t="shared" si="1715"/>
        <v>8.0133333333333334E-2</v>
      </c>
      <c r="P499" s="370">
        <f t="shared" si="1715"/>
        <v>8.1333333333333327E-2</v>
      </c>
      <c r="Q499" s="370">
        <f t="shared" si="1715"/>
        <v>0.30599999999999999</v>
      </c>
      <c r="R499" s="370">
        <f t="shared" si="1715"/>
        <v>7.1866666666666662E-2</v>
      </c>
      <c r="S499" s="370">
        <f t="shared" si="1715"/>
        <v>7.3599999999999999E-2</v>
      </c>
      <c r="T499" s="370">
        <f t="shared" si="1715"/>
        <v>7.173333333333333E-2</v>
      </c>
      <c r="U499" s="370">
        <f t="shared" si="1715"/>
        <v>0.12013333333333333</v>
      </c>
      <c r="V499" s="370">
        <f t="shared" si="1715"/>
        <v>0.33693333333333331</v>
      </c>
      <c r="W499" s="370">
        <f t="shared" si="1715"/>
        <v>7.6399999999999996E-2</v>
      </c>
      <c r="X499" s="370">
        <f t="shared" si="1715"/>
        <v>6.2133333333333332E-2</v>
      </c>
      <c r="Y499" s="370">
        <f t="shared" si="1715"/>
        <v>5.906666666666667E-2</v>
      </c>
      <c r="Z499" s="370">
        <f t="shared" si="1715"/>
        <v>5.04E-2</v>
      </c>
      <c r="AA499" s="370">
        <f t="shared" si="1715"/>
        <v>0.248</v>
      </c>
      <c r="AB499" s="370">
        <f t="shared" si="1715"/>
        <v>6.3466666666666671E-2</v>
      </c>
      <c r="AC499" s="370">
        <f t="shared" si="1715"/>
        <v>7.0666666666666669E-2</v>
      </c>
      <c r="AD499" s="370">
        <f t="shared" si="1715"/>
        <v>6.3200000000000006E-2</v>
      </c>
      <c r="AE499" s="370">
        <f t="shared" si="1715"/>
        <v>3.8933333333333334E-2</v>
      </c>
      <c r="AF499" s="370">
        <f t="shared" si="1715"/>
        <v>0.26453333333333334</v>
      </c>
      <c r="AG499" s="370">
        <f t="shared" si="1715"/>
        <v>6.5066666666666662E-2</v>
      </c>
      <c r="AH499" s="370">
        <f t="shared" si="1715"/>
        <v>6.013333333333333E-2</v>
      </c>
      <c r="AI499" s="370">
        <f t="shared" si="1715"/>
        <v>6.013333333333333E-2</v>
      </c>
      <c r="AJ499" s="370">
        <f t="shared" si="1715"/>
        <v>4.4666666666666667E-2</v>
      </c>
      <c r="AK499" s="370">
        <f t="shared" si="1715"/>
        <v>0.23</v>
      </c>
      <c r="AL499" s="370">
        <f t="shared" si="1715"/>
        <v>5.4933333333333334E-2</v>
      </c>
      <c r="AM499" s="370">
        <f t="shared" si="1715"/>
        <v>5.906666666666667E-2</v>
      </c>
      <c r="AN499" s="370">
        <f t="shared" si="1715"/>
        <v>5.6266666666666666E-2</v>
      </c>
      <c r="AO499" s="370">
        <f t="shared" si="1715"/>
        <v>6.2666666666666662E-2</v>
      </c>
      <c r="AP499" s="370">
        <f t="shared" si="1715"/>
        <v>0.23293333333333333</v>
      </c>
      <c r="AQ499" s="370">
        <f t="shared" si="1715"/>
        <v>6.933333333333333E-2</v>
      </c>
      <c r="AR499" s="370">
        <f t="shared" si="1715"/>
        <v>6.4399999999999999E-2</v>
      </c>
      <c r="AS499" s="370">
        <f t="shared" si="1715"/>
        <v>6.7333333333333328E-2</v>
      </c>
      <c r="AT499" s="370">
        <f t="shared" si="1715"/>
        <v>6.7333333333333328E-2</v>
      </c>
      <c r="AU499" s="370">
        <f t="shared" si="1715"/>
        <v>0.26840000000000003</v>
      </c>
      <c r="AV499" s="370">
        <f t="shared" si="1715"/>
        <v>6.7333333333333328E-2</v>
      </c>
      <c r="AW499" s="370">
        <f t="shared" si="1715"/>
        <v>7.6533333333333328E-2</v>
      </c>
      <c r="AX499" s="370">
        <f t="shared" si="1715"/>
        <v>7.2307692307692309E-2</v>
      </c>
      <c r="AY499" s="370">
        <f t="shared" si="1715"/>
        <v>6.9358974358974354E-2</v>
      </c>
      <c r="AZ499" s="370">
        <f t="shared" si="1715"/>
        <v>0.28000000000000003</v>
      </c>
      <c r="BA499" s="370">
        <f t="shared" si="1715"/>
        <v>6.7051282051282052E-2</v>
      </c>
      <c r="BB499" s="370">
        <f t="shared" si="1715"/>
        <v>6.1282051282051282E-2</v>
      </c>
      <c r="BC499" s="370">
        <f t="shared" si="1715"/>
        <v>6.5769230769230774E-2</v>
      </c>
      <c r="BD499" s="370">
        <f t="shared" si="1715"/>
        <v>3.405889884763124E-2</v>
      </c>
      <c r="BE499" s="291">
        <f>BE498</f>
        <v>0.23533333333333334</v>
      </c>
      <c r="BF499" s="374">
        <f t="shared" ref="BF499:BV499" si="1716">BF487/BF504</f>
        <v>5.2368758002560821E-2</v>
      </c>
      <c r="BG499" s="374">
        <f t="shared" si="1716"/>
        <v>5.0832266325224071E-2</v>
      </c>
      <c r="BH499" s="374">
        <f t="shared" si="1716"/>
        <v>4.5838668373879642E-2</v>
      </c>
      <c r="BI499" s="374">
        <f t="shared" si="1716"/>
        <v>4.5396419437340151E-2</v>
      </c>
      <c r="BJ499" s="375">
        <f t="shared" si="1716"/>
        <v>0.19424552429667519</v>
      </c>
      <c r="BK499" s="374">
        <f t="shared" si="1716"/>
        <v>4.5838668373879642E-2</v>
      </c>
      <c r="BL499" s="374">
        <f t="shared" si="1716"/>
        <v>4.3918053777208706E-2</v>
      </c>
      <c r="BM499" s="374">
        <f t="shared" si="1716"/>
        <v>4.6734955185659413E-2</v>
      </c>
      <c r="BN499" s="374">
        <f t="shared" si="1716"/>
        <v>4.0845070422535212E-2</v>
      </c>
      <c r="BO499" s="375">
        <f t="shared" si="1716"/>
        <v>0.17699680511182109</v>
      </c>
      <c r="BP499" s="374">
        <f t="shared" si="1716"/>
        <v>4.2765685019206148E-2</v>
      </c>
      <c r="BQ499" s="374">
        <f t="shared" si="1716"/>
        <v>4.6094750320102434E-2</v>
      </c>
      <c r="BR499" s="374">
        <f t="shared" si="1716"/>
        <v>4.1613316261203584E-2</v>
      </c>
      <c r="BS499" s="374">
        <f t="shared" si="1716"/>
        <v>3.7003841229193341E-2</v>
      </c>
      <c r="BT499" s="375">
        <f t="shared" si="1716"/>
        <v>0.15539936102236421</v>
      </c>
      <c r="BU499" s="376">
        <f t="shared" si="1716"/>
        <v>3.6909323116219667E-2</v>
      </c>
      <c r="BV499" s="376">
        <f t="shared" si="1716"/>
        <v>4.1123882503192849E-2</v>
      </c>
      <c r="BW499" s="376">
        <f t="shared" ref="BW499:BX499" si="1717">BW487/BW504</f>
        <v>3.9335887611749679E-2</v>
      </c>
      <c r="BX499" s="376">
        <f t="shared" si="1717"/>
        <v>2.9629629629629631E-2</v>
      </c>
      <c r="BY499" s="291">
        <f t="shared" ref="BY499:CS499" si="1718">BY498</f>
        <v>0.14715836711911176</v>
      </c>
      <c r="BZ499" s="376">
        <f t="shared" ref="BZ499:CA499" si="1719">BZ487/BZ504</f>
        <v>4.0868454661558112E-2</v>
      </c>
      <c r="CA499" s="376">
        <f t="shared" si="1719"/>
        <v>4.2017879948914434E-2</v>
      </c>
      <c r="CB499" s="376">
        <f t="shared" ref="CB499:CC499" si="1720">CB487/CB504</f>
        <v>3.6644535240040861E-2</v>
      </c>
      <c r="CC499" s="376">
        <f t="shared" si="1720"/>
        <v>7.1501532175689483E-3</v>
      </c>
      <c r="CD499" s="291">
        <f t="shared" ref="CD499" si="1721">CD498</f>
        <v>0.1268542199488491</v>
      </c>
      <c r="CE499" s="376">
        <f t="shared" ref="CE499:CF499" si="1722">CE487/CE504</f>
        <v>4.5071501532175692E-2</v>
      </c>
      <c r="CF499" s="376">
        <f t="shared" si="1722"/>
        <v>4.5454545454545456E-2</v>
      </c>
      <c r="CG499" s="376">
        <f t="shared" ref="CG499:CH499" si="1723">CG487/CG504</f>
        <v>4.6731358529111339E-2</v>
      </c>
      <c r="CH499" s="376">
        <f t="shared" si="1723"/>
        <v>4.0985699693564859E-2</v>
      </c>
      <c r="CI499" s="291">
        <f t="shared" ref="CI499" si="1724">CI498</f>
        <v>0.1784484979444628</v>
      </c>
      <c r="CJ499" s="376">
        <f t="shared" ref="CJ499:CK499" si="1725">CJ487/CJ504</f>
        <v>4.736371760500447E-2</v>
      </c>
      <c r="CK499" s="376">
        <f t="shared" si="1725"/>
        <v>5.0810672794587002E-2</v>
      </c>
      <c r="CL499" s="376">
        <f t="shared" ref="CL499:CM499" si="1726">CL487/CL504</f>
        <v>5.2584556477345244E-2</v>
      </c>
      <c r="CM499" s="376">
        <f t="shared" si="1726"/>
        <v>4.8500319081046586E-2</v>
      </c>
      <c r="CN499" s="291">
        <f t="shared" ref="CN499" si="1727">CN498</f>
        <v>0.19952333698385988</v>
      </c>
      <c r="CO499" s="376">
        <f t="shared" ref="CO499:CP499" si="1728">CO487/CO504</f>
        <v>5.3236307927996933E-2</v>
      </c>
      <c r="CP499" s="376">
        <f t="shared" si="1728"/>
        <v>5.5661943061406871E-2</v>
      </c>
      <c r="CQ499" s="291">
        <f t="shared" si="1718"/>
        <v>0.22902720068818835</v>
      </c>
      <c r="CR499" s="291">
        <f t="shared" si="1718"/>
        <v>0.24563772797568281</v>
      </c>
      <c r="CS499" s="291">
        <f t="shared" si="1718"/>
        <v>0.26045694296865257</v>
      </c>
      <c r="CT499" s="291">
        <f t="shared" ref="CT499:CW499" si="1729">CT498</f>
        <v>0.27652421013753747</v>
      </c>
      <c r="CU499" s="291">
        <f t="shared" si="1729"/>
        <v>0.29400784659252643</v>
      </c>
      <c r="CV499" s="291">
        <f t="shared" si="1729"/>
        <v>0.31057591082408409</v>
      </c>
      <c r="CW499" s="291">
        <f t="shared" si="1729"/>
        <v>0.3301520640646512</v>
      </c>
      <c r="CX499" s="159"/>
      <c r="CY499" s="159"/>
      <c r="CZ499" s="159"/>
      <c r="DA499" s="159"/>
      <c r="DB499" s="159"/>
      <c r="DC499" s="159"/>
      <c r="DD499" s="159"/>
      <c r="DF499" s="356"/>
      <c r="DG499" s="185"/>
      <c r="DH499" s="185"/>
      <c r="DI499" s="185"/>
      <c r="DJ499" s="185"/>
      <c r="DK499" s="185"/>
      <c r="DL499" s="185"/>
      <c r="DM499" s="185"/>
      <c r="DN499" s="185"/>
      <c r="DO499" s="185"/>
      <c r="EU499" s="286"/>
      <c r="EV499" s="287"/>
    </row>
    <row r="500" spans="1:152">
      <c r="A500" s="226"/>
      <c r="B500" s="375"/>
      <c r="C500" s="375"/>
      <c r="D500" s="375"/>
      <c r="E500" s="375"/>
      <c r="F500" s="375"/>
      <c r="G500" s="375"/>
      <c r="H500" s="375"/>
      <c r="I500" s="375"/>
      <c r="J500" s="375"/>
      <c r="K500" s="375"/>
      <c r="L500" s="375"/>
      <c r="M500" s="375"/>
      <c r="N500" s="375"/>
      <c r="O500" s="375"/>
      <c r="P500" s="375"/>
      <c r="Q500" s="375"/>
      <c r="R500" s="375"/>
      <c r="S500" s="375"/>
      <c r="T500" s="375"/>
      <c r="U500" s="375"/>
      <c r="V500" s="375"/>
      <c r="W500" s="375"/>
      <c r="X500" s="375"/>
      <c r="Y500" s="375"/>
      <c r="Z500" s="375"/>
      <c r="AA500" s="375"/>
      <c r="AB500" s="375"/>
      <c r="AC500" s="375"/>
      <c r="AD500" s="375"/>
      <c r="AE500" s="375"/>
      <c r="AF500" s="204">
        <f t="shared" ref="AF500:BD500" si="1730">AF498/AA498-1</f>
        <v>5.5193176116407505E-2</v>
      </c>
      <c r="AG500" s="204">
        <f t="shared" si="1730"/>
        <v>-0.75828985507246349</v>
      </c>
      <c r="AH500" s="204">
        <f t="shared" si="1730"/>
        <v>-0.89629433276008608</v>
      </c>
      <c r="AI500" s="204">
        <f t="shared" si="1730"/>
        <v>-0.94177083333333345</v>
      </c>
      <c r="AJ500" s="204">
        <f t="shared" si="1730"/>
        <v>-1.0052594059405939</v>
      </c>
      <c r="AK500" s="204">
        <f t="shared" si="1730"/>
        <v>-0.23558636516149445</v>
      </c>
      <c r="AL500" s="204">
        <f t="shared" si="1730"/>
        <v>0.16036523735288544</v>
      </c>
      <c r="AM500" s="204">
        <f t="shared" si="1730"/>
        <v>-0.143429947510335</v>
      </c>
      <c r="AN500" s="204">
        <f t="shared" si="1730"/>
        <v>2.4883720930232593</v>
      </c>
      <c r="AO500" s="204">
        <f t="shared" si="1730"/>
        <v>-13.801204819277354</v>
      </c>
      <c r="AP500" s="204">
        <f t="shared" si="1730"/>
        <v>0.28404339884527041</v>
      </c>
      <c r="AQ500" s="204">
        <f t="shared" si="1730"/>
        <v>2.5727994803200738</v>
      </c>
      <c r="AR500" s="204">
        <f t="shared" si="1730"/>
        <v>7.8554720133667519</v>
      </c>
      <c r="AS500" s="204">
        <f t="shared" si="1730"/>
        <v>3.4358974358974361</v>
      </c>
      <c r="AT500" s="204">
        <f t="shared" si="1730"/>
        <v>15</v>
      </c>
      <c r="AU500" s="204">
        <f t="shared" si="1730"/>
        <v>-4.5141047860037586E-2</v>
      </c>
      <c r="AV500" s="204">
        <f t="shared" si="1730"/>
        <v>3.3057851239669533E-2</v>
      </c>
      <c r="AW500" s="204">
        <f t="shared" si="1730"/>
        <v>9.2369429369175471E-2</v>
      </c>
      <c r="AX500" s="204">
        <f t="shared" si="1730"/>
        <v>3.7355907381314335E-2</v>
      </c>
      <c r="AY500" s="204">
        <f t="shared" si="1730"/>
        <v>-0.10467542721786693</v>
      </c>
      <c r="AZ500" s="204">
        <f t="shared" si="1730"/>
        <v>2.232045166090435E-3</v>
      </c>
      <c r="BA500" s="204">
        <f t="shared" si="1730"/>
        <v>2.0000000000000018E-2</v>
      </c>
      <c r="BB500" s="204">
        <f t="shared" si="1730"/>
        <v>3.2030428769018071E-2</v>
      </c>
      <c r="BC500" s="204">
        <f t="shared" si="1730"/>
        <v>-3.7868092691622168E-2</v>
      </c>
      <c r="BD500" s="204">
        <f t="shared" si="1730"/>
        <v>-0.46823425196850399</v>
      </c>
      <c r="BE500" s="375"/>
      <c r="BF500" s="204">
        <f t="shared" ref="BF500:CP500" si="1731">BF498/BA498-1</f>
        <v>-0.24401985858281938</v>
      </c>
      <c r="BG500" s="204">
        <f t="shared" si="1731"/>
        <v>-0.21949405558111912</v>
      </c>
      <c r="BH500" s="204">
        <f t="shared" si="1731"/>
        <v>-0.33345841274230015</v>
      </c>
      <c r="BI500" s="204">
        <f t="shared" si="1731"/>
        <v>0.26642901578962963</v>
      </c>
      <c r="BJ500" s="204">
        <f t="shared" si="1731"/>
        <v>-0.18872216949349019</v>
      </c>
      <c r="BK500" s="204">
        <f t="shared" si="1731"/>
        <v>-0.10696517412935325</v>
      </c>
      <c r="BL500" s="204">
        <f t="shared" si="1731"/>
        <v>-0.13367609254498714</v>
      </c>
      <c r="BM500" s="204">
        <f t="shared" si="1731"/>
        <v>8.3333333333333037E-3</v>
      </c>
      <c r="BN500" s="204">
        <f t="shared" si="1731"/>
        <v>-6.7251461988304118E-2</v>
      </c>
      <c r="BO500" s="204">
        <f t="shared" si="1731"/>
        <v>-7.7026121902210476E-2</v>
      </c>
      <c r="BP500" s="204">
        <f t="shared" si="1731"/>
        <v>-6.9637883008356716E-2</v>
      </c>
      <c r="BQ500" s="204">
        <f t="shared" si="1731"/>
        <v>6.8249258160237414E-2</v>
      </c>
      <c r="BR500" s="204">
        <f t="shared" si="1731"/>
        <v>-0.10468319559228656</v>
      </c>
      <c r="BS500" s="204">
        <f t="shared" si="1731"/>
        <v>-9.4043887147335359E-2</v>
      </c>
      <c r="BT500" s="204">
        <f t="shared" si="1731"/>
        <v>-5.0798258345427949E-2</v>
      </c>
      <c r="BU500" s="185">
        <f t="shared" si="1731"/>
        <v>-0.13539391954654445</v>
      </c>
      <c r="BV500" s="185">
        <f t="shared" si="1731"/>
        <v>-0.10555555555555562</v>
      </c>
      <c r="BW500" s="185">
        <f t="shared" si="1731"/>
        <v>-5.2307692307692388E-2</v>
      </c>
      <c r="BX500" s="185">
        <f t="shared" si="1731"/>
        <v>-0.19723183391003463</v>
      </c>
      <c r="BY500" s="375"/>
      <c r="BZ500" s="185">
        <f t="shared" si="1731"/>
        <v>0.10811600102655783</v>
      </c>
      <c r="CA500" s="185">
        <f t="shared" si="1731"/>
        <v>2.1739130434782705E-2</v>
      </c>
      <c r="CB500" s="185">
        <f t="shared" si="1731"/>
        <v>-6.8181818181818232E-2</v>
      </c>
      <c r="CC500" s="185">
        <f t="shared" si="1731"/>
        <v>-0.75862068965517238</v>
      </c>
      <c r="CD500" s="375"/>
      <c r="CE500" s="185">
        <f t="shared" si="1731"/>
        <v>0.10312499999999991</v>
      </c>
      <c r="CF500" s="185">
        <f t="shared" si="1731"/>
        <v>8.2066869300911893E-2</v>
      </c>
      <c r="CG500" s="185">
        <f t="shared" si="1731"/>
        <v>0.27526132404181203</v>
      </c>
      <c r="CH500" s="185">
        <f t="shared" si="1731"/>
        <v>4.7226295343874813</v>
      </c>
      <c r="CI500" s="375"/>
      <c r="CJ500" s="185">
        <f t="shared" si="1731"/>
        <v>5.0991501416430607E-2</v>
      </c>
      <c r="CK500" s="185">
        <f t="shared" si="1731"/>
        <v>0.1179775280898876</v>
      </c>
      <c r="CL500" s="185">
        <f t="shared" si="1731"/>
        <v>0.12568306010928953</v>
      </c>
      <c r="CM500" s="185">
        <f t="shared" si="1731"/>
        <v>0.18349844037955743</v>
      </c>
      <c r="CN500" s="375"/>
      <c r="CO500" s="185">
        <f t="shared" si="1731"/>
        <v>0.12398921832884091</v>
      </c>
      <c r="CP500" s="185">
        <f t="shared" si="1731"/>
        <v>9.5477386934673225E-2</v>
      </c>
      <c r="CQ500" s="375"/>
      <c r="CR500" s="375"/>
      <c r="CS500" s="375"/>
      <c r="CT500" s="375"/>
      <c r="CU500" s="375"/>
      <c r="CV500" s="375"/>
      <c r="CW500" s="375"/>
      <c r="CX500" s="159"/>
      <c r="CY500" s="159"/>
      <c r="CZ500" s="159"/>
      <c r="DA500" s="159"/>
      <c r="DB500" s="159"/>
      <c r="DC500" s="159"/>
      <c r="DD500" s="159"/>
      <c r="DF500" s="356"/>
      <c r="DG500" s="185"/>
      <c r="DH500" s="185"/>
      <c r="DI500" s="185"/>
      <c r="DJ500" s="185"/>
      <c r="DK500" s="185"/>
      <c r="DL500" s="185"/>
      <c r="DM500" s="185"/>
      <c r="DN500" s="185"/>
      <c r="DO500" s="185"/>
      <c r="EU500" s="286"/>
      <c r="EV500" s="287"/>
    </row>
    <row r="501" spans="1:152" s="232" customFormat="1">
      <c r="A501" s="377" t="s">
        <v>93</v>
      </c>
      <c r="B501" s="370"/>
      <c r="C501" s="370"/>
      <c r="D501" s="370"/>
      <c r="E501" s="370"/>
      <c r="F501" s="370"/>
      <c r="G501" s="370"/>
      <c r="H501" s="370"/>
      <c r="I501" s="370"/>
      <c r="J501" s="370"/>
      <c r="K501" s="370"/>
      <c r="L501" s="370">
        <v>0.09</v>
      </c>
      <c r="M501" s="370"/>
      <c r="N501" s="370"/>
      <c r="O501" s="370"/>
      <c r="P501" s="370"/>
      <c r="Q501" s="370">
        <v>0.4</v>
      </c>
      <c r="R501" s="370"/>
      <c r="S501" s="370"/>
      <c r="T501" s="370"/>
      <c r="U501" s="370"/>
      <c r="V501" s="370">
        <v>0.4</v>
      </c>
      <c r="W501" s="370"/>
      <c r="X501" s="370"/>
      <c r="Y501" s="370"/>
      <c r="Z501" s="370"/>
      <c r="AA501" s="370">
        <v>0.4</v>
      </c>
      <c r="AB501" s="370">
        <v>0.08</v>
      </c>
      <c r="AC501" s="370">
        <v>0.08</v>
      </c>
      <c r="AD501" s="370">
        <v>0.08</v>
      </c>
      <c r="AE501" s="370">
        <v>0.15999999999999998</v>
      </c>
      <c r="AF501" s="370">
        <v>0.4</v>
      </c>
      <c r="AG501" s="370">
        <v>0.08</v>
      </c>
      <c r="AH501" s="370">
        <v>0.08</v>
      </c>
      <c r="AI501" s="370">
        <v>8.0000000000000029E-2</v>
      </c>
      <c r="AJ501" s="370">
        <v>0.16</v>
      </c>
      <c r="AK501" s="370">
        <v>0.4</v>
      </c>
      <c r="AL501" s="370">
        <v>0.05</v>
      </c>
      <c r="AM501" s="370">
        <v>0.05</v>
      </c>
      <c r="AN501" s="370">
        <v>0.05</v>
      </c>
      <c r="AO501" s="370">
        <v>0.05</v>
      </c>
      <c r="AP501" s="370">
        <v>0.2</v>
      </c>
      <c r="AQ501" s="370">
        <v>0.05</v>
      </c>
      <c r="AR501" s="370">
        <v>0.05</v>
      </c>
      <c r="AS501" s="370">
        <v>0.05</v>
      </c>
      <c r="AT501" s="370">
        <v>0.05</v>
      </c>
      <c r="AU501" s="370">
        <f>0.2</f>
        <v>0.2</v>
      </c>
      <c r="AV501" s="370">
        <v>0.05</v>
      </c>
      <c r="AW501" s="370">
        <v>0.05</v>
      </c>
      <c r="AX501" s="370">
        <f>'[3]Profit and Loss Highlights'!Y78</f>
        <v>561</v>
      </c>
      <c r="AY501" s="370">
        <f>'[3]Profit and Loss Highlights'!Z78</f>
        <v>520</v>
      </c>
      <c r="AZ501" s="370">
        <f>0.2</f>
        <v>0.2</v>
      </c>
      <c r="BA501" s="370">
        <f>'[3]Profit and Loss Highlights'!AA87</f>
        <v>0.05</v>
      </c>
      <c r="BB501" s="370">
        <f>'[3]Profit and Loss Highlights'!AB87</f>
        <v>0.05</v>
      </c>
      <c r="BC501" s="370">
        <f>'[3]Profit and Loss Highlights'!AC87</f>
        <v>0.05</v>
      </c>
      <c r="BD501" s="370">
        <f>'[3]Profit and Loss Highlights'!AD87</f>
        <v>0.05</v>
      </c>
      <c r="BE501" s="378">
        <f>SUM(BA501:BD501)</f>
        <v>0.2</v>
      </c>
      <c r="BF501" s="370">
        <f>'[3]Profit and Loss Highlights'!AE87</f>
        <v>0.05</v>
      </c>
      <c r="BG501" s="370">
        <f>'[3]Profit and Loss Highlights'!AF87</f>
        <v>0.05</v>
      </c>
      <c r="BH501" s="370">
        <f>'[3]Profit and Loss Highlights'!AG87</f>
        <v>0.05</v>
      </c>
      <c r="BI501" s="370">
        <f>'[3]Profit and Loss Highlights'!AH87</f>
        <v>0.05</v>
      </c>
      <c r="BJ501" s="378">
        <f>SUM(BF501:BI501)</f>
        <v>0.2</v>
      </c>
      <c r="BK501" s="370">
        <f>'[3]Profit and Loss Highlights'!AI87</f>
        <v>0.04</v>
      </c>
      <c r="BL501" s="370">
        <f>'[3]Profit and Loss Highlights'!AJ87</f>
        <v>0.04</v>
      </c>
      <c r="BM501" s="370">
        <f>'[3]Profit and Loss Highlights'!AK87</f>
        <v>0.04</v>
      </c>
      <c r="BN501" s="370">
        <f>'[3]Profit and Loss Highlights'!AL87</f>
        <v>0.05</v>
      </c>
      <c r="BO501" s="378">
        <f>SUM(BK501:BN501)</f>
        <v>0.16999999999999998</v>
      </c>
      <c r="BP501" s="370">
        <f>'[3]Profit and Loss Highlights'!AM87</f>
        <v>0.04</v>
      </c>
      <c r="BQ501" s="370">
        <f>'[3]Profit and Loss Highlights'!AN87</f>
        <v>0.04</v>
      </c>
      <c r="BR501" s="370">
        <f>'[3]Profit and Loss Highlights'!AO87</f>
        <v>0.04</v>
      </c>
      <c r="BS501" s="370">
        <f>'[3]Profit and Loss Highlights'!AP87</f>
        <v>0.05</v>
      </c>
      <c r="BT501" s="378">
        <f>SUM(BP501:BS501)</f>
        <v>0.16999999999999998</v>
      </c>
      <c r="BU501" s="379">
        <f>'[3]Profit and Loss Highlights'!AQ87</f>
        <v>0.05</v>
      </c>
      <c r="BV501" s="379">
        <f>'[3]Profit and Loss Highlights'!AR87</f>
        <v>0.05</v>
      </c>
      <c r="BW501" s="379">
        <f>'[3]Profit and Loss Highlights'!AS87</f>
        <v>0.05</v>
      </c>
      <c r="BX501" s="379">
        <f>'[3]Profit and Loss Highlights'!AT87</f>
        <v>0.05</v>
      </c>
      <c r="BY501" s="378">
        <f>SUM(BU501:BX501)</f>
        <v>0.2</v>
      </c>
      <c r="BZ501" s="379">
        <f>'[3]Profit and Loss Highlights'!AU87</f>
        <v>0.04</v>
      </c>
      <c r="CA501" s="379">
        <f>'[3]Profit and Loss Highlights'!AV87</f>
        <v>0.04</v>
      </c>
      <c r="CB501" s="379">
        <f>'[3]Profit and Loss Highlights'!AW87</f>
        <v>0.04</v>
      </c>
      <c r="CC501" s="379">
        <f>'[3]Profit and Loss Highlights'!AX87</f>
        <v>0.04</v>
      </c>
      <c r="CD501" s="378">
        <f>SUM(BZ501:CC501)</f>
        <v>0.16</v>
      </c>
      <c r="CE501" s="379">
        <f>'[3]Profit and Loss Highlights'!AY87</f>
        <v>0.04</v>
      </c>
      <c r="CF501" s="379">
        <f>'[3]Profit and Loss Highlights'!AZ87</f>
        <v>0.04</v>
      </c>
      <c r="CG501" s="379">
        <f>'[3]Profit and Loss Highlights'!BA87</f>
        <v>0.04</v>
      </c>
      <c r="CH501" s="379">
        <f>'[3]Profit and Loss Highlights'!BB87</f>
        <v>0.05</v>
      </c>
      <c r="CI501" s="378">
        <f>SUM(CE501:CH501)</f>
        <v>0.16999999999999998</v>
      </c>
      <c r="CJ501" s="379">
        <f>'[3]Profit and Loss Highlights'!BC87</f>
        <v>0.04</v>
      </c>
      <c r="CK501" s="379">
        <f>'[3]Profit and Loss Highlights'!BD87</f>
        <v>0.04</v>
      </c>
      <c r="CL501" s="379">
        <f>'[3]Profit and Loss Highlights'!BE87</f>
        <v>0.04</v>
      </c>
      <c r="CM501" s="379">
        <f>'[3]Profit and Loss Highlights'!BF87</f>
        <v>5.5E-2</v>
      </c>
      <c r="CN501" s="378">
        <f>SUM(CJ501:CM501)</f>
        <v>0.17499999999999999</v>
      </c>
      <c r="CO501" s="379">
        <f>'[3]Profit and Loss Highlights'!BG87</f>
        <v>0.04</v>
      </c>
      <c r="CP501" s="379">
        <f>'[3]Profit and Loss Highlights'!BH87</f>
        <v>0.04</v>
      </c>
      <c r="CQ501" s="375">
        <f t="shared" ref="CQ501:CS501" si="1732">CQ502*CQ498</f>
        <v>0.20612448061936953</v>
      </c>
      <c r="CR501" s="375">
        <f t="shared" si="1732"/>
        <v>0.22107395517811454</v>
      </c>
      <c r="CS501" s="375">
        <f t="shared" si="1732"/>
        <v>0.23441124867178731</v>
      </c>
      <c r="CT501" s="375">
        <f t="shared" ref="CT501:CV501" si="1733">CT502*CT498</f>
        <v>0.24887178912378374</v>
      </c>
      <c r="CU501" s="375">
        <f t="shared" si="1733"/>
        <v>0.26460706193327382</v>
      </c>
      <c r="CV501" s="375">
        <f t="shared" si="1733"/>
        <v>0.27951831974167568</v>
      </c>
      <c r="CW501" s="375">
        <f t="shared" ref="CW501" si="1734">CW502*CW498</f>
        <v>0.29713685765818609</v>
      </c>
      <c r="DF501" s="905"/>
      <c r="DG501" s="909"/>
      <c r="DH501" s="909"/>
      <c r="DI501" s="906"/>
      <c r="DJ501" s="906"/>
      <c r="DK501" s="906"/>
      <c r="DL501" s="906"/>
      <c r="DM501" s="906"/>
      <c r="DN501" s="906"/>
      <c r="DO501" s="906"/>
      <c r="EU501" s="286"/>
      <c r="EV501" s="287"/>
    </row>
    <row r="502" spans="1:152">
      <c r="A502" s="226" t="s">
        <v>276</v>
      </c>
      <c r="B502" s="218"/>
      <c r="C502" s="218"/>
      <c r="D502" s="218"/>
      <c r="E502" s="218"/>
      <c r="F502" s="218"/>
      <c r="G502" s="218"/>
      <c r="H502" s="218" t="e">
        <f>H498/H501</f>
        <v>#DIV/0!</v>
      </c>
      <c r="I502" s="218" t="e">
        <f>I498/I501</f>
        <v>#DIV/0!</v>
      </c>
      <c r="J502" s="218" t="e">
        <f>J498/J501</f>
        <v>#DIV/0!</v>
      </c>
      <c r="K502" s="218" t="e">
        <f>K498/K501</f>
        <v>#DIV/0!</v>
      </c>
      <c r="L502" s="218">
        <f t="shared" ref="L502:BF502" si="1735">L501/L498</f>
        <v>0.30241935483870969</v>
      </c>
      <c r="M502" s="218">
        <f t="shared" si="1735"/>
        <v>0</v>
      </c>
      <c r="N502" s="218">
        <f t="shared" si="1735"/>
        <v>0</v>
      </c>
      <c r="O502" s="218">
        <f t="shared" si="1735"/>
        <v>0</v>
      </c>
      <c r="P502" s="218">
        <f t="shared" si="1735"/>
        <v>0</v>
      </c>
      <c r="Q502" s="218">
        <f t="shared" si="1735"/>
        <v>1.3071895424836601</v>
      </c>
      <c r="R502" s="218">
        <f t="shared" si="1735"/>
        <v>0</v>
      </c>
      <c r="S502" s="218">
        <f t="shared" si="1735"/>
        <v>0</v>
      </c>
      <c r="T502" s="218">
        <f t="shared" si="1735"/>
        <v>0</v>
      </c>
      <c r="U502" s="218">
        <f t="shared" si="1735"/>
        <v>0</v>
      </c>
      <c r="V502" s="218">
        <f t="shared" si="1735"/>
        <v>1.1853022520742789</v>
      </c>
      <c r="W502" s="218">
        <f t="shared" si="1735"/>
        <v>0</v>
      </c>
      <c r="X502" s="218">
        <f t="shared" si="1735"/>
        <v>0</v>
      </c>
      <c r="Y502" s="218">
        <f t="shared" si="1735"/>
        <v>0</v>
      </c>
      <c r="Z502" s="218">
        <f t="shared" si="1735"/>
        <v>0</v>
      </c>
      <c r="AA502" s="218">
        <f t="shared" si="1735"/>
        <v>1.5052684395383844</v>
      </c>
      <c r="AB502" s="218">
        <f t="shared" si="1735"/>
        <v>1.2422360248447206</v>
      </c>
      <c r="AC502" s="218">
        <f t="shared" si="1735"/>
        <v>1.1131725417439704</v>
      </c>
      <c r="AD502" s="218">
        <f t="shared" si="1735"/>
        <v>1.0416666666666667</v>
      </c>
      <c r="AE502" s="218">
        <f t="shared" si="1735"/>
        <v>2.3762376237623761</v>
      </c>
      <c r="AF502" s="218">
        <f t="shared" si="1735"/>
        <v>1.4265335235378034</v>
      </c>
      <c r="AG502" s="218">
        <f t="shared" si="1735"/>
        <v>5.1393623764411585</v>
      </c>
      <c r="AH502" s="218">
        <f t="shared" si="1735"/>
        <v>10.733960557514601</v>
      </c>
      <c r="AI502" s="218">
        <f t="shared" si="1735"/>
        <v>17.889087656529544</v>
      </c>
      <c r="AJ502" s="218">
        <f t="shared" si="1735"/>
        <v>-451.80722891567132</v>
      </c>
      <c r="AK502" s="218">
        <f t="shared" si="1735"/>
        <v>1.86618011312577</v>
      </c>
      <c r="AL502" s="218">
        <f t="shared" si="1735"/>
        <v>2.7681814155372475</v>
      </c>
      <c r="AM502" s="218">
        <f t="shared" si="1735"/>
        <v>7.8320802005012551</v>
      </c>
      <c r="AN502" s="218">
        <f t="shared" si="1735"/>
        <v>3.2051282051282053</v>
      </c>
      <c r="AO502" s="218">
        <f t="shared" si="1735"/>
        <v>11.029411764705882</v>
      </c>
      <c r="AP502" s="218">
        <f t="shared" si="1735"/>
        <v>0.72668108990864733</v>
      </c>
      <c r="AQ502" s="218">
        <f t="shared" si="1735"/>
        <v>0.77479338842975209</v>
      </c>
      <c r="AR502" s="218">
        <f t="shared" si="1735"/>
        <v>0.88443396226415105</v>
      </c>
      <c r="AS502" s="218">
        <f t="shared" si="1735"/>
        <v>0.7225433526011561</v>
      </c>
      <c r="AT502" s="218">
        <f t="shared" si="1735"/>
        <v>0.68933823529411764</v>
      </c>
      <c r="AU502" s="380">
        <f t="shared" si="1735"/>
        <v>0.76103500761035014</v>
      </c>
      <c r="AV502" s="380">
        <f t="shared" si="1735"/>
        <v>0.75</v>
      </c>
      <c r="AW502" s="380">
        <f t="shared" si="1735"/>
        <v>0.80964730290456433</v>
      </c>
      <c r="AX502" s="380">
        <f t="shared" si="1735"/>
        <v>7815</v>
      </c>
      <c r="AY502" s="380">
        <f t="shared" si="1735"/>
        <v>8007.2834645669282</v>
      </c>
      <c r="AZ502" s="380">
        <f t="shared" si="1735"/>
        <v>0.75934012615235336</v>
      </c>
      <c r="BA502" s="380">
        <f t="shared" si="1735"/>
        <v>0.73529411764705876</v>
      </c>
      <c r="BB502" s="380">
        <f t="shared" si="1735"/>
        <v>0.78451882845188281</v>
      </c>
      <c r="BC502" s="380">
        <f t="shared" si="1735"/>
        <v>0.72393822393822405</v>
      </c>
      <c r="BD502" s="380">
        <f t="shared" si="1735"/>
        <v>1.4478764478764481</v>
      </c>
      <c r="BE502" s="380">
        <f t="shared" si="1735"/>
        <v>0.84985835694050993</v>
      </c>
      <c r="BF502" s="218">
        <f t="shared" si="1735"/>
        <v>0.97263681592039808</v>
      </c>
      <c r="BG502" s="218">
        <f t="shared" ref="BG502:BV502" si="1736">BG501/BG498</f>
        <v>1.0051413881748072</v>
      </c>
      <c r="BH502" s="218">
        <f t="shared" si="1736"/>
        <v>1.0861111111111112</v>
      </c>
      <c r="BI502" s="218">
        <f t="shared" si="1736"/>
        <v>1.1432748538011697</v>
      </c>
      <c r="BJ502" s="218">
        <f t="shared" si="1736"/>
        <v>1.0475552578700602</v>
      </c>
      <c r="BK502" s="218">
        <f t="shared" si="1736"/>
        <v>0.87130919220055703</v>
      </c>
      <c r="BL502" s="218">
        <f t="shared" si="1736"/>
        <v>0.92818991097922854</v>
      </c>
      <c r="BM502" s="218">
        <f t="shared" si="1736"/>
        <v>0.86170798898071621</v>
      </c>
      <c r="BN502" s="218">
        <f t="shared" si="1736"/>
        <v>1.2257053291536051</v>
      </c>
      <c r="BO502" s="218">
        <f t="shared" si="1736"/>
        <v>0.96473149492017418</v>
      </c>
      <c r="BP502" s="218">
        <f t="shared" si="1736"/>
        <v>0.93652694610778453</v>
      </c>
      <c r="BQ502" s="218">
        <f t="shared" si="1736"/>
        <v>0.86888888888888893</v>
      </c>
      <c r="BR502" s="218">
        <f t="shared" si="1736"/>
        <v>0.96246153846153848</v>
      </c>
      <c r="BS502" s="218">
        <f t="shared" si="1736"/>
        <v>1.3529411764705883</v>
      </c>
      <c r="BT502" s="218">
        <f t="shared" si="1736"/>
        <v>1.0163608562691129</v>
      </c>
      <c r="BU502" s="381">
        <f t="shared" si="1736"/>
        <v>1.3539792387543255</v>
      </c>
      <c r="BV502" s="381">
        <f t="shared" si="1736"/>
        <v>1.2142857142857144</v>
      </c>
      <c r="BW502" s="381">
        <f t="shared" ref="BW502:BY502" si="1737">BW501/BW498</f>
        <v>1.2694805194805197</v>
      </c>
      <c r="BX502" s="381">
        <f t="shared" si="1737"/>
        <v>1.6853448275862071</v>
      </c>
      <c r="BY502" s="381">
        <f t="shared" si="1737"/>
        <v>1.3590800435976407</v>
      </c>
      <c r="BZ502" s="381">
        <f t="shared" ref="BZ502:CA502" si="1738">BZ501/BZ498</f>
        <v>0.97749999999999992</v>
      </c>
      <c r="CA502" s="381">
        <f t="shared" si="1738"/>
        <v>0.95075987841945286</v>
      </c>
      <c r="CB502" s="381">
        <f t="shared" ref="CB502:CD502" si="1739">CB501/CB498</f>
        <v>1.0898954703832753</v>
      </c>
      <c r="CC502" s="381">
        <f t="shared" si="1739"/>
        <v>5.5857142857142854</v>
      </c>
      <c r="CD502" s="381">
        <f t="shared" si="1739"/>
        <v>1.2612903225806453</v>
      </c>
      <c r="CE502" s="381">
        <f t="shared" ref="CE502:CF502" si="1740">CE501/CE498</f>
        <v>0.8861189801699717</v>
      </c>
      <c r="CF502" s="381">
        <f t="shared" si="1740"/>
        <v>0.87865168539325844</v>
      </c>
      <c r="CG502" s="381">
        <f t="shared" ref="CG502:CJ502" si="1741">CG501/CG498</f>
        <v>0.85464480874316939</v>
      </c>
      <c r="CH502" s="381">
        <f t="shared" si="1741"/>
        <v>1.2200934579439253</v>
      </c>
      <c r="CI502" s="381">
        <f t="shared" si="1741"/>
        <v>0.95265581923198828</v>
      </c>
      <c r="CJ502" s="381">
        <f t="shared" si="1741"/>
        <v>0.84312668463611862</v>
      </c>
      <c r="CK502" s="381">
        <f t="shared" ref="CK502:CL502" si="1742">CK501/CK498</f>
        <v>0.78592964824120604</v>
      </c>
      <c r="CL502" s="381">
        <f t="shared" si="1742"/>
        <v>0.75922330097087376</v>
      </c>
      <c r="CM502" s="381">
        <f t="shared" ref="CM502:CP502" si="1743">CM501/CM498</f>
        <v>1.1340131578947368</v>
      </c>
      <c r="CN502" s="381">
        <f t="shared" si="1743"/>
        <v>0.8770903827363129</v>
      </c>
      <c r="CO502" s="381">
        <f t="shared" si="1743"/>
        <v>0.75011990407673867</v>
      </c>
      <c r="CP502" s="381">
        <f t="shared" si="1743"/>
        <v>0.71743119266055055</v>
      </c>
      <c r="CQ502" s="878">
        <v>0.9</v>
      </c>
      <c r="CR502" s="878">
        <v>0.9</v>
      </c>
      <c r="CS502" s="878">
        <v>0.9</v>
      </c>
      <c r="CT502" s="878">
        <v>0.9</v>
      </c>
      <c r="CU502" s="878">
        <v>0.9</v>
      </c>
      <c r="CV502" s="878">
        <v>0.9</v>
      </c>
      <c r="CW502" s="878">
        <v>0.9</v>
      </c>
      <c r="CX502" s="159"/>
      <c r="CY502" s="159"/>
      <c r="CZ502" s="159"/>
      <c r="DA502" s="159"/>
      <c r="DB502" s="159"/>
      <c r="DC502" s="159"/>
      <c r="DD502" s="159"/>
      <c r="DF502" s="366"/>
      <c r="DG502" s="307"/>
      <c r="DH502" s="307"/>
      <c r="DI502" s="907"/>
      <c r="DJ502" s="907"/>
      <c r="DK502" s="907"/>
      <c r="DL502" s="907"/>
      <c r="DM502" s="907"/>
      <c r="DN502" s="907"/>
      <c r="DO502" s="907"/>
      <c r="EU502" s="286"/>
      <c r="EV502" s="287"/>
    </row>
    <row r="503" spans="1:152">
      <c r="A503" s="163" t="s">
        <v>1</v>
      </c>
      <c r="BE503" s="163">
        <v>0.2</v>
      </c>
      <c r="EU503" s="286"/>
      <c r="EV503" s="287"/>
    </row>
    <row r="504" spans="1:152">
      <c r="A504" s="221" t="s">
        <v>567</v>
      </c>
      <c r="B504" s="694"/>
      <c r="C504" s="694"/>
      <c r="D504" s="694"/>
      <c r="E504" s="694"/>
      <c r="F504" s="694"/>
      <c r="G504" s="694"/>
      <c r="H504" s="694">
        <v>7500</v>
      </c>
      <c r="I504" s="694">
        <v>7500</v>
      </c>
      <c r="J504" s="694">
        <v>7500</v>
      </c>
      <c r="K504" s="694">
        <v>7500</v>
      </c>
      <c r="L504" s="694">
        <v>7500</v>
      </c>
      <c r="M504" s="694">
        <v>7500</v>
      </c>
      <c r="N504" s="694">
        <v>7500</v>
      </c>
      <c r="O504" s="694">
        <v>7500</v>
      </c>
      <c r="P504" s="694">
        <v>7500</v>
      </c>
      <c r="Q504" s="694">
        <v>7500</v>
      </c>
      <c r="R504" s="694">
        <v>7500</v>
      </c>
      <c r="S504" s="694">
        <v>7500</v>
      </c>
      <c r="T504" s="694">
        <v>7500</v>
      </c>
      <c r="U504" s="694">
        <v>7500</v>
      </c>
      <c r="V504" s="694">
        <v>7500</v>
      </c>
      <c r="W504" s="694">
        <v>7500</v>
      </c>
      <c r="X504" s="694">
        <v>7500</v>
      </c>
      <c r="Y504" s="694">
        <v>7500</v>
      </c>
      <c r="Z504" s="694">
        <v>7500</v>
      </c>
      <c r="AA504" s="694">
        <v>7500</v>
      </c>
      <c r="AB504" s="694">
        <v>7500</v>
      </c>
      <c r="AC504" s="694">
        <v>7500</v>
      </c>
      <c r="AD504" s="694">
        <v>7500</v>
      </c>
      <c r="AE504" s="694">
        <v>7500</v>
      </c>
      <c r="AF504" s="694">
        <v>7500</v>
      </c>
      <c r="AG504" s="694">
        <v>7500</v>
      </c>
      <c r="AH504" s="694">
        <v>7500</v>
      </c>
      <c r="AI504" s="694">
        <v>7500</v>
      </c>
      <c r="AJ504" s="694">
        <v>7500</v>
      </c>
      <c r="AK504" s="694">
        <v>7500</v>
      </c>
      <c r="AL504" s="694">
        <v>7500</v>
      </c>
      <c r="AM504" s="694">
        <v>7500</v>
      </c>
      <c r="AN504" s="694">
        <v>7500</v>
      </c>
      <c r="AO504" s="694">
        <v>7500</v>
      </c>
      <c r="AP504" s="694">
        <v>7500</v>
      </c>
      <c r="AQ504" s="694">
        <f t="shared" ref="AQ504:AW504" si="1744">AP504</f>
        <v>7500</v>
      </c>
      <c r="AR504" s="694">
        <f t="shared" si="1744"/>
        <v>7500</v>
      </c>
      <c r="AS504" s="694">
        <f t="shared" si="1744"/>
        <v>7500</v>
      </c>
      <c r="AT504" s="694">
        <f t="shared" si="1744"/>
        <v>7500</v>
      </c>
      <c r="AU504" s="694">
        <f t="shared" si="1744"/>
        <v>7500</v>
      </c>
      <c r="AV504" s="694">
        <f t="shared" si="1744"/>
        <v>7500</v>
      </c>
      <c r="AW504" s="694">
        <f t="shared" si="1744"/>
        <v>7500</v>
      </c>
      <c r="AX504" s="694">
        <v>7800</v>
      </c>
      <c r="AY504" s="725">
        <v>7800</v>
      </c>
      <c r="AZ504" s="694">
        <f>AY504</f>
        <v>7800</v>
      </c>
      <c r="BA504" s="725">
        <v>7800</v>
      </c>
      <c r="BB504" s="725">
        <v>7800</v>
      </c>
      <c r="BC504" s="725">
        <v>7800</v>
      </c>
      <c r="BD504" s="725">
        <v>7810</v>
      </c>
      <c r="BE504" s="694">
        <f>BD504</f>
        <v>7810</v>
      </c>
      <c r="BF504" s="725">
        <v>7810</v>
      </c>
      <c r="BG504" s="725">
        <v>7810</v>
      </c>
      <c r="BH504" s="725">
        <v>7810</v>
      </c>
      <c r="BI504" s="725">
        <v>7820</v>
      </c>
      <c r="BJ504" s="694">
        <f>BI504</f>
        <v>7820</v>
      </c>
      <c r="BK504" s="725">
        <v>7810</v>
      </c>
      <c r="BL504" s="725">
        <v>7810</v>
      </c>
      <c r="BM504" s="725">
        <v>7810</v>
      </c>
      <c r="BN504" s="725">
        <v>7810</v>
      </c>
      <c r="BO504" s="694">
        <v>7825</v>
      </c>
      <c r="BP504" s="725">
        <v>7810</v>
      </c>
      <c r="BQ504" s="725">
        <v>7810</v>
      </c>
      <c r="BR504" s="725">
        <v>7810</v>
      </c>
      <c r="BS504" s="725">
        <v>7810</v>
      </c>
      <c r="BT504" s="694">
        <v>7825</v>
      </c>
      <c r="BU504" s="725">
        <v>7830</v>
      </c>
      <c r="BV504" s="725">
        <v>7830</v>
      </c>
      <c r="BW504" s="725">
        <v>7830</v>
      </c>
      <c r="BX504" s="725">
        <v>7830</v>
      </c>
      <c r="BY504" s="694">
        <v>7828</v>
      </c>
      <c r="BZ504" s="725">
        <v>7830</v>
      </c>
      <c r="CA504" s="725">
        <v>7830</v>
      </c>
      <c r="CB504" s="725">
        <v>7832</v>
      </c>
      <c r="CC504" s="725">
        <v>7832</v>
      </c>
      <c r="CD504" s="694">
        <f>CC504</f>
        <v>7832</v>
      </c>
      <c r="CE504" s="725">
        <v>7832</v>
      </c>
      <c r="CF504" s="725">
        <v>7832</v>
      </c>
      <c r="CG504" s="725">
        <v>7832</v>
      </c>
      <c r="CH504" s="725">
        <v>7832</v>
      </c>
      <c r="CI504" s="694">
        <f>CH504</f>
        <v>7832</v>
      </c>
      <c r="CJ504" s="725">
        <v>7833</v>
      </c>
      <c r="CK504" s="725">
        <v>7833</v>
      </c>
      <c r="CL504" s="725">
        <v>7835</v>
      </c>
      <c r="CM504" s="725">
        <v>7835</v>
      </c>
      <c r="CN504" s="694">
        <f>CM504</f>
        <v>7835</v>
      </c>
      <c r="CO504" s="725">
        <v>7833</v>
      </c>
      <c r="CP504" s="725">
        <v>7833</v>
      </c>
      <c r="CQ504" s="694">
        <f>CN504</f>
        <v>7835</v>
      </c>
      <c r="CR504" s="694">
        <f t="shared" ref="CR504:CS504" si="1745">CQ504</f>
        <v>7835</v>
      </c>
      <c r="CS504" s="694">
        <f t="shared" si="1745"/>
        <v>7835</v>
      </c>
      <c r="CT504" s="694">
        <f t="shared" ref="CT504" si="1746">CS504</f>
        <v>7835</v>
      </c>
      <c r="CU504" s="694">
        <f t="shared" ref="CU504" si="1747">CT504</f>
        <v>7835</v>
      </c>
      <c r="CV504" s="694">
        <f t="shared" ref="CV504:CW504" si="1748">CU504</f>
        <v>7835</v>
      </c>
      <c r="CW504" s="694">
        <f t="shared" si="1748"/>
        <v>7835</v>
      </c>
      <c r="EU504" s="286"/>
      <c r="EV504" s="287"/>
    </row>
    <row r="505" spans="1:152">
      <c r="B505" s="365"/>
      <c r="C505" s="365"/>
      <c r="D505" s="365"/>
      <c r="E505" s="365"/>
      <c r="F505" s="365"/>
      <c r="G505" s="365"/>
      <c r="H505" s="365"/>
      <c r="I505" s="365"/>
      <c r="J505" s="365"/>
      <c r="K505" s="365"/>
      <c r="L505" s="365"/>
      <c r="M505" s="365"/>
      <c r="N505" s="365"/>
      <c r="O505" s="365"/>
      <c r="P505" s="365"/>
      <c r="Q505" s="365"/>
      <c r="R505" s="365"/>
      <c r="S505" s="365"/>
      <c r="T505" s="365"/>
      <c r="U505" s="365"/>
      <c r="V505" s="365"/>
      <c r="W505" s="365"/>
      <c r="X505" s="365"/>
      <c r="Y505" s="365"/>
      <c r="Z505" s="365"/>
      <c r="AA505" s="365"/>
      <c r="AB505" s="365"/>
      <c r="AC505" s="365"/>
      <c r="AD505" s="365"/>
      <c r="AE505" s="365"/>
      <c r="AF505" s="365"/>
      <c r="AG505" s="365"/>
      <c r="AH505" s="365"/>
      <c r="AI505" s="365"/>
      <c r="AJ505" s="365"/>
      <c r="AK505" s="365"/>
      <c r="AL505" s="365"/>
      <c r="AM505" s="365"/>
      <c r="AN505" s="365"/>
      <c r="AO505" s="365"/>
      <c r="AP505" s="365"/>
      <c r="AQ505" s="365"/>
      <c r="AR505" s="365"/>
      <c r="AS505" s="365"/>
      <c r="BY505" s="163">
        <f>BY504*BY501</f>
        <v>1565.6000000000001</v>
      </c>
      <c r="CD505" s="163">
        <f>CD504*CD501</f>
        <v>1253.1200000000001</v>
      </c>
      <c r="CI505" s="163">
        <f>CI504*CI501</f>
        <v>1331.4399999999998</v>
      </c>
      <c r="CN505" s="163">
        <f>CN504*CN501</f>
        <v>1371.125</v>
      </c>
      <c r="EU505" s="286"/>
      <c r="EV505" s="287"/>
    </row>
    <row r="506" spans="1:152">
      <c r="EU506" s="286"/>
      <c r="EV506" s="287"/>
    </row>
    <row r="507" spans="1:152">
      <c r="EU507" s="346"/>
      <c r="EV507" s="347"/>
    </row>
    <row r="508" spans="1:152">
      <c r="A508" s="165" t="s">
        <v>240</v>
      </c>
      <c r="B508" s="705">
        <v>1124</v>
      </c>
      <c r="C508" s="705">
        <v>129.79999999999995</v>
      </c>
      <c r="D508" s="705">
        <v>171</v>
      </c>
      <c r="E508" s="705">
        <v>195</v>
      </c>
      <c r="F508" s="705">
        <v>401</v>
      </c>
      <c r="G508" s="705">
        <v>802.8</v>
      </c>
      <c r="H508" s="705">
        <v>158</v>
      </c>
      <c r="I508" s="705">
        <v>199</v>
      </c>
      <c r="J508" s="705">
        <v>291</v>
      </c>
      <c r="K508" s="705">
        <v>596</v>
      </c>
      <c r="L508" s="705">
        <v>590</v>
      </c>
      <c r="M508" s="705">
        <v>135</v>
      </c>
      <c r="N508" s="705">
        <v>307</v>
      </c>
      <c r="O508" s="705">
        <v>489</v>
      </c>
      <c r="P508" s="705">
        <v>513</v>
      </c>
      <c r="Q508" s="705">
        <v>1444</v>
      </c>
      <c r="R508" s="705">
        <v>257</v>
      </c>
      <c r="S508" s="705">
        <v>225</v>
      </c>
      <c r="T508" s="705">
        <v>225</v>
      </c>
      <c r="U508" s="705">
        <v>282</v>
      </c>
      <c r="V508" s="705">
        <v>989</v>
      </c>
      <c r="W508" s="705">
        <v>78</v>
      </c>
      <c r="X508" s="705">
        <v>176</v>
      </c>
      <c r="Y508" s="705">
        <v>145</v>
      </c>
      <c r="Z508" s="705">
        <v>591</v>
      </c>
      <c r="AA508" s="705">
        <v>990</v>
      </c>
      <c r="AB508" s="705">
        <v>191</v>
      </c>
      <c r="AC508" s="705">
        <v>216</v>
      </c>
      <c r="AD508" s="705">
        <v>141</v>
      </c>
      <c r="AE508" s="705">
        <v>267</v>
      </c>
      <c r="AF508" s="705">
        <v>815</v>
      </c>
      <c r="AG508" s="705">
        <v>118</v>
      </c>
      <c r="AH508" s="705">
        <v>155</v>
      </c>
      <c r="AI508" s="705">
        <v>337</v>
      </c>
      <c r="AJ508" s="705">
        <v>530</v>
      </c>
      <c r="AK508" s="705">
        <v>1140</v>
      </c>
      <c r="AL508" s="705">
        <v>146</v>
      </c>
      <c r="AM508" s="705">
        <v>260</v>
      </c>
      <c r="AN508" s="705">
        <v>359</v>
      </c>
      <c r="AO508" s="705">
        <v>539</v>
      </c>
      <c r="AP508" s="705">
        <v>1304</v>
      </c>
      <c r="AQ508" s="705">
        <v>159</v>
      </c>
      <c r="AR508" s="705">
        <v>333</v>
      </c>
      <c r="AS508" s="705">
        <v>249</v>
      </c>
      <c r="AT508" s="705">
        <v>448</v>
      </c>
      <c r="AU508" s="705">
        <f>SUM(AQ508:AT508)</f>
        <v>1189</v>
      </c>
      <c r="AV508" s="705">
        <v>162</v>
      </c>
      <c r="AW508" s="705">
        <f>'[3]Key Balance Sheet &amp; CFlow Items'!X$5</f>
        <v>211</v>
      </c>
      <c r="AX508" s="705">
        <f>'[3]Key Balance Sheet &amp; CFlow Items'!Y$5</f>
        <v>273</v>
      </c>
      <c r="AY508" s="705">
        <f>'[3]Key Balance Sheet &amp; CFlow Items'!Z$5</f>
        <v>382</v>
      </c>
      <c r="AZ508" s="706">
        <f>SUM(AV508:AY508)</f>
        <v>1028</v>
      </c>
      <c r="BA508" s="705">
        <f>'[3]Key Balance Sheet &amp; CFlow Items'!AA$5</f>
        <v>107</v>
      </c>
      <c r="BB508" s="705">
        <f>'[3]Key Balance Sheet &amp; CFlow Items'!AB$5</f>
        <v>212</v>
      </c>
      <c r="BC508" s="705">
        <f>'[3]Key Balance Sheet &amp; CFlow Items'!AC$5</f>
        <v>195</v>
      </c>
      <c r="BD508" s="705">
        <f>'[3]Key Balance Sheet &amp; CFlow Items'!AD$5</f>
        <v>524</v>
      </c>
      <c r="BE508" s="706">
        <f>SUM(BA508:BD508)</f>
        <v>1038</v>
      </c>
      <c r="BF508" s="705">
        <f>'[3]Key Balance Sheet &amp; CFlow Items'!AE$5</f>
        <v>127</v>
      </c>
      <c r="BG508" s="705">
        <f>'[3]Key Balance Sheet &amp; CFlow Items'!AF$5</f>
        <v>267</v>
      </c>
      <c r="BH508" s="705">
        <f>'[3]Key Balance Sheet &amp; CFlow Items'!AG$5</f>
        <v>242</v>
      </c>
      <c r="BI508" s="705">
        <f>'[3]Key Balance Sheet &amp; CFlow Items'!AH$5</f>
        <v>577</v>
      </c>
      <c r="BJ508" s="706">
        <f>SUM(BF508:BI508)</f>
        <v>1213</v>
      </c>
      <c r="BK508" s="705">
        <f>'[3]Key Balance Sheet &amp; CFlow Items'!AI$5</f>
        <v>163</v>
      </c>
      <c r="BL508" s="705">
        <f>'[3]Key Balance Sheet &amp; CFlow Items'!AJ$5</f>
        <v>259</v>
      </c>
      <c r="BM508" s="705">
        <f>'[3]Key Balance Sheet &amp; CFlow Items'!AK$5</f>
        <v>319</v>
      </c>
      <c r="BN508" s="705">
        <f>'[3]Key Balance Sheet &amp; CFlow Items'!AL$5</f>
        <v>504</v>
      </c>
      <c r="BO508" s="706">
        <f>SUM(BK508:BN508)</f>
        <v>1245</v>
      </c>
      <c r="BP508" s="705">
        <f>'[3]Key Balance Sheet &amp; CFlow Items'!AM$5</f>
        <v>136</v>
      </c>
      <c r="BQ508" s="705">
        <f>'[3]Key Balance Sheet &amp; CFlow Items'!AN$5</f>
        <v>180</v>
      </c>
      <c r="BR508" s="705">
        <f>'[3]Key Balance Sheet &amp; CFlow Items'!AO$5</f>
        <v>274</v>
      </c>
      <c r="BS508" s="705">
        <f>'[3]Key Balance Sheet &amp; CFlow Items'!AP$5</f>
        <v>597</v>
      </c>
      <c r="BT508" s="706">
        <f>SUM(BP508:BS508)</f>
        <v>1187</v>
      </c>
      <c r="BU508" s="707">
        <f>'[3]Key Balance Sheet &amp; CFlow Items'!AQ$5</f>
        <v>171</v>
      </c>
      <c r="BV508" s="707">
        <f>'[3]Key Balance Sheet &amp; CFlow Items'!AR$5</f>
        <v>241</v>
      </c>
      <c r="BW508" s="707">
        <f>'[3]Key Balance Sheet &amp; CFlow Items'!AS$5</f>
        <v>272</v>
      </c>
      <c r="BX508" s="707">
        <f>'[3]Key Balance Sheet &amp; CFlow Items'!AT$5</f>
        <v>430</v>
      </c>
      <c r="BY508" s="706">
        <f>SUM(BU508:BX508)</f>
        <v>1114</v>
      </c>
      <c r="BZ508" s="707">
        <f>'[3]Key Balance Sheet &amp; CFlow Items'!AU$5</f>
        <v>130</v>
      </c>
      <c r="CA508" s="707">
        <f>'[3]Key Balance Sheet &amp; CFlow Items'!AV$5</f>
        <v>166</v>
      </c>
      <c r="CB508" s="707">
        <f>'[3]Key Balance Sheet &amp; CFlow Items'!AW$5</f>
        <v>215</v>
      </c>
      <c r="CC508" s="707">
        <f>'[3]Key Balance Sheet &amp; CFlow Items'!AX$5</f>
        <v>302</v>
      </c>
      <c r="CD508" s="706">
        <f>SUM(BZ508:CC508)</f>
        <v>813</v>
      </c>
      <c r="CE508" s="707">
        <f>'[3]Key Balance Sheet &amp; CFlow Items'!AY$5</f>
        <v>106</v>
      </c>
      <c r="CF508" s="707">
        <f>'[3]Key Balance Sheet &amp; CFlow Items'!AZ$5</f>
        <v>116</v>
      </c>
      <c r="CG508" s="707">
        <f>'[3]Key Balance Sheet &amp; CFlow Items'!BA$5</f>
        <v>140</v>
      </c>
      <c r="CH508" s="707">
        <f>'[3]Key Balance Sheet &amp; CFlow Items'!BB$5</f>
        <v>312</v>
      </c>
      <c r="CI508" s="706">
        <f>SUM(CE508:CH508)</f>
        <v>674</v>
      </c>
      <c r="CJ508" s="707">
        <f>'[3]Key Balance Sheet &amp; CFlow Items'!BC$5</f>
        <v>86</v>
      </c>
      <c r="CK508" s="707">
        <f>'[3]Key Balance Sheet &amp; CFlow Items'!BD$5</f>
        <v>165</v>
      </c>
      <c r="CL508" s="707">
        <f>'[3]Key Balance Sheet &amp; CFlow Items'!BE$5</f>
        <v>224</v>
      </c>
      <c r="CM508" s="707">
        <f>'[3]Key Balance Sheet &amp; CFlow Items'!BF$5</f>
        <v>511</v>
      </c>
      <c r="CN508" s="706">
        <f>SUM(CJ508:CM508)</f>
        <v>986</v>
      </c>
      <c r="CO508" s="707">
        <f>'[3]Key Balance Sheet &amp; CFlow Items'!BG$5</f>
        <v>142</v>
      </c>
      <c r="CP508" s="707">
        <f>'[3]Key Balance Sheet &amp; CFlow Items'!BH$5</f>
        <v>171</v>
      </c>
      <c r="CQ508" s="759">
        <f>'Balance Sheet and Cflow'!U340</f>
        <v>1094.558857979579</v>
      </c>
      <c r="CR508" s="759">
        <f>'Balance Sheet and Cflow'!V340</f>
        <v>1009.534532260039</v>
      </c>
      <c r="CS508" s="759">
        <f>'Balance Sheet and Cflow'!W340</f>
        <v>1034.2470765174933</v>
      </c>
      <c r="CT508" s="759">
        <f>'Balance Sheet and Cflow'!X340</f>
        <v>1060.3356434492387</v>
      </c>
      <c r="CU508" s="759">
        <f>'Balance Sheet and Cflow'!Y340</f>
        <v>1085.6165288458519</v>
      </c>
      <c r="CV508" s="759">
        <f>'Balance Sheet and Cflow'!Z340</f>
        <v>1111.260654890877</v>
      </c>
      <c r="CW508" s="759">
        <f>'Balance Sheet and Cflow'!AA340</f>
        <v>1516.4251017295933</v>
      </c>
      <c r="CX508" s="159"/>
      <c r="CY508" s="159"/>
      <c r="CZ508" s="159"/>
      <c r="DA508" s="159"/>
      <c r="DB508" s="159"/>
      <c r="DC508" s="161"/>
      <c r="DD508" s="161"/>
      <c r="DE508" s="161"/>
      <c r="DF508" s="161"/>
      <c r="DO508" s="159"/>
      <c r="DP508" s="161"/>
      <c r="DQ508" s="161"/>
      <c r="DR508" s="161"/>
      <c r="DS508" s="161"/>
      <c r="DT508" s="170"/>
      <c r="EU508" s="286"/>
      <c r="EV508" s="287"/>
    </row>
    <row r="509" spans="1:152">
      <c r="A509" s="163" t="s">
        <v>187</v>
      </c>
      <c r="AV509" s="170">
        <f t="shared" ref="AV509:CA509" si="1749">AV508/AV432</f>
        <v>6.8210526315789471E-2</v>
      </c>
      <c r="AW509" s="170">
        <f t="shared" si="1749"/>
        <v>9.036402569593148E-2</v>
      </c>
      <c r="AX509" s="170">
        <f t="shared" si="1749"/>
        <v>0.11701671667381054</v>
      </c>
      <c r="AY509" s="170">
        <f t="shared" si="1749"/>
        <v>0.16077441077441076</v>
      </c>
      <c r="AZ509" s="170">
        <f t="shared" si="1749"/>
        <v>0.10914109778108079</v>
      </c>
      <c r="BA509" s="170">
        <f t="shared" si="1749"/>
        <v>4.7831917746982568E-2</v>
      </c>
      <c r="BB509" s="170">
        <f t="shared" si="1749"/>
        <v>9.4390026714158498E-2</v>
      </c>
      <c r="BC509" s="170">
        <f t="shared" si="1749"/>
        <v>8.6130742049469966E-2</v>
      </c>
      <c r="BD509" s="170">
        <f t="shared" si="1749"/>
        <v>0.21431492842535788</v>
      </c>
      <c r="BE509" s="170">
        <f t="shared" si="1749"/>
        <v>0.1129242819843342</v>
      </c>
      <c r="BF509" s="170">
        <f t="shared" si="1749"/>
        <v>5.6899641577060935E-2</v>
      </c>
      <c r="BG509" s="170">
        <f t="shared" si="1749"/>
        <v>0.12103354487760652</v>
      </c>
      <c r="BH509" s="170">
        <f t="shared" si="1749"/>
        <v>0.10590809628008753</v>
      </c>
      <c r="BI509" s="170">
        <f t="shared" si="1749"/>
        <v>0.22277992277992278</v>
      </c>
      <c r="BJ509" s="170">
        <f t="shared" si="1749"/>
        <v>0.13024804037367121</v>
      </c>
      <c r="BK509" s="170">
        <f t="shared" si="1749"/>
        <v>6.9628363947031188E-2</v>
      </c>
      <c r="BL509" s="170">
        <f t="shared" si="1749"/>
        <v>0.1204091120409112</v>
      </c>
      <c r="BM509" s="170">
        <f t="shared" si="1749"/>
        <v>0.14414821509263442</v>
      </c>
      <c r="BN509" s="170">
        <f t="shared" si="1749"/>
        <v>0.22291021671826625</v>
      </c>
      <c r="BO509" s="170">
        <f t="shared" si="1749"/>
        <v>0.13885790765112649</v>
      </c>
      <c r="BP509" s="170">
        <f t="shared" si="1749"/>
        <v>6.0714285714285714E-2</v>
      </c>
      <c r="BQ509" s="170">
        <f t="shared" si="1749"/>
        <v>7.9155672823219003E-2</v>
      </c>
      <c r="BR509" s="170">
        <f t="shared" si="1749"/>
        <v>0.12065169528841919</v>
      </c>
      <c r="BS509" s="170">
        <f t="shared" si="1749"/>
        <v>0.24307817589576547</v>
      </c>
      <c r="BT509" s="170">
        <f t="shared" si="1749"/>
        <v>0.12844930202359053</v>
      </c>
      <c r="BU509" s="170">
        <f t="shared" si="1749"/>
        <v>7.1072319201995013E-2</v>
      </c>
      <c r="BV509" s="170">
        <f t="shared" si="1749"/>
        <v>9.9422442244224418E-2</v>
      </c>
      <c r="BW509" s="170">
        <f t="shared" si="1749"/>
        <v>0.1130977130977131</v>
      </c>
      <c r="BX509" s="170">
        <f t="shared" si="1749"/>
        <v>0.16836335160532498</v>
      </c>
      <c r="BY509" s="170">
        <f t="shared" si="1749"/>
        <v>0.11380120543467157</v>
      </c>
      <c r="BZ509" s="170">
        <f t="shared" si="1749"/>
        <v>5.1464766429136978E-2</v>
      </c>
      <c r="CA509" s="170">
        <f t="shared" si="1749"/>
        <v>6.7206477732793521E-2</v>
      </c>
      <c r="CB509" s="170">
        <f t="shared" ref="CB509:CW509" si="1750">CB508/CB432</f>
        <v>8.8042588042588049E-2</v>
      </c>
      <c r="CC509" s="170">
        <f t="shared" si="1750"/>
        <v>0.11013858497447118</v>
      </c>
      <c r="CD509" s="170">
        <f t="shared" si="1750"/>
        <v>7.9862475442043224E-2</v>
      </c>
      <c r="CE509" s="170">
        <f t="shared" si="1750"/>
        <v>4.0722243565117174E-2</v>
      </c>
      <c r="CF509" s="170">
        <f t="shared" si="1750"/>
        <v>4.4856921887084303E-2</v>
      </c>
      <c r="CG509" s="170">
        <f t="shared" si="1750"/>
        <v>5.434782608695652E-2</v>
      </c>
      <c r="CH509" s="170">
        <f t="shared" si="1750"/>
        <v>0.11259473114399134</v>
      </c>
      <c r="CI509" s="170">
        <f t="shared" si="1750"/>
        <v>6.3971146545178437E-2</v>
      </c>
      <c r="CJ509" s="170">
        <f t="shared" si="1750"/>
        <v>3.2975460122699383E-2</v>
      </c>
      <c r="CK509" s="170">
        <f t="shared" si="1750"/>
        <v>6.4402810304449651E-2</v>
      </c>
      <c r="CL509" s="170">
        <f t="shared" ref="CL509:CM509" si="1751">CL508/CL432</f>
        <v>8.6519891850135186E-2</v>
      </c>
      <c r="CM509" s="170">
        <f t="shared" si="1751"/>
        <v>0.17767732962447844</v>
      </c>
      <c r="CN509" s="170">
        <f>CN508/CN432</f>
        <v>9.2712740949694408E-2</v>
      </c>
      <c r="CO509" s="170">
        <f t="shared" ref="CO509:CP509" si="1752">CO508/CO432</f>
        <v>5.199560600512633E-2</v>
      </c>
      <c r="CP509" s="170">
        <f t="shared" si="1752"/>
        <v>6.4382530120481923E-2</v>
      </c>
      <c r="CQ509" s="170">
        <f t="shared" si="1750"/>
        <v>0.1</v>
      </c>
      <c r="CR509" s="170">
        <f t="shared" si="1750"/>
        <v>0.09</v>
      </c>
      <c r="CS509" s="170">
        <f t="shared" si="1750"/>
        <v>0.09</v>
      </c>
      <c r="CT509" s="170">
        <f t="shared" si="1750"/>
        <v>0.09</v>
      </c>
      <c r="CU509" s="170">
        <f t="shared" si="1750"/>
        <v>9.0000000000000011E-2</v>
      </c>
      <c r="CV509" s="170">
        <f t="shared" si="1750"/>
        <v>0.09</v>
      </c>
      <c r="CW509" s="170">
        <f t="shared" si="1750"/>
        <v>0.12</v>
      </c>
      <c r="EU509" s="346"/>
      <c r="EV509" s="347"/>
    </row>
    <row r="510" spans="1:152">
      <c r="EU510" s="286"/>
      <c r="EV510" s="287"/>
    </row>
    <row r="511" spans="1:152">
      <c r="A511" s="221" t="s">
        <v>133</v>
      </c>
      <c r="B511" s="694">
        <f>B453-B508</f>
        <v>2466</v>
      </c>
      <c r="C511" s="694"/>
      <c r="D511" s="694"/>
      <c r="E511" s="694"/>
      <c r="F511" s="694"/>
      <c r="G511" s="694">
        <f>G453-G508</f>
        <v>3599.4000000000005</v>
      </c>
      <c r="H511" s="694"/>
      <c r="I511" s="694"/>
      <c r="J511" s="694"/>
      <c r="K511" s="694"/>
      <c r="L511" s="694">
        <f>L453-L508</f>
        <v>3630</v>
      </c>
      <c r="M511" s="694"/>
      <c r="N511" s="694"/>
      <c r="O511" s="694"/>
      <c r="P511" s="694"/>
      <c r="Q511" s="694">
        <f>Q453-Q508</f>
        <v>2972</v>
      </c>
      <c r="R511" s="694"/>
      <c r="S511" s="694"/>
      <c r="T511" s="694"/>
      <c r="U511" s="694"/>
      <c r="V511" s="694">
        <f>V453-V508</f>
        <v>3434</v>
      </c>
      <c r="W511" s="694"/>
      <c r="X511" s="694"/>
      <c r="Y511" s="694"/>
      <c r="Z511" s="694"/>
      <c r="AA511" s="694">
        <f>AA453-AA508</f>
        <v>3369</v>
      </c>
      <c r="AB511" s="694"/>
      <c r="AC511" s="694"/>
      <c r="AD511" s="694"/>
      <c r="AE511" s="694"/>
      <c r="AF511" s="694">
        <f>AF453-AF508</f>
        <v>3707</v>
      </c>
      <c r="AG511" s="694"/>
      <c r="AH511" s="694"/>
      <c r="AI511" s="694"/>
      <c r="AJ511" s="694"/>
      <c r="AK511" s="694">
        <f>AK453-AK508</f>
        <v>2972.3305194230634</v>
      </c>
      <c r="AL511" s="694"/>
      <c r="AM511" s="694"/>
      <c r="AN511" s="694"/>
      <c r="AO511" s="694"/>
      <c r="AP511" s="694">
        <f>AP453-AP508</f>
        <v>3122</v>
      </c>
      <c r="AQ511" s="694"/>
      <c r="AR511" s="694"/>
      <c r="AS511" s="694"/>
      <c r="AT511" s="694"/>
      <c r="AU511" s="694">
        <f>AU453-AU508</f>
        <v>3313</v>
      </c>
      <c r="AV511" s="694"/>
      <c r="AW511" s="694"/>
      <c r="AX511" s="694"/>
      <c r="AY511" s="694"/>
      <c r="AZ511" s="694">
        <f>AZ453-AZ508</f>
        <v>3167</v>
      </c>
      <c r="BA511" s="694"/>
      <c r="BB511" s="694"/>
      <c r="BC511" s="694"/>
      <c r="BD511" s="694"/>
      <c r="BE511" s="694">
        <f>BE453-BE508</f>
        <v>2805</v>
      </c>
      <c r="BF511" s="694"/>
      <c r="BG511" s="694"/>
      <c r="BH511" s="694"/>
      <c r="BI511" s="694"/>
      <c r="BJ511" s="694">
        <f>BJ453-BJ508</f>
        <v>2713</v>
      </c>
      <c r="BK511" s="694"/>
      <c r="BL511" s="694"/>
      <c r="BM511" s="694"/>
      <c r="BN511" s="694"/>
      <c r="BO511" s="694">
        <f>BO453-BO508</f>
        <v>2569</v>
      </c>
      <c r="BP511" s="694"/>
      <c r="BQ511" s="694"/>
      <c r="BR511" s="694"/>
      <c r="BS511" s="694"/>
      <c r="BT511" s="694">
        <f>BT453-BT508</f>
        <v>2689</v>
      </c>
      <c r="BU511" s="694"/>
      <c r="BV511" s="694"/>
      <c r="BW511" s="694"/>
      <c r="BX511" s="694"/>
      <c r="BY511" s="694">
        <f>BY453-BY508</f>
        <v>2815</v>
      </c>
      <c r="BZ511" s="694"/>
      <c r="CA511" s="694"/>
      <c r="CB511" s="694"/>
      <c r="CC511" s="694"/>
      <c r="CD511" s="694">
        <f>CD453-CD508</f>
        <v>3147</v>
      </c>
      <c r="CE511" s="694"/>
      <c r="CF511" s="694"/>
      <c r="CG511" s="694"/>
      <c r="CH511" s="694"/>
      <c r="CI511" s="694">
        <f>CI453-CI508</f>
        <v>3448</v>
      </c>
      <c r="CJ511" s="694"/>
      <c r="CK511" s="694"/>
      <c r="CL511" s="694"/>
      <c r="CM511" s="694"/>
      <c r="CN511" s="694">
        <f>CN453-CN508</f>
        <v>3343</v>
      </c>
      <c r="CO511" s="694"/>
      <c r="CP511" s="694"/>
      <c r="CQ511" s="694">
        <f t="shared" ref="CQ511:CW511" si="1753">CQ453-CQ508</f>
        <v>3427.0344138242785</v>
      </c>
      <c r="CR511" s="694">
        <f t="shared" si="1753"/>
        <v>3643.2401142052895</v>
      </c>
      <c r="CS511" s="694">
        <f t="shared" si="1753"/>
        <v>3748.4807060554476</v>
      </c>
      <c r="CT511" s="694">
        <f t="shared" si="1753"/>
        <v>3860.2770785778475</v>
      </c>
      <c r="CU511" s="694">
        <f t="shared" si="1753"/>
        <v>3969.4387053511377</v>
      </c>
      <c r="CV511" s="694">
        <f t="shared" si="1753"/>
        <v>4080.8626034257732</v>
      </c>
      <c r="CW511" s="694">
        <f t="shared" si="1753"/>
        <v>3815.6459748583843</v>
      </c>
      <c r="EU511" s="286"/>
      <c r="EV511" s="287"/>
    </row>
    <row r="512" spans="1:152">
      <c r="A512" s="221"/>
      <c r="B512" s="382"/>
      <c r="C512" s="221"/>
      <c r="D512" s="221"/>
      <c r="E512" s="221"/>
      <c r="F512" s="221"/>
      <c r="G512" s="382"/>
      <c r="H512" s="221"/>
      <c r="I512" s="221"/>
      <c r="J512" s="221"/>
      <c r="K512" s="221"/>
      <c r="L512" s="382"/>
      <c r="M512" s="221"/>
      <c r="N512" s="221"/>
      <c r="O512" s="221"/>
      <c r="P512" s="221"/>
      <c r="Q512" s="382"/>
      <c r="R512" s="221"/>
      <c r="S512" s="221"/>
      <c r="T512" s="221"/>
      <c r="U512" s="221"/>
      <c r="V512" s="382"/>
      <c r="W512" s="221"/>
      <c r="X512" s="221"/>
      <c r="Y512" s="221"/>
      <c r="Z512" s="221"/>
      <c r="AA512" s="382"/>
      <c r="AB512" s="221"/>
      <c r="AC512" s="221"/>
      <c r="AD512" s="221"/>
      <c r="AE512" s="221"/>
      <c r="AF512" s="382"/>
      <c r="AG512" s="221"/>
      <c r="AH512" s="221"/>
      <c r="AI512" s="221"/>
      <c r="AJ512" s="221"/>
      <c r="AK512" s="382"/>
      <c r="AL512" s="221"/>
      <c r="AM512" s="221"/>
      <c r="AN512" s="221"/>
      <c r="AO512" s="221"/>
      <c r="AP512" s="382"/>
      <c r="AQ512" s="221"/>
      <c r="AR512" s="221"/>
      <c r="AS512" s="221"/>
      <c r="AT512" s="221"/>
      <c r="AU512" s="382"/>
      <c r="AV512" s="221"/>
      <c r="AW512" s="221"/>
      <c r="AX512" s="221"/>
      <c r="AY512" s="221"/>
      <c r="AZ512" s="382"/>
      <c r="BA512" s="221"/>
      <c r="BB512" s="221"/>
      <c r="BC512" s="221"/>
      <c r="BD512" s="221"/>
      <c r="BE512" s="382"/>
      <c r="BF512" s="221"/>
      <c r="BG512" s="221"/>
      <c r="BH512" s="221"/>
      <c r="BI512" s="221"/>
      <c r="BJ512" s="382"/>
      <c r="BK512" s="221"/>
      <c r="BL512" s="221"/>
      <c r="BM512" s="221"/>
      <c r="BN512" s="221"/>
      <c r="BO512" s="160">
        <f>BO511/BJ511-1</f>
        <v>-5.3077773682270513E-2</v>
      </c>
      <c r="BP512" s="382"/>
      <c r="BQ512" s="382"/>
      <c r="BR512" s="382"/>
      <c r="BS512" s="382"/>
      <c r="BT512" s="160">
        <f>BT511/BO511-1</f>
        <v>4.6710782405605222E-2</v>
      </c>
      <c r="BU512" s="382"/>
      <c r="BV512" s="382"/>
      <c r="BW512" s="382"/>
      <c r="BX512" s="382"/>
      <c r="BY512" s="160">
        <f>BY511/BT511-1</f>
        <v>4.6857567869096339E-2</v>
      </c>
      <c r="BZ512" s="382"/>
      <c r="CA512" s="382"/>
      <c r="CB512" s="382"/>
      <c r="CC512" s="382"/>
      <c r="CD512" s="160">
        <f>CD511/BY511-1</f>
        <v>0.11793960923623437</v>
      </c>
      <c r="CE512" s="382"/>
      <c r="CF512" s="382"/>
      <c r="CG512" s="382"/>
      <c r="CH512" s="382"/>
      <c r="CI512" s="160">
        <f>CI511/CD511-1</f>
        <v>9.56466476008897E-2</v>
      </c>
      <c r="CJ512" s="382"/>
      <c r="CK512" s="382"/>
      <c r="CL512" s="382"/>
      <c r="CM512" s="382"/>
      <c r="CN512" s="160">
        <f>CN511/CI511-1</f>
        <v>-3.0452436194895571E-2</v>
      </c>
      <c r="CO512" s="382"/>
      <c r="CP512" s="382"/>
      <c r="CQ512" s="160">
        <f>CQ511/CN511-1</f>
        <v>2.5137425613005915E-2</v>
      </c>
      <c r="CR512" s="160">
        <f t="shared" ref="CR512:CW512" si="1754">CR511/CQ511-1</f>
        <v>6.3088278165186029E-2</v>
      </c>
      <c r="CS512" s="160">
        <f t="shared" si="1754"/>
        <v>2.8886537409328783E-2</v>
      </c>
      <c r="CT512" s="160">
        <f t="shared" si="1754"/>
        <v>2.9824449234005623E-2</v>
      </c>
      <c r="CU512" s="160">
        <f t="shared" si="1754"/>
        <v>2.8278184324920463E-2</v>
      </c>
      <c r="CV512" s="160">
        <f t="shared" si="1754"/>
        <v>2.8070441779193267E-2</v>
      </c>
      <c r="CW512" s="160">
        <f t="shared" si="1754"/>
        <v>-6.4990335216075779E-2</v>
      </c>
      <c r="EU512" s="286"/>
      <c r="EV512" s="287"/>
    </row>
    <row r="513" spans="1:152">
      <c r="EU513" s="286"/>
      <c r="EV513" s="287"/>
    </row>
    <row r="514" spans="1:152">
      <c r="A514" s="199" t="s">
        <v>257</v>
      </c>
      <c r="B514" s="199">
        <f>B2</f>
        <v>2007</v>
      </c>
      <c r="C514" s="199"/>
      <c r="D514" s="199"/>
      <c r="E514" s="199"/>
      <c r="F514" s="199"/>
      <c r="G514" s="199">
        <f>B514+1</f>
        <v>2008</v>
      </c>
      <c r="H514" s="199"/>
      <c r="I514" s="199"/>
      <c r="J514" s="199"/>
      <c r="K514" s="199"/>
      <c r="L514" s="199">
        <f>G514+1</f>
        <v>2009</v>
      </c>
      <c r="M514" s="199"/>
      <c r="N514" s="199"/>
      <c r="O514" s="199"/>
      <c r="P514" s="199"/>
      <c r="Q514" s="199">
        <f>L514+1</f>
        <v>2010</v>
      </c>
      <c r="R514" s="199"/>
      <c r="S514" s="199"/>
      <c r="T514" s="199"/>
      <c r="U514" s="199"/>
      <c r="V514" s="199">
        <f>Q514+1</f>
        <v>2011</v>
      </c>
      <c r="W514" s="199"/>
      <c r="X514" s="199"/>
      <c r="Y514" s="199"/>
      <c r="Z514" s="199"/>
      <c r="AA514" s="199">
        <f>V514+1</f>
        <v>2012</v>
      </c>
      <c r="AB514" s="199"/>
      <c r="AC514" s="199"/>
      <c r="AD514" s="199"/>
      <c r="AE514" s="199"/>
      <c r="AF514" s="199">
        <f>AA514+1</f>
        <v>2013</v>
      </c>
      <c r="AG514" s="199"/>
      <c r="AH514" s="199"/>
      <c r="AI514" s="199"/>
      <c r="AJ514" s="199"/>
      <c r="AK514" s="199">
        <f>AF514+1</f>
        <v>2014</v>
      </c>
      <c r="AL514" s="199"/>
      <c r="AM514" s="199"/>
      <c r="AN514" s="199"/>
      <c r="AO514" s="199"/>
      <c r="AP514" s="199">
        <f>AK514+1</f>
        <v>2015</v>
      </c>
      <c r="AQ514" s="199"/>
      <c r="AR514" s="199"/>
      <c r="AS514" s="199"/>
      <c r="AT514" s="199"/>
      <c r="AU514" s="199">
        <f>AP514+1</f>
        <v>2016</v>
      </c>
      <c r="AV514" s="199"/>
      <c r="AW514" s="199"/>
      <c r="AX514" s="199"/>
      <c r="AY514" s="199"/>
      <c r="AZ514" s="199">
        <f>AU514+1</f>
        <v>2017</v>
      </c>
      <c r="BA514" s="199"/>
      <c r="BB514" s="199"/>
      <c r="BC514" s="199"/>
      <c r="BD514" s="199"/>
      <c r="BE514" s="199">
        <f>AZ514+1</f>
        <v>2018</v>
      </c>
      <c r="BF514" s="199"/>
      <c r="BG514" s="199"/>
      <c r="BH514" s="199"/>
      <c r="BI514" s="199"/>
      <c r="BJ514" s="199">
        <f>BE514+1</f>
        <v>2019</v>
      </c>
      <c r="BK514" s="199"/>
      <c r="BL514" s="199"/>
      <c r="BM514" s="199"/>
      <c r="BN514" s="199"/>
      <c r="BO514" s="199">
        <f>BJ514+1</f>
        <v>2020</v>
      </c>
      <c r="BP514" s="199"/>
      <c r="BQ514" s="199"/>
      <c r="BR514" s="199"/>
      <c r="BS514" s="199"/>
      <c r="BT514" s="199">
        <f>BO514+1</f>
        <v>2021</v>
      </c>
      <c r="BU514" s="199"/>
      <c r="BV514" s="199"/>
      <c r="BW514" s="199"/>
      <c r="BX514" s="199"/>
      <c r="BY514" s="199">
        <f>BT514+1</f>
        <v>2022</v>
      </c>
      <c r="BZ514" s="199"/>
      <c r="CA514" s="199"/>
      <c r="CB514" s="199"/>
      <c r="CC514" s="199"/>
      <c r="CD514" s="199">
        <f>BY514+1</f>
        <v>2023</v>
      </c>
      <c r="CE514" s="199"/>
      <c r="CF514" s="199"/>
      <c r="CG514" s="199"/>
      <c r="CH514" s="199"/>
      <c r="CI514" s="199">
        <f>CD514+1</f>
        <v>2024</v>
      </c>
      <c r="CJ514" s="199"/>
      <c r="CK514" s="199"/>
      <c r="CL514" s="199"/>
      <c r="CM514" s="199"/>
      <c r="CN514" s="199">
        <f>CI514+1</f>
        <v>2025</v>
      </c>
      <c r="CO514" s="199"/>
      <c r="CP514" s="199"/>
      <c r="CQ514" s="199">
        <f>CN514+1</f>
        <v>2026</v>
      </c>
      <c r="CR514" s="199">
        <f t="shared" ref="CR514:CS514" si="1755">CQ514+1</f>
        <v>2027</v>
      </c>
      <c r="CS514" s="199">
        <f t="shared" si="1755"/>
        <v>2028</v>
      </c>
      <c r="CT514" s="199">
        <f t="shared" ref="CT514" si="1756">CS514+1</f>
        <v>2029</v>
      </c>
      <c r="CU514" s="199">
        <f t="shared" ref="CU514" si="1757">CT514+1</f>
        <v>2030</v>
      </c>
      <c r="CV514" s="199">
        <f t="shared" ref="CV514:CW514" si="1758">CU514+1</f>
        <v>2031</v>
      </c>
      <c r="CW514" s="199">
        <f t="shared" si="1758"/>
        <v>2032</v>
      </c>
      <c r="CX514" s="159"/>
      <c r="CY514" s="159"/>
      <c r="CZ514" s="159"/>
      <c r="DA514" s="159"/>
      <c r="DB514" s="159"/>
      <c r="DC514" s="159"/>
      <c r="DD514" s="159"/>
      <c r="DO514" s="203"/>
      <c r="DP514" s="203"/>
      <c r="EU514" s="286"/>
      <c r="EV514" s="287"/>
    </row>
    <row r="515" spans="1:152">
      <c r="A515" s="165" t="s">
        <v>4</v>
      </c>
      <c r="B515" s="167">
        <f t="shared" ref="B515:AG515" si="1759">B432</f>
        <v>7690</v>
      </c>
      <c r="C515" s="167">
        <f t="shared" si="1759"/>
        <v>0</v>
      </c>
      <c r="D515" s="167">
        <f t="shared" si="1759"/>
        <v>0</v>
      </c>
      <c r="E515" s="167">
        <f t="shared" si="1759"/>
        <v>0</v>
      </c>
      <c r="F515" s="167">
        <f t="shared" si="1759"/>
        <v>2204</v>
      </c>
      <c r="G515" s="167">
        <f t="shared" si="1759"/>
        <v>8449.9</v>
      </c>
      <c r="H515" s="167">
        <f t="shared" si="1759"/>
        <v>2129</v>
      </c>
      <c r="I515" s="167">
        <f t="shared" si="1759"/>
        <v>2116</v>
      </c>
      <c r="J515" s="167">
        <f t="shared" si="1759"/>
        <v>2156</v>
      </c>
      <c r="K515" s="167">
        <f t="shared" si="1759"/>
        <v>2211</v>
      </c>
      <c r="L515" s="167">
        <f t="shared" si="1759"/>
        <v>8612</v>
      </c>
      <c r="M515" s="167">
        <f t="shared" si="1759"/>
        <v>2152</v>
      </c>
      <c r="N515" s="167">
        <f t="shared" si="1759"/>
        <v>2191</v>
      </c>
      <c r="O515" s="167">
        <f t="shared" si="1759"/>
        <v>2216</v>
      </c>
      <c r="P515" s="167">
        <f t="shared" si="1759"/>
        <v>2310</v>
      </c>
      <c r="Q515" s="167">
        <f t="shared" si="1759"/>
        <v>8869</v>
      </c>
      <c r="R515" s="167">
        <f t="shared" si="1759"/>
        <v>2133</v>
      </c>
      <c r="S515" s="167">
        <f t="shared" si="1759"/>
        <v>2158</v>
      </c>
      <c r="T515" s="167">
        <f t="shared" si="1759"/>
        <v>2244</v>
      </c>
      <c r="U515" s="167">
        <f t="shared" si="1759"/>
        <v>2248</v>
      </c>
      <c r="V515" s="167">
        <f t="shared" si="1759"/>
        <v>8783</v>
      </c>
      <c r="W515" s="167">
        <f t="shared" si="1759"/>
        <v>2135</v>
      </c>
      <c r="X515" s="167">
        <f t="shared" si="1759"/>
        <v>2223</v>
      </c>
      <c r="Y515" s="167">
        <f t="shared" si="1759"/>
        <v>2216</v>
      </c>
      <c r="Z515" s="167">
        <f t="shared" si="1759"/>
        <v>2306</v>
      </c>
      <c r="AA515" s="167">
        <f t="shared" si="1759"/>
        <v>8880</v>
      </c>
      <c r="AB515" s="167">
        <f t="shared" si="1759"/>
        <v>2327</v>
      </c>
      <c r="AC515" s="167">
        <f t="shared" si="1759"/>
        <v>2295</v>
      </c>
      <c r="AD515" s="167">
        <f t="shared" si="1759"/>
        <v>2239</v>
      </c>
      <c r="AE515" s="167">
        <f t="shared" si="1759"/>
        <v>2224</v>
      </c>
      <c r="AF515" s="167">
        <f t="shared" si="1759"/>
        <v>9028.3719999999994</v>
      </c>
      <c r="AG515" s="167">
        <f t="shared" si="1759"/>
        <v>2119</v>
      </c>
      <c r="AH515" s="167">
        <f t="shared" ref="AH515:BM515" si="1760">AH432</f>
        <v>2082</v>
      </c>
      <c r="AI515" s="167">
        <f t="shared" si="1760"/>
        <v>2065</v>
      </c>
      <c r="AJ515" s="167">
        <f t="shared" si="1760"/>
        <v>2123</v>
      </c>
      <c r="AK515" s="167">
        <f t="shared" si="1760"/>
        <v>8404</v>
      </c>
      <c r="AL515" s="167">
        <f t="shared" si="1760"/>
        <v>2149</v>
      </c>
      <c r="AM515" s="167">
        <f t="shared" si="1760"/>
        <v>2110</v>
      </c>
      <c r="AN515" s="167">
        <f t="shared" si="1760"/>
        <v>2166</v>
      </c>
      <c r="AO515" s="167">
        <f t="shared" si="1760"/>
        <v>2176</v>
      </c>
      <c r="AP515" s="167">
        <f t="shared" si="1760"/>
        <v>8601</v>
      </c>
      <c r="AQ515" s="167">
        <f t="shared" si="1760"/>
        <v>2140</v>
      </c>
      <c r="AR515" s="167">
        <f t="shared" si="1760"/>
        <v>2102</v>
      </c>
      <c r="AS515" s="167">
        <f t="shared" si="1760"/>
        <v>2156</v>
      </c>
      <c r="AT515" s="167">
        <f t="shared" si="1760"/>
        <v>2214</v>
      </c>
      <c r="AU515" s="167">
        <f t="shared" si="1760"/>
        <v>8612</v>
      </c>
      <c r="AV515" s="167">
        <f t="shared" si="1760"/>
        <v>2375</v>
      </c>
      <c r="AW515" s="167">
        <f t="shared" si="1760"/>
        <v>2335</v>
      </c>
      <c r="AX515" s="167">
        <f t="shared" si="1760"/>
        <v>2333</v>
      </c>
      <c r="AY515" s="167">
        <f t="shared" si="1760"/>
        <v>2376</v>
      </c>
      <c r="AZ515" s="167">
        <f t="shared" si="1760"/>
        <v>9419</v>
      </c>
      <c r="BA515" s="167">
        <f t="shared" si="1760"/>
        <v>2237</v>
      </c>
      <c r="BB515" s="167">
        <f t="shared" si="1760"/>
        <v>2246</v>
      </c>
      <c r="BC515" s="167">
        <f t="shared" si="1760"/>
        <v>2264</v>
      </c>
      <c r="BD515" s="167">
        <f t="shared" si="1760"/>
        <v>2445</v>
      </c>
      <c r="BE515" s="167">
        <f t="shared" si="1760"/>
        <v>9192</v>
      </c>
      <c r="BF515" s="167">
        <f t="shared" si="1760"/>
        <v>2232</v>
      </c>
      <c r="BG515" s="167">
        <f t="shared" si="1760"/>
        <v>2206</v>
      </c>
      <c r="BH515" s="167">
        <f t="shared" si="1760"/>
        <v>2285</v>
      </c>
      <c r="BI515" s="167">
        <f t="shared" si="1760"/>
        <v>2590</v>
      </c>
      <c r="BJ515" s="167">
        <f t="shared" si="1760"/>
        <v>9313</v>
      </c>
      <c r="BK515" s="167">
        <f t="shared" si="1760"/>
        <v>2341</v>
      </c>
      <c r="BL515" s="167">
        <f t="shared" si="1760"/>
        <v>2151</v>
      </c>
      <c r="BM515" s="167">
        <f t="shared" si="1760"/>
        <v>2213</v>
      </c>
      <c r="BN515" s="167">
        <f t="shared" ref="BN515:CW515" si="1761">BN432</f>
        <v>2261</v>
      </c>
      <c r="BO515" s="167">
        <f t="shared" si="1761"/>
        <v>8966</v>
      </c>
      <c r="BP515" s="167">
        <f t="shared" si="1761"/>
        <v>2240</v>
      </c>
      <c r="BQ515" s="167">
        <f t="shared" si="1761"/>
        <v>2274</v>
      </c>
      <c r="BR515" s="167">
        <f t="shared" si="1761"/>
        <v>2271</v>
      </c>
      <c r="BS515" s="167">
        <f t="shared" si="1761"/>
        <v>2456</v>
      </c>
      <c r="BT515" s="167">
        <f t="shared" si="1761"/>
        <v>9241</v>
      </c>
      <c r="BU515" s="213">
        <f t="shared" si="1761"/>
        <v>2406</v>
      </c>
      <c r="BV515" s="213">
        <f t="shared" si="1761"/>
        <v>2424</v>
      </c>
      <c r="BW515" s="213">
        <f t="shared" si="1761"/>
        <v>2405</v>
      </c>
      <c r="BX515" s="213">
        <f t="shared" si="1761"/>
        <v>2554</v>
      </c>
      <c r="BY515" s="167">
        <f t="shared" si="1761"/>
        <v>9789</v>
      </c>
      <c r="BZ515" s="213">
        <f t="shared" si="1761"/>
        <v>2526</v>
      </c>
      <c r="CA515" s="213">
        <f t="shared" si="1761"/>
        <v>2470</v>
      </c>
      <c r="CB515" s="213">
        <f t="shared" si="1761"/>
        <v>2442</v>
      </c>
      <c r="CC515" s="213">
        <f t="shared" si="1761"/>
        <v>2742</v>
      </c>
      <c r="CD515" s="167">
        <f t="shared" si="1761"/>
        <v>10180</v>
      </c>
      <c r="CE515" s="213">
        <f t="shared" si="1761"/>
        <v>2603</v>
      </c>
      <c r="CF515" s="213">
        <f t="shared" si="1761"/>
        <v>2586</v>
      </c>
      <c r="CG515" s="213">
        <f t="shared" si="1761"/>
        <v>2576</v>
      </c>
      <c r="CH515" s="213">
        <f t="shared" si="1761"/>
        <v>2771</v>
      </c>
      <c r="CI515" s="167">
        <f t="shared" si="1761"/>
        <v>10536</v>
      </c>
      <c r="CJ515" s="213">
        <f t="shared" si="1761"/>
        <v>2608</v>
      </c>
      <c r="CK515" s="213">
        <f t="shared" si="1761"/>
        <v>2562</v>
      </c>
      <c r="CL515" s="213">
        <f t="shared" ref="CL515:CP515" si="1762">CL432</f>
        <v>2589</v>
      </c>
      <c r="CM515" s="213">
        <f t="shared" si="1762"/>
        <v>2876</v>
      </c>
      <c r="CN515" s="167">
        <f t="shared" si="1762"/>
        <v>10635</v>
      </c>
      <c r="CO515" s="213">
        <f t="shared" si="1762"/>
        <v>2731</v>
      </c>
      <c r="CP515" s="213">
        <f t="shared" si="1762"/>
        <v>2656</v>
      </c>
      <c r="CQ515" s="167">
        <f t="shared" si="1761"/>
        <v>10945.588579795789</v>
      </c>
      <c r="CR515" s="167">
        <f t="shared" si="1761"/>
        <v>11217.050358444878</v>
      </c>
      <c r="CS515" s="167">
        <f t="shared" si="1761"/>
        <v>11491.634183527703</v>
      </c>
      <c r="CT515" s="167">
        <f t="shared" si="1761"/>
        <v>11781.507149435985</v>
      </c>
      <c r="CU515" s="167">
        <f t="shared" si="1761"/>
        <v>12062.40587606502</v>
      </c>
      <c r="CV515" s="167">
        <f t="shared" si="1761"/>
        <v>12347.340609898634</v>
      </c>
      <c r="CW515" s="167">
        <f t="shared" si="1761"/>
        <v>12636.875847746611</v>
      </c>
      <c r="CX515" s="159"/>
      <c r="CY515" s="159"/>
      <c r="CZ515" s="159"/>
      <c r="DA515" s="159"/>
      <c r="DB515" s="159"/>
      <c r="DC515" s="185"/>
      <c r="DD515" s="185"/>
      <c r="DE515" s="185"/>
      <c r="DF515" s="185"/>
      <c r="DO515" s="159"/>
      <c r="DP515" s="888"/>
      <c r="EU515" s="286"/>
      <c r="EV515" s="287"/>
    </row>
    <row r="516" spans="1:152">
      <c r="A516" s="159" t="s">
        <v>0</v>
      </c>
      <c r="B516" s="191"/>
      <c r="C516" s="191"/>
      <c r="D516" s="191"/>
      <c r="E516" s="191"/>
      <c r="F516" s="191"/>
      <c r="G516" s="191">
        <f t="shared" ref="G516:AL516" si="1763">G515/B515-1</f>
        <v>9.881664499349796E-2</v>
      </c>
      <c r="H516" s="191" t="e">
        <f t="shared" si="1763"/>
        <v>#DIV/0!</v>
      </c>
      <c r="I516" s="191" t="e">
        <f t="shared" si="1763"/>
        <v>#DIV/0!</v>
      </c>
      <c r="J516" s="191" t="e">
        <f t="shared" si="1763"/>
        <v>#DIV/0!</v>
      </c>
      <c r="K516" s="191">
        <f t="shared" si="1763"/>
        <v>3.1760435571688284E-3</v>
      </c>
      <c r="L516" s="191">
        <f t="shared" si="1763"/>
        <v>1.9183658978212836E-2</v>
      </c>
      <c r="M516" s="191">
        <f t="shared" si="1763"/>
        <v>1.0803193987787729E-2</v>
      </c>
      <c r="N516" s="191">
        <f t="shared" si="1763"/>
        <v>3.5444234404536923E-2</v>
      </c>
      <c r="O516" s="191">
        <f t="shared" si="1763"/>
        <v>2.7829313543599188E-2</v>
      </c>
      <c r="P516" s="191">
        <f t="shared" si="1763"/>
        <v>4.4776119402984982E-2</v>
      </c>
      <c r="Q516" s="191">
        <f t="shared" si="1763"/>
        <v>2.9842080817463978E-2</v>
      </c>
      <c r="R516" s="191">
        <f t="shared" si="1763"/>
        <v>-8.8289962825278678E-3</v>
      </c>
      <c r="S516" s="191">
        <f t="shared" si="1763"/>
        <v>-1.5061615700593389E-2</v>
      </c>
      <c r="T516" s="191">
        <f t="shared" si="1763"/>
        <v>1.2635379061371799E-2</v>
      </c>
      <c r="U516" s="191">
        <f t="shared" si="1763"/>
        <v>-2.6839826839826886E-2</v>
      </c>
      <c r="V516" s="191">
        <f t="shared" si="1763"/>
        <v>-9.69669635810122E-3</v>
      </c>
      <c r="W516" s="191">
        <f t="shared" si="1763"/>
        <v>9.3764650726679832E-4</v>
      </c>
      <c r="X516" s="191">
        <f t="shared" si="1763"/>
        <v>3.0120481927710774E-2</v>
      </c>
      <c r="Y516" s="191">
        <f t="shared" si="1763"/>
        <v>-1.2477718360071277E-2</v>
      </c>
      <c r="Z516" s="191">
        <f t="shared" si="1763"/>
        <v>2.5800711743772187E-2</v>
      </c>
      <c r="AA516" s="191">
        <f t="shared" si="1763"/>
        <v>1.1044062393259724E-2</v>
      </c>
      <c r="AB516" s="191">
        <f t="shared" si="1763"/>
        <v>8.9929742388758838E-2</v>
      </c>
      <c r="AC516" s="191">
        <f t="shared" si="1763"/>
        <v>3.238866396761142E-2</v>
      </c>
      <c r="AD516" s="191">
        <f t="shared" si="1763"/>
        <v>1.0379061371841081E-2</v>
      </c>
      <c r="AE516" s="191">
        <f t="shared" si="1763"/>
        <v>-3.5559410234171751E-2</v>
      </c>
      <c r="AF516" s="191">
        <f t="shared" si="1763"/>
        <v>1.6708558558558462E-2</v>
      </c>
      <c r="AG516" s="191">
        <f t="shared" si="1763"/>
        <v>-8.9385474860335212E-2</v>
      </c>
      <c r="AH516" s="191">
        <f t="shared" si="1763"/>
        <v>-9.2810457516339873E-2</v>
      </c>
      <c r="AI516" s="191">
        <f t="shared" si="1763"/>
        <v>-7.771326485037966E-2</v>
      </c>
      <c r="AJ516" s="191">
        <f t="shared" si="1763"/>
        <v>-4.5413669064748197E-2</v>
      </c>
      <c r="AK516" s="191">
        <f t="shared" si="1763"/>
        <v>-6.9156654156474651E-2</v>
      </c>
      <c r="AL516" s="191">
        <f t="shared" si="1763"/>
        <v>1.4157621519584662E-2</v>
      </c>
      <c r="AM516" s="191">
        <f t="shared" ref="AM516:CP516" si="1764">AM515/AH515-1</f>
        <v>1.344860710854956E-2</v>
      </c>
      <c r="AN516" s="191">
        <f t="shared" si="1764"/>
        <v>4.8910411622276051E-2</v>
      </c>
      <c r="AO516" s="191">
        <f t="shared" si="1764"/>
        <v>2.4964672633066343E-2</v>
      </c>
      <c r="AP516" s="191">
        <f t="shared" si="1764"/>
        <v>2.3441218467396441E-2</v>
      </c>
      <c r="AQ516" s="191">
        <f t="shared" si="1764"/>
        <v>-4.1879944160074789E-3</v>
      </c>
      <c r="AR516" s="191">
        <f t="shared" si="1764"/>
        <v>-3.7914691943128354E-3</v>
      </c>
      <c r="AS516" s="191">
        <f t="shared" si="1764"/>
        <v>-4.6168051708217472E-3</v>
      </c>
      <c r="AT516" s="191">
        <f t="shared" si="1764"/>
        <v>1.7463235294117752E-2</v>
      </c>
      <c r="AU516" s="191">
        <f t="shared" si="1764"/>
        <v>1.2789210556911623E-3</v>
      </c>
      <c r="AV516" s="191">
        <f t="shared" si="1764"/>
        <v>0.10981308411214963</v>
      </c>
      <c r="AW516" s="191">
        <f t="shared" si="1764"/>
        <v>0.11084681255946727</v>
      </c>
      <c r="AX516" s="191">
        <f t="shared" si="1764"/>
        <v>8.2096474953617715E-2</v>
      </c>
      <c r="AY516" s="191">
        <f t="shared" si="1764"/>
        <v>7.3170731707317138E-2</v>
      </c>
      <c r="AZ516" s="191">
        <f t="shared" si="1764"/>
        <v>9.3706456107756519E-2</v>
      </c>
      <c r="BA516" s="191">
        <f t="shared" si="1764"/>
        <v>-5.8105263157894771E-2</v>
      </c>
      <c r="BB516" s="191">
        <f t="shared" si="1764"/>
        <v>-3.8115631691648777E-2</v>
      </c>
      <c r="BC516" s="191">
        <f t="shared" si="1764"/>
        <v>-2.9575653664809298E-2</v>
      </c>
      <c r="BD516" s="191">
        <f t="shared" si="1764"/>
        <v>2.9040404040403978E-2</v>
      </c>
      <c r="BE516" s="191">
        <f t="shared" si="1764"/>
        <v>-2.4100222953604367E-2</v>
      </c>
      <c r="BF516" s="191">
        <f t="shared" si="1764"/>
        <v>-2.2351363433169569E-3</v>
      </c>
      <c r="BG516" s="191">
        <f t="shared" si="1764"/>
        <v>-1.7809439002671401E-2</v>
      </c>
      <c r="BH516" s="191">
        <f t="shared" si="1764"/>
        <v>9.2756183745583698E-3</v>
      </c>
      <c r="BI516" s="191">
        <f t="shared" si="1764"/>
        <v>5.9304703476482645E-2</v>
      </c>
      <c r="BJ516" s="191">
        <f>BJ515/BE515-1</f>
        <v>1.3163620539599741E-2</v>
      </c>
      <c r="BK516" s="191">
        <f t="shared" si="1764"/>
        <v>4.8835125448028593E-2</v>
      </c>
      <c r="BL516" s="191">
        <f t="shared" si="1764"/>
        <v>-2.4932003626473298E-2</v>
      </c>
      <c r="BM516" s="191">
        <f t="shared" si="1764"/>
        <v>-3.1509846827133425E-2</v>
      </c>
      <c r="BN516" s="191">
        <f t="shared" si="1764"/>
        <v>-0.12702702702702706</v>
      </c>
      <c r="BO516" s="191">
        <f>BO515/BJ515-1</f>
        <v>-3.7259744443251419E-2</v>
      </c>
      <c r="BP516" s="191">
        <f t="shared" si="1764"/>
        <v>-4.314395557454076E-2</v>
      </c>
      <c r="BQ516" s="191">
        <f t="shared" si="1764"/>
        <v>5.7182705718270554E-2</v>
      </c>
      <c r="BR516" s="191">
        <f t="shared" si="1764"/>
        <v>2.6208766380479087E-2</v>
      </c>
      <c r="BS516" s="191">
        <f t="shared" si="1764"/>
        <v>8.6245024325519726E-2</v>
      </c>
      <c r="BT516" s="191">
        <f>BT515/BO515-1</f>
        <v>3.0671425384787065E-2</v>
      </c>
      <c r="BU516" s="191">
        <f t="shared" si="1764"/>
        <v>7.4107142857142927E-2</v>
      </c>
      <c r="BV516" s="191">
        <f t="shared" si="1764"/>
        <v>6.5963060686015762E-2</v>
      </c>
      <c r="BW516" s="191">
        <f t="shared" si="1764"/>
        <v>5.9004843681197627E-2</v>
      </c>
      <c r="BX516" s="191">
        <f t="shared" si="1764"/>
        <v>3.9902280130293066E-2</v>
      </c>
      <c r="BY516" s="191">
        <f>BY515/BT515-1</f>
        <v>5.9300941456552403E-2</v>
      </c>
      <c r="BZ516" s="191">
        <f t="shared" si="1764"/>
        <v>4.9875311720698257E-2</v>
      </c>
      <c r="CA516" s="191">
        <f t="shared" si="1764"/>
        <v>1.8976897689769068E-2</v>
      </c>
      <c r="CB516" s="191">
        <f t="shared" si="1764"/>
        <v>1.538461538461533E-2</v>
      </c>
      <c r="CC516" s="191">
        <f t="shared" si="1764"/>
        <v>7.3610023492560739E-2</v>
      </c>
      <c r="CD516" s="191">
        <f>CD515/BY515-1</f>
        <v>3.9942792930840687E-2</v>
      </c>
      <c r="CE516" s="191">
        <f t="shared" si="1764"/>
        <v>3.0482977038796433E-2</v>
      </c>
      <c r="CF516" s="191">
        <f t="shared" si="1764"/>
        <v>4.6963562753036481E-2</v>
      </c>
      <c r="CG516" s="191">
        <f t="shared" si="1764"/>
        <v>5.4873054873054938E-2</v>
      </c>
      <c r="CH516" s="191">
        <f t="shared" si="1764"/>
        <v>1.0576221735959068E-2</v>
      </c>
      <c r="CI516" s="191">
        <f>CI515/CD515-1</f>
        <v>3.4970530451866377E-2</v>
      </c>
      <c r="CJ516" s="191">
        <f t="shared" si="1764"/>
        <v>1.9208605455243166E-3</v>
      </c>
      <c r="CK516" s="191">
        <f t="shared" si="1764"/>
        <v>-9.2807424593968069E-3</v>
      </c>
      <c r="CL516" s="191">
        <f t="shared" si="1764"/>
        <v>5.0465838509317074E-3</v>
      </c>
      <c r="CM516" s="191">
        <f t="shared" si="1764"/>
        <v>3.7892457596535589E-2</v>
      </c>
      <c r="CN516" s="191">
        <f>CN515/CI515-1</f>
        <v>9.3963553530751476E-3</v>
      </c>
      <c r="CO516" s="191">
        <f t="shared" si="1764"/>
        <v>4.7162576687116653E-2</v>
      </c>
      <c r="CP516" s="191">
        <f t="shared" si="1764"/>
        <v>3.669008587041378E-2</v>
      </c>
      <c r="CQ516" s="191">
        <f>CQ515/CN515-1</f>
        <v>2.9204379858560392E-2</v>
      </c>
      <c r="CR516" s="191">
        <f t="shared" ref="CR516:CS516" si="1765">CR515/CQ515-1</f>
        <v>2.4801021586922545E-2</v>
      </c>
      <c r="CS516" s="191">
        <f t="shared" si="1765"/>
        <v>2.4479147040300298E-2</v>
      </c>
      <c r="CT516" s="191">
        <f t="shared" ref="CT516" si="1766">CT515/CS515-1</f>
        <v>2.5224694876190057E-2</v>
      </c>
      <c r="CU516" s="191">
        <f t="shared" ref="CU516" si="1767">CU515/CT515-1</f>
        <v>2.3842342330750332E-2</v>
      </c>
      <c r="CV516" s="191">
        <f t="shared" ref="CV516:CW516" si="1768">CV515/CU515-1</f>
        <v>2.3621716659277592E-2</v>
      </c>
      <c r="CW516" s="191">
        <f t="shared" si="1768"/>
        <v>2.3449198252120995E-2</v>
      </c>
      <c r="CX516" s="159"/>
      <c r="CY516" s="159"/>
      <c r="CZ516" s="159"/>
      <c r="DA516" s="159"/>
      <c r="DB516" s="159"/>
      <c r="DC516" s="185"/>
      <c r="DD516" s="185"/>
      <c r="DE516" s="185"/>
      <c r="DF516" s="185"/>
      <c r="DO516" s="159"/>
      <c r="DP516" s="888"/>
      <c r="EU516" s="286"/>
      <c r="EV516" s="287"/>
    </row>
    <row r="517" spans="1:152">
      <c r="A517" s="159"/>
      <c r="B517" s="191"/>
      <c r="C517" s="191"/>
      <c r="D517" s="191"/>
      <c r="E517" s="191"/>
      <c r="F517" s="191"/>
      <c r="G517" s="191"/>
      <c r="H517" s="191"/>
      <c r="I517" s="191"/>
      <c r="J517" s="191"/>
      <c r="K517" s="191"/>
      <c r="L517" s="191"/>
      <c r="M517" s="191"/>
      <c r="N517" s="191"/>
      <c r="O517" s="191"/>
      <c r="P517" s="191"/>
      <c r="Q517" s="191"/>
      <c r="R517" s="191"/>
      <c r="S517" s="191"/>
      <c r="T517" s="191"/>
      <c r="U517" s="191"/>
      <c r="V517" s="191"/>
      <c r="W517" s="191"/>
      <c r="X517" s="191"/>
      <c r="Y517" s="191"/>
      <c r="Z517" s="191"/>
      <c r="AA517" s="191"/>
      <c r="AB517" s="191"/>
      <c r="AC517" s="191"/>
      <c r="AD517" s="191"/>
      <c r="AE517" s="191"/>
      <c r="AF517" s="189"/>
      <c r="AG517" s="189"/>
      <c r="AH517" s="189"/>
      <c r="AI517" s="189"/>
      <c r="AJ517" s="189"/>
      <c r="AK517" s="190"/>
      <c r="AL517" s="190"/>
      <c r="AM517" s="190"/>
      <c r="AN517" s="190"/>
      <c r="AO517" s="190"/>
      <c r="AP517" s="159"/>
      <c r="AQ517" s="159"/>
      <c r="AR517" s="159"/>
      <c r="AS517" s="159"/>
      <c r="AT517" s="159"/>
      <c r="AU517" s="159"/>
      <c r="AV517" s="159"/>
      <c r="AW517" s="159"/>
      <c r="AX517" s="159"/>
      <c r="AY517" s="159"/>
      <c r="AZ517" s="159"/>
      <c r="BA517" s="159"/>
      <c r="BB517" s="159"/>
      <c r="BC517" s="159"/>
      <c r="BD517" s="159"/>
      <c r="BE517" s="159"/>
      <c r="BF517" s="159"/>
      <c r="BG517" s="159"/>
      <c r="BH517" s="159"/>
      <c r="BI517" s="159"/>
      <c r="BJ517" s="159"/>
      <c r="BK517" s="159"/>
      <c r="BL517" s="159"/>
      <c r="BM517" s="159"/>
      <c r="BN517" s="159"/>
      <c r="BO517" s="159"/>
      <c r="BP517" s="159"/>
      <c r="BQ517" s="159"/>
      <c r="BR517" s="159"/>
      <c r="BS517" s="159"/>
      <c r="BT517" s="159"/>
      <c r="BU517" s="159"/>
      <c r="BV517" s="159"/>
      <c r="BW517" s="159"/>
      <c r="BX517" s="159"/>
      <c r="BY517" s="159"/>
      <c r="BZ517" s="159"/>
      <c r="CA517" s="159"/>
      <c r="CB517" s="159"/>
      <c r="CC517" s="159"/>
      <c r="CD517" s="159"/>
      <c r="CE517" s="159"/>
      <c r="CF517" s="159"/>
      <c r="CG517" s="159"/>
      <c r="CH517" s="159"/>
      <c r="CI517" s="159"/>
      <c r="CJ517" s="159"/>
      <c r="CK517" s="159"/>
      <c r="CL517" s="159"/>
      <c r="CM517" s="159"/>
      <c r="CN517" s="159"/>
      <c r="CO517" s="159"/>
      <c r="CP517" s="159"/>
      <c r="CQ517" s="159"/>
      <c r="CR517" s="159"/>
      <c r="CS517" s="159"/>
      <c r="CT517" s="159"/>
      <c r="CU517" s="159"/>
      <c r="CV517" s="159"/>
      <c r="CW517" s="159"/>
      <c r="CX517" s="159"/>
      <c r="CY517" s="159"/>
      <c r="CZ517" s="159"/>
      <c r="DA517" s="159"/>
      <c r="DB517" s="159"/>
      <c r="DC517" s="159"/>
      <c r="DD517" s="159"/>
      <c r="DO517" s="159"/>
      <c r="DP517" s="888"/>
      <c r="EU517" s="286"/>
      <c r="EV517" s="287"/>
    </row>
    <row r="518" spans="1:152">
      <c r="A518" s="235" t="s">
        <v>2</v>
      </c>
      <c r="B518" s="252">
        <f>B432-B374+B463+B464</f>
        <v>7690</v>
      </c>
      <c r="C518" s="252"/>
      <c r="D518" s="252"/>
      <c r="E518" s="252"/>
      <c r="F518" s="252">
        <f t="shared" ref="F518:V518" si="1769">F453</f>
        <v>1144</v>
      </c>
      <c r="G518" s="252">
        <f t="shared" si="1769"/>
        <v>4402.2000000000007</v>
      </c>
      <c r="H518" s="252">
        <f t="shared" si="1769"/>
        <v>1071</v>
      </c>
      <c r="I518" s="252">
        <f t="shared" si="1769"/>
        <v>1075.2475247524753</v>
      </c>
      <c r="J518" s="252">
        <f t="shared" si="1769"/>
        <v>1086</v>
      </c>
      <c r="K518" s="252">
        <f t="shared" si="1769"/>
        <v>1106</v>
      </c>
      <c r="L518" s="252">
        <f t="shared" si="1769"/>
        <v>4220</v>
      </c>
      <c r="M518" s="252">
        <f t="shared" si="1769"/>
        <v>1082</v>
      </c>
      <c r="N518" s="252">
        <f t="shared" si="1769"/>
        <v>1028</v>
      </c>
      <c r="O518" s="252">
        <f t="shared" si="1769"/>
        <v>1140</v>
      </c>
      <c r="P518" s="252">
        <f t="shared" si="1769"/>
        <v>1166</v>
      </c>
      <c r="Q518" s="252">
        <f t="shared" si="1769"/>
        <v>4416</v>
      </c>
      <c r="R518" s="252">
        <f t="shared" si="1769"/>
        <v>1090</v>
      </c>
      <c r="S518" s="252">
        <f t="shared" si="1769"/>
        <v>1106</v>
      </c>
      <c r="T518" s="252">
        <f t="shared" si="1769"/>
        <v>1123</v>
      </c>
      <c r="U518" s="252">
        <f t="shared" si="1769"/>
        <v>1104</v>
      </c>
      <c r="V518" s="252">
        <f t="shared" si="1769"/>
        <v>4423</v>
      </c>
      <c r="W518" s="252">
        <f t="shared" ref="W518:BG518" si="1770">W432-W374+W463+W464</f>
        <v>1132.6174999999998</v>
      </c>
      <c r="X518" s="252">
        <f t="shared" si="1770"/>
        <v>1105.9424999999999</v>
      </c>
      <c r="Y518" s="252">
        <f t="shared" si="1770"/>
        <v>1054.816</v>
      </c>
      <c r="Z518" s="252">
        <f t="shared" si="1770"/>
        <v>1065.3720000000001</v>
      </c>
      <c r="AA518" s="252">
        <f t="shared" si="1770"/>
        <v>4358.7479999999996</v>
      </c>
      <c r="AB518" s="252">
        <f t="shared" si="1770"/>
        <v>1121.614</v>
      </c>
      <c r="AC518" s="252">
        <f t="shared" si="1770"/>
        <v>1165.8599999999999</v>
      </c>
      <c r="AD518" s="252">
        <f t="shared" si="1770"/>
        <v>1153.085</v>
      </c>
      <c r="AE518" s="252">
        <f t="shared" si="1770"/>
        <v>1080.864</v>
      </c>
      <c r="AF518" s="252">
        <f t="shared" si="1770"/>
        <v>4464.7949999999992</v>
      </c>
      <c r="AG518" s="252">
        <f t="shared" si="1770"/>
        <v>1072.954</v>
      </c>
      <c r="AH518" s="252">
        <f t="shared" si="1770"/>
        <v>1086.0339999999999</v>
      </c>
      <c r="AI518" s="252">
        <f t="shared" si="1770"/>
        <v>1078.96</v>
      </c>
      <c r="AJ518" s="252">
        <f t="shared" si="1770"/>
        <v>1033.9559999999999</v>
      </c>
      <c r="AK518" s="252">
        <f t="shared" si="1770"/>
        <v>4112.3305194230634</v>
      </c>
      <c r="AL518" s="252">
        <f t="shared" si="1770"/>
        <v>2102.5</v>
      </c>
      <c r="AM518" s="252">
        <f t="shared" si="1770"/>
        <v>2068.9</v>
      </c>
      <c r="AN518" s="252">
        <f t="shared" si="1770"/>
        <v>2118</v>
      </c>
      <c r="AO518" s="252">
        <f t="shared" si="1770"/>
        <v>2135</v>
      </c>
      <c r="AP518" s="252">
        <f t="shared" si="1770"/>
        <v>8329</v>
      </c>
      <c r="AQ518" s="252">
        <f t="shared" si="1770"/>
        <v>1861</v>
      </c>
      <c r="AR518" s="252">
        <f t="shared" si="1770"/>
        <v>1674</v>
      </c>
      <c r="AS518" s="252">
        <f t="shared" si="1770"/>
        <v>1834</v>
      </c>
      <c r="AT518" s="252">
        <f t="shared" si="1770"/>
        <v>1855</v>
      </c>
      <c r="AU518" s="252">
        <f t="shared" si="1770"/>
        <v>7224</v>
      </c>
      <c r="AV518" s="252">
        <f t="shared" si="1770"/>
        <v>1998</v>
      </c>
      <c r="AW518" s="252">
        <f t="shared" si="1770"/>
        <v>2034</v>
      </c>
      <c r="AX518" s="252">
        <f t="shared" si="1770"/>
        <v>2040</v>
      </c>
      <c r="AY518" s="252">
        <f t="shared" si="1770"/>
        <v>2091</v>
      </c>
      <c r="AZ518" s="252">
        <f t="shared" si="1770"/>
        <v>8163</v>
      </c>
      <c r="BA518" s="252">
        <f t="shared" si="1770"/>
        <v>1812</v>
      </c>
      <c r="BB518" s="252">
        <f t="shared" si="1770"/>
        <v>1831</v>
      </c>
      <c r="BC518" s="252">
        <f t="shared" si="1770"/>
        <v>1811</v>
      </c>
      <c r="BD518" s="252">
        <f t="shared" si="1770"/>
        <v>1741</v>
      </c>
      <c r="BE518" s="252">
        <f t="shared" si="1770"/>
        <v>7195</v>
      </c>
      <c r="BF518" s="252">
        <f t="shared" si="1770"/>
        <v>1955</v>
      </c>
      <c r="BG518" s="252">
        <f t="shared" si="1770"/>
        <v>1981</v>
      </c>
      <c r="BH518" s="252"/>
      <c r="BI518" s="252"/>
      <c r="BJ518" s="252">
        <f t="shared" ref="BJ518:CW518" si="1771">BJ432-BJ374+BJ463+BJ464</f>
        <v>8451</v>
      </c>
      <c r="BK518" s="252">
        <f t="shared" si="1771"/>
        <v>2181</v>
      </c>
      <c r="BL518" s="252">
        <f t="shared" si="1771"/>
        <v>1966</v>
      </c>
      <c r="BM518" s="252">
        <f t="shared" si="1771"/>
        <v>2026</v>
      </c>
      <c r="BN518" s="252">
        <f t="shared" si="1771"/>
        <v>2057</v>
      </c>
      <c r="BO518" s="252">
        <f t="shared" si="1771"/>
        <v>8230</v>
      </c>
      <c r="BP518" s="252">
        <f t="shared" si="1771"/>
        <v>2088</v>
      </c>
      <c r="BQ518" s="252">
        <f t="shared" si="1771"/>
        <v>2158</v>
      </c>
      <c r="BR518" s="252">
        <f t="shared" si="1771"/>
        <v>2122</v>
      </c>
      <c r="BS518" s="252">
        <f t="shared" si="1771"/>
        <v>2300</v>
      </c>
      <c r="BT518" s="252">
        <f t="shared" si="1771"/>
        <v>8668</v>
      </c>
      <c r="BU518" s="281">
        <f t="shared" si="1771"/>
        <v>1344</v>
      </c>
      <c r="BV518" s="281">
        <f t="shared" si="1771"/>
        <v>1424</v>
      </c>
      <c r="BW518" s="281">
        <f t="shared" si="1771"/>
        <v>1431</v>
      </c>
      <c r="BX518" s="281">
        <f t="shared" si="1771"/>
        <v>1451</v>
      </c>
      <c r="BY518" s="252">
        <f t="shared" si="1771"/>
        <v>5650</v>
      </c>
      <c r="BZ518" s="281">
        <f t="shared" si="1771"/>
        <v>1403</v>
      </c>
      <c r="CA518" s="281">
        <f t="shared" si="1771"/>
        <v>1433</v>
      </c>
      <c r="CB518" s="281">
        <f t="shared" si="1771"/>
        <v>1361</v>
      </c>
      <c r="CC518" s="281">
        <f t="shared" si="1771"/>
        <v>1666</v>
      </c>
      <c r="CD518" s="252">
        <f t="shared" si="1771"/>
        <v>5863</v>
      </c>
      <c r="CE518" s="281">
        <f t="shared" si="1771"/>
        <v>1492</v>
      </c>
      <c r="CF518" s="281">
        <f t="shared" si="1771"/>
        <v>1485</v>
      </c>
      <c r="CG518" s="281">
        <f t="shared" si="1771"/>
        <v>1491</v>
      </c>
      <c r="CH518" s="281">
        <f t="shared" si="1771"/>
        <v>1434</v>
      </c>
      <c r="CI518" s="252">
        <f t="shared" si="1771"/>
        <v>5902</v>
      </c>
      <c r="CJ518" s="281">
        <f t="shared" si="1771"/>
        <v>1496</v>
      </c>
      <c r="CK518" s="281">
        <f t="shared" si="1771"/>
        <v>1540</v>
      </c>
      <c r="CL518" s="281">
        <f t="shared" ref="CL518:CP518" si="1772">CL432-CL374+CL463+CL464</f>
        <v>1550</v>
      </c>
      <c r="CM518" s="281">
        <f t="shared" si="1772"/>
        <v>1555</v>
      </c>
      <c r="CN518" s="252">
        <f t="shared" si="1772"/>
        <v>6141</v>
      </c>
      <c r="CO518" s="281">
        <f t="shared" si="1772"/>
        <v>1532</v>
      </c>
      <c r="CP518" s="281">
        <f t="shared" si="1772"/>
        <v>1554</v>
      </c>
      <c r="CQ518" s="252">
        <f t="shared" si="1771"/>
        <v>6234.2132718038574</v>
      </c>
      <c r="CR518" s="252">
        <f t="shared" si="1771"/>
        <v>6368.9886659535214</v>
      </c>
      <c r="CS518" s="252">
        <f t="shared" si="1771"/>
        <v>6509.0705708731357</v>
      </c>
      <c r="CT518" s="252">
        <f t="shared" si="1771"/>
        <v>6652.0635283229849</v>
      </c>
      <c r="CU518" s="252">
        <f t="shared" si="1771"/>
        <v>6773.33215183842</v>
      </c>
      <c r="CV518" s="252">
        <f t="shared" si="1771"/>
        <v>6907.9944016657919</v>
      </c>
      <c r="CW518" s="252">
        <f t="shared" si="1771"/>
        <v>7016.7980687012268</v>
      </c>
      <c r="CX518" s="159"/>
      <c r="CY518" s="159"/>
      <c r="CZ518" s="159"/>
      <c r="DA518" s="159"/>
      <c r="DB518" s="159"/>
      <c r="DC518" s="159"/>
      <c r="DD518" s="159"/>
      <c r="EU518" s="286"/>
      <c r="EV518" s="287"/>
    </row>
    <row r="519" spans="1:152">
      <c r="A519" s="226" t="s">
        <v>74</v>
      </c>
      <c r="B519" s="204">
        <f>B456</f>
        <v>0.54824494423478443</v>
      </c>
      <c r="C519" s="204"/>
      <c r="D519" s="204"/>
      <c r="E519" s="204"/>
      <c r="F519" s="204"/>
      <c r="G519" s="204">
        <f>G456</f>
        <v>0.53320035437777991</v>
      </c>
      <c r="H519" s="204"/>
      <c r="I519" s="204"/>
      <c r="J519" s="204"/>
      <c r="K519" s="204"/>
      <c r="L519" s="204">
        <f>L456</f>
        <v>0.50909949293388912</v>
      </c>
      <c r="M519" s="204"/>
      <c r="N519" s="204"/>
      <c r="O519" s="204"/>
      <c r="P519" s="204"/>
      <c r="Q519" s="204">
        <f>Q456</f>
        <v>0.52347270082752773</v>
      </c>
      <c r="R519" s="204"/>
      <c r="S519" s="204"/>
      <c r="T519" s="204"/>
      <c r="U519" s="204"/>
      <c r="V519" s="204">
        <f>V456</f>
        <v>0.52139769948442571</v>
      </c>
      <c r="W519" s="204"/>
      <c r="X519" s="204"/>
      <c r="Y519" s="204"/>
      <c r="Z519" s="204"/>
      <c r="AA519" s="204">
        <f>AA456</f>
        <v>0.51236288503912131</v>
      </c>
      <c r="AB519" s="204"/>
      <c r="AC519" s="204"/>
      <c r="AD519" s="204"/>
      <c r="AE519" s="204"/>
      <c r="AF519" s="204">
        <f>AF456</f>
        <v>0.53895781862484238</v>
      </c>
      <c r="AG519" s="204"/>
      <c r="AH519" s="204"/>
      <c r="AI519" s="204"/>
      <c r="AJ519" s="204"/>
      <c r="AK519" s="204">
        <f>AK456</f>
        <v>0.52955291265114623</v>
      </c>
      <c r="AL519" s="204"/>
      <c r="AM519" s="204"/>
      <c r="AN519" s="204"/>
      <c r="AO519" s="204"/>
      <c r="AP519" s="204">
        <f>AP456</f>
        <v>0.56161048468152208</v>
      </c>
      <c r="AQ519" s="204"/>
      <c r="AR519" s="204"/>
      <c r="AS519" s="204"/>
      <c r="AT519" s="204"/>
      <c r="AU519" s="204">
        <f>AU456</f>
        <v>0.57718899599820339</v>
      </c>
      <c r="AV519" s="204"/>
      <c r="AW519" s="204"/>
      <c r="AX519" s="204"/>
      <c r="AY519" s="204"/>
      <c r="AZ519" s="204">
        <f t="shared" ref="AZ519:BG519" si="1773">AZ456</f>
        <v>0.50572634116937909</v>
      </c>
      <c r="BA519" s="204">
        <f t="shared" si="1773"/>
        <v>0.51515151515151514</v>
      </c>
      <c r="BB519" s="204">
        <f t="shared" si="1773"/>
        <v>0.50024838549428718</v>
      </c>
      <c r="BC519" s="204">
        <f t="shared" si="1773"/>
        <v>0.51652688702516036</v>
      </c>
      <c r="BD519" s="204">
        <f t="shared" si="1773"/>
        <v>0.37548828125</v>
      </c>
      <c r="BE519" s="204">
        <f t="shared" si="1773"/>
        <v>0.47632622706990579</v>
      </c>
      <c r="BF519" s="204">
        <f t="shared" si="1773"/>
        <v>0.5089881869542886</v>
      </c>
      <c r="BG519" s="204">
        <f t="shared" si="1773"/>
        <v>0.513555787278415</v>
      </c>
      <c r="BH519" s="204"/>
      <c r="BI519" s="204"/>
      <c r="BJ519" s="204">
        <f t="shared" ref="BJ519:CW519" si="1774">BJ456</f>
        <v>0.50352699756316532</v>
      </c>
      <c r="BK519" s="204">
        <f t="shared" si="1774"/>
        <v>0.49587628865979383</v>
      </c>
      <c r="BL519" s="204">
        <f t="shared" si="1774"/>
        <v>0.49789473684210528</v>
      </c>
      <c r="BM519" s="204">
        <f t="shared" si="1774"/>
        <v>0.49845360824742269</v>
      </c>
      <c r="BN519" s="204">
        <f t="shared" si="1774"/>
        <v>0.48277634961439586</v>
      </c>
      <c r="BO519" s="204">
        <f t="shared" si="1774"/>
        <v>0.49372168284789641</v>
      </c>
      <c r="BP519" s="204">
        <f t="shared" si="1774"/>
        <v>0.49664082687338501</v>
      </c>
      <c r="BQ519" s="204">
        <f t="shared" si="1774"/>
        <v>0.51221995926680242</v>
      </c>
      <c r="BR519" s="204">
        <f t="shared" si="1774"/>
        <v>0.48825587206396803</v>
      </c>
      <c r="BS519" s="204">
        <f t="shared" si="1774"/>
        <v>0.46975806451612906</v>
      </c>
      <c r="BT519" s="204">
        <f t="shared" si="1774"/>
        <v>0.49162861491628612</v>
      </c>
      <c r="BU519" s="185">
        <f t="shared" si="1774"/>
        <v>0.53001715265866212</v>
      </c>
      <c r="BV519" s="185">
        <f t="shared" si="1774"/>
        <v>0.56191004997223759</v>
      </c>
      <c r="BW519" s="185">
        <f t="shared" si="1774"/>
        <v>0.55134541460735864</v>
      </c>
      <c r="BX519" s="185">
        <f t="shared" si="1774"/>
        <v>0.54027397260273968</v>
      </c>
      <c r="BY519" s="204">
        <f t="shared" si="1774"/>
        <v>0.54599777654252357</v>
      </c>
      <c r="BZ519" s="185">
        <f t="shared" si="1774"/>
        <v>0.53201970443349755</v>
      </c>
      <c r="CA519" s="185">
        <f t="shared" si="1774"/>
        <v>0.54664484451718498</v>
      </c>
      <c r="CB519" s="185">
        <f t="shared" si="1774"/>
        <v>0.50352303523035236</v>
      </c>
      <c r="CC519" s="185">
        <f t="shared" si="1774"/>
        <v>0.67843388960205386</v>
      </c>
      <c r="CD519" s="204">
        <f t="shared" si="1774"/>
        <v>0.51804779079827812</v>
      </c>
      <c r="CE519" s="185">
        <f t="shared" si="1774"/>
        <v>0.66923076923076918</v>
      </c>
      <c r="CF519" s="185">
        <f t="shared" si="1774"/>
        <v>0.66879795396419439</v>
      </c>
      <c r="CG519" s="185">
        <f t="shared" si="1774"/>
        <v>0.669220945083014</v>
      </c>
      <c r="CH519" s="185">
        <f t="shared" si="1774"/>
        <v>0.62476190476190474</v>
      </c>
      <c r="CI519" s="204">
        <f t="shared" si="1774"/>
        <v>0.52323030534696235</v>
      </c>
      <c r="CJ519" s="185">
        <f t="shared" si="1774"/>
        <v>0.69453587886767609</v>
      </c>
      <c r="CK519" s="185">
        <f t="shared" si="1774"/>
        <v>0.70900842514581985</v>
      </c>
      <c r="CL519" s="185">
        <f t="shared" ref="CL519:CP519" si="1775">CL456</f>
        <v>0.70280612244897955</v>
      </c>
      <c r="CM519" s="185">
        <f t="shared" si="1775"/>
        <v>0.67374999999999996</v>
      </c>
      <c r="CN519" s="204">
        <f t="shared" si="1775"/>
        <v>0.53154130201925986</v>
      </c>
      <c r="CO519" s="185">
        <f t="shared" si="1775"/>
        <v>0.69910941475826971</v>
      </c>
      <c r="CP519" s="185">
        <f t="shared" si="1775"/>
        <v>0.70959595959595956</v>
      </c>
      <c r="CQ519" s="204">
        <f t="shared" si="1774"/>
        <v>0.52277529777704013</v>
      </c>
      <c r="CR519" s="204">
        <f t="shared" si="1774"/>
        <v>0.5174451312953593</v>
      </c>
      <c r="CS519" s="204">
        <f t="shared" si="1774"/>
        <v>0.51238583692942585</v>
      </c>
      <c r="CT519" s="204">
        <f t="shared" si="1774"/>
        <v>0.50754716271909439</v>
      </c>
      <c r="CU519" s="204">
        <f t="shared" si="1774"/>
        <v>0.50168334491768818</v>
      </c>
      <c r="CV519" s="204">
        <f t="shared" si="1774"/>
        <v>0.49539834013078698</v>
      </c>
      <c r="CW519" s="204">
        <f t="shared" si="1774"/>
        <v>0.48867797934448104</v>
      </c>
      <c r="CX519" s="159"/>
      <c r="CY519" s="159"/>
      <c r="CZ519" s="159"/>
      <c r="DA519" s="159"/>
      <c r="DB519" s="159"/>
      <c r="DC519" s="159"/>
      <c r="DD519" s="159"/>
      <c r="EF519" s="221"/>
      <c r="EK519" s="221"/>
      <c r="EL519" s="221"/>
      <c r="EM519" s="221"/>
      <c r="EN519" s="221"/>
      <c r="EO519" s="221"/>
      <c r="EU519" s="286"/>
      <c r="EV519" s="287"/>
    </row>
    <row r="520" spans="1:152">
      <c r="A520" s="226"/>
      <c r="B520" s="204"/>
      <c r="C520" s="249"/>
      <c r="D520" s="249"/>
      <c r="E520" s="249"/>
      <c r="F520" s="249">
        <f>F453-F518</f>
        <v>0</v>
      </c>
      <c r="G520" s="249"/>
      <c r="H520" s="249"/>
      <c r="I520" s="249"/>
      <c r="J520" s="249"/>
      <c r="K520" s="249"/>
      <c r="L520" s="249"/>
      <c r="M520" s="249">
        <f t="shared" ref="M520:AZ520" si="1776">M453-M518</f>
        <v>0</v>
      </c>
      <c r="N520" s="249">
        <f t="shared" si="1776"/>
        <v>0</v>
      </c>
      <c r="O520" s="249">
        <f t="shared" si="1776"/>
        <v>0</v>
      </c>
      <c r="P520" s="249">
        <f t="shared" si="1776"/>
        <v>0</v>
      </c>
      <c r="Q520" s="249">
        <f t="shared" si="1776"/>
        <v>0</v>
      </c>
      <c r="R520" s="249">
        <f t="shared" si="1776"/>
        <v>0</v>
      </c>
      <c r="S520" s="249">
        <f t="shared" si="1776"/>
        <v>0</v>
      </c>
      <c r="T520" s="249">
        <f t="shared" si="1776"/>
        <v>0</v>
      </c>
      <c r="U520" s="249">
        <f t="shared" si="1776"/>
        <v>0</v>
      </c>
      <c r="V520" s="249">
        <f t="shared" si="1776"/>
        <v>0</v>
      </c>
      <c r="W520" s="249">
        <f t="shared" si="1776"/>
        <v>0.38250000000016371</v>
      </c>
      <c r="X520" s="249">
        <f t="shared" si="1776"/>
        <v>5.7500000000118234E-2</v>
      </c>
      <c r="Y520" s="249">
        <f t="shared" si="1776"/>
        <v>0.18399999999996908</v>
      </c>
      <c r="Z520" s="249">
        <f t="shared" si="1776"/>
        <v>-0.37200000000007094</v>
      </c>
      <c r="AA520" s="249">
        <f t="shared" si="1776"/>
        <v>0.25200000000040745</v>
      </c>
      <c r="AB520" s="249">
        <f t="shared" si="1776"/>
        <v>0.38599999999996726</v>
      </c>
      <c r="AC520" s="249">
        <f t="shared" si="1776"/>
        <v>-0.85999999999989996</v>
      </c>
      <c r="AD520" s="249">
        <f t="shared" si="1776"/>
        <v>0.91499999999996362</v>
      </c>
      <c r="AE520" s="249">
        <f t="shared" si="1776"/>
        <v>0.13599999999996726</v>
      </c>
      <c r="AF520" s="249">
        <f t="shared" si="1776"/>
        <v>57.205000000000837</v>
      </c>
      <c r="AG520" s="249">
        <f t="shared" si="1776"/>
        <v>-365.20799999999986</v>
      </c>
      <c r="AH520" s="249">
        <f t="shared" si="1776"/>
        <v>-434.36799999999982</v>
      </c>
      <c r="AI520" s="249">
        <f t="shared" si="1776"/>
        <v>-426.42000000000007</v>
      </c>
      <c r="AJ520" s="249">
        <f t="shared" si="1776"/>
        <v>-337.61199999999985</v>
      </c>
      <c r="AK520" s="249">
        <f t="shared" si="1776"/>
        <v>0</v>
      </c>
      <c r="AL520" s="249">
        <f t="shared" si="1776"/>
        <v>-1389.0319999999999</v>
      </c>
      <c r="AM520" s="249">
        <f t="shared" si="1776"/>
        <v>-1419.02</v>
      </c>
      <c r="AN520" s="249">
        <f t="shared" si="1776"/>
        <v>-1429</v>
      </c>
      <c r="AO520" s="249">
        <f t="shared" si="1776"/>
        <v>-1459</v>
      </c>
      <c r="AP520" s="249">
        <f t="shared" si="1776"/>
        <v>-3903</v>
      </c>
      <c r="AQ520" s="249">
        <f t="shared" si="1776"/>
        <v>-700</v>
      </c>
      <c r="AR520" s="249">
        <f t="shared" si="1776"/>
        <v>-664</v>
      </c>
      <c r="AS520" s="249">
        <f t="shared" si="1776"/>
        <v>-690</v>
      </c>
      <c r="AT520" s="249">
        <f t="shared" si="1776"/>
        <v>-668</v>
      </c>
      <c r="AU520" s="249">
        <f t="shared" si="1776"/>
        <v>-2722</v>
      </c>
      <c r="AV520" s="249">
        <f t="shared" si="1776"/>
        <v>-974</v>
      </c>
      <c r="AW520" s="249">
        <f t="shared" si="1776"/>
        <v>-1028</v>
      </c>
      <c r="AX520" s="249">
        <f t="shared" si="1776"/>
        <v>-921</v>
      </c>
      <c r="AY520" s="249">
        <f t="shared" si="1776"/>
        <v>-1045</v>
      </c>
      <c r="AZ520" s="249">
        <f t="shared" si="1776"/>
        <v>-3968</v>
      </c>
      <c r="BA520" s="159"/>
      <c r="BB520" s="159"/>
      <c r="BC520" s="159"/>
      <c r="BD520" s="159"/>
      <c r="BE520" s="159"/>
      <c r="BF520" s="159"/>
      <c r="BG520" s="159"/>
      <c r="BH520" s="159"/>
      <c r="BI520" s="159"/>
      <c r="BJ520" s="159"/>
      <c r="BK520" s="159"/>
      <c r="BL520" s="159"/>
      <c r="BM520" s="159"/>
      <c r="BN520" s="159"/>
      <c r="BO520" s="159"/>
      <c r="BP520" s="159"/>
      <c r="BQ520" s="159"/>
      <c r="BR520" s="159"/>
      <c r="BS520" s="159"/>
      <c r="BT520" s="159"/>
      <c r="BU520" s="159"/>
      <c r="BV520" s="159"/>
      <c r="BW520" s="159"/>
      <c r="BX520" s="159"/>
      <c r="BY520" s="159"/>
      <c r="BZ520" s="159"/>
      <c r="CA520" s="159"/>
      <c r="CB520" s="159"/>
      <c r="CC520" s="159"/>
      <c r="CD520" s="159"/>
      <c r="CE520" s="159"/>
      <c r="CF520" s="159"/>
      <c r="CG520" s="159"/>
      <c r="CH520" s="159"/>
      <c r="CI520" s="159"/>
      <c r="CJ520" s="159"/>
      <c r="CK520" s="159"/>
      <c r="CL520" s="159"/>
      <c r="CM520" s="159"/>
      <c r="CN520" s="159"/>
      <c r="CO520" s="159"/>
      <c r="CP520" s="159"/>
      <c r="CQ520" s="159"/>
      <c r="CR520" s="159"/>
      <c r="CS520" s="159"/>
      <c r="CT520" s="159"/>
      <c r="CU520" s="159"/>
      <c r="CV520" s="159"/>
      <c r="CW520" s="159"/>
      <c r="CX520" s="159"/>
      <c r="CY520" s="159"/>
      <c r="CZ520" s="159"/>
      <c r="DA520" s="159"/>
      <c r="DB520" s="159"/>
      <c r="DC520" s="159"/>
      <c r="DD520" s="159"/>
      <c r="EP520" s="221"/>
      <c r="EU520" s="286"/>
      <c r="EV520" s="287"/>
    </row>
    <row r="521" spans="1:152">
      <c r="A521" s="235" t="s">
        <v>75</v>
      </c>
      <c r="B521" s="252">
        <f>B518-B463</f>
        <v>6796</v>
      </c>
      <c r="C521" s="252"/>
      <c r="D521" s="252"/>
      <c r="E521" s="252"/>
      <c r="F521" s="252"/>
      <c r="G521" s="252">
        <f>G518-G463</f>
        <v>3210.0000000000009</v>
      </c>
      <c r="H521" s="252"/>
      <c r="I521" s="252"/>
      <c r="J521" s="252"/>
      <c r="K521" s="252"/>
      <c r="L521" s="252">
        <f>L518-L463</f>
        <v>3055</v>
      </c>
      <c r="M521" s="252"/>
      <c r="N521" s="252"/>
      <c r="O521" s="252"/>
      <c r="P521" s="252"/>
      <c r="Q521" s="252">
        <f>Q518-Q463</f>
        <v>3343</v>
      </c>
      <c r="R521" s="252"/>
      <c r="S521" s="252"/>
      <c r="T521" s="252"/>
      <c r="U521" s="252"/>
      <c r="V521" s="252">
        <f>V518-V463</f>
        <v>3232</v>
      </c>
      <c r="W521" s="252"/>
      <c r="X521" s="252"/>
      <c r="Y521" s="252"/>
      <c r="Z521" s="252"/>
      <c r="AA521" s="252">
        <f>AA518-AA463</f>
        <v>2996.7479999999996</v>
      </c>
      <c r="AB521" s="252"/>
      <c r="AC521" s="252"/>
      <c r="AD521" s="252"/>
      <c r="AE521" s="252"/>
      <c r="AF521" s="252">
        <f>AF518-AF463</f>
        <v>3098.7949999999992</v>
      </c>
      <c r="AG521" s="252"/>
      <c r="AH521" s="252"/>
      <c r="AI521" s="252"/>
      <c r="AJ521" s="252"/>
      <c r="AK521" s="252">
        <f>AK518-AK463</f>
        <v>2685.3305194230634</v>
      </c>
      <c r="AL521" s="252"/>
      <c r="AM521" s="252"/>
      <c r="AN521" s="252"/>
      <c r="AO521" s="252"/>
      <c r="AP521" s="252">
        <f>AP518-AP463</f>
        <v>7338</v>
      </c>
      <c r="AQ521" s="252"/>
      <c r="AR521" s="252"/>
      <c r="AS521" s="252"/>
      <c r="AT521" s="252"/>
      <c r="AU521" s="252">
        <f>AU518-AU463</f>
        <v>6172</v>
      </c>
      <c r="AV521" s="252"/>
      <c r="AW521" s="252"/>
      <c r="AX521" s="252"/>
      <c r="AY521" s="252"/>
      <c r="AZ521" s="252">
        <f>AZ518-AZ463</f>
        <v>7142</v>
      </c>
      <c r="BA521" s="252"/>
      <c r="BB521" s="252"/>
      <c r="BC521" s="252"/>
      <c r="BD521" s="252"/>
      <c r="BE521" s="252">
        <f>BE518-BE463</f>
        <v>6127</v>
      </c>
      <c r="BF521" s="252"/>
      <c r="BG521" s="252"/>
      <c r="BH521" s="252"/>
      <c r="BI521" s="252"/>
      <c r="BJ521" s="252">
        <f>BJ518-BJ463</f>
        <v>7072</v>
      </c>
      <c r="BK521" s="252"/>
      <c r="BL521" s="252"/>
      <c r="BM521" s="252"/>
      <c r="BN521" s="252"/>
      <c r="BO521" s="252">
        <f>BO518-BO463</f>
        <v>6817</v>
      </c>
      <c r="BP521" s="252"/>
      <c r="BQ521" s="252"/>
      <c r="BR521" s="252"/>
      <c r="BS521" s="252"/>
      <c r="BT521" s="252">
        <f>BT518-BT463</f>
        <v>7148</v>
      </c>
      <c r="BU521" s="281"/>
      <c r="BV521" s="281"/>
      <c r="BW521" s="281"/>
      <c r="BX521" s="281"/>
      <c r="BY521" s="252">
        <f>BY518-BY463</f>
        <v>4242</v>
      </c>
      <c r="BZ521" s="281"/>
      <c r="CA521" s="281"/>
      <c r="CB521" s="281"/>
      <c r="CC521" s="281"/>
      <c r="CD521" s="252">
        <f>CD518-CD463</f>
        <v>4338</v>
      </c>
      <c r="CE521" s="281"/>
      <c r="CF521" s="281"/>
      <c r="CG521" s="281"/>
      <c r="CH521" s="281"/>
      <c r="CI521" s="252">
        <f>CI518-CI463</f>
        <v>4439</v>
      </c>
      <c r="CJ521" s="281"/>
      <c r="CK521" s="281"/>
      <c r="CL521" s="281"/>
      <c r="CM521" s="281"/>
      <c r="CN521" s="252">
        <f>CN518-CN463</f>
        <v>4647</v>
      </c>
      <c r="CO521" s="281"/>
      <c r="CP521" s="281"/>
      <c r="CQ521" s="252">
        <f t="shared" ref="CQ521:CW521" si="1777">CQ518-CQ463</f>
        <v>4828.0532718038576</v>
      </c>
      <c r="CR521" s="252">
        <f t="shared" si="1777"/>
        <v>4967.6450057045968</v>
      </c>
      <c r="CS521" s="252">
        <f t="shared" si="1777"/>
        <v>5105.52890862616</v>
      </c>
      <c r="CT521" s="252">
        <f t="shared" si="1777"/>
        <v>5240.1905142496016</v>
      </c>
      <c r="CU521" s="252">
        <f t="shared" si="1777"/>
        <v>5424.1729867245203</v>
      </c>
      <c r="CV521" s="252">
        <f t="shared" si="1777"/>
        <v>5607.6504980918744</v>
      </c>
      <c r="CW521" s="252">
        <f t="shared" si="1777"/>
        <v>5790.1966321136952</v>
      </c>
      <c r="CX521" s="159"/>
      <c r="CY521" s="159"/>
      <c r="CZ521" s="159"/>
      <c r="DA521" s="159"/>
      <c r="DB521" s="159"/>
      <c r="DC521" s="159"/>
      <c r="DD521" s="159"/>
      <c r="ED521" s="221"/>
      <c r="EE521" s="221"/>
      <c r="EQ521" s="221"/>
      <c r="ER521" s="221"/>
      <c r="ES521" s="221"/>
      <c r="EU521" s="286"/>
      <c r="EV521" s="287"/>
    </row>
    <row r="522" spans="1:152">
      <c r="A522" s="226" t="s">
        <v>76</v>
      </c>
      <c r="B522" s="204">
        <f>B473</f>
        <v>0.43093471914437076</v>
      </c>
      <c r="C522" s="204"/>
      <c r="D522" s="204"/>
      <c r="E522" s="204"/>
      <c r="F522" s="204"/>
      <c r="G522" s="204">
        <f>G473</f>
        <v>0.40656669503210313</v>
      </c>
      <c r="H522" s="204"/>
      <c r="I522" s="204"/>
      <c r="J522" s="204"/>
      <c r="K522" s="204"/>
      <c r="L522" s="204">
        <f>L473</f>
        <v>0.36038072459988735</v>
      </c>
      <c r="M522" s="204"/>
      <c r="N522" s="204"/>
      <c r="O522" s="204"/>
      <c r="P522" s="204"/>
      <c r="Q522" s="204">
        <f>Q473</f>
        <v>0.38777538954433194</v>
      </c>
      <c r="R522" s="204"/>
      <c r="S522" s="204"/>
      <c r="T522" s="204"/>
      <c r="U522" s="204"/>
      <c r="V522" s="204">
        <f>V473</f>
        <v>0.37303923560197816</v>
      </c>
      <c r="W522" s="204"/>
      <c r="X522" s="204"/>
      <c r="Y522" s="204"/>
      <c r="Z522" s="204"/>
      <c r="AA522" s="204">
        <f>AA473</f>
        <v>0.34406189578219376</v>
      </c>
      <c r="AB522" s="204"/>
      <c r="AC522" s="204"/>
      <c r="AD522" s="204"/>
      <c r="AE522" s="204"/>
      <c r="AF522" s="204">
        <f>AF473</f>
        <v>0.36568972895044849</v>
      </c>
      <c r="AG522" s="204"/>
      <c r="AH522" s="204"/>
      <c r="AI522" s="204"/>
      <c r="AJ522" s="204"/>
      <c r="AK522" s="204">
        <f>AK473</f>
        <v>0.33488498639400244</v>
      </c>
      <c r="AL522" s="204"/>
      <c r="AM522" s="204"/>
      <c r="AN522" s="204"/>
      <c r="AO522" s="204"/>
      <c r="AP522" s="204">
        <f>AP473</f>
        <v>0.38800541978166209</v>
      </c>
      <c r="AQ522" s="204"/>
      <c r="AR522" s="204"/>
      <c r="AS522" s="204"/>
      <c r="AT522" s="204"/>
      <c r="AU522" s="204">
        <f>AU473</f>
        <v>0.38449782438417435</v>
      </c>
      <c r="AV522" s="204"/>
      <c r="AW522" s="204"/>
      <c r="AX522" s="204"/>
      <c r="AY522" s="204"/>
      <c r="AZ522" s="204">
        <f>AZ473</f>
        <v>0.33550961189698947</v>
      </c>
      <c r="BA522" s="204"/>
      <c r="BB522" s="204"/>
      <c r="BC522" s="204"/>
      <c r="BD522" s="204"/>
      <c r="BE522" s="204">
        <f>BE473</f>
        <v>0.33279623202776398</v>
      </c>
      <c r="BF522" s="204"/>
      <c r="BG522" s="204"/>
      <c r="BH522" s="204"/>
      <c r="BI522" s="204"/>
      <c r="BJ522" s="204">
        <f>BJ473</f>
        <v>0.32217519558804669</v>
      </c>
      <c r="BK522" s="204"/>
      <c r="BL522" s="204"/>
      <c r="BM522" s="204"/>
      <c r="BN522" s="204"/>
      <c r="BO522" s="204">
        <f>BO473</f>
        <v>0.29566343042071197</v>
      </c>
      <c r="BP522" s="204"/>
      <c r="BQ522" s="204"/>
      <c r="BR522" s="204"/>
      <c r="BS522" s="204"/>
      <c r="BT522" s="204">
        <f>BT473</f>
        <v>0.25966575205786979</v>
      </c>
      <c r="BU522" s="185"/>
      <c r="BV522" s="185"/>
      <c r="BW522" s="185"/>
      <c r="BX522" s="185"/>
      <c r="BY522" s="204">
        <f>BY473</f>
        <v>0.26499520153550865</v>
      </c>
      <c r="BZ522" s="185"/>
      <c r="CA522" s="185"/>
      <c r="CB522" s="185"/>
      <c r="CC522" s="185"/>
      <c r="CD522" s="204">
        <f>CD473</f>
        <v>0.22048530097993468</v>
      </c>
      <c r="CE522" s="185"/>
      <c r="CF522" s="185"/>
      <c r="CG522" s="185"/>
      <c r="CH522" s="185"/>
      <c r="CI522" s="204">
        <f>CI473</f>
        <v>0.26206585475868288</v>
      </c>
      <c r="CJ522" s="185"/>
      <c r="CK522" s="185"/>
      <c r="CL522" s="185"/>
      <c r="CM522" s="185"/>
      <c r="CN522" s="204">
        <f>CN473</f>
        <v>0.28287701974865348</v>
      </c>
      <c r="CO522" s="185"/>
      <c r="CP522" s="185"/>
      <c r="CQ522" s="204">
        <f t="shared" ref="CQ522:CW522" si="1778">CQ473</f>
        <v>0.31023230641123101</v>
      </c>
      <c r="CR522" s="204">
        <f t="shared" si="1778"/>
        <v>0.3171364722812105</v>
      </c>
      <c r="CS522" s="204">
        <f t="shared" si="1778"/>
        <v>0.32243476068583116</v>
      </c>
      <c r="CT522" s="204">
        <f t="shared" si="1778"/>
        <v>0.32834231642153533</v>
      </c>
      <c r="CU522" s="204">
        <f t="shared" si="1778"/>
        <v>0.33580002735195985</v>
      </c>
      <c r="CV522" s="204">
        <f t="shared" si="1778"/>
        <v>0.34202674537838801</v>
      </c>
      <c r="CW522" s="204">
        <f t="shared" si="1778"/>
        <v>0.35090606284954401</v>
      </c>
      <c r="CX522" s="159"/>
      <c r="CY522" s="159"/>
      <c r="CZ522" s="159"/>
      <c r="DA522" s="159"/>
      <c r="DB522" s="159"/>
      <c r="DC522" s="159"/>
      <c r="DD522" s="159"/>
      <c r="EP522" s="221"/>
    </row>
    <row r="523" spans="1:152">
      <c r="EU523" s="286"/>
      <c r="EV523" s="287"/>
    </row>
    <row r="524" spans="1:152">
      <c r="EU524" s="286"/>
      <c r="EV524" s="287"/>
    </row>
    <row r="525" spans="1:152">
      <c r="A525" s="226" t="s">
        <v>77</v>
      </c>
      <c r="B525" s="185"/>
      <c r="C525" s="185"/>
      <c r="D525" s="185"/>
      <c r="E525" s="185"/>
      <c r="F525" s="185"/>
      <c r="G525" s="185"/>
      <c r="H525" s="185"/>
      <c r="I525" s="185"/>
      <c r="J525" s="185"/>
      <c r="K525" s="185"/>
      <c r="L525" s="185"/>
      <c r="M525" s="185"/>
      <c r="N525" s="185"/>
      <c r="O525" s="185"/>
      <c r="P525" s="185"/>
      <c r="Q525" s="185">
        <v>0.3</v>
      </c>
      <c r="R525" s="185"/>
      <c r="S525" s="185"/>
      <c r="T525" s="185"/>
      <c r="U525" s="185"/>
      <c r="V525" s="185">
        <f>Q525+3%</f>
        <v>0.32999999999999996</v>
      </c>
      <c r="W525" s="185"/>
      <c r="X525" s="185"/>
      <c r="Y525" s="185"/>
      <c r="Z525" s="185"/>
      <c r="AA525" s="185">
        <f>V525+3%</f>
        <v>0.36</v>
      </c>
      <c r="AB525" s="185"/>
      <c r="AC525" s="185"/>
      <c r="AD525" s="185"/>
      <c r="AE525" s="185"/>
      <c r="AF525" s="185">
        <f>AA525+2%</f>
        <v>0.38</v>
      </c>
      <c r="AG525" s="185"/>
      <c r="AH525" s="185"/>
      <c r="AI525" s="185"/>
      <c r="AJ525" s="185"/>
      <c r="AK525" s="267">
        <f>AF525+2%</f>
        <v>0.4</v>
      </c>
      <c r="AL525" s="185"/>
      <c r="AM525" s="185"/>
      <c r="AN525" s="185"/>
      <c r="AO525" s="185"/>
      <c r="AP525" s="267">
        <f>AK525+2%</f>
        <v>0.42000000000000004</v>
      </c>
      <c r="AQ525" s="185"/>
      <c r="AR525" s="185"/>
      <c r="AS525" s="185"/>
      <c r="AT525" s="185">
        <f>AT387/AS387-1</f>
        <v>4.663212435233155E-2</v>
      </c>
      <c r="AU525" s="267">
        <f>AP525+2%</f>
        <v>0.44000000000000006</v>
      </c>
      <c r="AV525" s="185"/>
      <c r="AW525" s="185"/>
      <c r="AX525" s="185"/>
      <c r="AY525" s="185"/>
      <c r="AZ525" s="267">
        <f>AU525+2%</f>
        <v>0.46000000000000008</v>
      </c>
      <c r="BA525" s="185"/>
      <c r="BB525" s="185"/>
      <c r="BC525" s="185"/>
      <c r="BD525" s="185"/>
      <c r="BE525" s="267">
        <f>AZ525+2%</f>
        <v>0.48000000000000009</v>
      </c>
      <c r="BF525" s="185"/>
      <c r="BG525" s="185"/>
      <c r="BH525" s="185"/>
      <c r="BI525" s="185"/>
      <c r="BJ525" s="267">
        <f>BE525+2%</f>
        <v>0.50000000000000011</v>
      </c>
      <c r="BK525" s="185"/>
      <c r="BL525" s="185"/>
      <c r="BM525" s="185"/>
      <c r="BN525" s="185"/>
      <c r="BO525" s="267">
        <f>BJ525+2%</f>
        <v>0.52000000000000013</v>
      </c>
      <c r="BP525" s="185"/>
      <c r="BQ525" s="185"/>
      <c r="BR525" s="185"/>
      <c r="BS525" s="185"/>
      <c r="BT525" s="267">
        <f>BO525+2%</f>
        <v>0.54000000000000015</v>
      </c>
      <c r="BU525" s="185"/>
      <c r="BV525" s="185"/>
      <c r="BW525" s="185"/>
      <c r="BX525" s="185"/>
      <c r="BY525" s="267">
        <f>BT525+2%</f>
        <v>0.56000000000000016</v>
      </c>
      <c r="BZ525" s="185"/>
      <c r="CA525" s="185"/>
      <c r="CB525" s="185"/>
      <c r="CC525" s="185"/>
      <c r="CD525" s="267">
        <f>BY525+2%</f>
        <v>0.58000000000000018</v>
      </c>
      <c r="CE525" s="185"/>
      <c r="CF525" s="185"/>
      <c r="CG525" s="185"/>
      <c r="CH525" s="185"/>
      <c r="CI525" s="267">
        <f>CD525+2%</f>
        <v>0.6000000000000002</v>
      </c>
      <c r="CJ525" s="185"/>
      <c r="CK525" s="185"/>
      <c r="CL525" s="185"/>
      <c r="CM525" s="185"/>
      <c r="CN525" s="267">
        <f>CI525+2%</f>
        <v>0.62000000000000022</v>
      </c>
      <c r="CO525" s="185"/>
      <c r="CP525" s="185"/>
      <c r="CQ525" s="267">
        <f>CN525+2%</f>
        <v>0.64000000000000024</v>
      </c>
      <c r="CR525" s="267">
        <f t="shared" ref="CR525:CS525" si="1779">CQ525+2%</f>
        <v>0.66000000000000025</v>
      </c>
      <c r="CS525" s="267">
        <f t="shared" si="1779"/>
        <v>0.68000000000000027</v>
      </c>
      <c r="CT525" s="267">
        <f t="shared" ref="CT525" si="1780">CS525+2%</f>
        <v>0.70000000000000029</v>
      </c>
      <c r="CU525" s="267">
        <f t="shared" ref="CU525" si="1781">CT525+2%</f>
        <v>0.72000000000000031</v>
      </c>
      <c r="CV525" s="267">
        <f t="shared" ref="CV525:CW525" si="1782">CU525+2%</f>
        <v>0.74000000000000032</v>
      </c>
      <c r="CW525" s="267">
        <f t="shared" si="1782"/>
        <v>0.76000000000000034</v>
      </c>
      <c r="CX525" s="159"/>
      <c r="CY525" s="159"/>
      <c r="CZ525" s="159"/>
      <c r="DA525" s="159"/>
      <c r="DB525" s="159"/>
      <c r="DC525" s="159"/>
      <c r="DD525" s="159"/>
      <c r="EP525" s="221"/>
      <c r="EU525" s="286"/>
      <c r="EV525" s="287"/>
    </row>
    <row r="526" spans="1:152">
      <c r="A526" s="226" t="s">
        <v>78</v>
      </c>
      <c r="B526" s="159"/>
      <c r="C526" s="159"/>
      <c r="D526" s="159"/>
      <c r="E526" s="159"/>
      <c r="F526" s="159"/>
      <c r="G526" s="297"/>
      <c r="H526" s="297"/>
      <c r="I526" s="297"/>
      <c r="J526" s="297"/>
      <c r="K526" s="297"/>
      <c r="L526" s="297"/>
      <c r="M526" s="297"/>
      <c r="N526" s="297"/>
      <c r="O526" s="297"/>
      <c r="P526" s="297"/>
      <c r="Q526" s="297">
        <f>Q525*Q382</f>
        <v>2409.2910000000002</v>
      </c>
      <c r="R526" s="297"/>
      <c r="S526" s="297"/>
      <c r="T526" s="297"/>
      <c r="U526" s="297"/>
      <c r="V526" s="297">
        <f>V525*V382</f>
        <v>2747.8994400000001</v>
      </c>
      <c r="W526" s="297"/>
      <c r="X526" s="297"/>
      <c r="Y526" s="297"/>
      <c r="Z526" s="297"/>
      <c r="AA526" s="297">
        <f>AA525*AA382</f>
        <v>2924.8711199999998</v>
      </c>
      <c r="AB526" s="297"/>
      <c r="AC526" s="297"/>
      <c r="AD526" s="297"/>
      <c r="AE526" s="297"/>
      <c r="AF526" s="297">
        <f>AF525*AF382</f>
        <v>2944.7214600000002</v>
      </c>
      <c r="AG526" s="297"/>
      <c r="AH526" s="297"/>
      <c r="AI526" s="297"/>
      <c r="AJ526" s="297"/>
      <c r="AK526" s="297">
        <f>AK525*AK382</f>
        <v>2988.6659999999997</v>
      </c>
      <c r="AL526" s="297"/>
      <c r="AM526" s="297"/>
      <c r="AN526" s="297"/>
      <c r="AO526" s="297"/>
      <c r="AP526" s="297">
        <f>AP525*AP382</f>
        <v>3204.1409400000002</v>
      </c>
      <c r="AQ526" s="297"/>
      <c r="AR526" s="324">
        <f>AR386/AM386-1</f>
        <v>-5.8128078817733964E-2</v>
      </c>
      <c r="AS526" s="324">
        <f>AS386/AN386-1</f>
        <v>-5.4832713754646822E-2</v>
      </c>
      <c r="AT526" s="324">
        <f>AT386/AO386-1</f>
        <v>-2.2094140249759864E-2</v>
      </c>
      <c r="AU526" s="297">
        <f>AU525*AU382</f>
        <v>3266.0634600000003</v>
      </c>
      <c r="AV526" s="297"/>
      <c r="AW526" s="297"/>
      <c r="AX526" s="297"/>
      <c r="AY526" s="297"/>
      <c r="AZ526" s="297">
        <f>AZ525*AZ382</f>
        <v>3547.0600000000004</v>
      </c>
      <c r="BA526" s="297"/>
      <c r="BB526" s="297"/>
      <c r="BC526" s="297"/>
      <c r="BD526" s="297"/>
      <c r="BE526" s="297">
        <f>BE525*BE382</f>
        <v>3586.0800000000008</v>
      </c>
      <c r="BF526" s="297"/>
      <c r="BG526" s="297"/>
      <c r="BH526" s="297"/>
      <c r="BI526" s="297"/>
      <c r="BJ526" s="297">
        <f>BJ525*BJ382</f>
        <v>3552.5000000000009</v>
      </c>
      <c r="BK526" s="297"/>
      <c r="BL526" s="297"/>
      <c r="BM526" s="297"/>
      <c r="BN526" s="297"/>
      <c r="BO526" s="297">
        <f>BO525*BO382</f>
        <v>3480.880000000001</v>
      </c>
      <c r="BP526" s="297"/>
      <c r="BQ526" s="297"/>
      <c r="BR526" s="297"/>
      <c r="BS526" s="297"/>
      <c r="BT526" s="297">
        <f>BT525*BT382</f>
        <v>3639.6000000000008</v>
      </c>
      <c r="BU526" s="269"/>
      <c r="BV526" s="269"/>
      <c r="BW526" s="269"/>
      <c r="BX526" s="269"/>
      <c r="BY526" s="297">
        <f>BY525*BY382</f>
        <v>3342.0800000000008</v>
      </c>
      <c r="BZ526" s="269"/>
      <c r="CA526" s="269"/>
      <c r="CB526" s="269"/>
      <c r="CC526" s="269"/>
      <c r="CD526" s="297">
        <f>CD525*CD382</f>
        <v>3586.5647920000015</v>
      </c>
      <c r="CE526" s="269"/>
      <c r="CF526" s="269"/>
      <c r="CG526" s="269"/>
      <c r="CH526" s="269"/>
      <c r="CI526" s="297">
        <f>CI525*CI382</f>
        <v>3703.4949300000017</v>
      </c>
      <c r="CJ526" s="269"/>
      <c r="CK526" s="269"/>
      <c r="CL526" s="269"/>
      <c r="CM526" s="269"/>
      <c r="CN526" s="297">
        <f>CN525*CN382</f>
        <v>3800.4205100000008</v>
      </c>
      <c r="CO526" s="269"/>
      <c r="CP526" s="269"/>
      <c r="CQ526" s="297">
        <f t="shared" ref="CQ526:CW526" si="1783">CQ525*CQ382</f>
        <v>4032.7940967312015</v>
      </c>
      <c r="CR526" s="297">
        <f t="shared" si="1783"/>
        <v>4211.4659840747818</v>
      </c>
      <c r="CS526" s="297">
        <f t="shared" si="1783"/>
        <v>4420.6003274209961</v>
      </c>
      <c r="CT526" s="297">
        <f t="shared" si="1783"/>
        <v>4632.7527928053751</v>
      </c>
      <c r="CU526" s="297">
        <f t="shared" si="1783"/>
        <v>4848.0169052284891</v>
      </c>
      <c r="CV526" s="297">
        <f t="shared" si="1783"/>
        <v>5066.4915656407147</v>
      </c>
      <c r="CW526" s="297">
        <f t="shared" si="1783"/>
        <v>5288.2801593944278</v>
      </c>
      <c r="CX526" s="159"/>
      <c r="CY526" s="159"/>
      <c r="CZ526" s="159"/>
      <c r="DA526" s="159"/>
      <c r="DB526" s="159"/>
      <c r="DC526" s="159"/>
      <c r="DD526" s="159"/>
      <c r="ED526" s="221"/>
      <c r="EE526" s="221"/>
      <c r="EQ526" s="221"/>
      <c r="ER526" s="221"/>
      <c r="ES526" s="221"/>
      <c r="EU526" s="286"/>
      <c r="EV526" s="287"/>
    </row>
    <row r="527" spans="1:152">
      <c r="EU527" s="286"/>
      <c r="EV527" s="287"/>
    </row>
    <row r="528" spans="1:152">
      <c r="EU528" s="286"/>
      <c r="EV528" s="287"/>
    </row>
    <row r="529" spans="1:152">
      <c r="A529" s="386" t="s">
        <v>686</v>
      </c>
      <c r="B529" s="760">
        <f>B$2</f>
        <v>2007</v>
      </c>
      <c r="C529" s="760" t="str">
        <f t="shared" ref="C529:BN529" si="1784">C$2</f>
        <v>Q1</v>
      </c>
      <c r="D529" s="760" t="str">
        <f t="shared" si="1784"/>
        <v>Q2</v>
      </c>
      <c r="E529" s="760" t="str">
        <f t="shared" si="1784"/>
        <v>Q3</v>
      </c>
      <c r="F529" s="760" t="str">
        <f t="shared" si="1784"/>
        <v>Q4</v>
      </c>
      <c r="G529" s="760">
        <f t="shared" si="1784"/>
        <v>2008</v>
      </c>
      <c r="H529" s="760" t="str">
        <f t="shared" si="1784"/>
        <v>Q1</v>
      </c>
      <c r="I529" s="760" t="str">
        <f t="shared" si="1784"/>
        <v>Q2</v>
      </c>
      <c r="J529" s="760" t="str">
        <f t="shared" si="1784"/>
        <v>Q3</v>
      </c>
      <c r="K529" s="760" t="str">
        <f t="shared" si="1784"/>
        <v>Q4</v>
      </c>
      <c r="L529" s="760">
        <f t="shared" si="1784"/>
        <v>2009</v>
      </c>
      <c r="M529" s="760" t="str">
        <f t="shared" si="1784"/>
        <v>Q1</v>
      </c>
      <c r="N529" s="760" t="str">
        <f t="shared" si="1784"/>
        <v>Q2</v>
      </c>
      <c r="O529" s="760" t="str">
        <f t="shared" si="1784"/>
        <v>Q3</v>
      </c>
      <c r="P529" s="760" t="str">
        <f t="shared" si="1784"/>
        <v>Q4</v>
      </c>
      <c r="Q529" s="760">
        <f t="shared" si="1784"/>
        <v>2010</v>
      </c>
      <c r="R529" s="760" t="str">
        <f t="shared" si="1784"/>
        <v>Q1</v>
      </c>
      <c r="S529" s="760" t="str">
        <f t="shared" si="1784"/>
        <v>Q2</v>
      </c>
      <c r="T529" s="760" t="str">
        <f t="shared" si="1784"/>
        <v>Q3</v>
      </c>
      <c r="U529" s="760" t="str">
        <f t="shared" si="1784"/>
        <v>Q4</v>
      </c>
      <c r="V529" s="760">
        <f t="shared" si="1784"/>
        <v>2011</v>
      </c>
      <c r="W529" s="760" t="str">
        <f t="shared" si="1784"/>
        <v>Q1</v>
      </c>
      <c r="X529" s="760" t="str">
        <f t="shared" si="1784"/>
        <v>Q2</v>
      </c>
      <c r="Y529" s="760" t="str">
        <f t="shared" si="1784"/>
        <v>Q3</v>
      </c>
      <c r="Z529" s="760" t="str">
        <f t="shared" si="1784"/>
        <v>Q4</v>
      </c>
      <c r="AA529" s="760">
        <f t="shared" si="1784"/>
        <v>2012</v>
      </c>
      <c r="AB529" s="760" t="str">
        <f t="shared" si="1784"/>
        <v>Q1</v>
      </c>
      <c r="AC529" s="760" t="str">
        <f t="shared" si="1784"/>
        <v>Q2</v>
      </c>
      <c r="AD529" s="760" t="str">
        <f t="shared" si="1784"/>
        <v>Q3</v>
      </c>
      <c r="AE529" s="760" t="str">
        <f t="shared" si="1784"/>
        <v>Q4</v>
      </c>
      <c r="AF529" s="760">
        <f t="shared" si="1784"/>
        <v>2013</v>
      </c>
      <c r="AG529" s="760" t="str">
        <f t="shared" si="1784"/>
        <v>Q1</v>
      </c>
      <c r="AH529" s="760" t="str">
        <f t="shared" si="1784"/>
        <v>Q2</v>
      </c>
      <c r="AI529" s="760" t="str">
        <f t="shared" si="1784"/>
        <v>Q3</v>
      </c>
      <c r="AJ529" s="760" t="str">
        <f t="shared" si="1784"/>
        <v>Q4</v>
      </c>
      <c r="AK529" s="760">
        <f t="shared" si="1784"/>
        <v>2014</v>
      </c>
      <c r="AL529" s="760" t="str">
        <f t="shared" si="1784"/>
        <v>Q1</v>
      </c>
      <c r="AM529" s="760" t="str">
        <f t="shared" si="1784"/>
        <v>Q2</v>
      </c>
      <c r="AN529" s="760" t="str">
        <f t="shared" si="1784"/>
        <v>Q3</v>
      </c>
      <c r="AO529" s="760" t="str">
        <f t="shared" si="1784"/>
        <v>Q4</v>
      </c>
      <c r="AP529" s="760">
        <f t="shared" si="1784"/>
        <v>2015</v>
      </c>
      <c r="AQ529" s="760" t="str">
        <f t="shared" si="1784"/>
        <v>Q1</v>
      </c>
      <c r="AR529" s="760" t="str">
        <f t="shared" si="1784"/>
        <v>Q2</v>
      </c>
      <c r="AS529" s="760" t="str">
        <f t="shared" si="1784"/>
        <v>Q3</v>
      </c>
      <c r="AT529" s="760" t="str">
        <f t="shared" si="1784"/>
        <v>Q4</v>
      </c>
      <c r="AU529" s="760">
        <f t="shared" si="1784"/>
        <v>2016</v>
      </c>
      <c r="AV529" s="760" t="str">
        <f t="shared" si="1784"/>
        <v>Q1</v>
      </c>
      <c r="AW529" s="760" t="str">
        <f t="shared" si="1784"/>
        <v>Q2</v>
      </c>
      <c r="AX529" s="760" t="str">
        <f t="shared" si="1784"/>
        <v>Q3</v>
      </c>
      <c r="AY529" s="760" t="str">
        <f t="shared" si="1784"/>
        <v>Q4</v>
      </c>
      <c r="AZ529" s="760">
        <f t="shared" si="1784"/>
        <v>2017</v>
      </c>
      <c r="BA529" s="760" t="str">
        <f t="shared" si="1784"/>
        <v>Q1</v>
      </c>
      <c r="BB529" s="760" t="str">
        <f t="shared" si="1784"/>
        <v>Q2</v>
      </c>
      <c r="BC529" s="760" t="str">
        <f t="shared" si="1784"/>
        <v>Q3</v>
      </c>
      <c r="BD529" s="760" t="str">
        <f t="shared" si="1784"/>
        <v>Q4</v>
      </c>
      <c r="BE529" s="760">
        <f t="shared" si="1784"/>
        <v>2018</v>
      </c>
      <c r="BF529" s="760" t="str">
        <f t="shared" si="1784"/>
        <v>Q1</v>
      </c>
      <c r="BG529" s="760" t="str">
        <f t="shared" si="1784"/>
        <v>Q2</v>
      </c>
      <c r="BH529" s="760" t="str">
        <f t="shared" si="1784"/>
        <v>Q3</v>
      </c>
      <c r="BI529" s="760" t="str">
        <f t="shared" si="1784"/>
        <v>Q4</v>
      </c>
      <c r="BJ529" s="760">
        <f t="shared" si="1784"/>
        <v>2019</v>
      </c>
      <c r="BK529" s="760" t="str">
        <f t="shared" si="1784"/>
        <v>Q1</v>
      </c>
      <c r="BL529" s="760" t="str">
        <f t="shared" si="1784"/>
        <v>Q2</v>
      </c>
      <c r="BM529" s="760" t="str">
        <f t="shared" si="1784"/>
        <v>Q3</v>
      </c>
      <c r="BN529" s="760" t="str">
        <f t="shared" si="1784"/>
        <v>Q4</v>
      </c>
      <c r="BO529" s="760">
        <f t="shared" ref="BO529:CW529" si="1785">BO$2</f>
        <v>2020</v>
      </c>
      <c r="BP529" s="760" t="str">
        <f t="shared" si="1785"/>
        <v>Q1</v>
      </c>
      <c r="BQ529" s="760" t="str">
        <f t="shared" si="1785"/>
        <v>Q2</v>
      </c>
      <c r="BR529" s="760" t="str">
        <f t="shared" si="1785"/>
        <v>Q3</v>
      </c>
      <c r="BS529" s="760" t="str">
        <f t="shared" si="1785"/>
        <v>Q4</v>
      </c>
      <c r="BT529" s="760">
        <f t="shared" si="1785"/>
        <v>2021</v>
      </c>
      <c r="BU529" s="760" t="str">
        <f t="shared" si="1785"/>
        <v>Q1</v>
      </c>
      <c r="BV529" s="760" t="str">
        <f t="shared" si="1785"/>
        <v>Q2</v>
      </c>
      <c r="BW529" s="760" t="str">
        <f t="shared" si="1785"/>
        <v>Q3</v>
      </c>
      <c r="BX529" s="760" t="str">
        <f t="shared" si="1785"/>
        <v>Q4</v>
      </c>
      <c r="BY529" s="760">
        <f t="shared" si="1785"/>
        <v>2022</v>
      </c>
      <c r="BZ529" s="760" t="str">
        <f t="shared" si="1785"/>
        <v>Q1</v>
      </c>
      <c r="CA529" s="760" t="str">
        <f t="shared" si="1785"/>
        <v>Q2</v>
      </c>
      <c r="CB529" s="760" t="str">
        <f t="shared" si="1785"/>
        <v>Q3</v>
      </c>
      <c r="CC529" s="760" t="str">
        <f t="shared" si="1785"/>
        <v>Q4</v>
      </c>
      <c r="CD529" s="760">
        <f t="shared" si="1785"/>
        <v>2023</v>
      </c>
      <c r="CE529" s="760" t="str">
        <f t="shared" si="1785"/>
        <v>Q1</v>
      </c>
      <c r="CF529" s="760" t="str">
        <f t="shared" si="1785"/>
        <v>Q2</v>
      </c>
      <c r="CG529" s="760" t="str">
        <f t="shared" si="1785"/>
        <v>Q3</v>
      </c>
      <c r="CH529" s="760" t="str">
        <f t="shared" si="1785"/>
        <v>Q4</v>
      </c>
      <c r="CI529" s="760">
        <f t="shared" si="1785"/>
        <v>2024</v>
      </c>
      <c r="CJ529" s="760" t="str">
        <f t="shared" si="1785"/>
        <v>Q1</v>
      </c>
      <c r="CK529" s="760" t="str">
        <f t="shared" si="1785"/>
        <v>Q2</v>
      </c>
      <c r="CL529" s="760" t="str">
        <f t="shared" si="1785"/>
        <v>Q3</v>
      </c>
      <c r="CM529" s="760" t="str">
        <f t="shared" si="1785"/>
        <v>Q4</v>
      </c>
      <c r="CN529" s="760">
        <f t="shared" si="1785"/>
        <v>2025</v>
      </c>
      <c r="CO529" s="760" t="str">
        <f t="shared" si="1785"/>
        <v>Q1</v>
      </c>
      <c r="CP529" s="760" t="str">
        <f t="shared" si="1785"/>
        <v>Q2</v>
      </c>
      <c r="CQ529" s="760">
        <f t="shared" si="1785"/>
        <v>2026</v>
      </c>
      <c r="CR529" s="760">
        <f t="shared" si="1785"/>
        <v>2027</v>
      </c>
      <c r="CS529" s="760">
        <f t="shared" si="1785"/>
        <v>2028</v>
      </c>
      <c r="CT529" s="760">
        <f t="shared" si="1785"/>
        <v>2029</v>
      </c>
      <c r="CU529" s="760">
        <f t="shared" si="1785"/>
        <v>2030</v>
      </c>
      <c r="CV529" s="760">
        <f t="shared" si="1785"/>
        <v>2031</v>
      </c>
      <c r="CW529" s="760">
        <f t="shared" si="1785"/>
        <v>2032</v>
      </c>
      <c r="EU529" s="286"/>
      <c r="EV529" s="287"/>
    </row>
    <row r="530" spans="1:152">
      <c r="A530" s="221"/>
      <c r="EU530" s="286"/>
      <c r="EV530" s="287"/>
    </row>
    <row r="531" spans="1:152">
      <c r="A531" s="221" t="s">
        <v>8</v>
      </c>
      <c r="AF531" s="383">
        <f>AF432-AF384</f>
        <v>8630.2669999999998</v>
      </c>
      <c r="AG531" s="383"/>
      <c r="AH531" s="383"/>
      <c r="AI531" s="383"/>
      <c r="AJ531" s="383"/>
      <c r="AK531" s="383">
        <f>AK432-AK384</f>
        <v>8018.6649999999991</v>
      </c>
    </row>
    <row r="532" spans="1:152">
      <c r="A532" s="137" t="s">
        <v>642</v>
      </c>
      <c r="AA532" s="202" t="e">
        <f t="shared" ref="AA532:AJ535" si="1786">AA408/V408-1</f>
        <v>#DIV/0!</v>
      </c>
      <c r="AB532" s="202" t="e">
        <f t="shared" si="1786"/>
        <v>#DIV/0!</v>
      </c>
      <c r="AC532" s="202" t="e">
        <f t="shared" si="1786"/>
        <v>#DIV/0!</v>
      </c>
      <c r="AD532" s="202" t="e">
        <f t="shared" si="1786"/>
        <v>#DIV/0!</v>
      </c>
      <c r="AE532" s="202" t="e">
        <f t="shared" si="1786"/>
        <v>#DIV/0!</v>
      </c>
      <c r="AF532" s="202" t="e">
        <f t="shared" si="1786"/>
        <v>#DIV/0!</v>
      </c>
      <c r="AG532" s="202" t="e">
        <f t="shared" si="1786"/>
        <v>#DIV/0!</v>
      </c>
      <c r="AH532" s="202" t="e">
        <f t="shared" si="1786"/>
        <v>#DIV/0!</v>
      </c>
      <c r="AI532" s="202" t="e">
        <f t="shared" si="1786"/>
        <v>#DIV/0!</v>
      </c>
      <c r="AJ532" s="202" t="e">
        <f t="shared" si="1786"/>
        <v>#DIV/0!</v>
      </c>
      <c r="AK532" s="202" t="e">
        <f t="shared" ref="AK532:AT535" si="1787">AK408/AF408-1</f>
        <v>#DIV/0!</v>
      </c>
      <c r="AL532" s="202" t="e">
        <f t="shared" si="1787"/>
        <v>#DIV/0!</v>
      </c>
      <c r="AM532" s="202" t="e">
        <f t="shared" si="1787"/>
        <v>#DIV/0!</v>
      </c>
      <c r="AN532" s="202" t="e">
        <f t="shared" si="1787"/>
        <v>#DIV/0!</v>
      </c>
      <c r="AO532" s="202" t="e">
        <f t="shared" si="1787"/>
        <v>#DIV/0!</v>
      </c>
      <c r="AP532" s="202" t="e">
        <f t="shared" si="1787"/>
        <v>#DIV/0!</v>
      </c>
      <c r="AQ532" s="202" t="e">
        <f t="shared" si="1787"/>
        <v>#DIV/0!</v>
      </c>
      <c r="AR532" s="202" t="e">
        <f t="shared" si="1787"/>
        <v>#DIV/0!</v>
      </c>
      <c r="AS532" s="202" t="e">
        <f t="shared" si="1787"/>
        <v>#DIV/0!</v>
      </c>
      <c r="AT532" s="202" t="e">
        <f t="shared" si="1787"/>
        <v>#DIV/0!</v>
      </c>
      <c r="AU532" s="202" t="e">
        <f t="shared" ref="AU532:BD535" si="1788">AU408/AP408-1</f>
        <v>#DIV/0!</v>
      </c>
      <c r="AV532" s="202" t="e">
        <f t="shared" si="1788"/>
        <v>#DIV/0!</v>
      </c>
      <c r="AW532" s="202" t="e">
        <f t="shared" si="1788"/>
        <v>#DIV/0!</v>
      </c>
      <c r="AX532" s="202" t="e">
        <f t="shared" si="1788"/>
        <v>#DIV/0!</v>
      </c>
      <c r="AY532" s="202" t="e">
        <f t="shared" si="1788"/>
        <v>#DIV/0!</v>
      </c>
      <c r="AZ532" s="202" t="e">
        <f t="shared" si="1788"/>
        <v>#DIV/0!</v>
      </c>
      <c r="BA532" s="202" t="e">
        <f t="shared" si="1788"/>
        <v>#DIV/0!</v>
      </c>
      <c r="BB532" s="202" t="e">
        <f t="shared" si="1788"/>
        <v>#DIV/0!</v>
      </c>
      <c r="BC532" s="202" t="e">
        <f t="shared" si="1788"/>
        <v>#DIV/0!</v>
      </c>
      <c r="BD532" s="202" t="e">
        <f t="shared" si="1788"/>
        <v>#DIV/0!</v>
      </c>
      <c r="BE532" s="202" t="e">
        <f t="shared" ref="BE532:BN535" si="1789">BE408/AZ408-1</f>
        <v>#DIV/0!</v>
      </c>
      <c r="BF532" s="202" t="e">
        <f t="shared" si="1789"/>
        <v>#DIV/0!</v>
      </c>
      <c r="BG532" s="202" t="e">
        <f t="shared" si="1789"/>
        <v>#DIV/0!</v>
      </c>
      <c r="BH532" s="202" t="e">
        <f t="shared" si="1789"/>
        <v>#DIV/0!</v>
      </c>
      <c r="BI532" s="202" t="e">
        <f t="shared" si="1789"/>
        <v>#DIV/0!</v>
      </c>
      <c r="BJ532" s="202" t="e">
        <f t="shared" si="1789"/>
        <v>#DIV/0!</v>
      </c>
      <c r="BK532" s="202" t="e">
        <f t="shared" si="1789"/>
        <v>#DIV/0!</v>
      </c>
      <c r="BL532" s="202" t="e">
        <f t="shared" si="1789"/>
        <v>#DIV/0!</v>
      </c>
      <c r="BM532" s="202" t="e">
        <f t="shared" si="1789"/>
        <v>#DIV/0!</v>
      </c>
      <c r="BN532" s="202" t="e">
        <f t="shared" si="1789"/>
        <v>#DIV/0!</v>
      </c>
      <c r="BO532" s="202" t="e">
        <f t="shared" ref="BO532:BX535" si="1790">BO408/BJ408-1</f>
        <v>#DIV/0!</v>
      </c>
      <c r="BP532" s="202" t="e">
        <f t="shared" si="1790"/>
        <v>#DIV/0!</v>
      </c>
      <c r="BQ532" s="202" t="e">
        <f t="shared" si="1790"/>
        <v>#DIV/0!</v>
      </c>
      <c r="BR532" s="202" t="e">
        <f t="shared" si="1790"/>
        <v>#DIV/0!</v>
      </c>
      <c r="BS532" s="202" t="e">
        <f t="shared" si="1790"/>
        <v>#DIV/0!</v>
      </c>
      <c r="BT532" s="202" t="e">
        <f t="shared" si="1790"/>
        <v>#DIV/0!</v>
      </c>
      <c r="BU532" s="202">
        <f t="shared" si="1790"/>
        <v>4.9465240641711317E-2</v>
      </c>
      <c r="BV532" s="202">
        <f t="shared" si="1790"/>
        <v>5.7441253263707637E-2</v>
      </c>
      <c r="BW532" s="202">
        <f t="shared" si="1790"/>
        <v>6.0025542784163388E-2</v>
      </c>
      <c r="BX532" s="202">
        <f t="shared" si="1790"/>
        <v>0.10966057441253274</v>
      </c>
      <c r="BY532" s="202">
        <f t="shared" ref="BY532:CH535" si="1791">BY408/BT408-1</f>
        <v>6.9213189683317022E-2</v>
      </c>
      <c r="BZ532" s="202">
        <f t="shared" si="1791"/>
        <v>0.10063694267515921</v>
      </c>
      <c r="CA532" s="202">
        <f t="shared" si="1791"/>
        <v>7.5308641975308621E-2</v>
      </c>
      <c r="CB532" s="202">
        <f t="shared" si="1791"/>
        <v>6.2650602409638489E-2</v>
      </c>
      <c r="CC532" s="202">
        <f t="shared" si="1791"/>
        <v>6.23529411764705E-2</v>
      </c>
      <c r="CD532" s="202">
        <f t="shared" si="1791"/>
        <v>7.4809160305343569E-2</v>
      </c>
      <c r="CE532" s="202">
        <f t="shared" si="1791"/>
        <v>5.439814814814814E-2</v>
      </c>
      <c r="CF532" s="202">
        <f t="shared" si="1791"/>
        <v>5.1664753157290466E-2</v>
      </c>
      <c r="CG532" s="202">
        <f t="shared" si="1791"/>
        <v>4.8752834467120199E-2</v>
      </c>
      <c r="CH532" s="202">
        <f t="shared" si="1791"/>
        <v>4.9833887043189362E-2</v>
      </c>
      <c r="CI532" s="202">
        <f t="shared" ref="CI532:CP535" si="1792">CI408/CD408-1</f>
        <v>5.1136363636363535E-2</v>
      </c>
      <c r="CJ532" s="202">
        <f t="shared" si="1792"/>
        <v>1.4270032930845167E-2</v>
      </c>
      <c r="CK532" s="202">
        <f t="shared" si="1792"/>
        <v>1.8558951965065518E-2</v>
      </c>
      <c r="CL532" s="202">
        <f t="shared" si="1792"/>
        <v>2.9189189189189113E-2</v>
      </c>
      <c r="CM532" s="202">
        <f t="shared" si="1792"/>
        <v>2.9535864978903037E-2</v>
      </c>
      <c r="CN532" s="202">
        <f t="shared" si="1792"/>
        <v>2.2972972972973071E-2</v>
      </c>
      <c r="CO532" s="202">
        <f t="shared" si="1792"/>
        <v>4.2207792207792139E-2</v>
      </c>
      <c r="CP532" s="202">
        <f t="shared" si="1792"/>
        <v>4.1800643086816747E-2</v>
      </c>
      <c r="CQ532" s="202">
        <f>CQ408/CN408-1</f>
        <v>3.0700985501203037E-2</v>
      </c>
      <c r="CR532" s="202">
        <f t="shared" ref="CR532:CW535" si="1793">CR408/CQ408-1</f>
        <v>1.5925897074634765E-2</v>
      </c>
      <c r="CS532" s="202">
        <f t="shared" si="1793"/>
        <v>2.3295193126152025E-2</v>
      </c>
      <c r="CT532" s="202">
        <f t="shared" si="1793"/>
        <v>2.2569810884425889E-2</v>
      </c>
      <c r="CU532" s="202">
        <f t="shared" si="1793"/>
        <v>2.1920261526203078E-2</v>
      </c>
      <c r="CV532" s="202">
        <f t="shared" si="1793"/>
        <v>2.1337529971448665E-2</v>
      </c>
      <c r="CW532" s="202">
        <f t="shared" si="1793"/>
        <v>2.081381134025162E-2</v>
      </c>
    </row>
    <row r="533" spans="1:152">
      <c r="A533" s="137" t="s">
        <v>534</v>
      </c>
      <c r="AA533" s="202" t="e">
        <f t="shared" si="1786"/>
        <v>#DIV/0!</v>
      </c>
      <c r="AB533" s="202" t="e">
        <f t="shared" si="1786"/>
        <v>#DIV/0!</v>
      </c>
      <c r="AC533" s="202" t="e">
        <f t="shared" si="1786"/>
        <v>#DIV/0!</v>
      </c>
      <c r="AD533" s="202" t="e">
        <f t="shared" si="1786"/>
        <v>#DIV/0!</v>
      </c>
      <c r="AE533" s="202" t="e">
        <f t="shared" si="1786"/>
        <v>#DIV/0!</v>
      </c>
      <c r="AF533" s="202" t="e">
        <f t="shared" si="1786"/>
        <v>#DIV/0!</v>
      </c>
      <c r="AG533" s="202" t="e">
        <f t="shared" si="1786"/>
        <v>#DIV/0!</v>
      </c>
      <c r="AH533" s="202" t="e">
        <f t="shared" si="1786"/>
        <v>#DIV/0!</v>
      </c>
      <c r="AI533" s="202" t="e">
        <f t="shared" si="1786"/>
        <v>#DIV/0!</v>
      </c>
      <c r="AJ533" s="202" t="e">
        <f t="shared" si="1786"/>
        <v>#DIV/0!</v>
      </c>
      <c r="AK533" s="202" t="e">
        <f t="shared" si="1787"/>
        <v>#DIV/0!</v>
      </c>
      <c r="AL533" s="202" t="e">
        <f t="shared" si="1787"/>
        <v>#DIV/0!</v>
      </c>
      <c r="AM533" s="202" t="e">
        <f t="shared" si="1787"/>
        <v>#DIV/0!</v>
      </c>
      <c r="AN533" s="202" t="e">
        <f t="shared" si="1787"/>
        <v>#DIV/0!</v>
      </c>
      <c r="AO533" s="202" t="e">
        <f t="shared" si="1787"/>
        <v>#DIV/0!</v>
      </c>
      <c r="AP533" s="202" t="e">
        <f t="shared" si="1787"/>
        <v>#DIV/0!</v>
      </c>
      <c r="AQ533" s="202" t="e">
        <f t="shared" si="1787"/>
        <v>#DIV/0!</v>
      </c>
      <c r="AR533" s="202" t="e">
        <f t="shared" si="1787"/>
        <v>#DIV/0!</v>
      </c>
      <c r="AS533" s="202" t="e">
        <f t="shared" si="1787"/>
        <v>#DIV/0!</v>
      </c>
      <c r="AT533" s="202" t="e">
        <f t="shared" si="1787"/>
        <v>#DIV/0!</v>
      </c>
      <c r="AU533" s="202" t="e">
        <f t="shared" si="1788"/>
        <v>#DIV/0!</v>
      </c>
      <c r="AV533" s="202" t="e">
        <f t="shared" si="1788"/>
        <v>#DIV/0!</v>
      </c>
      <c r="AW533" s="202" t="e">
        <f t="shared" si="1788"/>
        <v>#DIV/0!</v>
      </c>
      <c r="AX533" s="202" t="e">
        <f t="shared" si="1788"/>
        <v>#DIV/0!</v>
      </c>
      <c r="AY533" s="202" t="e">
        <f t="shared" si="1788"/>
        <v>#DIV/0!</v>
      </c>
      <c r="AZ533" s="202" t="e">
        <f t="shared" si="1788"/>
        <v>#DIV/0!</v>
      </c>
      <c r="BA533" s="202" t="e">
        <f t="shared" si="1788"/>
        <v>#DIV/0!</v>
      </c>
      <c r="BB533" s="202" t="e">
        <f t="shared" si="1788"/>
        <v>#DIV/0!</v>
      </c>
      <c r="BC533" s="202" t="e">
        <f t="shared" si="1788"/>
        <v>#DIV/0!</v>
      </c>
      <c r="BD533" s="202" t="e">
        <f t="shared" si="1788"/>
        <v>#DIV/0!</v>
      </c>
      <c r="BE533" s="202" t="e">
        <f t="shared" si="1789"/>
        <v>#DIV/0!</v>
      </c>
      <c r="BF533" s="202" t="e">
        <f t="shared" si="1789"/>
        <v>#DIV/0!</v>
      </c>
      <c r="BG533" s="202" t="e">
        <f t="shared" si="1789"/>
        <v>#DIV/0!</v>
      </c>
      <c r="BH533" s="202" t="e">
        <f t="shared" si="1789"/>
        <v>#DIV/0!</v>
      </c>
      <c r="BI533" s="202" t="e">
        <f t="shared" si="1789"/>
        <v>#DIV/0!</v>
      </c>
      <c r="BJ533" s="202" t="e">
        <f t="shared" si="1789"/>
        <v>#DIV/0!</v>
      </c>
      <c r="BK533" s="202" t="e">
        <f t="shared" si="1789"/>
        <v>#DIV/0!</v>
      </c>
      <c r="BL533" s="202" t="e">
        <f t="shared" si="1789"/>
        <v>#DIV/0!</v>
      </c>
      <c r="BM533" s="202" t="e">
        <f t="shared" si="1789"/>
        <v>#DIV/0!</v>
      </c>
      <c r="BN533" s="202" t="e">
        <f t="shared" si="1789"/>
        <v>#DIV/0!</v>
      </c>
      <c r="BO533" s="202" t="e">
        <f t="shared" si="1790"/>
        <v>#DIV/0!</v>
      </c>
      <c r="BP533" s="202" t="e">
        <f t="shared" si="1790"/>
        <v>#DIV/0!</v>
      </c>
      <c r="BQ533" s="202" t="e">
        <f t="shared" si="1790"/>
        <v>#DIV/0!</v>
      </c>
      <c r="BR533" s="202" t="e">
        <f t="shared" si="1790"/>
        <v>#DIV/0!</v>
      </c>
      <c r="BS533" s="202" t="e">
        <f t="shared" si="1790"/>
        <v>#DIV/0!</v>
      </c>
      <c r="BT533" s="202" t="e">
        <f t="shared" si="1790"/>
        <v>#DIV/0!</v>
      </c>
      <c r="BU533" s="202">
        <f t="shared" si="1790"/>
        <v>-4.7826086956521685E-2</v>
      </c>
      <c r="BV533" s="202">
        <f t="shared" si="1790"/>
        <v>-8.7591240875912746E-3</v>
      </c>
      <c r="BW533" s="202">
        <f t="shared" si="1790"/>
        <v>-1.3138686131386912E-2</v>
      </c>
      <c r="BX533" s="202">
        <f t="shared" si="1790"/>
        <v>3.969465648854964E-2</v>
      </c>
      <c r="BY533" s="202">
        <f t="shared" si="1791"/>
        <v>-8.1031307550644138E-3</v>
      </c>
      <c r="BZ533" s="202">
        <f t="shared" si="1791"/>
        <v>6.0882800608828003E-3</v>
      </c>
      <c r="CA533" s="202">
        <f t="shared" si="1791"/>
        <v>-4.123711340206182E-2</v>
      </c>
      <c r="CB533" s="202">
        <f t="shared" si="1791"/>
        <v>-3.5502958579881616E-2</v>
      </c>
      <c r="CC533" s="202">
        <f t="shared" si="1791"/>
        <v>-3.8179148311306865E-2</v>
      </c>
      <c r="CD533" s="202">
        <f t="shared" si="1791"/>
        <v>-2.7478648347567747E-2</v>
      </c>
      <c r="CE533" s="202">
        <f t="shared" si="1791"/>
        <v>-1.8154311649016597E-2</v>
      </c>
      <c r="CF533" s="202">
        <f t="shared" si="1791"/>
        <v>-4.6082949308755561E-3</v>
      </c>
      <c r="CG533" s="202">
        <f t="shared" si="1791"/>
        <v>-1.6871165644171793E-2</v>
      </c>
      <c r="CH533" s="202">
        <f t="shared" si="1791"/>
        <v>-4.2748091603053484E-2</v>
      </c>
      <c r="CI533" s="202">
        <f t="shared" si="1792"/>
        <v>-2.0618556701030966E-2</v>
      </c>
      <c r="CJ533" s="202">
        <f t="shared" si="1792"/>
        <v>-8.3204930662557741E-2</v>
      </c>
      <c r="CK533" s="202">
        <f t="shared" si="1792"/>
        <v>-5.8641975308642014E-2</v>
      </c>
      <c r="CL533" s="202">
        <f t="shared" si="1792"/>
        <v>-3.9001560062402518E-2</v>
      </c>
      <c r="CM533" s="202">
        <f t="shared" si="1792"/>
        <v>-4.784688995215336E-3</v>
      </c>
      <c r="CN533" s="202">
        <f t="shared" si="1792"/>
        <v>-4.6783625730994149E-2</v>
      </c>
      <c r="CO533" s="202">
        <f t="shared" si="1792"/>
        <v>2.3529411764705799E-2</v>
      </c>
      <c r="CP533" s="202">
        <f t="shared" si="1792"/>
        <v>3.2786885245901232E-3</v>
      </c>
      <c r="CQ533" s="202">
        <f>CQ409/CN409-1</f>
        <v>1.0272186781272286E-2</v>
      </c>
      <c r="CR533" s="202">
        <f t="shared" si="1793"/>
        <v>3.6231447237886627E-3</v>
      </c>
      <c r="CS533" s="202">
        <f t="shared" si="1793"/>
        <v>5.9092843323425015E-3</v>
      </c>
      <c r="CT533" s="202">
        <f t="shared" si="1793"/>
        <v>5.212043294203772E-3</v>
      </c>
      <c r="CU533" s="202">
        <f t="shared" si="1793"/>
        <v>4.5884290968609687E-3</v>
      </c>
      <c r="CV533" s="202">
        <f t="shared" si="1793"/>
        <v>4.0295871230247027E-3</v>
      </c>
      <c r="CW533" s="202">
        <f t="shared" si="1793"/>
        <v>3.5278517969790091E-3</v>
      </c>
    </row>
    <row r="534" spans="1:152">
      <c r="A534" s="137" t="s">
        <v>681</v>
      </c>
      <c r="AA534" s="202" t="e">
        <f t="shared" si="1786"/>
        <v>#DIV/0!</v>
      </c>
      <c r="AB534" s="202" t="e">
        <f t="shared" si="1786"/>
        <v>#DIV/0!</v>
      </c>
      <c r="AC534" s="202" t="e">
        <f t="shared" si="1786"/>
        <v>#DIV/0!</v>
      </c>
      <c r="AD534" s="202" t="e">
        <f t="shared" si="1786"/>
        <v>#DIV/0!</v>
      </c>
      <c r="AE534" s="202" t="e">
        <f t="shared" si="1786"/>
        <v>#DIV/0!</v>
      </c>
      <c r="AF534" s="202" t="e">
        <f t="shared" si="1786"/>
        <v>#DIV/0!</v>
      </c>
      <c r="AG534" s="202" t="e">
        <f t="shared" si="1786"/>
        <v>#DIV/0!</v>
      </c>
      <c r="AH534" s="202" t="e">
        <f t="shared" si="1786"/>
        <v>#DIV/0!</v>
      </c>
      <c r="AI534" s="202" t="e">
        <f t="shared" si="1786"/>
        <v>#DIV/0!</v>
      </c>
      <c r="AJ534" s="202" t="e">
        <f t="shared" si="1786"/>
        <v>#DIV/0!</v>
      </c>
      <c r="AK534" s="202" t="e">
        <f t="shared" si="1787"/>
        <v>#DIV/0!</v>
      </c>
      <c r="AL534" s="202" t="e">
        <f t="shared" si="1787"/>
        <v>#DIV/0!</v>
      </c>
      <c r="AM534" s="202" t="e">
        <f t="shared" si="1787"/>
        <v>#DIV/0!</v>
      </c>
      <c r="AN534" s="202" t="e">
        <f t="shared" si="1787"/>
        <v>#DIV/0!</v>
      </c>
      <c r="AO534" s="202" t="e">
        <f t="shared" si="1787"/>
        <v>#DIV/0!</v>
      </c>
      <c r="AP534" s="202" t="e">
        <f t="shared" si="1787"/>
        <v>#DIV/0!</v>
      </c>
      <c r="AQ534" s="202" t="e">
        <f t="shared" si="1787"/>
        <v>#DIV/0!</v>
      </c>
      <c r="AR534" s="202" t="e">
        <f t="shared" si="1787"/>
        <v>#DIV/0!</v>
      </c>
      <c r="AS534" s="202" t="e">
        <f t="shared" si="1787"/>
        <v>#DIV/0!</v>
      </c>
      <c r="AT534" s="202" t="e">
        <f t="shared" si="1787"/>
        <v>#DIV/0!</v>
      </c>
      <c r="AU534" s="202" t="e">
        <f t="shared" si="1788"/>
        <v>#DIV/0!</v>
      </c>
      <c r="AV534" s="202" t="e">
        <f t="shared" si="1788"/>
        <v>#DIV/0!</v>
      </c>
      <c r="AW534" s="202" t="e">
        <f t="shared" si="1788"/>
        <v>#DIV/0!</v>
      </c>
      <c r="AX534" s="202" t="e">
        <f t="shared" si="1788"/>
        <v>#DIV/0!</v>
      </c>
      <c r="AY534" s="202" t="e">
        <f t="shared" si="1788"/>
        <v>#DIV/0!</v>
      </c>
      <c r="AZ534" s="202" t="e">
        <f t="shared" si="1788"/>
        <v>#DIV/0!</v>
      </c>
      <c r="BA534" s="202" t="e">
        <f t="shared" si="1788"/>
        <v>#DIV/0!</v>
      </c>
      <c r="BB534" s="202" t="e">
        <f t="shared" si="1788"/>
        <v>#DIV/0!</v>
      </c>
      <c r="BC534" s="202" t="e">
        <f t="shared" si="1788"/>
        <v>#DIV/0!</v>
      </c>
      <c r="BD534" s="202" t="e">
        <f t="shared" si="1788"/>
        <v>#DIV/0!</v>
      </c>
      <c r="BE534" s="202" t="e">
        <f t="shared" si="1789"/>
        <v>#DIV/0!</v>
      </c>
      <c r="BF534" s="202" t="e">
        <f t="shared" si="1789"/>
        <v>#DIV/0!</v>
      </c>
      <c r="BG534" s="202" t="e">
        <f t="shared" si="1789"/>
        <v>#DIV/0!</v>
      </c>
      <c r="BH534" s="202" t="e">
        <f t="shared" si="1789"/>
        <v>#DIV/0!</v>
      </c>
      <c r="BI534" s="202" t="e">
        <f t="shared" si="1789"/>
        <v>#DIV/0!</v>
      </c>
      <c r="BJ534" s="202" t="e">
        <f t="shared" si="1789"/>
        <v>#DIV/0!</v>
      </c>
      <c r="BK534" s="202" t="e">
        <f t="shared" si="1789"/>
        <v>#DIV/0!</v>
      </c>
      <c r="BL534" s="202" t="e">
        <f t="shared" si="1789"/>
        <v>#DIV/0!</v>
      </c>
      <c r="BM534" s="202" t="e">
        <f t="shared" si="1789"/>
        <v>#DIV/0!</v>
      </c>
      <c r="BN534" s="202" t="e">
        <f t="shared" si="1789"/>
        <v>#DIV/0!</v>
      </c>
      <c r="BO534" s="202" t="e">
        <f t="shared" si="1790"/>
        <v>#DIV/0!</v>
      </c>
      <c r="BP534" s="202" t="e">
        <f t="shared" si="1790"/>
        <v>#DIV/0!</v>
      </c>
      <c r="BQ534" s="202" t="e">
        <f t="shared" si="1790"/>
        <v>#DIV/0!</v>
      </c>
      <c r="BR534" s="202" t="e">
        <f t="shared" si="1790"/>
        <v>#DIV/0!</v>
      </c>
      <c r="BS534" s="202" t="e">
        <f t="shared" si="1790"/>
        <v>#DIV/0!</v>
      </c>
      <c r="BT534" s="202" t="e">
        <f t="shared" si="1790"/>
        <v>#DIV/0!</v>
      </c>
      <c r="BU534" s="202" t="e">
        <f t="shared" si="1790"/>
        <v>#DIV/0!</v>
      </c>
      <c r="BV534" s="202" t="e">
        <f t="shared" si="1790"/>
        <v>#DIV/0!</v>
      </c>
      <c r="BW534" s="202" t="e">
        <f t="shared" si="1790"/>
        <v>#DIV/0!</v>
      </c>
      <c r="BX534" s="202" t="e">
        <f t="shared" si="1790"/>
        <v>#DIV/0!</v>
      </c>
      <c r="BY534" s="202" t="e">
        <f t="shared" si="1791"/>
        <v>#DIV/0!</v>
      </c>
      <c r="BZ534" s="202" t="e">
        <f t="shared" si="1791"/>
        <v>#DIV/0!</v>
      </c>
      <c r="CA534" s="202" t="e">
        <f t="shared" si="1791"/>
        <v>#DIV/0!</v>
      </c>
      <c r="CB534" s="202" t="e">
        <f t="shared" si="1791"/>
        <v>#DIV/0!</v>
      </c>
      <c r="CC534" s="202" t="e">
        <f t="shared" si="1791"/>
        <v>#DIV/0!</v>
      </c>
      <c r="CD534" s="202" t="e">
        <f t="shared" si="1791"/>
        <v>#DIV/0!</v>
      </c>
      <c r="CE534" s="202" t="e">
        <f t="shared" si="1791"/>
        <v>#DIV/0!</v>
      </c>
      <c r="CF534" s="202" t="e">
        <f t="shared" si="1791"/>
        <v>#DIV/0!</v>
      </c>
      <c r="CG534" s="202" t="e">
        <f t="shared" si="1791"/>
        <v>#DIV/0!</v>
      </c>
      <c r="CH534" s="202" t="e">
        <f t="shared" si="1791"/>
        <v>#DIV/0!</v>
      </c>
      <c r="CI534" s="202" t="e">
        <f t="shared" si="1792"/>
        <v>#DIV/0!</v>
      </c>
      <c r="CJ534" s="202" t="e">
        <f t="shared" si="1792"/>
        <v>#DIV/0!</v>
      </c>
      <c r="CK534" s="202" t="e">
        <f t="shared" si="1792"/>
        <v>#DIV/0!</v>
      </c>
      <c r="CL534" s="202" t="e">
        <f t="shared" si="1792"/>
        <v>#DIV/0!</v>
      </c>
      <c r="CM534" s="202" t="e">
        <f t="shared" si="1792"/>
        <v>#DIV/0!</v>
      </c>
      <c r="CN534" s="202" t="e">
        <f t="shared" si="1792"/>
        <v>#DIV/0!</v>
      </c>
      <c r="CO534" s="202" t="e">
        <f t="shared" si="1792"/>
        <v>#DIV/0!</v>
      </c>
      <c r="CP534" s="202" t="e">
        <f t="shared" si="1792"/>
        <v>#DIV/0!</v>
      </c>
      <c r="CQ534" s="202" t="e">
        <f>CQ410/CN410-1</f>
        <v>#DIV/0!</v>
      </c>
      <c r="CR534" s="202" t="e">
        <f t="shared" si="1793"/>
        <v>#DIV/0!</v>
      </c>
      <c r="CS534" s="202" t="e">
        <f t="shared" si="1793"/>
        <v>#DIV/0!</v>
      </c>
      <c r="CT534" s="202" t="e">
        <f t="shared" si="1793"/>
        <v>#DIV/0!</v>
      </c>
      <c r="CU534" s="202" t="e">
        <f t="shared" si="1793"/>
        <v>#DIV/0!</v>
      </c>
      <c r="CV534" s="202" t="e">
        <f t="shared" si="1793"/>
        <v>#DIV/0!</v>
      </c>
      <c r="CW534" s="202" t="e">
        <f t="shared" si="1793"/>
        <v>#DIV/0!</v>
      </c>
    </row>
    <row r="535" spans="1:152">
      <c r="A535" s="137" t="s">
        <v>643</v>
      </c>
      <c r="AA535" s="202" t="e">
        <f t="shared" si="1786"/>
        <v>#DIV/0!</v>
      </c>
      <c r="AB535" s="202" t="e">
        <f t="shared" si="1786"/>
        <v>#DIV/0!</v>
      </c>
      <c r="AC535" s="202" t="e">
        <f t="shared" si="1786"/>
        <v>#DIV/0!</v>
      </c>
      <c r="AD535" s="202" t="e">
        <f t="shared" si="1786"/>
        <v>#DIV/0!</v>
      </c>
      <c r="AE535" s="202" t="e">
        <f t="shared" si="1786"/>
        <v>#DIV/0!</v>
      </c>
      <c r="AF535" s="202" t="e">
        <f t="shared" si="1786"/>
        <v>#DIV/0!</v>
      </c>
      <c r="AG535" s="202" t="e">
        <f t="shared" si="1786"/>
        <v>#DIV/0!</v>
      </c>
      <c r="AH535" s="202" t="e">
        <f t="shared" si="1786"/>
        <v>#DIV/0!</v>
      </c>
      <c r="AI535" s="202" t="e">
        <f t="shared" si="1786"/>
        <v>#DIV/0!</v>
      </c>
      <c r="AJ535" s="202" t="e">
        <f t="shared" si="1786"/>
        <v>#DIV/0!</v>
      </c>
      <c r="AK535" s="202" t="e">
        <f t="shared" si="1787"/>
        <v>#DIV/0!</v>
      </c>
      <c r="AL535" s="202" t="e">
        <f t="shared" si="1787"/>
        <v>#DIV/0!</v>
      </c>
      <c r="AM535" s="202" t="e">
        <f t="shared" si="1787"/>
        <v>#DIV/0!</v>
      </c>
      <c r="AN535" s="202" t="e">
        <f t="shared" si="1787"/>
        <v>#DIV/0!</v>
      </c>
      <c r="AO535" s="202" t="e">
        <f t="shared" si="1787"/>
        <v>#DIV/0!</v>
      </c>
      <c r="AP535" s="202" t="e">
        <f t="shared" si="1787"/>
        <v>#DIV/0!</v>
      </c>
      <c r="AQ535" s="202" t="e">
        <f t="shared" si="1787"/>
        <v>#DIV/0!</v>
      </c>
      <c r="AR535" s="202" t="e">
        <f t="shared" si="1787"/>
        <v>#DIV/0!</v>
      </c>
      <c r="AS535" s="202" t="e">
        <f t="shared" si="1787"/>
        <v>#DIV/0!</v>
      </c>
      <c r="AT535" s="202" t="e">
        <f t="shared" si="1787"/>
        <v>#DIV/0!</v>
      </c>
      <c r="AU535" s="202" t="e">
        <f t="shared" si="1788"/>
        <v>#DIV/0!</v>
      </c>
      <c r="AV535" s="202" t="e">
        <f t="shared" si="1788"/>
        <v>#DIV/0!</v>
      </c>
      <c r="AW535" s="202" t="e">
        <f t="shared" si="1788"/>
        <v>#DIV/0!</v>
      </c>
      <c r="AX535" s="202" t="e">
        <f t="shared" si="1788"/>
        <v>#DIV/0!</v>
      </c>
      <c r="AY535" s="202" t="e">
        <f t="shared" si="1788"/>
        <v>#DIV/0!</v>
      </c>
      <c r="AZ535" s="202" t="e">
        <f t="shared" si="1788"/>
        <v>#DIV/0!</v>
      </c>
      <c r="BA535" s="202" t="e">
        <f t="shared" si="1788"/>
        <v>#DIV/0!</v>
      </c>
      <c r="BB535" s="202" t="e">
        <f t="shared" si="1788"/>
        <v>#DIV/0!</v>
      </c>
      <c r="BC535" s="202" t="e">
        <f t="shared" si="1788"/>
        <v>#DIV/0!</v>
      </c>
      <c r="BD535" s="202" t="e">
        <f t="shared" si="1788"/>
        <v>#DIV/0!</v>
      </c>
      <c r="BE535" s="202" t="e">
        <f t="shared" si="1789"/>
        <v>#DIV/0!</v>
      </c>
      <c r="BF535" s="202" t="e">
        <f t="shared" si="1789"/>
        <v>#DIV/0!</v>
      </c>
      <c r="BG535" s="202" t="e">
        <f t="shared" si="1789"/>
        <v>#DIV/0!</v>
      </c>
      <c r="BH535" s="202" t="e">
        <f t="shared" si="1789"/>
        <v>#DIV/0!</v>
      </c>
      <c r="BI535" s="202" t="e">
        <f t="shared" si="1789"/>
        <v>#DIV/0!</v>
      </c>
      <c r="BJ535" s="202" t="e">
        <f t="shared" si="1789"/>
        <v>#DIV/0!</v>
      </c>
      <c r="BK535" s="202" t="e">
        <f t="shared" si="1789"/>
        <v>#DIV/0!</v>
      </c>
      <c r="BL535" s="202" t="e">
        <f t="shared" si="1789"/>
        <v>#DIV/0!</v>
      </c>
      <c r="BM535" s="202" t="e">
        <f t="shared" si="1789"/>
        <v>#DIV/0!</v>
      </c>
      <c r="BN535" s="202" t="e">
        <f t="shared" si="1789"/>
        <v>#DIV/0!</v>
      </c>
      <c r="BO535" s="202" t="e">
        <f t="shared" si="1790"/>
        <v>#DIV/0!</v>
      </c>
      <c r="BP535" s="202" t="e">
        <f t="shared" si="1790"/>
        <v>#DIV/0!</v>
      </c>
      <c r="BQ535" s="202" t="e">
        <f t="shared" si="1790"/>
        <v>#DIV/0!</v>
      </c>
      <c r="BR535" s="202" t="e">
        <f t="shared" si="1790"/>
        <v>#DIV/0!</v>
      </c>
      <c r="BS535" s="202" t="e">
        <f t="shared" si="1790"/>
        <v>#DIV/0!</v>
      </c>
      <c r="BT535" s="202" t="e">
        <f t="shared" si="1790"/>
        <v>#DIV/0!</v>
      </c>
      <c r="BU535" s="202">
        <f t="shared" si="1790"/>
        <v>0.21212121212121215</v>
      </c>
      <c r="BV535" s="202">
        <f t="shared" si="1790"/>
        <v>0.19428571428571439</v>
      </c>
      <c r="BW535" s="202">
        <f t="shared" si="1790"/>
        <v>0.16216216216216206</v>
      </c>
      <c r="BX535" s="202">
        <f t="shared" si="1790"/>
        <v>0.11734693877551017</v>
      </c>
      <c r="BY535" s="202">
        <f t="shared" si="1791"/>
        <v>0.1692094313453536</v>
      </c>
      <c r="BZ535" s="202">
        <f t="shared" si="1791"/>
        <v>0.1100000000000001</v>
      </c>
      <c r="CA535" s="202">
        <f t="shared" si="1791"/>
        <v>9.5693779904306275E-2</v>
      </c>
      <c r="CB535" s="202">
        <f t="shared" si="1791"/>
        <v>7.441860465116279E-2</v>
      </c>
      <c r="CC535" s="202">
        <f t="shared" si="1791"/>
        <v>0.1095890410958904</v>
      </c>
      <c r="CD535" s="202">
        <f t="shared" si="1791"/>
        <v>9.7271648873072269E-2</v>
      </c>
      <c r="CE535" s="202">
        <f t="shared" si="1791"/>
        <v>9.9099099099099197E-2</v>
      </c>
      <c r="CF535" s="202">
        <f t="shared" si="1791"/>
        <v>9.606986899563319E-2</v>
      </c>
      <c r="CG535" s="202">
        <f t="shared" si="1791"/>
        <v>8.6580086580086535E-2</v>
      </c>
      <c r="CH535" s="202">
        <f t="shared" si="1791"/>
        <v>1.6460905349794164E-2</v>
      </c>
      <c r="CI535" s="202">
        <f t="shared" si="1792"/>
        <v>7.3513513513513429E-2</v>
      </c>
      <c r="CJ535" s="202">
        <f t="shared" si="1792"/>
        <v>4.0983606557376984E-2</v>
      </c>
      <c r="CK535" s="202">
        <f t="shared" si="1792"/>
        <v>1.195219123505975E-2</v>
      </c>
      <c r="CL535" s="202">
        <f t="shared" si="1792"/>
        <v>1.5936254980079667E-2</v>
      </c>
      <c r="CM535" s="202">
        <f t="shared" si="1792"/>
        <v>2.8340080971659853E-2</v>
      </c>
      <c r="CN535" s="202">
        <f t="shared" si="1792"/>
        <v>2.4169184290030232E-2</v>
      </c>
      <c r="CO535" s="202">
        <f t="shared" si="1792"/>
        <v>-1.1811023622047223E-2</v>
      </c>
      <c r="CP535" s="202">
        <f t="shared" si="1792"/>
        <v>-7.8740157480314821E-3</v>
      </c>
      <c r="CQ535" s="202">
        <f>CQ411/CN411-1</f>
        <v>-3.0110954902227149E-3</v>
      </c>
      <c r="CR535" s="202">
        <f t="shared" si="1793"/>
        <v>4.9958694205445964E-2</v>
      </c>
      <c r="CS535" s="202">
        <f t="shared" si="1793"/>
        <v>2.3352922980046653E-2</v>
      </c>
      <c r="CT535" s="202">
        <f t="shared" si="1793"/>
        <v>3.4230013598889553E-2</v>
      </c>
      <c r="CU535" s="202">
        <f t="shared" si="1793"/>
        <v>2.206473295676048E-2</v>
      </c>
      <c r="CV535" s="202">
        <f t="shared" si="1793"/>
        <v>2.1588390877091301E-2</v>
      </c>
      <c r="CW535" s="202">
        <f t="shared" si="1793"/>
        <v>2.1132181091600533E-2</v>
      </c>
    </row>
    <row r="536" spans="1:152">
      <c r="A536" s="139" t="s">
        <v>645</v>
      </c>
      <c r="B536" s="387"/>
      <c r="C536" s="387"/>
      <c r="D536" s="387"/>
      <c r="E536" s="387"/>
      <c r="F536" s="387"/>
      <c r="G536" s="387"/>
      <c r="H536" s="387"/>
      <c r="I536" s="387"/>
      <c r="J536" s="387"/>
      <c r="K536" s="387"/>
      <c r="L536" s="387"/>
      <c r="M536" s="387"/>
      <c r="N536" s="387"/>
      <c r="O536" s="387"/>
      <c r="P536" s="387"/>
      <c r="Q536" s="387"/>
      <c r="R536" s="387"/>
      <c r="S536" s="387"/>
      <c r="T536" s="387"/>
      <c r="U536" s="387"/>
      <c r="V536" s="387"/>
      <c r="W536" s="387"/>
      <c r="X536" s="387"/>
      <c r="Y536" s="387"/>
      <c r="Z536" s="387"/>
      <c r="AA536" s="388" t="e">
        <f t="shared" ref="AA536:BF536" si="1794">AA414/V414-1</f>
        <v>#DIV/0!</v>
      </c>
      <c r="AB536" s="388" t="e">
        <f t="shared" si="1794"/>
        <v>#DIV/0!</v>
      </c>
      <c r="AC536" s="388" t="e">
        <f t="shared" si="1794"/>
        <v>#DIV/0!</v>
      </c>
      <c r="AD536" s="388" t="e">
        <f t="shared" si="1794"/>
        <v>#DIV/0!</v>
      </c>
      <c r="AE536" s="388" t="e">
        <f t="shared" si="1794"/>
        <v>#DIV/0!</v>
      </c>
      <c r="AF536" s="388" t="e">
        <f t="shared" si="1794"/>
        <v>#DIV/0!</v>
      </c>
      <c r="AG536" s="388" t="e">
        <f t="shared" si="1794"/>
        <v>#DIV/0!</v>
      </c>
      <c r="AH536" s="388" t="e">
        <f t="shared" si="1794"/>
        <v>#DIV/0!</v>
      </c>
      <c r="AI536" s="388" t="e">
        <f t="shared" si="1794"/>
        <v>#DIV/0!</v>
      </c>
      <c r="AJ536" s="388" t="e">
        <f t="shared" si="1794"/>
        <v>#DIV/0!</v>
      </c>
      <c r="AK536" s="388" t="e">
        <f t="shared" si="1794"/>
        <v>#DIV/0!</v>
      </c>
      <c r="AL536" s="388" t="e">
        <f t="shared" si="1794"/>
        <v>#DIV/0!</v>
      </c>
      <c r="AM536" s="388" t="e">
        <f t="shared" si="1794"/>
        <v>#DIV/0!</v>
      </c>
      <c r="AN536" s="388" t="e">
        <f t="shared" si="1794"/>
        <v>#DIV/0!</v>
      </c>
      <c r="AO536" s="388" t="e">
        <f t="shared" si="1794"/>
        <v>#DIV/0!</v>
      </c>
      <c r="AP536" s="388" t="e">
        <f t="shared" si="1794"/>
        <v>#DIV/0!</v>
      </c>
      <c r="AQ536" s="388" t="e">
        <f t="shared" si="1794"/>
        <v>#DIV/0!</v>
      </c>
      <c r="AR536" s="388" t="e">
        <f t="shared" si="1794"/>
        <v>#DIV/0!</v>
      </c>
      <c r="AS536" s="388" t="e">
        <f t="shared" si="1794"/>
        <v>#DIV/0!</v>
      </c>
      <c r="AT536" s="388" t="e">
        <f t="shared" si="1794"/>
        <v>#DIV/0!</v>
      </c>
      <c r="AU536" s="388" t="e">
        <f t="shared" si="1794"/>
        <v>#DIV/0!</v>
      </c>
      <c r="AV536" s="388" t="e">
        <f t="shared" si="1794"/>
        <v>#DIV/0!</v>
      </c>
      <c r="AW536" s="388" t="e">
        <f t="shared" si="1794"/>
        <v>#DIV/0!</v>
      </c>
      <c r="AX536" s="388" t="e">
        <f t="shared" si="1794"/>
        <v>#DIV/0!</v>
      </c>
      <c r="AY536" s="388" t="e">
        <f t="shared" si="1794"/>
        <v>#DIV/0!</v>
      </c>
      <c r="AZ536" s="388" t="e">
        <f t="shared" si="1794"/>
        <v>#DIV/0!</v>
      </c>
      <c r="BA536" s="388" t="e">
        <f t="shared" si="1794"/>
        <v>#DIV/0!</v>
      </c>
      <c r="BB536" s="388" t="e">
        <f t="shared" si="1794"/>
        <v>#DIV/0!</v>
      </c>
      <c r="BC536" s="388" t="e">
        <f t="shared" si="1794"/>
        <v>#DIV/0!</v>
      </c>
      <c r="BD536" s="388" t="e">
        <f t="shared" si="1794"/>
        <v>#DIV/0!</v>
      </c>
      <c r="BE536" s="388" t="e">
        <f t="shared" si="1794"/>
        <v>#DIV/0!</v>
      </c>
      <c r="BF536" s="388" t="e">
        <f t="shared" si="1794"/>
        <v>#DIV/0!</v>
      </c>
      <c r="BG536" s="388" t="e">
        <f t="shared" ref="BG536:CP536" si="1795">BG414/BB414-1</f>
        <v>#DIV/0!</v>
      </c>
      <c r="BH536" s="388" t="e">
        <f t="shared" si="1795"/>
        <v>#DIV/0!</v>
      </c>
      <c r="BI536" s="388" t="e">
        <f t="shared" si="1795"/>
        <v>#DIV/0!</v>
      </c>
      <c r="BJ536" s="388" t="e">
        <f t="shared" si="1795"/>
        <v>#DIV/0!</v>
      </c>
      <c r="BK536" s="388" t="e">
        <f t="shared" si="1795"/>
        <v>#DIV/0!</v>
      </c>
      <c r="BL536" s="388" t="e">
        <f t="shared" si="1795"/>
        <v>#DIV/0!</v>
      </c>
      <c r="BM536" s="388" t="e">
        <f t="shared" si="1795"/>
        <v>#DIV/0!</v>
      </c>
      <c r="BN536" s="388" t="e">
        <f t="shared" si="1795"/>
        <v>#DIV/0!</v>
      </c>
      <c r="BO536" s="388" t="e">
        <f t="shared" si="1795"/>
        <v>#DIV/0!</v>
      </c>
      <c r="BP536" s="388" t="e">
        <f t="shared" si="1795"/>
        <v>#DIV/0!</v>
      </c>
      <c r="BQ536" s="388" t="e">
        <f t="shared" si="1795"/>
        <v>#DIV/0!</v>
      </c>
      <c r="BR536" s="388" t="e">
        <f t="shared" si="1795"/>
        <v>#DIV/0!</v>
      </c>
      <c r="BS536" s="388" t="e">
        <f t="shared" si="1795"/>
        <v>#DIV/0!</v>
      </c>
      <c r="BT536" s="388" t="e">
        <f t="shared" si="1795"/>
        <v>#DIV/0!</v>
      </c>
      <c r="BU536" s="388">
        <f t="shared" si="1795"/>
        <v>2.4329382407985101E-2</v>
      </c>
      <c r="BV536" s="388">
        <f t="shared" si="1795"/>
        <v>4.4280442804428111E-2</v>
      </c>
      <c r="BW536" s="388">
        <f t="shared" si="1795"/>
        <v>4.1137326073805269E-2</v>
      </c>
      <c r="BX536" s="388">
        <f t="shared" si="1795"/>
        <v>8.2251082251082241E-2</v>
      </c>
      <c r="BY536" s="388">
        <f t="shared" si="1795"/>
        <v>4.8007385751654086E-2</v>
      </c>
      <c r="BZ536" s="388">
        <f t="shared" si="1795"/>
        <v>6.3946406820950097E-2</v>
      </c>
      <c r="CA536" s="388">
        <f t="shared" si="1795"/>
        <v>3.1213191990577149E-2</v>
      </c>
      <c r="CB536" s="388">
        <f t="shared" si="1795"/>
        <v>2.5566531086577582E-2</v>
      </c>
      <c r="CC536" s="388">
        <f t="shared" si="1795"/>
        <v>2.9142857142857137E-2</v>
      </c>
      <c r="CD536" s="388">
        <f t="shared" si="1795"/>
        <v>3.7145793569226315E-2</v>
      </c>
      <c r="CE536" s="388">
        <f t="shared" si="1795"/>
        <v>3.2627361190612492E-2</v>
      </c>
      <c r="CF536" s="388">
        <f t="shared" si="1795"/>
        <v>3.6550542547115983E-2</v>
      </c>
      <c r="CG536" s="388">
        <f t="shared" si="1795"/>
        <v>2.9461756373937664E-2</v>
      </c>
      <c r="CH536" s="388">
        <f t="shared" si="1795"/>
        <v>1.1660188784008874E-2</v>
      </c>
      <c r="CI536" s="388">
        <f t="shared" si="1795"/>
        <v>2.7463193657984108E-2</v>
      </c>
      <c r="CJ536" s="388">
        <f t="shared" si="1795"/>
        <v>-1.7184035476718429E-2</v>
      </c>
      <c r="CK536" s="388">
        <f t="shared" si="1795"/>
        <v>-9.91735537190086E-3</v>
      </c>
      <c r="CL536" s="388">
        <f t="shared" si="1795"/>
        <v>3.302146395156802E-3</v>
      </c>
      <c r="CM536" s="388">
        <f t="shared" si="1795"/>
        <v>1.7563117453347932E-2</v>
      </c>
      <c r="CN536" s="388">
        <f t="shared" si="1795"/>
        <v>-1.515569027280228E-3</v>
      </c>
      <c r="CO536" s="388">
        <f t="shared" si="1795"/>
        <v>2.8200789622109479E-2</v>
      </c>
      <c r="CP536" s="388">
        <f t="shared" si="1795"/>
        <v>2.1702838063438978E-2</v>
      </c>
      <c r="CQ536" s="388">
        <f>CQ414/CN414-1</f>
        <v>1.9077748404678907E-2</v>
      </c>
      <c r="CR536" s="388">
        <f t="shared" ref="CR536:CW536" si="1796">CR414/CQ414-1</f>
        <v>1.6483483312343949E-2</v>
      </c>
      <c r="CS536" s="388">
        <f t="shared" si="1796"/>
        <v>1.7561958661689525E-2</v>
      </c>
      <c r="CT536" s="388">
        <f t="shared" si="1796"/>
        <v>1.8566309275635406E-2</v>
      </c>
      <c r="CU536" s="388">
        <f t="shared" si="1796"/>
        <v>1.6357344681189545E-2</v>
      </c>
      <c r="CV536" s="388">
        <f t="shared" si="1796"/>
        <v>1.5862489322293172E-2</v>
      </c>
      <c r="CW536" s="388">
        <f t="shared" si="1796"/>
        <v>1.5419981528267623E-2</v>
      </c>
    </row>
    <row r="537" spans="1:152">
      <c r="A537" s="137" t="s">
        <v>646</v>
      </c>
    </row>
    <row r="538" spans="1:152">
      <c r="A538" s="137" t="s">
        <v>635</v>
      </c>
    </row>
    <row r="539" spans="1:152">
      <c r="A539" s="139" t="s">
        <v>647</v>
      </c>
      <c r="B539" s="387"/>
      <c r="C539" s="387"/>
      <c r="D539" s="387"/>
      <c r="E539" s="387"/>
      <c r="F539" s="387"/>
      <c r="G539" s="387"/>
      <c r="H539" s="387"/>
      <c r="I539" s="387"/>
      <c r="J539" s="387"/>
      <c r="K539" s="387"/>
      <c r="L539" s="387"/>
      <c r="M539" s="387"/>
      <c r="N539" s="387"/>
      <c r="O539" s="387"/>
      <c r="P539" s="387"/>
      <c r="Q539" s="387"/>
      <c r="R539" s="387"/>
      <c r="S539" s="387"/>
      <c r="T539" s="387"/>
      <c r="U539" s="387"/>
      <c r="V539" s="387"/>
      <c r="W539" s="387"/>
      <c r="X539" s="387"/>
      <c r="Y539" s="387"/>
      <c r="Z539" s="387"/>
      <c r="AA539" s="388" t="e">
        <f t="shared" ref="AA539:BF539" si="1797">AA426/V426-1</f>
        <v>#DIV/0!</v>
      </c>
      <c r="AB539" s="388" t="e">
        <f t="shared" si="1797"/>
        <v>#DIV/0!</v>
      </c>
      <c r="AC539" s="388" t="e">
        <f t="shared" si="1797"/>
        <v>#DIV/0!</v>
      </c>
      <c r="AD539" s="388" t="e">
        <f t="shared" si="1797"/>
        <v>#DIV/0!</v>
      </c>
      <c r="AE539" s="388" t="e">
        <f t="shared" si="1797"/>
        <v>#DIV/0!</v>
      </c>
      <c r="AF539" s="388" t="e">
        <f t="shared" si="1797"/>
        <v>#DIV/0!</v>
      </c>
      <c r="AG539" s="388" t="e">
        <f t="shared" si="1797"/>
        <v>#DIV/0!</v>
      </c>
      <c r="AH539" s="388" t="e">
        <f t="shared" si="1797"/>
        <v>#DIV/0!</v>
      </c>
      <c r="AI539" s="388" t="e">
        <f t="shared" si="1797"/>
        <v>#DIV/0!</v>
      </c>
      <c r="AJ539" s="388" t="e">
        <f t="shared" si="1797"/>
        <v>#DIV/0!</v>
      </c>
      <c r="AK539" s="388" t="e">
        <f t="shared" si="1797"/>
        <v>#DIV/0!</v>
      </c>
      <c r="AL539" s="388" t="e">
        <f t="shared" si="1797"/>
        <v>#DIV/0!</v>
      </c>
      <c r="AM539" s="388" t="e">
        <f t="shared" si="1797"/>
        <v>#DIV/0!</v>
      </c>
      <c r="AN539" s="388" t="e">
        <f t="shared" si="1797"/>
        <v>#DIV/0!</v>
      </c>
      <c r="AO539" s="388" t="e">
        <f t="shared" si="1797"/>
        <v>#DIV/0!</v>
      </c>
      <c r="AP539" s="388" t="e">
        <f t="shared" si="1797"/>
        <v>#DIV/0!</v>
      </c>
      <c r="AQ539" s="388" t="e">
        <f t="shared" si="1797"/>
        <v>#DIV/0!</v>
      </c>
      <c r="AR539" s="388" t="e">
        <f t="shared" si="1797"/>
        <v>#DIV/0!</v>
      </c>
      <c r="AS539" s="388" t="e">
        <f t="shared" si="1797"/>
        <v>#DIV/0!</v>
      </c>
      <c r="AT539" s="388" t="e">
        <f t="shared" si="1797"/>
        <v>#DIV/0!</v>
      </c>
      <c r="AU539" s="388" t="e">
        <f t="shared" si="1797"/>
        <v>#DIV/0!</v>
      </c>
      <c r="AV539" s="388" t="e">
        <f t="shared" si="1797"/>
        <v>#DIV/0!</v>
      </c>
      <c r="AW539" s="388" t="e">
        <f t="shared" si="1797"/>
        <v>#DIV/0!</v>
      </c>
      <c r="AX539" s="388" t="e">
        <f t="shared" si="1797"/>
        <v>#DIV/0!</v>
      </c>
      <c r="AY539" s="388" t="e">
        <f t="shared" si="1797"/>
        <v>#DIV/0!</v>
      </c>
      <c r="AZ539" s="388" t="e">
        <f t="shared" si="1797"/>
        <v>#DIV/0!</v>
      </c>
      <c r="BA539" s="388" t="e">
        <f t="shared" si="1797"/>
        <v>#DIV/0!</v>
      </c>
      <c r="BB539" s="388" t="e">
        <f t="shared" si="1797"/>
        <v>#DIV/0!</v>
      </c>
      <c r="BC539" s="388" t="e">
        <f t="shared" si="1797"/>
        <v>#DIV/0!</v>
      </c>
      <c r="BD539" s="388" t="e">
        <f t="shared" si="1797"/>
        <v>#DIV/0!</v>
      </c>
      <c r="BE539" s="388" t="e">
        <f t="shared" si="1797"/>
        <v>#DIV/0!</v>
      </c>
      <c r="BF539" s="388" t="e">
        <f t="shared" si="1797"/>
        <v>#DIV/0!</v>
      </c>
      <c r="BG539" s="388" t="e">
        <f t="shared" ref="BG539:CP539" si="1798">BG426/BB426-1</f>
        <v>#DIV/0!</v>
      </c>
      <c r="BH539" s="388" t="e">
        <f t="shared" si="1798"/>
        <v>#DIV/0!</v>
      </c>
      <c r="BI539" s="388" t="e">
        <f t="shared" si="1798"/>
        <v>#DIV/0!</v>
      </c>
      <c r="BJ539" s="388" t="e">
        <f t="shared" si="1798"/>
        <v>#DIV/0!</v>
      </c>
      <c r="BK539" s="388" t="e">
        <f t="shared" si="1798"/>
        <v>#DIV/0!</v>
      </c>
      <c r="BL539" s="388" t="e">
        <f t="shared" si="1798"/>
        <v>#DIV/0!</v>
      </c>
      <c r="BM539" s="388" t="e">
        <f t="shared" si="1798"/>
        <v>#DIV/0!</v>
      </c>
      <c r="BN539" s="388" t="e">
        <f t="shared" si="1798"/>
        <v>#DIV/0!</v>
      </c>
      <c r="BO539" s="388" t="e">
        <f t="shared" si="1798"/>
        <v>#DIV/0!</v>
      </c>
      <c r="BP539" s="388" t="e">
        <f t="shared" si="1798"/>
        <v>#DIV/0!</v>
      </c>
      <c r="BQ539" s="388" t="e">
        <f t="shared" si="1798"/>
        <v>#DIV/0!</v>
      </c>
      <c r="BR539" s="388" t="e">
        <f t="shared" si="1798"/>
        <v>#DIV/0!</v>
      </c>
      <c r="BS539" s="388" t="e">
        <f t="shared" si="1798"/>
        <v>#DIV/0!</v>
      </c>
      <c r="BT539" s="388" t="e">
        <f t="shared" si="1798"/>
        <v>#DIV/0!</v>
      </c>
      <c r="BU539" s="388">
        <f t="shared" si="1798"/>
        <v>5.4347826086956541E-2</v>
      </c>
      <c r="BV539" s="388">
        <f t="shared" si="1798"/>
        <v>4.0431266846361114E-2</v>
      </c>
      <c r="BW539" s="388">
        <f t="shared" si="1798"/>
        <v>1.8421052631578894E-2</v>
      </c>
      <c r="BX539" s="388">
        <f t="shared" si="1798"/>
        <v>-8.7719298245614086E-2</v>
      </c>
      <c r="BY539" s="388">
        <f t="shared" si="1798"/>
        <v>4.6113306982871194E-3</v>
      </c>
      <c r="BZ539" s="388">
        <f t="shared" si="1798"/>
        <v>-5.9278350515463929E-2</v>
      </c>
      <c r="CA539" s="388">
        <f t="shared" si="1798"/>
        <v>-6.2176165803108807E-2</v>
      </c>
      <c r="CB539" s="388">
        <f t="shared" si="1798"/>
        <v>-1.8087855297157618E-2</v>
      </c>
      <c r="CC539" s="388">
        <f t="shared" si="1798"/>
        <v>0.10164835164835173</v>
      </c>
      <c r="CD539" s="388">
        <f t="shared" si="1798"/>
        <v>-1.1147540983606596E-2</v>
      </c>
      <c r="CE539" s="388">
        <f t="shared" si="1798"/>
        <v>6.02739726027397E-2</v>
      </c>
      <c r="CF539" s="388">
        <f t="shared" si="1798"/>
        <v>0.10773480662983426</v>
      </c>
      <c r="CG539" s="388">
        <f t="shared" si="1798"/>
        <v>4.2105263157894646E-2</v>
      </c>
      <c r="CH539" s="388">
        <f t="shared" si="1798"/>
        <v>6.2344139650872821E-2</v>
      </c>
      <c r="CI539" s="388">
        <f t="shared" si="1798"/>
        <v>6.7639257294429767E-2</v>
      </c>
      <c r="CJ539" s="388">
        <f t="shared" si="1798"/>
        <v>2.8423772609819098E-2</v>
      </c>
      <c r="CK539" s="388">
        <f t="shared" si="1798"/>
        <v>1.4962593516209433E-2</v>
      </c>
      <c r="CL539" s="388">
        <f t="shared" si="1798"/>
        <v>5.555555555555558E-2</v>
      </c>
      <c r="CM539" s="388">
        <f t="shared" si="1798"/>
        <v>3.7558685446009488E-2</v>
      </c>
      <c r="CN539" s="388">
        <f t="shared" si="1798"/>
        <v>3.4161490683229712E-2</v>
      </c>
      <c r="CO539" s="388">
        <f t="shared" si="1798"/>
        <v>5.2763819095477338E-2</v>
      </c>
      <c r="CP539" s="388">
        <f t="shared" si="1798"/>
        <v>2.2113022113022129E-2</v>
      </c>
      <c r="CQ539" s="388">
        <f>CQ426/CN426-1</f>
        <v>2.4999999999999467E-3</v>
      </c>
      <c r="CR539" s="388">
        <f t="shared" ref="CR539:CW539" si="1799">CR426/CQ426-1</f>
        <v>5.0000000000000044E-2</v>
      </c>
      <c r="CS539" s="388">
        <f t="shared" si="1799"/>
        <v>5.0000000000000044E-2</v>
      </c>
      <c r="CT539" s="388">
        <f t="shared" si="1799"/>
        <v>5.0000000000000044E-2</v>
      </c>
      <c r="CU539" s="388">
        <f t="shared" si="1799"/>
        <v>5.0000000000000044E-2</v>
      </c>
      <c r="CV539" s="388">
        <f t="shared" si="1799"/>
        <v>5.0000000000000044E-2</v>
      </c>
      <c r="CW539" s="388">
        <f t="shared" si="1799"/>
        <v>5.0000000000000044E-2</v>
      </c>
    </row>
    <row r="540" spans="1:152" s="221" customFormat="1">
      <c r="A540" s="235" t="s">
        <v>448</v>
      </c>
      <c r="AA540" s="342" t="e">
        <f t="shared" ref="AA540:BF540" si="1800">AA429/V429-1</f>
        <v>#DIV/0!</v>
      </c>
      <c r="AB540" s="342">
        <f t="shared" si="1800"/>
        <v>2.5849688846337981E-2</v>
      </c>
      <c r="AC540" s="342">
        <f t="shared" si="1800"/>
        <v>-1</v>
      </c>
      <c r="AD540" s="342">
        <f t="shared" si="1800"/>
        <v>-1</v>
      </c>
      <c r="AE540" s="342">
        <f t="shared" si="1800"/>
        <v>-1</v>
      </c>
      <c r="AF540" s="342">
        <f t="shared" si="1800"/>
        <v>-0.74900445069102828</v>
      </c>
      <c r="AG540" s="342">
        <f t="shared" si="1800"/>
        <v>-4.9463369108726063E-2</v>
      </c>
      <c r="AH540" s="342" t="e">
        <f t="shared" si="1800"/>
        <v>#DIV/0!</v>
      </c>
      <c r="AI540" s="342" t="e">
        <f t="shared" si="1800"/>
        <v>#DIV/0!</v>
      </c>
      <c r="AJ540" s="342" t="e">
        <f t="shared" si="1800"/>
        <v>#DIV/0!</v>
      </c>
      <c r="AK540" s="342">
        <f t="shared" si="1800"/>
        <v>2.8329444703686422</v>
      </c>
      <c r="AL540" s="342">
        <f t="shared" si="1800"/>
        <v>4.1728031418753142E-2</v>
      </c>
      <c r="AM540" s="342">
        <f t="shared" si="1800"/>
        <v>2.1016617790811321E-2</v>
      </c>
      <c r="AN540" s="342">
        <f t="shared" si="1800"/>
        <v>5.5365017148456541E-2</v>
      </c>
      <c r="AO540" s="342">
        <f t="shared" si="1800"/>
        <v>3.1100478468899517E-2</v>
      </c>
      <c r="AP540" s="342">
        <f t="shared" si="1800"/>
        <v>3.7253469685902152E-2</v>
      </c>
      <c r="AQ540" s="342">
        <f t="shared" si="1800"/>
        <v>0</v>
      </c>
      <c r="AR540" s="342">
        <f t="shared" si="1800"/>
        <v>-1.627573001436089E-2</v>
      </c>
      <c r="AS540" s="342">
        <f t="shared" si="1800"/>
        <v>-1.9034354688950761E-2</v>
      </c>
      <c r="AT540" s="342">
        <f t="shared" si="1800"/>
        <v>4.6403712296982924E-3</v>
      </c>
      <c r="AU540" s="342">
        <f t="shared" si="1800"/>
        <v>-7.6291079812206286E-3</v>
      </c>
      <c r="AV540" s="342">
        <f t="shared" si="1800"/>
        <v>-2.1677662582469392E-2</v>
      </c>
      <c r="AW540" s="342">
        <f t="shared" si="1800"/>
        <v>6.8126520681264235E-3</v>
      </c>
      <c r="AX540" s="342">
        <f t="shared" si="1800"/>
        <v>-1.0884997633696214E-2</v>
      </c>
      <c r="AY540" s="342">
        <f t="shared" si="1800"/>
        <v>-5.9584295612009286E-2</v>
      </c>
      <c r="AZ540" s="342">
        <f t="shared" si="1800"/>
        <v>-2.1762270845653409E-2</v>
      </c>
      <c r="BA540" s="342">
        <f t="shared" si="1800"/>
        <v>-4.6242774566473965E-2</v>
      </c>
      <c r="BB540" s="342">
        <f t="shared" si="1800"/>
        <v>-2.7066215563073981E-2</v>
      </c>
      <c r="BC540" s="342">
        <f t="shared" si="1800"/>
        <v>-3.0143540669856472E-2</v>
      </c>
      <c r="BD540" s="342">
        <f t="shared" si="1800"/>
        <v>5.893909626718985E-3</v>
      </c>
      <c r="BE540" s="342">
        <f t="shared" si="1800"/>
        <v>-2.454358602345541E-2</v>
      </c>
      <c r="BF540" s="342">
        <f t="shared" si="1800"/>
        <v>-1.6666666666666718E-2</v>
      </c>
      <c r="BG540" s="342">
        <f t="shared" ref="BG540:CP540" si="1801">BG429/BB429-1</f>
        <v>-4.7193243914555372E-2</v>
      </c>
      <c r="BH540" s="342">
        <f t="shared" si="1801"/>
        <v>-4.292057227429702E-2</v>
      </c>
      <c r="BI540" s="342">
        <f t="shared" si="1801"/>
        <v>-2.734375E-2</v>
      </c>
      <c r="BJ540" s="342">
        <f t="shared" si="1801"/>
        <v>-3.3589489340604906E-2</v>
      </c>
      <c r="BK540" s="342">
        <f t="shared" si="1801"/>
        <v>-3.5952747817155073E-3</v>
      </c>
      <c r="BL540" s="342">
        <f t="shared" si="1801"/>
        <v>-9.3847758081334609E-3</v>
      </c>
      <c r="BM540" s="342">
        <f t="shared" si="1801"/>
        <v>0</v>
      </c>
      <c r="BN540" s="342">
        <f t="shared" si="1801"/>
        <v>-2.3594377510040121E-2</v>
      </c>
      <c r="BO540" s="342">
        <f t="shared" si="1801"/>
        <v>-9.2343208926509712E-3</v>
      </c>
      <c r="BP540" s="342">
        <f t="shared" si="1801"/>
        <v>1.5979381443298912E-2</v>
      </c>
      <c r="BQ540" s="342">
        <f t="shared" si="1801"/>
        <v>5.1052631578947461E-2</v>
      </c>
      <c r="BR540" s="342">
        <f t="shared" si="1801"/>
        <v>4.7938144329896959E-2</v>
      </c>
      <c r="BS540" s="342">
        <f t="shared" si="1801"/>
        <v>3.6503856041131044E-2</v>
      </c>
      <c r="BT540" s="342">
        <f t="shared" si="1801"/>
        <v>3.7799352750809145E-2</v>
      </c>
      <c r="BU540" s="342">
        <f t="shared" si="1801"/>
        <v>2.9934043632673824E-2</v>
      </c>
      <c r="BV540" s="342">
        <f t="shared" si="1801"/>
        <v>4.3565348022033046E-2</v>
      </c>
      <c r="BW540" s="342">
        <f t="shared" si="1801"/>
        <v>3.6891293654697455E-2</v>
      </c>
      <c r="BX540" s="342">
        <f t="shared" si="1801"/>
        <v>4.861111111111116E-2</v>
      </c>
      <c r="BY540" s="342">
        <f t="shared" si="1801"/>
        <v>3.979044530372966E-2</v>
      </c>
      <c r="BZ540" s="342">
        <f t="shared" si="1801"/>
        <v>4.0394088669950756E-2</v>
      </c>
      <c r="CA540" s="342">
        <f t="shared" si="1801"/>
        <v>1.3915547024952124E-2</v>
      </c>
      <c r="CB540" s="342">
        <f t="shared" si="1801"/>
        <v>1.7552182163187879E-2</v>
      </c>
      <c r="CC540" s="342">
        <f t="shared" si="1801"/>
        <v>4.1627246925260097E-2</v>
      </c>
      <c r="CD540" s="342">
        <f t="shared" si="1801"/>
        <v>2.831094049904026E-2</v>
      </c>
      <c r="CE540" s="342">
        <f t="shared" si="1801"/>
        <v>3.7405303030302983E-2</v>
      </c>
      <c r="CF540" s="342">
        <f t="shared" si="1801"/>
        <v>4.8745858968291422E-2</v>
      </c>
      <c r="CG540" s="342">
        <f t="shared" si="1801"/>
        <v>3.170163170163165E-2</v>
      </c>
      <c r="CH540" s="342">
        <f t="shared" si="1801"/>
        <v>2.0890099909173454E-2</v>
      </c>
      <c r="CI540" s="342">
        <f t="shared" si="1801"/>
        <v>3.4531031264582346E-2</v>
      </c>
      <c r="CJ540" s="342">
        <f t="shared" si="1801"/>
        <v>-9.1282519397535289E-3</v>
      </c>
      <c r="CK540" s="342">
        <f t="shared" si="1801"/>
        <v>-5.4151624548736121E-3</v>
      </c>
      <c r="CL540" s="342">
        <f t="shared" si="1801"/>
        <v>1.2652507907817467E-2</v>
      </c>
      <c r="CM540" s="342">
        <f t="shared" si="1801"/>
        <v>2.1352313167259718E-2</v>
      </c>
      <c r="CN540" s="342">
        <f t="shared" si="1801"/>
        <v>4.9616599007669127E-3</v>
      </c>
      <c r="CO540" s="342">
        <f t="shared" si="1801"/>
        <v>3.270382312298481E-2</v>
      </c>
      <c r="CP540" s="342">
        <f t="shared" si="1801"/>
        <v>2.1778584392014411E-2</v>
      </c>
      <c r="CQ540" s="342">
        <f>CQ429/CN429-1</f>
        <v>1.5980581540474326E-2</v>
      </c>
      <c r="CR540" s="342">
        <f t="shared" ref="CR540:CW540" si="1802">CR429/CQ429-1</f>
        <v>2.2662180492115436E-2</v>
      </c>
      <c r="CS540" s="342">
        <f t="shared" si="1802"/>
        <v>2.3701695552965418E-2</v>
      </c>
      <c r="CT540" s="342">
        <f t="shared" si="1802"/>
        <v>2.4668789629118004E-2</v>
      </c>
      <c r="CU540" s="342">
        <f t="shared" si="1802"/>
        <v>2.3050132718955396E-2</v>
      </c>
      <c r="CV540" s="342">
        <f t="shared" si="1802"/>
        <v>2.2832621869474323E-2</v>
      </c>
      <c r="CW540" s="342">
        <f t="shared" si="1802"/>
        <v>2.2667997423722719E-2</v>
      </c>
    </row>
    <row r="541" spans="1:152">
      <c r="A541" s="235" t="s">
        <v>640</v>
      </c>
      <c r="AA541" s="202" t="e">
        <f t="shared" ref="AA541:AJ542" si="1803">AA431/V431-1</f>
        <v>#DIV/0!</v>
      </c>
      <c r="AB541" s="202" t="e">
        <f t="shared" si="1803"/>
        <v>#DIV/0!</v>
      </c>
      <c r="AC541" s="202" t="e">
        <f t="shared" si="1803"/>
        <v>#DIV/0!</v>
      </c>
      <c r="AD541" s="202" t="e">
        <f t="shared" si="1803"/>
        <v>#DIV/0!</v>
      </c>
      <c r="AE541" s="202" t="e">
        <f t="shared" si="1803"/>
        <v>#DIV/0!</v>
      </c>
      <c r="AF541" s="202" t="e">
        <f t="shared" si="1803"/>
        <v>#DIV/0!</v>
      </c>
      <c r="AG541" s="202" t="e">
        <f t="shared" si="1803"/>
        <v>#DIV/0!</v>
      </c>
      <c r="AH541" s="202" t="e">
        <f t="shared" si="1803"/>
        <v>#DIV/0!</v>
      </c>
      <c r="AI541" s="202" t="e">
        <f t="shared" si="1803"/>
        <v>#DIV/0!</v>
      </c>
      <c r="AJ541" s="202" t="e">
        <f t="shared" si="1803"/>
        <v>#DIV/0!</v>
      </c>
      <c r="AK541" s="202" t="e">
        <f t="shared" ref="AK541:AT542" si="1804">AK431/AF431-1</f>
        <v>#DIV/0!</v>
      </c>
      <c r="AL541" s="202" t="e">
        <f t="shared" si="1804"/>
        <v>#DIV/0!</v>
      </c>
      <c r="AM541" s="202" t="e">
        <f t="shared" si="1804"/>
        <v>#DIV/0!</v>
      </c>
      <c r="AN541" s="202" t="e">
        <f t="shared" si="1804"/>
        <v>#DIV/0!</v>
      </c>
      <c r="AO541" s="202" t="e">
        <f t="shared" si="1804"/>
        <v>#DIV/0!</v>
      </c>
      <c r="AP541" s="202" t="e">
        <f t="shared" si="1804"/>
        <v>#DIV/0!</v>
      </c>
      <c r="AQ541" s="202" t="e">
        <f t="shared" si="1804"/>
        <v>#DIV/0!</v>
      </c>
      <c r="AR541" s="202" t="e">
        <f t="shared" si="1804"/>
        <v>#DIV/0!</v>
      </c>
      <c r="AS541" s="202" t="e">
        <f t="shared" si="1804"/>
        <v>#DIV/0!</v>
      </c>
      <c r="AT541" s="202" t="e">
        <f t="shared" si="1804"/>
        <v>#DIV/0!</v>
      </c>
      <c r="AU541" s="202" t="e">
        <f t="shared" ref="AU541:BD542" si="1805">AU431/AP431-1</f>
        <v>#DIV/0!</v>
      </c>
      <c r="AV541" s="202" t="e">
        <f t="shared" si="1805"/>
        <v>#DIV/0!</v>
      </c>
      <c r="AW541" s="202" t="e">
        <f t="shared" si="1805"/>
        <v>#DIV/0!</v>
      </c>
      <c r="AX541" s="202" t="e">
        <f t="shared" si="1805"/>
        <v>#DIV/0!</v>
      </c>
      <c r="AY541" s="202" t="e">
        <f t="shared" si="1805"/>
        <v>#DIV/0!</v>
      </c>
      <c r="AZ541" s="202" t="e">
        <f t="shared" si="1805"/>
        <v>#DIV/0!</v>
      </c>
      <c r="BA541" s="202" t="e">
        <f t="shared" si="1805"/>
        <v>#DIV/0!</v>
      </c>
      <c r="BB541" s="202" t="e">
        <f t="shared" si="1805"/>
        <v>#DIV/0!</v>
      </c>
      <c r="BC541" s="202" t="e">
        <f t="shared" si="1805"/>
        <v>#DIV/0!</v>
      </c>
      <c r="BD541" s="202" t="e">
        <f t="shared" si="1805"/>
        <v>#DIV/0!</v>
      </c>
      <c r="BE541" s="202" t="e">
        <f t="shared" ref="BE541:BN542" si="1806">BE431/AZ431-1</f>
        <v>#DIV/0!</v>
      </c>
      <c r="BF541" s="202" t="e">
        <f t="shared" si="1806"/>
        <v>#DIV/0!</v>
      </c>
      <c r="BG541" s="202" t="e">
        <f t="shared" si="1806"/>
        <v>#DIV/0!</v>
      </c>
      <c r="BH541" s="202" t="e">
        <f t="shared" si="1806"/>
        <v>#DIV/0!</v>
      </c>
      <c r="BI541" s="202" t="e">
        <f t="shared" si="1806"/>
        <v>#DIV/0!</v>
      </c>
      <c r="BJ541" s="202" t="e">
        <f t="shared" si="1806"/>
        <v>#DIV/0!</v>
      </c>
      <c r="BK541" s="202" t="e">
        <f t="shared" si="1806"/>
        <v>#DIV/0!</v>
      </c>
      <c r="BL541" s="202" t="e">
        <f t="shared" si="1806"/>
        <v>#DIV/0!</v>
      </c>
      <c r="BM541" s="202" t="e">
        <f t="shared" si="1806"/>
        <v>#DIV/0!</v>
      </c>
      <c r="BN541" s="202" t="e">
        <f t="shared" si="1806"/>
        <v>#DIV/0!</v>
      </c>
      <c r="BO541" s="202" t="e">
        <f t="shared" ref="BO541:BX542" si="1807">BO431/BJ431-1</f>
        <v>#DIV/0!</v>
      </c>
      <c r="BP541" s="202" t="e">
        <f t="shared" si="1807"/>
        <v>#DIV/0!</v>
      </c>
      <c r="BQ541" s="202" t="e">
        <f t="shared" si="1807"/>
        <v>#DIV/0!</v>
      </c>
      <c r="BR541" s="202" t="e">
        <f t="shared" si="1807"/>
        <v>#DIV/0!</v>
      </c>
      <c r="BS541" s="202" t="e">
        <f t="shared" si="1807"/>
        <v>#DIV/0!</v>
      </c>
      <c r="BT541" s="202" t="e">
        <f t="shared" si="1807"/>
        <v>#DIV/0!</v>
      </c>
      <c r="BU541" s="202">
        <f t="shared" si="1807"/>
        <v>0.39776951672862459</v>
      </c>
      <c r="BV541" s="202">
        <f t="shared" si="1807"/>
        <v>0.23188405797101441</v>
      </c>
      <c r="BW541" s="202">
        <f t="shared" si="1807"/>
        <v>0.24789915966386555</v>
      </c>
      <c r="BX541" s="202">
        <f t="shared" si="1807"/>
        <v>0</v>
      </c>
      <c r="BY541" s="202">
        <f t="shared" ref="BY541:CH542" si="1808">BY431/BT431-1</f>
        <v>0.18806214227309903</v>
      </c>
      <c r="BZ541" s="202">
        <f t="shared" si="1808"/>
        <v>0.10106382978723394</v>
      </c>
      <c r="CA541" s="202">
        <f t="shared" si="1808"/>
        <v>5.0000000000000044E-2</v>
      </c>
      <c r="CB541" s="202">
        <f t="shared" si="1808"/>
        <v>0</v>
      </c>
      <c r="CC541" s="202">
        <f t="shared" si="1808"/>
        <v>0.22727272727272729</v>
      </c>
      <c r="CD541" s="202">
        <f t="shared" si="1808"/>
        <v>0.10667584308327593</v>
      </c>
      <c r="CE541" s="202">
        <f t="shared" si="1808"/>
        <v>-4.8309178743961567E-3</v>
      </c>
      <c r="CF541" s="202">
        <f t="shared" si="1808"/>
        <v>3.6414565826330625E-2</v>
      </c>
      <c r="CG541" s="202">
        <f t="shared" si="1808"/>
        <v>0.22222222222222232</v>
      </c>
      <c r="CH541" s="202">
        <f t="shared" si="1808"/>
        <v>-3.1481481481481444E-2</v>
      </c>
      <c r="CI541" s="202">
        <f t="shared" ref="CI541:CP542" si="1809">CI431/CD431-1</f>
        <v>3.7313432835820892E-2</v>
      </c>
      <c r="CJ541" s="202">
        <f t="shared" si="1809"/>
        <v>6.0679611650485521E-2</v>
      </c>
      <c r="CK541" s="202">
        <f t="shared" si="1809"/>
        <v>-3.2432432432432434E-2</v>
      </c>
      <c r="CL541" s="202">
        <f t="shared" si="1809"/>
        <v>-4.132231404958675E-2</v>
      </c>
      <c r="CM541" s="202">
        <f t="shared" si="1809"/>
        <v>0.10898661567877621</v>
      </c>
      <c r="CN541" s="202">
        <f t="shared" si="1809"/>
        <v>3.2973621103117523E-2</v>
      </c>
      <c r="CO541" s="202">
        <f t="shared" si="1809"/>
        <v>0.11899313501144171</v>
      </c>
      <c r="CP541" s="202">
        <f t="shared" si="1809"/>
        <v>0.12849162011173187</v>
      </c>
      <c r="CQ541" s="202">
        <f>CQ431/CN431-1</f>
        <v>9.7602807374974176E-2</v>
      </c>
      <c r="CR541" s="202">
        <f t="shared" ref="CR541:CW542" si="1810">CR431/CQ431-1</f>
        <v>3.5041225820451105E-2</v>
      </c>
      <c r="CS541" s="202">
        <f t="shared" si="1810"/>
        <v>2.8156860968908681E-2</v>
      </c>
      <c r="CT541" s="202">
        <f t="shared" si="1810"/>
        <v>2.7842995226085687E-2</v>
      </c>
      <c r="CU541" s="202">
        <f t="shared" si="1810"/>
        <v>2.7562107517771439E-2</v>
      </c>
      <c r="CV541" s="202">
        <f t="shared" si="1810"/>
        <v>2.7310587329178349E-2</v>
      </c>
      <c r="CW541" s="202">
        <f t="shared" si="1810"/>
        <v>2.7085247489102349E-2</v>
      </c>
    </row>
    <row r="542" spans="1:152">
      <c r="A542" s="312" t="s">
        <v>81</v>
      </c>
      <c r="B542" s="389"/>
      <c r="C542" s="389"/>
      <c r="D542" s="389"/>
      <c r="E542" s="389"/>
      <c r="F542" s="389"/>
      <c r="G542" s="389"/>
      <c r="H542" s="389"/>
      <c r="I542" s="389"/>
      <c r="J542" s="389"/>
      <c r="K542" s="389"/>
      <c r="L542" s="389"/>
      <c r="M542" s="389"/>
      <c r="N542" s="389"/>
      <c r="O542" s="389"/>
      <c r="P542" s="389"/>
      <c r="Q542" s="389"/>
      <c r="R542" s="389"/>
      <c r="S542" s="389"/>
      <c r="T542" s="389"/>
      <c r="U542" s="389"/>
      <c r="V542" s="389"/>
      <c r="W542" s="389"/>
      <c r="X542" s="389"/>
      <c r="Y542" s="389"/>
      <c r="Z542" s="389"/>
      <c r="AA542" s="390">
        <f t="shared" si="1803"/>
        <v>1.1044062393259724E-2</v>
      </c>
      <c r="AB542" s="390">
        <f t="shared" si="1803"/>
        <v>8.9929742388758838E-2</v>
      </c>
      <c r="AC542" s="390">
        <f t="shared" si="1803"/>
        <v>3.238866396761142E-2</v>
      </c>
      <c r="AD542" s="390">
        <f t="shared" si="1803"/>
        <v>1.0379061371841081E-2</v>
      </c>
      <c r="AE542" s="390">
        <f t="shared" si="1803"/>
        <v>-3.5559410234171751E-2</v>
      </c>
      <c r="AF542" s="390">
        <f t="shared" si="1803"/>
        <v>1.6708558558558462E-2</v>
      </c>
      <c r="AG542" s="390">
        <f t="shared" si="1803"/>
        <v>-8.9385474860335212E-2</v>
      </c>
      <c r="AH542" s="390">
        <f t="shared" si="1803"/>
        <v>-9.2810457516339873E-2</v>
      </c>
      <c r="AI542" s="390">
        <f t="shared" si="1803"/>
        <v>-7.771326485037966E-2</v>
      </c>
      <c r="AJ542" s="390">
        <f t="shared" si="1803"/>
        <v>-4.5413669064748197E-2</v>
      </c>
      <c r="AK542" s="390">
        <f t="shared" si="1804"/>
        <v>-6.9156654156474651E-2</v>
      </c>
      <c r="AL542" s="390">
        <f t="shared" si="1804"/>
        <v>1.4157621519584662E-2</v>
      </c>
      <c r="AM542" s="390">
        <f t="shared" si="1804"/>
        <v>1.344860710854956E-2</v>
      </c>
      <c r="AN542" s="390">
        <f t="shared" si="1804"/>
        <v>4.8910411622276051E-2</v>
      </c>
      <c r="AO542" s="390">
        <f t="shared" si="1804"/>
        <v>2.4964672633066343E-2</v>
      </c>
      <c r="AP542" s="390">
        <f t="shared" si="1804"/>
        <v>2.3441218467396441E-2</v>
      </c>
      <c r="AQ542" s="390">
        <f t="shared" si="1804"/>
        <v>-4.1879944160074789E-3</v>
      </c>
      <c r="AR542" s="390">
        <f t="shared" si="1804"/>
        <v>-3.7914691943128354E-3</v>
      </c>
      <c r="AS542" s="390">
        <f t="shared" si="1804"/>
        <v>-4.6168051708217472E-3</v>
      </c>
      <c r="AT542" s="390">
        <f t="shared" si="1804"/>
        <v>1.7463235294117752E-2</v>
      </c>
      <c r="AU542" s="390">
        <f t="shared" si="1805"/>
        <v>1.2789210556911623E-3</v>
      </c>
      <c r="AV542" s="390">
        <f t="shared" si="1805"/>
        <v>0.10981308411214963</v>
      </c>
      <c r="AW542" s="390">
        <f t="shared" si="1805"/>
        <v>0.11084681255946727</v>
      </c>
      <c r="AX542" s="390">
        <f t="shared" si="1805"/>
        <v>8.2096474953617715E-2</v>
      </c>
      <c r="AY542" s="390">
        <f t="shared" si="1805"/>
        <v>7.3170731707317138E-2</v>
      </c>
      <c r="AZ542" s="390">
        <f t="shared" si="1805"/>
        <v>9.3706456107756519E-2</v>
      </c>
      <c r="BA542" s="390">
        <f t="shared" si="1805"/>
        <v>-5.8105263157894771E-2</v>
      </c>
      <c r="BB542" s="390">
        <f t="shared" si="1805"/>
        <v>-3.8115631691648777E-2</v>
      </c>
      <c r="BC542" s="390">
        <f t="shared" si="1805"/>
        <v>-2.9575653664809298E-2</v>
      </c>
      <c r="BD542" s="390">
        <f t="shared" si="1805"/>
        <v>2.9040404040403978E-2</v>
      </c>
      <c r="BE542" s="390">
        <f t="shared" si="1806"/>
        <v>-2.4100222953604367E-2</v>
      </c>
      <c r="BF542" s="390">
        <f t="shared" si="1806"/>
        <v>-2.2351363433169569E-3</v>
      </c>
      <c r="BG542" s="390">
        <f t="shared" si="1806"/>
        <v>-1.7809439002671401E-2</v>
      </c>
      <c r="BH542" s="390">
        <f t="shared" si="1806"/>
        <v>9.2756183745583698E-3</v>
      </c>
      <c r="BI542" s="390">
        <f t="shared" si="1806"/>
        <v>5.9304703476482645E-2</v>
      </c>
      <c r="BJ542" s="390">
        <f t="shared" si="1806"/>
        <v>1.3163620539599741E-2</v>
      </c>
      <c r="BK542" s="390">
        <f t="shared" si="1806"/>
        <v>4.8835125448028593E-2</v>
      </c>
      <c r="BL542" s="390">
        <f t="shared" si="1806"/>
        <v>-2.4932003626473298E-2</v>
      </c>
      <c r="BM542" s="390">
        <f t="shared" si="1806"/>
        <v>-3.1509846827133425E-2</v>
      </c>
      <c r="BN542" s="390">
        <f t="shared" si="1806"/>
        <v>-0.12702702702702706</v>
      </c>
      <c r="BO542" s="390">
        <f t="shared" si="1807"/>
        <v>-3.7259744443251419E-2</v>
      </c>
      <c r="BP542" s="390">
        <f t="shared" si="1807"/>
        <v>-4.314395557454076E-2</v>
      </c>
      <c r="BQ542" s="390">
        <f t="shared" si="1807"/>
        <v>5.7182705718270554E-2</v>
      </c>
      <c r="BR542" s="390">
        <f t="shared" si="1807"/>
        <v>2.6208766380479087E-2</v>
      </c>
      <c r="BS542" s="390">
        <f t="shared" si="1807"/>
        <v>8.6245024325519726E-2</v>
      </c>
      <c r="BT542" s="390">
        <f t="shared" si="1807"/>
        <v>3.0671425384787065E-2</v>
      </c>
      <c r="BU542" s="390">
        <f t="shared" si="1807"/>
        <v>7.4107142857142927E-2</v>
      </c>
      <c r="BV542" s="390">
        <f t="shared" si="1807"/>
        <v>6.5963060686015762E-2</v>
      </c>
      <c r="BW542" s="390">
        <f t="shared" si="1807"/>
        <v>5.9004843681197627E-2</v>
      </c>
      <c r="BX542" s="390">
        <f t="shared" si="1807"/>
        <v>3.9902280130293066E-2</v>
      </c>
      <c r="BY542" s="390">
        <f t="shared" si="1808"/>
        <v>5.9300941456552403E-2</v>
      </c>
      <c r="BZ542" s="390">
        <f t="shared" si="1808"/>
        <v>4.9875311720698257E-2</v>
      </c>
      <c r="CA542" s="390">
        <f t="shared" si="1808"/>
        <v>1.8976897689769068E-2</v>
      </c>
      <c r="CB542" s="390">
        <f t="shared" si="1808"/>
        <v>1.538461538461533E-2</v>
      </c>
      <c r="CC542" s="390">
        <f t="shared" si="1808"/>
        <v>7.3610023492560739E-2</v>
      </c>
      <c r="CD542" s="390">
        <f t="shared" si="1808"/>
        <v>3.9942792930840687E-2</v>
      </c>
      <c r="CE542" s="390">
        <f t="shared" si="1808"/>
        <v>3.0482977038796433E-2</v>
      </c>
      <c r="CF542" s="390">
        <f t="shared" si="1808"/>
        <v>4.6963562753036481E-2</v>
      </c>
      <c r="CG542" s="390">
        <f t="shared" si="1808"/>
        <v>5.4873054873054938E-2</v>
      </c>
      <c r="CH542" s="390">
        <f t="shared" si="1808"/>
        <v>1.0576221735959068E-2</v>
      </c>
      <c r="CI542" s="390">
        <f t="shared" si="1809"/>
        <v>3.4970530451866377E-2</v>
      </c>
      <c r="CJ542" s="390">
        <f t="shared" si="1809"/>
        <v>1.9208605455243166E-3</v>
      </c>
      <c r="CK542" s="390">
        <f t="shared" si="1809"/>
        <v>-9.2807424593968069E-3</v>
      </c>
      <c r="CL542" s="390">
        <f t="shared" si="1809"/>
        <v>5.0465838509317074E-3</v>
      </c>
      <c r="CM542" s="390">
        <f t="shared" si="1809"/>
        <v>3.7892457596535589E-2</v>
      </c>
      <c r="CN542" s="390">
        <f t="shared" si="1809"/>
        <v>9.3963553530751476E-3</v>
      </c>
      <c r="CO542" s="390">
        <f t="shared" si="1809"/>
        <v>4.7162576687116653E-2</v>
      </c>
      <c r="CP542" s="390">
        <f t="shared" si="1809"/>
        <v>3.669008587041378E-2</v>
      </c>
      <c r="CQ542" s="390">
        <f>CQ432/CN432-1</f>
        <v>2.9204379858560392E-2</v>
      </c>
      <c r="CR542" s="390">
        <f t="shared" si="1810"/>
        <v>2.4801021586922545E-2</v>
      </c>
      <c r="CS542" s="390">
        <f t="shared" si="1810"/>
        <v>2.4479147040300298E-2</v>
      </c>
      <c r="CT542" s="390">
        <f t="shared" si="1810"/>
        <v>2.5224694876190057E-2</v>
      </c>
      <c r="CU542" s="390">
        <f t="shared" si="1810"/>
        <v>2.3842342330750332E-2</v>
      </c>
      <c r="CV542" s="390">
        <f t="shared" si="1810"/>
        <v>2.3621716659277592E-2</v>
      </c>
      <c r="CW542" s="390">
        <f t="shared" si="1810"/>
        <v>2.3449198252120995E-2</v>
      </c>
    </row>
    <row r="544" spans="1:152">
      <c r="A544" s="399" t="s">
        <v>689</v>
      </c>
      <c r="B544" s="396"/>
      <c r="C544" s="396"/>
      <c r="D544" s="396"/>
      <c r="E544" s="396"/>
      <c r="F544" s="396"/>
      <c r="G544" s="396"/>
      <c r="H544" s="396"/>
      <c r="I544" s="396"/>
      <c r="J544" s="396"/>
      <c r="K544" s="396"/>
      <c r="L544" s="396"/>
      <c r="M544" s="396"/>
      <c r="N544" s="396"/>
      <c r="O544" s="396"/>
      <c r="P544" s="396"/>
      <c r="Q544" s="396"/>
      <c r="R544" s="396"/>
      <c r="S544" s="396"/>
      <c r="T544" s="396"/>
      <c r="U544" s="396"/>
      <c r="V544" s="396"/>
      <c r="W544" s="396"/>
      <c r="X544" s="396"/>
      <c r="Y544" s="396"/>
      <c r="Z544" s="396"/>
      <c r="AA544" s="396"/>
      <c r="AB544" s="396"/>
      <c r="AC544" s="396"/>
      <c r="AD544" s="396"/>
      <c r="AE544" s="396"/>
      <c r="AF544" s="396"/>
      <c r="AG544" s="396"/>
      <c r="AH544" s="396"/>
      <c r="AI544" s="396"/>
      <c r="AJ544" s="396"/>
      <c r="AK544" s="396"/>
      <c r="AL544" s="396"/>
      <c r="AM544" s="396"/>
      <c r="AN544" s="396"/>
      <c r="AO544" s="396"/>
      <c r="AP544" s="396"/>
      <c r="AQ544" s="396"/>
      <c r="AR544" s="396"/>
      <c r="AS544" s="396"/>
      <c r="AT544" s="396"/>
      <c r="AU544" s="396"/>
      <c r="AV544" s="396"/>
      <c r="AW544" s="396"/>
      <c r="AX544" s="396"/>
      <c r="AY544" s="396"/>
      <c r="AZ544" s="396"/>
      <c r="BA544" s="396"/>
      <c r="BB544" s="396"/>
      <c r="BC544" s="396"/>
      <c r="BD544" s="396"/>
      <c r="BE544" s="396"/>
      <c r="BF544" s="396"/>
      <c r="BG544" s="396"/>
      <c r="BH544" s="396"/>
      <c r="BI544" s="396"/>
      <c r="BJ544" s="396"/>
      <c r="BK544" s="396"/>
      <c r="BL544" s="396"/>
      <c r="BM544" s="396"/>
      <c r="BN544" s="396"/>
      <c r="BO544" s="396"/>
      <c r="BP544" s="396"/>
      <c r="BQ544" s="396"/>
      <c r="BR544" s="396"/>
      <c r="BS544" s="396"/>
      <c r="BT544" s="396"/>
      <c r="BU544" s="396"/>
      <c r="BV544" s="396"/>
      <c r="BW544" s="396"/>
      <c r="BX544" s="396"/>
      <c r="BY544" s="396"/>
      <c r="BZ544" s="396"/>
      <c r="CA544" s="396"/>
      <c r="CB544" s="396"/>
      <c r="CC544" s="396"/>
      <c r="CD544" s="396"/>
      <c r="CE544" s="396"/>
      <c r="CF544" s="396"/>
      <c r="CG544" s="396"/>
      <c r="CH544" s="396"/>
      <c r="CI544" s="396"/>
      <c r="CJ544" s="396"/>
      <c r="CK544" s="396"/>
      <c r="CL544" s="396"/>
      <c r="CM544" s="396"/>
      <c r="CN544" s="396"/>
      <c r="CO544" s="396"/>
      <c r="CP544" s="396"/>
      <c r="CQ544" s="396"/>
      <c r="CR544" s="396"/>
      <c r="CS544" s="396"/>
      <c r="CT544" s="396"/>
      <c r="CU544" s="396"/>
      <c r="CV544" s="396"/>
      <c r="CW544" s="396"/>
    </row>
    <row r="545" spans="1:101">
      <c r="A545" s="402" t="s">
        <v>646</v>
      </c>
      <c r="B545" s="396"/>
      <c r="C545" s="396"/>
      <c r="D545" s="396"/>
      <c r="E545" s="396"/>
      <c r="F545" s="396"/>
      <c r="G545" s="396"/>
      <c r="H545" s="396"/>
      <c r="I545" s="396"/>
      <c r="J545" s="396"/>
      <c r="K545" s="396"/>
      <c r="L545" s="396"/>
      <c r="M545" s="396"/>
      <c r="N545" s="396"/>
      <c r="O545" s="396"/>
      <c r="P545" s="396"/>
      <c r="Q545" s="396"/>
      <c r="R545" s="396"/>
      <c r="S545" s="396"/>
      <c r="T545" s="396"/>
      <c r="U545" s="396"/>
      <c r="V545" s="396"/>
      <c r="W545" s="396"/>
      <c r="X545" s="396"/>
      <c r="Y545" s="396"/>
      <c r="Z545" s="396"/>
      <c r="AA545" s="396"/>
      <c r="AB545" s="396"/>
      <c r="AC545" s="396"/>
      <c r="AD545" s="396"/>
      <c r="AE545" s="396"/>
      <c r="AF545" s="396"/>
      <c r="AG545" s="396"/>
      <c r="AH545" s="396"/>
      <c r="AI545" s="396"/>
      <c r="AJ545" s="396"/>
      <c r="AK545" s="396"/>
      <c r="AL545" s="396"/>
      <c r="AM545" s="396"/>
      <c r="AN545" s="396"/>
      <c r="AO545" s="396"/>
      <c r="AP545" s="396"/>
      <c r="AQ545" s="396"/>
      <c r="AR545" s="396"/>
      <c r="AS545" s="396"/>
      <c r="AT545" s="396"/>
      <c r="AU545" s="396"/>
      <c r="AV545" s="396"/>
      <c r="AW545" s="396"/>
      <c r="AX545" s="396"/>
      <c r="AY545" s="396"/>
      <c r="AZ545" s="396"/>
      <c r="BA545" s="396"/>
      <c r="BB545" s="396"/>
      <c r="BC545" s="396"/>
      <c r="BD545" s="396"/>
      <c r="BE545" s="396"/>
      <c r="BF545" s="396"/>
      <c r="BG545" s="396"/>
      <c r="BH545" s="396"/>
      <c r="BI545" s="396"/>
      <c r="BJ545" s="396"/>
      <c r="BK545" s="396"/>
      <c r="BL545" s="396"/>
      <c r="BM545" s="396"/>
      <c r="BN545" s="396"/>
      <c r="BO545" s="396"/>
      <c r="BP545" s="397">
        <f t="shared" ref="BP545:CW545" si="1811">SUM(BP408:BP410)/BP$429</f>
        <v>0.72957889396245557</v>
      </c>
      <c r="BQ545" s="397">
        <f t="shared" si="1811"/>
        <v>0.72658988482724085</v>
      </c>
      <c r="BR545" s="397">
        <f t="shared" si="1811"/>
        <v>0.72208558780127885</v>
      </c>
      <c r="BS545" s="397">
        <f t="shared" si="1811"/>
        <v>0.70486111111111116</v>
      </c>
      <c r="BT545" s="397">
        <f t="shared" si="1811"/>
        <v>0.72071847324435578</v>
      </c>
      <c r="BU545" s="397">
        <f t="shared" si="1811"/>
        <v>0.71034482758620687</v>
      </c>
      <c r="BV545" s="397">
        <f t="shared" si="1811"/>
        <v>0.71449136276391556</v>
      </c>
      <c r="BW545" s="397">
        <f t="shared" si="1811"/>
        <v>0.71442125237191656</v>
      </c>
      <c r="BX545" s="397">
        <f t="shared" si="1811"/>
        <v>0.72421948912015133</v>
      </c>
      <c r="BY545" s="397">
        <f t="shared" si="1811"/>
        <v>0.71593090211132437</v>
      </c>
      <c r="BZ545" s="397">
        <f t="shared" si="1811"/>
        <v>0.72206439393939392</v>
      </c>
      <c r="CA545" s="397">
        <f t="shared" si="1811"/>
        <v>0.72030288689067679</v>
      </c>
      <c r="CB545" s="397">
        <f t="shared" si="1811"/>
        <v>0.7151515151515152</v>
      </c>
      <c r="CC545" s="397">
        <f t="shared" si="1811"/>
        <v>0.70753860127157131</v>
      </c>
      <c r="CD545" s="397">
        <f t="shared" si="1811"/>
        <v>0.71616892207186189</v>
      </c>
      <c r="CE545" s="397">
        <f t="shared" si="1811"/>
        <v>0.71200365130077592</v>
      </c>
      <c r="CF545" s="397">
        <f t="shared" si="1811"/>
        <v>0.70577617328519859</v>
      </c>
      <c r="CG545" s="397">
        <f t="shared" si="1811"/>
        <v>0.70763669227293269</v>
      </c>
      <c r="CH545" s="397">
        <f t="shared" si="1811"/>
        <v>0.70062277580071175</v>
      </c>
      <c r="CI545" s="397">
        <f t="shared" si="1811"/>
        <v>0.70647271087054575</v>
      </c>
      <c r="CJ545" s="397">
        <f t="shared" si="1811"/>
        <v>0.69967756794104097</v>
      </c>
      <c r="CK545" s="397">
        <f t="shared" si="1811"/>
        <v>0.70009074410163341</v>
      </c>
      <c r="CL545" s="397">
        <f t="shared" ref="CL545:CM545" si="1812">SUM(CL408:CL410)/CL$429</f>
        <v>0.69968763944667556</v>
      </c>
      <c r="CM545" s="397">
        <f t="shared" si="1812"/>
        <v>0.69686411149825789</v>
      </c>
      <c r="CN545" s="397">
        <f t="shared" ref="CN545:CP545" si="1813">SUM(CN408:CN410)/CN$429</f>
        <v>0.69905745062836622</v>
      </c>
      <c r="CO545" s="397">
        <f t="shared" si="1813"/>
        <v>0.70115967885816233</v>
      </c>
      <c r="CP545" s="397">
        <f t="shared" si="1813"/>
        <v>0.70337477797513326</v>
      </c>
      <c r="CQ545" s="397">
        <f t="shared" si="1811"/>
        <v>0.70366953054972103</v>
      </c>
      <c r="CR545" s="397">
        <f t="shared" si="1811"/>
        <v>0.69575254338510661</v>
      </c>
      <c r="CS545" s="397">
        <f t="shared" si="1811"/>
        <v>0.69092932757784886</v>
      </c>
      <c r="CT545" s="397">
        <f t="shared" si="1811"/>
        <v>0.68505752698709854</v>
      </c>
      <c r="CU545" s="397">
        <f t="shared" si="1811"/>
        <v>0.67992871688534018</v>
      </c>
      <c r="CV545" s="397">
        <f t="shared" si="1811"/>
        <v>0.67464653675051445</v>
      </c>
      <c r="CW545" s="397">
        <f t="shared" si="1811"/>
        <v>0.66921853035332668</v>
      </c>
    </row>
    <row r="546" spans="1:101">
      <c r="A546" s="402" t="s">
        <v>619</v>
      </c>
      <c r="B546" s="396"/>
      <c r="C546" s="396"/>
      <c r="D546" s="396"/>
      <c r="E546" s="396"/>
      <c r="F546" s="396"/>
      <c r="G546" s="396"/>
      <c r="H546" s="396"/>
      <c r="I546" s="396"/>
      <c r="J546" s="396"/>
      <c r="K546" s="396"/>
      <c r="L546" s="396"/>
      <c r="M546" s="396"/>
      <c r="N546" s="396"/>
      <c r="O546" s="396"/>
      <c r="P546" s="396"/>
      <c r="Q546" s="396"/>
      <c r="R546" s="396"/>
      <c r="S546" s="396"/>
      <c r="T546" s="396"/>
      <c r="U546" s="396"/>
      <c r="V546" s="396"/>
      <c r="W546" s="396"/>
      <c r="X546" s="396"/>
      <c r="Y546" s="396"/>
      <c r="Z546" s="396"/>
      <c r="AA546" s="396"/>
      <c r="AB546" s="396"/>
      <c r="AC546" s="396"/>
      <c r="AD546" s="396"/>
      <c r="AE546" s="396"/>
      <c r="AF546" s="396"/>
      <c r="AG546" s="396"/>
      <c r="AH546" s="396"/>
      <c r="AI546" s="396"/>
      <c r="AJ546" s="396"/>
      <c r="AK546" s="396"/>
      <c r="AL546" s="396"/>
      <c r="AM546" s="396"/>
      <c r="AN546" s="396"/>
      <c r="AO546" s="396"/>
      <c r="AP546" s="396"/>
      <c r="AQ546" s="396"/>
      <c r="AR546" s="396"/>
      <c r="AS546" s="396"/>
      <c r="AT546" s="396"/>
      <c r="AU546" s="396"/>
      <c r="AV546" s="396"/>
      <c r="AW546" s="396"/>
      <c r="AX546" s="396"/>
      <c r="AY546" s="396"/>
      <c r="AZ546" s="396"/>
      <c r="BA546" s="396"/>
      <c r="BB546" s="396"/>
      <c r="BC546" s="396"/>
      <c r="BD546" s="396"/>
      <c r="BE546" s="396"/>
      <c r="BF546" s="396"/>
      <c r="BG546" s="396"/>
      <c r="BH546" s="396"/>
      <c r="BI546" s="396"/>
      <c r="BJ546" s="396"/>
      <c r="BK546" s="396"/>
      <c r="BL546" s="396"/>
      <c r="BM546" s="396"/>
      <c r="BN546" s="396"/>
      <c r="BO546" s="396"/>
      <c r="BP546" s="397">
        <f t="shared" ref="BP546:CW546" si="1814">BP412/BP$429</f>
        <v>6.798579401319127E-2</v>
      </c>
      <c r="BQ546" s="397">
        <f t="shared" si="1814"/>
        <v>7.0605908863294944E-2</v>
      </c>
      <c r="BR546" s="397">
        <f t="shared" si="1814"/>
        <v>7.2798819478603047E-2</v>
      </c>
      <c r="BS546" s="397">
        <f t="shared" si="1814"/>
        <v>7.7876984126984128E-2</v>
      </c>
      <c r="BT546" s="397">
        <f t="shared" si="1814"/>
        <v>7.2346264188599227E-2</v>
      </c>
      <c r="BU546" s="397">
        <f t="shared" si="1814"/>
        <v>8.0295566502463056E-2</v>
      </c>
      <c r="BV546" s="397">
        <f t="shared" si="1814"/>
        <v>8.3013435700575816E-2</v>
      </c>
      <c r="BW546" s="397">
        <f t="shared" si="1814"/>
        <v>8.5388994307400379E-2</v>
      </c>
      <c r="BX546" s="397">
        <f t="shared" si="1814"/>
        <v>8.845789971617786E-2</v>
      </c>
      <c r="BY546" s="397">
        <f t="shared" si="1814"/>
        <v>8.4333013435700571E-2</v>
      </c>
      <c r="BZ546" s="397">
        <f t="shared" si="1814"/>
        <v>9.0909090909090912E-2</v>
      </c>
      <c r="CA546" s="397">
        <f t="shared" si="1814"/>
        <v>9.5125414103170852E-2</v>
      </c>
      <c r="CB546" s="397">
        <f t="shared" si="1814"/>
        <v>9.37062937062937E-2</v>
      </c>
      <c r="CC546" s="397">
        <f t="shared" si="1814"/>
        <v>9.7638510445049953E-2</v>
      </c>
      <c r="CD546" s="397">
        <f t="shared" si="1814"/>
        <v>9.4377041530564629E-2</v>
      </c>
      <c r="CE546" s="397">
        <f t="shared" si="1814"/>
        <v>9.8585120949338204E-2</v>
      </c>
      <c r="CF546" s="397">
        <f t="shared" si="1814"/>
        <v>0.10108303249097472</v>
      </c>
      <c r="CG546" s="397">
        <f t="shared" si="1814"/>
        <v>0.10167193854496159</v>
      </c>
      <c r="CH546" s="397">
        <f t="shared" si="1814"/>
        <v>9.8754448398576514E-2</v>
      </c>
      <c r="CI546" s="397">
        <f t="shared" si="1814"/>
        <v>0.10002255299954894</v>
      </c>
      <c r="CJ546" s="397">
        <f t="shared" si="1814"/>
        <v>0.10594196222938738</v>
      </c>
      <c r="CK546" s="397">
        <f t="shared" si="1814"/>
        <v>0</v>
      </c>
      <c r="CL546" s="397">
        <f t="shared" ref="CL546:CP546" si="1815">CL412/CL$429</f>
        <v>0</v>
      </c>
      <c r="CM546" s="397">
        <f t="shared" si="1815"/>
        <v>0</v>
      </c>
      <c r="CN546" s="397">
        <f t="shared" si="1815"/>
        <v>0.10323159784560143</v>
      </c>
      <c r="CO546" s="397">
        <f t="shared" si="1815"/>
        <v>0</v>
      </c>
      <c r="CP546" s="397">
        <f t="shared" si="1815"/>
        <v>0</v>
      </c>
      <c r="CQ546" s="397">
        <f t="shared" si="1814"/>
        <v>0.10149052321336095</v>
      </c>
      <c r="CR546" s="397">
        <f t="shared" si="1814"/>
        <v>0.10471202671652489</v>
      </c>
      <c r="CS546" s="397">
        <f t="shared" si="1814"/>
        <v>0.10491039620724203</v>
      </c>
      <c r="CT546" s="397">
        <f t="shared" si="1814"/>
        <v>0.10622411570124063</v>
      </c>
      <c r="CU546" s="397">
        <f t="shared" si="1814"/>
        <v>0.10633274897090299</v>
      </c>
      <c r="CV546" s="397">
        <f t="shared" si="1814"/>
        <v>0.10640518661459068</v>
      </c>
      <c r="CW546" s="397">
        <f t="shared" si="1814"/>
        <v>0.10643853443426354</v>
      </c>
    </row>
    <row r="547" spans="1:101">
      <c r="A547" s="399" t="s">
        <v>690</v>
      </c>
      <c r="B547" s="396"/>
      <c r="C547" s="396"/>
      <c r="D547" s="396"/>
      <c r="E547" s="396"/>
      <c r="F547" s="396"/>
      <c r="G547" s="396"/>
      <c r="H547" s="396"/>
      <c r="I547" s="396"/>
      <c r="J547" s="396"/>
      <c r="K547" s="396"/>
      <c r="L547" s="396"/>
      <c r="M547" s="396"/>
      <c r="N547" s="396"/>
      <c r="O547" s="396"/>
      <c r="P547" s="396"/>
      <c r="Q547" s="396"/>
      <c r="R547" s="396"/>
      <c r="S547" s="396"/>
      <c r="T547" s="396"/>
      <c r="U547" s="396"/>
      <c r="V547" s="396"/>
      <c r="W547" s="396"/>
      <c r="X547" s="396"/>
      <c r="Y547" s="396"/>
      <c r="Z547" s="396"/>
      <c r="AA547" s="396"/>
      <c r="AB547" s="396"/>
      <c r="AC547" s="396"/>
      <c r="AD547" s="396"/>
      <c r="AE547" s="396"/>
      <c r="AF547" s="396"/>
      <c r="AG547" s="396"/>
      <c r="AH547" s="396"/>
      <c r="AI547" s="396"/>
      <c r="AJ547" s="396"/>
      <c r="AK547" s="396"/>
      <c r="AL547" s="396"/>
      <c r="AM547" s="396"/>
      <c r="AN547" s="396"/>
      <c r="AO547" s="396"/>
      <c r="AP547" s="396"/>
      <c r="AQ547" s="396"/>
      <c r="AR547" s="396"/>
      <c r="AS547" s="396"/>
      <c r="AT547" s="396"/>
      <c r="AU547" s="396"/>
      <c r="AV547" s="396"/>
      <c r="AW547" s="396"/>
      <c r="AX547" s="396"/>
      <c r="AY547" s="396"/>
      <c r="AZ547" s="396"/>
      <c r="BA547" s="396"/>
      <c r="BB547" s="396"/>
      <c r="BC547" s="396"/>
      <c r="BD547" s="396"/>
      <c r="BE547" s="396"/>
      <c r="BF547" s="396"/>
      <c r="BG547" s="396"/>
      <c r="BH547" s="396"/>
      <c r="BI547" s="396"/>
      <c r="BJ547" s="396"/>
      <c r="BK547" s="396"/>
      <c r="BL547" s="396"/>
      <c r="BM547" s="396"/>
      <c r="BN547" s="396"/>
      <c r="BO547" s="396"/>
      <c r="BP547" s="400">
        <f t="shared" ref="BP547:CW547" si="1816">BP414/BP$429</f>
        <v>0.81329274479959413</v>
      </c>
      <c r="BQ547" s="400">
        <f t="shared" si="1816"/>
        <v>0.81422133199799696</v>
      </c>
      <c r="BR547" s="400">
        <f t="shared" si="1816"/>
        <v>0.81308411214953269</v>
      </c>
      <c r="BS547" s="400">
        <f t="shared" si="1816"/>
        <v>0.80208333333333337</v>
      </c>
      <c r="BT547" s="400">
        <f t="shared" si="1816"/>
        <v>0.81065236372707994</v>
      </c>
      <c r="BU547" s="400">
        <f t="shared" si="1816"/>
        <v>0.80886699507389159</v>
      </c>
      <c r="BV547" s="400">
        <f t="shared" si="1816"/>
        <v>0.81477927063339728</v>
      </c>
      <c r="BW547" s="400">
        <f t="shared" si="1816"/>
        <v>0.81641366223908918</v>
      </c>
      <c r="BX547" s="400">
        <f t="shared" si="1816"/>
        <v>0.82781456953642385</v>
      </c>
      <c r="BY547" s="400">
        <f t="shared" si="1816"/>
        <v>0.81705854126679467</v>
      </c>
      <c r="BZ547" s="400">
        <f t="shared" si="1816"/>
        <v>0.82717803030303028</v>
      </c>
      <c r="CA547" s="400">
        <f t="shared" si="1816"/>
        <v>0.82867960246095596</v>
      </c>
      <c r="CB547" s="400">
        <f t="shared" si="1816"/>
        <v>0.82284382284382285</v>
      </c>
      <c r="CC547" s="400">
        <f t="shared" si="1816"/>
        <v>0.81789282470481384</v>
      </c>
      <c r="CD547" s="400">
        <f t="shared" si="1816"/>
        <v>0.82407839477368172</v>
      </c>
      <c r="CE547" s="400">
        <f t="shared" si="1816"/>
        <v>0.82336832496576906</v>
      </c>
      <c r="CF547" s="400">
        <f t="shared" si="1816"/>
        <v>0.81904332129963897</v>
      </c>
      <c r="CG547" s="400">
        <f t="shared" si="1816"/>
        <v>0.8210573881608676</v>
      </c>
      <c r="CH547" s="400">
        <f t="shared" si="1816"/>
        <v>0.81049822064056942</v>
      </c>
      <c r="CI547" s="400">
        <f t="shared" si="1816"/>
        <v>0.81844835363103297</v>
      </c>
      <c r="CJ547" s="400">
        <f t="shared" si="1816"/>
        <v>0.81667434362045144</v>
      </c>
      <c r="CK547" s="400">
        <f t="shared" si="1816"/>
        <v>0.81533575317604357</v>
      </c>
      <c r="CL547" s="400">
        <f t="shared" ref="CL547:CP547" si="1817">CL414/CL$429</f>
        <v>0.81347612672913883</v>
      </c>
      <c r="CM547" s="400">
        <f t="shared" si="1817"/>
        <v>0.80749128919860624</v>
      </c>
      <c r="CN547" s="400">
        <f t="shared" si="1817"/>
        <v>0.81317324955116699</v>
      </c>
      <c r="CO547" s="400">
        <f t="shared" si="1817"/>
        <v>0.81311329170383584</v>
      </c>
      <c r="CP547" s="400">
        <f t="shared" si="1817"/>
        <v>0.81527531083481353</v>
      </c>
      <c r="CQ547" s="400">
        <f t="shared" si="1816"/>
        <v>0.81565216823241649</v>
      </c>
      <c r="CR547" s="400">
        <f t="shared" si="1816"/>
        <v>0.8107241794520873</v>
      </c>
      <c r="CS547" s="400">
        <f t="shared" si="1816"/>
        <v>0.80586179309983796</v>
      </c>
      <c r="CT547" s="400">
        <f t="shared" si="1816"/>
        <v>0.80106243177470771</v>
      </c>
      <c r="CU547" s="400">
        <f t="shared" si="1816"/>
        <v>0.79582188598968684</v>
      </c>
      <c r="CV547" s="400">
        <f t="shared" si="1816"/>
        <v>0.79039872690119661</v>
      </c>
      <c r="CW547" s="400">
        <f t="shared" si="1816"/>
        <v>0.78479688686048021</v>
      </c>
    </row>
    <row r="548" spans="1:101">
      <c r="A548" s="399" t="s">
        <v>691</v>
      </c>
      <c r="B548" s="396"/>
      <c r="C548" s="396"/>
      <c r="D548" s="396"/>
      <c r="E548" s="396"/>
      <c r="F548" s="396"/>
      <c r="G548" s="396"/>
      <c r="H548" s="396"/>
      <c r="I548" s="396"/>
      <c r="J548" s="396"/>
      <c r="K548" s="396"/>
      <c r="L548" s="396"/>
      <c r="M548" s="396"/>
      <c r="N548" s="396"/>
      <c r="O548" s="396"/>
      <c r="P548" s="396"/>
      <c r="Q548" s="396"/>
      <c r="R548" s="396"/>
      <c r="S548" s="396"/>
      <c r="T548" s="396"/>
      <c r="U548" s="396"/>
      <c r="V548" s="396"/>
      <c r="W548" s="396"/>
      <c r="X548" s="396"/>
      <c r="Y548" s="396"/>
      <c r="Z548" s="396"/>
      <c r="AA548" s="396"/>
      <c r="AB548" s="396"/>
      <c r="AC548" s="396"/>
      <c r="AD548" s="396"/>
      <c r="AE548" s="396"/>
      <c r="AF548" s="396"/>
      <c r="AG548" s="396"/>
      <c r="AH548" s="396"/>
      <c r="AI548" s="396"/>
      <c r="AJ548" s="396"/>
      <c r="AK548" s="396"/>
      <c r="AL548" s="396"/>
      <c r="AM548" s="396"/>
      <c r="AN548" s="396"/>
      <c r="AO548" s="396"/>
      <c r="AP548" s="396"/>
      <c r="AQ548" s="396"/>
      <c r="AR548" s="396"/>
      <c r="AS548" s="396"/>
      <c r="AT548" s="396"/>
      <c r="AU548" s="396"/>
      <c r="AV548" s="396"/>
      <c r="AW548" s="396"/>
      <c r="AX548" s="396"/>
      <c r="AY548" s="396"/>
      <c r="AZ548" s="396"/>
      <c r="BA548" s="396"/>
      <c r="BB548" s="396"/>
      <c r="BC548" s="396"/>
      <c r="BD548" s="396"/>
      <c r="BE548" s="396"/>
      <c r="BF548" s="396"/>
      <c r="BG548" s="396"/>
      <c r="BH548" s="396"/>
      <c r="BI548" s="396"/>
      <c r="BJ548" s="396"/>
      <c r="BK548" s="396"/>
      <c r="BL548" s="396"/>
      <c r="BM548" s="396"/>
      <c r="BN548" s="396"/>
      <c r="BO548" s="396"/>
      <c r="BP548" s="400">
        <f t="shared" ref="BP548:CW548" si="1818">BP426/BP$429</f>
        <v>0.18670725520040587</v>
      </c>
      <c r="BQ548" s="400">
        <f t="shared" si="1818"/>
        <v>0.18577866800200302</v>
      </c>
      <c r="BR548" s="400">
        <f t="shared" si="1818"/>
        <v>0.18691588785046728</v>
      </c>
      <c r="BS548" s="400">
        <f t="shared" si="1818"/>
        <v>0.19791666666666666</v>
      </c>
      <c r="BT548" s="400">
        <f t="shared" si="1818"/>
        <v>0.18934763627292003</v>
      </c>
      <c r="BU548" s="400">
        <f t="shared" si="1818"/>
        <v>0.19113300492610838</v>
      </c>
      <c r="BV548" s="400">
        <f t="shared" si="1818"/>
        <v>0.18522072936660269</v>
      </c>
      <c r="BW548" s="400">
        <f t="shared" si="1818"/>
        <v>0.18358633776091082</v>
      </c>
      <c r="BX548" s="400">
        <f t="shared" si="1818"/>
        <v>0.17218543046357615</v>
      </c>
      <c r="BY548" s="400">
        <f t="shared" si="1818"/>
        <v>0.18294145873320539</v>
      </c>
      <c r="BZ548" s="400">
        <f t="shared" si="1818"/>
        <v>0.1728219696969697</v>
      </c>
      <c r="CA548" s="400">
        <f t="shared" si="1818"/>
        <v>0.17132039753904402</v>
      </c>
      <c r="CB548" s="400">
        <f t="shared" si="1818"/>
        <v>0.17715617715617715</v>
      </c>
      <c r="CC548" s="400">
        <f t="shared" si="1818"/>
        <v>0.18210717529518619</v>
      </c>
      <c r="CD548" s="400">
        <f t="shared" si="1818"/>
        <v>0.17592160522631825</v>
      </c>
      <c r="CE548" s="400">
        <f t="shared" si="1818"/>
        <v>0.17663167503423094</v>
      </c>
      <c r="CF548" s="400">
        <f t="shared" si="1818"/>
        <v>0.180956678700361</v>
      </c>
      <c r="CG548" s="400">
        <f t="shared" si="1818"/>
        <v>0.1789426118391324</v>
      </c>
      <c r="CH548" s="400">
        <f t="shared" si="1818"/>
        <v>0.18950177935943061</v>
      </c>
      <c r="CI548" s="400">
        <f t="shared" si="1818"/>
        <v>0.18155164636896706</v>
      </c>
      <c r="CJ548" s="400">
        <f t="shared" si="1818"/>
        <v>0.18332565637954859</v>
      </c>
      <c r="CK548" s="400">
        <f t="shared" si="1818"/>
        <v>0.18466424682395643</v>
      </c>
      <c r="CL548" s="400">
        <f t="shared" ref="CL548:CP548" si="1819">CL426/CL$429</f>
        <v>0.18652387327086123</v>
      </c>
      <c r="CM548" s="400">
        <f t="shared" si="1819"/>
        <v>0.19250871080139373</v>
      </c>
      <c r="CN548" s="400">
        <f t="shared" si="1819"/>
        <v>0.18682675044883304</v>
      </c>
      <c r="CO548" s="400">
        <f t="shared" si="1819"/>
        <v>0.18688670829616413</v>
      </c>
      <c r="CP548" s="400">
        <f t="shared" si="1819"/>
        <v>0.1847246891651865</v>
      </c>
      <c r="CQ548" s="400">
        <f t="shared" si="1818"/>
        <v>0.18434783176758357</v>
      </c>
      <c r="CR548" s="400">
        <f t="shared" si="1818"/>
        <v>0.18927582054791273</v>
      </c>
      <c r="CS548" s="400">
        <f t="shared" si="1818"/>
        <v>0.19413820690016212</v>
      </c>
      <c r="CT548" s="400">
        <f t="shared" si="1818"/>
        <v>0.19893756822529221</v>
      </c>
      <c r="CU548" s="400">
        <f t="shared" si="1818"/>
        <v>0.20417811401031311</v>
      </c>
      <c r="CV548" s="400">
        <f t="shared" si="1818"/>
        <v>0.20960127309880339</v>
      </c>
      <c r="CW548" s="400">
        <f t="shared" si="1818"/>
        <v>0.21520311313951979</v>
      </c>
    </row>
    <row r="551" spans="1:101">
      <c r="A551" s="399" t="s">
        <v>688</v>
      </c>
      <c r="B551" s="396"/>
      <c r="C551" s="396"/>
      <c r="D551" s="396"/>
      <c r="E551" s="396"/>
      <c r="F551" s="396"/>
      <c r="G551" s="396"/>
      <c r="H551" s="396"/>
      <c r="I551" s="396"/>
      <c r="J551" s="396"/>
      <c r="K551" s="396"/>
      <c r="L551" s="396"/>
      <c r="M551" s="396"/>
      <c r="N551" s="396"/>
      <c r="O551" s="396"/>
      <c r="P551" s="396"/>
      <c r="Q551" s="396"/>
      <c r="R551" s="396"/>
      <c r="S551" s="396"/>
      <c r="T551" s="396"/>
      <c r="U551" s="396"/>
      <c r="V551" s="396"/>
      <c r="W551" s="396"/>
      <c r="X551" s="396"/>
      <c r="Y551" s="396"/>
      <c r="Z551" s="396"/>
      <c r="AA551" s="396"/>
      <c r="AB551" s="396"/>
      <c r="AC551" s="396"/>
      <c r="AD551" s="396"/>
      <c r="AE551" s="396"/>
      <c r="AF551" s="396"/>
      <c r="AG551" s="396"/>
      <c r="AH551" s="396"/>
      <c r="AI551" s="396"/>
      <c r="AJ551" s="396"/>
      <c r="AK551" s="396"/>
      <c r="AL551" s="396"/>
      <c r="AM551" s="396"/>
      <c r="AN551" s="396"/>
      <c r="AO551" s="396"/>
      <c r="AP551" s="396"/>
      <c r="AQ551" s="396"/>
      <c r="AR551" s="396"/>
      <c r="AS551" s="396"/>
      <c r="AT551" s="396"/>
      <c r="AU551" s="396"/>
      <c r="AV551" s="396"/>
      <c r="AW551" s="396"/>
      <c r="AX551" s="396"/>
      <c r="AY551" s="396"/>
      <c r="AZ551" s="396"/>
      <c r="BA551" s="396"/>
      <c r="BB551" s="396"/>
      <c r="BC551" s="396"/>
      <c r="BD551" s="396"/>
      <c r="BE551" s="396"/>
      <c r="BF551" s="396"/>
      <c r="BG551" s="396"/>
      <c r="BH551" s="396"/>
      <c r="BI551" s="396"/>
      <c r="BJ551" s="396"/>
      <c r="BK551" s="396"/>
      <c r="BL551" s="396"/>
      <c r="BM551" s="396"/>
      <c r="BN551" s="396"/>
      <c r="BO551" s="396"/>
      <c r="BP551" s="396"/>
      <c r="BQ551" s="396"/>
      <c r="BR551" s="396"/>
      <c r="BS551" s="396"/>
      <c r="BT551" s="396"/>
      <c r="BU551" s="396"/>
      <c r="BV551" s="396"/>
      <c r="BW551" s="396"/>
      <c r="BX551" s="396"/>
      <c r="BY551" s="396"/>
      <c r="BZ551" s="396"/>
      <c r="CA551" s="396"/>
      <c r="CB551" s="396"/>
      <c r="CC551" s="396"/>
      <c r="CD551" s="396"/>
      <c r="CE551" s="396"/>
      <c r="CF551" s="396"/>
      <c r="CG551" s="396"/>
      <c r="CH551" s="396"/>
      <c r="CI551" s="396"/>
      <c r="CJ551" s="396"/>
      <c r="CK551" s="396"/>
      <c r="CL551" s="396"/>
      <c r="CM551" s="396"/>
      <c r="CN551" s="396"/>
      <c r="CO551" s="396"/>
      <c r="CP551" s="396"/>
      <c r="CQ551" s="396"/>
      <c r="CR551" s="396"/>
      <c r="CS551" s="396"/>
      <c r="CT551" s="396"/>
      <c r="CU551" s="396"/>
      <c r="CV551" s="396"/>
      <c r="CW551" s="396"/>
    </row>
    <row r="552" spans="1:101">
      <c r="A552" s="395" t="s">
        <v>642</v>
      </c>
      <c r="B552" s="396"/>
      <c r="C552" s="396"/>
      <c r="D552" s="396"/>
      <c r="E552" s="396"/>
      <c r="F552" s="396"/>
      <c r="G552" s="396"/>
      <c r="H552" s="396"/>
      <c r="I552" s="396"/>
      <c r="J552" s="396"/>
      <c r="K552" s="396"/>
      <c r="L552" s="396"/>
      <c r="M552" s="396"/>
      <c r="N552" s="396"/>
      <c r="O552" s="396"/>
      <c r="P552" s="396"/>
      <c r="Q552" s="396"/>
      <c r="R552" s="396"/>
      <c r="S552" s="396"/>
      <c r="T552" s="396"/>
      <c r="U552" s="396"/>
      <c r="V552" s="396"/>
      <c r="W552" s="396"/>
      <c r="X552" s="396"/>
      <c r="Y552" s="396"/>
      <c r="Z552" s="396"/>
      <c r="AA552" s="396"/>
      <c r="AB552" s="396"/>
      <c r="AC552" s="396"/>
      <c r="AD552" s="396"/>
      <c r="AE552" s="396"/>
      <c r="AF552" s="396"/>
      <c r="AG552" s="396"/>
      <c r="AH552" s="396"/>
      <c r="AI552" s="396"/>
      <c r="AJ552" s="396"/>
      <c r="AK552" s="396"/>
      <c r="AL552" s="396"/>
      <c r="AM552" s="396"/>
      <c r="AN552" s="396"/>
      <c r="AO552" s="396"/>
      <c r="AP552" s="396"/>
      <c r="AQ552" s="396"/>
      <c r="AR552" s="396"/>
      <c r="AS552" s="396"/>
      <c r="AT552" s="396"/>
      <c r="AU552" s="396"/>
      <c r="AV552" s="396"/>
      <c r="AW552" s="396"/>
      <c r="AX552" s="396"/>
      <c r="AY552" s="396"/>
      <c r="AZ552" s="396"/>
      <c r="BA552" s="396"/>
      <c r="BB552" s="396"/>
      <c r="BC552" s="396"/>
      <c r="BD552" s="396"/>
      <c r="BE552" s="396"/>
      <c r="BF552" s="396"/>
      <c r="BG552" s="396"/>
      <c r="BH552" s="396"/>
      <c r="BI552" s="396"/>
      <c r="BJ552" s="396"/>
      <c r="BK552" s="396"/>
      <c r="BL552" s="396"/>
      <c r="BM552" s="396"/>
      <c r="BN552" s="396"/>
      <c r="BO552" s="396"/>
      <c r="BP552" s="396"/>
      <c r="BQ552" s="396"/>
      <c r="BR552" s="396"/>
      <c r="BS552" s="396"/>
      <c r="BT552" s="396"/>
      <c r="BU552" s="397">
        <f t="shared" ref="BU552:CD555" si="1820">(BU408-BP408)/(BU$429-BP$429)</f>
        <v>0.6271186440677966</v>
      </c>
      <c r="BV552" s="397">
        <f t="shared" si="1820"/>
        <v>0.50574712643678166</v>
      </c>
      <c r="BW552" s="397">
        <f t="shared" si="1820"/>
        <v>0.62666666666666671</v>
      </c>
      <c r="BX552" s="397">
        <f t="shared" si="1820"/>
        <v>0.8571428571428571</v>
      </c>
      <c r="BY552" s="397">
        <f t="shared" si="1820"/>
        <v>0.66457680250783702</v>
      </c>
      <c r="BZ552" s="397">
        <f t="shared" si="1820"/>
        <v>0.96341463414634143</v>
      </c>
      <c r="CA552" s="397">
        <f t="shared" si="1820"/>
        <v>2.103448275862069</v>
      </c>
      <c r="CB552" s="397">
        <f t="shared" si="1820"/>
        <v>1.4054054054054055</v>
      </c>
      <c r="CC552" s="397">
        <f t="shared" si="1820"/>
        <v>0.60227272727272729</v>
      </c>
      <c r="CD552" s="397">
        <f t="shared" si="1820"/>
        <v>1.0381355932203389</v>
      </c>
      <c r="CE552" s="397">
        <f t="shared" ref="CE552:CP555" si="1821">(CE408-BZ408)/(CE$429-BZ$429)</f>
        <v>0.59493670886075944</v>
      </c>
      <c r="CF552" s="397">
        <f t="shared" si="1821"/>
        <v>0.43689320388349512</v>
      </c>
      <c r="CG552" s="397">
        <f t="shared" si="1821"/>
        <v>0.63235294117647056</v>
      </c>
      <c r="CH552" s="397">
        <f t="shared" si="1821"/>
        <v>0.97826086956521741</v>
      </c>
      <c r="CI552" s="397">
        <f t="shared" si="1821"/>
        <v>0.60810810810810811</v>
      </c>
      <c r="CJ552" s="397">
        <f t="shared" si="1821"/>
        <v>-0.65</v>
      </c>
      <c r="CK552" s="397">
        <f t="shared" si="1821"/>
        <v>-1.4166666666666667</v>
      </c>
      <c r="CL552" s="397">
        <f t="shared" si="1821"/>
        <v>0.9642857142857143</v>
      </c>
      <c r="CM552" s="397">
        <f t="shared" si="1821"/>
        <v>0.58333333333333337</v>
      </c>
      <c r="CN552" s="397">
        <f t="shared" si="1821"/>
        <v>1.9318181818181819</v>
      </c>
      <c r="CO552" s="397">
        <f t="shared" si="1821"/>
        <v>0.54929577464788737</v>
      </c>
      <c r="CP552" s="397">
        <f t="shared" si="1821"/>
        <v>0.8125</v>
      </c>
      <c r="CQ552" s="397">
        <f>(CQ408-CN408)/(CQ$429-CN$429)</f>
        <v>0.81592538133108139</v>
      </c>
      <c r="CR552" s="397">
        <f t="shared" ref="CR552:CW555" si="1822">(CR408-CQ408)/(CR$429-CQ$429)</f>
        <v>0.30278907446134962</v>
      </c>
      <c r="CS552" s="397">
        <f t="shared" si="1822"/>
        <v>0.42068277068108517</v>
      </c>
      <c r="CT552" s="397">
        <f t="shared" si="1822"/>
        <v>0.39144920534443073</v>
      </c>
      <c r="CU552" s="397">
        <f t="shared" si="1822"/>
        <v>0.40604773928224563</v>
      </c>
      <c r="CV552" s="397">
        <f t="shared" si="1822"/>
        <v>0.39857793201476438</v>
      </c>
      <c r="CW552" s="397">
        <f t="shared" si="1822"/>
        <v>0.39104619895137283</v>
      </c>
    </row>
    <row r="553" spans="1:101">
      <c r="A553" s="395" t="s">
        <v>534</v>
      </c>
      <c r="B553" s="396"/>
      <c r="C553" s="396"/>
      <c r="D553" s="396"/>
      <c r="E553" s="396"/>
      <c r="F553" s="396"/>
      <c r="G553" s="396"/>
      <c r="H553" s="396"/>
      <c r="I553" s="396"/>
      <c r="J553" s="396"/>
      <c r="K553" s="396"/>
      <c r="L553" s="396"/>
      <c r="M553" s="396"/>
      <c r="N553" s="396"/>
      <c r="O553" s="396"/>
      <c r="P553" s="396"/>
      <c r="Q553" s="396"/>
      <c r="R553" s="396"/>
      <c r="S553" s="396"/>
      <c r="T553" s="396"/>
      <c r="U553" s="396"/>
      <c r="V553" s="396"/>
      <c r="W553" s="396"/>
      <c r="X553" s="396"/>
      <c r="Y553" s="396"/>
      <c r="Z553" s="396"/>
      <c r="AA553" s="396"/>
      <c r="AB553" s="396"/>
      <c r="AC553" s="396"/>
      <c r="AD553" s="396"/>
      <c r="AE553" s="396"/>
      <c r="AF553" s="396"/>
      <c r="AG553" s="396"/>
      <c r="AH553" s="396"/>
      <c r="AI553" s="396"/>
      <c r="AJ553" s="396"/>
      <c r="AK553" s="396"/>
      <c r="AL553" s="396"/>
      <c r="AM553" s="396"/>
      <c r="AN553" s="396"/>
      <c r="AO553" s="396"/>
      <c r="AP553" s="396"/>
      <c r="AQ553" s="396"/>
      <c r="AR553" s="396"/>
      <c r="AS553" s="396"/>
      <c r="AT553" s="396"/>
      <c r="AU553" s="396"/>
      <c r="AV553" s="396"/>
      <c r="AW553" s="396"/>
      <c r="AX553" s="396"/>
      <c r="AY553" s="396"/>
      <c r="AZ553" s="396"/>
      <c r="BA553" s="396"/>
      <c r="BB553" s="396"/>
      <c r="BC553" s="396"/>
      <c r="BD553" s="396"/>
      <c r="BE553" s="396"/>
      <c r="BF553" s="396"/>
      <c r="BG553" s="396"/>
      <c r="BH553" s="396"/>
      <c r="BI553" s="396"/>
      <c r="BJ553" s="396"/>
      <c r="BK553" s="396"/>
      <c r="BL553" s="396"/>
      <c r="BM553" s="396"/>
      <c r="BN553" s="396"/>
      <c r="BO553" s="396"/>
      <c r="BP553" s="396"/>
      <c r="BQ553" s="396"/>
      <c r="BR553" s="396"/>
      <c r="BS553" s="396"/>
      <c r="BT553" s="396"/>
      <c r="BU553" s="397">
        <f t="shared" si="1820"/>
        <v>-0.55932203389830504</v>
      </c>
      <c r="BV553" s="397">
        <f t="shared" si="1820"/>
        <v>-6.8965517241379309E-2</v>
      </c>
      <c r="BW553" s="397">
        <f t="shared" si="1820"/>
        <v>-0.12</v>
      </c>
      <c r="BX553" s="397">
        <f t="shared" si="1820"/>
        <v>0.26530612244897961</v>
      </c>
      <c r="BY553" s="397">
        <f t="shared" si="1820"/>
        <v>-6.8965517241379309E-2</v>
      </c>
      <c r="BZ553" s="397">
        <f t="shared" si="1820"/>
        <v>4.878048780487805E-2</v>
      </c>
      <c r="CA553" s="397">
        <f t="shared" si="1820"/>
        <v>-0.96551724137931039</v>
      </c>
      <c r="CB553" s="397">
        <f t="shared" si="1820"/>
        <v>-0.64864864864864868</v>
      </c>
      <c r="CC553" s="397">
        <f t="shared" si="1820"/>
        <v>-0.29545454545454547</v>
      </c>
      <c r="CD553" s="397">
        <f t="shared" si="1820"/>
        <v>-0.3135593220338983</v>
      </c>
      <c r="CE553" s="397">
        <f t="shared" si="1821"/>
        <v>-0.15189873417721519</v>
      </c>
      <c r="CF553" s="397">
        <f t="shared" si="1821"/>
        <v>-2.9126213592233011E-2</v>
      </c>
      <c r="CG553" s="397">
        <f t="shared" si="1821"/>
        <v>-0.16176470588235295</v>
      </c>
      <c r="CH553" s="397">
        <f t="shared" si="1821"/>
        <v>-0.60869565217391308</v>
      </c>
      <c r="CI553" s="397">
        <f t="shared" si="1821"/>
        <v>-0.18243243243243243</v>
      </c>
      <c r="CJ553" s="397">
        <f t="shared" si="1821"/>
        <v>2.7</v>
      </c>
      <c r="CK553" s="397">
        <f t="shared" si="1821"/>
        <v>3.1666666666666665</v>
      </c>
      <c r="CL553" s="397">
        <f t="shared" si="1821"/>
        <v>-0.8928571428571429</v>
      </c>
      <c r="CM553" s="397">
        <f t="shared" si="1821"/>
        <v>-6.25E-2</v>
      </c>
      <c r="CN553" s="397">
        <f t="shared" si="1821"/>
        <v>-2.7272727272727271</v>
      </c>
      <c r="CO553" s="397">
        <f t="shared" si="1821"/>
        <v>0.19718309859154928</v>
      </c>
      <c r="CP553" s="397">
        <f t="shared" si="1821"/>
        <v>4.1666666666666664E-2</v>
      </c>
      <c r="CQ553" s="397">
        <f>(CQ409-CN409)/(CQ$429-CN$429)</f>
        <v>0.17634941115317204</v>
      </c>
      <c r="CR553" s="397">
        <f t="shared" si="1822"/>
        <v>4.3615480658953945E-2</v>
      </c>
      <c r="CS553" s="397">
        <f t="shared" si="1822"/>
        <v>6.6749900023441819E-2</v>
      </c>
      <c r="CT553" s="397">
        <f t="shared" si="1822"/>
        <v>5.5582837659478135E-2</v>
      </c>
      <c r="CU553" s="397">
        <f t="shared" si="1822"/>
        <v>5.1374228323481465E-2</v>
      </c>
      <c r="CV553" s="397">
        <f t="shared" si="1822"/>
        <v>4.4725040031613525E-2</v>
      </c>
      <c r="CW553" s="397">
        <f t="shared" si="1822"/>
        <v>3.8715519416124472E-2</v>
      </c>
    </row>
    <row r="554" spans="1:101">
      <c r="A554" s="395" t="s">
        <v>681</v>
      </c>
      <c r="B554" s="396"/>
      <c r="C554" s="396"/>
      <c r="D554" s="396"/>
      <c r="E554" s="396"/>
      <c r="F554" s="396"/>
      <c r="G554" s="396"/>
      <c r="H554" s="396"/>
      <c r="I554" s="396"/>
      <c r="J554" s="396"/>
      <c r="K554" s="396"/>
      <c r="L554" s="396"/>
      <c r="M554" s="396"/>
      <c r="N554" s="396"/>
      <c r="O554" s="396"/>
      <c r="P554" s="396"/>
      <c r="Q554" s="396"/>
      <c r="R554" s="396"/>
      <c r="S554" s="396"/>
      <c r="T554" s="396"/>
      <c r="U554" s="396"/>
      <c r="V554" s="396"/>
      <c r="W554" s="396"/>
      <c r="X554" s="396"/>
      <c r="Y554" s="396"/>
      <c r="Z554" s="396"/>
      <c r="AA554" s="396"/>
      <c r="AB554" s="396"/>
      <c r="AC554" s="396"/>
      <c r="AD554" s="396"/>
      <c r="AE554" s="396"/>
      <c r="AF554" s="396"/>
      <c r="AG554" s="396"/>
      <c r="AH554" s="396"/>
      <c r="AI554" s="396"/>
      <c r="AJ554" s="396"/>
      <c r="AK554" s="396"/>
      <c r="AL554" s="396"/>
      <c r="AM554" s="396"/>
      <c r="AN554" s="396"/>
      <c r="AO554" s="396"/>
      <c r="AP554" s="396"/>
      <c r="AQ554" s="396"/>
      <c r="AR554" s="396"/>
      <c r="AS554" s="396"/>
      <c r="AT554" s="396"/>
      <c r="AU554" s="396"/>
      <c r="AV554" s="396"/>
      <c r="AW554" s="396"/>
      <c r="AX554" s="396"/>
      <c r="AY554" s="396"/>
      <c r="AZ554" s="396"/>
      <c r="BA554" s="396"/>
      <c r="BB554" s="396"/>
      <c r="BC554" s="396"/>
      <c r="BD554" s="396"/>
      <c r="BE554" s="396"/>
      <c r="BF554" s="396"/>
      <c r="BG554" s="396"/>
      <c r="BH554" s="396"/>
      <c r="BI554" s="396"/>
      <c r="BJ554" s="396"/>
      <c r="BK554" s="396"/>
      <c r="BL554" s="396"/>
      <c r="BM554" s="396"/>
      <c r="BN554" s="396"/>
      <c r="BO554" s="396"/>
      <c r="BP554" s="396"/>
      <c r="BQ554" s="396"/>
      <c r="BR554" s="396"/>
      <c r="BS554" s="396"/>
      <c r="BT554" s="396"/>
      <c r="BU554" s="397">
        <f t="shared" si="1820"/>
        <v>0</v>
      </c>
      <c r="BV554" s="397">
        <f t="shared" si="1820"/>
        <v>0</v>
      </c>
      <c r="BW554" s="397">
        <f t="shared" si="1820"/>
        <v>0</v>
      </c>
      <c r="BX554" s="397">
        <f t="shared" si="1820"/>
        <v>0</v>
      </c>
      <c r="BY554" s="397">
        <f t="shared" si="1820"/>
        <v>0</v>
      </c>
      <c r="BZ554" s="397">
        <f t="shared" si="1820"/>
        <v>0</v>
      </c>
      <c r="CA554" s="397">
        <f t="shared" si="1820"/>
        <v>0</v>
      </c>
      <c r="CB554" s="397">
        <f t="shared" si="1820"/>
        <v>0</v>
      </c>
      <c r="CC554" s="397">
        <f t="shared" si="1820"/>
        <v>0</v>
      </c>
      <c r="CD554" s="397">
        <f t="shared" si="1820"/>
        <v>0</v>
      </c>
      <c r="CE554" s="397">
        <f t="shared" si="1821"/>
        <v>0</v>
      </c>
      <c r="CF554" s="397">
        <f t="shared" si="1821"/>
        <v>0</v>
      </c>
      <c r="CG554" s="397">
        <f t="shared" si="1821"/>
        <v>0</v>
      </c>
      <c r="CH554" s="397">
        <f t="shared" si="1821"/>
        <v>0</v>
      </c>
      <c r="CI554" s="397">
        <f t="shared" si="1821"/>
        <v>0</v>
      </c>
      <c r="CJ554" s="397">
        <f t="shared" si="1821"/>
        <v>0</v>
      </c>
      <c r="CK554" s="397">
        <f t="shared" si="1821"/>
        <v>0</v>
      </c>
      <c r="CL554" s="397">
        <f t="shared" si="1821"/>
        <v>0</v>
      </c>
      <c r="CM554" s="397">
        <f t="shared" si="1821"/>
        <v>0</v>
      </c>
      <c r="CN554" s="397">
        <f t="shared" si="1821"/>
        <v>0</v>
      </c>
      <c r="CO554" s="397">
        <f t="shared" si="1821"/>
        <v>0</v>
      </c>
      <c r="CP554" s="397">
        <f t="shared" si="1821"/>
        <v>0</v>
      </c>
      <c r="CQ554" s="397">
        <f>(CQ410-CN410)/(CQ$429-CN$429)</f>
        <v>0</v>
      </c>
      <c r="CR554" s="397">
        <f t="shared" si="1822"/>
        <v>0</v>
      </c>
      <c r="CS554" s="397">
        <f t="shared" si="1822"/>
        <v>0</v>
      </c>
      <c r="CT554" s="397">
        <f t="shared" si="1822"/>
        <v>0</v>
      </c>
      <c r="CU554" s="397">
        <f t="shared" si="1822"/>
        <v>0</v>
      </c>
      <c r="CV554" s="397">
        <f t="shared" si="1822"/>
        <v>0</v>
      </c>
      <c r="CW554" s="397">
        <f t="shared" si="1822"/>
        <v>0</v>
      </c>
    </row>
    <row r="555" spans="1:101">
      <c r="A555" s="395" t="s">
        <v>643</v>
      </c>
      <c r="B555" s="396"/>
      <c r="C555" s="396"/>
      <c r="D555" s="396"/>
      <c r="E555" s="396"/>
      <c r="F555" s="396"/>
      <c r="G555" s="396"/>
      <c r="H555" s="396"/>
      <c r="I555" s="396"/>
      <c r="J555" s="396"/>
      <c r="K555" s="396"/>
      <c r="L555" s="396"/>
      <c r="M555" s="396"/>
      <c r="N555" s="396"/>
      <c r="O555" s="396"/>
      <c r="P555" s="396"/>
      <c r="Q555" s="396"/>
      <c r="R555" s="396"/>
      <c r="S555" s="396"/>
      <c r="T555" s="396"/>
      <c r="U555" s="396"/>
      <c r="V555" s="396"/>
      <c r="W555" s="396"/>
      <c r="X555" s="396"/>
      <c r="Y555" s="396"/>
      <c r="Z555" s="396"/>
      <c r="AA555" s="396"/>
      <c r="AB555" s="396"/>
      <c r="AC555" s="396"/>
      <c r="AD555" s="396"/>
      <c r="AE555" s="396"/>
      <c r="AF555" s="396"/>
      <c r="AG555" s="396"/>
      <c r="AH555" s="396"/>
      <c r="AI555" s="396"/>
      <c r="AJ555" s="396"/>
      <c r="AK555" s="396"/>
      <c r="AL555" s="396"/>
      <c r="AM555" s="396"/>
      <c r="AN555" s="396"/>
      <c r="AO555" s="396"/>
      <c r="AP555" s="396"/>
      <c r="AQ555" s="396"/>
      <c r="AR555" s="396"/>
      <c r="AS555" s="396"/>
      <c r="AT555" s="396"/>
      <c r="AU555" s="396"/>
      <c r="AV555" s="396"/>
      <c r="AW555" s="396"/>
      <c r="AX555" s="396"/>
      <c r="AY555" s="396"/>
      <c r="AZ555" s="396"/>
      <c r="BA555" s="396"/>
      <c r="BB555" s="396"/>
      <c r="BC555" s="396"/>
      <c r="BD555" s="396"/>
      <c r="BE555" s="396"/>
      <c r="BF555" s="396"/>
      <c r="BG555" s="396"/>
      <c r="BH555" s="396"/>
      <c r="BI555" s="396"/>
      <c r="BJ555" s="396"/>
      <c r="BK555" s="396"/>
      <c r="BL555" s="396"/>
      <c r="BM555" s="396"/>
      <c r="BN555" s="396"/>
      <c r="BO555" s="396"/>
      <c r="BP555" s="396"/>
      <c r="BQ555" s="396"/>
      <c r="BR555" s="396"/>
      <c r="BS555" s="396"/>
      <c r="BT555" s="396"/>
      <c r="BU555" s="397">
        <f t="shared" si="1820"/>
        <v>0.59322033898305082</v>
      </c>
      <c r="BV555" s="397">
        <f t="shared" si="1820"/>
        <v>0.39080459770114945</v>
      </c>
      <c r="BW555" s="397">
        <f t="shared" si="1820"/>
        <v>0.4</v>
      </c>
      <c r="BX555" s="397">
        <f t="shared" si="1820"/>
        <v>0.23469387755102042</v>
      </c>
      <c r="BY555" s="397">
        <f t="shared" si="1820"/>
        <v>0.38244514106583072</v>
      </c>
      <c r="BZ555" s="397">
        <f t="shared" si="1820"/>
        <v>0.26829268292682928</v>
      </c>
      <c r="CA555" s="397">
        <f t="shared" si="1820"/>
        <v>0.68965517241379315</v>
      </c>
      <c r="CB555" s="397">
        <f t="shared" si="1820"/>
        <v>0.43243243243243246</v>
      </c>
      <c r="CC555" s="397">
        <f t="shared" si="1820"/>
        <v>0.27272727272727271</v>
      </c>
      <c r="CD555" s="397">
        <f t="shared" si="1820"/>
        <v>0.34745762711864409</v>
      </c>
      <c r="CE555" s="397">
        <f t="shared" si="1821"/>
        <v>0.27848101265822783</v>
      </c>
      <c r="CF555" s="397">
        <f t="shared" si="1821"/>
        <v>0.21359223300970873</v>
      </c>
      <c r="CG555" s="397">
        <f t="shared" si="1821"/>
        <v>0.29411764705882354</v>
      </c>
      <c r="CH555" s="397">
        <f t="shared" si="1821"/>
        <v>8.6956521739130432E-2</v>
      </c>
      <c r="CI555" s="397">
        <f t="shared" si="1821"/>
        <v>0.22972972972972974</v>
      </c>
      <c r="CJ555" s="397">
        <f t="shared" si="1821"/>
        <v>-0.5</v>
      </c>
      <c r="CK555" s="397">
        <f t="shared" si="1821"/>
        <v>-0.25</v>
      </c>
      <c r="CL555" s="397">
        <f t="shared" si="1821"/>
        <v>0.14285714285714285</v>
      </c>
      <c r="CM555" s="397">
        <f t="shared" si="1821"/>
        <v>0.14583333333333334</v>
      </c>
      <c r="CN555" s="397">
        <f t="shared" si="1821"/>
        <v>0.54545454545454541</v>
      </c>
      <c r="CO555" s="397">
        <f t="shared" si="1821"/>
        <v>-4.2253521126760563E-2</v>
      </c>
      <c r="CP555" s="397">
        <f t="shared" si="1821"/>
        <v>-4.1666666666666664E-2</v>
      </c>
      <c r="CQ555" s="397">
        <f>(CQ411-CN411)/(CQ$429-CN$429)</f>
        <v>-2.1501943882913922E-2</v>
      </c>
      <c r="CR555" s="397">
        <f t="shared" si="1822"/>
        <v>0.24686531617094212</v>
      </c>
      <c r="CS555" s="397">
        <f t="shared" si="1822"/>
        <v>0.11327981814475083</v>
      </c>
      <c r="CT555" s="397">
        <f t="shared" si="1822"/>
        <v>0.15947843071829912</v>
      </c>
      <c r="CU555" s="397">
        <f t="shared" si="1822"/>
        <v>0.11104566195005587</v>
      </c>
      <c r="CV555" s="397">
        <f t="shared" si="1822"/>
        <v>0.1095777370164582</v>
      </c>
      <c r="CW555" s="397">
        <f t="shared" si="1822"/>
        <v>0.10790967540227721</v>
      </c>
    </row>
    <row r="556" spans="1:101" s="221" customFormat="1">
      <c r="A556" s="398" t="s">
        <v>645</v>
      </c>
      <c r="B556" s="910"/>
      <c r="C556" s="910"/>
      <c r="D556" s="910"/>
      <c r="E556" s="910"/>
      <c r="F556" s="910"/>
      <c r="G556" s="910"/>
      <c r="H556" s="910"/>
      <c r="I556" s="910"/>
      <c r="J556" s="910"/>
      <c r="K556" s="910"/>
      <c r="L556" s="910"/>
      <c r="M556" s="910"/>
      <c r="N556" s="910"/>
      <c r="O556" s="910"/>
      <c r="P556" s="910"/>
      <c r="Q556" s="910"/>
      <c r="R556" s="910"/>
      <c r="S556" s="910"/>
      <c r="T556" s="910"/>
      <c r="U556" s="910"/>
      <c r="V556" s="910"/>
      <c r="W556" s="910"/>
      <c r="X556" s="910"/>
      <c r="Y556" s="910"/>
      <c r="Z556" s="910"/>
      <c r="AA556" s="910"/>
      <c r="AB556" s="910"/>
      <c r="AC556" s="910"/>
      <c r="AD556" s="910"/>
      <c r="AE556" s="910"/>
      <c r="AF556" s="910"/>
      <c r="AG556" s="910"/>
      <c r="AH556" s="910"/>
      <c r="AI556" s="910"/>
      <c r="AJ556" s="910"/>
      <c r="AK556" s="910"/>
      <c r="AL556" s="910"/>
      <c r="AM556" s="910"/>
      <c r="AN556" s="910"/>
      <c r="AO556" s="910"/>
      <c r="AP556" s="910"/>
      <c r="AQ556" s="910"/>
      <c r="AR556" s="910"/>
      <c r="AS556" s="910"/>
      <c r="AT556" s="910"/>
      <c r="AU556" s="910"/>
      <c r="AV556" s="910"/>
      <c r="AW556" s="910"/>
      <c r="AX556" s="910"/>
      <c r="AY556" s="910"/>
      <c r="AZ556" s="910"/>
      <c r="BA556" s="910"/>
      <c r="BB556" s="910"/>
      <c r="BC556" s="910"/>
      <c r="BD556" s="910"/>
      <c r="BE556" s="910"/>
      <c r="BF556" s="910"/>
      <c r="BG556" s="910"/>
      <c r="BH556" s="910"/>
      <c r="BI556" s="910"/>
      <c r="BJ556" s="910"/>
      <c r="BK556" s="910"/>
      <c r="BL556" s="910"/>
      <c r="BM556" s="910"/>
      <c r="BN556" s="910"/>
      <c r="BO556" s="910"/>
      <c r="BP556" s="910"/>
      <c r="BQ556" s="910"/>
      <c r="BR556" s="910"/>
      <c r="BS556" s="910"/>
      <c r="BT556" s="910"/>
      <c r="BU556" s="911">
        <f t="shared" ref="BU556:CP556" si="1823">(BU414-BP414)/(BU$429-BP$429)</f>
        <v>0.66101694915254239</v>
      </c>
      <c r="BV556" s="911">
        <f t="shared" si="1823"/>
        <v>0.82758620689655171</v>
      </c>
      <c r="BW556" s="911">
        <f t="shared" si="1823"/>
        <v>0.90666666666666662</v>
      </c>
      <c r="BX556" s="911">
        <f t="shared" si="1823"/>
        <v>1.3571428571428572</v>
      </c>
      <c r="BY556" s="911">
        <f t="shared" si="1823"/>
        <v>0.9780564263322884</v>
      </c>
      <c r="BZ556" s="911">
        <f t="shared" si="1823"/>
        <v>1.2804878048780488</v>
      </c>
      <c r="CA556" s="911">
        <f t="shared" si="1823"/>
        <v>1.8275862068965518</v>
      </c>
      <c r="CB556" s="911">
        <f t="shared" si="1823"/>
        <v>1.1891891891891893</v>
      </c>
      <c r="CC556" s="911">
        <f t="shared" si="1823"/>
        <v>0.57954545454545459</v>
      </c>
      <c r="CD556" s="911">
        <f t="shared" si="1823"/>
        <v>1.0720338983050848</v>
      </c>
      <c r="CE556" s="911">
        <f t="shared" si="1823"/>
        <v>0.72151898734177211</v>
      </c>
      <c r="CF556" s="911">
        <f t="shared" si="1823"/>
        <v>0.62135922330097082</v>
      </c>
      <c r="CG556" s="911">
        <f t="shared" si="1823"/>
        <v>0.76470588235294112</v>
      </c>
      <c r="CH556" s="911">
        <f t="shared" si="1823"/>
        <v>0.45652173913043476</v>
      </c>
      <c r="CI556" s="911">
        <f t="shared" si="1823"/>
        <v>0.65540540540540537</v>
      </c>
      <c r="CJ556" s="911">
        <f t="shared" si="1823"/>
        <v>1.55</v>
      </c>
      <c r="CK556" s="911">
        <f t="shared" si="1823"/>
        <v>1.5</v>
      </c>
      <c r="CL556" s="911">
        <f t="shared" si="1823"/>
        <v>0.21428571428571427</v>
      </c>
      <c r="CM556" s="911">
        <f t="shared" si="1823"/>
        <v>0.66666666666666663</v>
      </c>
      <c r="CN556" s="911">
        <f t="shared" si="1823"/>
        <v>-0.25</v>
      </c>
      <c r="CO556" s="911">
        <f t="shared" si="1823"/>
        <v>0.70422535211267601</v>
      </c>
      <c r="CP556" s="911">
        <f t="shared" si="1823"/>
        <v>0.8125</v>
      </c>
      <c r="CQ556" s="911">
        <f>(CQ414-CN414)/(CQ$429-CN$429)</f>
        <v>0.9707728486013435</v>
      </c>
      <c r="CR556" s="911">
        <f t="shared" ref="CR556:CW556" si="1824">(CR414-CQ414)/(CR$429-CQ$429)</f>
        <v>0.59326987129124287</v>
      </c>
      <c r="CS556" s="911">
        <f t="shared" si="1824"/>
        <v>0.60071248884927886</v>
      </c>
      <c r="CT556" s="911">
        <f t="shared" si="1824"/>
        <v>0.60651047372220512</v>
      </c>
      <c r="CU556" s="911">
        <f t="shared" si="1824"/>
        <v>0.56846762955578301</v>
      </c>
      <c r="CV556" s="911">
        <f t="shared" si="1824"/>
        <v>0.55288070906283804</v>
      </c>
      <c r="CW556" s="911">
        <f t="shared" si="1824"/>
        <v>0.53767139376977247</v>
      </c>
    </row>
    <row r="557" spans="1:101" s="221" customFormat="1">
      <c r="A557" s="401" t="s">
        <v>647</v>
      </c>
      <c r="B557" s="399"/>
      <c r="C557" s="399"/>
      <c r="D557" s="399"/>
      <c r="E557" s="399"/>
      <c r="F557" s="399"/>
      <c r="G557" s="399"/>
      <c r="H557" s="399"/>
      <c r="I557" s="399"/>
      <c r="J557" s="399"/>
      <c r="K557" s="399"/>
      <c r="L557" s="399"/>
      <c r="M557" s="399"/>
      <c r="N557" s="399"/>
      <c r="O557" s="399"/>
      <c r="P557" s="399"/>
      <c r="Q557" s="399"/>
      <c r="R557" s="399"/>
      <c r="S557" s="399"/>
      <c r="T557" s="399"/>
      <c r="U557" s="399"/>
      <c r="V557" s="399"/>
      <c r="W557" s="399"/>
      <c r="X557" s="399"/>
      <c r="Y557" s="399"/>
      <c r="Z557" s="399"/>
      <c r="AA557" s="399"/>
      <c r="AB557" s="399"/>
      <c r="AC557" s="399"/>
      <c r="AD557" s="399"/>
      <c r="AE557" s="399"/>
      <c r="AF557" s="399"/>
      <c r="AG557" s="399"/>
      <c r="AH557" s="399"/>
      <c r="AI557" s="399"/>
      <c r="AJ557" s="399"/>
      <c r="AK557" s="399"/>
      <c r="AL557" s="399"/>
      <c r="AM557" s="399"/>
      <c r="AN557" s="399"/>
      <c r="AO557" s="399"/>
      <c r="AP557" s="399"/>
      <c r="AQ557" s="399"/>
      <c r="AR557" s="399"/>
      <c r="AS557" s="399"/>
      <c r="AT557" s="399"/>
      <c r="AU557" s="399"/>
      <c r="AV557" s="399"/>
      <c r="AW557" s="399"/>
      <c r="AX557" s="399"/>
      <c r="AY557" s="399"/>
      <c r="AZ557" s="399"/>
      <c r="BA557" s="399"/>
      <c r="BB557" s="399"/>
      <c r="BC557" s="399"/>
      <c r="BD557" s="399"/>
      <c r="BE557" s="399"/>
      <c r="BF557" s="399"/>
      <c r="BG557" s="399"/>
      <c r="BH557" s="399"/>
      <c r="BI557" s="399"/>
      <c r="BJ557" s="399"/>
      <c r="BK557" s="399"/>
      <c r="BL557" s="399"/>
      <c r="BM557" s="399"/>
      <c r="BN557" s="399"/>
      <c r="BO557" s="399"/>
      <c r="BP557" s="399"/>
      <c r="BQ557" s="399"/>
      <c r="BR557" s="399"/>
      <c r="BS557" s="399"/>
      <c r="BT557" s="399"/>
      <c r="BU557" s="400">
        <f t="shared" ref="BU557:CP557" si="1825">(BU426-BP426)/(BU$429-BP$429)</f>
        <v>0.33898305084745761</v>
      </c>
      <c r="BV557" s="400">
        <f t="shared" si="1825"/>
        <v>0.17241379310344829</v>
      </c>
      <c r="BW557" s="400">
        <f t="shared" si="1825"/>
        <v>9.3333333333333338E-2</v>
      </c>
      <c r="BX557" s="400">
        <f t="shared" si="1825"/>
        <v>-0.35714285714285715</v>
      </c>
      <c r="BY557" s="400">
        <f t="shared" si="1825"/>
        <v>2.1943573667711599E-2</v>
      </c>
      <c r="BZ557" s="400">
        <f t="shared" si="1825"/>
        <v>-0.28048780487804881</v>
      </c>
      <c r="CA557" s="400">
        <f t="shared" si="1825"/>
        <v>-0.82758620689655171</v>
      </c>
      <c r="CB557" s="400">
        <f t="shared" si="1825"/>
        <v>-0.1891891891891892</v>
      </c>
      <c r="CC557" s="400">
        <f t="shared" si="1825"/>
        <v>0.42045454545454547</v>
      </c>
      <c r="CD557" s="400">
        <f t="shared" si="1825"/>
        <v>-7.2033898305084748E-2</v>
      </c>
      <c r="CE557" s="400">
        <f t="shared" si="1825"/>
        <v>0.27848101265822783</v>
      </c>
      <c r="CF557" s="400">
        <f t="shared" si="1825"/>
        <v>0.37864077669902912</v>
      </c>
      <c r="CG557" s="400">
        <f t="shared" si="1825"/>
        <v>0.23529411764705882</v>
      </c>
      <c r="CH557" s="400">
        <f t="shared" si="1825"/>
        <v>0.54347826086956519</v>
      </c>
      <c r="CI557" s="400">
        <f t="shared" si="1825"/>
        <v>0.34459459459459457</v>
      </c>
      <c r="CJ557" s="400">
        <f t="shared" si="1825"/>
        <v>-0.55000000000000004</v>
      </c>
      <c r="CK557" s="400">
        <f t="shared" si="1825"/>
        <v>-0.5</v>
      </c>
      <c r="CL557" s="400">
        <f t="shared" si="1825"/>
        <v>0.7857142857142857</v>
      </c>
      <c r="CM557" s="400">
        <f t="shared" si="1825"/>
        <v>0.33333333333333331</v>
      </c>
      <c r="CN557" s="400">
        <f t="shared" si="1825"/>
        <v>1.25</v>
      </c>
      <c r="CO557" s="400">
        <f t="shared" si="1825"/>
        <v>0.29577464788732394</v>
      </c>
      <c r="CP557" s="400">
        <f t="shared" si="1825"/>
        <v>0.1875</v>
      </c>
      <c r="CQ557" s="400">
        <f>(CQ426-CN426)/(CQ$429-CN$429)</f>
        <v>2.9227151398659744E-2</v>
      </c>
      <c r="CR557" s="400">
        <f t="shared" ref="CR557:CW557" si="1826">(CR426-CQ426)/(CR$429-CQ$429)</f>
        <v>0.40673012870875713</v>
      </c>
      <c r="CS557" s="400">
        <f t="shared" si="1826"/>
        <v>0.39928751115072114</v>
      </c>
      <c r="CT557" s="400">
        <f t="shared" si="1826"/>
        <v>0.39348952627779105</v>
      </c>
      <c r="CU557" s="400">
        <f t="shared" si="1826"/>
        <v>0.43153237044421805</v>
      </c>
      <c r="CV557" s="400">
        <f t="shared" si="1826"/>
        <v>0.44711929093716091</v>
      </c>
      <c r="CW557" s="400">
        <f t="shared" si="1826"/>
        <v>0.46232860623022748</v>
      </c>
    </row>
    <row r="558" spans="1:101">
      <c r="A558" s="235"/>
    </row>
    <row r="559" spans="1:101">
      <c r="A559" s="235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tabColor theme="0"/>
  </sheetPr>
  <dimension ref="A1:CA346"/>
  <sheetViews>
    <sheetView zoomScale="85" zoomScaleNormal="85" workbookViewId="0">
      <pane xSplit="1" ySplit="3" topLeftCell="I4" activePane="bottomRight" state="frozen"/>
      <selection activeCell="F41" sqref="F41"/>
      <selection pane="topRight" activeCell="F41" sqref="F41"/>
      <selection pane="bottomLeft" activeCell="F41" sqref="F41"/>
      <selection pane="bottomRight" activeCell="AC301" sqref="AC301"/>
    </sheetView>
  </sheetViews>
  <sheetFormatPr defaultColWidth="8.90625" defaultRowHeight="14.5"/>
  <cols>
    <col min="1" max="1" width="33.36328125" style="420" customWidth="1"/>
    <col min="2" max="3" width="10.6328125" style="420" customWidth="1"/>
    <col min="4" max="10" width="11.6328125" style="420" customWidth="1"/>
    <col min="11" max="28" width="12.36328125" style="420" customWidth="1"/>
    <col min="29" max="16384" width="8.90625" style="420"/>
  </cols>
  <sheetData>
    <row r="1" spans="1:79" s="163" customFormat="1" ht="13">
      <c r="A1" s="428">
        <f>DCF!$C$34</f>
        <v>5.7602386508632222</v>
      </c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  <c r="N1" s="365"/>
      <c r="O1" s="365"/>
      <c r="P1" s="365"/>
      <c r="Q1" s="365"/>
      <c r="R1" s="365"/>
      <c r="AB1" s="365"/>
      <c r="AC1" s="158"/>
      <c r="AD1" s="158"/>
      <c r="AE1" s="158"/>
      <c r="AF1" s="158"/>
      <c r="AG1" s="159"/>
      <c r="AH1" s="165"/>
      <c r="AI1" s="165"/>
      <c r="BZ1" s="286"/>
      <c r="CA1" s="287"/>
    </row>
    <row r="2" spans="1:79" s="163" customFormat="1" ht="13">
      <c r="A2" s="429" t="s">
        <v>735</v>
      </c>
      <c r="B2" s="430">
        <v>2007</v>
      </c>
      <c r="C2" s="430">
        <f t="shared" ref="C2:T2" si="0">B2+1</f>
        <v>2008</v>
      </c>
      <c r="D2" s="430">
        <f t="shared" si="0"/>
        <v>2009</v>
      </c>
      <c r="E2" s="430">
        <f t="shared" si="0"/>
        <v>2010</v>
      </c>
      <c r="F2" s="430">
        <f t="shared" si="0"/>
        <v>2011</v>
      </c>
      <c r="G2" s="430">
        <f t="shared" si="0"/>
        <v>2012</v>
      </c>
      <c r="H2" s="430">
        <f t="shared" si="0"/>
        <v>2013</v>
      </c>
      <c r="I2" s="430">
        <f t="shared" si="0"/>
        <v>2014</v>
      </c>
      <c r="J2" s="430">
        <f t="shared" si="0"/>
        <v>2015</v>
      </c>
      <c r="K2" s="430">
        <f t="shared" si="0"/>
        <v>2016</v>
      </c>
      <c r="L2" s="430">
        <f t="shared" si="0"/>
        <v>2017</v>
      </c>
      <c r="M2" s="430">
        <f t="shared" si="0"/>
        <v>2018</v>
      </c>
      <c r="N2" s="430">
        <f t="shared" si="0"/>
        <v>2019</v>
      </c>
      <c r="O2" s="430">
        <f t="shared" si="0"/>
        <v>2020</v>
      </c>
      <c r="P2" s="430">
        <f t="shared" si="0"/>
        <v>2021</v>
      </c>
      <c r="Q2" s="430">
        <f t="shared" si="0"/>
        <v>2022</v>
      </c>
      <c r="R2" s="430">
        <f t="shared" si="0"/>
        <v>2023</v>
      </c>
      <c r="S2" s="430">
        <f t="shared" si="0"/>
        <v>2024</v>
      </c>
      <c r="T2" s="430">
        <f t="shared" si="0"/>
        <v>2025</v>
      </c>
      <c r="U2" s="431">
        <f t="shared" ref="U2:W2" si="1">T2+1</f>
        <v>2026</v>
      </c>
      <c r="V2" s="431">
        <f t="shared" si="1"/>
        <v>2027</v>
      </c>
      <c r="W2" s="431">
        <f t="shared" si="1"/>
        <v>2028</v>
      </c>
      <c r="X2" s="431">
        <f t="shared" ref="X2" si="2">W2+1</f>
        <v>2029</v>
      </c>
      <c r="Y2" s="431">
        <f>X2+1</f>
        <v>2030</v>
      </c>
      <c r="Z2" s="431">
        <f t="shared" ref="Z2" si="3">Y2+1</f>
        <v>2031</v>
      </c>
      <c r="AA2" s="431">
        <f t="shared" ref="AA2" si="4">Z2+1</f>
        <v>2032</v>
      </c>
      <c r="AB2" s="432"/>
      <c r="AC2" s="165"/>
      <c r="AD2" s="165"/>
      <c r="AE2" s="165"/>
      <c r="AF2" s="165"/>
      <c r="AG2" s="165"/>
      <c r="AH2" s="159"/>
      <c r="AI2" s="159"/>
      <c r="BZ2" s="286"/>
      <c r="CA2" s="287"/>
    </row>
    <row r="3" spans="1:79" s="159" customFormat="1" ht="13">
      <c r="A3" s="361"/>
      <c r="S3" s="693">
        <f t="shared" ref="S3:AA3" si="5">S40</f>
        <v>0</v>
      </c>
      <c r="T3" s="693">
        <f t="shared" ref="T3" si="6">T40</f>
        <v>0</v>
      </c>
      <c r="U3" s="693">
        <f t="shared" si="5"/>
        <v>-0.18812593462280347</v>
      </c>
      <c r="V3" s="693">
        <f t="shared" si="5"/>
        <v>-0.18812593462644145</v>
      </c>
      <c r="W3" s="693">
        <f t="shared" si="5"/>
        <v>-0.18812593462644145</v>
      </c>
      <c r="X3" s="693">
        <f t="shared" si="5"/>
        <v>-0.19339857330851373</v>
      </c>
      <c r="Y3" s="693">
        <f t="shared" si="5"/>
        <v>-0.22226877331922879</v>
      </c>
      <c r="Z3" s="693">
        <f t="shared" si="5"/>
        <v>-0.3054066638542281</v>
      </c>
      <c r="AA3" s="693">
        <f t="shared" si="5"/>
        <v>-0.48240211065422045</v>
      </c>
    </row>
    <row r="4" spans="1:79" s="163" customFormat="1" ht="13">
      <c r="A4" s="226" t="s">
        <v>102</v>
      </c>
      <c r="B4" s="433"/>
      <c r="C4" s="433"/>
      <c r="D4" s="439">
        <f t="shared" ref="D4:P4" si="7">D141</f>
        <v>1192</v>
      </c>
      <c r="E4" s="439">
        <f t="shared" si="7"/>
        <v>898</v>
      </c>
      <c r="F4" s="439">
        <f t="shared" si="7"/>
        <v>838</v>
      </c>
      <c r="G4" s="439">
        <f t="shared" si="7"/>
        <v>688</v>
      </c>
      <c r="H4" s="439">
        <f t="shared" si="7"/>
        <v>808</v>
      </c>
      <c r="I4" s="439">
        <f t="shared" si="7"/>
        <v>1531</v>
      </c>
      <c r="J4" s="439">
        <f t="shared" si="7"/>
        <v>1296</v>
      </c>
      <c r="K4" s="439">
        <f t="shared" si="7"/>
        <v>682</v>
      </c>
      <c r="L4" s="439">
        <f t="shared" si="7"/>
        <v>602</v>
      </c>
      <c r="M4" s="439">
        <f t="shared" si="7"/>
        <v>560.45699999999999</v>
      </c>
      <c r="N4" s="439">
        <f t="shared" si="7"/>
        <v>582</v>
      </c>
      <c r="O4" s="439">
        <f t="shared" si="7"/>
        <v>735</v>
      </c>
      <c r="P4" s="439">
        <f t="shared" si="7"/>
        <v>1191</v>
      </c>
      <c r="Q4" s="439">
        <f t="shared" ref="Q4" si="8">Q141</f>
        <v>628</v>
      </c>
      <c r="R4" s="439">
        <f t="shared" ref="R4:W4" si="9">R141</f>
        <v>569</v>
      </c>
      <c r="S4" s="439">
        <f t="shared" si="9"/>
        <v>464</v>
      </c>
      <c r="T4" s="439">
        <f>T141</f>
        <v>458</v>
      </c>
      <c r="U4" s="439">
        <f t="shared" si="9"/>
        <v>471.37560597522059</v>
      </c>
      <c r="V4" s="439">
        <f t="shared" si="9"/>
        <v>483.06620255456079</v>
      </c>
      <c r="W4" s="439">
        <f t="shared" si="9"/>
        <v>494.89125115709339</v>
      </c>
      <c r="X4" s="439">
        <f t="shared" ref="X4:AA4" si="10">X141</f>
        <v>507.37473196442699</v>
      </c>
      <c r="Y4" s="439">
        <f t="shared" si="10"/>
        <v>519.47173401389557</v>
      </c>
      <c r="Z4" s="439">
        <f t="shared" si="10"/>
        <v>531.74254812727543</v>
      </c>
      <c r="AA4" s="439">
        <f t="shared" si="10"/>
        <v>544.2114845573999</v>
      </c>
      <c r="AB4" s="433"/>
      <c r="AC4" s="159"/>
      <c r="AD4" s="365"/>
      <c r="AE4" s="365"/>
      <c r="AF4" s="365"/>
      <c r="AG4" s="159"/>
      <c r="AH4" s="159"/>
      <c r="AI4" s="159"/>
      <c r="BZ4" s="286"/>
      <c r="CA4" s="287"/>
    </row>
    <row r="5" spans="1:79" s="163" customFormat="1" ht="13">
      <c r="A5" s="226" t="s">
        <v>103</v>
      </c>
      <c r="B5" s="433"/>
      <c r="C5" s="433"/>
      <c r="D5" s="439">
        <f t="shared" ref="D5:P5" si="11">D152</f>
        <v>134</v>
      </c>
      <c r="E5" s="439">
        <f t="shared" si="11"/>
        <v>214</v>
      </c>
      <c r="F5" s="439">
        <f t="shared" si="11"/>
        <v>110</v>
      </c>
      <c r="G5" s="439">
        <f t="shared" si="11"/>
        <v>112.08750000000001</v>
      </c>
      <c r="H5" s="439">
        <f t="shared" si="11"/>
        <v>70</v>
      </c>
      <c r="I5" s="439">
        <f t="shared" si="11"/>
        <v>12</v>
      </c>
      <c r="J5" s="439">
        <f t="shared" si="11"/>
        <v>13</v>
      </c>
      <c r="K5" s="439">
        <f t="shared" si="11"/>
        <v>6</v>
      </c>
      <c r="L5" s="439">
        <f t="shared" si="11"/>
        <v>5</v>
      </c>
      <c r="M5" s="439">
        <f t="shared" si="11"/>
        <v>16</v>
      </c>
      <c r="N5" s="439">
        <f t="shared" si="11"/>
        <v>3</v>
      </c>
      <c r="O5" s="439">
        <f t="shared" si="11"/>
        <v>3</v>
      </c>
      <c r="P5" s="439">
        <f t="shared" si="11"/>
        <v>5</v>
      </c>
      <c r="Q5" s="439">
        <f t="shared" ref="Q5" si="12">Q152</f>
        <v>8</v>
      </c>
      <c r="R5" s="439">
        <f t="shared" ref="R5:W5" si="13">R152</f>
        <v>22</v>
      </c>
      <c r="S5" s="439">
        <f t="shared" si="13"/>
        <v>17</v>
      </c>
      <c r="T5" s="439">
        <f t="shared" ref="T5" si="14">T152</f>
        <v>19</v>
      </c>
      <c r="U5" s="439">
        <f t="shared" si="13"/>
        <v>19.554883217312646</v>
      </c>
      <c r="V5" s="439">
        <f t="shared" si="13"/>
        <v>20.039864298114967</v>
      </c>
      <c r="W5" s="439">
        <f t="shared" si="13"/>
        <v>20.530423082936188</v>
      </c>
      <c r="X5" s="439">
        <f t="shared" ref="X5:AA5" si="15">X152</f>
        <v>21.048296740882343</v>
      </c>
      <c r="Y5" s="439">
        <f t="shared" si="15"/>
        <v>21.550137437257675</v>
      </c>
      <c r="Z5" s="439">
        <f t="shared" si="15"/>
        <v>22.059188677769068</v>
      </c>
      <c r="AA5" s="439">
        <f t="shared" si="15"/>
        <v>22.576458966355016</v>
      </c>
      <c r="AB5" s="433"/>
      <c r="AC5" s="159" t="s">
        <v>729</v>
      </c>
      <c r="AD5" s="159"/>
      <c r="AE5" s="159"/>
      <c r="AF5" s="159"/>
      <c r="AG5" s="159"/>
      <c r="AH5" s="159"/>
      <c r="AI5" s="159"/>
      <c r="BZ5" s="286"/>
      <c r="CA5" s="287"/>
    </row>
    <row r="6" spans="1:79" s="163" customFormat="1" ht="13">
      <c r="A6" s="226" t="s">
        <v>104</v>
      </c>
      <c r="B6" s="433"/>
      <c r="C6" s="433"/>
      <c r="D6" s="439">
        <f t="shared" ref="D6:P6" si="16">D155</f>
        <v>806</v>
      </c>
      <c r="E6" s="439">
        <f t="shared" si="16"/>
        <v>991</v>
      </c>
      <c r="F6" s="439">
        <f t="shared" si="16"/>
        <v>888</v>
      </c>
      <c r="G6" s="439">
        <f t="shared" si="16"/>
        <v>904.8518181818182</v>
      </c>
      <c r="H6" s="439">
        <f t="shared" si="16"/>
        <v>974</v>
      </c>
      <c r="I6" s="439">
        <f t="shared" si="16"/>
        <v>1036</v>
      </c>
      <c r="J6" s="439">
        <f t="shared" si="16"/>
        <v>1218</v>
      </c>
      <c r="K6" s="439">
        <f t="shared" si="16"/>
        <v>1582</v>
      </c>
      <c r="L6" s="439">
        <f t="shared" si="16"/>
        <v>1582</v>
      </c>
      <c r="M6" s="439">
        <f t="shared" si="16"/>
        <v>2056</v>
      </c>
      <c r="N6" s="439">
        <f t="shared" si="16"/>
        <v>2390</v>
      </c>
      <c r="O6" s="439">
        <f t="shared" si="16"/>
        <v>2073</v>
      </c>
      <c r="P6" s="439">
        <f t="shared" si="16"/>
        <v>1807</v>
      </c>
      <c r="Q6" s="439">
        <f t="shared" ref="Q6" si="17">Q155</f>
        <v>2136</v>
      </c>
      <c r="R6" s="439">
        <f t="shared" ref="R6:W6" si="18">R155</f>
        <v>2435</v>
      </c>
      <c r="S6" s="439">
        <f t="shared" si="18"/>
        <v>2415</v>
      </c>
      <c r="T6" s="439">
        <f t="shared" ref="T6" si="19">T155</f>
        <v>2701</v>
      </c>
      <c r="U6" s="439">
        <f t="shared" si="18"/>
        <v>2752.0822196979916</v>
      </c>
      <c r="V6" s="439">
        <f t="shared" si="18"/>
        <v>2792.1333035353305</v>
      </c>
      <c r="W6" s="439">
        <f t="shared" si="18"/>
        <v>2831.8775217764041</v>
      </c>
      <c r="X6" s="439">
        <f t="shared" ref="X6:AA6" si="20">X155</f>
        <v>2874.2776605080558</v>
      </c>
      <c r="Y6" s="439">
        <f t="shared" si="20"/>
        <v>2913.3791007190821</v>
      </c>
      <c r="Z6" s="439">
        <f t="shared" si="20"/>
        <v>2952.376135193756</v>
      </c>
      <c r="AA6" s="439">
        <f t="shared" si="20"/>
        <v>2991.390918617717</v>
      </c>
      <c r="AB6" s="433"/>
      <c r="AC6" s="159" t="s">
        <v>729</v>
      </c>
      <c r="AD6" s="159"/>
      <c r="AE6" s="159"/>
      <c r="AF6" s="159"/>
      <c r="AG6" s="159"/>
      <c r="AH6" s="159"/>
      <c r="AI6" s="159"/>
      <c r="BZ6" s="286"/>
      <c r="CA6" s="287"/>
    </row>
    <row r="7" spans="1:79" s="163" customFormat="1" ht="13">
      <c r="A7" s="226" t="s">
        <v>105</v>
      </c>
      <c r="B7" s="433"/>
      <c r="C7" s="433"/>
      <c r="D7" s="439">
        <f t="shared" ref="D7:P7" si="21">D176</f>
        <v>0</v>
      </c>
      <c r="E7" s="439">
        <f t="shared" si="21"/>
        <v>0</v>
      </c>
      <c r="F7" s="439">
        <f t="shared" si="21"/>
        <v>0</v>
      </c>
      <c r="G7" s="439">
        <f t="shared" si="21"/>
        <v>0</v>
      </c>
      <c r="H7" s="439">
        <f t="shared" si="21"/>
        <v>0</v>
      </c>
      <c r="I7" s="439">
        <f t="shared" si="21"/>
        <v>0</v>
      </c>
      <c r="J7" s="439">
        <f t="shared" si="21"/>
        <v>0</v>
      </c>
      <c r="K7" s="439">
        <f t="shared" si="21"/>
        <v>0</v>
      </c>
      <c r="L7" s="439">
        <f t="shared" si="21"/>
        <v>0</v>
      </c>
      <c r="M7" s="439">
        <f t="shared" si="21"/>
        <v>0</v>
      </c>
      <c r="N7" s="439">
        <f t="shared" si="21"/>
        <v>0</v>
      </c>
      <c r="O7" s="439">
        <f t="shared" si="21"/>
        <v>0</v>
      </c>
      <c r="P7" s="439">
        <f t="shared" si="21"/>
        <v>0</v>
      </c>
      <c r="Q7" s="439">
        <f t="shared" ref="Q7" si="22">Q176</f>
        <v>0</v>
      </c>
      <c r="R7" s="439">
        <f t="shared" ref="R7" si="23">R176</f>
        <v>0</v>
      </c>
      <c r="S7" s="439"/>
      <c r="T7" s="439"/>
      <c r="U7" s="439"/>
      <c r="V7" s="439"/>
      <c r="W7" s="439"/>
      <c r="X7" s="439"/>
      <c r="Y7" s="439"/>
      <c r="Z7" s="439"/>
      <c r="AA7" s="439"/>
      <c r="AB7" s="433"/>
      <c r="AC7" s="159"/>
      <c r="AD7" s="159"/>
      <c r="AE7" s="159"/>
      <c r="AF7" s="159"/>
      <c r="AG7" s="159"/>
      <c r="AH7" s="159"/>
      <c r="AI7" s="159"/>
      <c r="BZ7" s="286"/>
      <c r="CA7" s="287"/>
    </row>
    <row r="8" spans="1:79" s="163" customFormat="1" ht="13">
      <c r="A8" s="226" t="s">
        <v>106</v>
      </c>
      <c r="B8" s="433"/>
      <c r="C8" s="433"/>
      <c r="D8" s="439">
        <f t="shared" ref="D8:P8" si="24">D172</f>
        <v>0</v>
      </c>
      <c r="E8" s="439">
        <f t="shared" si="24"/>
        <v>0</v>
      </c>
      <c r="F8" s="439">
        <f t="shared" si="24"/>
        <v>0</v>
      </c>
      <c r="G8" s="439">
        <f t="shared" si="24"/>
        <v>0</v>
      </c>
      <c r="H8" s="439">
        <f t="shared" si="24"/>
        <v>0</v>
      </c>
      <c r="I8" s="439">
        <f t="shared" si="24"/>
        <v>0</v>
      </c>
      <c r="J8" s="439">
        <f t="shared" si="24"/>
        <v>291</v>
      </c>
      <c r="K8" s="439">
        <f t="shared" si="24"/>
        <v>188</v>
      </c>
      <c r="L8" s="439">
        <f t="shared" si="24"/>
        <v>53</v>
      </c>
      <c r="M8" s="439">
        <f t="shared" si="24"/>
        <v>30</v>
      </c>
      <c r="N8" s="439">
        <f t="shared" si="24"/>
        <v>10</v>
      </c>
      <c r="O8" s="439">
        <f t="shared" si="24"/>
        <v>11</v>
      </c>
      <c r="P8" s="439">
        <f t="shared" si="24"/>
        <v>0</v>
      </c>
      <c r="Q8" s="439">
        <f t="shared" ref="Q8" si="25">Q172</f>
        <v>0</v>
      </c>
      <c r="R8" s="439">
        <f t="shared" ref="R8" si="26">R172</f>
        <v>0</v>
      </c>
      <c r="S8" s="439"/>
      <c r="T8" s="439"/>
      <c r="U8" s="439"/>
      <c r="V8" s="439"/>
      <c r="W8" s="439"/>
      <c r="X8" s="439"/>
      <c r="Y8" s="439"/>
      <c r="Z8" s="439"/>
      <c r="AA8" s="439"/>
      <c r="AB8" s="433"/>
      <c r="AC8" s="159"/>
      <c r="AD8" s="159"/>
      <c r="AE8" s="159"/>
      <c r="AF8" s="159"/>
      <c r="AG8" s="159"/>
      <c r="AH8" s="159"/>
      <c r="AI8" s="159"/>
      <c r="BZ8" s="286"/>
      <c r="CA8" s="287"/>
    </row>
    <row r="9" spans="1:79" s="163" customFormat="1" ht="13">
      <c r="A9" s="226" t="s">
        <v>107</v>
      </c>
      <c r="B9" s="433"/>
      <c r="C9" s="433"/>
      <c r="D9" s="505"/>
      <c r="E9" s="505"/>
      <c r="F9" s="505"/>
      <c r="G9" s="505"/>
      <c r="H9" s="505"/>
      <c r="I9" s="505"/>
      <c r="J9" s="505"/>
      <c r="K9" s="505"/>
      <c r="L9" s="505"/>
      <c r="M9" s="505">
        <v>4</v>
      </c>
      <c r="N9" s="505">
        <v>1</v>
      </c>
      <c r="O9" s="505">
        <v>0</v>
      </c>
      <c r="P9" s="505">
        <f t="shared" ref="P9:W9" si="27">O9</f>
        <v>0</v>
      </c>
      <c r="Q9" s="505">
        <f>2781-SUM(Q4:Q8)</f>
        <v>9</v>
      </c>
      <c r="R9" s="505">
        <f>3041-SUM(R4:R8)</f>
        <v>15</v>
      </c>
      <c r="S9" s="505">
        <f>2904-SUM(S4:S8)</f>
        <v>8</v>
      </c>
      <c r="T9" s="505">
        <f>3181-SUM(T4:T8)</f>
        <v>3</v>
      </c>
      <c r="U9" s="505">
        <f>T9</f>
        <v>3</v>
      </c>
      <c r="V9" s="505">
        <f t="shared" si="27"/>
        <v>3</v>
      </c>
      <c r="W9" s="505">
        <f t="shared" si="27"/>
        <v>3</v>
      </c>
      <c r="X9" s="505">
        <f t="shared" ref="X9" si="28">W9</f>
        <v>3</v>
      </c>
      <c r="Y9" s="505">
        <f t="shared" ref="Y9" si="29">X9</f>
        <v>3</v>
      </c>
      <c r="Z9" s="505">
        <f t="shared" ref="Z9" si="30">Y9</f>
        <v>3</v>
      </c>
      <c r="AA9" s="505">
        <f t="shared" ref="AA9" si="31">Z9</f>
        <v>3</v>
      </c>
      <c r="AB9" s="433"/>
      <c r="AC9" s="159" t="s">
        <v>730</v>
      </c>
      <c r="AD9" s="159"/>
      <c r="AE9" s="159"/>
      <c r="AF9" s="159"/>
      <c r="AG9" s="159"/>
      <c r="AH9" s="165"/>
      <c r="AI9" s="165"/>
      <c r="BZ9" s="286"/>
      <c r="CA9" s="287"/>
    </row>
    <row r="10" spans="1:79" s="163" customFormat="1" ht="13">
      <c r="A10" s="283" t="s">
        <v>108</v>
      </c>
      <c r="B10" s="972"/>
      <c r="C10" s="972"/>
      <c r="D10" s="487">
        <f t="shared" ref="D10:P10" si="32">SUM(D4:D9)</f>
        <v>2132</v>
      </c>
      <c r="E10" s="487">
        <f t="shared" si="32"/>
        <v>2103</v>
      </c>
      <c r="F10" s="487">
        <f t="shared" si="32"/>
        <v>1836</v>
      </c>
      <c r="G10" s="487">
        <f t="shared" si="32"/>
        <v>1704.9393181818182</v>
      </c>
      <c r="H10" s="487">
        <f t="shared" si="32"/>
        <v>1852</v>
      </c>
      <c r="I10" s="487">
        <f t="shared" si="32"/>
        <v>2579</v>
      </c>
      <c r="J10" s="487">
        <f t="shared" si="32"/>
        <v>2818</v>
      </c>
      <c r="K10" s="487">
        <f t="shared" si="32"/>
        <v>2458</v>
      </c>
      <c r="L10" s="487">
        <f t="shared" si="32"/>
        <v>2242</v>
      </c>
      <c r="M10" s="487">
        <f t="shared" si="32"/>
        <v>2666.4569999999999</v>
      </c>
      <c r="N10" s="487">
        <f t="shared" si="32"/>
        <v>2986</v>
      </c>
      <c r="O10" s="487">
        <f t="shared" si="32"/>
        <v>2822</v>
      </c>
      <c r="P10" s="487">
        <f t="shared" si="32"/>
        <v>3003</v>
      </c>
      <c r="Q10" s="487">
        <f t="shared" ref="Q10" si="33">SUM(Q4:Q9)</f>
        <v>2781</v>
      </c>
      <c r="R10" s="487">
        <f>SUM(R4:R9)</f>
        <v>3041</v>
      </c>
      <c r="S10" s="487">
        <f t="shared" ref="S10:W10" si="34">SUM(S4:S9)</f>
        <v>2904</v>
      </c>
      <c r="T10" s="487">
        <f t="shared" ref="T10" si="35">SUM(T4:T9)</f>
        <v>3181</v>
      </c>
      <c r="U10" s="487">
        <f t="shared" si="34"/>
        <v>3246.0127088905247</v>
      </c>
      <c r="V10" s="487">
        <f>SUM(V4:V9)</f>
        <v>3298.2393703880061</v>
      </c>
      <c r="W10" s="487">
        <f t="shared" si="34"/>
        <v>3350.2991960164336</v>
      </c>
      <c r="X10" s="487">
        <f t="shared" ref="X10:AA10" si="36">SUM(X4:X9)</f>
        <v>3405.700689213365</v>
      </c>
      <c r="Y10" s="487">
        <f t="shared" si="36"/>
        <v>3457.4009721702355</v>
      </c>
      <c r="Z10" s="487">
        <f t="shared" si="36"/>
        <v>3509.1778719988006</v>
      </c>
      <c r="AA10" s="487">
        <f t="shared" si="36"/>
        <v>3561.1788621414721</v>
      </c>
      <c r="AB10" s="434"/>
      <c r="AC10" s="165"/>
      <c r="AD10" s="159"/>
      <c r="AE10" s="159"/>
      <c r="AF10" s="159"/>
      <c r="AG10" s="165"/>
      <c r="AH10" s="159"/>
      <c r="AI10" s="159"/>
      <c r="BZ10" s="286"/>
      <c r="CA10" s="287"/>
    </row>
    <row r="11" spans="1:79" s="163" customFormat="1" ht="13">
      <c r="A11" s="226"/>
      <c r="B11" s="433"/>
      <c r="C11" s="433"/>
      <c r="D11" s="439"/>
      <c r="E11" s="439"/>
      <c r="F11" s="439"/>
      <c r="G11" s="439"/>
      <c r="H11" s="439"/>
      <c r="I11" s="439"/>
      <c r="J11" s="439"/>
      <c r="K11" s="439"/>
      <c r="L11" s="439"/>
      <c r="M11" s="439"/>
      <c r="N11" s="439"/>
      <c r="O11" s="439"/>
      <c r="P11" s="439"/>
      <c r="Q11" s="439"/>
      <c r="R11" s="439"/>
      <c r="S11" s="439"/>
      <c r="T11" s="439"/>
      <c r="U11" s="439"/>
      <c r="V11" s="439"/>
      <c r="W11" s="439"/>
      <c r="X11" s="439"/>
      <c r="Y11" s="439"/>
      <c r="Z11" s="439"/>
      <c r="AA11" s="439"/>
      <c r="AB11" s="433"/>
      <c r="AC11" s="159"/>
      <c r="AD11" s="159"/>
      <c r="AE11" s="159"/>
      <c r="AF11" s="159"/>
      <c r="AG11" s="159"/>
      <c r="AH11" s="159"/>
      <c r="AI11" s="159"/>
      <c r="BZ11" s="286"/>
      <c r="CA11" s="287"/>
    </row>
    <row r="12" spans="1:79" s="163" customFormat="1" ht="13">
      <c r="A12" s="226" t="s">
        <v>109</v>
      </c>
      <c r="B12" s="433"/>
      <c r="C12" s="433"/>
      <c r="D12" s="439">
        <f>D95</f>
        <v>4555</v>
      </c>
      <c r="E12" s="439">
        <f t="shared" ref="E12:AA12" si="37">E95</f>
        <v>5007</v>
      </c>
      <c r="F12" s="439">
        <f t="shared" si="37"/>
        <v>4971</v>
      </c>
      <c r="G12" s="439">
        <f t="shared" si="37"/>
        <v>4849</v>
      </c>
      <c r="H12" s="439">
        <f t="shared" si="37"/>
        <v>4038</v>
      </c>
      <c r="I12" s="439">
        <f t="shared" si="37"/>
        <v>4008</v>
      </c>
      <c r="J12" s="439">
        <f t="shared" si="37"/>
        <v>4227</v>
      </c>
      <c r="K12" s="439">
        <f t="shared" si="37"/>
        <v>4502</v>
      </c>
      <c r="L12" s="439">
        <f t="shared" si="37"/>
        <v>4841</v>
      </c>
      <c r="M12" s="439">
        <f t="shared" si="37"/>
        <v>5190</v>
      </c>
      <c r="N12" s="439">
        <f t="shared" si="37"/>
        <v>4922</v>
      </c>
      <c r="O12" s="439">
        <f t="shared" si="37"/>
        <v>4931</v>
      </c>
      <c r="P12" s="439">
        <f t="shared" si="37"/>
        <v>5193</v>
      </c>
      <c r="Q12" s="439">
        <f t="shared" ref="Q12" si="38">Q95</f>
        <v>5639</v>
      </c>
      <c r="R12" s="439">
        <f t="shared" si="37"/>
        <v>5384</v>
      </c>
      <c r="S12" s="439">
        <f t="shared" si="37"/>
        <v>5091</v>
      </c>
      <c r="T12" s="439">
        <f t="shared" ref="T12" si="39">T95</f>
        <v>5022</v>
      </c>
      <c r="U12" s="439">
        <f t="shared" si="37"/>
        <v>4710.3988579795787</v>
      </c>
      <c r="V12" s="439">
        <f t="shared" si="37"/>
        <v>4318.5897299906928</v>
      </c>
      <c r="W12" s="439">
        <f t="shared" si="37"/>
        <v>3949.2951442612107</v>
      </c>
      <c r="X12" s="439">
        <f t="shared" si="37"/>
        <v>3597.7577736370663</v>
      </c>
      <c r="Y12" s="439">
        <f t="shared" si="37"/>
        <v>3334.2151373690185</v>
      </c>
      <c r="Z12" s="439">
        <f t="shared" si="37"/>
        <v>3145.1318886859781</v>
      </c>
      <c r="AA12" s="439">
        <f t="shared" si="37"/>
        <v>3434.9555538280392</v>
      </c>
      <c r="AB12" s="433"/>
      <c r="AC12" s="159" t="s">
        <v>728</v>
      </c>
      <c r="AD12" s="159"/>
      <c r="AE12" s="159"/>
      <c r="AF12" s="159"/>
      <c r="AG12" s="159"/>
      <c r="AH12" s="159"/>
      <c r="AI12" s="159"/>
      <c r="BZ12" s="286"/>
      <c r="CA12" s="287"/>
    </row>
    <row r="13" spans="1:79" s="163" customFormat="1" ht="13">
      <c r="A13" s="226" t="s">
        <v>110</v>
      </c>
      <c r="B13" s="433"/>
      <c r="C13" s="433"/>
      <c r="D13" s="439"/>
      <c r="E13" s="439"/>
      <c r="F13" s="439"/>
      <c r="G13" s="439"/>
      <c r="H13" s="439"/>
      <c r="I13" s="439"/>
      <c r="J13" s="439"/>
      <c r="K13" s="439"/>
      <c r="L13" s="439"/>
      <c r="M13" s="439"/>
      <c r="N13" s="439"/>
      <c r="O13" s="439"/>
      <c r="P13" s="439"/>
      <c r="Q13" s="439"/>
      <c r="R13" s="439"/>
      <c r="S13" s="439"/>
      <c r="T13" s="439"/>
      <c r="U13" s="439"/>
      <c r="V13" s="439"/>
      <c r="W13" s="439"/>
      <c r="X13" s="439"/>
      <c r="Y13" s="439"/>
      <c r="Z13" s="439"/>
      <c r="AA13" s="439"/>
      <c r="AB13" s="433"/>
      <c r="AC13" s="159"/>
      <c r="AD13" s="159"/>
      <c r="AE13" s="159"/>
      <c r="AF13" s="159"/>
      <c r="AG13" s="159"/>
      <c r="AH13" s="159"/>
      <c r="AI13" s="159"/>
      <c r="BZ13" s="286"/>
      <c r="CA13" s="287"/>
    </row>
    <row r="14" spans="1:79" s="163" customFormat="1" ht="13">
      <c r="A14" s="226" t="s">
        <v>111</v>
      </c>
      <c r="B14" s="433"/>
      <c r="C14" s="433"/>
      <c r="D14" s="439">
        <f>D107</f>
        <v>11019</v>
      </c>
      <c r="E14" s="439">
        <f t="shared" ref="E14:W14" si="40">E107</f>
        <v>11019</v>
      </c>
      <c r="F14" s="439">
        <f t="shared" si="40"/>
        <v>11060</v>
      </c>
      <c r="G14" s="439">
        <f t="shared" si="40"/>
        <v>10810</v>
      </c>
      <c r="H14" s="439">
        <f t="shared" si="40"/>
        <v>11167</v>
      </c>
      <c r="I14" s="439">
        <f t="shared" si="40"/>
        <v>11176</v>
      </c>
      <c r="J14" s="439">
        <f t="shared" si="40"/>
        <v>11267</v>
      </c>
      <c r="K14" s="439">
        <f t="shared" si="40"/>
        <v>11297</v>
      </c>
      <c r="L14" s="439">
        <f t="shared" si="40"/>
        <v>11353.75</v>
      </c>
      <c r="M14" s="439">
        <f t="shared" si="40"/>
        <v>10926</v>
      </c>
      <c r="N14" s="439">
        <f t="shared" si="40"/>
        <v>11310</v>
      </c>
      <c r="O14" s="439">
        <f t="shared" si="40"/>
        <v>11461</v>
      </c>
      <c r="P14" s="439">
        <f t="shared" si="40"/>
        <v>11474</v>
      </c>
      <c r="Q14" s="439">
        <f t="shared" ref="Q14" si="41">Q107</f>
        <v>11507</v>
      </c>
      <c r="R14" s="439">
        <f t="shared" si="40"/>
        <v>11193</v>
      </c>
      <c r="S14" s="439">
        <f t="shared" si="40"/>
        <v>11042</v>
      </c>
      <c r="T14" s="439">
        <f t="shared" ref="T14" si="42">T107</f>
        <v>10945</v>
      </c>
      <c r="U14" s="439">
        <f t="shared" si="40"/>
        <v>10857.598594457526</v>
      </c>
      <c r="V14" s="439">
        <f t="shared" si="40"/>
        <v>10760.037535107327</v>
      </c>
      <c r="W14" s="439">
        <f t="shared" si="40"/>
        <v>10652.593074083878</v>
      </c>
      <c r="X14" s="439">
        <f t="shared" ref="X14:AA14" si="43">X107</f>
        <v>10546.221500786603</v>
      </c>
      <c r="Y14" s="439">
        <f t="shared" si="43"/>
        <v>10388.180994380595</v>
      </c>
      <c r="Z14" s="439">
        <f t="shared" si="43"/>
        <v>10180.56790057151</v>
      </c>
      <c r="AA14" s="439">
        <f t="shared" si="43"/>
        <v>9926.2012207953212</v>
      </c>
      <c r="AB14" s="433"/>
      <c r="AC14" s="159" t="s">
        <v>728</v>
      </c>
      <c r="AD14" s="159"/>
      <c r="AE14" s="159"/>
      <c r="AF14" s="159"/>
      <c r="AG14" s="159"/>
      <c r="AH14" s="159"/>
      <c r="AI14" s="159"/>
      <c r="BZ14" s="286"/>
      <c r="CA14" s="287"/>
    </row>
    <row r="15" spans="1:79" s="163" customFormat="1" ht="13">
      <c r="A15" s="226" t="s">
        <v>583</v>
      </c>
      <c r="B15" s="433"/>
      <c r="C15" s="433"/>
      <c r="D15" s="439"/>
      <c r="E15" s="439"/>
      <c r="F15" s="439"/>
      <c r="G15" s="439"/>
      <c r="H15" s="439"/>
      <c r="I15" s="439"/>
      <c r="J15" s="439"/>
      <c r="K15" s="439"/>
      <c r="L15" s="439"/>
      <c r="M15" s="439"/>
      <c r="N15" s="439"/>
      <c r="O15" s="505">
        <v>1767</v>
      </c>
      <c r="P15" s="506">
        <v>1854</v>
      </c>
      <c r="Q15" s="506">
        <v>1887</v>
      </c>
      <c r="R15" s="506">
        <v>1826</v>
      </c>
      <c r="S15" s="506">
        <v>1794</v>
      </c>
      <c r="T15" s="506">
        <v>1816</v>
      </c>
      <c r="U15" s="505">
        <f>T15</f>
        <v>1816</v>
      </c>
      <c r="V15" s="505">
        <f t="shared" ref="V15:W15" si="44">U15</f>
        <v>1816</v>
      </c>
      <c r="W15" s="505">
        <f t="shared" si="44"/>
        <v>1816</v>
      </c>
      <c r="X15" s="505">
        <f t="shared" ref="X15" si="45">W15</f>
        <v>1816</v>
      </c>
      <c r="Y15" s="505">
        <f t="shared" ref="Y15" si="46">X15</f>
        <v>1816</v>
      </c>
      <c r="Z15" s="505">
        <f t="shared" ref="Z15" si="47">Y15</f>
        <v>1816</v>
      </c>
      <c r="AA15" s="505">
        <f t="shared" ref="AA15" si="48">Z15</f>
        <v>1816</v>
      </c>
      <c r="AB15" s="433"/>
      <c r="AC15" s="159" t="s">
        <v>730</v>
      </c>
      <c r="AD15" s="159"/>
      <c r="AE15" s="159"/>
      <c r="AF15" s="159"/>
      <c r="AG15" s="159"/>
      <c r="AH15" s="159"/>
      <c r="AI15" s="159"/>
      <c r="BZ15" s="286"/>
      <c r="CA15" s="287"/>
    </row>
    <row r="16" spans="1:79" s="163" customFormat="1" ht="13">
      <c r="A16" s="226" t="s">
        <v>107</v>
      </c>
      <c r="B16" s="433"/>
      <c r="C16" s="433"/>
      <c r="D16" s="439">
        <f t="shared" ref="D16:P16" si="49">D179</f>
        <v>6</v>
      </c>
      <c r="E16" s="439">
        <f t="shared" si="49"/>
        <v>0</v>
      </c>
      <c r="F16" s="439">
        <f t="shared" si="49"/>
        <v>3</v>
      </c>
      <c r="G16" s="439">
        <f t="shared" si="49"/>
        <v>3</v>
      </c>
      <c r="H16" s="439">
        <f t="shared" si="49"/>
        <v>145</v>
      </c>
      <c r="I16" s="439">
        <f t="shared" si="49"/>
        <v>245</v>
      </c>
      <c r="J16" s="439">
        <f t="shared" si="49"/>
        <v>617</v>
      </c>
      <c r="K16" s="439">
        <f t="shared" si="49"/>
        <v>1341</v>
      </c>
      <c r="L16" s="439">
        <f t="shared" si="49"/>
        <v>804</v>
      </c>
      <c r="M16" s="439">
        <f t="shared" si="49"/>
        <v>1023</v>
      </c>
      <c r="N16" s="439">
        <f t="shared" si="49"/>
        <v>2219</v>
      </c>
      <c r="O16" s="439">
        <f t="shared" si="49"/>
        <v>951</v>
      </c>
      <c r="P16" s="439">
        <f t="shared" si="49"/>
        <v>919</v>
      </c>
      <c r="Q16" s="439">
        <f t="shared" ref="Q16:R16" si="50">Q179</f>
        <v>1231</v>
      </c>
      <c r="R16" s="439">
        <f t="shared" si="50"/>
        <v>1337</v>
      </c>
      <c r="S16" s="439">
        <f>S179</f>
        <v>1492</v>
      </c>
      <c r="T16" s="439">
        <f>T179</f>
        <v>1558</v>
      </c>
      <c r="U16" s="439">
        <f t="shared" ref="U16:AA16" si="51">U179</f>
        <v>1558</v>
      </c>
      <c r="V16" s="439">
        <f t="shared" si="51"/>
        <v>1558</v>
      </c>
      <c r="W16" s="439">
        <f t="shared" si="51"/>
        <v>1558</v>
      </c>
      <c r="X16" s="439">
        <f t="shared" si="51"/>
        <v>1558</v>
      </c>
      <c r="Y16" s="439">
        <f t="shared" si="51"/>
        <v>1558</v>
      </c>
      <c r="Z16" s="439">
        <f t="shared" si="51"/>
        <v>1558</v>
      </c>
      <c r="AA16" s="439">
        <f t="shared" si="51"/>
        <v>1558</v>
      </c>
      <c r="AB16" s="433"/>
      <c r="AC16" s="159" t="s">
        <v>730</v>
      </c>
      <c r="AD16" s="159"/>
      <c r="AE16" s="159"/>
      <c r="AF16" s="159"/>
      <c r="AG16" s="159"/>
      <c r="AH16" s="159"/>
      <c r="AI16" s="159"/>
      <c r="BZ16" s="286"/>
      <c r="CA16" s="287"/>
    </row>
    <row r="17" spans="1:79" s="163" customFormat="1" ht="13">
      <c r="A17" s="226" t="s">
        <v>518</v>
      </c>
      <c r="B17" s="433"/>
      <c r="C17" s="433"/>
      <c r="D17" s="439">
        <f t="shared" ref="D17:P17" si="52">D182</f>
        <v>86</v>
      </c>
      <c r="E17" s="439">
        <f t="shared" si="52"/>
        <v>96</v>
      </c>
      <c r="F17" s="439">
        <f t="shared" si="52"/>
        <v>121</v>
      </c>
      <c r="G17" s="439">
        <f t="shared" si="52"/>
        <v>121</v>
      </c>
      <c r="H17" s="439">
        <f t="shared" si="52"/>
        <v>128</v>
      </c>
      <c r="I17" s="439">
        <f t="shared" si="52"/>
        <v>102</v>
      </c>
      <c r="J17" s="439">
        <f t="shared" si="52"/>
        <v>55</v>
      </c>
      <c r="K17" s="439">
        <f t="shared" si="52"/>
        <v>45</v>
      </c>
      <c r="L17" s="439">
        <f t="shared" si="52"/>
        <v>8</v>
      </c>
      <c r="M17" s="439">
        <f t="shared" si="52"/>
        <v>0</v>
      </c>
      <c r="N17" s="439">
        <f t="shared" si="52"/>
        <v>0</v>
      </c>
      <c r="O17" s="439">
        <f t="shared" si="52"/>
        <v>0</v>
      </c>
      <c r="P17" s="439">
        <f t="shared" si="52"/>
        <v>0</v>
      </c>
      <c r="Q17" s="439">
        <f t="shared" ref="Q17" si="53">Q182</f>
        <v>0</v>
      </c>
      <c r="R17" s="439">
        <f t="shared" ref="R17" si="54">R182</f>
        <v>0</v>
      </c>
      <c r="S17" s="439"/>
      <c r="T17" s="439"/>
      <c r="U17" s="439"/>
      <c r="V17" s="439"/>
      <c r="W17" s="439"/>
      <c r="X17" s="439"/>
      <c r="Y17" s="439"/>
      <c r="Z17" s="439"/>
      <c r="AA17" s="439"/>
      <c r="AB17" s="433"/>
      <c r="AC17" s="159"/>
      <c r="AD17" s="159"/>
      <c r="AE17" s="159"/>
      <c r="AF17" s="159"/>
      <c r="AG17" s="159"/>
      <c r="AH17" s="159"/>
      <c r="AI17" s="159"/>
      <c r="BZ17" s="286"/>
      <c r="CA17" s="287"/>
    </row>
    <row r="18" spans="1:79" s="163" customFormat="1" ht="13">
      <c r="A18" s="283" t="s">
        <v>112</v>
      </c>
      <c r="B18" s="972"/>
      <c r="C18" s="972"/>
      <c r="D18" s="487">
        <f t="shared" ref="D18:P18" si="55">SUM(D12:D17)</f>
        <v>15666</v>
      </c>
      <c r="E18" s="487">
        <f t="shared" si="55"/>
        <v>16122</v>
      </c>
      <c r="F18" s="487">
        <f t="shared" si="55"/>
        <v>16155</v>
      </c>
      <c r="G18" s="487">
        <f t="shared" si="55"/>
        <v>15783</v>
      </c>
      <c r="H18" s="487">
        <f t="shared" si="55"/>
        <v>15478</v>
      </c>
      <c r="I18" s="487">
        <f t="shared" si="55"/>
        <v>15531</v>
      </c>
      <c r="J18" s="487">
        <f t="shared" si="55"/>
        <v>16166</v>
      </c>
      <c r="K18" s="487">
        <f t="shared" si="55"/>
        <v>17185</v>
      </c>
      <c r="L18" s="487">
        <f t="shared" si="55"/>
        <v>17006.75</v>
      </c>
      <c r="M18" s="487">
        <f t="shared" si="55"/>
        <v>17139</v>
      </c>
      <c r="N18" s="487">
        <f t="shared" si="55"/>
        <v>18451</v>
      </c>
      <c r="O18" s="487">
        <f t="shared" si="55"/>
        <v>19110</v>
      </c>
      <c r="P18" s="487">
        <f t="shared" si="55"/>
        <v>19440</v>
      </c>
      <c r="Q18" s="487">
        <f t="shared" ref="Q18" si="56">SUM(Q12:Q17)</f>
        <v>20264</v>
      </c>
      <c r="R18" s="487">
        <f t="shared" ref="R18:W18" si="57">SUM(R12:R17)</f>
        <v>19740</v>
      </c>
      <c r="S18" s="487">
        <f t="shared" si="57"/>
        <v>19419</v>
      </c>
      <c r="T18" s="487">
        <f t="shared" ref="T18" si="58">SUM(T12:T17)</f>
        <v>19341</v>
      </c>
      <c r="U18" s="487">
        <f t="shared" si="57"/>
        <v>18941.997452437106</v>
      </c>
      <c r="V18" s="487">
        <f t="shared" si="57"/>
        <v>18452.627265098021</v>
      </c>
      <c r="W18" s="487">
        <f t="shared" si="57"/>
        <v>17975.888218345088</v>
      </c>
      <c r="X18" s="487">
        <f t="shared" ref="X18:AA18" si="59">SUM(X12:X17)</f>
        <v>17517.979274423669</v>
      </c>
      <c r="Y18" s="487">
        <f t="shared" si="59"/>
        <v>17096.396131749614</v>
      </c>
      <c r="Z18" s="487">
        <f t="shared" si="59"/>
        <v>16699.699789257487</v>
      </c>
      <c r="AA18" s="487">
        <f t="shared" si="59"/>
        <v>16735.15677462336</v>
      </c>
      <c r="AB18" s="434"/>
      <c r="AC18" s="165"/>
      <c r="AD18" s="165"/>
      <c r="AE18" s="165"/>
      <c r="AF18" s="165"/>
      <c r="AG18" s="165"/>
      <c r="AH18" s="159"/>
      <c r="AI18" s="159"/>
      <c r="BZ18" s="286"/>
      <c r="CA18" s="287"/>
    </row>
    <row r="19" spans="1:79" s="163" customFormat="1" ht="13">
      <c r="A19" s="226"/>
      <c r="B19" s="433"/>
      <c r="C19" s="433"/>
      <c r="D19" s="439"/>
      <c r="E19" s="439"/>
      <c r="F19" s="439"/>
      <c r="G19" s="439"/>
      <c r="H19" s="439"/>
      <c r="I19" s="439"/>
      <c r="J19" s="439"/>
      <c r="K19" s="439"/>
      <c r="L19" s="439"/>
      <c r="M19" s="439"/>
      <c r="N19" s="439"/>
      <c r="O19" s="439"/>
      <c r="P19" s="439"/>
      <c r="Q19" s="439"/>
      <c r="R19" s="439"/>
      <c r="S19" s="439"/>
      <c r="T19" s="439"/>
      <c r="U19" s="439"/>
      <c r="V19" s="439"/>
      <c r="W19" s="439"/>
      <c r="X19" s="439"/>
      <c r="Y19" s="439"/>
      <c r="Z19" s="439"/>
      <c r="AA19" s="439"/>
      <c r="AB19" s="433"/>
      <c r="AC19" s="159"/>
      <c r="AD19" s="159"/>
      <c r="AE19" s="159"/>
      <c r="AF19" s="159"/>
      <c r="AG19" s="159"/>
      <c r="AH19" s="165"/>
      <c r="AI19" s="165"/>
      <c r="BZ19" s="286"/>
      <c r="CA19" s="287"/>
    </row>
    <row r="20" spans="1:79" s="163" customFormat="1" ht="13.5" thickBot="1">
      <c r="A20" s="435" t="s">
        <v>113</v>
      </c>
      <c r="B20" s="436"/>
      <c r="C20" s="436"/>
      <c r="D20" s="507">
        <f t="shared" ref="D20:P20" si="60">D18+D10</f>
        <v>17798</v>
      </c>
      <c r="E20" s="507">
        <f t="shared" si="60"/>
        <v>18225</v>
      </c>
      <c r="F20" s="507">
        <f t="shared" si="60"/>
        <v>17991</v>
      </c>
      <c r="G20" s="507">
        <f t="shared" si="60"/>
        <v>17487.93931818182</v>
      </c>
      <c r="H20" s="507">
        <f t="shared" si="60"/>
        <v>17330</v>
      </c>
      <c r="I20" s="507">
        <f t="shared" si="60"/>
        <v>18110</v>
      </c>
      <c r="J20" s="507">
        <f t="shared" si="60"/>
        <v>18984</v>
      </c>
      <c r="K20" s="507">
        <f t="shared" si="60"/>
        <v>19643</v>
      </c>
      <c r="L20" s="507">
        <f t="shared" si="60"/>
        <v>19248.75</v>
      </c>
      <c r="M20" s="507">
        <f t="shared" si="60"/>
        <v>19805.456999999999</v>
      </c>
      <c r="N20" s="507">
        <f t="shared" si="60"/>
        <v>21437</v>
      </c>
      <c r="O20" s="507">
        <f t="shared" si="60"/>
        <v>21932</v>
      </c>
      <c r="P20" s="507">
        <f t="shared" si="60"/>
        <v>22443</v>
      </c>
      <c r="Q20" s="507">
        <f t="shared" ref="Q20" si="61">Q18+Q10</f>
        <v>23045</v>
      </c>
      <c r="R20" s="507">
        <f t="shared" ref="R20:W20" si="62">R18+R10</f>
        <v>22781</v>
      </c>
      <c r="S20" s="507">
        <f t="shared" si="62"/>
        <v>22323</v>
      </c>
      <c r="T20" s="507">
        <f t="shared" ref="T20" si="63">T18+T10</f>
        <v>22522</v>
      </c>
      <c r="U20" s="507">
        <f t="shared" si="62"/>
        <v>22188.010161327631</v>
      </c>
      <c r="V20" s="507">
        <f t="shared" si="62"/>
        <v>21750.866635486025</v>
      </c>
      <c r="W20" s="507">
        <f t="shared" si="62"/>
        <v>21326.18741436152</v>
      </c>
      <c r="X20" s="507">
        <f t="shared" ref="X20:AA20" si="64">X18+X10</f>
        <v>20923.679963637034</v>
      </c>
      <c r="Y20" s="507">
        <f t="shared" si="64"/>
        <v>20553.797103919849</v>
      </c>
      <c r="Z20" s="507">
        <f t="shared" si="64"/>
        <v>20208.877661256287</v>
      </c>
      <c r="AA20" s="507">
        <f t="shared" si="64"/>
        <v>20296.33563676483</v>
      </c>
      <c r="AB20" s="434"/>
      <c r="AC20" s="165"/>
      <c r="AD20" s="165"/>
      <c r="AE20" s="165"/>
      <c r="AF20" s="165"/>
      <c r="AG20" s="165"/>
      <c r="AH20" s="159"/>
      <c r="AI20" s="159"/>
      <c r="BZ20" s="286"/>
      <c r="CA20" s="287"/>
    </row>
    <row r="21" spans="1:79" s="163" customFormat="1" ht="13.5" thickTop="1">
      <c r="A21" s="226"/>
      <c r="B21" s="433"/>
      <c r="C21" s="433"/>
      <c r="D21" s="439"/>
      <c r="E21" s="439"/>
      <c r="F21" s="439"/>
      <c r="G21" s="439"/>
      <c r="H21" s="439"/>
      <c r="I21" s="439"/>
      <c r="J21" s="439"/>
      <c r="K21" s="439"/>
      <c r="L21" s="439"/>
      <c r="M21" s="439"/>
      <c r="N21" s="439"/>
      <c r="O21" s="439"/>
      <c r="P21" s="439"/>
      <c r="Q21" s="439"/>
      <c r="R21" s="439"/>
      <c r="S21" s="439"/>
      <c r="T21" s="439"/>
      <c r="U21" s="439"/>
      <c r="V21" s="439"/>
      <c r="W21" s="439"/>
      <c r="X21" s="439"/>
      <c r="Y21" s="439"/>
      <c r="Z21" s="439"/>
      <c r="AA21" s="439"/>
      <c r="AB21" s="433"/>
      <c r="AC21" s="159"/>
      <c r="AD21" s="159"/>
      <c r="AE21" s="159"/>
      <c r="AF21" s="159"/>
      <c r="AG21" s="159"/>
      <c r="AH21" s="159"/>
      <c r="AI21" s="159"/>
      <c r="BZ21" s="286"/>
      <c r="CA21" s="287"/>
    </row>
    <row r="22" spans="1:79" s="163" customFormat="1" ht="13">
      <c r="A22" s="226" t="s">
        <v>114</v>
      </c>
      <c r="B22" s="433"/>
      <c r="C22" s="433"/>
      <c r="D22" s="439">
        <f t="shared" ref="D22:P22" si="65">D159</f>
        <v>3258</v>
      </c>
      <c r="E22" s="439">
        <f t="shared" si="65"/>
        <v>3298</v>
      </c>
      <c r="F22" s="439">
        <f t="shared" si="65"/>
        <v>2922</v>
      </c>
      <c r="G22" s="439">
        <f t="shared" si="65"/>
        <v>2977.451590909091</v>
      </c>
      <c r="H22" s="439">
        <f t="shared" si="65"/>
        <v>2751</v>
      </c>
      <c r="I22" s="439">
        <f t="shared" si="65"/>
        <v>3303</v>
      </c>
      <c r="J22" s="439">
        <f t="shared" si="65"/>
        <v>3467</v>
      </c>
      <c r="K22" s="439">
        <f t="shared" si="65"/>
        <v>3633</v>
      </c>
      <c r="L22" s="439">
        <f t="shared" si="65"/>
        <v>3299</v>
      </c>
      <c r="M22" s="439">
        <f t="shared" si="65"/>
        <v>4020</v>
      </c>
      <c r="N22" s="439">
        <f t="shared" si="65"/>
        <v>4323</v>
      </c>
      <c r="O22" s="439">
        <f t="shared" si="65"/>
        <v>3997</v>
      </c>
      <c r="P22" s="439">
        <f t="shared" si="65"/>
        <v>4055</v>
      </c>
      <c r="Q22" s="439">
        <f t="shared" ref="Q22" si="66">Q159</f>
        <v>3807</v>
      </c>
      <c r="R22" s="439">
        <f t="shared" ref="R22:W22" si="67">R159</f>
        <v>4126</v>
      </c>
      <c r="S22" s="439">
        <f t="shared" si="67"/>
        <v>4111</v>
      </c>
      <c r="T22" s="439">
        <f t="shared" ref="T22" si="68">T159</f>
        <v>4324</v>
      </c>
      <c r="U22" s="439">
        <f t="shared" si="67"/>
        <v>4316.7713463531618</v>
      </c>
      <c r="V22" s="439">
        <f t="shared" si="67"/>
        <v>4291.1167351288796</v>
      </c>
      <c r="W22" s="439">
        <f t="shared" si="67"/>
        <v>4264.274824275537</v>
      </c>
      <c r="X22" s="439">
        <f t="shared" ref="X22:AA22" si="69">X159</f>
        <v>4240.6846599185228</v>
      </c>
      <c r="Y22" s="439">
        <f t="shared" si="69"/>
        <v>4211.5387398381499</v>
      </c>
      <c r="Z22" s="439">
        <f t="shared" si="69"/>
        <v>4181.6918392106727</v>
      </c>
      <c r="AA22" s="439">
        <f t="shared" si="69"/>
        <v>4151.3566853722723</v>
      </c>
      <c r="AB22" s="433"/>
      <c r="AC22" s="159" t="s">
        <v>729</v>
      </c>
      <c r="AD22" s="159"/>
      <c r="AE22" s="159"/>
      <c r="AF22" s="159"/>
      <c r="AG22" s="159"/>
      <c r="AH22" s="159"/>
      <c r="AI22" s="159"/>
      <c r="BZ22" s="286"/>
      <c r="CA22" s="287"/>
    </row>
    <row r="23" spans="1:79" s="163" customFormat="1" ht="13">
      <c r="A23" s="226" t="s">
        <v>115</v>
      </c>
      <c r="B23" s="433"/>
      <c r="C23" s="433"/>
      <c r="D23" s="439">
        <f t="shared" ref="D23:P23" si="70">D185</f>
        <v>0</v>
      </c>
      <c r="E23" s="439">
        <f t="shared" si="70"/>
        <v>12</v>
      </c>
      <c r="F23" s="439">
        <f t="shared" si="70"/>
        <v>0</v>
      </c>
      <c r="G23" s="439">
        <f t="shared" si="70"/>
        <v>0</v>
      </c>
      <c r="H23" s="439">
        <f t="shared" si="70"/>
        <v>0</v>
      </c>
      <c r="I23" s="439">
        <f t="shared" si="70"/>
        <v>0</v>
      </c>
      <c r="J23" s="439">
        <f t="shared" si="70"/>
        <v>320</v>
      </c>
      <c r="K23" s="439">
        <f t="shared" si="70"/>
        <v>263</v>
      </c>
      <c r="L23" s="439">
        <f t="shared" si="70"/>
        <v>428</v>
      </c>
      <c r="M23" s="439">
        <f t="shared" si="70"/>
        <v>315</v>
      </c>
      <c r="N23" s="439">
        <f t="shared" si="70"/>
        <v>129</v>
      </c>
      <c r="O23" s="439">
        <f t="shared" si="70"/>
        <v>62</v>
      </c>
      <c r="P23" s="439">
        <f t="shared" si="70"/>
        <v>28</v>
      </c>
      <c r="Q23" s="439">
        <f t="shared" ref="Q23" si="71">Q185</f>
        <v>177</v>
      </c>
      <c r="R23" s="439">
        <f t="shared" ref="R23:W23" si="72">R185</f>
        <v>268</v>
      </c>
      <c r="S23" s="439">
        <f t="shared" si="72"/>
        <v>56</v>
      </c>
      <c r="T23" s="439">
        <f t="shared" ref="T23" si="73">T185</f>
        <v>88</v>
      </c>
      <c r="U23" s="439">
        <f t="shared" si="72"/>
        <v>88</v>
      </c>
      <c r="V23" s="439">
        <f t="shared" si="72"/>
        <v>88</v>
      </c>
      <c r="W23" s="439">
        <f t="shared" si="72"/>
        <v>88</v>
      </c>
      <c r="X23" s="439">
        <f t="shared" ref="X23:AA23" si="74">X185</f>
        <v>88</v>
      </c>
      <c r="Y23" s="439">
        <f t="shared" si="74"/>
        <v>88</v>
      </c>
      <c r="Z23" s="439">
        <f t="shared" si="74"/>
        <v>88</v>
      </c>
      <c r="AA23" s="439">
        <f t="shared" si="74"/>
        <v>88</v>
      </c>
      <c r="AB23" s="433"/>
      <c r="AC23" s="159" t="s">
        <v>730</v>
      </c>
      <c r="AD23" s="159"/>
      <c r="AE23" s="159"/>
      <c r="AF23" s="159"/>
      <c r="AG23" s="159"/>
      <c r="AH23" s="159"/>
      <c r="AI23" s="159"/>
      <c r="BZ23" s="286"/>
      <c r="CA23" s="287"/>
    </row>
    <row r="24" spans="1:79" s="163" customFormat="1" ht="13">
      <c r="A24" s="226" t="s">
        <v>116</v>
      </c>
      <c r="B24" s="433"/>
      <c r="C24" s="433"/>
      <c r="D24" s="439">
        <f t="shared" ref="D24:P24" si="75">D165</f>
        <v>0</v>
      </c>
      <c r="E24" s="439">
        <f t="shared" si="75"/>
        <v>0</v>
      </c>
      <c r="F24" s="439">
        <f t="shared" si="75"/>
        <v>0</v>
      </c>
      <c r="G24" s="439">
        <f t="shared" si="75"/>
        <v>0</v>
      </c>
      <c r="H24" s="439">
        <f t="shared" si="75"/>
        <v>0</v>
      </c>
      <c r="I24" s="439">
        <f t="shared" si="75"/>
        <v>0</v>
      </c>
      <c r="J24" s="439">
        <f t="shared" si="75"/>
        <v>29</v>
      </c>
      <c r="K24" s="439">
        <f t="shared" si="75"/>
        <v>0</v>
      </c>
      <c r="L24" s="439">
        <f t="shared" si="75"/>
        <v>0</v>
      </c>
      <c r="M24" s="439">
        <f t="shared" si="75"/>
        <v>5</v>
      </c>
      <c r="N24" s="439">
        <f t="shared" si="75"/>
        <v>25</v>
      </c>
      <c r="O24" s="439">
        <f t="shared" si="75"/>
        <v>17</v>
      </c>
      <c r="P24" s="439">
        <f t="shared" si="75"/>
        <v>20</v>
      </c>
      <c r="Q24" s="439">
        <f t="shared" ref="Q24" si="76">Q165</f>
        <v>32</v>
      </c>
      <c r="R24" s="439">
        <f t="shared" ref="R24:W24" si="77">R165</f>
        <v>11</v>
      </c>
      <c r="S24" s="439">
        <f t="shared" si="77"/>
        <v>63</v>
      </c>
      <c r="T24" s="439">
        <f t="shared" ref="T24" si="78">T165</f>
        <v>67</v>
      </c>
      <c r="U24" s="439">
        <f t="shared" si="77"/>
        <v>68.956693450523545</v>
      </c>
      <c r="V24" s="439">
        <f t="shared" si="77"/>
        <v>70.666889893352774</v>
      </c>
      <c r="W24" s="439">
        <f t="shared" si="77"/>
        <v>72.396755081932881</v>
      </c>
      <c r="X24" s="439">
        <f t="shared" ref="X24:AA24" si="79">X165</f>
        <v>74.222941138900893</v>
      </c>
      <c r="Y24" s="439">
        <f t="shared" si="79"/>
        <v>75.992589910329698</v>
      </c>
      <c r="Z24" s="439">
        <f t="shared" si="79"/>
        <v>77.787665337396191</v>
      </c>
      <c r="AA24" s="439">
        <f t="shared" si="79"/>
        <v>79.611723723462433</v>
      </c>
      <c r="AB24" s="433"/>
      <c r="AC24" s="159" t="s">
        <v>729</v>
      </c>
      <c r="AD24" s="365"/>
      <c r="AE24" s="365"/>
      <c r="AF24" s="365"/>
      <c r="AG24" s="159"/>
      <c r="AH24" s="159"/>
      <c r="AI24" s="159"/>
      <c r="BZ24" s="286"/>
      <c r="CA24" s="287"/>
    </row>
    <row r="25" spans="1:79" s="163" customFormat="1" ht="13">
      <c r="A25" s="226" t="s">
        <v>117</v>
      </c>
      <c r="B25" s="433"/>
      <c r="C25" s="433"/>
      <c r="D25" s="439">
        <f t="shared" ref="D25:P25" si="80">D138</f>
        <v>53</v>
      </c>
      <c r="E25" s="439">
        <f t="shared" si="80"/>
        <v>13</v>
      </c>
      <c r="F25" s="439">
        <f t="shared" si="80"/>
        <v>1464</v>
      </c>
      <c r="G25" s="439">
        <f t="shared" si="80"/>
        <v>1912.8657954545454</v>
      </c>
      <c r="H25" s="439">
        <f t="shared" si="80"/>
        <v>910</v>
      </c>
      <c r="I25" s="439">
        <f t="shared" si="80"/>
        <v>880</v>
      </c>
      <c r="J25" s="439">
        <f t="shared" si="80"/>
        <v>1077</v>
      </c>
      <c r="K25" s="439">
        <f t="shared" si="80"/>
        <v>1101</v>
      </c>
      <c r="L25" s="439">
        <f t="shared" si="80"/>
        <v>206</v>
      </c>
      <c r="M25" s="439">
        <f t="shared" si="80"/>
        <v>201.09700000000001</v>
      </c>
      <c r="N25" s="439">
        <f t="shared" si="80"/>
        <v>1053</v>
      </c>
      <c r="O25" s="439">
        <f t="shared" si="80"/>
        <v>255</v>
      </c>
      <c r="P25" s="439">
        <f t="shared" si="80"/>
        <v>2034</v>
      </c>
      <c r="Q25" s="439">
        <f t="shared" ref="Q25" si="81">Q138</f>
        <v>283</v>
      </c>
      <c r="R25" s="439">
        <f t="shared" ref="R25:W25" si="82">R138</f>
        <v>857</v>
      </c>
      <c r="S25" s="439">
        <f t="shared" si="82"/>
        <v>1193</v>
      </c>
      <c r="T25" s="439">
        <f t="shared" ref="T25" si="83">T138</f>
        <v>1886</v>
      </c>
      <c r="U25" s="439">
        <f t="shared" si="82"/>
        <v>1886</v>
      </c>
      <c r="V25" s="439">
        <f t="shared" si="82"/>
        <v>1886</v>
      </c>
      <c r="W25" s="439">
        <f t="shared" si="82"/>
        <v>1886</v>
      </c>
      <c r="X25" s="439">
        <f t="shared" ref="X25:AA25" si="84">X138</f>
        <v>1886</v>
      </c>
      <c r="Y25" s="439">
        <f t="shared" si="84"/>
        <v>1886</v>
      </c>
      <c r="Z25" s="439">
        <f t="shared" si="84"/>
        <v>1886</v>
      </c>
      <c r="AA25" s="439">
        <f t="shared" si="84"/>
        <v>1886</v>
      </c>
      <c r="AB25" s="433"/>
      <c r="AC25" s="159" t="s">
        <v>730</v>
      </c>
      <c r="AD25" s="159"/>
      <c r="AE25" s="159"/>
      <c r="AF25" s="159"/>
      <c r="AG25" s="159"/>
      <c r="AH25" s="159"/>
      <c r="AI25" s="159"/>
      <c r="BZ25" s="286"/>
      <c r="CA25" s="287"/>
    </row>
    <row r="26" spans="1:79" s="163" customFormat="1" ht="13">
      <c r="A26" s="226" t="s">
        <v>118</v>
      </c>
      <c r="B26" s="433"/>
      <c r="C26" s="433"/>
      <c r="D26" s="439"/>
      <c r="E26" s="439"/>
      <c r="F26" s="439"/>
      <c r="G26" s="439"/>
      <c r="H26" s="439"/>
      <c r="I26" s="439"/>
      <c r="J26" s="439"/>
      <c r="K26" s="439">
        <f t="shared" ref="K26:M26" si="85">J26</f>
        <v>0</v>
      </c>
      <c r="L26" s="439">
        <f t="shared" si="85"/>
        <v>0</v>
      </c>
      <c r="M26" s="439">
        <f t="shared" si="85"/>
        <v>0</v>
      </c>
      <c r="N26" s="439">
        <f t="shared" ref="N26:S26" si="86">N162</f>
        <v>127</v>
      </c>
      <c r="O26" s="439">
        <f t="shared" si="86"/>
        <v>130</v>
      </c>
      <c r="P26" s="439">
        <f t="shared" si="86"/>
        <v>137</v>
      </c>
      <c r="Q26" s="439">
        <f t="shared" si="86"/>
        <v>144</v>
      </c>
      <c r="R26" s="439">
        <f t="shared" si="86"/>
        <v>160</v>
      </c>
      <c r="S26" s="439">
        <f t="shared" si="86"/>
        <v>178</v>
      </c>
      <c r="T26" s="439">
        <f t="shared" ref="T26" si="87">T162</f>
        <v>215</v>
      </c>
      <c r="U26" s="439">
        <f t="shared" ref="U26:AA26" si="88">U162</f>
        <v>221.27894166959047</v>
      </c>
      <c r="V26" s="439">
        <f t="shared" si="88"/>
        <v>226.76688547866937</v>
      </c>
      <c r="W26" s="439">
        <f t="shared" si="88"/>
        <v>232.31794541217266</v>
      </c>
      <c r="X26" s="439">
        <f t="shared" si="88"/>
        <v>238.17809469945809</v>
      </c>
      <c r="Y26" s="439">
        <f t="shared" si="88"/>
        <v>243.85681836896845</v>
      </c>
      <c r="Z26" s="439">
        <f t="shared" si="88"/>
        <v>249.61713503791316</v>
      </c>
      <c r="AA26" s="439">
        <f t="shared" si="88"/>
        <v>255.47045672454362</v>
      </c>
      <c r="AB26" s="433"/>
      <c r="AC26" s="159" t="s">
        <v>729</v>
      </c>
      <c r="AD26" s="159"/>
      <c r="AE26" s="159"/>
      <c r="AF26" s="159"/>
      <c r="AG26" s="159"/>
      <c r="AH26" s="165"/>
      <c r="AI26" s="165"/>
      <c r="BZ26" s="286"/>
      <c r="CA26" s="287"/>
    </row>
    <row r="27" spans="1:79" s="163" customFormat="1" ht="13">
      <c r="A27" s="283" t="s">
        <v>119</v>
      </c>
      <c r="B27" s="972"/>
      <c r="C27" s="972"/>
      <c r="D27" s="487">
        <f t="shared" ref="D27:P27" si="89">SUM(D22:D26)</f>
        <v>3311</v>
      </c>
      <c r="E27" s="487">
        <f t="shared" si="89"/>
        <v>3323</v>
      </c>
      <c r="F27" s="487">
        <f t="shared" si="89"/>
        <v>4386</v>
      </c>
      <c r="G27" s="487">
        <f t="shared" si="89"/>
        <v>4890.3173863636366</v>
      </c>
      <c r="H27" s="487">
        <f t="shared" si="89"/>
        <v>3661</v>
      </c>
      <c r="I27" s="487">
        <f t="shared" si="89"/>
        <v>4183</v>
      </c>
      <c r="J27" s="487">
        <f t="shared" si="89"/>
        <v>4893</v>
      </c>
      <c r="K27" s="487">
        <f t="shared" si="89"/>
        <v>4997</v>
      </c>
      <c r="L27" s="487">
        <f t="shared" si="89"/>
        <v>3933</v>
      </c>
      <c r="M27" s="487">
        <f t="shared" si="89"/>
        <v>4541.0969999999998</v>
      </c>
      <c r="N27" s="487">
        <f t="shared" si="89"/>
        <v>5657</v>
      </c>
      <c r="O27" s="487">
        <f t="shared" si="89"/>
        <v>4461</v>
      </c>
      <c r="P27" s="487">
        <f t="shared" si="89"/>
        <v>6274</v>
      </c>
      <c r="Q27" s="487">
        <f t="shared" ref="Q27" si="90">SUM(Q22:Q26)</f>
        <v>4443</v>
      </c>
      <c r="R27" s="487">
        <f t="shared" ref="R27:W27" si="91">SUM(R22:R26)</f>
        <v>5422</v>
      </c>
      <c r="S27" s="487">
        <f t="shared" si="91"/>
        <v>5601</v>
      </c>
      <c r="T27" s="487">
        <f t="shared" ref="T27" si="92">SUM(T22:T26)</f>
        <v>6580</v>
      </c>
      <c r="U27" s="487">
        <f t="shared" si="91"/>
        <v>6581.006981473276</v>
      </c>
      <c r="V27" s="487">
        <f t="shared" si="91"/>
        <v>6562.5505105009024</v>
      </c>
      <c r="W27" s="487">
        <f t="shared" si="91"/>
        <v>6542.9895247696422</v>
      </c>
      <c r="X27" s="487">
        <f t="shared" ref="X27:AA27" si="93">SUM(X22:X26)</f>
        <v>6527.0856957568813</v>
      </c>
      <c r="Y27" s="487">
        <f t="shared" si="93"/>
        <v>6505.3881481174485</v>
      </c>
      <c r="Z27" s="487">
        <f t="shared" si="93"/>
        <v>6483.0966395859814</v>
      </c>
      <c r="AA27" s="487">
        <f t="shared" si="93"/>
        <v>6460.4388658202779</v>
      </c>
      <c r="AB27" s="434"/>
      <c r="AC27" s="165"/>
      <c r="AD27" s="159"/>
      <c r="AE27" s="159"/>
      <c r="AF27" s="159"/>
      <c r="AG27" s="165"/>
      <c r="AH27" s="159"/>
      <c r="AI27" s="159"/>
      <c r="BZ27" s="286"/>
      <c r="CA27" s="287"/>
    </row>
    <row r="28" spans="1:79" s="163" customFormat="1" ht="13">
      <c r="A28" s="226"/>
      <c r="B28" s="433"/>
      <c r="C28" s="433"/>
      <c r="D28" s="439"/>
      <c r="E28" s="439"/>
      <c r="F28" s="439"/>
      <c r="G28" s="439"/>
      <c r="H28" s="439"/>
      <c r="I28" s="439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39"/>
      <c r="AA28" s="439"/>
      <c r="AB28" s="433"/>
      <c r="AC28" s="159"/>
      <c r="AD28" s="159"/>
      <c r="AE28" s="159"/>
      <c r="AF28" s="159"/>
      <c r="AG28" s="159"/>
      <c r="AH28" s="159"/>
      <c r="AI28" s="159"/>
      <c r="BZ28" s="286"/>
      <c r="CA28" s="287"/>
    </row>
    <row r="29" spans="1:79" s="163" customFormat="1" ht="13">
      <c r="A29" s="226" t="s">
        <v>120</v>
      </c>
      <c r="B29" s="433"/>
      <c r="C29" s="433"/>
      <c r="D29" s="439">
        <f t="shared" ref="D29:P29" si="94">D139</f>
        <v>5013</v>
      </c>
      <c r="E29" s="439">
        <f t="shared" si="94"/>
        <v>5442</v>
      </c>
      <c r="F29" s="439">
        <f t="shared" si="94"/>
        <v>4811</v>
      </c>
      <c r="G29" s="439">
        <f t="shared" si="94"/>
        <v>4811</v>
      </c>
      <c r="H29" s="439">
        <f t="shared" si="94"/>
        <v>6613</v>
      </c>
      <c r="I29" s="439">
        <f t="shared" si="94"/>
        <v>8118</v>
      </c>
      <c r="J29" s="439">
        <f t="shared" si="94"/>
        <v>8801</v>
      </c>
      <c r="K29" s="439">
        <f t="shared" si="94"/>
        <v>8763</v>
      </c>
      <c r="L29" s="439">
        <f t="shared" si="94"/>
        <v>7440</v>
      </c>
      <c r="M29" s="439">
        <f t="shared" si="94"/>
        <v>7439.1210000000001</v>
      </c>
      <c r="N29" s="439">
        <f t="shared" si="94"/>
        <v>7894</v>
      </c>
      <c r="O29" s="439">
        <f t="shared" si="94"/>
        <v>9508</v>
      </c>
      <c r="P29" s="439">
        <f t="shared" si="94"/>
        <v>8056</v>
      </c>
      <c r="Q29" s="439">
        <f t="shared" ref="Q29" si="95">Q139</f>
        <v>9582</v>
      </c>
      <c r="R29" s="439">
        <f t="shared" ref="R29:W29" si="96">R139</f>
        <v>8915</v>
      </c>
      <c r="S29" s="439">
        <f t="shared" ref="S29:T29" si="97">S139</f>
        <v>8096</v>
      </c>
      <c r="T29" s="439">
        <f t="shared" si="97"/>
        <v>7094</v>
      </c>
      <c r="U29" s="439">
        <f t="shared" si="96"/>
        <v>6579.7484940497816</v>
      </c>
      <c r="V29" s="439">
        <f t="shared" si="96"/>
        <v>5968.6042793116058</v>
      </c>
      <c r="W29" s="439">
        <f t="shared" si="96"/>
        <v>5359.4180291024213</v>
      </c>
      <c r="X29" s="439">
        <f t="shared" ref="X29:AA29" si="98">X139</f>
        <v>4756.1629613866189</v>
      </c>
      <c r="Y29" s="439">
        <f t="shared" si="98"/>
        <v>4177.6513717036332</v>
      </c>
      <c r="Z29" s="439">
        <f t="shared" si="98"/>
        <v>3611.7703493314011</v>
      </c>
      <c r="AA29" s="439">
        <f t="shared" si="98"/>
        <v>3463.3889518577953</v>
      </c>
      <c r="AB29" s="433"/>
      <c r="AC29" s="159"/>
      <c r="AD29" s="159"/>
      <c r="AE29" s="159"/>
      <c r="AF29" s="159"/>
      <c r="AG29" s="159"/>
      <c r="AH29" s="159"/>
      <c r="AI29" s="159"/>
      <c r="BZ29" s="286"/>
      <c r="CA29" s="287"/>
    </row>
    <row r="30" spans="1:79" s="163" customFormat="1" ht="13">
      <c r="A30" s="226" t="s">
        <v>522</v>
      </c>
      <c r="B30" s="433"/>
      <c r="C30" s="433"/>
      <c r="D30" s="439">
        <f t="shared" ref="D30:L30" si="99">D188</f>
        <v>0</v>
      </c>
      <c r="E30" s="439">
        <f t="shared" si="99"/>
        <v>693</v>
      </c>
      <c r="F30" s="439">
        <f t="shared" si="99"/>
        <v>0</v>
      </c>
      <c r="G30" s="439">
        <f t="shared" si="99"/>
        <v>0</v>
      </c>
      <c r="H30" s="439">
        <f t="shared" si="99"/>
        <v>0</v>
      </c>
      <c r="I30" s="439">
        <f t="shared" si="99"/>
        <v>0</v>
      </c>
      <c r="J30" s="439">
        <f t="shared" si="99"/>
        <v>0</v>
      </c>
      <c r="K30" s="439">
        <f t="shared" si="99"/>
        <v>0</v>
      </c>
      <c r="L30" s="439">
        <f t="shared" si="99"/>
        <v>0</v>
      </c>
      <c r="M30" s="439">
        <f>312+168</f>
        <v>480</v>
      </c>
      <c r="N30" s="439">
        <f>311+278+6</f>
        <v>595</v>
      </c>
      <c r="O30" s="439">
        <f>326+188+17+382</f>
        <v>913</v>
      </c>
      <c r="P30" s="439">
        <f>335+145+908</f>
        <v>1388</v>
      </c>
      <c r="Q30" s="439">
        <f>12231-Q29</f>
        <v>2649</v>
      </c>
      <c r="R30" s="439">
        <f>11615-R29</f>
        <v>2700</v>
      </c>
      <c r="S30" s="439">
        <f>10816-S29</f>
        <v>2720</v>
      </c>
      <c r="T30" s="439">
        <f>9795-T29</f>
        <v>2701</v>
      </c>
      <c r="U30" s="505">
        <f t="shared" ref="U30:W30" si="100">T30</f>
        <v>2701</v>
      </c>
      <c r="V30" s="505">
        <f t="shared" si="100"/>
        <v>2701</v>
      </c>
      <c r="W30" s="505">
        <f t="shared" si="100"/>
        <v>2701</v>
      </c>
      <c r="X30" s="505">
        <f t="shared" ref="X30" si="101">W30</f>
        <v>2701</v>
      </c>
      <c r="Y30" s="505">
        <f t="shared" ref="Y30" si="102">X30</f>
        <v>2701</v>
      </c>
      <c r="Z30" s="505">
        <f t="shared" ref="Z30" si="103">Y30</f>
        <v>2701</v>
      </c>
      <c r="AA30" s="505">
        <f t="shared" ref="AA30" si="104">Z30</f>
        <v>2701</v>
      </c>
      <c r="AB30" s="433"/>
      <c r="AC30" s="159" t="s">
        <v>730</v>
      </c>
      <c r="AD30" s="159"/>
      <c r="AE30" s="159"/>
      <c r="AF30" s="159"/>
      <c r="AG30" s="159"/>
      <c r="AH30" s="159"/>
      <c r="AI30" s="159"/>
      <c r="BZ30" s="286"/>
      <c r="CA30" s="287"/>
    </row>
    <row r="31" spans="1:79" s="163" customFormat="1" ht="13">
      <c r="A31" s="226" t="s">
        <v>121</v>
      </c>
      <c r="B31" s="433"/>
      <c r="C31" s="433"/>
      <c r="D31" s="439">
        <v>529</v>
      </c>
      <c r="E31" s="439">
        <v>100</v>
      </c>
      <c r="F31" s="439">
        <v>706</v>
      </c>
      <c r="G31" s="439">
        <v>706</v>
      </c>
      <c r="H31" s="439">
        <v>1040</v>
      </c>
      <c r="I31" s="439">
        <v>1070</v>
      </c>
      <c r="J31" s="439">
        <v>1070</v>
      </c>
      <c r="K31" s="439">
        <f>164+418+580</f>
        <v>1162</v>
      </c>
      <c r="L31" s="439">
        <f>170+227+437</f>
        <v>834</v>
      </c>
      <c r="M31" s="439">
        <v>196</v>
      </c>
      <c r="N31" s="439">
        <v>221</v>
      </c>
      <c r="O31" s="439">
        <v>0</v>
      </c>
      <c r="P31" s="439">
        <v>0</v>
      </c>
      <c r="Q31" s="439">
        <v>0</v>
      </c>
      <c r="R31" s="439"/>
      <c r="S31" s="439"/>
      <c r="T31" s="439"/>
      <c r="U31" s="439"/>
      <c r="V31" s="439"/>
      <c r="W31" s="439"/>
      <c r="X31" s="439"/>
      <c r="Y31" s="439"/>
      <c r="Z31" s="439"/>
      <c r="AA31" s="439"/>
      <c r="AB31" s="433"/>
      <c r="AC31" s="159"/>
      <c r="AD31" s="159"/>
      <c r="AE31" s="159"/>
      <c r="AF31" s="159"/>
      <c r="AG31" s="159"/>
      <c r="AH31" s="165"/>
      <c r="AI31" s="165"/>
      <c r="BZ31" s="286"/>
      <c r="CA31" s="287"/>
    </row>
    <row r="32" spans="1:79" s="163" customFormat="1" ht="13">
      <c r="A32" s="283" t="s">
        <v>122</v>
      </c>
      <c r="B32" s="972"/>
      <c r="C32" s="972"/>
      <c r="D32" s="487">
        <f t="shared" ref="D32:P32" si="105">SUM(D27:D31)</f>
        <v>8853</v>
      </c>
      <c r="E32" s="487">
        <f t="shared" si="105"/>
        <v>9558</v>
      </c>
      <c r="F32" s="487">
        <f t="shared" si="105"/>
        <v>9903</v>
      </c>
      <c r="G32" s="487">
        <f t="shared" si="105"/>
        <v>10407.317386363637</v>
      </c>
      <c r="H32" s="487">
        <f t="shared" si="105"/>
        <v>11314</v>
      </c>
      <c r="I32" s="487">
        <f t="shared" si="105"/>
        <v>13371</v>
      </c>
      <c r="J32" s="487">
        <f t="shared" si="105"/>
        <v>14764</v>
      </c>
      <c r="K32" s="487">
        <f t="shared" si="105"/>
        <v>14922</v>
      </c>
      <c r="L32" s="487">
        <f t="shared" si="105"/>
        <v>12207</v>
      </c>
      <c r="M32" s="487">
        <f t="shared" si="105"/>
        <v>12656.218000000001</v>
      </c>
      <c r="N32" s="487">
        <f t="shared" si="105"/>
        <v>14367</v>
      </c>
      <c r="O32" s="487">
        <f t="shared" si="105"/>
        <v>14882</v>
      </c>
      <c r="P32" s="487">
        <f t="shared" si="105"/>
        <v>15718</v>
      </c>
      <c r="Q32" s="487">
        <f t="shared" ref="Q32" si="106">SUM(Q27:Q31)</f>
        <v>16674</v>
      </c>
      <c r="R32" s="487">
        <f t="shared" ref="R32:W32" si="107">SUM(R27:R31)</f>
        <v>17037</v>
      </c>
      <c r="S32" s="487">
        <f t="shared" si="107"/>
        <v>16417</v>
      </c>
      <c r="T32" s="487">
        <f t="shared" ref="T32" si="108">SUM(T27:T31)</f>
        <v>16375</v>
      </c>
      <c r="U32" s="487">
        <f t="shared" si="107"/>
        <v>15861.755475523058</v>
      </c>
      <c r="V32" s="487">
        <f t="shared" si="107"/>
        <v>15232.154789812508</v>
      </c>
      <c r="W32" s="487">
        <f t="shared" si="107"/>
        <v>14603.407553872064</v>
      </c>
      <c r="X32" s="487">
        <f t="shared" ref="X32:AA32" si="109">SUM(X27:X31)</f>
        <v>13984.2486571435</v>
      </c>
      <c r="Y32" s="487">
        <f t="shared" si="109"/>
        <v>13384.039519821083</v>
      </c>
      <c r="Z32" s="487">
        <f t="shared" si="109"/>
        <v>12795.866988917383</v>
      </c>
      <c r="AA32" s="487">
        <f t="shared" si="109"/>
        <v>12624.827817678073</v>
      </c>
      <c r="AB32" s="434"/>
      <c r="AC32" s="165"/>
      <c r="AD32" s="159"/>
      <c r="AE32" s="159"/>
      <c r="AF32" s="159"/>
      <c r="AG32" s="165"/>
      <c r="AH32" s="159"/>
      <c r="AI32" s="159"/>
      <c r="BZ32" s="286"/>
      <c r="CA32" s="287"/>
    </row>
    <row r="33" spans="1:79" s="163" customFormat="1" ht="13">
      <c r="A33" s="226" t="s">
        <v>123</v>
      </c>
      <c r="B33" s="433"/>
      <c r="C33" s="433"/>
      <c r="D33" s="439">
        <f>D205</f>
        <v>0</v>
      </c>
      <c r="E33" s="439">
        <f t="shared" ref="E33:P33" si="110">E205</f>
        <v>0</v>
      </c>
      <c r="F33" s="439">
        <f t="shared" si="110"/>
        <v>4</v>
      </c>
      <c r="G33" s="439">
        <f t="shared" si="110"/>
        <v>4</v>
      </c>
      <c r="H33" s="439">
        <f t="shared" si="110"/>
        <v>15</v>
      </c>
      <c r="I33" s="439">
        <f t="shared" si="110"/>
        <v>22</v>
      </c>
      <c r="J33" s="439">
        <f t="shared" si="110"/>
        <v>30</v>
      </c>
      <c r="K33" s="439">
        <f>K205</f>
        <v>0</v>
      </c>
      <c r="L33" s="439">
        <f t="shared" si="110"/>
        <v>0</v>
      </c>
      <c r="M33" s="439">
        <f t="shared" si="110"/>
        <v>0</v>
      </c>
      <c r="N33" s="439">
        <f t="shared" si="110"/>
        <v>0</v>
      </c>
      <c r="O33" s="439">
        <f t="shared" si="110"/>
        <v>0</v>
      </c>
      <c r="P33" s="439">
        <f t="shared" si="110"/>
        <v>0</v>
      </c>
      <c r="Q33" s="439">
        <f t="shared" ref="Q33" si="111">Q205</f>
        <v>0</v>
      </c>
      <c r="R33" s="439">
        <f t="shared" ref="R33" si="112">R205</f>
        <v>0</v>
      </c>
      <c r="S33" s="439"/>
      <c r="T33" s="439"/>
      <c r="U33" s="439"/>
      <c r="V33" s="439"/>
      <c r="W33" s="439"/>
      <c r="X33" s="439"/>
      <c r="Y33" s="439"/>
      <c r="Z33" s="439"/>
      <c r="AA33" s="439"/>
      <c r="AB33" s="433"/>
      <c r="AC33" s="159"/>
      <c r="AD33" s="159"/>
      <c r="AE33" s="159"/>
      <c r="AF33" s="159"/>
      <c r="AG33" s="159"/>
      <c r="AH33" s="159"/>
      <c r="AI33" s="159"/>
      <c r="BZ33" s="286"/>
      <c r="CA33" s="287"/>
    </row>
    <row r="34" spans="1:79" s="163" customFormat="1" ht="13">
      <c r="A34" s="226" t="s">
        <v>124</v>
      </c>
      <c r="B34" s="433"/>
      <c r="C34" s="433"/>
      <c r="D34" s="439">
        <f>D212</f>
        <v>7500</v>
      </c>
      <c r="E34" s="439">
        <f>E212</f>
        <v>7500</v>
      </c>
      <c r="F34" s="439">
        <f>F212</f>
        <v>7500</v>
      </c>
      <c r="G34" s="439">
        <f t="shared" ref="G34:P34" si="113">G212</f>
        <v>7500</v>
      </c>
      <c r="H34" s="439">
        <f t="shared" si="113"/>
        <v>7500</v>
      </c>
      <c r="I34" s="439">
        <f t="shared" si="113"/>
        <v>7500</v>
      </c>
      <c r="J34" s="439">
        <f t="shared" si="113"/>
        <v>7500</v>
      </c>
      <c r="K34" s="439">
        <f t="shared" si="113"/>
        <v>7500</v>
      </c>
      <c r="L34" s="439">
        <f t="shared" si="113"/>
        <v>7800</v>
      </c>
      <c r="M34" s="505">
        <v>2509</v>
      </c>
      <c r="N34" s="505">
        <v>2532</v>
      </c>
      <c r="O34" s="505">
        <v>2547</v>
      </c>
      <c r="P34" s="439">
        <f t="shared" si="113"/>
        <v>2564</v>
      </c>
      <c r="Q34" s="439">
        <f t="shared" ref="Q34" si="114">Q212</f>
        <v>2585</v>
      </c>
      <c r="R34" s="439">
        <f t="shared" ref="R34:W34" si="115">R212</f>
        <v>2593</v>
      </c>
      <c r="S34" s="439">
        <f t="shared" si="115"/>
        <v>2597</v>
      </c>
      <c r="T34" s="439">
        <f t="shared" ref="T34" si="116">T212</f>
        <v>2603</v>
      </c>
      <c r="U34" s="439">
        <f t="shared" si="115"/>
        <v>2603</v>
      </c>
      <c r="V34" s="439">
        <f t="shared" si="115"/>
        <v>2603</v>
      </c>
      <c r="W34" s="439">
        <f t="shared" si="115"/>
        <v>2603</v>
      </c>
      <c r="X34" s="439">
        <f t="shared" ref="X34:AA34" si="117">X212</f>
        <v>2603</v>
      </c>
      <c r="Y34" s="439">
        <f t="shared" si="117"/>
        <v>2603</v>
      </c>
      <c r="Z34" s="439">
        <f t="shared" si="117"/>
        <v>2603</v>
      </c>
      <c r="AA34" s="439">
        <f t="shared" si="117"/>
        <v>2603</v>
      </c>
      <c r="AB34" s="433"/>
      <c r="AC34" s="159" t="s">
        <v>730</v>
      </c>
      <c r="AD34" s="159"/>
      <c r="AE34" s="159"/>
      <c r="AF34" s="159"/>
      <c r="AG34" s="159"/>
      <c r="AH34" s="159"/>
      <c r="AI34" s="159"/>
      <c r="BZ34" s="286"/>
      <c r="CA34" s="287"/>
    </row>
    <row r="35" spans="1:79" s="163" customFormat="1" ht="13">
      <c r="A35" s="226" t="s">
        <v>125</v>
      </c>
      <c r="B35" s="433"/>
      <c r="C35" s="433"/>
      <c r="D35" s="439">
        <f>D217</f>
        <v>0</v>
      </c>
      <c r="E35" s="439"/>
      <c r="F35" s="439"/>
      <c r="G35" s="439"/>
      <c r="H35" s="439"/>
      <c r="I35" s="439"/>
      <c r="J35" s="439"/>
      <c r="K35" s="439"/>
      <c r="L35" s="439"/>
      <c r="M35" s="439"/>
      <c r="N35" s="439"/>
      <c r="O35" s="439"/>
      <c r="P35" s="439"/>
      <c r="Q35" s="439"/>
      <c r="R35" s="439"/>
      <c r="S35" s="439"/>
      <c r="T35" s="439"/>
      <c r="U35" s="439"/>
      <c r="V35" s="439"/>
      <c r="W35" s="439"/>
      <c r="X35" s="439"/>
      <c r="Y35" s="439"/>
      <c r="Z35" s="439"/>
      <c r="AA35" s="439"/>
      <c r="AB35" s="433"/>
      <c r="AC35" s="159"/>
      <c r="AD35" s="159"/>
      <c r="AE35" s="159"/>
      <c r="AF35" s="159"/>
      <c r="AG35" s="159"/>
      <c r="AH35" s="159"/>
      <c r="AI35" s="159"/>
      <c r="BZ35" s="286"/>
      <c r="CA35" s="287"/>
    </row>
    <row r="36" spans="1:79" s="163" customFormat="1" ht="13">
      <c r="A36" s="226" t="s">
        <v>126</v>
      </c>
      <c r="B36" s="433"/>
      <c r="C36" s="433"/>
      <c r="D36" s="439">
        <f t="shared" ref="D36:L36" si="118">D221</f>
        <v>1445</v>
      </c>
      <c r="E36" s="439">
        <f t="shared" si="118"/>
        <v>1167</v>
      </c>
      <c r="F36" s="439">
        <f t="shared" si="118"/>
        <v>584</v>
      </c>
      <c r="G36" s="439">
        <f t="shared" si="118"/>
        <v>-423</v>
      </c>
      <c r="H36" s="439">
        <f t="shared" si="118"/>
        <v>-1499</v>
      </c>
      <c r="I36" s="439">
        <f t="shared" si="118"/>
        <v>-2783</v>
      </c>
      <c r="J36" s="439">
        <f t="shared" si="118"/>
        <v>-3310</v>
      </c>
      <c r="K36" s="439">
        <f t="shared" si="118"/>
        <v>-2779</v>
      </c>
      <c r="L36" s="439">
        <f t="shared" si="118"/>
        <v>-759</v>
      </c>
      <c r="M36" s="505">
        <v>4640</v>
      </c>
      <c r="N36" s="505">
        <v>4538</v>
      </c>
      <c r="O36" s="505">
        <v>4503</v>
      </c>
      <c r="P36" s="439">
        <f>P230</f>
        <v>4161</v>
      </c>
      <c r="Q36" s="439">
        <f>Q230</f>
        <v>3786</v>
      </c>
      <c r="R36" s="439">
        <f t="shared" ref="R36:W36" si="119">R230</f>
        <v>3151</v>
      </c>
      <c r="S36" s="439">
        <f t="shared" si="119"/>
        <v>3309</v>
      </c>
      <c r="T36" s="439">
        <f t="shared" ref="T36" si="120">T230</f>
        <v>3544</v>
      </c>
      <c r="U36" s="439">
        <f t="shared" si="119"/>
        <v>3723.4428117391953</v>
      </c>
      <c r="V36" s="439">
        <f t="shared" si="119"/>
        <v>3915.8999716081426</v>
      </c>
      <c r="W36" s="439">
        <f t="shared" si="119"/>
        <v>4119.9679864240825</v>
      </c>
      <c r="X36" s="439">
        <f t="shared" ref="X36:AA36" si="121">X230</f>
        <v>4336.6247050668435</v>
      </c>
      <c r="Y36" s="439">
        <f t="shared" si="121"/>
        <v>4566.9798528720876</v>
      </c>
      <c r="Z36" s="439">
        <f t="shared" si="121"/>
        <v>4810.3160790027569</v>
      </c>
      <c r="AA36" s="439">
        <f t="shared" si="121"/>
        <v>5068.9902211974104</v>
      </c>
      <c r="AB36" s="433"/>
      <c r="AC36" s="159" t="s">
        <v>728</v>
      </c>
      <c r="AD36" s="159"/>
      <c r="AE36" s="159"/>
      <c r="AF36" s="159"/>
      <c r="AG36" s="159"/>
      <c r="AH36" s="165"/>
      <c r="AI36" s="165"/>
      <c r="BZ36" s="286"/>
      <c r="CA36" s="287"/>
    </row>
    <row r="37" spans="1:79" s="163" customFormat="1" ht="13">
      <c r="A37" s="283" t="s">
        <v>127</v>
      </c>
      <c r="B37" s="972"/>
      <c r="C37" s="972"/>
      <c r="D37" s="487">
        <f t="shared" ref="D37:P37" si="122">SUM(D33:D36)</f>
        <v>8945</v>
      </c>
      <c r="E37" s="487">
        <f t="shared" si="122"/>
        <v>8667</v>
      </c>
      <c r="F37" s="487">
        <f t="shared" si="122"/>
        <v>8088</v>
      </c>
      <c r="G37" s="487">
        <f t="shared" si="122"/>
        <v>7081</v>
      </c>
      <c r="H37" s="487">
        <f t="shared" si="122"/>
        <v>6016</v>
      </c>
      <c r="I37" s="487">
        <f t="shared" si="122"/>
        <v>4739</v>
      </c>
      <c r="J37" s="487">
        <f t="shared" si="122"/>
        <v>4220</v>
      </c>
      <c r="K37" s="487">
        <f>SUM(K33:K36)</f>
        <v>4721</v>
      </c>
      <c r="L37" s="487">
        <f t="shared" si="122"/>
        <v>7041</v>
      </c>
      <c r="M37" s="487">
        <f t="shared" si="122"/>
        <v>7149</v>
      </c>
      <c r="N37" s="487">
        <f t="shared" si="122"/>
        <v>7070</v>
      </c>
      <c r="O37" s="487">
        <f t="shared" si="122"/>
        <v>7050</v>
      </c>
      <c r="P37" s="487">
        <f t="shared" si="122"/>
        <v>6725</v>
      </c>
      <c r="Q37" s="487">
        <f t="shared" ref="Q37" si="123">SUM(Q33:Q36)</f>
        <v>6371</v>
      </c>
      <c r="R37" s="487">
        <f t="shared" ref="R37:W37" si="124">SUM(R33:R36)</f>
        <v>5744</v>
      </c>
      <c r="S37" s="487">
        <f t="shared" si="124"/>
        <v>5906</v>
      </c>
      <c r="T37" s="487">
        <f t="shared" ref="T37" si="125">SUM(T33:T36)</f>
        <v>6147</v>
      </c>
      <c r="U37" s="487">
        <f t="shared" si="124"/>
        <v>6326.4428117391953</v>
      </c>
      <c r="V37" s="487">
        <f t="shared" si="124"/>
        <v>6518.8999716081426</v>
      </c>
      <c r="W37" s="487">
        <f t="shared" si="124"/>
        <v>6722.9679864240825</v>
      </c>
      <c r="X37" s="487">
        <f t="shared" ref="X37:AA37" si="126">SUM(X33:X36)</f>
        <v>6939.6247050668435</v>
      </c>
      <c r="Y37" s="487">
        <f t="shared" si="126"/>
        <v>7169.9798528720876</v>
      </c>
      <c r="Z37" s="487">
        <f t="shared" si="126"/>
        <v>7413.3160790027569</v>
      </c>
      <c r="AA37" s="487">
        <f t="shared" si="126"/>
        <v>7671.9902211974104</v>
      </c>
      <c r="AB37" s="434"/>
      <c r="AC37" s="165"/>
      <c r="AD37" s="159"/>
      <c r="AE37" s="159"/>
      <c r="AF37" s="159"/>
      <c r="AG37" s="165"/>
      <c r="AH37" s="159"/>
      <c r="AI37" s="159"/>
      <c r="BZ37" s="286"/>
      <c r="CA37" s="287"/>
    </row>
    <row r="38" spans="1:79" s="163" customFormat="1" ht="13">
      <c r="A38" s="226"/>
      <c r="B38" s="433"/>
      <c r="C38" s="433"/>
      <c r="D38" s="439"/>
      <c r="E38" s="439"/>
      <c r="F38" s="439"/>
      <c r="G38" s="439"/>
      <c r="H38" s="439"/>
      <c r="I38" s="439"/>
      <c r="J38" s="439"/>
      <c r="K38" s="439"/>
      <c r="L38" s="439"/>
      <c r="M38" s="439"/>
      <c r="N38" s="439"/>
      <c r="O38" s="439"/>
      <c r="P38" s="439"/>
      <c r="Q38" s="439"/>
      <c r="R38" s="439"/>
      <c r="S38" s="439"/>
      <c r="T38" s="439"/>
      <c r="U38" s="439"/>
      <c r="V38" s="439"/>
      <c r="W38" s="439"/>
      <c r="X38" s="439"/>
      <c r="Y38" s="439"/>
      <c r="Z38" s="439"/>
      <c r="AA38" s="439"/>
      <c r="AB38" s="159"/>
      <c r="AC38" s="159"/>
      <c r="AD38" s="159"/>
      <c r="AE38" s="159"/>
      <c r="AF38" s="159"/>
      <c r="AG38" s="159"/>
      <c r="AH38" s="159"/>
      <c r="AI38" s="159"/>
      <c r="BZ38" s="286"/>
      <c r="CA38" s="287"/>
    </row>
    <row r="39" spans="1:79" s="221" customFormat="1" ht="13.5" thickBot="1">
      <c r="A39" s="435" t="s">
        <v>128</v>
      </c>
      <c r="B39" s="436"/>
      <c r="C39" s="436"/>
      <c r="D39" s="507">
        <f t="shared" ref="D39:P39" si="127">D37+D32</f>
        <v>17798</v>
      </c>
      <c r="E39" s="507">
        <f t="shared" si="127"/>
        <v>18225</v>
      </c>
      <c r="F39" s="507">
        <f t="shared" si="127"/>
        <v>17991</v>
      </c>
      <c r="G39" s="507">
        <f t="shared" si="127"/>
        <v>17488.317386363637</v>
      </c>
      <c r="H39" s="507">
        <f t="shared" si="127"/>
        <v>17330</v>
      </c>
      <c r="I39" s="507">
        <f t="shared" si="127"/>
        <v>18110</v>
      </c>
      <c r="J39" s="507">
        <f t="shared" si="127"/>
        <v>18984</v>
      </c>
      <c r="K39" s="507">
        <f t="shared" si="127"/>
        <v>19643</v>
      </c>
      <c r="L39" s="507">
        <f t="shared" si="127"/>
        <v>19248</v>
      </c>
      <c r="M39" s="507">
        <f t="shared" si="127"/>
        <v>19805.218000000001</v>
      </c>
      <c r="N39" s="507">
        <f t="shared" si="127"/>
        <v>21437</v>
      </c>
      <c r="O39" s="507">
        <f t="shared" si="127"/>
        <v>21932</v>
      </c>
      <c r="P39" s="507">
        <f t="shared" si="127"/>
        <v>22443</v>
      </c>
      <c r="Q39" s="507">
        <f t="shared" ref="Q39" si="128">Q37+Q32</f>
        <v>23045</v>
      </c>
      <c r="R39" s="507">
        <f t="shared" ref="R39:W39" si="129">R37+R32</f>
        <v>22781</v>
      </c>
      <c r="S39" s="507">
        <f t="shared" si="129"/>
        <v>22323</v>
      </c>
      <c r="T39" s="507">
        <f t="shared" ref="T39" si="130">T37+T32</f>
        <v>22522</v>
      </c>
      <c r="U39" s="507">
        <f>U37+U32</f>
        <v>22188.198287262254</v>
      </c>
      <c r="V39" s="507">
        <f t="shared" si="129"/>
        <v>21751.054761420652</v>
      </c>
      <c r="W39" s="507">
        <f t="shared" si="129"/>
        <v>21326.375540296147</v>
      </c>
      <c r="X39" s="507">
        <f t="shared" ref="X39:AA39" si="131">X37+X32</f>
        <v>20923.873362210343</v>
      </c>
      <c r="Y39" s="507">
        <f t="shared" si="131"/>
        <v>20554.019372693168</v>
      </c>
      <c r="Z39" s="507">
        <f t="shared" si="131"/>
        <v>20209.183067920141</v>
      </c>
      <c r="AA39" s="507">
        <f t="shared" si="131"/>
        <v>20296.818038875484</v>
      </c>
      <c r="AB39" s="434"/>
      <c r="AC39" s="165"/>
      <c r="AD39" s="165"/>
      <c r="AE39" s="165"/>
      <c r="AF39" s="165"/>
      <c r="AG39" s="165"/>
      <c r="AH39" s="165"/>
      <c r="AI39" s="165"/>
      <c r="BZ39" s="346"/>
      <c r="CA39" s="347"/>
    </row>
    <row r="40" spans="1:79" s="163" customFormat="1" ht="13.5" thickTop="1">
      <c r="A40" s="437" t="s">
        <v>129</v>
      </c>
      <c r="B40" s="438"/>
      <c r="C40" s="438"/>
      <c r="D40" s="438">
        <f>D20-D39</f>
        <v>0</v>
      </c>
      <c r="E40" s="438">
        <f t="shared" ref="E40:AA40" si="132">E20-E39</f>
        <v>0</v>
      </c>
      <c r="F40" s="438">
        <f t="shared" si="132"/>
        <v>0</v>
      </c>
      <c r="G40" s="438">
        <f t="shared" si="132"/>
        <v>-0.37806818181707058</v>
      </c>
      <c r="H40" s="438">
        <f t="shared" si="132"/>
        <v>0</v>
      </c>
      <c r="I40" s="438">
        <f t="shared" si="132"/>
        <v>0</v>
      </c>
      <c r="J40" s="438">
        <f t="shared" si="132"/>
        <v>0</v>
      </c>
      <c r="K40" s="438">
        <f t="shared" si="132"/>
        <v>0</v>
      </c>
      <c r="L40" s="438">
        <f t="shared" si="132"/>
        <v>0.75</v>
      </c>
      <c r="M40" s="438">
        <f t="shared" si="132"/>
        <v>0.23899999999775901</v>
      </c>
      <c r="N40" s="438">
        <f t="shared" si="132"/>
        <v>0</v>
      </c>
      <c r="O40" s="438">
        <f t="shared" si="132"/>
        <v>0</v>
      </c>
      <c r="P40" s="438">
        <f t="shared" si="132"/>
        <v>0</v>
      </c>
      <c r="Q40" s="438">
        <f t="shared" si="132"/>
        <v>0</v>
      </c>
      <c r="R40" s="438">
        <f t="shared" si="132"/>
        <v>0</v>
      </c>
      <c r="S40" s="438">
        <f t="shared" si="132"/>
        <v>0</v>
      </c>
      <c r="T40" s="438">
        <f t="shared" ref="T40" si="133">T20-T39</f>
        <v>0</v>
      </c>
      <c r="U40" s="438">
        <f t="shared" si="132"/>
        <v>-0.18812593462280347</v>
      </c>
      <c r="V40" s="438">
        <f t="shared" si="132"/>
        <v>-0.18812593462644145</v>
      </c>
      <c r="W40" s="438">
        <f t="shared" si="132"/>
        <v>-0.18812593462644145</v>
      </c>
      <c r="X40" s="438">
        <f t="shared" si="132"/>
        <v>-0.19339857330851373</v>
      </c>
      <c r="Y40" s="438">
        <f t="shared" si="132"/>
        <v>-0.22226877331922879</v>
      </c>
      <c r="Z40" s="438">
        <f t="shared" si="132"/>
        <v>-0.3054066638542281</v>
      </c>
      <c r="AA40" s="438">
        <f t="shared" si="132"/>
        <v>-0.48240211065422045</v>
      </c>
      <c r="AB40" s="439"/>
      <c r="AC40" s="159"/>
      <c r="AD40" s="159"/>
      <c r="AE40" s="159"/>
      <c r="AF40" s="159"/>
      <c r="AG40" s="159"/>
      <c r="AH40" s="159"/>
      <c r="AI40" s="159"/>
      <c r="BZ40" s="286"/>
      <c r="CA40" s="287"/>
    </row>
    <row r="41" spans="1:79" s="163" customFormat="1" ht="13">
      <c r="A41" s="226"/>
      <c r="B41" s="433"/>
      <c r="C41" s="433"/>
      <c r="D41" s="439"/>
      <c r="E41" s="439"/>
      <c r="F41" s="439"/>
      <c r="G41" s="439"/>
      <c r="H41" s="439"/>
      <c r="I41" s="439"/>
      <c r="J41" s="439"/>
      <c r="K41" s="439"/>
      <c r="L41" s="439">
        <f t="shared" ref="L41:W41" si="134">L40-K40</f>
        <v>0.75</v>
      </c>
      <c r="M41" s="439">
        <f t="shared" si="134"/>
        <v>-0.51100000000224099</v>
      </c>
      <c r="N41" s="439">
        <f t="shared" si="134"/>
        <v>-0.23899999999775901</v>
      </c>
      <c r="O41" s="439">
        <f t="shared" si="134"/>
        <v>0</v>
      </c>
      <c r="P41" s="439">
        <f t="shared" si="134"/>
        <v>0</v>
      </c>
      <c r="Q41" s="439">
        <f t="shared" si="134"/>
        <v>0</v>
      </c>
      <c r="R41" s="439">
        <f t="shared" si="134"/>
        <v>0</v>
      </c>
      <c r="S41" s="439">
        <f t="shared" si="134"/>
        <v>0</v>
      </c>
      <c r="T41" s="439">
        <f t="shared" si="134"/>
        <v>0</v>
      </c>
      <c r="U41" s="439">
        <f t="shared" si="134"/>
        <v>-0.18812593462280347</v>
      </c>
      <c r="V41" s="439">
        <f t="shared" si="134"/>
        <v>-3.637978807091713E-12</v>
      </c>
      <c r="W41" s="439">
        <f t="shared" si="134"/>
        <v>0</v>
      </c>
      <c r="X41" s="439">
        <f t="shared" ref="X41" si="135">X40-W40</f>
        <v>-5.2726386820722837E-3</v>
      </c>
      <c r="Y41" s="439">
        <f t="shared" ref="Y41" si="136">Y40-X40</f>
        <v>-2.8870200010715052E-2</v>
      </c>
      <c r="Z41" s="439">
        <f t="shared" ref="Z41" si="137">Z40-Y40</f>
        <v>-8.3137890534999315E-2</v>
      </c>
      <c r="AA41" s="439">
        <f t="shared" ref="AA41" si="138">AA40-Z40</f>
        <v>-0.17699544679999235</v>
      </c>
      <c r="AB41" s="433"/>
      <c r="AC41" s="159"/>
      <c r="AD41" s="159"/>
      <c r="AE41" s="159"/>
      <c r="AF41" s="159"/>
      <c r="AG41" s="159"/>
      <c r="AH41" s="159"/>
      <c r="AI41" s="159"/>
      <c r="BZ41" s="286"/>
      <c r="CA41" s="287"/>
    </row>
    <row r="42" spans="1:79" s="163" customFormat="1" ht="13">
      <c r="A42" s="226"/>
      <c r="B42" s="433"/>
      <c r="C42" s="433"/>
      <c r="D42" s="439"/>
      <c r="E42" s="439"/>
      <c r="F42" s="439"/>
      <c r="G42" s="439"/>
      <c r="H42" s="439"/>
      <c r="I42" s="439"/>
      <c r="J42" s="439"/>
      <c r="K42" s="439"/>
      <c r="L42" s="439"/>
      <c r="M42" s="439"/>
      <c r="N42" s="439"/>
      <c r="O42" s="439"/>
      <c r="P42" s="439"/>
      <c r="Q42" s="439"/>
      <c r="R42" s="439"/>
      <c r="S42" s="439"/>
      <c r="T42" s="439"/>
      <c r="U42" s="439"/>
      <c r="V42" s="439"/>
      <c r="W42" s="439"/>
      <c r="X42" s="439"/>
      <c r="Y42" s="439"/>
      <c r="Z42" s="439"/>
      <c r="AA42" s="439"/>
      <c r="AB42" s="433"/>
      <c r="AC42" s="159"/>
      <c r="AD42" s="159"/>
      <c r="AE42" s="159"/>
      <c r="AF42" s="159"/>
      <c r="AG42" s="159"/>
      <c r="AH42" s="159"/>
      <c r="AI42" s="159"/>
      <c r="BZ42" s="286"/>
      <c r="CA42" s="287"/>
    </row>
    <row r="43" spans="1:79" s="163" customFormat="1" ht="13">
      <c r="A43" s="226" t="s">
        <v>130</v>
      </c>
      <c r="B43" s="433">
        <f t="shared" ref="B43:P43" si="139">B29+B25-B4</f>
        <v>0</v>
      </c>
      <c r="C43" s="433">
        <f t="shared" si="139"/>
        <v>0</v>
      </c>
      <c r="D43" s="439">
        <f t="shared" si="139"/>
        <v>3874</v>
      </c>
      <c r="E43" s="439">
        <f t="shared" si="139"/>
        <v>4557</v>
      </c>
      <c r="F43" s="439">
        <f t="shared" si="139"/>
        <v>5437</v>
      </c>
      <c r="G43" s="439">
        <f t="shared" si="139"/>
        <v>6035.8657954545452</v>
      </c>
      <c r="H43" s="439">
        <f t="shared" si="139"/>
        <v>6715</v>
      </c>
      <c r="I43" s="439">
        <f t="shared" si="139"/>
        <v>7467</v>
      </c>
      <c r="J43" s="439">
        <f t="shared" si="139"/>
        <v>8582</v>
      </c>
      <c r="K43" s="439">
        <f t="shared" si="139"/>
        <v>9182</v>
      </c>
      <c r="L43" s="439">
        <f t="shared" si="139"/>
        <v>7044</v>
      </c>
      <c r="M43" s="439">
        <f>M29+M25-M4</f>
        <v>7079.7609999999995</v>
      </c>
      <c r="N43" s="439">
        <f t="shared" si="139"/>
        <v>8365</v>
      </c>
      <c r="O43" s="439">
        <f t="shared" si="139"/>
        <v>9028</v>
      </c>
      <c r="P43" s="439">
        <f t="shared" si="139"/>
        <v>8899</v>
      </c>
      <c r="Q43" s="439">
        <f t="shared" ref="Q43" si="140">Q29+Q25-Q4</f>
        <v>9237</v>
      </c>
      <c r="R43" s="439">
        <f t="shared" ref="R43:W43" si="141">R29+R25-R4</f>
        <v>9203</v>
      </c>
      <c r="S43" s="439">
        <f t="shared" si="141"/>
        <v>8825</v>
      </c>
      <c r="T43" s="439">
        <f t="shared" ref="T43" si="142">T29+T25-T4</f>
        <v>8522</v>
      </c>
      <c r="U43" s="439">
        <f t="shared" si="141"/>
        <v>7994.3728880745612</v>
      </c>
      <c r="V43" s="439">
        <f t="shared" si="141"/>
        <v>7371.538076757045</v>
      </c>
      <c r="W43" s="439">
        <f t="shared" si="141"/>
        <v>6750.5267779453279</v>
      </c>
      <c r="X43" s="439">
        <f t="shared" ref="X43:AA43" si="143">X29+X25-X4</f>
        <v>6134.7882294221918</v>
      </c>
      <c r="Y43" s="439">
        <f t="shared" si="143"/>
        <v>5544.1796376897373</v>
      </c>
      <c r="Z43" s="439">
        <f t="shared" si="143"/>
        <v>4966.0278012041254</v>
      </c>
      <c r="AA43" s="439">
        <f t="shared" si="143"/>
        <v>4805.1774673003956</v>
      </c>
      <c r="AB43" s="433"/>
      <c r="AC43" s="159"/>
      <c r="AD43" s="159"/>
      <c r="AE43" s="159"/>
      <c r="AF43" s="159"/>
      <c r="AG43" s="159"/>
      <c r="AH43" s="159"/>
      <c r="AI43" s="159"/>
      <c r="BZ43" s="286"/>
      <c r="CA43" s="287"/>
    </row>
    <row r="44" spans="1:79" s="163" customFormat="1" ht="13">
      <c r="A44" s="226" t="s">
        <v>131</v>
      </c>
      <c r="B44" s="433"/>
      <c r="C44" s="433">
        <f t="shared" ref="C44:Q44" si="144">C43-B43</f>
        <v>0</v>
      </c>
      <c r="D44" s="439">
        <f t="shared" si="144"/>
        <v>3874</v>
      </c>
      <c r="E44" s="439">
        <f t="shared" si="144"/>
        <v>683</v>
      </c>
      <c r="F44" s="439">
        <f t="shared" si="144"/>
        <v>880</v>
      </c>
      <c r="G44" s="439">
        <f t="shared" si="144"/>
        <v>598.86579545454515</v>
      </c>
      <c r="H44" s="439">
        <f t="shared" si="144"/>
        <v>679.13420454545485</v>
      </c>
      <c r="I44" s="439">
        <f t="shared" si="144"/>
        <v>752</v>
      </c>
      <c r="J44" s="439">
        <f t="shared" si="144"/>
        <v>1115</v>
      </c>
      <c r="K44" s="439">
        <f t="shared" si="144"/>
        <v>600</v>
      </c>
      <c r="L44" s="439">
        <f t="shared" si="144"/>
        <v>-2138</v>
      </c>
      <c r="M44" s="439">
        <f t="shared" si="144"/>
        <v>35.760999999999513</v>
      </c>
      <c r="N44" s="439">
        <f t="shared" si="144"/>
        <v>1285.2390000000005</v>
      </c>
      <c r="O44" s="439">
        <f t="shared" si="144"/>
        <v>663</v>
      </c>
      <c r="P44" s="439">
        <f t="shared" si="144"/>
        <v>-129</v>
      </c>
      <c r="Q44" s="439">
        <f t="shared" si="144"/>
        <v>338</v>
      </c>
      <c r="R44" s="439">
        <f t="shared" ref="R44:W44" si="145">R43-Q43</f>
        <v>-34</v>
      </c>
      <c r="S44" s="439">
        <f t="shared" si="145"/>
        <v>-378</v>
      </c>
      <c r="T44" s="439">
        <f t="shared" si="145"/>
        <v>-303</v>
      </c>
      <c r="U44" s="439">
        <f t="shared" si="145"/>
        <v>-527.62711192543884</v>
      </c>
      <c r="V44" s="439">
        <f t="shared" si="145"/>
        <v>-622.83481131751614</v>
      </c>
      <c r="W44" s="439">
        <f t="shared" si="145"/>
        <v>-621.0112988117171</v>
      </c>
      <c r="X44" s="439">
        <f t="shared" ref="X44" si="146">X43-W43</f>
        <v>-615.73854852313616</v>
      </c>
      <c r="Y44" s="439">
        <f t="shared" ref="Y44" si="147">Y43-X43</f>
        <v>-590.60859173245444</v>
      </c>
      <c r="Z44" s="439">
        <f t="shared" ref="Z44" si="148">Z43-Y43</f>
        <v>-578.15183648561197</v>
      </c>
      <c r="AA44" s="439">
        <f t="shared" ref="AA44" si="149">AA43-Z43</f>
        <v>-160.85033390372973</v>
      </c>
      <c r="AB44" s="433"/>
      <c r="AC44" s="159"/>
      <c r="AD44" s="159"/>
      <c r="AE44" s="159"/>
      <c r="AF44" s="159"/>
      <c r="AG44" s="159"/>
      <c r="AH44" s="159"/>
      <c r="AI44" s="159"/>
      <c r="BZ44" s="286"/>
      <c r="CA44" s="287"/>
    </row>
    <row r="45" spans="1:79" s="163" customFormat="1" ht="13">
      <c r="A45" s="226"/>
      <c r="D45" s="439"/>
      <c r="E45" s="439"/>
      <c r="F45" s="439"/>
      <c r="G45" s="439"/>
      <c r="H45" s="439"/>
      <c r="I45" s="439"/>
      <c r="J45" s="439"/>
      <c r="K45" s="439"/>
      <c r="L45" s="439"/>
      <c r="M45" s="439"/>
      <c r="N45" s="439"/>
      <c r="O45" s="439"/>
      <c r="P45" s="439"/>
      <c r="Q45" s="439"/>
      <c r="R45" s="439"/>
      <c r="S45" s="439"/>
      <c r="T45" s="439"/>
      <c r="U45" s="439"/>
      <c r="V45" s="439"/>
      <c r="W45" s="439"/>
      <c r="X45" s="439"/>
      <c r="Y45" s="439"/>
      <c r="Z45" s="439"/>
      <c r="AA45" s="439"/>
      <c r="AB45" s="159"/>
      <c r="AC45" s="159"/>
      <c r="AD45" s="159"/>
      <c r="AE45" s="159"/>
      <c r="AF45" s="159"/>
      <c r="AG45" s="159"/>
      <c r="AH45" s="159"/>
      <c r="AI45" s="159"/>
      <c r="BZ45" s="286"/>
      <c r="CA45" s="287"/>
    </row>
    <row r="46" spans="1:79" s="163" customFormat="1" ht="13">
      <c r="A46" s="226" t="s">
        <v>75</v>
      </c>
      <c r="B46" s="365">
        <f>'Income Statement'!B471</f>
        <v>2696</v>
      </c>
      <c r="C46" s="365">
        <f>'Income Statement'!G471</f>
        <v>3210.0000000000009</v>
      </c>
      <c r="D46" s="439">
        <f>'Income Statement'!L471</f>
        <v>3055</v>
      </c>
      <c r="E46" s="439">
        <f>'Income Statement'!Q471</f>
        <v>3343</v>
      </c>
      <c r="F46" s="439">
        <f>'Income Statement'!V471</f>
        <v>3232</v>
      </c>
      <c r="G46" s="439">
        <f>'Income Statement'!AA471</f>
        <v>2997</v>
      </c>
      <c r="H46" s="439">
        <f>'Income Statement'!AF471</f>
        <v>3156</v>
      </c>
      <c r="I46" s="439">
        <f>'Income Statement'!AK471</f>
        <v>2685.3305194230634</v>
      </c>
      <c r="J46" s="439">
        <f>'Income Statement'!AP471</f>
        <v>3156</v>
      </c>
      <c r="K46" s="439">
        <f>'Income Statement'!AU471</f>
        <v>3109</v>
      </c>
      <c r="L46" s="439">
        <f>'Income Statement'!AZ471</f>
        <v>2775</v>
      </c>
      <c r="M46" s="439">
        <f>'Income Statement'!BE471</f>
        <v>2685</v>
      </c>
      <c r="N46" s="439">
        <f>'Income Statement'!BJ471</f>
        <v>2512</v>
      </c>
      <c r="O46" s="439">
        <f>'Income Statement'!BO471</f>
        <v>2284</v>
      </c>
      <c r="P46" s="439">
        <f>'Income Statement'!BT471</f>
        <v>2082</v>
      </c>
      <c r="Q46" s="439">
        <f>'Income Statement'!BY471</f>
        <v>2209</v>
      </c>
      <c r="R46" s="439">
        <f>'Income Statement'!CD471</f>
        <v>1890</v>
      </c>
      <c r="S46" s="439">
        <f>'Income Statement'!CI471</f>
        <v>2324</v>
      </c>
      <c r="T46" s="439">
        <f>'Income Statement'!CJ471</f>
        <v>611</v>
      </c>
      <c r="U46" s="439">
        <f>'Income Statement'!CQ471</f>
        <v>2808.9732718038576</v>
      </c>
      <c r="V46" s="439">
        <f>'Income Statement'!CR471</f>
        <v>2936.5606269771351</v>
      </c>
      <c r="W46" s="439">
        <f>'Income Statement'!CS471</f>
        <v>3056.3849942727456</v>
      </c>
      <c r="X46" s="439">
        <f>'Income Statement'!CT471</f>
        <v>3189.161915731187</v>
      </c>
      <c r="Y46" s="439">
        <f>'Income Statement'!CU471</f>
        <v>3336.7783165555588</v>
      </c>
      <c r="Z46" s="439">
        <f>'Income Statement'!CV471</f>
        <v>3476.252114967509</v>
      </c>
      <c r="AA46" s="439">
        <f>'Income Statement'!CW471</f>
        <v>3647.3440844747279</v>
      </c>
      <c r="AB46" s="159"/>
      <c r="AC46" s="159"/>
      <c r="AD46" s="159"/>
      <c r="AE46" s="159"/>
      <c r="AF46" s="159"/>
      <c r="AG46" s="159"/>
      <c r="AH46" s="159"/>
      <c r="AI46" s="159"/>
      <c r="BZ46" s="286"/>
      <c r="CA46" s="287"/>
    </row>
    <row r="47" spans="1:79" s="163" customFormat="1" ht="13">
      <c r="A47" s="226" t="s">
        <v>736</v>
      </c>
      <c r="B47" s="365">
        <f>-0.25*B46</f>
        <v>-674</v>
      </c>
      <c r="C47" s="365">
        <f t="shared" ref="C47:AA47" si="150">-0.25*C46</f>
        <v>-802.50000000000023</v>
      </c>
      <c r="D47" s="439">
        <f t="shared" si="150"/>
        <v>-763.75</v>
      </c>
      <c r="E47" s="439">
        <f t="shared" si="150"/>
        <v>-835.75</v>
      </c>
      <c r="F47" s="439">
        <f t="shared" si="150"/>
        <v>-808</v>
      </c>
      <c r="G47" s="439">
        <f t="shared" si="150"/>
        <v>-749.25</v>
      </c>
      <c r="H47" s="439">
        <f t="shared" si="150"/>
        <v>-789</v>
      </c>
      <c r="I47" s="439">
        <f t="shared" si="150"/>
        <v>-671.33262985576584</v>
      </c>
      <c r="J47" s="439">
        <f t="shared" si="150"/>
        <v>-789</v>
      </c>
      <c r="K47" s="439">
        <f t="shared" si="150"/>
        <v>-777.25</v>
      </c>
      <c r="L47" s="439">
        <f t="shared" si="150"/>
        <v>-693.75</v>
      </c>
      <c r="M47" s="439">
        <f t="shared" si="150"/>
        <v>-671.25</v>
      </c>
      <c r="N47" s="439">
        <f t="shared" si="150"/>
        <v>-628</v>
      </c>
      <c r="O47" s="439">
        <f t="shared" si="150"/>
        <v>-571</v>
      </c>
      <c r="P47" s="439">
        <f t="shared" si="150"/>
        <v>-520.5</v>
      </c>
      <c r="Q47" s="439">
        <f t="shared" si="150"/>
        <v>-552.25</v>
      </c>
      <c r="R47" s="439">
        <f t="shared" si="150"/>
        <v>-472.5</v>
      </c>
      <c r="S47" s="439">
        <f t="shared" si="150"/>
        <v>-581</v>
      </c>
      <c r="T47" s="439">
        <f t="shared" ref="T47" si="151">-0.25*T46</f>
        <v>-152.75</v>
      </c>
      <c r="U47" s="439">
        <f t="shared" si="150"/>
        <v>-702.24331795096441</v>
      </c>
      <c r="V47" s="439">
        <f t="shared" si="150"/>
        <v>-734.14015674428379</v>
      </c>
      <c r="W47" s="439">
        <f t="shared" si="150"/>
        <v>-764.09624856818641</v>
      </c>
      <c r="X47" s="439">
        <f t="shared" si="150"/>
        <v>-797.29047893279676</v>
      </c>
      <c r="Y47" s="439">
        <f t="shared" si="150"/>
        <v>-834.19457913888971</v>
      </c>
      <c r="Z47" s="439">
        <f t="shared" si="150"/>
        <v>-869.06302874187725</v>
      </c>
      <c r="AA47" s="439">
        <f t="shared" si="150"/>
        <v>-911.83602111868197</v>
      </c>
      <c r="AB47" s="159"/>
      <c r="AC47" s="159"/>
      <c r="AD47" s="159"/>
      <c r="AE47" s="159"/>
      <c r="AF47" s="159"/>
      <c r="AG47" s="159"/>
      <c r="AH47" s="159"/>
      <c r="AI47" s="159"/>
      <c r="BZ47" s="286"/>
      <c r="CA47" s="287"/>
    </row>
    <row r="48" spans="1:79" s="163" customFormat="1" ht="13">
      <c r="A48" s="235" t="s">
        <v>737</v>
      </c>
      <c r="B48" s="258">
        <f>B46+B47</f>
        <v>2022</v>
      </c>
      <c r="C48" s="258">
        <f t="shared" ref="C48:AA48" si="152">C46+C47</f>
        <v>2407.5000000000009</v>
      </c>
      <c r="D48" s="488">
        <f t="shared" si="152"/>
        <v>2291.25</v>
      </c>
      <c r="E48" s="488">
        <f t="shared" si="152"/>
        <v>2507.25</v>
      </c>
      <c r="F48" s="488">
        <f t="shared" si="152"/>
        <v>2424</v>
      </c>
      <c r="G48" s="488">
        <f t="shared" si="152"/>
        <v>2247.75</v>
      </c>
      <c r="H48" s="488">
        <f t="shared" si="152"/>
        <v>2367</v>
      </c>
      <c r="I48" s="488">
        <f t="shared" si="152"/>
        <v>2013.9978895672975</v>
      </c>
      <c r="J48" s="488">
        <f t="shared" si="152"/>
        <v>2367</v>
      </c>
      <c r="K48" s="488">
        <f t="shared" si="152"/>
        <v>2331.75</v>
      </c>
      <c r="L48" s="488">
        <f t="shared" si="152"/>
        <v>2081.25</v>
      </c>
      <c r="M48" s="488">
        <f t="shared" si="152"/>
        <v>2013.75</v>
      </c>
      <c r="N48" s="488">
        <f t="shared" si="152"/>
        <v>1884</v>
      </c>
      <c r="O48" s="488">
        <f t="shared" si="152"/>
        <v>1713</v>
      </c>
      <c r="P48" s="488">
        <f t="shared" si="152"/>
        <v>1561.5</v>
      </c>
      <c r="Q48" s="488">
        <f t="shared" si="152"/>
        <v>1656.75</v>
      </c>
      <c r="R48" s="488">
        <f t="shared" si="152"/>
        <v>1417.5</v>
      </c>
      <c r="S48" s="488">
        <f t="shared" si="152"/>
        <v>1743</v>
      </c>
      <c r="T48" s="488">
        <f t="shared" ref="T48" si="153">T46+T47</f>
        <v>458.25</v>
      </c>
      <c r="U48" s="488">
        <f t="shared" si="152"/>
        <v>2106.7299538528932</v>
      </c>
      <c r="V48" s="488">
        <f t="shared" si="152"/>
        <v>2202.4204702328516</v>
      </c>
      <c r="W48" s="488">
        <f t="shared" si="152"/>
        <v>2292.288745704559</v>
      </c>
      <c r="X48" s="488">
        <f t="shared" si="152"/>
        <v>2391.8714367983903</v>
      </c>
      <c r="Y48" s="488">
        <f t="shared" si="152"/>
        <v>2502.583737416669</v>
      </c>
      <c r="Z48" s="488">
        <f t="shared" si="152"/>
        <v>2607.1890862256319</v>
      </c>
      <c r="AA48" s="488">
        <f t="shared" si="152"/>
        <v>2735.508063356046</v>
      </c>
      <c r="AB48" s="159"/>
      <c r="AC48" s="159"/>
      <c r="AD48" s="159"/>
      <c r="AE48" s="159"/>
      <c r="AF48" s="159"/>
      <c r="AG48" s="159"/>
      <c r="AH48" s="159"/>
      <c r="AI48" s="159"/>
      <c r="BZ48" s="286"/>
      <c r="CA48" s="287"/>
    </row>
    <row r="49" spans="1:79" s="163" customFormat="1" ht="13">
      <c r="A49" s="226"/>
      <c r="D49" s="439"/>
      <c r="E49" s="439"/>
      <c r="F49" s="439"/>
      <c r="G49" s="439"/>
      <c r="H49" s="439"/>
      <c r="I49" s="439"/>
      <c r="J49" s="439"/>
      <c r="K49" s="439"/>
      <c r="L49" s="439"/>
      <c r="M49" s="439"/>
      <c r="N49" s="439"/>
      <c r="O49" s="439"/>
      <c r="P49" s="439"/>
      <c r="Q49" s="439"/>
      <c r="R49" s="439"/>
      <c r="S49" s="439"/>
      <c r="T49" s="439"/>
      <c r="U49" s="439"/>
      <c r="V49" s="439"/>
      <c r="W49" s="439"/>
      <c r="X49" s="439"/>
      <c r="Y49" s="439"/>
      <c r="Z49" s="439"/>
      <c r="AA49" s="439"/>
      <c r="AB49" s="159"/>
      <c r="AC49" s="159"/>
      <c r="AD49" s="159"/>
      <c r="AE49" s="159"/>
      <c r="AF49" s="159"/>
      <c r="AG49" s="159"/>
      <c r="AH49" s="159"/>
      <c r="AI49" s="159"/>
      <c r="BZ49" s="286"/>
      <c r="CA49" s="287"/>
    </row>
    <row r="50" spans="1:79" s="221" customFormat="1" ht="13">
      <c r="A50" s="235" t="s">
        <v>631</v>
      </c>
      <c r="D50" s="488">
        <f t="shared" ref="D50:AA50" si="154">D20-D27+D25</f>
        <v>14540</v>
      </c>
      <c r="E50" s="488">
        <f t="shared" si="154"/>
        <v>14915</v>
      </c>
      <c r="F50" s="488">
        <f t="shared" si="154"/>
        <v>15069</v>
      </c>
      <c r="G50" s="488">
        <f t="shared" si="154"/>
        <v>14510.487727272728</v>
      </c>
      <c r="H50" s="488">
        <f t="shared" si="154"/>
        <v>14579</v>
      </c>
      <c r="I50" s="488">
        <f t="shared" si="154"/>
        <v>14807</v>
      </c>
      <c r="J50" s="488">
        <f t="shared" si="154"/>
        <v>15168</v>
      </c>
      <c r="K50" s="488">
        <f t="shared" si="154"/>
        <v>15747</v>
      </c>
      <c r="L50" s="488">
        <f t="shared" si="154"/>
        <v>15521.75</v>
      </c>
      <c r="M50" s="488">
        <f t="shared" si="154"/>
        <v>15465.456999999999</v>
      </c>
      <c r="N50" s="488">
        <f t="shared" si="154"/>
        <v>16833</v>
      </c>
      <c r="O50" s="488">
        <f t="shared" si="154"/>
        <v>17726</v>
      </c>
      <c r="P50" s="488">
        <f t="shared" si="154"/>
        <v>18203</v>
      </c>
      <c r="Q50" s="488">
        <f t="shared" si="154"/>
        <v>18885</v>
      </c>
      <c r="R50" s="488">
        <f t="shared" si="154"/>
        <v>18216</v>
      </c>
      <c r="S50" s="488">
        <f t="shared" si="154"/>
        <v>17915</v>
      </c>
      <c r="T50" s="488">
        <f t="shared" ref="T50" si="155">T20-T27+T25</f>
        <v>17828</v>
      </c>
      <c r="U50" s="488">
        <f t="shared" si="154"/>
        <v>17493.003179854357</v>
      </c>
      <c r="V50" s="488">
        <f t="shared" si="154"/>
        <v>17074.316124985122</v>
      </c>
      <c r="W50" s="488">
        <f t="shared" si="154"/>
        <v>16669.19788959188</v>
      </c>
      <c r="X50" s="488">
        <f t="shared" si="154"/>
        <v>16282.594267880153</v>
      </c>
      <c r="Y50" s="488">
        <f t="shared" si="154"/>
        <v>15934.408955802401</v>
      </c>
      <c r="Z50" s="488">
        <f t="shared" si="154"/>
        <v>15611.781021670306</v>
      </c>
      <c r="AA50" s="488">
        <f t="shared" si="154"/>
        <v>15721.896770944553</v>
      </c>
      <c r="AB50" s="440"/>
      <c r="AC50" s="165"/>
      <c r="AD50" s="165"/>
      <c r="AE50" s="165"/>
      <c r="AF50" s="165"/>
      <c r="AG50" s="165"/>
      <c r="AH50" s="165"/>
      <c r="AI50" s="165"/>
      <c r="BZ50" s="346"/>
      <c r="CA50" s="347"/>
    </row>
    <row r="51" spans="1:79" s="163" customFormat="1" ht="13">
      <c r="A51" s="226"/>
      <c r="D51" s="441"/>
      <c r="E51" s="441"/>
      <c r="F51" s="441"/>
      <c r="G51" s="441"/>
      <c r="H51" s="441"/>
      <c r="I51" s="441"/>
      <c r="J51" s="441"/>
      <c r="K51" s="441"/>
      <c r="L51" s="441"/>
      <c r="M51" s="441"/>
      <c r="N51" s="441"/>
      <c r="O51" s="441"/>
      <c r="P51" s="441"/>
      <c r="Q51" s="441"/>
      <c r="R51" s="441"/>
      <c r="S51" s="441"/>
      <c r="T51" s="441"/>
      <c r="U51" s="441"/>
      <c r="V51" s="441"/>
      <c r="W51" s="441"/>
      <c r="X51" s="441"/>
      <c r="Y51" s="441"/>
      <c r="Z51" s="441"/>
      <c r="AA51" s="441"/>
      <c r="AB51" s="441"/>
      <c r="AC51" s="159"/>
      <c r="AD51" s="159"/>
      <c r="AE51" s="159"/>
      <c r="AF51" s="159"/>
      <c r="AG51" s="159"/>
      <c r="AH51" s="159"/>
      <c r="AI51" s="159"/>
      <c r="BZ51" s="286"/>
      <c r="CA51" s="287"/>
    </row>
    <row r="52" spans="1:79" s="163" customFormat="1" ht="13">
      <c r="A52" s="279" t="s">
        <v>219</v>
      </c>
      <c r="B52" s="442"/>
      <c r="C52" s="442"/>
      <c r="D52" s="442">
        <f>IFERROR(D48/D50,"nm")</f>
        <v>0.1575825309491059</v>
      </c>
      <c r="E52" s="442">
        <f t="shared" ref="E52:AA52" si="156">IFERROR(E48/E50,"nm")</f>
        <v>0.16810258129399933</v>
      </c>
      <c r="F52" s="442">
        <f t="shared" si="156"/>
        <v>0.16086004379852678</v>
      </c>
      <c r="G52" s="442">
        <f t="shared" si="156"/>
        <v>0.15490519975943418</v>
      </c>
      <c r="H52" s="442">
        <f t="shared" si="156"/>
        <v>0.16235681459633719</v>
      </c>
      <c r="I52" s="442">
        <f t="shared" si="156"/>
        <v>0.13601660630561879</v>
      </c>
      <c r="J52" s="442">
        <f t="shared" si="156"/>
        <v>0.15605221518987342</v>
      </c>
      <c r="K52" s="442">
        <f t="shared" si="156"/>
        <v>0.14807582396646982</v>
      </c>
      <c r="L52" s="442">
        <f t="shared" si="156"/>
        <v>0.13408604055599402</v>
      </c>
      <c r="M52" s="442">
        <f t="shared" si="156"/>
        <v>0.13020953729333704</v>
      </c>
      <c r="N52" s="442">
        <f t="shared" si="156"/>
        <v>0.1119230083764035</v>
      </c>
      <c r="O52" s="442">
        <f t="shared" si="156"/>
        <v>9.663770732257701E-2</v>
      </c>
      <c r="P52" s="442">
        <f t="shared" si="156"/>
        <v>8.5782563313739499E-2</v>
      </c>
      <c r="Q52" s="442">
        <f t="shared" si="156"/>
        <v>8.7728355837966635E-2</v>
      </c>
      <c r="R52" s="442">
        <f t="shared" si="156"/>
        <v>7.7816205533596833E-2</v>
      </c>
      <c r="S52" s="442">
        <f t="shared" si="156"/>
        <v>9.7292771420597265E-2</v>
      </c>
      <c r="T52" s="442">
        <f t="shared" ref="T52" si="157">IFERROR(T48/T50,"nm")</f>
        <v>2.5703948844514247E-2</v>
      </c>
      <c r="U52" s="442">
        <f t="shared" si="156"/>
        <v>0.12043271999624901</v>
      </c>
      <c r="V52" s="442">
        <f t="shared" si="156"/>
        <v>0.12899025964559799</v>
      </c>
      <c r="W52" s="442">
        <f t="shared" si="156"/>
        <v>0.13751643965639443</v>
      </c>
      <c r="X52" s="442">
        <f t="shared" si="156"/>
        <v>0.14689744136883112</v>
      </c>
      <c r="Y52" s="442">
        <f t="shared" si="156"/>
        <v>0.15705532250101883</v>
      </c>
      <c r="Z52" s="442">
        <f t="shared" si="156"/>
        <v>0.16700138713236246</v>
      </c>
      <c r="AA52" s="442">
        <f t="shared" si="156"/>
        <v>0.17399351383679768</v>
      </c>
      <c r="AB52" s="441"/>
      <c r="AC52" s="159"/>
      <c r="AD52" s="159"/>
      <c r="AE52" s="159"/>
      <c r="AF52" s="159"/>
      <c r="AG52" s="159"/>
      <c r="AH52" s="159"/>
      <c r="AI52" s="159"/>
      <c r="BZ52" s="286"/>
      <c r="CA52" s="287"/>
    </row>
    <row r="53" spans="1:79" s="163" customFormat="1" ht="13">
      <c r="A53" s="226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  <c r="V53" s="159"/>
      <c r="W53" s="159"/>
      <c r="X53" s="159"/>
      <c r="Y53" s="159"/>
      <c r="Z53" s="159"/>
      <c r="AA53" s="159"/>
      <c r="AB53" s="159"/>
      <c r="AC53" s="159"/>
      <c r="AD53" s="159"/>
      <c r="AE53" s="159"/>
      <c r="AF53" s="159"/>
      <c r="AG53" s="159"/>
      <c r="AH53" s="159"/>
      <c r="AI53" s="159"/>
      <c r="BZ53" s="286"/>
      <c r="CA53" s="287"/>
    </row>
    <row r="54" spans="1:79" s="163" customFormat="1" ht="13">
      <c r="A54" s="443" t="s">
        <v>132</v>
      </c>
      <c r="B54" s="444">
        <f>B2</f>
        <v>2007</v>
      </c>
      <c r="C54" s="444">
        <f t="shared" ref="C54:Q54" si="158">B54+1</f>
        <v>2008</v>
      </c>
      <c r="D54" s="444">
        <f t="shared" si="158"/>
        <v>2009</v>
      </c>
      <c r="E54" s="444">
        <f t="shared" si="158"/>
        <v>2010</v>
      </c>
      <c r="F54" s="444">
        <f t="shared" si="158"/>
        <v>2011</v>
      </c>
      <c r="G54" s="444">
        <f t="shared" si="158"/>
        <v>2012</v>
      </c>
      <c r="H54" s="444">
        <f t="shared" si="158"/>
        <v>2013</v>
      </c>
      <c r="I54" s="444">
        <f t="shared" si="158"/>
        <v>2014</v>
      </c>
      <c r="J54" s="444">
        <f t="shared" si="158"/>
        <v>2015</v>
      </c>
      <c r="K54" s="444">
        <f t="shared" si="158"/>
        <v>2016</v>
      </c>
      <c r="L54" s="444">
        <f t="shared" si="158"/>
        <v>2017</v>
      </c>
      <c r="M54" s="444">
        <f t="shared" si="158"/>
        <v>2018</v>
      </c>
      <c r="N54" s="444">
        <f t="shared" si="158"/>
        <v>2019</v>
      </c>
      <c r="O54" s="444">
        <f t="shared" si="158"/>
        <v>2020</v>
      </c>
      <c r="P54" s="444">
        <f t="shared" si="158"/>
        <v>2021</v>
      </c>
      <c r="Q54" s="444">
        <f t="shared" si="158"/>
        <v>2022</v>
      </c>
      <c r="R54" s="444">
        <f t="shared" ref="R54:W54" si="159">Q54+1</f>
        <v>2023</v>
      </c>
      <c r="S54" s="444">
        <f t="shared" si="159"/>
        <v>2024</v>
      </c>
      <c r="T54" s="444">
        <f t="shared" si="159"/>
        <v>2025</v>
      </c>
      <c r="U54" s="444">
        <f t="shared" si="159"/>
        <v>2026</v>
      </c>
      <c r="V54" s="444">
        <f t="shared" si="159"/>
        <v>2027</v>
      </c>
      <c r="W54" s="444">
        <f t="shared" si="159"/>
        <v>2028</v>
      </c>
      <c r="X54" s="444">
        <f t="shared" ref="X54" si="160">W54+1</f>
        <v>2029</v>
      </c>
      <c r="Y54" s="444">
        <f t="shared" ref="Y54" si="161">X54+1</f>
        <v>2030</v>
      </c>
      <c r="Z54" s="444">
        <f t="shared" ref="Z54" si="162">Y54+1</f>
        <v>2031</v>
      </c>
      <c r="AA54" s="444">
        <f t="shared" ref="AA54" si="163">Z54+1</f>
        <v>2032</v>
      </c>
      <c r="AB54" s="221"/>
      <c r="AC54" s="159"/>
      <c r="AD54" s="159"/>
      <c r="AE54" s="159"/>
      <c r="AF54" s="159"/>
      <c r="AG54" s="159"/>
      <c r="AH54" s="159"/>
      <c r="AI54" s="159"/>
      <c r="BZ54" s="286"/>
      <c r="CA54" s="287"/>
    </row>
    <row r="55" spans="1:79" s="163" customFormat="1" ht="13">
      <c r="A55" s="226" t="s">
        <v>133</v>
      </c>
      <c r="B55" s="439">
        <f t="shared" ref="B55:P55" si="164">B252</f>
        <v>2466.1999999999998</v>
      </c>
      <c r="C55" s="439">
        <f t="shared" si="164"/>
        <v>3599.4000000000005</v>
      </c>
      <c r="D55" s="439">
        <f t="shared" si="164"/>
        <v>3630</v>
      </c>
      <c r="E55" s="439">
        <f t="shared" si="164"/>
        <v>2972</v>
      </c>
      <c r="F55" s="439">
        <f t="shared" si="164"/>
        <v>3434</v>
      </c>
      <c r="G55" s="439">
        <f t="shared" si="164"/>
        <v>3369</v>
      </c>
      <c r="H55" s="439">
        <f t="shared" si="164"/>
        <v>3707</v>
      </c>
      <c r="I55" s="439">
        <f t="shared" si="164"/>
        <v>2972.3305194230634</v>
      </c>
      <c r="J55" s="439">
        <f t="shared" si="164"/>
        <v>3122</v>
      </c>
      <c r="K55" s="439">
        <f t="shared" si="164"/>
        <v>3313</v>
      </c>
      <c r="L55" s="439">
        <f t="shared" si="164"/>
        <v>3167</v>
      </c>
      <c r="M55" s="439">
        <f t="shared" si="164"/>
        <v>2805</v>
      </c>
      <c r="N55" s="439">
        <f t="shared" si="164"/>
        <v>2713</v>
      </c>
      <c r="O55" s="439">
        <f t="shared" si="164"/>
        <v>2569</v>
      </c>
      <c r="P55" s="439">
        <f t="shared" si="164"/>
        <v>2689</v>
      </c>
      <c r="Q55" s="439">
        <f t="shared" ref="Q55:R55" si="165">Q252</f>
        <v>2815</v>
      </c>
      <c r="R55" s="439">
        <f t="shared" si="165"/>
        <v>3147</v>
      </c>
      <c r="S55" s="439">
        <f t="shared" ref="S55:T55" si="166">S252</f>
        <v>3448</v>
      </c>
      <c r="T55" s="439">
        <f t="shared" si="166"/>
        <v>3343</v>
      </c>
      <c r="U55" s="439">
        <f t="shared" ref="U55:W55" si="167">U252</f>
        <v>3427.0344138242785</v>
      </c>
      <c r="V55" s="439">
        <f t="shared" si="167"/>
        <v>3643.2401142052895</v>
      </c>
      <c r="W55" s="439">
        <f t="shared" si="167"/>
        <v>3748.4807060554476</v>
      </c>
      <c r="X55" s="439">
        <f t="shared" ref="X55:AA55" si="168">X252</f>
        <v>3860.2770785778475</v>
      </c>
      <c r="Y55" s="439">
        <f t="shared" si="168"/>
        <v>3969.4387053511377</v>
      </c>
      <c r="Z55" s="439">
        <f t="shared" si="168"/>
        <v>4080.8626034257732</v>
      </c>
      <c r="AA55" s="439">
        <f t="shared" si="168"/>
        <v>3815.6459748583843</v>
      </c>
      <c r="AB55" s="246"/>
      <c r="AC55" s="159"/>
      <c r="AD55" s="159"/>
      <c r="AE55" s="159"/>
      <c r="AF55" s="159"/>
      <c r="AG55" s="159"/>
      <c r="AH55" s="159"/>
      <c r="AI55" s="159"/>
      <c r="BZ55" s="286"/>
      <c r="CA55" s="287"/>
    </row>
    <row r="56" spans="1:79" s="163" customFormat="1" ht="13">
      <c r="A56" s="226" t="s">
        <v>134</v>
      </c>
      <c r="B56" s="439">
        <f t="shared" ref="B56:W56" si="169">B126</f>
        <v>-8.6000000000000014</v>
      </c>
      <c r="C56" s="439">
        <f t="shared" si="169"/>
        <v>17.899999999999999</v>
      </c>
      <c r="D56" s="439">
        <f t="shared" si="169"/>
        <v>-48</v>
      </c>
      <c r="E56" s="439">
        <f t="shared" si="169"/>
        <v>-211</v>
      </c>
      <c r="F56" s="439">
        <f t="shared" si="169"/>
        <v>-228</v>
      </c>
      <c r="G56" s="439">
        <f t="shared" si="169"/>
        <v>-288</v>
      </c>
      <c r="H56" s="439">
        <f t="shared" si="169"/>
        <v>-329</v>
      </c>
      <c r="I56" s="439">
        <f t="shared" si="169"/>
        <v>-389</v>
      </c>
      <c r="J56" s="439">
        <f t="shared" si="169"/>
        <v>-412</v>
      </c>
      <c r="K56" s="439">
        <f t="shared" si="169"/>
        <v>-669</v>
      </c>
      <c r="L56" s="439">
        <f t="shared" si="169"/>
        <v>-384</v>
      </c>
      <c r="M56" s="439">
        <f t="shared" si="169"/>
        <v>-344.279</v>
      </c>
      <c r="N56" s="439">
        <f t="shared" si="169"/>
        <v>-399</v>
      </c>
      <c r="O56" s="439">
        <f t="shared" si="169"/>
        <v>-405</v>
      </c>
      <c r="P56" s="439">
        <f t="shared" si="169"/>
        <v>-413</v>
      </c>
      <c r="Q56" s="439">
        <f t="shared" ref="Q56:R56" si="170">Q126</f>
        <v>-407</v>
      </c>
      <c r="R56" s="439">
        <f t="shared" si="170"/>
        <v>-446</v>
      </c>
      <c r="S56" s="439">
        <f t="shared" ref="S56:T56" si="171">S126</f>
        <v>-447</v>
      </c>
      <c r="T56" s="439">
        <f t="shared" si="171"/>
        <v>-432</v>
      </c>
      <c r="U56" s="439">
        <f t="shared" si="169"/>
        <v>-432.2472885032538</v>
      </c>
      <c r="V56" s="439">
        <f t="shared" si="169"/>
        <v>-404.22957606993174</v>
      </c>
      <c r="W56" s="439">
        <f t="shared" si="169"/>
        <v>-371.2795361682812</v>
      </c>
      <c r="X56" s="439">
        <f t="shared" ref="X56:AA56" si="172">X126</f>
        <v>-338.42089043880958</v>
      </c>
      <c r="Y56" s="439">
        <f t="shared" si="172"/>
        <v>-305.81839984445975</v>
      </c>
      <c r="Z56" s="439">
        <f t="shared" si="172"/>
        <v>-274.54280377027874</v>
      </c>
      <c r="AA56" s="439">
        <f t="shared" si="172"/>
        <v>-243.91394578134179</v>
      </c>
      <c r="AB56" s="246"/>
      <c r="AC56" s="159"/>
      <c r="AD56" s="159"/>
      <c r="AE56" s="159"/>
      <c r="AF56" s="159"/>
      <c r="AG56" s="159"/>
      <c r="AH56" s="159"/>
      <c r="AI56" s="159"/>
      <c r="BZ56" s="286"/>
      <c r="CA56" s="287"/>
    </row>
    <row r="57" spans="1:79" s="163" customFormat="1" ht="13">
      <c r="A57" s="226" t="s">
        <v>135</v>
      </c>
      <c r="B57" s="439">
        <f>'Income Statement'!N481</f>
        <v>-188</v>
      </c>
      <c r="C57" s="439">
        <f>'Income Statement'!O481</f>
        <v>-214</v>
      </c>
      <c r="D57" s="439">
        <f>'Income Statement'!P481</f>
        <v>-222</v>
      </c>
      <c r="E57" s="439">
        <f>'Income Statement'!Q481</f>
        <v>-837</v>
      </c>
      <c r="F57" s="439">
        <f>'Income Statement'!V481</f>
        <v>-473</v>
      </c>
      <c r="G57" s="439">
        <f>'Income Statement'!AA481</f>
        <v>-716</v>
      </c>
      <c r="H57" s="439">
        <f>'Income Statement'!AF481</f>
        <v>-724</v>
      </c>
      <c r="I57" s="439">
        <f>'Income Statement'!AK481</f>
        <v>-688.76864535768641</v>
      </c>
      <c r="J57" s="439">
        <f>'Income Statement'!AP481</f>
        <v>-713</v>
      </c>
      <c r="K57" s="439">
        <f>'Income Statement'!AU481</f>
        <v>-709</v>
      </c>
      <c r="L57" s="439">
        <f>'Income Statement'!AZ481</f>
        <v>-676</v>
      </c>
      <c r="M57" s="439">
        <f>'Income Statement'!BE481</f>
        <v>-585</v>
      </c>
      <c r="N57" s="439">
        <f>'Income Statement'!BJ481</f>
        <v>-509</v>
      </c>
      <c r="O57" s="439">
        <f>'Income Statement'!BO481</f>
        <v>-469</v>
      </c>
      <c r="P57" s="439">
        <f>'Income Statement'!BT481</f>
        <v>-454</v>
      </c>
      <c r="Q57" s="439">
        <f>'Income Statement'!BY481</f>
        <v>-651</v>
      </c>
      <c r="R57" s="439">
        <f>'Income Statement'!CD481</f>
        <v>-452</v>
      </c>
      <c r="S57" s="439">
        <f>'Income Statement'!CI481</f>
        <v>-481</v>
      </c>
      <c r="T57" s="439">
        <f>'Income Statement'!CN481</f>
        <v>-506</v>
      </c>
      <c r="U57" s="439">
        <f>'Income Statement'!CQ481</f>
        <v>-582.29786590864785</v>
      </c>
      <c r="V57" s="439">
        <f>'Income Statement'!CR481</f>
        <v>-607.75945221772884</v>
      </c>
      <c r="W57" s="439">
        <f>'Income Statement'!CS481</f>
        <v>-644.42530994507149</v>
      </c>
      <c r="X57" s="439">
        <f>'Income Statement'!CT481</f>
        <v>-684.17911150345446</v>
      </c>
      <c r="Y57" s="439">
        <f>'Income Statement'!CU481</f>
        <v>-727.43730885866671</v>
      </c>
      <c r="Z57" s="439">
        <f>'Income Statement'!CV481</f>
        <v>-768.43018778106273</v>
      </c>
      <c r="AA57" s="439">
        <f>'Income Statement'!CW481</f>
        <v>-816.86571219364487</v>
      </c>
      <c r="AB57" s="246"/>
      <c r="AC57" s="159"/>
      <c r="AD57" s="159"/>
      <c r="AE57" s="159"/>
      <c r="AF57" s="159"/>
      <c r="AG57" s="159"/>
      <c r="AH57" s="159"/>
      <c r="AI57" s="159"/>
      <c r="BZ57" s="286"/>
      <c r="CA57" s="287"/>
    </row>
    <row r="58" spans="1:79" s="163" customFormat="1" ht="13">
      <c r="A58" s="226" t="s">
        <v>136</v>
      </c>
      <c r="B58" s="505"/>
      <c r="C58" s="505">
        <v>-496.50000000000006</v>
      </c>
      <c r="D58" s="505">
        <v>-385</v>
      </c>
      <c r="E58" s="439">
        <f t="shared" ref="E58:P58" si="173">E169</f>
        <v>-225</v>
      </c>
      <c r="F58" s="439">
        <f t="shared" si="173"/>
        <v>-169</v>
      </c>
      <c r="G58" s="439">
        <f t="shared" si="173"/>
        <v>36.512272727272801</v>
      </c>
      <c r="H58" s="439">
        <f t="shared" si="173"/>
        <v>-253.5122727272728</v>
      </c>
      <c r="I58" s="439">
        <f t="shared" si="173"/>
        <v>548</v>
      </c>
      <c r="J58" s="439">
        <f t="shared" si="173"/>
        <v>10</v>
      </c>
      <c r="K58" s="439">
        <f t="shared" si="173"/>
        <v>-220</v>
      </c>
      <c r="L58" s="439">
        <f t="shared" si="173"/>
        <v>-333</v>
      </c>
      <c r="M58" s="439">
        <f t="shared" si="173"/>
        <v>357</v>
      </c>
      <c r="N58" s="439">
        <f t="shared" si="173"/>
        <v>13</v>
      </c>
      <c r="O58" s="439">
        <f t="shared" si="173"/>
        <v>-14</v>
      </c>
      <c r="P58" s="439">
        <f t="shared" si="173"/>
        <v>332</v>
      </c>
      <c r="Q58" s="439">
        <f t="shared" ref="Q58:R58" si="174">Q169</f>
        <v>-561</v>
      </c>
      <c r="R58" s="439">
        <f t="shared" si="174"/>
        <v>1</v>
      </c>
      <c r="S58" s="439">
        <f t="shared" ref="S58:T58" si="175">S169</f>
        <v>80</v>
      </c>
      <c r="T58" s="439">
        <f t="shared" si="175"/>
        <v>-34</v>
      </c>
      <c r="U58" s="439">
        <f>U169</f>
        <v>-50.630121442028454</v>
      </c>
      <c r="V58" s="439">
        <f t="shared" ref="V58:W58" si="176">V169</f>
        <v>-58.992535890515299</v>
      </c>
      <c r="W58" s="439">
        <f t="shared" si="176"/>
        <v>-59.79576275715408</v>
      </c>
      <c r="X58" s="439">
        <f t="shared" ref="X58:AA58" si="177">X169</f>
        <v>-58.821841402358487</v>
      </c>
      <c r="Y58" s="439">
        <f t="shared" si="177"/>
        <v>-61.300828546835376</v>
      </c>
      <c r="Z58" s="439">
        <f t="shared" si="177"/>
        <v>-61.797594246651329</v>
      </c>
      <c r="AA58" s="439">
        <f t="shared" si="177"/>
        <v>-62.189827478250677</v>
      </c>
      <c r="AB58" s="246"/>
      <c r="AC58" s="159"/>
      <c r="AD58" s="159"/>
      <c r="AE58" s="159"/>
      <c r="AF58" s="159"/>
      <c r="AG58" s="159"/>
      <c r="AH58" s="159"/>
      <c r="AI58" s="159"/>
      <c r="BZ58" s="286"/>
      <c r="CA58" s="287"/>
    </row>
    <row r="59" spans="1:79" s="163" customFormat="1" ht="13">
      <c r="A59" s="226" t="s">
        <v>137</v>
      </c>
      <c r="B59" s="505">
        <v>0</v>
      </c>
      <c r="C59" s="505">
        <v>0</v>
      </c>
      <c r="D59" s="505">
        <v>0</v>
      </c>
      <c r="E59" s="505">
        <v>0</v>
      </c>
      <c r="F59" s="505">
        <v>0</v>
      </c>
      <c r="G59" s="505">
        <v>0</v>
      </c>
      <c r="H59" s="505">
        <v>0</v>
      </c>
      <c r="I59" s="505">
        <v>0</v>
      </c>
      <c r="J59" s="505">
        <v>0</v>
      </c>
      <c r="K59" s="505">
        <v>0</v>
      </c>
      <c r="L59" s="505">
        <v>0</v>
      </c>
      <c r="M59" s="505">
        <v>0</v>
      </c>
      <c r="N59" s="505">
        <v>0</v>
      </c>
      <c r="O59" s="505">
        <v>0</v>
      </c>
      <c r="P59" s="505">
        <v>0</v>
      </c>
      <c r="Q59" s="505"/>
      <c r="R59" s="505"/>
      <c r="S59" s="505"/>
      <c r="T59" s="505"/>
      <c r="U59" s="505"/>
      <c r="V59" s="505"/>
      <c r="W59" s="505"/>
      <c r="X59" s="505"/>
      <c r="Y59" s="505"/>
      <c r="Z59" s="505"/>
      <c r="AA59" s="505"/>
      <c r="AB59" s="246"/>
      <c r="AC59" s="159"/>
      <c r="AD59" s="159"/>
      <c r="AE59" s="159"/>
      <c r="AF59" s="159"/>
      <c r="AG59" s="159"/>
      <c r="AH59" s="159"/>
      <c r="AI59" s="159"/>
      <c r="BZ59" s="286"/>
      <c r="CA59" s="287"/>
    </row>
    <row r="60" spans="1:79" s="163" customFormat="1" ht="13">
      <c r="A60" s="226" t="s">
        <v>138</v>
      </c>
      <c r="B60" s="505">
        <v>0</v>
      </c>
      <c r="C60" s="505">
        <v>0</v>
      </c>
      <c r="D60" s="505">
        <v>0</v>
      </c>
      <c r="E60" s="505">
        <v>0</v>
      </c>
      <c r="F60" s="505">
        <v>0</v>
      </c>
      <c r="G60" s="505">
        <v>0</v>
      </c>
      <c r="H60" s="505">
        <v>0</v>
      </c>
      <c r="I60" s="505">
        <v>0</v>
      </c>
      <c r="J60" s="505">
        <v>0</v>
      </c>
      <c r="K60" s="505">
        <v>0</v>
      </c>
      <c r="L60" s="505">
        <v>0</v>
      </c>
      <c r="M60" s="505">
        <v>0</v>
      </c>
      <c r="N60" s="505">
        <v>0</v>
      </c>
      <c r="O60" s="505">
        <v>0</v>
      </c>
      <c r="P60" s="505">
        <v>0</v>
      </c>
      <c r="Q60" s="505"/>
      <c r="R60" s="505"/>
      <c r="S60" s="505"/>
      <c r="T60" s="505"/>
      <c r="U60" s="505"/>
      <c r="V60" s="505"/>
      <c r="W60" s="505"/>
      <c r="X60" s="505"/>
      <c r="Y60" s="505"/>
      <c r="Z60" s="505"/>
      <c r="AA60" s="505"/>
      <c r="AB60" s="246"/>
      <c r="AC60" s="159"/>
      <c r="AD60" s="159"/>
      <c r="AE60" s="159"/>
      <c r="AF60" s="159"/>
      <c r="AG60" s="159"/>
      <c r="AH60" s="159"/>
      <c r="AI60" s="159"/>
      <c r="BZ60" s="286"/>
      <c r="CA60" s="287"/>
    </row>
    <row r="61" spans="1:79" s="163" customFormat="1" ht="13">
      <c r="A61" s="226" t="s">
        <v>139</v>
      </c>
      <c r="B61" s="439">
        <f t="shared" ref="B61:C61" si="178">B256</f>
        <v>0</v>
      </c>
      <c r="C61" s="439">
        <f t="shared" si="178"/>
        <v>0</v>
      </c>
      <c r="D61" s="663">
        <v>-2555</v>
      </c>
      <c r="E61" s="663">
        <v>-3000</v>
      </c>
      <c r="F61" s="663">
        <v>-3000</v>
      </c>
      <c r="G61" s="663">
        <v>-3000</v>
      </c>
      <c r="H61" s="663">
        <v>-3000</v>
      </c>
      <c r="I61" s="663">
        <v>-3000</v>
      </c>
      <c r="J61" s="663">
        <v>-2325.0000000000005</v>
      </c>
      <c r="K61" s="663">
        <v>-1500</v>
      </c>
      <c r="L61" s="663">
        <v>-1532.096</v>
      </c>
      <c r="M61" s="663">
        <v>-1563.0229999999999</v>
      </c>
      <c r="N61" s="663">
        <v>-1564</v>
      </c>
      <c r="O61" s="663">
        <v>-1330</v>
      </c>
      <c r="P61" s="663">
        <v>-1330</v>
      </c>
      <c r="Q61" s="663">
        <v>-1566</v>
      </c>
      <c r="R61" s="663">
        <v>-1331</v>
      </c>
      <c r="S61" s="663">
        <v>-1253</v>
      </c>
      <c r="T61" s="663">
        <v>-1332</v>
      </c>
      <c r="U61" s="439">
        <f>-'Income Statement'!CQ501*'Income Statement'!CQ504</f>
        <v>-1614.9853056527602</v>
      </c>
      <c r="V61" s="439">
        <f>-'Income Statement'!CR501*'Income Statement'!CR504</f>
        <v>-1732.1144388205273</v>
      </c>
      <c r="W61" s="439">
        <f>-'Income Statement'!CS501*'Income Statement'!CS504</f>
        <v>-1836.6121333434535</v>
      </c>
      <c r="X61" s="439">
        <f>-'Income Statement'!CT501*'Income Statement'!CT504</f>
        <v>-1949.9104677848457</v>
      </c>
      <c r="Y61" s="439">
        <f>-'Income Statement'!CU501*'Income Statement'!CU504</f>
        <v>-2073.1963302472004</v>
      </c>
      <c r="Z61" s="439">
        <f>-'Income Statement'!CV501*'Income Statement'!CV504</f>
        <v>-2190.0260351760289</v>
      </c>
      <c r="AA61" s="439">
        <f>-'Income Statement'!CW501*'Income Statement'!CW504</f>
        <v>-2328.0672797518882</v>
      </c>
      <c r="AB61" s="246"/>
      <c r="AC61" s="159"/>
      <c r="AD61" s="159"/>
      <c r="AE61" s="159"/>
      <c r="AF61" s="159"/>
      <c r="AG61" s="159"/>
      <c r="AH61" s="159"/>
      <c r="AI61" s="159"/>
      <c r="BZ61" s="286"/>
      <c r="CA61" s="287"/>
    </row>
    <row r="62" spans="1:79" s="163" customFormat="1" ht="13">
      <c r="A62" s="226" t="s">
        <v>140</v>
      </c>
      <c r="B62" s="439">
        <v>-8</v>
      </c>
      <c r="C62" s="439"/>
      <c r="D62" s="439"/>
      <c r="E62" s="439"/>
      <c r="F62" s="439"/>
      <c r="G62" s="439"/>
      <c r="H62" s="439"/>
      <c r="I62" s="439"/>
      <c r="J62" s="439"/>
      <c r="K62" s="439"/>
      <c r="L62" s="439"/>
      <c r="M62" s="505">
        <v>0</v>
      </c>
      <c r="N62" s="505">
        <v>0</v>
      </c>
      <c r="O62" s="505"/>
      <c r="P62" s="505"/>
      <c r="Q62" s="505"/>
      <c r="R62" s="505"/>
      <c r="S62" s="505"/>
      <c r="T62" s="505"/>
      <c r="U62" s="505"/>
      <c r="V62" s="505"/>
      <c r="W62" s="505"/>
      <c r="X62" s="505"/>
      <c r="Y62" s="505"/>
      <c r="Z62" s="505"/>
      <c r="AA62" s="505"/>
      <c r="AB62" s="246"/>
      <c r="AC62" s="159"/>
      <c r="AD62" s="159"/>
      <c r="AE62" s="159"/>
      <c r="AF62" s="159"/>
      <c r="AG62" s="159"/>
      <c r="AH62" s="159"/>
      <c r="AI62" s="159"/>
      <c r="BZ62" s="286"/>
      <c r="CA62" s="287"/>
    </row>
    <row r="63" spans="1:79" s="163" customFormat="1" ht="13">
      <c r="A63" s="226" t="s">
        <v>278</v>
      </c>
      <c r="B63" s="439"/>
      <c r="C63" s="439"/>
      <c r="D63" s="439"/>
      <c r="E63" s="439"/>
      <c r="F63" s="439"/>
      <c r="G63" s="439"/>
      <c r="H63" s="439"/>
      <c r="I63" s="439"/>
      <c r="J63" s="439"/>
      <c r="K63" s="505">
        <v>-816.75</v>
      </c>
      <c r="L63" s="505">
        <v>0</v>
      </c>
      <c r="M63" s="505">
        <v>-765.02</v>
      </c>
      <c r="N63" s="505">
        <v>0</v>
      </c>
      <c r="O63" s="505">
        <v>-1075.6500000000001</v>
      </c>
      <c r="P63" s="505">
        <v>0</v>
      </c>
      <c r="Q63" s="505"/>
      <c r="R63" s="505"/>
      <c r="S63" s="505"/>
      <c r="T63" s="505"/>
      <c r="U63" s="505"/>
      <c r="V63" s="505"/>
      <c r="W63" s="505"/>
      <c r="X63" s="505"/>
      <c r="Y63" s="505"/>
      <c r="Z63" s="505"/>
      <c r="AA63" s="505"/>
      <c r="AB63" s="246"/>
      <c r="AC63" s="159"/>
      <c r="AD63" s="159"/>
      <c r="AE63" s="159"/>
      <c r="AF63" s="159"/>
      <c r="AG63" s="159"/>
      <c r="AH63" s="159"/>
      <c r="AI63" s="159"/>
      <c r="BZ63" s="286"/>
      <c r="CA63" s="287"/>
    </row>
    <row r="64" spans="1:79" s="163" customFormat="1" ht="13">
      <c r="A64" s="226" t="s">
        <v>141</v>
      </c>
      <c r="B64" s="505"/>
      <c r="C64" s="505"/>
      <c r="D64" s="505"/>
      <c r="E64" s="505">
        <v>618</v>
      </c>
      <c r="F64" s="505">
        <v>-444</v>
      </c>
      <c r="G64" s="505"/>
      <c r="H64" s="505">
        <v>-80</v>
      </c>
      <c r="I64" s="505">
        <v>-195</v>
      </c>
      <c r="J64" s="505">
        <v>-797</v>
      </c>
      <c r="K64" s="505">
        <v>2</v>
      </c>
      <c r="L64" s="505">
        <f t="shared" ref="L64:S64" si="179">-L44-SUM(L55:L63)</f>
        <v>1896.096</v>
      </c>
      <c r="M64" s="505">
        <f t="shared" si="179"/>
        <v>59.561000000000377</v>
      </c>
      <c r="N64" s="505">
        <f t="shared" si="179"/>
        <v>-1539.2390000000005</v>
      </c>
      <c r="O64" s="505">
        <f t="shared" si="179"/>
        <v>61.650000000000091</v>
      </c>
      <c r="P64" s="505">
        <f t="shared" si="179"/>
        <v>-695</v>
      </c>
      <c r="Q64" s="505">
        <f t="shared" si="179"/>
        <v>32</v>
      </c>
      <c r="R64" s="505">
        <f t="shared" si="179"/>
        <v>-885</v>
      </c>
      <c r="S64" s="505">
        <f t="shared" si="179"/>
        <v>-969</v>
      </c>
      <c r="T64" s="505">
        <f t="shared" ref="T64" si="180">-T44-SUM(T55:T63)</f>
        <v>-736</v>
      </c>
      <c r="U64" s="439">
        <f t="shared" ref="U64:AA64" si="181">-U94-U106+U229</f>
        <v>-219.0585944575258</v>
      </c>
      <c r="V64" s="439">
        <f t="shared" si="181"/>
        <v>-217.30929988907019</v>
      </c>
      <c r="W64" s="439">
        <f t="shared" si="181"/>
        <v>-215.35666502976989</v>
      </c>
      <c r="X64" s="439">
        <f t="shared" si="181"/>
        <v>-213.20621892524332</v>
      </c>
      <c r="Y64" s="439">
        <f t="shared" si="181"/>
        <v>-211.0772461215214</v>
      </c>
      <c r="Z64" s="439">
        <f t="shared" si="181"/>
        <v>-207.91414596613942</v>
      </c>
      <c r="AA64" s="439">
        <f t="shared" si="181"/>
        <v>-203.75887574952941</v>
      </c>
      <c r="AB64" s="365"/>
      <c r="AC64" s="159"/>
      <c r="AD64" s="159"/>
      <c r="AE64" s="159"/>
      <c r="AF64" s="159"/>
      <c r="AG64" s="159"/>
      <c r="AH64" s="159"/>
      <c r="AI64" s="159"/>
      <c r="BZ64" s="286"/>
      <c r="CA64" s="287"/>
    </row>
    <row r="65" spans="1:79" s="163" customFormat="1" ht="13">
      <c r="A65" s="283" t="s">
        <v>131</v>
      </c>
      <c r="B65" s="487">
        <f t="shared" ref="B65:AA65" si="182">SUM(B55:B64)</f>
        <v>2261.6</v>
      </c>
      <c r="C65" s="487">
        <f t="shared" si="182"/>
        <v>2906.8000000000006</v>
      </c>
      <c r="D65" s="487">
        <f t="shared" si="182"/>
        <v>420</v>
      </c>
      <c r="E65" s="487">
        <f t="shared" si="182"/>
        <v>-683</v>
      </c>
      <c r="F65" s="487">
        <f t="shared" si="182"/>
        <v>-880</v>
      </c>
      <c r="G65" s="487">
        <f t="shared" si="182"/>
        <v>-598.48772727272717</v>
      </c>
      <c r="H65" s="487">
        <f t="shared" si="182"/>
        <v>-679.51227272727283</v>
      </c>
      <c r="I65" s="487">
        <f t="shared" si="182"/>
        <v>-752.4381259346228</v>
      </c>
      <c r="J65" s="487">
        <f t="shared" si="182"/>
        <v>-1115.0000000000005</v>
      </c>
      <c r="K65" s="487">
        <f t="shared" si="182"/>
        <v>-599.75</v>
      </c>
      <c r="L65" s="487">
        <f t="shared" si="182"/>
        <v>2138</v>
      </c>
      <c r="M65" s="487">
        <f t="shared" si="182"/>
        <v>-35.760999999999513</v>
      </c>
      <c r="N65" s="487">
        <f t="shared" si="182"/>
        <v>-1285.2390000000005</v>
      </c>
      <c r="O65" s="487">
        <f t="shared" si="182"/>
        <v>-663</v>
      </c>
      <c r="P65" s="487">
        <f t="shared" si="182"/>
        <v>129</v>
      </c>
      <c r="Q65" s="487">
        <f t="shared" si="182"/>
        <v>-338</v>
      </c>
      <c r="R65" s="487">
        <f t="shared" si="182"/>
        <v>34</v>
      </c>
      <c r="S65" s="487">
        <f t="shared" si="182"/>
        <v>378</v>
      </c>
      <c r="T65" s="487">
        <f t="shared" ref="T65" si="183">SUM(T55:T64)</f>
        <v>303</v>
      </c>
      <c r="U65" s="487">
        <f t="shared" si="182"/>
        <v>527.81523786006198</v>
      </c>
      <c r="V65" s="487">
        <f t="shared" si="182"/>
        <v>622.83481131751637</v>
      </c>
      <c r="W65" s="487">
        <f t="shared" si="182"/>
        <v>621.01129881171755</v>
      </c>
      <c r="X65" s="487">
        <f t="shared" si="182"/>
        <v>615.73854852313593</v>
      </c>
      <c r="Y65" s="487">
        <f t="shared" si="182"/>
        <v>590.6085917324541</v>
      </c>
      <c r="Z65" s="487">
        <f t="shared" si="182"/>
        <v>578.15183648561219</v>
      </c>
      <c r="AA65" s="487">
        <f t="shared" si="182"/>
        <v>160.85033390372945</v>
      </c>
      <c r="AB65" s="445"/>
      <c r="AC65" s="159"/>
      <c r="AD65" s="159"/>
      <c r="AE65" s="159"/>
      <c r="AF65" s="159"/>
      <c r="AG65" s="159"/>
      <c r="AH65" s="159"/>
      <c r="AI65" s="159"/>
      <c r="BZ65" s="286"/>
      <c r="CA65" s="287"/>
    </row>
    <row r="66" spans="1:79" s="163" customFormat="1" ht="13">
      <c r="A66" s="279" t="s">
        <v>142</v>
      </c>
      <c r="B66" s="508"/>
      <c r="C66" s="508"/>
      <c r="D66" s="508">
        <v>3874</v>
      </c>
      <c r="E66" s="508">
        <f t="shared" ref="E66:N66" si="184">D66-E65</f>
        <v>4557</v>
      </c>
      <c r="F66" s="508">
        <f t="shared" si="184"/>
        <v>5437</v>
      </c>
      <c r="G66" s="508">
        <f t="shared" si="184"/>
        <v>6035.4877272727272</v>
      </c>
      <c r="H66" s="508">
        <f t="shared" si="184"/>
        <v>6715</v>
      </c>
      <c r="I66" s="508">
        <f t="shared" si="184"/>
        <v>7467.4381259346228</v>
      </c>
      <c r="J66" s="508">
        <f t="shared" si="184"/>
        <v>8582.4381259346228</v>
      </c>
      <c r="K66" s="508">
        <f t="shared" si="184"/>
        <v>9182.1881259346228</v>
      </c>
      <c r="L66" s="508">
        <f>K66-L65</f>
        <v>7044.1881259346228</v>
      </c>
      <c r="M66" s="508">
        <f t="shared" si="184"/>
        <v>7079.9491259346223</v>
      </c>
      <c r="N66" s="508">
        <f t="shared" si="184"/>
        <v>8365.1881259346228</v>
      </c>
      <c r="O66" s="508">
        <f t="shared" ref="O66" si="185">N66-O65</f>
        <v>9028.1881259346228</v>
      </c>
      <c r="P66" s="508">
        <f t="shared" ref="P66" si="186">O66-P65</f>
        <v>8899.1881259346228</v>
      </c>
      <c r="Q66" s="508">
        <f t="shared" ref="Q66" si="187">P66-Q65</f>
        <v>9237.1881259346228</v>
      </c>
      <c r="R66" s="508">
        <f t="shared" ref="R66" si="188">Q66-R65</f>
        <v>9203.1881259346228</v>
      </c>
      <c r="S66" s="508">
        <f t="shared" ref="S66:W66" si="189">R66-S65</f>
        <v>8825.1881259346228</v>
      </c>
      <c r="T66" s="508">
        <f t="shared" si="189"/>
        <v>8522.1881259346228</v>
      </c>
      <c r="U66" s="508">
        <f t="shared" si="189"/>
        <v>7994.3728880745612</v>
      </c>
      <c r="V66" s="508">
        <f t="shared" si="189"/>
        <v>7371.538076757045</v>
      </c>
      <c r="W66" s="508">
        <f t="shared" si="189"/>
        <v>6750.5267779453279</v>
      </c>
      <c r="X66" s="508">
        <f t="shared" ref="X66" si="190">W66-X65</f>
        <v>6134.7882294221918</v>
      </c>
      <c r="Y66" s="508">
        <f t="shared" ref="Y66" si="191">X66-Y65</f>
        <v>5544.1796376897373</v>
      </c>
      <c r="Z66" s="508">
        <f t="shared" ref="Z66" si="192">Y66-Z65</f>
        <v>4966.0278012041254</v>
      </c>
      <c r="AA66" s="508">
        <f t="shared" ref="AA66" si="193">Z66-AA65</f>
        <v>4805.1774673003956</v>
      </c>
      <c r="AB66" s="445"/>
      <c r="AC66" s="159"/>
      <c r="AD66" s="159"/>
      <c r="AE66" s="159"/>
      <c r="AF66" s="159"/>
      <c r="AG66" s="159"/>
      <c r="AH66" s="159"/>
      <c r="AI66" s="159"/>
      <c r="BZ66" s="286"/>
      <c r="CA66" s="287"/>
    </row>
    <row r="67" spans="1:79" s="163" customFormat="1" ht="13">
      <c r="A67" s="226" t="s">
        <v>143</v>
      </c>
      <c r="B67" s="166"/>
      <c r="C67" s="166"/>
      <c r="D67" s="166">
        <f t="shared" ref="D67:AA67" si="194">D43-D66</f>
        <v>0</v>
      </c>
      <c r="E67" s="166">
        <f t="shared" si="194"/>
        <v>0</v>
      </c>
      <c r="F67" s="166">
        <f t="shared" si="194"/>
        <v>0</v>
      </c>
      <c r="G67" s="166">
        <f t="shared" si="194"/>
        <v>0.37806818181798008</v>
      </c>
      <c r="H67" s="166">
        <f t="shared" si="194"/>
        <v>0</v>
      </c>
      <c r="I67" s="166">
        <f t="shared" si="194"/>
        <v>-0.43812593462280347</v>
      </c>
      <c r="J67" s="166">
        <f t="shared" si="194"/>
        <v>-0.43812593462280347</v>
      </c>
      <c r="K67" s="166">
        <f t="shared" si="194"/>
        <v>-0.18812593462280347</v>
      </c>
      <c r="L67" s="166">
        <f t="shared" si="194"/>
        <v>-0.18812593462280347</v>
      </c>
      <c r="M67" s="166">
        <f t="shared" si="194"/>
        <v>-0.18812593462280347</v>
      </c>
      <c r="N67" s="166">
        <f t="shared" si="194"/>
        <v>-0.18812593462280347</v>
      </c>
      <c r="O67" s="166">
        <f t="shared" si="194"/>
        <v>-0.18812593462280347</v>
      </c>
      <c r="P67" s="168">
        <f t="shared" si="194"/>
        <v>-0.18812593462280347</v>
      </c>
      <c r="Q67" s="168">
        <f t="shared" si="194"/>
        <v>-0.18812593462280347</v>
      </c>
      <c r="R67" s="168">
        <f t="shared" si="194"/>
        <v>-0.18812593462280347</v>
      </c>
      <c r="S67" s="166">
        <f t="shared" si="194"/>
        <v>-0.18812593462280347</v>
      </c>
      <c r="T67" s="166">
        <f t="shared" ref="T67" si="195">T43-T66</f>
        <v>-0.18812593462280347</v>
      </c>
      <c r="U67" s="166">
        <f t="shared" si="194"/>
        <v>0</v>
      </c>
      <c r="V67" s="166">
        <f t="shared" si="194"/>
        <v>0</v>
      </c>
      <c r="W67" s="166">
        <f t="shared" si="194"/>
        <v>0</v>
      </c>
      <c r="X67" s="166">
        <f t="shared" si="194"/>
        <v>0</v>
      </c>
      <c r="Y67" s="166">
        <f t="shared" si="194"/>
        <v>0</v>
      </c>
      <c r="Z67" s="166">
        <f t="shared" si="194"/>
        <v>0</v>
      </c>
      <c r="AA67" s="166">
        <f t="shared" si="194"/>
        <v>0</v>
      </c>
      <c r="AB67" s="213"/>
      <c r="AC67" s="159"/>
      <c r="AD67" s="159"/>
      <c r="AE67" s="159"/>
      <c r="AF67" s="159"/>
      <c r="AG67" s="159"/>
      <c r="AH67" s="159"/>
      <c r="AI67" s="159"/>
      <c r="BZ67" s="286"/>
      <c r="CA67" s="287"/>
    </row>
    <row r="68" spans="1:79" s="163" customFormat="1" ht="13">
      <c r="A68" s="226"/>
      <c r="AC68" s="159"/>
      <c r="AD68" s="162"/>
      <c r="AF68" s="162"/>
      <c r="AG68" s="162"/>
      <c r="AH68" s="162"/>
      <c r="AI68" s="162"/>
      <c r="AJ68" s="162"/>
      <c r="AK68" s="162"/>
      <c r="AL68" s="162"/>
      <c r="AM68" s="162"/>
      <c r="BZ68" s="286"/>
      <c r="CA68" s="287"/>
    </row>
    <row r="69" spans="1:79" s="163" customFormat="1" ht="13">
      <c r="A69" s="279" t="s">
        <v>144</v>
      </c>
      <c r="B69" s="446"/>
      <c r="C69" s="446">
        <f>C66/'Income Statement'!G453</f>
        <v>0</v>
      </c>
      <c r="D69" s="446">
        <f>D66/'Income Statement'!L453</f>
        <v>0.91800947867298577</v>
      </c>
      <c r="E69" s="446">
        <f>E66/'Income Statement'!Q453</f>
        <v>1.0319293478260869</v>
      </c>
      <c r="F69" s="446">
        <f>F66/'Income Statement'!V453</f>
        <v>1.2292561609767125</v>
      </c>
      <c r="G69" s="446">
        <f>G66/'Income Statement'!AA453</f>
        <v>1.384603745646416</v>
      </c>
      <c r="H69" s="446">
        <f>H66/'Income Statement'!AF453</f>
        <v>1.4849624060150375</v>
      </c>
      <c r="I69" s="446">
        <f>I66/'Income Statement'!AK453</f>
        <v>1.8158652595322669</v>
      </c>
      <c r="J69" s="446">
        <f>J66/'Income Statement'!AP453</f>
        <v>1.9390958260132451</v>
      </c>
      <c r="K69" s="446">
        <f>K66/'Income Statement'!AU453</f>
        <v>2.0395797703097784</v>
      </c>
      <c r="L69" s="446">
        <f>L66/'Income Statement'!AZ453</f>
        <v>1.6791866807949041</v>
      </c>
      <c r="M69" s="446">
        <f>M66/'Income Statement'!BE453</f>
        <v>1.842297456657461</v>
      </c>
      <c r="N69" s="446">
        <f>N66/'Income Statement'!BJ453</f>
        <v>2.1307152638651612</v>
      </c>
      <c r="O69" s="446">
        <f>O66/'Income Statement'!BO453</f>
        <v>2.3671180193850612</v>
      </c>
      <c r="P69" s="446">
        <f>P66/'Income Statement'!BT453</f>
        <v>2.2959721687137828</v>
      </c>
      <c r="Q69" s="446">
        <f>Q66/'Income Statement'!BY453</f>
        <v>2.3510277744806878</v>
      </c>
      <c r="R69" s="446">
        <f>R66/'Income Statement'!CD453</f>
        <v>2.324037405539046</v>
      </c>
      <c r="S69" s="446">
        <f>S66/'Income Statement'!CI453</f>
        <v>2.140996634142315</v>
      </c>
      <c r="T69" s="446">
        <f>T66/'Income Statement'!CJ453</f>
        <v>8.0779034369048563</v>
      </c>
      <c r="U69" s="446">
        <f>U66/'Income Statement'!CQ453</f>
        <v>1.768043343908565</v>
      </c>
      <c r="V69" s="446">
        <f>V66/'Income Statement'!CR453</f>
        <v>1.5843316379737276</v>
      </c>
      <c r="W69" s="446">
        <f>W66/'Income Statement'!CS453</f>
        <v>1.4114386360316289</v>
      </c>
      <c r="X69" s="446">
        <f>X66/'Income Statement'!CT453</f>
        <v>1.2467529098479662</v>
      </c>
      <c r="Y69" s="446">
        <f>Y66/'Income Statement'!CU453</f>
        <v>1.0967594577768143</v>
      </c>
      <c r="Z69" s="446">
        <f>Z66/'Income Statement'!CV453</f>
        <v>0.95645414296542952</v>
      </c>
      <c r="AA69" s="446">
        <f>AA66/'Income Statement'!CW453</f>
        <v>0.9011840611800801</v>
      </c>
      <c r="AB69" s="219"/>
      <c r="AC69" s="159"/>
      <c r="AD69" s="365"/>
      <c r="AF69" s="365"/>
      <c r="AG69" s="365"/>
      <c r="AH69" s="365"/>
      <c r="AI69" s="365"/>
      <c r="AJ69" s="292"/>
      <c r="AK69" s="292"/>
      <c r="AL69" s="292"/>
      <c r="AM69" s="292"/>
      <c r="BZ69" s="286"/>
      <c r="CA69" s="287"/>
    </row>
    <row r="70" spans="1:79" s="163" customFormat="1" ht="13">
      <c r="A70" s="226"/>
      <c r="B70" s="292"/>
      <c r="C70" s="292"/>
      <c r="D70" s="292"/>
      <c r="E70" s="292"/>
      <c r="F70" s="292"/>
      <c r="G70" s="292"/>
      <c r="H70" s="292"/>
      <c r="I70" s="292"/>
      <c r="J70" s="292"/>
      <c r="K70" s="292"/>
      <c r="L70" s="292"/>
      <c r="M70" s="292"/>
      <c r="N70" s="292"/>
      <c r="O70" s="292"/>
      <c r="P70" s="292"/>
      <c r="Q70" s="292"/>
      <c r="R70" s="292"/>
      <c r="S70" s="292"/>
      <c r="T70" s="292"/>
      <c r="U70" s="292"/>
      <c r="V70" s="292"/>
      <c r="W70" s="292"/>
      <c r="X70" s="292"/>
      <c r="Y70" s="292"/>
      <c r="Z70" s="292"/>
      <c r="AA70" s="292"/>
      <c r="AB70" s="292"/>
      <c r="AC70" s="159"/>
      <c r="AD70" s="365"/>
      <c r="AE70" s="365"/>
      <c r="AF70" s="365"/>
      <c r="AG70" s="365"/>
      <c r="AH70" s="365"/>
      <c r="AI70" s="365"/>
      <c r="AJ70" s="292"/>
      <c r="AK70" s="292"/>
      <c r="AL70" s="292"/>
      <c r="AM70" s="292"/>
      <c r="BZ70" s="286"/>
      <c r="CA70" s="287"/>
    </row>
    <row r="71" spans="1:79" s="163" customFormat="1" ht="13">
      <c r="A71" s="199" t="s">
        <v>277</v>
      </c>
      <c r="B71" s="199">
        <f>B54</f>
        <v>2007</v>
      </c>
      <c r="C71" s="199">
        <f t="shared" ref="C71:Q71" si="196">B71+1</f>
        <v>2008</v>
      </c>
      <c r="D71" s="199">
        <f t="shared" si="196"/>
        <v>2009</v>
      </c>
      <c r="E71" s="199">
        <f t="shared" si="196"/>
        <v>2010</v>
      </c>
      <c r="F71" s="199">
        <f t="shared" si="196"/>
        <v>2011</v>
      </c>
      <c r="G71" s="199">
        <f t="shared" si="196"/>
        <v>2012</v>
      </c>
      <c r="H71" s="199">
        <f t="shared" si="196"/>
        <v>2013</v>
      </c>
      <c r="I71" s="199">
        <f t="shared" si="196"/>
        <v>2014</v>
      </c>
      <c r="J71" s="199">
        <f t="shared" si="196"/>
        <v>2015</v>
      </c>
      <c r="K71" s="199">
        <f t="shared" si="196"/>
        <v>2016</v>
      </c>
      <c r="L71" s="199">
        <f t="shared" si="196"/>
        <v>2017</v>
      </c>
      <c r="M71" s="199">
        <f t="shared" si="196"/>
        <v>2018</v>
      </c>
      <c r="N71" s="199">
        <f t="shared" si="196"/>
        <v>2019</v>
      </c>
      <c r="O71" s="199">
        <f t="shared" si="196"/>
        <v>2020</v>
      </c>
      <c r="P71" s="199">
        <f t="shared" si="196"/>
        <v>2021</v>
      </c>
      <c r="Q71" s="199">
        <f t="shared" si="196"/>
        <v>2022</v>
      </c>
      <c r="R71" s="199">
        <f t="shared" ref="R71:W71" si="197">Q71+1</f>
        <v>2023</v>
      </c>
      <c r="S71" s="199">
        <f t="shared" si="197"/>
        <v>2024</v>
      </c>
      <c r="T71" s="199">
        <f t="shared" si="197"/>
        <v>2025</v>
      </c>
      <c r="U71" s="199">
        <f t="shared" si="197"/>
        <v>2026</v>
      </c>
      <c r="V71" s="199">
        <f t="shared" si="197"/>
        <v>2027</v>
      </c>
      <c r="W71" s="199">
        <f t="shared" si="197"/>
        <v>2028</v>
      </c>
      <c r="X71" s="199">
        <f t="shared" ref="X71" si="198">W71+1</f>
        <v>2029</v>
      </c>
      <c r="Y71" s="199">
        <f t="shared" ref="Y71" si="199">X71+1</f>
        <v>2030</v>
      </c>
      <c r="Z71" s="199">
        <f t="shared" ref="Z71" si="200">Y71+1</f>
        <v>2031</v>
      </c>
      <c r="AA71" s="199">
        <f t="shared" ref="AA71" si="201">Z71+1</f>
        <v>2032</v>
      </c>
      <c r="AB71" s="203"/>
      <c r="AC71" s="159"/>
      <c r="AD71" s="159"/>
      <c r="AE71" s="159"/>
      <c r="AF71" s="159"/>
      <c r="AG71" s="159"/>
      <c r="AH71" s="159"/>
      <c r="AI71" s="159"/>
      <c r="AK71" s="366"/>
      <c r="AL71" s="307"/>
      <c r="AM71" s="307"/>
      <c r="AN71" s="307"/>
      <c r="AO71" s="307"/>
      <c r="AP71" s="307"/>
      <c r="AQ71" s="307"/>
      <c r="AR71" s="307"/>
      <c r="AS71" s="307"/>
      <c r="AT71" s="307"/>
      <c r="BZ71" s="286"/>
      <c r="CA71" s="287"/>
    </row>
    <row r="72" spans="1:79" s="163" customFormat="1" ht="13">
      <c r="A72" s="203" t="s">
        <v>94</v>
      </c>
      <c r="B72" s="447"/>
      <c r="C72" s="447"/>
      <c r="D72" s="447"/>
      <c r="E72" s="447"/>
      <c r="F72" s="447"/>
      <c r="G72" s="447"/>
      <c r="H72" s="447"/>
      <c r="I72" s="447"/>
      <c r="J72" s="447"/>
      <c r="K72" s="448"/>
      <c r="L72" s="448"/>
      <c r="M72" s="448"/>
      <c r="N72" s="448"/>
      <c r="O72" s="448"/>
      <c r="P72" s="448"/>
      <c r="Q72" s="448"/>
      <c r="R72" s="448"/>
      <c r="S72" s="448"/>
      <c r="T72" s="448"/>
      <c r="U72" s="448"/>
      <c r="V72" s="448"/>
      <c r="W72" s="448"/>
      <c r="X72" s="448"/>
      <c r="Y72" s="448"/>
      <c r="Z72" s="448"/>
      <c r="AA72" s="448"/>
      <c r="AB72" s="448"/>
      <c r="AC72" s="159"/>
      <c r="AD72" s="159"/>
      <c r="AE72" s="159"/>
      <c r="AF72" s="159"/>
      <c r="AG72" s="159"/>
      <c r="AH72" s="159"/>
      <c r="AI72" s="159"/>
      <c r="AK72" s="366"/>
      <c r="AL72" s="307"/>
      <c r="AM72" s="307"/>
      <c r="AN72" s="307"/>
      <c r="AO72" s="307"/>
      <c r="AP72" s="307"/>
      <c r="AQ72" s="307"/>
      <c r="AR72" s="307"/>
      <c r="AS72" s="307"/>
      <c r="AT72" s="307"/>
      <c r="BZ72" s="286"/>
      <c r="CA72" s="287"/>
    </row>
    <row r="73" spans="1:79" s="163" customFormat="1" ht="13">
      <c r="A73" s="235" t="s">
        <v>95</v>
      </c>
      <c r="B73" s="449">
        <v>1123.8</v>
      </c>
      <c r="C73" s="449">
        <v>802.8</v>
      </c>
      <c r="D73" s="449">
        <v>590</v>
      </c>
      <c r="E73" s="449">
        <v>1444</v>
      </c>
      <c r="F73" s="449">
        <v>989</v>
      </c>
      <c r="G73" s="449">
        <v>990</v>
      </c>
      <c r="H73" s="449">
        <v>815</v>
      </c>
      <c r="I73" s="449">
        <v>1140</v>
      </c>
      <c r="J73" s="449">
        <v>1304</v>
      </c>
      <c r="K73" s="450">
        <f>'Income Statement'!AU508</f>
        <v>1189</v>
      </c>
      <c r="L73" s="450">
        <f>'Income Statement'!AZ508</f>
        <v>1028</v>
      </c>
      <c r="M73" s="450">
        <f>'Income Statement'!BE508</f>
        <v>1038</v>
      </c>
      <c r="N73" s="450">
        <f>'Income Statement'!BJ508</f>
        <v>1213</v>
      </c>
      <c r="O73" s="450">
        <f>'Income Statement'!BO508</f>
        <v>1245</v>
      </c>
      <c r="P73" s="450">
        <f>'Income Statement'!BT508</f>
        <v>1187</v>
      </c>
      <c r="Q73" s="450">
        <f>'Income Statement'!BY508</f>
        <v>1114</v>
      </c>
      <c r="R73" s="450">
        <f>'Income Statement'!CD508</f>
        <v>813</v>
      </c>
      <c r="S73" s="450">
        <f>'Income Statement'!CI508</f>
        <v>674</v>
      </c>
      <c r="T73" s="450">
        <f>'Income Statement'!CN508</f>
        <v>986</v>
      </c>
      <c r="U73" s="382">
        <f>'Income Statement'!CQ432*'Balance Sheet and Cflow'!U74</f>
        <v>1094.558857979579</v>
      </c>
      <c r="V73" s="382">
        <f>'Income Statement'!CR432*'Balance Sheet and Cflow'!V74</f>
        <v>1009.534532260039</v>
      </c>
      <c r="W73" s="382">
        <f>'Income Statement'!CS432*'Balance Sheet and Cflow'!W74</f>
        <v>1034.2470765174933</v>
      </c>
      <c r="X73" s="382">
        <f>'Income Statement'!CT432*'Balance Sheet and Cflow'!X74</f>
        <v>1060.3356434492387</v>
      </c>
      <c r="Y73" s="382">
        <f>'Income Statement'!CU432*'Balance Sheet and Cflow'!Y74</f>
        <v>1085.6165288458519</v>
      </c>
      <c r="Z73" s="382">
        <f>'Income Statement'!CV432*'Balance Sheet and Cflow'!Z74</f>
        <v>1111.260654890877</v>
      </c>
      <c r="AA73" s="382">
        <f>'Income Statement'!CW432*'Balance Sheet and Cflow'!AA74</f>
        <v>1516.4251017295933</v>
      </c>
      <c r="AB73" s="382"/>
      <c r="AC73" s="159"/>
      <c r="AD73" s="159"/>
      <c r="AE73" s="159"/>
      <c r="AF73" s="159"/>
      <c r="AG73" s="159"/>
      <c r="AH73" s="159"/>
      <c r="AI73" s="159"/>
      <c r="AK73" s="356"/>
      <c r="AL73" s="451"/>
      <c r="AM73" s="451"/>
      <c r="AN73" s="452"/>
      <c r="AO73" s="452"/>
      <c r="AP73" s="452"/>
      <c r="AQ73" s="452"/>
      <c r="AR73" s="452"/>
      <c r="AS73" s="452"/>
      <c r="AT73" s="452"/>
      <c r="BZ73" s="286"/>
      <c r="CA73" s="287"/>
    </row>
    <row r="74" spans="1:79" s="163" customFormat="1" ht="13">
      <c r="A74" s="226" t="s">
        <v>525</v>
      </c>
      <c r="B74" s="160">
        <f>B73/'Income Statement'!B432</f>
        <v>0.14613784135240571</v>
      </c>
      <c r="C74" s="160">
        <f>C73/'Income Statement'!G432</f>
        <v>9.5007041503449741E-2</v>
      </c>
      <c r="D74" s="160">
        <f>D73/'Income Statement'!L432</f>
        <v>6.8509057129586617E-2</v>
      </c>
      <c r="E74" s="160">
        <f>E73/'Income Statement'!Q432</f>
        <v>0.16281429698951405</v>
      </c>
      <c r="F74" s="160">
        <f>F73/'Income Statement'!V432</f>
        <v>0.11260389388591598</v>
      </c>
      <c r="G74" s="160">
        <f>G73/'Income Statement'!AA432</f>
        <v>0.11148648648648649</v>
      </c>
      <c r="H74" s="160">
        <f>H73/'Income Statement'!AF432</f>
        <v>9.0270981302055353E-2</v>
      </c>
      <c r="I74" s="160">
        <f>I73/'Income Statement'!AK432</f>
        <v>0.13564969062351262</v>
      </c>
      <c r="J74" s="160">
        <f>J73/'Income Statement'!AP432</f>
        <v>0.15161027787466574</v>
      </c>
      <c r="K74" s="204">
        <f>K73/'Income Statement'!AU432</f>
        <v>0.13806316767301441</v>
      </c>
      <c r="L74" s="204">
        <f>L73/'Income Statement'!AZ432</f>
        <v>0.10914109778108079</v>
      </c>
      <c r="M74" s="204">
        <f>M73/'Income Statement'!BE432</f>
        <v>0.1129242819843342</v>
      </c>
      <c r="N74" s="204">
        <f>N73/'Income Statement'!BJ432</f>
        <v>0.13024804037367121</v>
      </c>
      <c r="O74" s="204">
        <f>O73/'Income Statement'!BO432</f>
        <v>0.13885790765112649</v>
      </c>
      <c r="P74" s="185">
        <f>P73/'Income Statement'!BT432</f>
        <v>0.12844930202359053</v>
      </c>
      <c r="Q74" s="185">
        <f>Q73/'Income Statement'!BY432</f>
        <v>0.11380120543467157</v>
      </c>
      <c r="R74" s="185">
        <f>R73/'Income Statement'!CD432</f>
        <v>7.9862475442043224E-2</v>
      </c>
      <c r="S74" s="185">
        <f>S73/'Income Statement'!CI432</f>
        <v>6.3971146545178437E-2</v>
      </c>
      <c r="T74" s="185">
        <f>T73/'Income Statement'!CN432</f>
        <v>9.2712740949694408E-2</v>
      </c>
      <c r="U74" s="980">
        <v>0.1</v>
      </c>
      <c r="V74" s="980">
        <v>0.09</v>
      </c>
      <c r="W74" s="980">
        <v>0.09</v>
      </c>
      <c r="X74" s="980">
        <v>0.09</v>
      </c>
      <c r="Y74" s="980">
        <v>0.09</v>
      </c>
      <c r="Z74" s="980">
        <v>0.09</v>
      </c>
      <c r="AA74" s="980">
        <v>0.12</v>
      </c>
      <c r="AB74" s="453"/>
      <c r="AC74" s="159"/>
      <c r="AD74" s="159"/>
      <c r="AE74" s="159"/>
      <c r="AF74" s="159"/>
      <c r="AG74" s="159"/>
      <c r="AH74" s="159"/>
      <c r="AI74" s="159"/>
      <c r="AK74" s="226"/>
      <c r="AL74" s="307"/>
      <c r="AM74" s="307"/>
      <c r="AN74" s="307"/>
      <c r="AO74" s="307"/>
      <c r="AP74" s="307"/>
      <c r="AQ74" s="307"/>
      <c r="AR74" s="307"/>
      <c r="AS74" s="307"/>
      <c r="AT74" s="307"/>
      <c r="BZ74" s="286"/>
      <c r="CA74" s="287"/>
    </row>
    <row r="75" spans="1:79" s="221" customFormat="1" ht="13">
      <c r="A75" s="235" t="s">
        <v>96</v>
      </c>
      <c r="B75" s="165">
        <f>B73+B72</f>
        <v>1123.8</v>
      </c>
      <c r="C75" s="165">
        <f>C73+C72</f>
        <v>802.8</v>
      </c>
      <c r="D75" s="165">
        <f t="shared" ref="D75:J75" si="202">D73+D72</f>
        <v>590</v>
      </c>
      <c r="E75" s="165">
        <f t="shared" si="202"/>
        <v>1444</v>
      </c>
      <c r="F75" s="165">
        <f t="shared" si="202"/>
        <v>989</v>
      </c>
      <c r="G75" s="165">
        <f t="shared" si="202"/>
        <v>990</v>
      </c>
      <c r="H75" s="165">
        <f t="shared" si="202"/>
        <v>815</v>
      </c>
      <c r="I75" s="165">
        <f t="shared" si="202"/>
        <v>1140</v>
      </c>
      <c r="J75" s="165">
        <f t="shared" si="202"/>
        <v>1304</v>
      </c>
      <c r="K75" s="165">
        <f t="shared" ref="K75:P75" si="203">K73+K72</f>
        <v>1189</v>
      </c>
      <c r="L75" s="165">
        <f>L73+L72</f>
        <v>1028</v>
      </c>
      <c r="M75" s="165">
        <f t="shared" si="203"/>
        <v>1038</v>
      </c>
      <c r="N75" s="165">
        <f>N73+N72</f>
        <v>1213</v>
      </c>
      <c r="O75" s="165">
        <f t="shared" si="203"/>
        <v>1245</v>
      </c>
      <c r="P75" s="165">
        <f t="shared" si="203"/>
        <v>1187</v>
      </c>
      <c r="Q75" s="165">
        <f t="shared" ref="Q75" si="204">Q73+Q72</f>
        <v>1114</v>
      </c>
      <c r="R75" s="165">
        <f t="shared" ref="R75:W75" si="205">R73+R72</f>
        <v>813</v>
      </c>
      <c r="S75" s="165">
        <f t="shared" si="205"/>
        <v>674</v>
      </c>
      <c r="T75" s="165">
        <f t="shared" ref="T75" si="206">T73+T72</f>
        <v>986</v>
      </c>
      <c r="U75" s="165">
        <f t="shared" si="205"/>
        <v>1094.558857979579</v>
      </c>
      <c r="V75" s="165">
        <f t="shared" si="205"/>
        <v>1009.534532260039</v>
      </c>
      <c r="W75" s="165">
        <f t="shared" si="205"/>
        <v>1034.2470765174933</v>
      </c>
      <c r="X75" s="165">
        <f t="shared" ref="X75:AA75" si="207">X73+X72</f>
        <v>1060.3356434492387</v>
      </c>
      <c r="Y75" s="165">
        <f t="shared" si="207"/>
        <v>1085.6165288458519</v>
      </c>
      <c r="Z75" s="165">
        <f t="shared" si="207"/>
        <v>1111.260654890877</v>
      </c>
      <c r="AA75" s="165">
        <f t="shared" si="207"/>
        <v>1516.4251017295933</v>
      </c>
      <c r="AB75" s="165"/>
      <c r="AC75" s="165"/>
      <c r="AD75" s="165"/>
      <c r="AE75" s="165"/>
      <c r="AF75" s="165"/>
      <c r="AG75" s="165"/>
      <c r="AH75" s="165"/>
      <c r="AI75" s="165"/>
      <c r="AK75" s="226"/>
      <c r="AL75" s="307"/>
      <c r="AM75" s="307"/>
      <c r="AN75" s="307"/>
      <c r="AO75" s="307"/>
      <c r="AP75" s="307"/>
      <c r="AQ75" s="307"/>
      <c r="AR75" s="307"/>
      <c r="AS75" s="307"/>
      <c r="AT75" s="307"/>
      <c r="BI75" s="163"/>
      <c r="BJ75" s="163"/>
      <c r="BK75" s="163"/>
      <c r="BL75" s="163"/>
      <c r="BM75" s="163"/>
      <c r="BN75" s="163"/>
      <c r="BO75" s="163"/>
      <c r="BP75" s="163"/>
      <c r="BQ75" s="163"/>
      <c r="BR75" s="163"/>
      <c r="BS75" s="163"/>
      <c r="BT75" s="163"/>
      <c r="BU75" s="163"/>
      <c r="BV75" s="163"/>
      <c r="BW75" s="163"/>
      <c r="BX75" s="163"/>
      <c r="BZ75" s="346"/>
      <c r="CA75" s="347"/>
    </row>
    <row r="76" spans="1:79" s="163" customFormat="1" ht="13">
      <c r="A76" s="226" t="s">
        <v>97</v>
      </c>
      <c r="B76" s="160"/>
      <c r="C76" s="160"/>
      <c r="D76" s="160">
        <f>D75/'Income Statement'!L432</f>
        <v>6.8509057129586617E-2</v>
      </c>
      <c r="E76" s="160">
        <f>E75/'Income Statement'!Q432</f>
        <v>0.16281429698951405</v>
      </c>
      <c r="F76" s="160">
        <f>F75/'Income Statement'!V432</f>
        <v>0.11260389388591598</v>
      </c>
      <c r="G76" s="160">
        <f>G75/'Income Statement'!AA432</f>
        <v>0.11148648648648649</v>
      </c>
      <c r="H76" s="160">
        <f>H75/'Income Statement'!AF432</f>
        <v>9.0270981302055353E-2</v>
      </c>
      <c r="I76" s="160">
        <f>I75/'Income Statement'!AK432</f>
        <v>0.13564969062351262</v>
      </c>
      <c r="J76" s="160">
        <f>J75/'Income Statement'!AP432</f>
        <v>0.15161027787466574</v>
      </c>
      <c r="K76" s="160">
        <f>K75/'Income Statement'!AU432</f>
        <v>0.13806316767301441</v>
      </c>
      <c r="L76" s="160">
        <f>L75/'Income Statement'!AZ432</f>
        <v>0.10914109778108079</v>
      </c>
      <c r="M76" s="160">
        <f>M75/'Income Statement'!BE432</f>
        <v>0.1129242819843342</v>
      </c>
      <c r="N76" s="160">
        <f>N75/'Income Statement'!BF432</f>
        <v>0.5434587813620072</v>
      </c>
      <c r="O76" s="160">
        <f>O75/'Income Statement'!BO432</f>
        <v>0.13885790765112649</v>
      </c>
      <c r="P76" s="161">
        <f>P75/'Income Statement'!BT432</f>
        <v>0.12844930202359053</v>
      </c>
      <c r="Q76" s="161">
        <f>Q75/'Income Statement'!BY432</f>
        <v>0.11380120543467157</v>
      </c>
      <c r="R76" s="161">
        <f>R75/'Income Statement'!CD432</f>
        <v>7.9862475442043224E-2</v>
      </c>
      <c r="S76" s="160">
        <f>S75/'Income Statement'!CI432</f>
        <v>6.3971146545178437E-2</v>
      </c>
      <c r="T76" s="160">
        <f>T75/'Income Statement'!CJ432</f>
        <v>0.37806748466257667</v>
      </c>
      <c r="U76" s="160">
        <f>U75/'Income Statement'!CQ432</f>
        <v>0.1</v>
      </c>
      <c r="V76" s="160">
        <f>V75/'Income Statement'!CR432</f>
        <v>0.09</v>
      </c>
      <c r="W76" s="160">
        <f>W75/'Income Statement'!CS432</f>
        <v>0.09</v>
      </c>
      <c r="X76" s="160">
        <f>X75/'Income Statement'!CT432</f>
        <v>0.09</v>
      </c>
      <c r="Y76" s="160">
        <f>Y75/'Income Statement'!CU432</f>
        <v>9.0000000000000011E-2</v>
      </c>
      <c r="Z76" s="160">
        <f>Z75/'Income Statement'!CV432</f>
        <v>0.09</v>
      </c>
      <c r="AA76" s="160">
        <f>AA75/'Income Statement'!CW432</f>
        <v>0.12</v>
      </c>
      <c r="AB76" s="185"/>
      <c r="AC76" s="159"/>
      <c r="AD76" s="159"/>
      <c r="AE76" s="159"/>
      <c r="AF76" s="159"/>
      <c r="AG76" s="159"/>
      <c r="AH76" s="159"/>
      <c r="AI76" s="159"/>
      <c r="AK76" s="226"/>
      <c r="AL76" s="307"/>
      <c r="AM76" s="307"/>
      <c r="AN76" s="307"/>
      <c r="AO76" s="307"/>
      <c r="AP76" s="307"/>
      <c r="AQ76" s="307"/>
      <c r="AR76" s="307"/>
      <c r="AS76" s="307"/>
      <c r="AT76" s="307"/>
      <c r="BZ76" s="286"/>
      <c r="CA76" s="287"/>
    </row>
    <row r="77" spans="1:79" s="163" customFormat="1" ht="13">
      <c r="A77" s="361"/>
      <c r="B77" s="454"/>
      <c r="C77" s="454"/>
      <c r="D77" s="454"/>
      <c r="E77" s="454"/>
      <c r="F77" s="454"/>
      <c r="G77" s="454"/>
      <c r="H77" s="454"/>
      <c r="I77" s="454"/>
      <c r="J77" s="454"/>
      <c r="K77" s="454"/>
      <c r="L77" s="454"/>
      <c r="M77" s="454"/>
      <c r="N77" s="454"/>
      <c r="O77" s="454"/>
      <c r="P77" s="455"/>
      <c r="Q77" s="455"/>
      <c r="R77" s="455"/>
      <c r="S77" s="454"/>
      <c r="T77" s="454"/>
      <c r="U77" s="454"/>
      <c r="V77" s="454"/>
      <c r="W77" s="454"/>
      <c r="X77" s="454"/>
      <c r="Y77" s="454"/>
      <c r="Z77" s="454"/>
      <c r="AA77" s="454"/>
      <c r="AB77" s="456"/>
      <c r="AC77" s="159"/>
      <c r="AD77" s="159"/>
      <c r="AE77" s="159"/>
      <c r="AF77" s="159"/>
      <c r="AG77" s="159"/>
      <c r="AH77" s="159"/>
      <c r="AI77" s="159"/>
      <c r="BZ77" s="286"/>
      <c r="CA77" s="287"/>
    </row>
    <row r="78" spans="1:79" s="163" customFormat="1" ht="13">
      <c r="A78" s="361" t="s">
        <v>98</v>
      </c>
      <c r="B78" s="365">
        <f>'Income Statement'!B476</f>
        <v>-8.6000000000000014</v>
      </c>
      <c r="C78" s="365">
        <f>'Income Statement'!G476</f>
        <v>17.899999999999999</v>
      </c>
      <c r="D78" s="365">
        <f>'Income Statement'!L476</f>
        <v>-48</v>
      </c>
      <c r="E78" s="365">
        <f>'Income Statement'!Q476</f>
        <v>-211</v>
      </c>
      <c r="F78" s="365">
        <f>'Income Statement'!V476</f>
        <v>-228</v>
      </c>
      <c r="G78" s="365">
        <f>'Income Statement'!AA476</f>
        <v>-288</v>
      </c>
      <c r="H78" s="365">
        <f>'Income Statement'!AF476</f>
        <v>-329</v>
      </c>
      <c r="I78" s="365">
        <f>'Income Statement'!AK476</f>
        <v>-389</v>
      </c>
      <c r="J78" s="365">
        <f>'Income Statement'!AP476</f>
        <v>-378.82078737102057</v>
      </c>
      <c r="K78" s="365">
        <f>'Income Statement'!AU476</f>
        <v>-669</v>
      </c>
      <c r="L78" s="365">
        <f>'Income Statement'!AZ476</f>
        <v>-384</v>
      </c>
      <c r="M78" s="365">
        <f>'Income Statement'!BE476</f>
        <v>-358</v>
      </c>
      <c r="N78" s="365">
        <f>'Income Statement'!BJ476</f>
        <v>-452</v>
      </c>
      <c r="O78" s="365">
        <f>'Income Statement'!BO476</f>
        <v>-405</v>
      </c>
      <c r="P78" s="365">
        <f>'Income Statement'!BT476</f>
        <v>-412</v>
      </c>
      <c r="Q78" s="365">
        <f>'Income Statement'!BY476</f>
        <v>-407</v>
      </c>
      <c r="R78" s="365">
        <f>'Income Statement'!CD476</f>
        <v>-446</v>
      </c>
      <c r="S78" s="365">
        <f>'Income Statement'!CI476</f>
        <v>-447</v>
      </c>
      <c r="T78" s="365">
        <f>'Income Statement'!CJ476</f>
        <v>-111</v>
      </c>
      <c r="U78" s="365">
        <f>'Income Statement'!CQ476</f>
        <v>-432.2472885032538</v>
      </c>
      <c r="V78" s="365">
        <f>'Income Statement'!CR476</f>
        <v>-404.22957606993174</v>
      </c>
      <c r="W78" s="365">
        <f>'Income Statement'!CS476</f>
        <v>-371.2795361682812</v>
      </c>
      <c r="X78" s="365">
        <f>'Income Statement'!CT476</f>
        <v>-338.41561780012677</v>
      </c>
      <c r="Y78" s="365">
        <f>'Income Statement'!CU476</f>
        <v>-305.78952964444761</v>
      </c>
      <c r="Z78" s="365">
        <f>'Income Statement'!CV476</f>
        <v>-274.45966587974783</v>
      </c>
      <c r="AA78" s="365">
        <f>'Income Statement'!CW476</f>
        <v>-243.73695033454078</v>
      </c>
      <c r="AB78" s="365"/>
      <c r="AC78" s="159"/>
      <c r="AD78" s="159"/>
      <c r="AE78" s="159"/>
      <c r="AF78" s="159"/>
      <c r="AG78" s="159"/>
      <c r="AH78" s="159"/>
      <c r="AI78" s="159"/>
      <c r="BZ78" s="286"/>
      <c r="CA78" s="287"/>
    </row>
    <row r="79" spans="1:79" s="163" customFormat="1" ht="13">
      <c r="A79" s="361" t="s">
        <v>99</v>
      </c>
      <c r="B79" s="365">
        <f>'Income Statement'!B479</f>
        <v>2687.4</v>
      </c>
      <c r="C79" s="365">
        <f>'Income Statement'!G479</f>
        <v>3227.900000000001</v>
      </c>
      <c r="D79" s="365">
        <f>'Income Statement'!L479</f>
        <v>3007</v>
      </c>
      <c r="E79" s="365">
        <f>'Income Statement'!Q479</f>
        <v>3132</v>
      </c>
      <c r="F79" s="365">
        <f>'Income Statement'!V479</f>
        <v>3004</v>
      </c>
      <c r="G79" s="365">
        <f>'Income Statement'!AA479</f>
        <v>2709</v>
      </c>
      <c r="H79" s="365">
        <f>'Income Statement'!AF479</f>
        <v>2827</v>
      </c>
      <c r="I79" s="365">
        <f>'Income Statement'!AK479</f>
        <v>2296.3305194230634</v>
      </c>
      <c r="J79" s="365">
        <f>'Income Statement'!AP479</f>
        <v>2777.1792126289793</v>
      </c>
      <c r="K79" s="365">
        <f>'Income Statement'!AU479</f>
        <v>2440</v>
      </c>
      <c r="L79" s="365">
        <f>'Income Statement'!AZ479</f>
        <v>2737</v>
      </c>
      <c r="M79" s="365">
        <f>'Income Statement'!BE479</f>
        <v>2350</v>
      </c>
      <c r="N79" s="365">
        <f>'Income Statement'!BJ479</f>
        <v>2036</v>
      </c>
      <c r="O79" s="365">
        <f>'Income Statement'!BO479</f>
        <v>1879</v>
      </c>
      <c r="P79" s="365">
        <f>'Income Statement'!BT479</f>
        <v>1670</v>
      </c>
      <c r="Q79" s="365">
        <f>'Income Statement'!BY479</f>
        <v>1802</v>
      </c>
      <c r="R79" s="365">
        <f>'Income Statement'!CD479</f>
        <v>1444</v>
      </c>
      <c r="S79" s="365">
        <f>'Income Statement'!CI479</f>
        <v>1877</v>
      </c>
      <c r="T79" s="365">
        <f>'Income Statement'!CJ479</f>
        <v>500</v>
      </c>
      <c r="U79" s="365">
        <f>'Income Statement'!CQ479</f>
        <v>2376.7259833006037</v>
      </c>
      <c r="V79" s="365">
        <f>'Income Statement'!CR479</f>
        <v>2532.3310509072035</v>
      </c>
      <c r="W79" s="365">
        <f>'Income Statement'!CS479</f>
        <v>2685.1054581044646</v>
      </c>
      <c r="X79" s="365">
        <f>'Income Statement'!CT479</f>
        <v>2850.7462979310603</v>
      </c>
      <c r="Y79" s="365">
        <f>'Income Statement'!CU479</f>
        <v>3030.9887869111112</v>
      </c>
      <c r="Z79" s="365">
        <f>'Income Statement'!CV479</f>
        <v>3201.7924490877613</v>
      </c>
      <c r="AA79" s="365">
        <f>'Income Statement'!CW479</f>
        <v>3403.6071341401871</v>
      </c>
      <c r="AB79" s="365"/>
      <c r="AC79" s="159"/>
      <c r="AD79" s="159"/>
      <c r="AE79" s="159"/>
      <c r="AF79" s="159"/>
      <c r="AG79" s="159"/>
      <c r="AH79" s="159"/>
      <c r="AI79" s="159"/>
      <c r="BZ79" s="286"/>
      <c r="CA79" s="287"/>
    </row>
    <row r="80" spans="1:79" s="163" customFormat="1" ht="13">
      <c r="A80" s="361" t="s">
        <v>100</v>
      </c>
      <c r="B80" s="365">
        <f>'Income Statement'!B481</f>
        <v>-707.5</v>
      </c>
      <c r="C80" s="365">
        <f>'Income Statement'!G481</f>
        <v>-827.3</v>
      </c>
      <c r="D80" s="365">
        <f>'Income Statement'!L481</f>
        <v>-775</v>
      </c>
      <c r="E80" s="365">
        <f>'Income Statement'!Q481</f>
        <v>-837</v>
      </c>
      <c r="F80" s="365">
        <f>'Income Statement'!V481</f>
        <v>-473</v>
      </c>
      <c r="G80" s="365">
        <f>'Income Statement'!AA481</f>
        <v>-716</v>
      </c>
      <c r="H80" s="365">
        <f>'Income Statement'!AF481</f>
        <v>-724</v>
      </c>
      <c r="I80" s="365">
        <f>'Income Statement'!AK481</f>
        <v>-688.76864535768641</v>
      </c>
      <c r="J80" s="365">
        <f>'Income Statement'!AP481</f>
        <v>-713</v>
      </c>
      <c r="K80" s="365">
        <f>'Income Statement'!AU481</f>
        <v>-709</v>
      </c>
      <c r="L80" s="365">
        <f>'Income Statement'!AZ481</f>
        <v>-676</v>
      </c>
      <c r="M80" s="365">
        <f>'Income Statement'!BE481</f>
        <v>-585</v>
      </c>
      <c r="N80" s="365">
        <f>'Income Statement'!BJ481</f>
        <v>-509</v>
      </c>
      <c r="O80" s="365">
        <f>'Income Statement'!BO481</f>
        <v>-469</v>
      </c>
      <c r="P80" s="365">
        <f>'Income Statement'!BT481</f>
        <v>-454</v>
      </c>
      <c r="Q80" s="365">
        <f>'Income Statement'!BY481</f>
        <v>-651</v>
      </c>
      <c r="R80" s="365">
        <f>'Income Statement'!CD481</f>
        <v>-452</v>
      </c>
      <c r="S80" s="365">
        <f>'Income Statement'!CI481</f>
        <v>-481</v>
      </c>
      <c r="T80" s="365">
        <f>'Income Statement'!CJ481</f>
        <v>-129</v>
      </c>
      <c r="U80" s="365">
        <f>'Income Statement'!CQ481</f>
        <v>-582.29786590864785</v>
      </c>
      <c r="V80" s="365">
        <f>'Income Statement'!CR481</f>
        <v>-607.75945221772884</v>
      </c>
      <c r="W80" s="365">
        <f>'Income Statement'!CS481</f>
        <v>-644.42530994507149</v>
      </c>
      <c r="X80" s="365">
        <f>'Income Statement'!CT481</f>
        <v>-684.17911150345446</v>
      </c>
      <c r="Y80" s="365">
        <f>'Income Statement'!CU481</f>
        <v>-727.43730885866671</v>
      </c>
      <c r="Z80" s="365">
        <f>'Income Statement'!CV481</f>
        <v>-768.43018778106273</v>
      </c>
      <c r="AA80" s="365">
        <f>'Income Statement'!CW481</f>
        <v>-816.86571219364487</v>
      </c>
      <c r="AB80" s="365"/>
      <c r="AC80" s="159"/>
      <c r="AD80" s="159"/>
      <c r="AE80" s="159"/>
      <c r="AF80" s="159"/>
      <c r="AG80" s="159"/>
      <c r="AH80" s="159"/>
      <c r="AI80" s="159"/>
      <c r="BZ80" s="286"/>
      <c r="CA80" s="287"/>
    </row>
    <row r="81" spans="1:79" s="163" customFormat="1" ht="13">
      <c r="A81" s="361" t="s">
        <v>101</v>
      </c>
      <c r="B81" s="365">
        <f>'Income Statement'!B479-'Income Statement'!B481</f>
        <v>3394.9</v>
      </c>
      <c r="C81" s="365">
        <f>'Income Statement'!G479-'Income Statement'!G481</f>
        <v>4055.2000000000007</v>
      </c>
      <c r="D81" s="365">
        <f>'Income Statement'!L479-'Income Statement'!L481</f>
        <v>3782</v>
      </c>
      <c r="E81" s="365">
        <f>'Income Statement'!Q479-'Income Statement'!Q481</f>
        <v>3969</v>
      </c>
      <c r="F81" s="365">
        <f>'Income Statement'!V479-'Income Statement'!V481</f>
        <v>3477</v>
      </c>
      <c r="G81" s="365">
        <f>'Income Statement'!AA479-'Income Statement'!AA481</f>
        <v>3425</v>
      </c>
      <c r="H81" s="365">
        <f>'Income Statement'!AF479-'Income Statement'!AF481</f>
        <v>3551</v>
      </c>
      <c r="I81" s="365">
        <f>'Income Statement'!AK479-'Income Statement'!AK481</f>
        <v>2985.0991647807496</v>
      </c>
      <c r="J81" s="365">
        <f>'Income Statement'!AP479-'Income Statement'!AP481</f>
        <v>3490.1792126289793</v>
      </c>
      <c r="K81" s="365">
        <f>'Income Statement'!AU479-'Income Statement'!AU481</f>
        <v>3149</v>
      </c>
      <c r="L81" s="365">
        <f>'Income Statement'!AZ479-'Income Statement'!AZ481</f>
        <v>3413</v>
      </c>
      <c r="M81" s="365">
        <f>'Income Statement'!BE479-'Income Statement'!BE481</f>
        <v>2935</v>
      </c>
      <c r="N81" s="365">
        <f>'Income Statement'!BJ479-'Income Statement'!BJ481</f>
        <v>2545</v>
      </c>
      <c r="O81" s="365">
        <f>'Income Statement'!BO479-'Income Statement'!BO481</f>
        <v>2348</v>
      </c>
      <c r="P81" s="365">
        <f>'Income Statement'!BT479-'Income Statement'!BT481</f>
        <v>2124</v>
      </c>
      <c r="Q81" s="365">
        <f>'Income Statement'!BY479-'Income Statement'!BY481</f>
        <v>2453</v>
      </c>
      <c r="R81" s="365">
        <f>'Income Statement'!CD479-'Income Statement'!CD481</f>
        <v>1896</v>
      </c>
      <c r="S81" s="365">
        <f>'Income Statement'!CI479-'Income Statement'!CI481</f>
        <v>2358</v>
      </c>
      <c r="T81" s="365">
        <f>'Income Statement'!CJ479-'Income Statement'!CJ481</f>
        <v>629</v>
      </c>
      <c r="U81" s="365">
        <f>'Income Statement'!CQ479-'Income Statement'!CQ481</f>
        <v>2959.0238492092517</v>
      </c>
      <c r="V81" s="365">
        <f>'Income Statement'!CR479-'Income Statement'!CR481</f>
        <v>3140.0905031249322</v>
      </c>
      <c r="W81" s="365">
        <f>'Income Statement'!CS479-'Income Statement'!CS481</f>
        <v>3329.5307680495362</v>
      </c>
      <c r="X81" s="365">
        <f>'Income Statement'!CT479-'Income Statement'!CT481</f>
        <v>3534.9254094345147</v>
      </c>
      <c r="Y81" s="365">
        <f>'Income Statement'!CU479-'Income Statement'!CU481</f>
        <v>3758.4260957697779</v>
      </c>
      <c r="Z81" s="365">
        <f>'Income Statement'!CV479-'Income Statement'!CV481</f>
        <v>3970.2226368688239</v>
      </c>
      <c r="AA81" s="365">
        <f>'Income Statement'!CW479-'Income Statement'!CW481</f>
        <v>4220.4728463338324</v>
      </c>
      <c r="AB81" s="365"/>
      <c r="AC81" s="159"/>
      <c r="AD81" s="159"/>
      <c r="AE81" s="159"/>
      <c r="AF81" s="159"/>
      <c r="AG81" s="159"/>
      <c r="AH81" s="159"/>
      <c r="AI81" s="159"/>
      <c r="BZ81" s="286"/>
      <c r="CA81" s="287"/>
    </row>
    <row r="82" spans="1:79" s="163" customFormat="1" ht="13">
      <c r="A82" s="361"/>
      <c r="B82" s="365"/>
      <c r="C82" s="365"/>
      <c r="D82" s="365"/>
      <c r="E82" s="365"/>
      <c r="F82" s="365"/>
      <c r="G82" s="365"/>
      <c r="H82" s="365"/>
      <c r="I82" s="365"/>
      <c r="J82" s="365"/>
      <c r="K82" s="365"/>
      <c r="L82" s="365"/>
      <c r="M82" s="365"/>
      <c r="N82" s="365"/>
      <c r="O82" s="365"/>
      <c r="P82" s="365"/>
      <c r="Q82" s="365"/>
      <c r="R82" s="365"/>
      <c r="S82" s="365"/>
      <c r="T82" s="365"/>
      <c r="U82" s="365"/>
      <c r="V82" s="365"/>
      <c r="W82" s="365"/>
      <c r="X82" s="365"/>
      <c r="Y82" s="365"/>
      <c r="Z82" s="365"/>
      <c r="AA82" s="365"/>
      <c r="AB82" s="365"/>
      <c r="AC82" s="159"/>
      <c r="AD82" s="159"/>
      <c r="AE82" s="159"/>
      <c r="AF82" s="159"/>
      <c r="AG82" s="159"/>
      <c r="AH82" s="159"/>
      <c r="AI82" s="159"/>
      <c r="BZ82" s="286"/>
      <c r="CA82" s="287"/>
    </row>
    <row r="83" spans="1:79" s="163" customFormat="1" ht="13">
      <c r="A83" s="443" t="s">
        <v>145</v>
      </c>
      <c r="B83" s="444">
        <f>B$2</f>
        <v>2007</v>
      </c>
      <c r="C83" s="444">
        <f t="shared" ref="C83:Q83" si="208">B83+1</f>
        <v>2008</v>
      </c>
      <c r="D83" s="444">
        <f t="shared" si="208"/>
        <v>2009</v>
      </c>
      <c r="E83" s="444">
        <f t="shared" si="208"/>
        <v>2010</v>
      </c>
      <c r="F83" s="444">
        <f t="shared" si="208"/>
        <v>2011</v>
      </c>
      <c r="G83" s="444">
        <f t="shared" si="208"/>
        <v>2012</v>
      </c>
      <c r="H83" s="444">
        <f t="shared" si="208"/>
        <v>2013</v>
      </c>
      <c r="I83" s="444">
        <f t="shared" si="208"/>
        <v>2014</v>
      </c>
      <c r="J83" s="444">
        <f t="shared" si="208"/>
        <v>2015</v>
      </c>
      <c r="K83" s="444">
        <f t="shared" si="208"/>
        <v>2016</v>
      </c>
      <c r="L83" s="444">
        <f t="shared" si="208"/>
        <v>2017</v>
      </c>
      <c r="M83" s="444">
        <f t="shared" si="208"/>
        <v>2018</v>
      </c>
      <c r="N83" s="444">
        <f t="shared" si="208"/>
        <v>2019</v>
      </c>
      <c r="O83" s="444">
        <f t="shared" si="208"/>
        <v>2020</v>
      </c>
      <c r="P83" s="444">
        <f t="shared" si="208"/>
        <v>2021</v>
      </c>
      <c r="Q83" s="444">
        <f t="shared" si="208"/>
        <v>2022</v>
      </c>
      <c r="R83" s="444">
        <f t="shared" ref="R83:W83" si="209">Q83+1</f>
        <v>2023</v>
      </c>
      <c r="S83" s="444">
        <f t="shared" si="209"/>
        <v>2024</v>
      </c>
      <c r="T83" s="444">
        <f t="shared" si="209"/>
        <v>2025</v>
      </c>
      <c r="U83" s="444">
        <f t="shared" si="209"/>
        <v>2026</v>
      </c>
      <c r="V83" s="444">
        <f t="shared" si="209"/>
        <v>2027</v>
      </c>
      <c r="W83" s="444">
        <f t="shared" si="209"/>
        <v>2028</v>
      </c>
      <c r="X83" s="444">
        <f t="shared" ref="X83" si="210">W83+1</f>
        <v>2029</v>
      </c>
      <c r="Y83" s="444">
        <f t="shared" ref="Y83" si="211">X83+1</f>
        <v>2030</v>
      </c>
      <c r="Z83" s="444">
        <f t="shared" ref="Z83" si="212">Y83+1</f>
        <v>2031</v>
      </c>
      <c r="AA83" s="444">
        <f t="shared" ref="AA83" si="213">Z83+1</f>
        <v>2032</v>
      </c>
      <c r="AB83" s="221"/>
      <c r="AC83" s="159"/>
      <c r="AD83" s="365"/>
      <c r="AE83" s="365"/>
      <c r="AF83" s="365"/>
      <c r="AG83" s="365"/>
      <c r="AH83" s="365"/>
      <c r="AI83" s="365"/>
      <c r="AJ83" s="292"/>
      <c r="AK83" s="292"/>
      <c r="AL83" s="292"/>
      <c r="AM83" s="292"/>
      <c r="BZ83" s="286"/>
      <c r="CA83" s="287"/>
    </row>
    <row r="84" spans="1:79" s="163" customFormat="1" ht="13">
      <c r="A84" s="226" t="s">
        <v>146</v>
      </c>
      <c r="B84" s="292">
        <f t="shared" ref="B84:AA84" si="214">B20-B27</f>
        <v>0</v>
      </c>
      <c r="C84" s="292">
        <f t="shared" si="214"/>
        <v>0</v>
      </c>
      <c r="D84" s="292">
        <f t="shared" si="214"/>
        <v>14487</v>
      </c>
      <c r="E84" s="292">
        <f t="shared" si="214"/>
        <v>14902</v>
      </c>
      <c r="F84" s="292">
        <f t="shared" si="214"/>
        <v>13605</v>
      </c>
      <c r="G84" s="292">
        <f t="shared" si="214"/>
        <v>12597.621931818183</v>
      </c>
      <c r="H84" s="292">
        <f t="shared" si="214"/>
        <v>13669</v>
      </c>
      <c r="I84" s="292">
        <f t="shared" si="214"/>
        <v>13927</v>
      </c>
      <c r="J84" s="292">
        <f t="shared" si="214"/>
        <v>14091</v>
      </c>
      <c r="K84" s="292">
        <f t="shared" si="214"/>
        <v>14646</v>
      </c>
      <c r="L84" s="292">
        <f t="shared" si="214"/>
        <v>15315.75</v>
      </c>
      <c r="M84" s="292">
        <f t="shared" si="214"/>
        <v>15264.359999999999</v>
      </c>
      <c r="N84" s="292">
        <f t="shared" si="214"/>
        <v>15780</v>
      </c>
      <c r="O84" s="292">
        <f t="shared" si="214"/>
        <v>17471</v>
      </c>
      <c r="P84" s="292">
        <f t="shared" si="214"/>
        <v>16169</v>
      </c>
      <c r="Q84" s="292">
        <f t="shared" si="214"/>
        <v>18602</v>
      </c>
      <c r="R84" s="292">
        <f t="shared" si="214"/>
        <v>17359</v>
      </c>
      <c r="S84" s="292">
        <f t="shared" si="214"/>
        <v>16722</v>
      </c>
      <c r="T84" s="292">
        <f t="shared" ref="T84" si="215">T20-T27</f>
        <v>15942</v>
      </c>
      <c r="U84" s="292">
        <f t="shared" si="214"/>
        <v>15607.003179854355</v>
      </c>
      <c r="V84" s="292">
        <f t="shared" si="214"/>
        <v>15188.316124985122</v>
      </c>
      <c r="W84" s="292">
        <f t="shared" si="214"/>
        <v>14783.197889591878</v>
      </c>
      <c r="X84" s="292">
        <f t="shared" si="214"/>
        <v>14396.594267880153</v>
      </c>
      <c r="Y84" s="292">
        <f t="shared" si="214"/>
        <v>14048.408955802401</v>
      </c>
      <c r="Z84" s="292">
        <f t="shared" si="214"/>
        <v>13725.781021670306</v>
      </c>
      <c r="AA84" s="292">
        <f t="shared" si="214"/>
        <v>13835.896770944553</v>
      </c>
      <c r="AB84" s="292"/>
      <c r="AC84" s="159"/>
      <c r="AD84" s="365"/>
      <c r="AE84" s="365"/>
      <c r="AF84" s="365"/>
      <c r="AG84" s="365"/>
      <c r="AH84" s="365"/>
      <c r="AI84" s="365"/>
      <c r="AJ84" s="292"/>
      <c r="AK84" s="292"/>
      <c r="AL84" s="292"/>
      <c r="AM84" s="292"/>
      <c r="BZ84" s="286"/>
      <c r="CA84" s="287"/>
    </row>
    <row r="85" spans="1:79" s="163" customFormat="1" ht="13">
      <c r="A85" s="226" t="s">
        <v>147</v>
      </c>
      <c r="B85" s="292">
        <f>(1-B200)*'Income Statement'!B521</f>
        <v>6320.5784029173183</v>
      </c>
      <c r="C85" s="292">
        <f>(1-C200)*'Income Statement'!G521</f>
        <v>2997.1867158214327</v>
      </c>
      <c r="D85" s="292">
        <f>(1-D200)*'Income Statement'!L521</f>
        <v>2829.4562687063521</v>
      </c>
      <c r="E85" s="292">
        <f>(1-E200)*'Income Statement'!Q521</f>
        <v>2449.6120689655177</v>
      </c>
      <c r="F85" s="292">
        <f>(1-F200)*'Income Statement'!V521</f>
        <v>2723.0998668442076</v>
      </c>
      <c r="G85" s="292">
        <f>(1-G200)*'Income Statement'!AA521</f>
        <v>2204.6950033222588</v>
      </c>
      <c r="H85" s="292">
        <f>(1-H200)*'Income Statement'!AF521</f>
        <v>2305.1877909444634</v>
      </c>
      <c r="I85" s="292">
        <f>(1-I200)*'Income Statement'!AK521</f>
        <v>1879.8839826303688</v>
      </c>
      <c r="J85" s="292">
        <f>(1-J200)*'Income Statement'!AP521</f>
        <v>5454.0762055945233</v>
      </c>
      <c r="K85" s="292">
        <f>(1-K200)*'Income Statement'!AU521</f>
        <v>4378.5786885245907</v>
      </c>
      <c r="L85" s="292">
        <f>(1-L200)*'Income Statement'!AZ521</f>
        <v>5378.0277676287906</v>
      </c>
      <c r="M85" s="292">
        <f>(1-M200)*'Income Statement'!BE521</f>
        <v>4601.7680851063833</v>
      </c>
      <c r="N85" s="292">
        <f>(1-N200)*'Income Statement'!BJ521</f>
        <v>5304</v>
      </c>
      <c r="O85" s="292">
        <f>(1-O200)*'Income Statement'!BO521</f>
        <v>5115.4709952102185</v>
      </c>
      <c r="P85" s="292">
        <f>(1-P200)*'Income Statement'!BT521</f>
        <v>5204.7712574850293</v>
      </c>
      <c r="Q85" s="292">
        <f>(1-Q200)*'Income Statement'!BY521</f>
        <v>2709.5127635960048</v>
      </c>
      <c r="R85" s="292">
        <f>(1-R200)*'Income Statement'!CD521</f>
        <v>2980.1218836565095</v>
      </c>
      <c r="S85" s="292">
        <f>(1-S200)*'Income Statement'!CI521</f>
        <v>3301.4619072988808</v>
      </c>
      <c r="T85" s="292">
        <f>(1-T200)*'Income Statement'!CJ521</f>
        <v>0</v>
      </c>
      <c r="U85" s="292">
        <f>(1-U200)*'Income Statement'!CQ521</f>
        <v>3645.1802202119125</v>
      </c>
      <c r="V85" s="292">
        <f>(1-V200)*'Income Statement'!CR521</f>
        <v>3775.4102043354937</v>
      </c>
      <c r="W85" s="292">
        <f>(1-W200)*'Income Statement'!CS521</f>
        <v>3880.2019705558819</v>
      </c>
      <c r="X85" s="292">
        <f>(1-X200)*'Income Statement'!CT521</f>
        <v>3982.5447908296974</v>
      </c>
      <c r="Y85" s="292">
        <f>(1-Y200)*'Income Statement'!CU521</f>
        <v>4122.3714699106358</v>
      </c>
      <c r="Z85" s="292">
        <f>(1-Z200)*'Income Statement'!CV521</f>
        <v>4261.8143785498241</v>
      </c>
      <c r="AA85" s="292">
        <f>(1-AA200)*'Income Statement'!CW521</f>
        <v>4400.5494404064084</v>
      </c>
      <c r="AB85" s="292"/>
      <c r="AC85" s="159"/>
      <c r="AD85" s="365"/>
      <c r="AE85" s="365"/>
      <c r="AF85" s="365"/>
      <c r="AG85" s="365"/>
      <c r="AH85" s="365"/>
      <c r="AI85" s="365"/>
      <c r="AJ85" s="292"/>
      <c r="AK85" s="292"/>
      <c r="AL85" s="292"/>
      <c r="AM85" s="292"/>
      <c r="BZ85" s="286"/>
      <c r="CA85" s="287"/>
    </row>
    <row r="86" spans="1:79" s="163" customFormat="1" ht="13">
      <c r="A86" s="226" t="s">
        <v>145</v>
      </c>
      <c r="B86" s="160" t="e">
        <f t="shared" ref="B86:P86" si="216">B85/B84</f>
        <v>#DIV/0!</v>
      </c>
      <c r="C86" s="160" t="e">
        <f t="shared" si="216"/>
        <v>#DIV/0!</v>
      </c>
      <c r="D86" s="160">
        <f t="shared" si="216"/>
        <v>0.19531002061892402</v>
      </c>
      <c r="E86" s="160">
        <f t="shared" si="216"/>
        <v>0.16438142993997568</v>
      </c>
      <c r="F86" s="160">
        <f t="shared" si="216"/>
        <v>0.2001543452292692</v>
      </c>
      <c r="G86" s="160">
        <f t="shared" si="216"/>
        <v>0.17500882430467263</v>
      </c>
      <c r="H86" s="160">
        <f t="shared" si="216"/>
        <v>0.16864348459612724</v>
      </c>
      <c r="I86" s="160">
        <f t="shared" si="216"/>
        <v>0.134981258176949</v>
      </c>
      <c r="J86" s="160">
        <f t="shared" si="216"/>
        <v>0.38706097548751139</v>
      </c>
      <c r="K86" s="160">
        <f t="shared" si="216"/>
        <v>0.29896071886689818</v>
      </c>
      <c r="L86" s="160">
        <f t="shared" si="216"/>
        <v>0.35114361148678913</v>
      </c>
      <c r="M86" s="160">
        <f t="shared" si="216"/>
        <v>0.3014714069313344</v>
      </c>
      <c r="N86" s="160">
        <f t="shared" si="216"/>
        <v>0.3361216730038023</v>
      </c>
      <c r="O86" s="160">
        <f t="shared" si="216"/>
        <v>0.29279783614047383</v>
      </c>
      <c r="P86" s="161">
        <f t="shared" si="216"/>
        <v>0.3218981543376232</v>
      </c>
      <c r="Q86" s="161">
        <f t="shared" ref="Q86" si="217">Q85/Q84</f>
        <v>0.14565706717535776</v>
      </c>
      <c r="R86" s="161">
        <f t="shared" ref="R86:W86" si="218">R85/R84</f>
        <v>0.17167589628760352</v>
      </c>
      <c r="S86" s="160">
        <f t="shared" si="218"/>
        <v>0.1974322394031145</v>
      </c>
      <c r="T86" s="160">
        <f t="shared" ref="T86" si="219">T85/T84</f>
        <v>0</v>
      </c>
      <c r="U86" s="160">
        <f t="shared" si="218"/>
        <v>0.23356054831315343</v>
      </c>
      <c r="V86" s="160">
        <f t="shared" si="218"/>
        <v>0.24857332262954804</v>
      </c>
      <c r="W86" s="160">
        <f t="shared" si="218"/>
        <v>0.26247378946930966</v>
      </c>
      <c r="X86" s="160">
        <f t="shared" ref="X86:AA86" si="220">X85/X84</f>
        <v>0.27663103625244506</v>
      </c>
      <c r="Y86" s="160">
        <f t="shared" si="220"/>
        <v>0.29344045171805572</v>
      </c>
      <c r="Z86" s="160">
        <f t="shared" si="220"/>
        <v>0.31049703997326333</v>
      </c>
      <c r="AA86" s="160">
        <f t="shared" si="220"/>
        <v>0.3180530697256706</v>
      </c>
      <c r="AB86" s="185"/>
      <c r="AC86" s="159"/>
      <c r="AD86" s="365"/>
      <c r="AE86" s="365"/>
      <c r="AF86" s="365"/>
      <c r="AG86" s="365"/>
      <c r="AH86" s="365"/>
      <c r="AI86" s="365"/>
      <c r="AJ86" s="292"/>
      <c r="AK86" s="292"/>
      <c r="AL86" s="292"/>
      <c r="AM86" s="292"/>
      <c r="BZ86" s="286"/>
      <c r="CA86" s="287"/>
    </row>
    <row r="87" spans="1:79" s="163" customFormat="1" ht="13">
      <c r="A87" s="226"/>
      <c r="AC87" s="159"/>
      <c r="AD87" s="365"/>
      <c r="AE87" s="365"/>
      <c r="AF87" s="365"/>
      <c r="AG87" s="365"/>
      <c r="AH87" s="258"/>
      <c r="AI87" s="258"/>
      <c r="AJ87" s="292"/>
      <c r="AK87" s="292"/>
      <c r="AL87" s="292"/>
      <c r="AM87" s="292"/>
      <c r="BZ87" s="286"/>
      <c r="CA87" s="287"/>
    </row>
    <row r="88" spans="1:79" s="163" customFormat="1" ht="13">
      <c r="A88" s="443" t="s">
        <v>84</v>
      </c>
      <c r="B88" s="444">
        <f>B$2</f>
        <v>2007</v>
      </c>
      <c r="C88" s="444">
        <f t="shared" ref="C88:Q88" si="221">B88+1</f>
        <v>2008</v>
      </c>
      <c r="D88" s="444">
        <f t="shared" si="221"/>
        <v>2009</v>
      </c>
      <c r="E88" s="444">
        <f t="shared" si="221"/>
        <v>2010</v>
      </c>
      <c r="F88" s="444">
        <f t="shared" si="221"/>
        <v>2011</v>
      </c>
      <c r="G88" s="444">
        <f t="shared" si="221"/>
        <v>2012</v>
      </c>
      <c r="H88" s="444">
        <f t="shared" si="221"/>
        <v>2013</v>
      </c>
      <c r="I88" s="444">
        <f t="shared" si="221"/>
        <v>2014</v>
      </c>
      <c r="J88" s="444">
        <f t="shared" si="221"/>
        <v>2015</v>
      </c>
      <c r="K88" s="444">
        <f t="shared" si="221"/>
        <v>2016</v>
      </c>
      <c r="L88" s="444">
        <f t="shared" si="221"/>
        <v>2017</v>
      </c>
      <c r="M88" s="444">
        <f t="shared" si="221"/>
        <v>2018</v>
      </c>
      <c r="N88" s="444">
        <f t="shared" si="221"/>
        <v>2019</v>
      </c>
      <c r="O88" s="444">
        <f t="shared" si="221"/>
        <v>2020</v>
      </c>
      <c r="P88" s="444">
        <f t="shared" si="221"/>
        <v>2021</v>
      </c>
      <c r="Q88" s="444">
        <f t="shared" si="221"/>
        <v>2022</v>
      </c>
      <c r="R88" s="444">
        <f t="shared" ref="R88:W88" si="222">Q88+1</f>
        <v>2023</v>
      </c>
      <c r="S88" s="444">
        <f t="shared" si="222"/>
        <v>2024</v>
      </c>
      <c r="T88" s="444">
        <f t="shared" si="222"/>
        <v>2025</v>
      </c>
      <c r="U88" s="444">
        <f t="shared" si="222"/>
        <v>2026</v>
      </c>
      <c r="V88" s="444">
        <f t="shared" si="222"/>
        <v>2027</v>
      </c>
      <c r="W88" s="444">
        <f t="shared" si="222"/>
        <v>2028</v>
      </c>
      <c r="X88" s="444">
        <f t="shared" ref="X88" si="223">W88+1</f>
        <v>2029</v>
      </c>
      <c r="Y88" s="444">
        <f t="shared" ref="Y88" si="224">X88+1</f>
        <v>2030</v>
      </c>
      <c r="Z88" s="444">
        <f t="shared" ref="Z88" si="225">Y88+1</f>
        <v>2031</v>
      </c>
      <c r="AA88" s="444">
        <f t="shared" ref="AA88" si="226">Z88+1</f>
        <v>2032</v>
      </c>
      <c r="AB88" s="221"/>
      <c r="AC88" s="165"/>
      <c r="AD88" s="165"/>
      <c r="AE88" s="165"/>
      <c r="AF88" s="165"/>
      <c r="AG88" s="165"/>
      <c r="AH88" s="159"/>
      <c r="AI88" s="159"/>
      <c r="BZ88" s="286"/>
      <c r="CA88" s="287"/>
    </row>
    <row r="89" spans="1:79" s="163" customFormat="1" ht="13">
      <c r="A89" s="226"/>
      <c r="B89" s="170"/>
      <c r="C89" s="170"/>
      <c r="D89" s="170"/>
      <c r="E89" s="170"/>
      <c r="F89" s="170"/>
      <c r="G89" s="170"/>
      <c r="H89" s="170"/>
      <c r="I89" s="170"/>
      <c r="J89" s="170"/>
      <c r="K89" s="170"/>
      <c r="L89" s="170"/>
      <c r="M89" s="170"/>
      <c r="N89" s="170"/>
      <c r="O89" s="170"/>
      <c r="P89" s="170"/>
      <c r="Q89" s="170"/>
      <c r="R89" s="170"/>
      <c r="S89" s="170"/>
      <c r="T89" s="170"/>
      <c r="U89" s="170"/>
      <c r="V89" s="170"/>
      <c r="W89" s="170"/>
      <c r="X89" s="170"/>
      <c r="Y89" s="170"/>
      <c r="Z89" s="170"/>
      <c r="AA89" s="170"/>
      <c r="AB89" s="170"/>
      <c r="AC89" s="159"/>
      <c r="AD89" s="159"/>
      <c r="AE89" s="159"/>
      <c r="AF89" s="159"/>
      <c r="AG89" s="159"/>
      <c r="AH89" s="159"/>
      <c r="AI89" s="159"/>
      <c r="BZ89" s="286"/>
      <c r="CA89" s="287"/>
    </row>
    <row r="90" spans="1:79" s="235" customFormat="1" ht="13">
      <c r="A90" s="279" t="s">
        <v>589</v>
      </c>
      <c r="B90" s="279"/>
      <c r="C90" s="279"/>
      <c r="D90" s="279"/>
      <c r="E90" s="279"/>
      <c r="F90" s="279"/>
      <c r="G90" s="279"/>
      <c r="H90" s="279"/>
      <c r="I90" s="279"/>
      <c r="J90" s="279"/>
      <c r="K90" s="279"/>
      <c r="L90" s="279"/>
      <c r="M90" s="279"/>
      <c r="N90" s="279"/>
      <c r="O90" s="279"/>
      <c r="P90" s="279"/>
      <c r="Q90" s="279"/>
      <c r="R90" s="279"/>
      <c r="S90" s="279"/>
      <c r="T90" s="279"/>
      <c r="U90" s="279"/>
      <c r="V90" s="279"/>
      <c r="W90" s="279"/>
      <c r="X90" s="279"/>
      <c r="Y90" s="279"/>
      <c r="Z90" s="279"/>
      <c r="AA90" s="279"/>
    </row>
    <row r="91" spans="1:79" s="226" customFormat="1" ht="13">
      <c r="A91" s="226" t="s">
        <v>590</v>
      </c>
      <c r="P91" s="457">
        <f>O95</f>
        <v>4931</v>
      </c>
      <c r="Q91" s="457">
        <f>P95</f>
        <v>5193</v>
      </c>
      <c r="R91" s="457">
        <f>Q95</f>
        <v>5639</v>
      </c>
      <c r="S91" s="457">
        <f t="shared" ref="S91:W91" si="227">R95</f>
        <v>5384</v>
      </c>
      <c r="T91" s="457">
        <f t="shared" si="227"/>
        <v>5091</v>
      </c>
      <c r="U91" s="457">
        <f t="shared" si="227"/>
        <v>5022</v>
      </c>
      <c r="V91" s="457">
        <f t="shared" si="227"/>
        <v>4710.3988579795787</v>
      </c>
      <c r="W91" s="457">
        <f t="shared" si="227"/>
        <v>4318.5897299906928</v>
      </c>
      <c r="X91" s="457">
        <f t="shared" ref="X91" si="228">W95</f>
        <v>3949.2951442612107</v>
      </c>
      <c r="Y91" s="457">
        <f t="shared" ref="Y91" si="229">X95</f>
        <v>3597.7577736370663</v>
      </c>
      <c r="Z91" s="457">
        <f t="shared" ref="Z91" si="230">Y95</f>
        <v>3334.2151373690185</v>
      </c>
      <c r="AA91" s="457">
        <f t="shared" ref="AA91" si="231">Z95</f>
        <v>3145.1318886859781</v>
      </c>
      <c r="AB91" s="457"/>
    </row>
    <row r="92" spans="1:79" s="226" customFormat="1" ht="13">
      <c r="A92" s="226" t="s">
        <v>591</v>
      </c>
      <c r="P92" s="457">
        <f t="shared" ref="P92:AA92" si="232">P73</f>
        <v>1187</v>
      </c>
      <c r="Q92" s="457">
        <f t="shared" si="232"/>
        <v>1114</v>
      </c>
      <c r="R92" s="457">
        <f t="shared" si="232"/>
        <v>813</v>
      </c>
      <c r="S92" s="457">
        <f t="shared" si="232"/>
        <v>674</v>
      </c>
      <c r="T92" s="457">
        <f t="shared" ref="T92" si="233">T73</f>
        <v>986</v>
      </c>
      <c r="U92" s="457">
        <f t="shared" si="232"/>
        <v>1094.558857979579</v>
      </c>
      <c r="V92" s="457">
        <f t="shared" si="232"/>
        <v>1009.534532260039</v>
      </c>
      <c r="W92" s="457">
        <f t="shared" si="232"/>
        <v>1034.2470765174933</v>
      </c>
      <c r="X92" s="457">
        <f t="shared" si="232"/>
        <v>1060.3356434492387</v>
      </c>
      <c r="Y92" s="457">
        <f t="shared" si="232"/>
        <v>1085.6165288458519</v>
      </c>
      <c r="Z92" s="457">
        <f t="shared" si="232"/>
        <v>1111.260654890877</v>
      </c>
      <c r="AA92" s="457">
        <f t="shared" si="232"/>
        <v>1516.4251017295933</v>
      </c>
      <c r="AB92" s="457"/>
    </row>
    <row r="93" spans="1:79" s="226" customFormat="1" ht="13">
      <c r="A93" s="226" t="s">
        <v>592</v>
      </c>
      <c r="B93" s="457">
        <f>-B345</f>
        <v>-894</v>
      </c>
      <c r="C93" s="457">
        <f>-C345</f>
        <v>-1192.2</v>
      </c>
      <c r="D93" s="457">
        <f>-D345</f>
        <v>-1165</v>
      </c>
      <c r="E93" s="457">
        <f>-E345</f>
        <v>-1073</v>
      </c>
      <c r="F93" s="457">
        <f>-F345</f>
        <v>-1191</v>
      </c>
      <c r="G93" s="457">
        <f t="shared" ref="G93:P93" si="234">-G345</f>
        <v>-1362</v>
      </c>
      <c r="H93" s="457">
        <f t="shared" si="234"/>
        <v>-1366</v>
      </c>
      <c r="I93" s="457">
        <f t="shared" si="234"/>
        <v>-1427</v>
      </c>
      <c r="J93" s="457">
        <f t="shared" si="234"/>
        <v>-991</v>
      </c>
      <c r="K93" s="457">
        <f t="shared" si="234"/>
        <v>-1052</v>
      </c>
      <c r="L93" s="457">
        <f t="shared" si="234"/>
        <v>-1021</v>
      </c>
      <c r="M93" s="457">
        <f t="shared" si="234"/>
        <v>-1068</v>
      </c>
      <c r="N93" s="457">
        <f t="shared" si="234"/>
        <v>-1075</v>
      </c>
      <c r="O93" s="457">
        <f t="shared" si="234"/>
        <v>-1413</v>
      </c>
      <c r="P93" s="457">
        <f t="shared" si="234"/>
        <v>-1520</v>
      </c>
      <c r="Q93" s="457">
        <f t="shared" ref="Q93" si="235">-Q345</f>
        <v>-1408</v>
      </c>
      <c r="R93" s="457">
        <f t="shared" ref="R93" si="236">-R345</f>
        <v>-1525</v>
      </c>
      <c r="S93" s="457">
        <f>-S345</f>
        <v>-1463</v>
      </c>
      <c r="T93" s="457">
        <f>-T345</f>
        <v>-1494</v>
      </c>
      <c r="U93" s="457">
        <f t="shared" ref="U93:W93" si="237">U97*U91</f>
        <v>-1406.16</v>
      </c>
      <c r="V93" s="457">
        <f t="shared" si="237"/>
        <v>-1401.3436602489246</v>
      </c>
      <c r="W93" s="457">
        <f t="shared" si="237"/>
        <v>-1403.5416622469752</v>
      </c>
      <c r="X93" s="457">
        <f t="shared" ref="X93:AA93" si="238">X97*X91</f>
        <v>-1411.8730140733828</v>
      </c>
      <c r="Y93" s="457">
        <f t="shared" si="238"/>
        <v>-1349.1591651138999</v>
      </c>
      <c r="Z93" s="457">
        <f t="shared" si="238"/>
        <v>-1300.3439035739173</v>
      </c>
      <c r="AA93" s="457">
        <f t="shared" si="238"/>
        <v>-1226.6014365875315</v>
      </c>
      <c r="AB93" s="457"/>
    </row>
    <row r="94" spans="1:79" s="226" customFormat="1" ht="13">
      <c r="A94" s="226" t="s">
        <v>593</v>
      </c>
      <c r="P94" s="457">
        <f>P95-P93-P92-P91</f>
        <v>595</v>
      </c>
      <c r="Q94" s="457">
        <f>Q95-Q93-Q92-Q91</f>
        <v>740</v>
      </c>
      <c r="R94" s="457">
        <f>R95-R93-R92-R91</f>
        <v>457</v>
      </c>
      <c r="S94" s="457">
        <f>S95-S93-S92-S91</f>
        <v>496</v>
      </c>
      <c r="T94" s="457">
        <f>T95-T93-T92-T91</f>
        <v>439</v>
      </c>
      <c r="U94" s="457"/>
      <c r="V94" s="457"/>
      <c r="W94" s="457"/>
      <c r="X94" s="457"/>
      <c r="Y94" s="457"/>
      <c r="Z94" s="457"/>
      <c r="AA94" s="457"/>
      <c r="AB94" s="457"/>
    </row>
    <row r="95" spans="1:79" s="235" customFormat="1" ht="13">
      <c r="A95" s="283" t="s">
        <v>587</v>
      </c>
      <c r="B95" s="283"/>
      <c r="C95" s="283"/>
      <c r="D95" s="458">
        <v>4555</v>
      </c>
      <c r="E95" s="458">
        <v>5007</v>
      </c>
      <c r="F95" s="458">
        <v>4971</v>
      </c>
      <c r="G95" s="458">
        <v>4849</v>
      </c>
      <c r="H95" s="458">
        <v>4038</v>
      </c>
      <c r="I95" s="458">
        <v>4008</v>
      </c>
      <c r="J95" s="458">
        <v>4227</v>
      </c>
      <c r="K95" s="458">
        <v>4502</v>
      </c>
      <c r="L95" s="458">
        <v>4841</v>
      </c>
      <c r="M95" s="458">
        <v>5190</v>
      </c>
      <c r="N95" s="458">
        <v>4922</v>
      </c>
      <c r="O95" s="458">
        <v>4931</v>
      </c>
      <c r="P95" s="459">
        <v>5193</v>
      </c>
      <c r="Q95" s="459">
        <v>5639</v>
      </c>
      <c r="R95" s="459">
        <v>5384</v>
      </c>
      <c r="S95" s="459">
        <v>5091</v>
      </c>
      <c r="T95" s="459">
        <v>5022</v>
      </c>
      <c r="U95" s="460">
        <f t="shared" ref="U95:AA95" si="239">U91+U92+U93+U94</f>
        <v>4710.3988579795787</v>
      </c>
      <c r="V95" s="460">
        <f t="shared" si="239"/>
        <v>4318.5897299906928</v>
      </c>
      <c r="W95" s="460">
        <f t="shared" si="239"/>
        <v>3949.2951442612107</v>
      </c>
      <c r="X95" s="460">
        <f t="shared" si="239"/>
        <v>3597.7577736370663</v>
      </c>
      <c r="Y95" s="460">
        <f t="shared" si="239"/>
        <v>3334.2151373690185</v>
      </c>
      <c r="Z95" s="460">
        <f t="shared" si="239"/>
        <v>3145.1318886859781</v>
      </c>
      <c r="AA95" s="460">
        <f t="shared" si="239"/>
        <v>3434.9555538280392</v>
      </c>
      <c r="AB95" s="461"/>
    </row>
    <row r="96" spans="1:79" s="235" customFormat="1" ht="13">
      <c r="A96" s="226" t="s">
        <v>0</v>
      </c>
      <c r="P96" s="381"/>
      <c r="Q96" s="381"/>
      <c r="R96" s="161">
        <f t="shared" ref="R96:W96" si="240">R95/Q95-1</f>
        <v>-4.522078382691963E-2</v>
      </c>
      <c r="S96" s="161">
        <f t="shared" si="240"/>
        <v>-5.4420505200594382E-2</v>
      </c>
      <c r="T96" s="161">
        <f t="shared" si="240"/>
        <v>-1.3553329404832004E-2</v>
      </c>
      <c r="U96" s="161">
        <f t="shared" si="240"/>
        <v>-6.2047220633297706E-2</v>
      </c>
      <c r="V96" s="161">
        <f t="shared" si="240"/>
        <v>-8.317960746044839E-2</v>
      </c>
      <c r="W96" s="161">
        <f t="shared" si="240"/>
        <v>-8.5512773571634892E-2</v>
      </c>
      <c r="X96" s="161">
        <f t="shared" ref="X96" si="241">X95/W95-1</f>
        <v>-8.9012686513179284E-2</v>
      </c>
      <c r="Y96" s="161">
        <f t="shared" ref="Y96" si="242">Y95/X95-1</f>
        <v>-7.3251912121261475E-2</v>
      </c>
      <c r="Z96" s="161">
        <f t="shared" ref="Z96" si="243">Z95/Y95-1</f>
        <v>-5.6709972480133208E-2</v>
      </c>
      <c r="AA96" s="161">
        <f t="shared" ref="AA96" si="244">AA95/Z95-1</f>
        <v>9.2149924200205291E-2</v>
      </c>
      <c r="AB96" s="229"/>
    </row>
    <row r="97" spans="1:79" s="235" customFormat="1" ht="13">
      <c r="A97" s="226" t="s">
        <v>594</v>
      </c>
      <c r="P97" s="161">
        <f>P93/P91</f>
        <v>-0.30825390387345364</v>
      </c>
      <c r="Q97" s="161">
        <f>Q93/Q91</f>
        <v>-0.27113421914115154</v>
      </c>
      <c r="R97" s="161">
        <f>R93/R91</f>
        <v>-0.27043802092569602</v>
      </c>
      <c r="S97" s="161">
        <f>S93/S91</f>
        <v>-0.27173105497771172</v>
      </c>
      <c r="T97" s="161">
        <f>T93/T91</f>
        <v>-0.29345904537418976</v>
      </c>
      <c r="U97" s="267">
        <v>-0.28000000000000003</v>
      </c>
      <c r="V97" s="267">
        <v>-0.29749999999999999</v>
      </c>
      <c r="W97" s="267">
        <v>-0.32500000000000001</v>
      </c>
      <c r="X97" s="267">
        <v>-0.35749999999999998</v>
      </c>
      <c r="Y97" s="267">
        <v>-0.375</v>
      </c>
      <c r="Z97" s="267">
        <v>-0.39</v>
      </c>
      <c r="AA97" s="267">
        <v>-0.39</v>
      </c>
      <c r="AB97" s="462"/>
    </row>
    <row r="98" spans="1:79" s="163" customFormat="1" ht="13">
      <c r="A98" s="226"/>
      <c r="B98" s="170"/>
      <c r="C98" s="170"/>
      <c r="D98" s="170"/>
      <c r="E98" s="170"/>
      <c r="F98" s="170"/>
      <c r="G98" s="170"/>
      <c r="H98" s="170"/>
      <c r="I98" s="170"/>
      <c r="J98" s="170"/>
      <c r="K98" s="170"/>
      <c r="L98" s="170"/>
      <c r="M98" s="170"/>
      <c r="N98" s="170"/>
      <c r="O98" s="170"/>
      <c r="P98" s="170"/>
      <c r="Q98" s="170"/>
      <c r="R98" s="170"/>
      <c r="S98" s="170"/>
      <c r="T98" s="170"/>
      <c r="U98" s="170"/>
      <c r="V98" s="170"/>
      <c r="W98" s="170"/>
      <c r="X98" s="170"/>
      <c r="Y98" s="170"/>
      <c r="Z98" s="170"/>
      <c r="AA98" s="170"/>
      <c r="AB98" s="170"/>
      <c r="AC98" s="159"/>
      <c r="AD98" s="159"/>
      <c r="AE98" s="159"/>
      <c r="AF98" s="159"/>
      <c r="AG98" s="159"/>
      <c r="AH98" s="159"/>
      <c r="AI98" s="159"/>
      <c r="BZ98" s="286"/>
      <c r="CA98" s="287"/>
    </row>
    <row r="99" spans="1:79" s="163" customFormat="1" ht="13">
      <c r="A99" s="226" t="s">
        <v>149</v>
      </c>
      <c r="B99" s="218">
        <f t="shared" ref="B99:AA99" si="245">B73/B93</f>
        <v>-1.2570469798657717</v>
      </c>
      <c r="C99" s="218">
        <f t="shared" si="245"/>
        <v>-0.67337695017614485</v>
      </c>
      <c r="D99" s="218">
        <f t="shared" si="245"/>
        <v>-0.50643776824034337</v>
      </c>
      <c r="E99" s="218">
        <f t="shared" si="245"/>
        <v>-1.3457595526561044</v>
      </c>
      <c r="F99" s="218">
        <f t="shared" si="245"/>
        <v>-0.83039462636439965</v>
      </c>
      <c r="G99" s="218">
        <f t="shared" si="245"/>
        <v>-0.72687224669603523</v>
      </c>
      <c r="H99" s="218">
        <f t="shared" si="245"/>
        <v>-0.59663250366032206</v>
      </c>
      <c r="I99" s="218">
        <f t="shared" si="245"/>
        <v>-0.79887876664330759</v>
      </c>
      <c r="J99" s="218">
        <f t="shared" si="245"/>
        <v>-1.3158425832492431</v>
      </c>
      <c r="K99" s="218">
        <f t="shared" si="245"/>
        <v>-1.1302281368821292</v>
      </c>
      <c r="L99" s="218">
        <f t="shared" si="245"/>
        <v>-1.0068560235063664</v>
      </c>
      <c r="M99" s="218">
        <f t="shared" si="245"/>
        <v>-0.9719101123595506</v>
      </c>
      <c r="N99" s="218">
        <f t="shared" si="245"/>
        <v>-1.1283720930232559</v>
      </c>
      <c r="O99" s="218">
        <f t="shared" si="245"/>
        <v>-0.88110403397027603</v>
      </c>
      <c r="P99" s="218">
        <f t="shared" si="245"/>
        <v>-0.78092105263157896</v>
      </c>
      <c r="Q99" s="218">
        <f t="shared" si="245"/>
        <v>-0.79119318181818177</v>
      </c>
      <c r="R99" s="218">
        <f t="shared" si="245"/>
        <v>-0.53311475409836062</v>
      </c>
      <c r="S99" s="218">
        <f t="shared" si="245"/>
        <v>-0.46069719753930283</v>
      </c>
      <c r="T99" s="218">
        <f t="shared" ref="T99" si="246">T73/T93</f>
        <v>-0.65997322623828647</v>
      </c>
      <c r="U99" s="218">
        <f t="shared" si="245"/>
        <v>-0.77840278345250824</v>
      </c>
      <c r="V99" s="218">
        <f t="shared" si="245"/>
        <v>-0.72040468080521558</v>
      </c>
      <c r="W99" s="218">
        <f t="shared" si="245"/>
        <v>-0.73688377362573887</v>
      </c>
      <c r="X99" s="218">
        <f t="shared" si="245"/>
        <v>-0.75101346429879934</v>
      </c>
      <c r="Y99" s="218">
        <f t="shared" si="245"/>
        <v>-0.80466156767663588</v>
      </c>
      <c r="Z99" s="218">
        <f t="shared" si="245"/>
        <v>-0.85458981415350488</v>
      </c>
      <c r="AA99" s="218">
        <f t="shared" si="245"/>
        <v>-1.2362818569236036</v>
      </c>
      <c r="AB99" s="229"/>
      <c r="AC99" s="159"/>
      <c r="AD99" s="159"/>
      <c r="AE99" s="159"/>
      <c r="AF99" s="159"/>
      <c r="AG99" s="159"/>
      <c r="AH99" s="159"/>
      <c r="AI99" s="159"/>
      <c r="BZ99" s="286"/>
      <c r="CA99" s="287"/>
    </row>
    <row r="100" spans="1:79" s="163" customFormat="1" ht="13">
      <c r="A100" s="226" t="s">
        <v>150</v>
      </c>
      <c r="B100" s="170">
        <f>B73/'Income Statement'!B432</f>
        <v>0.14613784135240571</v>
      </c>
      <c r="C100" s="170">
        <f>C73/'Income Statement'!G432</f>
        <v>9.5007041503449741E-2</v>
      </c>
      <c r="D100" s="170">
        <f>D73/'Income Statement'!L432</f>
        <v>6.8509057129586617E-2</v>
      </c>
      <c r="E100" s="170">
        <f>E73/'Income Statement'!Q432</f>
        <v>0.16281429698951405</v>
      </c>
      <c r="F100" s="170">
        <f>F73/'Income Statement'!V432</f>
        <v>0.11260389388591598</v>
      </c>
      <c r="G100" s="170">
        <f>G73/'Income Statement'!AA432</f>
        <v>0.11148648648648649</v>
      </c>
      <c r="H100" s="170">
        <f>H73/'Income Statement'!AF432</f>
        <v>9.0270981302055353E-2</v>
      </c>
      <c r="I100" s="170">
        <f>I73/'Income Statement'!AK432</f>
        <v>0.13564969062351262</v>
      </c>
      <c r="J100" s="170">
        <f>J73/'Income Statement'!AP432</f>
        <v>0.15161027787466574</v>
      </c>
      <c r="K100" s="170">
        <f>K73/'Income Statement'!AU432</f>
        <v>0.13806316767301441</v>
      </c>
      <c r="L100" s="170">
        <f>L73/'Income Statement'!AZ432</f>
        <v>0.10914109778108079</v>
      </c>
      <c r="M100" s="170">
        <f>M73/'Income Statement'!BE432</f>
        <v>0.1129242819843342</v>
      </c>
      <c r="N100" s="170">
        <f>N73/'Income Statement'!BJ432</f>
        <v>0.13024804037367121</v>
      </c>
      <c r="O100" s="170">
        <f>O73/'Income Statement'!BO432</f>
        <v>0.13885790765112649</v>
      </c>
      <c r="P100" s="170">
        <f>P73/'Income Statement'!BT432</f>
        <v>0.12844930202359053</v>
      </c>
      <c r="Q100" s="170">
        <f>Q73/'Income Statement'!BY432</f>
        <v>0.11380120543467157</v>
      </c>
      <c r="R100" s="170">
        <f>R73/'Income Statement'!CD432</f>
        <v>7.9862475442043224E-2</v>
      </c>
      <c r="S100" s="170">
        <f>S73/'Income Statement'!CI432</f>
        <v>6.3971146545178437E-2</v>
      </c>
      <c r="T100" s="170">
        <f>T73/'Income Statement'!CJ432</f>
        <v>0.37806748466257667</v>
      </c>
      <c r="U100" s="170">
        <f>U73/'Income Statement'!CQ432</f>
        <v>0.1</v>
      </c>
      <c r="V100" s="170">
        <f>V73/'Income Statement'!CR432</f>
        <v>0.09</v>
      </c>
      <c r="W100" s="170">
        <f>W73/'Income Statement'!CS432</f>
        <v>0.09</v>
      </c>
      <c r="X100" s="170">
        <f>X73/'Income Statement'!CT432</f>
        <v>0.09</v>
      </c>
      <c r="Y100" s="170">
        <f>Y73/'Income Statement'!CU432</f>
        <v>9.0000000000000011E-2</v>
      </c>
      <c r="Z100" s="170">
        <f>Z73/'Income Statement'!CV432</f>
        <v>0.09</v>
      </c>
      <c r="AA100" s="170">
        <f>AA73/'Income Statement'!CW432</f>
        <v>0.12</v>
      </c>
      <c r="AB100" s="170"/>
      <c r="AC100" s="159"/>
      <c r="AD100" s="159"/>
      <c r="AE100" s="159"/>
      <c r="AF100" s="159"/>
      <c r="AG100" s="159"/>
      <c r="AH100" s="159"/>
      <c r="AI100" s="159"/>
      <c r="BZ100" s="286"/>
      <c r="CA100" s="287"/>
    </row>
    <row r="101" spans="1:79" s="163" customFormat="1" ht="13">
      <c r="A101" s="443" t="s">
        <v>85</v>
      </c>
      <c r="B101" s="444">
        <f>B$2</f>
        <v>2007</v>
      </c>
      <c r="C101" s="444">
        <f t="shared" ref="C101:Q101" si="247">B101+1</f>
        <v>2008</v>
      </c>
      <c r="D101" s="444">
        <f t="shared" si="247"/>
        <v>2009</v>
      </c>
      <c r="E101" s="444">
        <f t="shared" si="247"/>
        <v>2010</v>
      </c>
      <c r="F101" s="444">
        <f t="shared" si="247"/>
        <v>2011</v>
      </c>
      <c r="G101" s="444">
        <f t="shared" si="247"/>
        <v>2012</v>
      </c>
      <c r="H101" s="444">
        <f t="shared" si="247"/>
        <v>2013</v>
      </c>
      <c r="I101" s="444">
        <f t="shared" si="247"/>
        <v>2014</v>
      </c>
      <c r="J101" s="444">
        <f t="shared" si="247"/>
        <v>2015</v>
      </c>
      <c r="K101" s="444">
        <f t="shared" si="247"/>
        <v>2016</v>
      </c>
      <c r="L101" s="444">
        <f t="shared" si="247"/>
        <v>2017</v>
      </c>
      <c r="M101" s="444">
        <f t="shared" si="247"/>
        <v>2018</v>
      </c>
      <c r="N101" s="444">
        <f t="shared" si="247"/>
        <v>2019</v>
      </c>
      <c r="O101" s="444">
        <f t="shared" si="247"/>
        <v>2020</v>
      </c>
      <c r="P101" s="444">
        <f t="shared" si="247"/>
        <v>2021</v>
      </c>
      <c r="Q101" s="444">
        <f t="shared" si="247"/>
        <v>2022</v>
      </c>
      <c r="R101" s="444">
        <f t="shared" ref="R101:W101" si="248">Q101+1</f>
        <v>2023</v>
      </c>
      <c r="S101" s="444">
        <f t="shared" si="248"/>
        <v>2024</v>
      </c>
      <c r="T101" s="444">
        <f t="shared" si="248"/>
        <v>2025</v>
      </c>
      <c r="U101" s="444">
        <f t="shared" si="248"/>
        <v>2026</v>
      </c>
      <c r="V101" s="444">
        <f t="shared" si="248"/>
        <v>2027</v>
      </c>
      <c r="W101" s="444">
        <f t="shared" si="248"/>
        <v>2028</v>
      </c>
      <c r="X101" s="444">
        <f t="shared" ref="X101" si="249">W101+1</f>
        <v>2029</v>
      </c>
      <c r="Y101" s="444">
        <f t="shared" ref="Y101" si="250">X101+1</f>
        <v>2030</v>
      </c>
      <c r="Z101" s="444">
        <f t="shared" ref="Z101" si="251">Y101+1</f>
        <v>2031</v>
      </c>
      <c r="AA101" s="444">
        <f t="shared" ref="AA101" si="252">Z101+1</f>
        <v>2032</v>
      </c>
      <c r="AB101" s="221"/>
      <c r="AC101" s="159"/>
      <c r="AD101" s="159"/>
      <c r="AE101" s="159"/>
      <c r="AF101" s="159"/>
      <c r="AG101" s="159"/>
      <c r="AH101" s="159"/>
      <c r="AI101" s="159"/>
      <c r="BZ101" s="286"/>
      <c r="CA101" s="287"/>
    </row>
    <row r="102" spans="1:79" s="163" customFormat="1" ht="13">
      <c r="A102" s="226"/>
      <c r="H102" s="159"/>
      <c r="I102" s="159"/>
      <c r="J102" s="159"/>
      <c r="K102" s="159"/>
      <c r="L102" s="159"/>
      <c r="M102" s="159"/>
      <c r="N102" s="159"/>
      <c r="O102" s="159"/>
      <c r="P102" s="159"/>
      <c r="Q102" s="159"/>
      <c r="R102" s="159"/>
      <c r="S102" s="159"/>
      <c r="T102" s="159"/>
      <c r="U102" s="159"/>
      <c r="V102" s="159"/>
      <c r="W102" s="159"/>
      <c r="X102" s="159"/>
      <c r="Y102" s="159"/>
      <c r="Z102" s="159"/>
      <c r="AA102" s="159"/>
      <c r="AB102" s="159"/>
      <c r="AC102" s="159"/>
      <c r="AD102" s="159"/>
      <c r="AE102" s="159"/>
      <c r="AF102" s="159"/>
      <c r="AG102" s="159"/>
      <c r="AH102" s="165"/>
      <c r="AI102" s="165"/>
      <c r="BZ102" s="286"/>
      <c r="CA102" s="287"/>
    </row>
    <row r="103" spans="1:79" s="163" customFormat="1" ht="13">
      <c r="A103" s="279" t="s">
        <v>595</v>
      </c>
      <c r="B103" s="463"/>
      <c r="C103" s="463"/>
      <c r="D103" s="463"/>
      <c r="E103" s="463"/>
      <c r="F103" s="463"/>
      <c r="G103" s="463"/>
      <c r="H103" s="464"/>
      <c r="I103" s="464"/>
      <c r="J103" s="464"/>
      <c r="K103" s="464"/>
      <c r="L103" s="464"/>
      <c r="M103" s="464"/>
      <c r="N103" s="464"/>
      <c r="O103" s="464"/>
      <c r="P103" s="464"/>
      <c r="Q103" s="464"/>
      <c r="R103" s="464"/>
      <c r="S103" s="464"/>
      <c r="T103" s="464"/>
      <c r="U103" s="464"/>
      <c r="V103" s="464"/>
      <c r="W103" s="464"/>
      <c r="X103" s="464"/>
      <c r="Y103" s="464"/>
      <c r="Z103" s="464"/>
      <c r="AA103" s="464"/>
      <c r="AB103" s="159"/>
      <c r="AC103" s="159"/>
      <c r="AD103" s="159"/>
      <c r="AE103" s="159"/>
      <c r="AF103" s="159"/>
      <c r="AG103" s="159"/>
      <c r="AH103" s="165"/>
      <c r="AI103" s="165"/>
      <c r="BZ103" s="286"/>
      <c r="CA103" s="287"/>
    </row>
    <row r="104" spans="1:79" s="163" customFormat="1" ht="13">
      <c r="A104" s="226" t="s">
        <v>590</v>
      </c>
      <c r="H104" s="159"/>
      <c r="I104" s="159"/>
      <c r="J104" s="159"/>
      <c r="K104" s="159"/>
      <c r="L104" s="159"/>
      <c r="M104" s="159"/>
      <c r="N104" s="159"/>
      <c r="O104" s="159"/>
      <c r="P104" s="159">
        <f>O107</f>
        <v>11461</v>
      </c>
      <c r="Q104" s="159">
        <f>P107</f>
        <v>11474</v>
      </c>
      <c r="R104" s="159">
        <f>Q107</f>
        <v>11507</v>
      </c>
      <c r="S104" s="159">
        <f t="shared" ref="S104:W104" si="253">R107</f>
        <v>11193</v>
      </c>
      <c r="T104" s="159">
        <f t="shared" si="253"/>
        <v>11042</v>
      </c>
      <c r="U104" s="159">
        <f t="shared" si="253"/>
        <v>10945</v>
      </c>
      <c r="V104" s="159">
        <f t="shared" si="253"/>
        <v>10857.598594457526</v>
      </c>
      <c r="W104" s="159">
        <f t="shared" si="253"/>
        <v>10760.037535107327</v>
      </c>
      <c r="X104" s="159">
        <f t="shared" ref="X104" si="254">W107</f>
        <v>10652.593074083878</v>
      </c>
      <c r="Y104" s="159">
        <f t="shared" ref="Y104" si="255">X107</f>
        <v>10546.221500786603</v>
      </c>
      <c r="Z104" s="159">
        <f t="shared" ref="Z104" si="256">Y107</f>
        <v>10388.180994380595</v>
      </c>
      <c r="AA104" s="159">
        <f t="shared" ref="AA104" si="257">Z107</f>
        <v>10180.56790057151</v>
      </c>
      <c r="AB104" s="159"/>
      <c r="AC104" s="159"/>
      <c r="AD104" s="159"/>
      <c r="AE104" s="159"/>
      <c r="AF104" s="159"/>
      <c r="AG104" s="159"/>
      <c r="AH104" s="165"/>
      <c r="AI104" s="165"/>
      <c r="BZ104" s="286"/>
      <c r="CA104" s="287"/>
    </row>
    <row r="105" spans="1:79" s="163" customFormat="1" ht="13">
      <c r="A105" s="226" t="s">
        <v>597</v>
      </c>
      <c r="B105" s="159">
        <f>-B346</f>
        <v>0</v>
      </c>
      <c r="C105" s="159">
        <f t="shared" ref="C105:P105" si="258">-C346</f>
        <v>0</v>
      </c>
      <c r="D105" s="159">
        <f t="shared" si="258"/>
        <v>0</v>
      </c>
      <c r="E105" s="159">
        <f t="shared" si="258"/>
        <v>0</v>
      </c>
      <c r="F105" s="159">
        <f t="shared" si="258"/>
        <v>0</v>
      </c>
      <c r="G105" s="159">
        <f t="shared" si="258"/>
        <v>0</v>
      </c>
      <c r="H105" s="159">
        <f t="shared" si="258"/>
        <v>0</v>
      </c>
      <c r="I105" s="159">
        <f t="shared" si="258"/>
        <v>0</v>
      </c>
      <c r="J105" s="159">
        <f t="shared" si="258"/>
        <v>-279</v>
      </c>
      <c r="K105" s="159">
        <f t="shared" si="258"/>
        <v>-341</v>
      </c>
      <c r="L105" s="159">
        <f t="shared" si="258"/>
        <v>-399</v>
      </c>
      <c r="M105" s="159">
        <f t="shared" si="258"/>
        <v>0</v>
      </c>
      <c r="N105" s="159">
        <f t="shared" si="258"/>
        <v>-190</v>
      </c>
      <c r="O105" s="159">
        <f t="shared" si="258"/>
        <v>-62</v>
      </c>
      <c r="P105" s="159">
        <f t="shared" si="258"/>
        <v>-181</v>
      </c>
      <c r="Q105" s="159">
        <f t="shared" ref="Q105" si="259">-Q346</f>
        <v>-313</v>
      </c>
      <c r="R105" s="159">
        <f t="shared" ref="R105:S105" si="260">-R346</f>
        <v>-378</v>
      </c>
      <c r="S105" s="159">
        <f t="shared" si="260"/>
        <v>-317</v>
      </c>
      <c r="T105" s="159">
        <f t="shared" ref="T105" si="261">-T346</f>
        <v>-318</v>
      </c>
      <c r="U105" s="159">
        <f t="shared" ref="U105:W105" si="262">U109*U104</f>
        <v>-306.45999999999998</v>
      </c>
      <c r="V105" s="159">
        <f t="shared" si="262"/>
        <v>-314.87035923926828</v>
      </c>
      <c r="W105" s="159">
        <f t="shared" si="262"/>
        <v>-322.80112605321978</v>
      </c>
      <c r="X105" s="159">
        <f t="shared" ref="X105:AA105" si="263">X109*X104</f>
        <v>-319.57779222251634</v>
      </c>
      <c r="Y105" s="159">
        <f t="shared" si="263"/>
        <v>-369.11775252753114</v>
      </c>
      <c r="Z105" s="159">
        <f t="shared" si="263"/>
        <v>-415.52723977522379</v>
      </c>
      <c r="AA105" s="159">
        <f t="shared" si="263"/>
        <v>-458.12555552571791</v>
      </c>
      <c r="AB105" s="159"/>
      <c r="AC105" s="159"/>
      <c r="AD105" s="159"/>
      <c r="AE105" s="159"/>
      <c r="AF105" s="159"/>
      <c r="AG105" s="159"/>
      <c r="AH105" s="165"/>
      <c r="AI105" s="165"/>
      <c r="BZ105" s="286"/>
      <c r="CA105" s="287"/>
    </row>
    <row r="106" spans="1:79" s="163" customFormat="1" ht="13">
      <c r="A106" s="226" t="s">
        <v>596</v>
      </c>
      <c r="H106" s="159"/>
      <c r="I106" s="159"/>
      <c r="J106" s="159"/>
      <c r="K106" s="159"/>
      <c r="L106" s="159"/>
      <c r="M106" s="159"/>
      <c r="N106" s="159"/>
      <c r="O106" s="159"/>
      <c r="P106" s="159">
        <f>P107-P105-P104</f>
        <v>194</v>
      </c>
      <c r="Q106" s="159">
        <f>Q107-Q105-Q104</f>
        <v>346</v>
      </c>
      <c r="R106" s="159">
        <f>R107-R105-R104</f>
        <v>64</v>
      </c>
      <c r="S106" s="159">
        <f>S107-S105-S104</f>
        <v>166</v>
      </c>
      <c r="T106" s="159">
        <f>T107-T105-T104</f>
        <v>221</v>
      </c>
      <c r="U106" s="159">
        <f t="shared" ref="U106:W106" si="264">U110*U104</f>
        <v>219.0585944575258</v>
      </c>
      <c r="V106" s="159">
        <f t="shared" si="264"/>
        <v>217.30929988907019</v>
      </c>
      <c r="W106" s="159">
        <f t="shared" si="264"/>
        <v>215.35666502976989</v>
      </c>
      <c r="X106" s="159">
        <f t="shared" ref="X106:AA106" si="265">X110*X104</f>
        <v>213.20621892524332</v>
      </c>
      <c r="Y106" s="159">
        <f t="shared" si="265"/>
        <v>211.0772461215214</v>
      </c>
      <c r="Z106" s="159">
        <f t="shared" si="265"/>
        <v>207.91414596613942</v>
      </c>
      <c r="AA106" s="159">
        <f t="shared" si="265"/>
        <v>203.75887574952941</v>
      </c>
      <c r="AB106" s="159"/>
      <c r="AC106" s="159"/>
      <c r="AD106" s="159"/>
      <c r="AE106" s="159"/>
      <c r="AF106" s="159"/>
      <c r="AG106" s="159"/>
      <c r="AH106" s="165"/>
      <c r="AI106" s="165"/>
      <c r="BZ106" s="286"/>
      <c r="CA106" s="287"/>
    </row>
    <row r="107" spans="1:79" s="163" customFormat="1" ht="13">
      <c r="A107" s="283" t="s">
        <v>587</v>
      </c>
      <c r="B107" s="387"/>
      <c r="C107" s="387"/>
      <c r="D107" s="465">
        <v>11019</v>
      </c>
      <c r="E107" s="465">
        <v>11019</v>
      </c>
      <c r="F107" s="465">
        <v>11060</v>
      </c>
      <c r="G107" s="465">
        <v>10810</v>
      </c>
      <c r="H107" s="466">
        <v>11167</v>
      </c>
      <c r="I107" s="466">
        <v>11176</v>
      </c>
      <c r="J107" s="466">
        <v>11267</v>
      </c>
      <c r="K107" s="466">
        <v>11297</v>
      </c>
      <c r="L107" s="466">
        <v>11353.75</v>
      </c>
      <c r="M107" s="466">
        <v>10926</v>
      </c>
      <c r="N107" s="466">
        <v>11310</v>
      </c>
      <c r="O107" s="466">
        <v>11461</v>
      </c>
      <c r="P107" s="466">
        <v>11474</v>
      </c>
      <c r="Q107" s="466">
        <v>11507</v>
      </c>
      <c r="R107" s="466">
        <v>11193</v>
      </c>
      <c r="S107" s="466">
        <v>11042</v>
      </c>
      <c r="T107" s="466">
        <v>10945</v>
      </c>
      <c r="U107" s="467">
        <f t="shared" ref="U107:W107" si="266">U104+U105+U106</f>
        <v>10857.598594457526</v>
      </c>
      <c r="V107" s="467">
        <f t="shared" si="266"/>
        <v>10760.037535107327</v>
      </c>
      <c r="W107" s="467">
        <f t="shared" si="266"/>
        <v>10652.593074083878</v>
      </c>
      <c r="X107" s="467">
        <f t="shared" ref="X107:AA107" si="267">X104+X105+X106</f>
        <v>10546.221500786603</v>
      </c>
      <c r="Y107" s="467">
        <f t="shared" si="267"/>
        <v>10388.180994380595</v>
      </c>
      <c r="Z107" s="467">
        <f t="shared" si="267"/>
        <v>10180.56790057151</v>
      </c>
      <c r="AA107" s="467">
        <f t="shared" si="267"/>
        <v>9926.2012207953212</v>
      </c>
      <c r="AB107" s="159"/>
      <c r="AC107" s="159"/>
      <c r="AD107" s="159"/>
      <c r="AE107" s="159"/>
      <c r="AF107" s="159"/>
      <c r="AG107" s="159"/>
      <c r="AH107" s="165"/>
      <c r="AI107" s="165"/>
      <c r="BZ107" s="286"/>
      <c r="CA107" s="287"/>
    </row>
    <row r="108" spans="1:79" s="163" customFormat="1" ht="13">
      <c r="A108" s="235"/>
      <c r="H108" s="159"/>
      <c r="I108" s="159"/>
      <c r="J108" s="159"/>
      <c r="K108" s="159"/>
      <c r="L108" s="159"/>
      <c r="M108" s="159"/>
      <c r="N108" s="159"/>
      <c r="O108" s="159"/>
      <c r="P108" s="468"/>
      <c r="Q108" s="468"/>
      <c r="R108" s="468"/>
      <c r="S108" s="468"/>
      <c r="T108" s="468"/>
      <c r="U108" s="365"/>
      <c r="V108" s="365"/>
      <c r="W108" s="365"/>
      <c r="X108" s="365"/>
      <c r="Y108" s="365"/>
      <c r="Z108" s="159"/>
      <c r="AA108" s="159"/>
      <c r="AB108" s="159"/>
      <c r="AC108" s="159"/>
      <c r="AD108" s="159"/>
      <c r="AE108" s="159"/>
      <c r="AF108" s="159"/>
      <c r="AG108" s="159"/>
      <c r="AH108" s="165"/>
      <c r="AI108" s="165"/>
      <c r="BZ108" s="286"/>
      <c r="CA108" s="287"/>
    </row>
    <row r="109" spans="1:79" s="163" customFormat="1" ht="13">
      <c r="A109" s="226" t="s">
        <v>598</v>
      </c>
      <c r="H109" s="159"/>
      <c r="I109" s="159"/>
      <c r="J109" s="159"/>
      <c r="K109" s="159"/>
      <c r="L109" s="159"/>
      <c r="M109" s="159"/>
      <c r="N109" s="159"/>
      <c r="O109" s="159"/>
      <c r="P109" s="161">
        <f>P105/P104</f>
        <v>-1.5792688247098858E-2</v>
      </c>
      <c r="Q109" s="161">
        <f>Q105/Q104</f>
        <v>-2.7279065713787694E-2</v>
      </c>
      <c r="R109" s="161">
        <f>R105/R104</f>
        <v>-3.2849569827061789E-2</v>
      </c>
      <c r="S109" s="161">
        <f>S105/S104</f>
        <v>-2.8321272223711249E-2</v>
      </c>
      <c r="T109" s="161">
        <f>T105/T104</f>
        <v>-2.8799130592284006E-2</v>
      </c>
      <c r="U109" s="267">
        <v>-2.8000000000000001E-2</v>
      </c>
      <c r="V109" s="267">
        <v>-2.9000000000000001E-2</v>
      </c>
      <c r="W109" s="267">
        <v>-0.03</v>
      </c>
      <c r="X109" s="267">
        <v>-0.03</v>
      </c>
      <c r="Y109" s="267">
        <v>-3.5000000000000003E-2</v>
      </c>
      <c r="Z109" s="267">
        <v>-0.04</v>
      </c>
      <c r="AA109" s="267">
        <v>-4.4999999999999998E-2</v>
      </c>
      <c r="AB109" s="185"/>
      <c r="AC109" s="159"/>
      <c r="AD109" s="159"/>
      <c r="AE109" s="159"/>
      <c r="AF109" s="159"/>
      <c r="AG109" s="159"/>
      <c r="AH109" s="165"/>
      <c r="AI109" s="165"/>
      <c r="BZ109" s="286"/>
      <c r="CA109" s="287"/>
    </row>
    <row r="110" spans="1:79" s="163" customFormat="1" ht="13">
      <c r="A110" s="226" t="s">
        <v>599</v>
      </c>
      <c r="H110" s="159"/>
      <c r="I110" s="159"/>
      <c r="J110" s="159"/>
      <c r="K110" s="159"/>
      <c r="L110" s="159"/>
      <c r="M110" s="159"/>
      <c r="N110" s="159"/>
      <c r="O110" s="159"/>
      <c r="P110" s="161">
        <f>P106/P104</f>
        <v>1.6926969723409825E-2</v>
      </c>
      <c r="Q110" s="161">
        <f>Q106/Q104</f>
        <v>3.0155133344953809E-2</v>
      </c>
      <c r="R110" s="161">
        <f>R106/R104</f>
        <v>5.5618319283914138E-3</v>
      </c>
      <c r="S110" s="161">
        <f>S106/S104</f>
        <v>1.4830697757527026E-2</v>
      </c>
      <c r="T110" s="161">
        <f>T106/T104</f>
        <v>2.0014490128599891E-2</v>
      </c>
      <c r="U110" s="267">
        <f t="shared" ref="U110:W110" si="268">T110</f>
        <v>2.0014490128599891E-2</v>
      </c>
      <c r="V110" s="267">
        <f t="shared" si="268"/>
        <v>2.0014490128599891E-2</v>
      </c>
      <c r="W110" s="267">
        <f t="shared" si="268"/>
        <v>2.0014490128599891E-2</v>
      </c>
      <c r="X110" s="267">
        <f t="shared" ref="X110" si="269">W110</f>
        <v>2.0014490128599891E-2</v>
      </c>
      <c r="Y110" s="267">
        <f t="shared" ref="Y110" si="270">X110</f>
        <v>2.0014490128599891E-2</v>
      </c>
      <c r="Z110" s="267">
        <f t="shared" ref="Z110" si="271">Y110</f>
        <v>2.0014490128599891E-2</v>
      </c>
      <c r="AA110" s="267">
        <f t="shared" ref="AA110" si="272">Z110</f>
        <v>2.0014490128599891E-2</v>
      </c>
      <c r="AB110" s="185"/>
      <c r="AC110" s="159"/>
      <c r="AD110" s="159"/>
      <c r="AE110" s="159"/>
      <c r="AF110" s="159"/>
      <c r="AG110" s="159"/>
      <c r="AH110" s="165"/>
      <c r="AI110" s="165"/>
      <c r="BZ110" s="286"/>
      <c r="CA110" s="287"/>
    </row>
    <row r="111" spans="1:79" s="163" customFormat="1" ht="13">
      <c r="A111" s="226"/>
      <c r="H111" s="159"/>
      <c r="I111" s="159"/>
      <c r="J111" s="159"/>
      <c r="K111" s="159"/>
      <c r="L111" s="159"/>
      <c r="M111" s="159"/>
      <c r="N111" s="159"/>
      <c r="O111" s="159"/>
      <c r="P111" s="159"/>
      <c r="Q111" s="159"/>
      <c r="R111" s="159"/>
      <c r="S111" s="159"/>
      <c r="T111" s="159"/>
      <c r="U111" s="159"/>
      <c r="V111" s="159"/>
      <c r="W111" s="159"/>
      <c r="X111" s="159"/>
      <c r="Y111" s="159"/>
      <c r="Z111" s="159"/>
      <c r="AA111" s="159"/>
      <c r="AB111" s="159"/>
      <c r="AC111" s="159"/>
      <c r="AD111" s="159"/>
      <c r="AE111" s="159"/>
      <c r="AF111" s="159"/>
      <c r="AG111" s="159"/>
      <c r="AH111" s="165"/>
      <c r="AI111" s="165"/>
      <c r="BZ111" s="286"/>
      <c r="CA111" s="287"/>
    </row>
    <row r="112" spans="1:79" s="163" customFormat="1" ht="13">
      <c r="A112" s="443" t="s">
        <v>151</v>
      </c>
      <c r="B112" s="444">
        <f>B$2</f>
        <v>2007</v>
      </c>
      <c r="C112" s="444">
        <f t="shared" ref="C112:Q112" si="273">B112+1</f>
        <v>2008</v>
      </c>
      <c r="D112" s="444">
        <f t="shared" si="273"/>
        <v>2009</v>
      </c>
      <c r="E112" s="444">
        <f t="shared" si="273"/>
        <v>2010</v>
      </c>
      <c r="F112" s="444">
        <f t="shared" si="273"/>
        <v>2011</v>
      </c>
      <c r="G112" s="444">
        <f t="shared" si="273"/>
        <v>2012</v>
      </c>
      <c r="H112" s="444">
        <f t="shared" si="273"/>
        <v>2013</v>
      </c>
      <c r="I112" s="444">
        <f t="shared" si="273"/>
        <v>2014</v>
      </c>
      <c r="J112" s="444">
        <f t="shared" si="273"/>
        <v>2015</v>
      </c>
      <c r="K112" s="444">
        <f t="shared" si="273"/>
        <v>2016</v>
      </c>
      <c r="L112" s="444">
        <f t="shared" si="273"/>
        <v>2017</v>
      </c>
      <c r="M112" s="444">
        <f t="shared" si="273"/>
        <v>2018</v>
      </c>
      <c r="N112" s="444">
        <f t="shared" si="273"/>
        <v>2019</v>
      </c>
      <c r="O112" s="444">
        <f t="shared" si="273"/>
        <v>2020</v>
      </c>
      <c r="P112" s="444">
        <f t="shared" si="273"/>
        <v>2021</v>
      </c>
      <c r="Q112" s="444">
        <f t="shared" si="273"/>
        <v>2022</v>
      </c>
      <c r="R112" s="444">
        <f t="shared" ref="R112:W112" si="274">Q112+1</f>
        <v>2023</v>
      </c>
      <c r="S112" s="444">
        <f t="shared" si="274"/>
        <v>2024</v>
      </c>
      <c r="T112" s="444">
        <f t="shared" si="274"/>
        <v>2025</v>
      </c>
      <c r="U112" s="444">
        <f t="shared" si="274"/>
        <v>2026</v>
      </c>
      <c r="V112" s="444">
        <f t="shared" si="274"/>
        <v>2027</v>
      </c>
      <c r="W112" s="444">
        <f t="shared" si="274"/>
        <v>2028</v>
      </c>
      <c r="X112" s="444">
        <f t="shared" ref="X112" si="275">W112+1</f>
        <v>2029</v>
      </c>
      <c r="Y112" s="444">
        <f t="shared" ref="Y112" si="276">X112+1</f>
        <v>2030</v>
      </c>
      <c r="Z112" s="444">
        <f t="shared" ref="Z112" si="277">Y112+1</f>
        <v>2031</v>
      </c>
      <c r="AA112" s="444">
        <f t="shared" ref="AA112" si="278">Z112+1</f>
        <v>2032</v>
      </c>
      <c r="AB112" s="221"/>
      <c r="AC112" s="165"/>
      <c r="AD112" s="165"/>
      <c r="AE112" s="165"/>
      <c r="AF112" s="165"/>
      <c r="AG112" s="165"/>
      <c r="AH112" s="159"/>
      <c r="AI112" s="159"/>
      <c r="BZ112" s="286"/>
      <c r="CA112" s="287"/>
    </row>
    <row r="113" spans="1:79" s="163" customFormat="1" ht="13">
      <c r="A113" s="226" t="s">
        <v>152</v>
      </c>
      <c r="B113" s="693">
        <v>9</v>
      </c>
      <c r="C113" s="693">
        <v>20</v>
      </c>
      <c r="D113" s="693">
        <f>D115-D114</f>
        <v>77</v>
      </c>
      <c r="E113" s="693">
        <f>E115+E114</f>
        <v>240</v>
      </c>
      <c r="F113" s="693">
        <f t="shared" ref="F113:W113" si="279">F115-F114</f>
        <v>268</v>
      </c>
      <c r="G113" s="693">
        <f t="shared" si="279"/>
        <v>322.41890340909089</v>
      </c>
      <c r="H113" s="693">
        <f t="shared" si="279"/>
        <v>369.4</v>
      </c>
      <c r="I113" s="693">
        <f t="shared" si="279"/>
        <v>465.55</v>
      </c>
      <c r="J113" s="693">
        <f t="shared" si="279"/>
        <v>468</v>
      </c>
      <c r="K113" s="693">
        <f t="shared" si="279"/>
        <v>724</v>
      </c>
      <c r="L113" s="693">
        <f t="shared" si="279"/>
        <v>445</v>
      </c>
      <c r="M113" s="693">
        <f t="shared" si="279"/>
        <v>389.05399999999997</v>
      </c>
      <c r="N113" s="693">
        <f t="shared" si="279"/>
        <v>469</v>
      </c>
      <c r="O113" s="693">
        <f t="shared" si="279"/>
        <v>489</v>
      </c>
      <c r="P113" s="693">
        <f t="shared" si="279"/>
        <v>473</v>
      </c>
      <c r="Q113" s="693">
        <f t="shared" ref="Q113:R113" si="280">Q115-Q114</f>
        <v>437</v>
      </c>
      <c r="R113" s="693">
        <f t="shared" si="280"/>
        <v>473</v>
      </c>
      <c r="S113" s="693">
        <f t="shared" si="279"/>
        <v>481</v>
      </c>
      <c r="T113" s="693">
        <f t="shared" ref="T113" si="281">T115-T114</f>
        <v>470</v>
      </c>
      <c r="U113" s="693">
        <f t="shared" si="279"/>
        <v>470</v>
      </c>
      <c r="V113" s="693">
        <f t="shared" si="279"/>
        <v>443.08483209391954</v>
      </c>
      <c r="W113" s="693">
        <f t="shared" si="279"/>
        <v>411.09844223568535</v>
      </c>
      <c r="X113" s="693">
        <f t="shared" ref="X113:AA113" si="282">X115-X114</f>
        <v>379.21452936282162</v>
      </c>
      <c r="Y113" s="693">
        <f t="shared" si="282"/>
        <v>347.64104586321946</v>
      </c>
      <c r="Z113" s="693">
        <f t="shared" si="282"/>
        <v>317.3625996325955</v>
      </c>
      <c r="AA113" s="693">
        <f t="shared" si="282"/>
        <v>287.74521872892632</v>
      </c>
      <c r="AB113" s="246"/>
      <c r="AC113" s="159"/>
      <c r="AD113" s="159"/>
      <c r="AE113" s="159"/>
      <c r="AF113" s="159"/>
      <c r="AG113" s="159"/>
      <c r="AH113" s="159"/>
      <c r="AI113" s="159"/>
      <c r="BZ113" s="286"/>
      <c r="CA113" s="287"/>
    </row>
    <row r="114" spans="1:79" s="163" customFormat="1" ht="13">
      <c r="A114" s="226" t="s">
        <v>153</v>
      </c>
      <c r="B114" s="693">
        <f t="shared" ref="B114:P114" si="283">B127</f>
        <v>0</v>
      </c>
      <c r="C114" s="693">
        <f t="shared" si="283"/>
        <v>0</v>
      </c>
      <c r="D114" s="693">
        <f t="shared" si="283"/>
        <v>0</v>
      </c>
      <c r="E114" s="693">
        <f t="shared" si="283"/>
        <v>0</v>
      </c>
      <c r="F114" s="693">
        <f t="shared" si="283"/>
        <v>0</v>
      </c>
      <c r="G114" s="693">
        <f t="shared" si="283"/>
        <v>0</v>
      </c>
      <c r="H114" s="693">
        <f t="shared" si="283"/>
        <v>0</v>
      </c>
      <c r="I114" s="693">
        <f t="shared" si="283"/>
        <v>0</v>
      </c>
      <c r="J114" s="693">
        <f t="shared" si="283"/>
        <v>0</v>
      </c>
      <c r="K114" s="693">
        <f t="shared" si="283"/>
        <v>0</v>
      </c>
      <c r="L114" s="693">
        <f t="shared" si="283"/>
        <v>0</v>
      </c>
      <c r="M114" s="693">
        <f t="shared" si="283"/>
        <v>0</v>
      </c>
      <c r="N114" s="693">
        <f t="shared" si="283"/>
        <v>0</v>
      </c>
      <c r="O114" s="693">
        <f t="shared" si="283"/>
        <v>0</v>
      </c>
      <c r="P114" s="693">
        <f t="shared" si="283"/>
        <v>0</v>
      </c>
      <c r="Q114" s="693">
        <f t="shared" ref="Q114:R114" si="284">Q127</f>
        <v>0</v>
      </c>
      <c r="R114" s="693">
        <f t="shared" si="284"/>
        <v>0</v>
      </c>
      <c r="S114" s="693">
        <f t="shared" ref="S114:W114" si="285">S127</f>
        <v>0</v>
      </c>
      <c r="T114" s="693">
        <f t="shared" ref="T114" si="286">T127</f>
        <v>0</v>
      </c>
      <c r="U114" s="693">
        <f t="shared" si="285"/>
        <v>0</v>
      </c>
      <c r="V114" s="693">
        <f t="shared" si="285"/>
        <v>0</v>
      </c>
      <c r="W114" s="693">
        <f t="shared" si="285"/>
        <v>0</v>
      </c>
      <c r="X114" s="693">
        <f t="shared" ref="X114:AA114" si="287">X127</f>
        <v>0</v>
      </c>
      <c r="Y114" s="693">
        <f t="shared" si="287"/>
        <v>0</v>
      </c>
      <c r="Z114" s="693">
        <f t="shared" si="287"/>
        <v>0</v>
      </c>
      <c r="AA114" s="693">
        <f t="shared" si="287"/>
        <v>0</v>
      </c>
      <c r="AB114" s="246"/>
      <c r="AC114" s="159"/>
      <c r="AD114" s="159"/>
      <c r="AE114" s="159"/>
      <c r="AF114" s="159"/>
      <c r="AG114" s="159"/>
      <c r="AH114" s="159"/>
      <c r="AI114" s="159"/>
      <c r="BZ114" s="286"/>
      <c r="CA114" s="287"/>
    </row>
    <row r="115" spans="1:79" s="163" customFormat="1" ht="13">
      <c r="A115" s="226" t="s">
        <v>154</v>
      </c>
      <c r="B115" s="693">
        <f t="shared" ref="B115:P115" si="288">B122</f>
        <v>45.6</v>
      </c>
      <c r="C115" s="693">
        <f t="shared" si="288"/>
        <v>38.9</v>
      </c>
      <c r="D115" s="693">
        <f t="shared" si="288"/>
        <v>77</v>
      </c>
      <c r="E115" s="693">
        <f t="shared" si="288"/>
        <v>240</v>
      </c>
      <c r="F115" s="693">
        <f t="shared" si="288"/>
        <v>268</v>
      </c>
      <c r="G115" s="693">
        <f t="shared" si="288"/>
        <v>322.41890340909089</v>
      </c>
      <c r="H115" s="693">
        <f t="shared" si="288"/>
        <v>369.4</v>
      </c>
      <c r="I115" s="693">
        <f t="shared" si="288"/>
        <v>465.55</v>
      </c>
      <c r="J115" s="693">
        <f t="shared" si="288"/>
        <v>468</v>
      </c>
      <c r="K115" s="693">
        <f t="shared" si="288"/>
        <v>724</v>
      </c>
      <c r="L115" s="693">
        <f t="shared" si="288"/>
        <v>445</v>
      </c>
      <c r="M115" s="693">
        <f t="shared" si="288"/>
        <v>389.05399999999997</v>
      </c>
      <c r="N115" s="693">
        <f t="shared" si="288"/>
        <v>469</v>
      </c>
      <c r="O115" s="693">
        <f t="shared" si="288"/>
        <v>489</v>
      </c>
      <c r="P115" s="693">
        <f t="shared" si="288"/>
        <v>473</v>
      </c>
      <c r="Q115" s="693">
        <f t="shared" ref="Q115:R115" si="289">Q122</f>
        <v>437</v>
      </c>
      <c r="R115" s="693">
        <f t="shared" si="289"/>
        <v>473</v>
      </c>
      <c r="S115" s="693">
        <f t="shared" ref="S115:W115" si="290">S122</f>
        <v>481</v>
      </c>
      <c r="T115" s="693">
        <f t="shared" ref="T115" si="291">T122</f>
        <v>470</v>
      </c>
      <c r="U115" s="693">
        <f t="shared" si="290"/>
        <v>470</v>
      </c>
      <c r="V115" s="693">
        <f t="shared" si="290"/>
        <v>443.08483209391954</v>
      </c>
      <c r="W115" s="693">
        <f t="shared" si="290"/>
        <v>411.09844223568535</v>
      </c>
      <c r="X115" s="693">
        <f t="shared" ref="X115:AA115" si="292">X122</f>
        <v>379.21452936282162</v>
      </c>
      <c r="Y115" s="693">
        <f t="shared" si="292"/>
        <v>347.64104586321946</v>
      </c>
      <c r="Z115" s="693">
        <f t="shared" si="292"/>
        <v>317.3625996325955</v>
      </c>
      <c r="AA115" s="693">
        <f t="shared" si="292"/>
        <v>287.74521872892632</v>
      </c>
      <c r="AB115" s="246"/>
      <c r="AC115" s="159"/>
      <c r="AD115" s="159"/>
      <c r="AE115" s="159"/>
      <c r="AF115" s="159"/>
      <c r="AG115" s="159"/>
      <c r="AH115" s="159"/>
      <c r="AI115" s="159"/>
      <c r="BZ115" s="286"/>
      <c r="CA115" s="287"/>
    </row>
    <row r="116" spans="1:79" s="163" customFormat="1" ht="13">
      <c r="A116" s="226" t="s">
        <v>0</v>
      </c>
      <c r="B116" s="191"/>
      <c r="C116" s="191">
        <f t="shared" ref="C116:R116" si="293">C115/B115-1</f>
        <v>-0.14692982456140358</v>
      </c>
      <c r="D116" s="191">
        <f t="shared" si="293"/>
        <v>0.97943444730077123</v>
      </c>
      <c r="E116" s="191">
        <f t="shared" si="293"/>
        <v>2.116883116883117</v>
      </c>
      <c r="F116" s="191">
        <f t="shared" si="293"/>
        <v>0.1166666666666667</v>
      </c>
      <c r="G116" s="191">
        <f t="shared" si="293"/>
        <v>0.2030556097354137</v>
      </c>
      <c r="H116" s="191">
        <f t="shared" si="293"/>
        <v>0.14571446057956039</v>
      </c>
      <c r="I116" s="191">
        <f t="shared" si="293"/>
        <v>0.26028695181375205</v>
      </c>
      <c r="J116" s="191">
        <f t="shared" si="293"/>
        <v>5.2625926323703887E-3</v>
      </c>
      <c r="K116" s="191">
        <f t="shared" si="293"/>
        <v>0.54700854700854706</v>
      </c>
      <c r="L116" s="191">
        <f t="shared" si="293"/>
        <v>-0.38535911602209949</v>
      </c>
      <c r="M116" s="191">
        <f t="shared" si="293"/>
        <v>-0.1257213483146068</v>
      </c>
      <c r="N116" s="191">
        <f t="shared" si="293"/>
        <v>0.20548818415952552</v>
      </c>
      <c r="O116" s="191">
        <f t="shared" si="293"/>
        <v>4.2643923240938131E-2</v>
      </c>
      <c r="P116" s="191">
        <f t="shared" si="293"/>
        <v>-3.2719836400817992E-2</v>
      </c>
      <c r="Q116" s="191">
        <f t="shared" si="293"/>
        <v>-7.6109936575052828E-2</v>
      </c>
      <c r="R116" s="191">
        <f t="shared" si="293"/>
        <v>8.237986270022879E-2</v>
      </c>
      <c r="S116" s="191">
        <f t="shared" ref="S116:W116" si="294">S115/R115-1</f>
        <v>1.6913319238900604E-2</v>
      </c>
      <c r="T116" s="191">
        <f t="shared" si="294"/>
        <v>-2.2869022869022815E-2</v>
      </c>
      <c r="U116" s="191">
        <f t="shared" si="294"/>
        <v>0</v>
      </c>
      <c r="V116" s="191">
        <f t="shared" si="294"/>
        <v>-5.7266314693788178E-2</v>
      </c>
      <c r="W116" s="191">
        <f t="shared" si="294"/>
        <v>-7.2190216277712937E-2</v>
      </c>
      <c r="X116" s="191">
        <f t="shared" ref="X116" si="295">X115/W115-1</f>
        <v>-7.7557853781855202E-2</v>
      </c>
      <c r="Y116" s="191">
        <f t="shared" ref="Y116" si="296">Y115/X115-1</f>
        <v>-8.3260215669093141E-2</v>
      </c>
      <c r="Z116" s="191">
        <f t="shared" ref="Z116" si="297">Z115/Y115-1</f>
        <v>-8.7096867849537851E-2</v>
      </c>
      <c r="AA116" s="191">
        <f t="shared" ref="AA116" si="298">AA115/Z115-1</f>
        <v>-9.332347585366596E-2</v>
      </c>
      <c r="AB116" s="191"/>
      <c r="AC116" s="159"/>
      <c r="AD116" s="159"/>
      <c r="AE116" s="159"/>
      <c r="AF116" s="159"/>
      <c r="AG116" s="159"/>
      <c r="AH116" s="159"/>
      <c r="AI116" s="159"/>
      <c r="BZ116" s="286"/>
      <c r="CA116" s="287"/>
    </row>
    <row r="117" spans="1:79" s="163" customFormat="1" ht="13">
      <c r="A117" s="226"/>
      <c r="AC117" s="159"/>
      <c r="AD117" s="159"/>
      <c r="AE117" s="159"/>
      <c r="AF117" s="159"/>
      <c r="AG117" s="159"/>
      <c r="AH117" s="159"/>
      <c r="AI117" s="159"/>
      <c r="BZ117" s="286"/>
      <c r="CA117" s="287"/>
    </row>
    <row r="118" spans="1:79" s="163" customFormat="1" ht="13">
      <c r="A118" s="226" t="s">
        <v>155</v>
      </c>
      <c r="B118" s="703">
        <v>37</v>
      </c>
      <c r="C118" s="703">
        <v>56.8</v>
      </c>
      <c r="D118" s="703">
        <v>29</v>
      </c>
      <c r="E118" s="703">
        <v>29</v>
      </c>
      <c r="F118" s="704">
        <v>40</v>
      </c>
      <c r="G118" s="704">
        <v>34.418903409090909</v>
      </c>
      <c r="H118" s="704">
        <v>40.400000000000006</v>
      </c>
      <c r="I118" s="704">
        <v>76.55</v>
      </c>
      <c r="J118" s="704">
        <v>56</v>
      </c>
      <c r="K118" s="704">
        <v>55</v>
      </c>
      <c r="L118" s="704">
        <v>61</v>
      </c>
      <c r="M118" s="704">
        <v>44.774999999999999</v>
      </c>
      <c r="N118" s="704">
        <v>70</v>
      </c>
      <c r="O118" s="704">
        <v>84</v>
      </c>
      <c r="P118" s="704">
        <v>60</v>
      </c>
      <c r="Q118" s="704">
        <v>30</v>
      </c>
      <c r="R118" s="704">
        <v>27</v>
      </c>
      <c r="S118" s="704">
        <v>34</v>
      </c>
      <c r="T118" s="704">
        <v>38</v>
      </c>
      <c r="U118" s="693">
        <f t="shared" ref="U118:W118" si="299">U119*AVERAGE(T134)</f>
        <v>37.752711496746208</v>
      </c>
      <c r="V118" s="693">
        <f t="shared" si="299"/>
        <v>38.85525602398782</v>
      </c>
      <c r="W118" s="693">
        <f t="shared" si="299"/>
        <v>39.81890606740415</v>
      </c>
      <c r="X118" s="693">
        <f t="shared" ref="X118" si="300">X119*AVERAGE(W134)</f>
        <v>40.793638924012043</v>
      </c>
      <c r="Y118" s="693">
        <f t="shared" ref="Y118" si="301">Y119*AVERAGE(X134)</f>
        <v>41.822646018759713</v>
      </c>
      <c r="Z118" s="693">
        <f t="shared" ref="Z118" si="302">Z119*AVERAGE(Y134)</f>
        <v>42.819795862316774</v>
      </c>
      <c r="AA118" s="693">
        <f t="shared" ref="AA118" si="303">AA119*AVERAGE(Z134)</f>
        <v>43.83127294758453</v>
      </c>
      <c r="AB118" s="441"/>
      <c r="AC118" s="159"/>
      <c r="AD118" s="159"/>
      <c r="AE118" s="159"/>
      <c r="AF118" s="159"/>
      <c r="AG118" s="159"/>
      <c r="AH118" s="159"/>
      <c r="AI118" s="159"/>
      <c r="BZ118" s="286"/>
      <c r="CA118" s="287"/>
    </row>
    <row r="119" spans="1:79" s="163" customFormat="1" ht="13">
      <c r="A119" s="226" t="s">
        <v>156</v>
      </c>
      <c r="B119" s="170" t="e">
        <f>B118/AVERAGE(B141:B141)</f>
        <v>#DIV/0!</v>
      </c>
      <c r="C119" s="170" t="e">
        <f>C118/AVERAGE(B141:C141)</f>
        <v>#DIV/0!</v>
      </c>
      <c r="D119" s="170">
        <f>D118/AVERAGE(C141:D141)</f>
        <v>2.4328859060402684E-2</v>
      </c>
      <c r="E119" s="170">
        <f>E118/AVERAGE(D141:E141)</f>
        <v>2.7751196172248804E-2</v>
      </c>
      <c r="F119" s="170">
        <f>F118/AVERAGE(E141:F141)</f>
        <v>4.6082949308755762E-2</v>
      </c>
      <c r="G119" s="170">
        <f t="shared" ref="G119:O119" si="304">G118/AVERAGE(F141:G141)</f>
        <v>4.510996514952937E-2</v>
      </c>
      <c r="H119" s="170">
        <f t="shared" si="304"/>
        <v>5.401069518716578E-2</v>
      </c>
      <c r="I119" s="170">
        <f t="shared" si="304"/>
        <v>6.5455322787516035E-2</v>
      </c>
      <c r="J119" s="170">
        <f t="shared" si="304"/>
        <v>3.9617969579059074E-2</v>
      </c>
      <c r="K119" s="170">
        <f t="shared" si="304"/>
        <v>5.5611729019211326E-2</v>
      </c>
      <c r="L119" s="170">
        <f t="shared" si="304"/>
        <v>9.5015576323987536E-2</v>
      </c>
      <c r="M119" s="170">
        <f t="shared" si="304"/>
        <v>7.7035107535160449E-2</v>
      </c>
      <c r="N119" s="170">
        <f t="shared" si="304"/>
        <v>0.12254290533473033</v>
      </c>
      <c r="O119" s="170">
        <f t="shared" si="304"/>
        <v>0.12756264236902051</v>
      </c>
      <c r="P119" s="170">
        <f t="shared" ref="P119" si="305">P118/AVERAGE(O141:P141)</f>
        <v>6.2305295950155763E-2</v>
      </c>
      <c r="Q119" s="170">
        <f t="shared" ref="Q119:T119" si="306">Q118/AVERAGE(P141:Q141)</f>
        <v>3.2985156679494226E-2</v>
      </c>
      <c r="R119" s="170">
        <f t="shared" si="306"/>
        <v>4.5112781954887216E-2</v>
      </c>
      <c r="S119" s="170">
        <f t="shared" si="306"/>
        <v>6.5827686350435621E-2</v>
      </c>
      <c r="T119" s="170">
        <f t="shared" si="306"/>
        <v>8.2429501084598705E-2</v>
      </c>
      <c r="U119" s="170">
        <f t="shared" ref="U119:W119" si="307">T119+U120</f>
        <v>8.2429501084598705E-2</v>
      </c>
      <c r="V119" s="170">
        <f t="shared" si="307"/>
        <v>8.2429501084598705E-2</v>
      </c>
      <c r="W119" s="170">
        <f t="shared" si="307"/>
        <v>8.2429501084598705E-2</v>
      </c>
      <c r="X119" s="170">
        <f t="shared" ref="X119" si="308">W119+X120</f>
        <v>8.2429501084598705E-2</v>
      </c>
      <c r="Y119" s="170">
        <f t="shared" ref="Y119" si="309">X119+Y120</f>
        <v>8.2429501084598705E-2</v>
      </c>
      <c r="Z119" s="170">
        <f t="shared" ref="Z119" si="310">Y119+Z120</f>
        <v>8.2429501084598705E-2</v>
      </c>
      <c r="AA119" s="170">
        <f t="shared" ref="AA119" si="311">Z119+AA120</f>
        <v>8.2429501084598705E-2</v>
      </c>
      <c r="AB119" s="170"/>
      <c r="AC119" s="159"/>
      <c r="AD119" s="159"/>
      <c r="AE119" s="159"/>
      <c r="AF119" s="159"/>
      <c r="AG119" s="159"/>
      <c r="AH119" s="159"/>
      <c r="AI119" s="159"/>
      <c r="BZ119" s="286"/>
      <c r="CA119" s="287"/>
    </row>
    <row r="120" spans="1:79" s="163" customFormat="1" ht="13">
      <c r="A120" s="226" t="s">
        <v>39</v>
      </c>
      <c r="B120" s="170"/>
      <c r="C120" s="170" t="e">
        <f>C119-B119</f>
        <v>#DIV/0!</v>
      </c>
      <c r="D120" s="170" t="e">
        <f>D119-C119</f>
        <v>#DIV/0!</v>
      </c>
      <c r="E120" s="170">
        <f>E119-D119</f>
        <v>3.4223371118461202E-3</v>
      </c>
      <c r="F120" s="170">
        <f>F119-E119</f>
        <v>1.8331753136506958E-2</v>
      </c>
      <c r="G120" s="170">
        <f t="shared" ref="G120:O120" si="312">G119-F119</f>
        <v>-9.7298415922639214E-4</v>
      </c>
      <c r="H120" s="170">
        <f t="shared" si="312"/>
        <v>8.9007300376364104E-3</v>
      </c>
      <c r="I120" s="170">
        <f t="shared" si="312"/>
        <v>1.1444627600350255E-2</v>
      </c>
      <c r="J120" s="170">
        <f t="shared" si="312"/>
        <v>-2.583735320845696E-2</v>
      </c>
      <c r="K120" s="170">
        <f t="shared" si="312"/>
        <v>1.5993759440152251E-2</v>
      </c>
      <c r="L120" s="170">
        <f t="shared" si="312"/>
        <v>3.940384730477621E-2</v>
      </c>
      <c r="M120" s="170">
        <f t="shared" si="312"/>
        <v>-1.7980468788827086E-2</v>
      </c>
      <c r="N120" s="170">
        <f t="shared" si="312"/>
        <v>4.5507797799569885E-2</v>
      </c>
      <c r="O120" s="170">
        <f t="shared" si="312"/>
        <v>5.0197370342901781E-3</v>
      </c>
      <c r="P120" s="170">
        <f t="shared" ref="P120" si="313">P119-O119</f>
        <v>-6.5257346418864742E-2</v>
      </c>
      <c r="Q120" s="170">
        <f t="shared" ref="Q120:T120" si="314">Q119-P119</f>
        <v>-2.9320139270661537E-2</v>
      </c>
      <c r="R120" s="170">
        <f t="shared" si="314"/>
        <v>1.2127625275392989E-2</v>
      </c>
      <c r="S120" s="170">
        <f t="shared" si="314"/>
        <v>2.0714904395548406E-2</v>
      </c>
      <c r="T120" s="170">
        <f t="shared" si="314"/>
        <v>1.6601814734163084E-2</v>
      </c>
      <c r="U120" s="469">
        <v>0</v>
      </c>
      <c r="V120" s="469">
        <v>0</v>
      </c>
      <c r="W120" s="469">
        <v>0</v>
      </c>
      <c r="X120" s="469">
        <v>0</v>
      </c>
      <c r="Y120" s="469">
        <v>0</v>
      </c>
      <c r="Z120" s="469">
        <v>0</v>
      </c>
      <c r="AA120" s="469">
        <v>0</v>
      </c>
      <c r="AB120" s="170"/>
      <c r="AC120" s="159"/>
      <c r="AD120" s="159"/>
      <c r="AE120" s="159"/>
      <c r="AF120" s="159"/>
      <c r="AG120" s="159"/>
      <c r="AH120" s="159"/>
      <c r="AI120" s="159"/>
      <c r="BZ120" s="286"/>
      <c r="CA120" s="287"/>
    </row>
    <row r="121" spans="1:79" s="163" customFormat="1" ht="13">
      <c r="A121" s="226"/>
      <c r="C121" s="246"/>
      <c r="D121" s="246"/>
      <c r="E121" s="246"/>
      <c r="F121" s="246"/>
      <c r="G121" s="246"/>
      <c r="H121" s="246"/>
      <c r="I121" s="246"/>
      <c r="J121" s="246"/>
      <c r="AC121" s="159"/>
      <c r="AD121" s="159"/>
      <c r="AE121" s="159"/>
      <c r="AF121" s="159"/>
      <c r="AG121" s="159"/>
      <c r="AH121" s="159"/>
      <c r="AI121" s="159"/>
      <c r="BZ121" s="286"/>
      <c r="CA121" s="287"/>
    </row>
    <row r="122" spans="1:79" s="163" customFormat="1" ht="13">
      <c r="A122" s="226" t="s">
        <v>157</v>
      </c>
      <c r="B122" s="703">
        <v>45.6</v>
      </c>
      <c r="C122" s="703">
        <v>38.9</v>
      </c>
      <c r="D122" s="703">
        <v>77</v>
      </c>
      <c r="E122" s="703">
        <v>240</v>
      </c>
      <c r="F122" s="704">
        <v>268</v>
      </c>
      <c r="G122" s="704">
        <v>322.41890340909089</v>
      </c>
      <c r="H122" s="704">
        <v>369.4</v>
      </c>
      <c r="I122" s="704">
        <v>465.55</v>
      </c>
      <c r="J122" s="704">
        <v>468</v>
      </c>
      <c r="K122" s="704">
        <v>724</v>
      </c>
      <c r="L122" s="704">
        <v>445</v>
      </c>
      <c r="M122" s="704">
        <v>389.05399999999997</v>
      </c>
      <c r="N122" s="704">
        <v>469</v>
      </c>
      <c r="O122" s="704">
        <v>489</v>
      </c>
      <c r="P122" s="704">
        <v>473</v>
      </c>
      <c r="Q122" s="704">
        <v>437</v>
      </c>
      <c r="R122" s="704">
        <v>473</v>
      </c>
      <c r="S122" s="704">
        <v>481</v>
      </c>
      <c r="T122" s="704">
        <v>470</v>
      </c>
      <c r="U122" s="693">
        <f t="shared" ref="U122:W122" si="315">AVERAGE(T133)*U123</f>
        <v>470</v>
      </c>
      <c r="V122" s="693">
        <f t="shared" si="315"/>
        <v>443.08483209391954</v>
      </c>
      <c r="W122" s="693">
        <f t="shared" si="315"/>
        <v>411.09844223568535</v>
      </c>
      <c r="X122" s="693">
        <f t="shared" ref="X122" si="316">AVERAGE(W133)*X123</f>
        <v>379.21452936282162</v>
      </c>
      <c r="Y122" s="693">
        <f t="shared" ref="Y122" si="317">AVERAGE(X133)*Y123</f>
        <v>347.64104586321946</v>
      </c>
      <c r="Z122" s="693">
        <f t="shared" ref="Z122" si="318">AVERAGE(Y133)*Z123</f>
        <v>317.3625996325955</v>
      </c>
      <c r="AA122" s="693">
        <f t="shared" ref="AA122" si="319">AVERAGE(Z133)*AA123</f>
        <v>287.74521872892632</v>
      </c>
      <c r="AB122" s="169"/>
      <c r="AC122" s="159"/>
      <c r="AD122" s="159"/>
      <c r="AE122" s="159"/>
      <c r="AF122" s="159"/>
      <c r="AG122" s="159"/>
      <c r="AH122" s="159"/>
      <c r="AI122" s="159"/>
      <c r="BZ122" s="286"/>
      <c r="CA122" s="287"/>
    </row>
    <row r="123" spans="1:79" s="163" customFormat="1" ht="13">
      <c r="A123" s="226" t="s">
        <v>158</v>
      </c>
      <c r="B123" s="170" t="e">
        <f t="shared" ref="B123:J123" si="320">B122/AVERAGE(B133:B133)</f>
        <v>#DIV/0!</v>
      </c>
      <c r="C123" s="170" t="e">
        <f t="shared" si="320"/>
        <v>#DIV/0!</v>
      </c>
      <c r="D123" s="170">
        <f t="shared" si="320"/>
        <v>1.5199368337939202E-2</v>
      </c>
      <c r="E123" s="170">
        <f t="shared" si="320"/>
        <v>4.3996333638863426E-2</v>
      </c>
      <c r="F123" s="170">
        <f t="shared" si="320"/>
        <v>4.2709163346613545E-2</v>
      </c>
      <c r="G123" s="170">
        <f t="shared" si="320"/>
        <v>4.7951418606101852E-2</v>
      </c>
      <c r="H123" s="170">
        <f t="shared" si="320"/>
        <v>4.9102751561876906E-2</v>
      </c>
      <c r="I123" s="170">
        <f t="shared" si="320"/>
        <v>5.1739275394532117E-2</v>
      </c>
      <c r="J123" s="170">
        <f t="shared" si="320"/>
        <v>4.7378011743267869E-2</v>
      </c>
      <c r="K123" s="170">
        <f t="shared" ref="K123:P123" si="321">K122/AVERAGE(K133:K133)</f>
        <v>7.3398215733982156E-2</v>
      </c>
      <c r="L123" s="170">
        <f t="shared" si="321"/>
        <v>5.82003662045514E-2</v>
      </c>
      <c r="M123" s="170">
        <f t="shared" si="321"/>
        <v>5.0921845423782405E-2</v>
      </c>
      <c r="N123" s="170">
        <f t="shared" si="321"/>
        <v>5.2419805521403823E-2</v>
      </c>
      <c r="O123" s="170">
        <f t="shared" si="321"/>
        <v>5.0087063402642629E-2</v>
      </c>
      <c r="P123" s="170">
        <f t="shared" si="321"/>
        <v>4.6878097125867192E-2</v>
      </c>
      <c r="Q123" s="170">
        <f t="shared" ref="Q123" si="322">Q122/AVERAGE(Q133:Q133)</f>
        <v>4.4298023314749115E-2</v>
      </c>
      <c r="R123" s="170">
        <f t="shared" ref="R123:S123" si="323">R122/AVERAGE(R133:R133)</f>
        <v>4.8403602128530496E-2</v>
      </c>
      <c r="S123" s="170">
        <f t="shared" si="323"/>
        <v>5.1781677252664443E-2</v>
      </c>
      <c r="T123" s="170">
        <f t="shared" ref="T123" si="324">T122/AVERAGE(T133:T133)</f>
        <v>5.2338530066815145E-2</v>
      </c>
      <c r="U123" s="170">
        <f t="shared" ref="U123:W123" si="325">T123+U124</f>
        <v>5.2338530066815145E-2</v>
      </c>
      <c r="V123" s="170">
        <f t="shared" si="325"/>
        <v>5.2338530066815145E-2</v>
      </c>
      <c r="W123" s="170">
        <f t="shared" si="325"/>
        <v>5.2338530066815145E-2</v>
      </c>
      <c r="X123" s="170">
        <f t="shared" ref="X123" si="326">W123+X124</f>
        <v>5.2338530066815145E-2</v>
      </c>
      <c r="Y123" s="170">
        <f t="shared" ref="Y123" si="327">X123+Y124</f>
        <v>5.2338530066815145E-2</v>
      </c>
      <c r="Z123" s="170">
        <f t="shared" ref="Z123" si="328">Y123+Z124</f>
        <v>5.2338530066815145E-2</v>
      </c>
      <c r="AA123" s="170">
        <f t="shared" ref="AA123" si="329">Z123+AA124</f>
        <v>5.2338530066815145E-2</v>
      </c>
      <c r="AB123" s="170"/>
      <c r="AC123" s="159"/>
      <c r="AD123" s="159"/>
      <c r="AE123" s="159"/>
      <c r="AF123" s="159"/>
      <c r="AG123" s="159"/>
      <c r="AH123" s="159"/>
      <c r="AI123" s="159"/>
      <c r="BZ123" s="286"/>
      <c r="CA123" s="287"/>
    </row>
    <row r="124" spans="1:79" s="163" customFormat="1" ht="13">
      <c r="A124" s="226" t="s">
        <v>39</v>
      </c>
      <c r="B124" s="170"/>
      <c r="C124" s="170" t="e">
        <f t="shared" ref="C124:T124" si="330">C123-B123</f>
        <v>#DIV/0!</v>
      </c>
      <c r="D124" s="170" t="e">
        <f t="shared" si="330"/>
        <v>#DIV/0!</v>
      </c>
      <c r="E124" s="170">
        <f t="shared" si="330"/>
        <v>2.8796965300924224E-2</v>
      </c>
      <c r="F124" s="170">
        <f t="shared" si="330"/>
        <v>-1.2871702922498812E-3</v>
      </c>
      <c r="G124" s="170">
        <f t="shared" si="330"/>
        <v>5.2422552594883071E-3</v>
      </c>
      <c r="H124" s="170">
        <f t="shared" si="330"/>
        <v>1.1513329557750543E-3</v>
      </c>
      <c r="I124" s="170">
        <f t="shared" si="330"/>
        <v>2.6365238326552104E-3</v>
      </c>
      <c r="J124" s="170">
        <f t="shared" si="330"/>
        <v>-4.361263651264248E-3</v>
      </c>
      <c r="K124" s="170">
        <f t="shared" si="330"/>
        <v>2.6020203990714287E-2</v>
      </c>
      <c r="L124" s="170">
        <f t="shared" si="330"/>
        <v>-1.5197849529430756E-2</v>
      </c>
      <c r="M124" s="170">
        <f t="shared" si="330"/>
        <v>-7.2785207807689947E-3</v>
      </c>
      <c r="N124" s="170">
        <f t="shared" si="330"/>
        <v>1.4979600976214175E-3</v>
      </c>
      <c r="O124" s="170">
        <f t="shared" si="330"/>
        <v>-2.3327421187611941E-3</v>
      </c>
      <c r="P124" s="170">
        <f t="shared" si="330"/>
        <v>-3.2089662767754365E-3</v>
      </c>
      <c r="Q124" s="170">
        <f t="shared" si="330"/>
        <v>-2.5800738111180777E-3</v>
      </c>
      <c r="R124" s="170">
        <f t="shared" si="330"/>
        <v>4.1055788137813812E-3</v>
      </c>
      <c r="S124" s="170">
        <f t="shared" si="330"/>
        <v>3.3780751241339474E-3</v>
      </c>
      <c r="T124" s="170">
        <f t="shared" si="330"/>
        <v>5.5685281415070176E-4</v>
      </c>
      <c r="U124" s="318">
        <v>0</v>
      </c>
      <c r="V124" s="318">
        <v>0</v>
      </c>
      <c r="W124" s="318">
        <v>0</v>
      </c>
      <c r="X124" s="318">
        <v>0</v>
      </c>
      <c r="Y124" s="318">
        <v>0</v>
      </c>
      <c r="Z124" s="318">
        <v>0</v>
      </c>
      <c r="AA124" s="318">
        <v>0</v>
      </c>
      <c r="AB124" s="170"/>
      <c r="AC124" s="159"/>
      <c r="AD124" s="159"/>
      <c r="AE124" s="159"/>
      <c r="AF124" s="159"/>
      <c r="AG124" s="159"/>
      <c r="AH124" s="159"/>
      <c r="AI124" s="159"/>
      <c r="BZ124" s="286"/>
      <c r="CA124" s="287"/>
    </row>
    <row r="125" spans="1:79" s="163" customFormat="1" ht="13">
      <c r="A125" s="226"/>
      <c r="B125" s="170"/>
      <c r="C125" s="170"/>
      <c r="D125" s="170"/>
      <c r="E125" s="170"/>
      <c r="F125" s="170"/>
      <c r="G125" s="170"/>
      <c r="H125" s="170"/>
      <c r="I125" s="170"/>
      <c r="J125" s="170"/>
      <c r="K125" s="170"/>
      <c r="L125" s="170"/>
      <c r="M125" s="170"/>
      <c r="N125" s="170"/>
      <c r="O125" s="170"/>
      <c r="P125" s="170"/>
      <c r="Q125" s="170"/>
      <c r="R125" s="170"/>
      <c r="S125" s="170"/>
      <c r="T125" s="170"/>
      <c r="U125" s="170"/>
      <c r="V125" s="170"/>
      <c r="W125" s="170"/>
      <c r="X125" s="170"/>
      <c r="Y125" s="170"/>
      <c r="Z125" s="170"/>
      <c r="AA125" s="170"/>
      <c r="AB125" s="170"/>
      <c r="AC125" s="159"/>
      <c r="AD125" s="159"/>
      <c r="AE125" s="159"/>
      <c r="AF125" s="159"/>
      <c r="AG125" s="159"/>
      <c r="AH125" s="159"/>
      <c r="AI125" s="159"/>
      <c r="BZ125" s="286"/>
      <c r="CA125" s="287"/>
    </row>
    <row r="126" spans="1:79" s="163" customFormat="1" ht="13">
      <c r="A126" s="283" t="s">
        <v>731</v>
      </c>
      <c r="B126" s="700">
        <f>(-1*B122)+B118</f>
        <v>-8.6000000000000014</v>
      </c>
      <c r="C126" s="700">
        <f>(-1*C122)+C118</f>
        <v>17.899999999999999</v>
      </c>
      <c r="D126" s="700">
        <f>(-1*D122)+D118</f>
        <v>-48</v>
      </c>
      <c r="E126" s="700">
        <f t="shared" ref="E126:W126" si="331">(-1*E122)+E118</f>
        <v>-211</v>
      </c>
      <c r="F126" s="700">
        <f t="shared" si="331"/>
        <v>-228</v>
      </c>
      <c r="G126" s="700">
        <f t="shared" si="331"/>
        <v>-288</v>
      </c>
      <c r="H126" s="700">
        <f t="shared" si="331"/>
        <v>-329</v>
      </c>
      <c r="I126" s="700">
        <f t="shared" si="331"/>
        <v>-389</v>
      </c>
      <c r="J126" s="700">
        <f t="shared" si="331"/>
        <v>-412</v>
      </c>
      <c r="K126" s="700">
        <f>(-1*K122)+K118</f>
        <v>-669</v>
      </c>
      <c r="L126" s="700">
        <f>(-1*L122)+L118</f>
        <v>-384</v>
      </c>
      <c r="M126" s="700">
        <f>(-1*M122)+M118</f>
        <v>-344.279</v>
      </c>
      <c r="N126" s="700">
        <f>(-1*N122)+N118</f>
        <v>-399</v>
      </c>
      <c r="O126" s="700">
        <f>(-1*O122)+O118</f>
        <v>-405</v>
      </c>
      <c r="P126" s="700">
        <f t="shared" si="331"/>
        <v>-413</v>
      </c>
      <c r="Q126" s="700">
        <f t="shared" ref="Q126" si="332">(-1*Q122)+Q118</f>
        <v>-407</v>
      </c>
      <c r="R126" s="700">
        <f t="shared" si="331"/>
        <v>-446</v>
      </c>
      <c r="S126" s="700">
        <f t="shared" si="331"/>
        <v>-447</v>
      </c>
      <c r="T126" s="700">
        <f t="shared" ref="T126" si="333">(-1*T122)+T118</f>
        <v>-432</v>
      </c>
      <c r="U126" s="700">
        <f t="shared" si="331"/>
        <v>-432.2472885032538</v>
      </c>
      <c r="V126" s="700">
        <f t="shared" si="331"/>
        <v>-404.22957606993174</v>
      </c>
      <c r="W126" s="700">
        <f t="shared" si="331"/>
        <v>-371.2795361682812</v>
      </c>
      <c r="X126" s="700">
        <f t="shared" ref="X126:AA126" si="334">(-1*X122)+X118</f>
        <v>-338.42089043880958</v>
      </c>
      <c r="Y126" s="700">
        <f t="shared" si="334"/>
        <v>-305.81839984445975</v>
      </c>
      <c r="Z126" s="700">
        <f t="shared" si="334"/>
        <v>-274.54280377027874</v>
      </c>
      <c r="AA126" s="700">
        <f t="shared" si="334"/>
        <v>-243.91394578134179</v>
      </c>
      <c r="AB126" s="445"/>
      <c r="AC126" s="159"/>
      <c r="AD126" s="159"/>
      <c r="AE126" s="159"/>
      <c r="AF126" s="159"/>
      <c r="AG126" s="159"/>
      <c r="AH126" s="159"/>
      <c r="AI126" s="159"/>
      <c r="BZ126" s="286"/>
      <c r="CA126" s="287"/>
    </row>
    <row r="127" spans="1:79" s="163" customFormat="1" ht="13">
      <c r="A127" s="226" t="s">
        <v>159</v>
      </c>
      <c r="B127" s="169">
        <v>0</v>
      </c>
      <c r="C127" s="169">
        <v>0</v>
      </c>
      <c r="D127" s="169">
        <v>0</v>
      </c>
      <c r="E127" s="169">
        <v>0</v>
      </c>
      <c r="F127" s="169">
        <v>0</v>
      </c>
      <c r="G127" s="169">
        <v>0</v>
      </c>
      <c r="H127" s="169">
        <v>0</v>
      </c>
      <c r="I127" s="169">
        <v>0</v>
      </c>
      <c r="J127" s="169">
        <v>0</v>
      </c>
      <c r="K127" s="169">
        <v>0</v>
      </c>
      <c r="L127" s="169">
        <v>0</v>
      </c>
      <c r="M127" s="169">
        <v>0</v>
      </c>
      <c r="N127" s="169">
        <v>0</v>
      </c>
      <c r="O127" s="169">
        <v>0</v>
      </c>
      <c r="P127" s="169">
        <v>0</v>
      </c>
      <c r="Q127" s="169"/>
      <c r="R127" s="169">
        <v>0</v>
      </c>
      <c r="S127" s="169">
        <v>0</v>
      </c>
      <c r="T127" s="169"/>
      <c r="U127" s="169">
        <v>0</v>
      </c>
      <c r="V127" s="169">
        <v>0</v>
      </c>
      <c r="W127" s="169">
        <v>0</v>
      </c>
      <c r="X127" s="169">
        <v>0</v>
      </c>
      <c r="Y127" s="169">
        <v>0</v>
      </c>
      <c r="Z127" s="169">
        <v>0</v>
      </c>
      <c r="AA127" s="169">
        <v>0</v>
      </c>
      <c r="AB127" s="169"/>
      <c r="AC127" s="159"/>
      <c r="AD127" s="159"/>
      <c r="AE127" s="159"/>
      <c r="AF127" s="159"/>
      <c r="AG127" s="159"/>
      <c r="AH127" s="159"/>
      <c r="AI127" s="159"/>
      <c r="BZ127" s="286"/>
      <c r="CA127" s="287"/>
    </row>
    <row r="128" spans="1:79" s="163" customFormat="1" ht="13">
      <c r="A128" s="226"/>
      <c r="B128" s="170"/>
      <c r="C128" s="170"/>
      <c r="D128" s="170"/>
      <c r="E128" s="170"/>
      <c r="F128" s="170"/>
      <c r="G128" s="170"/>
      <c r="H128" s="170"/>
      <c r="I128" s="170"/>
      <c r="J128" s="170"/>
      <c r="K128" s="170"/>
      <c r="L128" s="170"/>
      <c r="M128" s="170"/>
      <c r="N128" s="170"/>
      <c r="O128" s="170"/>
      <c r="P128" s="170"/>
      <c r="Q128" s="170"/>
      <c r="R128" s="170"/>
      <c r="S128" s="170"/>
      <c r="T128" s="170"/>
      <c r="U128" s="170"/>
      <c r="V128" s="170"/>
      <c r="W128" s="170"/>
      <c r="X128" s="170"/>
      <c r="Y128" s="170"/>
      <c r="Z128" s="170"/>
      <c r="AA128" s="170"/>
      <c r="AB128" s="170"/>
      <c r="AC128" s="159"/>
      <c r="AD128" s="159"/>
      <c r="AE128" s="159"/>
      <c r="AF128" s="159"/>
      <c r="AG128" s="159"/>
      <c r="AH128" s="159"/>
      <c r="AI128" s="159"/>
      <c r="BZ128" s="286"/>
      <c r="CA128" s="287"/>
    </row>
    <row r="129" spans="1:79" s="163" customFormat="1" ht="13">
      <c r="A129" s="226" t="s">
        <v>160</v>
      </c>
      <c r="B129" s="170" t="e">
        <f t="shared" ref="B129:R129" si="335">B115/B131</f>
        <v>#DIV/0!</v>
      </c>
      <c r="C129" s="170" t="e">
        <f t="shared" si="335"/>
        <v>#DIV/0!</v>
      </c>
      <c r="D129" s="170">
        <f t="shared" si="335"/>
        <v>3.9752194114610222E-2</v>
      </c>
      <c r="E129" s="170">
        <f t="shared" si="335"/>
        <v>5.6932748191199145E-2</v>
      </c>
      <c r="F129" s="170">
        <f t="shared" si="335"/>
        <v>5.363217930758455E-2</v>
      </c>
      <c r="G129" s="170">
        <f t="shared" si="335"/>
        <v>5.6205469349572726E-2</v>
      </c>
      <c r="H129" s="170">
        <f t="shared" si="335"/>
        <v>5.7941163514039093E-2</v>
      </c>
      <c r="I129" s="170">
        <f t="shared" si="335"/>
        <v>6.5653645466083765E-2</v>
      </c>
      <c r="J129" s="170">
        <f t="shared" si="335"/>
        <v>5.8321390740856127E-2</v>
      </c>
      <c r="K129" s="170">
        <f t="shared" si="335"/>
        <v>8.1512309469747676E-2</v>
      </c>
      <c r="L129" s="170">
        <f t="shared" si="335"/>
        <v>5.4848968505674445E-2</v>
      </c>
      <c r="M129" s="170">
        <f t="shared" si="335"/>
        <v>5.5230495416159868E-2</v>
      </c>
      <c r="N129" s="170">
        <f t="shared" si="335"/>
        <v>6.6243413851944516E-2</v>
      </c>
      <c r="O129" s="170">
        <f t="shared" si="335"/>
        <v>5.8456545464166135E-2</v>
      </c>
      <c r="P129" s="170">
        <f t="shared" si="335"/>
        <v>5.2391464754843457E-2</v>
      </c>
      <c r="Q129" s="170">
        <f t="shared" si="335"/>
        <v>4.9105603097260607E-2</v>
      </c>
      <c r="R129" s="170">
        <f t="shared" si="335"/>
        <v>5.1206058981519517E-2</v>
      </c>
      <c r="S129" s="170">
        <f>R129</f>
        <v>5.1206058981519517E-2</v>
      </c>
      <c r="T129" s="170">
        <f>S129</f>
        <v>5.1206058981519517E-2</v>
      </c>
      <c r="U129" s="170">
        <f t="shared" ref="U129:AA129" si="336">T129</f>
        <v>5.1206058981519517E-2</v>
      </c>
      <c r="V129" s="170">
        <f t="shared" si="336"/>
        <v>5.1206058981519517E-2</v>
      </c>
      <c r="W129" s="170">
        <f t="shared" si="336"/>
        <v>5.1206058981519517E-2</v>
      </c>
      <c r="X129" s="170">
        <f t="shared" si="336"/>
        <v>5.1206058981519517E-2</v>
      </c>
      <c r="Y129" s="170">
        <f t="shared" si="336"/>
        <v>5.1206058981519517E-2</v>
      </c>
      <c r="Z129" s="170">
        <f t="shared" si="336"/>
        <v>5.1206058981519517E-2</v>
      </c>
      <c r="AA129" s="170">
        <f t="shared" si="336"/>
        <v>5.1206058981519517E-2</v>
      </c>
      <c r="AB129" s="170"/>
      <c r="AC129" s="159"/>
      <c r="AD129" s="159"/>
      <c r="AE129" s="159"/>
      <c r="AF129" s="159"/>
      <c r="AG129" s="159"/>
      <c r="AH129" s="159"/>
      <c r="AI129" s="159"/>
      <c r="BZ129" s="286"/>
      <c r="CA129" s="287"/>
    </row>
    <row r="130" spans="1:79" s="163" customFormat="1" ht="13">
      <c r="A130" s="226" t="s">
        <v>39</v>
      </c>
      <c r="B130" s="318"/>
      <c r="C130" s="318" t="e">
        <f t="shared" ref="C130:I130" si="337">C129-B129</f>
        <v>#DIV/0!</v>
      </c>
      <c r="D130" s="318" t="e">
        <f t="shared" si="337"/>
        <v>#DIV/0!</v>
      </c>
      <c r="E130" s="318">
        <f t="shared" si="337"/>
        <v>1.7180554076588923E-2</v>
      </c>
      <c r="F130" s="318">
        <f t="shared" si="337"/>
        <v>-3.3005688836145949E-3</v>
      </c>
      <c r="G130" s="318">
        <f t="shared" si="337"/>
        <v>2.5732900419881757E-3</v>
      </c>
      <c r="H130" s="318">
        <f t="shared" si="337"/>
        <v>1.735694164466367E-3</v>
      </c>
      <c r="I130" s="318">
        <f t="shared" si="337"/>
        <v>7.7124819520446725E-3</v>
      </c>
      <c r="J130" s="318">
        <f t="shared" ref="J130" si="338">J129-I129</f>
        <v>-7.3322547252276382E-3</v>
      </c>
      <c r="K130" s="318">
        <f t="shared" ref="K130" si="339">K129-J129</f>
        <v>2.3190918728891549E-2</v>
      </c>
      <c r="L130" s="318">
        <f t="shared" ref="L130" si="340">L129-K129</f>
        <v>-2.6663340964073232E-2</v>
      </c>
      <c r="M130" s="318">
        <f t="shared" ref="M130" si="341">M129-L129</f>
        <v>3.8152691048542325E-4</v>
      </c>
      <c r="N130" s="318">
        <f t="shared" ref="N130" si="342">N129-M129</f>
        <v>1.1012918435784648E-2</v>
      </c>
      <c r="O130" s="318">
        <f t="shared" ref="O130" si="343">O129-N129</f>
        <v>-7.7868683877783812E-3</v>
      </c>
      <c r="P130" s="318">
        <f t="shared" ref="P130" si="344">P129-O129</f>
        <v>-6.0650807093226775E-3</v>
      </c>
      <c r="Q130" s="318">
        <f t="shared" ref="Q130" si="345">Q129-P129</f>
        <v>-3.2858616575828503E-3</v>
      </c>
      <c r="R130" s="318">
        <f t="shared" ref="R130" si="346">R129-Q129</f>
        <v>2.1004558842589102E-3</v>
      </c>
      <c r="S130" s="318">
        <f t="shared" ref="S130:T130" si="347">S129-R129</f>
        <v>0</v>
      </c>
      <c r="T130" s="318">
        <f t="shared" si="347"/>
        <v>0</v>
      </c>
      <c r="U130" s="318">
        <v>0</v>
      </c>
      <c r="V130" s="318">
        <v>0</v>
      </c>
      <c r="W130" s="318">
        <v>0</v>
      </c>
      <c r="X130" s="318">
        <v>0</v>
      </c>
      <c r="Y130" s="318">
        <v>0</v>
      </c>
      <c r="Z130" s="318">
        <v>0</v>
      </c>
      <c r="AA130" s="318">
        <v>0</v>
      </c>
      <c r="AB130" s="170"/>
      <c r="AC130" s="159"/>
      <c r="AD130" s="159"/>
      <c r="AE130" s="159"/>
      <c r="AF130" s="159"/>
      <c r="AG130" s="159"/>
      <c r="AH130" s="159"/>
      <c r="AI130" s="159"/>
      <c r="BZ130" s="286"/>
      <c r="CA130" s="287"/>
    </row>
    <row r="131" spans="1:79" s="163" customFormat="1" ht="13">
      <c r="A131" s="226" t="s">
        <v>161</v>
      </c>
      <c r="B131" s="246">
        <f>AVERAGE(B135:B135)</f>
        <v>0</v>
      </c>
      <c r="C131" s="246">
        <f t="shared" ref="C131:L131" si="348">AVERAGE(B135:C135)</f>
        <v>0</v>
      </c>
      <c r="D131" s="246">
        <f t="shared" si="348"/>
        <v>1937</v>
      </c>
      <c r="E131" s="246">
        <f t="shared" si="348"/>
        <v>4215.5</v>
      </c>
      <c r="F131" s="246">
        <f t="shared" si="348"/>
        <v>4997</v>
      </c>
      <c r="G131" s="246">
        <f t="shared" si="348"/>
        <v>5736.4328977272726</v>
      </c>
      <c r="H131" s="246">
        <f t="shared" si="348"/>
        <v>6375.4328977272726</v>
      </c>
      <c r="I131" s="246">
        <f t="shared" si="348"/>
        <v>7091</v>
      </c>
      <c r="J131" s="246">
        <f t="shared" si="348"/>
        <v>8024.5</v>
      </c>
      <c r="K131" s="246">
        <f>AVERAGE(J135:K135)</f>
        <v>8882.0940629673114</v>
      </c>
      <c r="L131" s="246">
        <f t="shared" si="348"/>
        <v>8113.1881259346228</v>
      </c>
      <c r="M131" s="246">
        <f>AVERAGE(L135)</f>
        <v>7044.1881259346228</v>
      </c>
      <c r="N131" s="246">
        <f t="shared" ref="N131:W131" si="349">AVERAGE(M135)</f>
        <v>7079.9491259346223</v>
      </c>
      <c r="O131" s="246">
        <f t="shared" si="349"/>
        <v>8365.1881259346228</v>
      </c>
      <c r="P131" s="246">
        <f t="shared" si="349"/>
        <v>9028.1881259346228</v>
      </c>
      <c r="Q131" s="246">
        <f t="shared" si="349"/>
        <v>8899.1881259346228</v>
      </c>
      <c r="R131" s="246">
        <f>AVERAGE(Q135)</f>
        <v>9237.1881259346228</v>
      </c>
      <c r="S131" s="246">
        <f t="shared" si="349"/>
        <v>9203.1881259346228</v>
      </c>
      <c r="T131" s="246">
        <f t="shared" si="349"/>
        <v>8825.1881259346228</v>
      </c>
      <c r="U131" s="246">
        <f t="shared" si="349"/>
        <v>8522.1881259346228</v>
      </c>
      <c r="V131" s="246">
        <f t="shared" si="349"/>
        <v>7994.3728880745612</v>
      </c>
      <c r="W131" s="246">
        <f t="shared" si="349"/>
        <v>7371.538076757045</v>
      </c>
      <c r="X131" s="246">
        <f t="shared" ref="X131" si="350">AVERAGE(W135)</f>
        <v>6750.5267779453279</v>
      </c>
      <c r="Y131" s="246">
        <f t="shared" ref="Y131" si="351">AVERAGE(X135)</f>
        <v>6134.7882294221918</v>
      </c>
      <c r="Z131" s="246">
        <f t="shared" ref="Z131" si="352">AVERAGE(Y135)</f>
        <v>5544.1796376897373</v>
      </c>
      <c r="AA131" s="246">
        <f t="shared" ref="AA131" si="353">AVERAGE(Z135)</f>
        <v>4966.0278012041254</v>
      </c>
      <c r="AB131" s="246"/>
      <c r="AC131" s="159"/>
      <c r="AD131" s="159"/>
      <c r="AE131" s="159"/>
      <c r="AF131" s="159"/>
      <c r="AG131" s="159"/>
      <c r="AH131" s="159"/>
      <c r="AI131" s="159"/>
      <c r="BZ131" s="286"/>
      <c r="CA131" s="287"/>
    </row>
    <row r="132" spans="1:79" s="163" customFormat="1" ht="13">
      <c r="A132" s="226"/>
      <c r="L132" s="441"/>
      <c r="AC132" s="159"/>
      <c r="AD132" s="159"/>
      <c r="AE132" s="159"/>
      <c r="AF132" s="159"/>
      <c r="AG132" s="159"/>
      <c r="AH132" s="159"/>
      <c r="AI132" s="159"/>
      <c r="BZ132" s="286"/>
      <c r="CA132" s="287"/>
    </row>
    <row r="133" spans="1:79" s="163" customFormat="1" ht="13">
      <c r="A133" s="226" t="s">
        <v>162</v>
      </c>
      <c r="B133" s="693">
        <f t="shared" ref="B133:I133" si="354">SUM(B138:B139)</f>
        <v>0</v>
      </c>
      <c r="C133" s="693">
        <f t="shared" si="354"/>
        <v>0</v>
      </c>
      <c r="D133" s="693">
        <f t="shared" si="354"/>
        <v>5066</v>
      </c>
      <c r="E133" s="693">
        <f t="shared" si="354"/>
        <v>5455</v>
      </c>
      <c r="F133" s="693">
        <f t="shared" si="354"/>
        <v>6275</v>
      </c>
      <c r="G133" s="693">
        <f t="shared" si="354"/>
        <v>6723.8657954545452</v>
      </c>
      <c r="H133" s="693">
        <f t="shared" si="354"/>
        <v>7523</v>
      </c>
      <c r="I133" s="693">
        <f t="shared" si="354"/>
        <v>8998</v>
      </c>
      <c r="J133" s="693">
        <f>SUM(J138:J139)</f>
        <v>9878</v>
      </c>
      <c r="K133" s="693">
        <f t="shared" ref="K133:P133" si="355">SUM(K138:K139)</f>
        <v>9864</v>
      </c>
      <c r="L133" s="693">
        <f t="shared" si="355"/>
        <v>7646</v>
      </c>
      <c r="M133" s="693">
        <f t="shared" si="355"/>
        <v>7640.2179999999998</v>
      </c>
      <c r="N133" s="693">
        <f t="shared" si="355"/>
        <v>8947</v>
      </c>
      <c r="O133" s="693">
        <f t="shared" si="355"/>
        <v>9763</v>
      </c>
      <c r="P133" s="693">
        <f t="shared" si="355"/>
        <v>10090</v>
      </c>
      <c r="Q133" s="693">
        <f t="shared" ref="Q133:R133" si="356">SUM(Q138:Q139)</f>
        <v>9865</v>
      </c>
      <c r="R133" s="693">
        <f t="shared" si="356"/>
        <v>9772</v>
      </c>
      <c r="S133" s="693">
        <f t="shared" ref="S133:T133" si="357">SUM(S138:S139)</f>
        <v>9289</v>
      </c>
      <c r="T133" s="693">
        <f t="shared" si="357"/>
        <v>8980</v>
      </c>
      <c r="U133" s="690">
        <f t="shared" ref="U133:W133" si="358">U134+U135</f>
        <v>8465.7484940497816</v>
      </c>
      <c r="V133" s="690">
        <f t="shared" si="358"/>
        <v>7854.6042793116058</v>
      </c>
      <c r="W133" s="690">
        <f t="shared" si="358"/>
        <v>7245.4180291024213</v>
      </c>
      <c r="X133" s="690">
        <f t="shared" ref="X133:AA133" si="359">X134+X135</f>
        <v>6642.1629613866189</v>
      </c>
      <c r="Y133" s="690">
        <f t="shared" si="359"/>
        <v>6063.6513717036332</v>
      </c>
      <c r="Z133" s="690">
        <f t="shared" si="359"/>
        <v>5497.7703493314011</v>
      </c>
      <c r="AA133" s="690">
        <f t="shared" si="359"/>
        <v>5349.3889518577953</v>
      </c>
      <c r="AB133" s="250"/>
      <c r="AC133" s="159"/>
      <c r="AD133" s="159"/>
      <c r="AE133" s="159"/>
      <c r="AF133" s="159"/>
      <c r="AG133" s="159"/>
      <c r="AH133" s="159"/>
      <c r="AI133" s="159"/>
      <c r="BZ133" s="286"/>
      <c r="CA133" s="287"/>
    </row>
    <row r="134" spans="1:79" s="163" customFormat="1" ht="13">
      <c r="A134" s="226" t="s">
        <v>163</v>
      </c>
      <c r="B134" s="693">
        <f t="shared" ref="B134:S134" si="360">B4</f>
        <v>0</v>
      </c>
      <c r="C134" s="693">
        <f t="shared" si="360"/>
        <v>0</v>
      </c>
      <c r="D134" s="693">
        <f t="shared" si="360"/>
        <v>1192</v>
      </c>
      <c r="E134" s="693">
        <f t="shared" si="360"/>
        <v>898</v>
      </c>
      <c r="F134" s="693">
        <f t="shared" si="360"/>
        <v>838</v>
      </c>
      <c r="G134" s="693">
        <f t="shared" si="360"/>
        <v>688</v>
      </c>
      <c r="H134" s="693">
        <f t="shared" si="360"/>
        <v>808</v>
      </c>
      <c r="I134" s="693">
        <f t="shared" si="360"/>
        <v>1531</v>
      </c>
      <c r="J134" s="693">
        <f t="shared" si="360"/>
        <v>1296</v>
      </c>
      <c r="K134" s="693">
        <f t="shared" si="360"/>
        <v>682</v>
      </c>
      <c r="L134" s="693">
        <f t="shared" si="360"/>
        <v>602</v>
      </c>
      <c r="M134" s="693">
        <f t="shared" si="360"/>
        <v>560.45699999999999</v>
      </c>
      <c r="N134" s="693">
        <f t="shared" si="360"/>
        <v>582</v>
      </c>
      <c r="O134" s="693">
        <f t="shared" si="360"/>
        <v>735</v>
      </c>
      <c r="P134" s="693">
        <f t="shared" si="360"/>
        <v>1191</v>
      </c>
      <c r="Q134" s="693">
        <f t="shared" si="360"/>
        <v>628</v>
      </c>
      <c r="R134" s="693">
        <f t="shared" si="360"/>
        <v>569</v>
      </c>
      <c r="S134" s="693">
        <f t="shared" si="360"/>
        <v>464</v>
      </c>
      <c r="T134" s="693">
        <f t="shared" ref="T134" si="361">T4</f>
        <v>458</v>
      </c>
      <c r="U134" s="704">
        <f>U136*'Income Statement'!CQ432</f>
        <v>471.37560597522059</v>
      </c>
      <c r="V134" s="704">
        <f>V136*'Income Statement'!CR432</f>
        <v>483.06620255456079</v>
      </c>
      <c r="W134" s="704">
        <f>W136*'Income Statement'!CS432</f>
        <v>494.89125115709339</v>
      </c>
      <c r="X134" s="704">
        <f>X136*'Income Statement'!CT432</f>
        <v>507.37473196442699</v>
      </c>
      <c r="Y134" s="704">
        <f>Y136*'Income Statement'!CU432</f>
        <v>519.47173401389557</v>
      </c>
      <c r="Z134" s="704">
        <f>Z136*'Income Statement'!CV432</f>
        <v>531.74254812727543</v>
      </c>
      <c r="AA134" s="704">
        <f>AA136*'Income Statement'!CW432</f>
        <v>544.2114845573999</v>
      </c>
      <c r="AB134" s="246"/>
      <c r="AC134" s="159"/>
      <c r="AD134" s="159"/>
      <c r="AE134" s="159"/>
      <c r="AF134" s="159"/>
      <c r="AG134" s="159"/>
      <c r="AH134" s="159"/>
      <c r="AI134" s="159"/>
      <c r="BZ134" s="286"/>
      <c r="CA134" s="287"/>
    </row>
    <row r="135" spans="1:79" s="163" customFormat="1" ht="13.5" thickBot="1">
      <c r="A135" s="473" t="s">
        <v>164</v>
      </c>
      <c r="B135" s="985">
        <f>B133-B134</f>
        <v>0</v>
      </c>
      <c r="C135" s="985">
        <f t="shared" ref="C135:I135" si="362">C133-C134</f>
        <v>0</v>
      </c>
      <c r="D135" s="985">
        <f t="shared" si="362"/>
        <v>3874</v>
      </c>
      <c r="E135" s="985">
        <f t="shared" si="362"/>
        <v>4557</v>
      </c>
      <c r="F135" s="985">
        <f t="shared" si="362"/>
        <v>5437</v>
      </c>
      <c r="G135" s="985">
        <f t="shared" si="362"/>
        <v>6035.8657954545452</v>
      </c>
      <c r="H135" s="985">
        <f t="shared" si="362"/>
        <v>6715</v>
      </c>
      <c r="I135" s="985">
        <f t="shared" si="362"/>
        <v>7467</v>
      </c>
      <c r="J135" s="985">
        <f>J133-J134</f>
        <v>8582</v>
      </c>
      <c r="K135" s="985">
        <f t="shared" ref="K135:AA135" si="363">K66</f>
        <v>9182.1881259346228</v>
      </c>
      <c r="L135" s="985">
        <f t="shared" si="363"/>
        <v>7044.1881259346228</v>
      </c>
      <c r="M135" s="985">
        <f t="shared" si="363"/>
        <v>7079.9491259346223</v>
      </c>
      <c r="N135" s="985">
        <f t="shared" si="363"/>
        <v>8365.1881259346228</v>
      </c>
      <c r="O135" s="985">
        <f t="shared" si="363"/>
        <v>9028.1881259346228</v>
      </c>
      <c r="P135" s="985">
        <f t="shared" si="363"/>
        <v>8899.1881259346228</v>
      </c>
      <c r="Q135" s="985">
        <f t="shared" si="363"/>
        <v>9237.1881259346228</v>
      </c>
      <c r="R135" s="985">
        <f t="shared" si="363"/>
        <v>9203.1881259346228</v>
      </c>
      <c r="S135" s="985">
        <f t="shared" ref="S135:T135" si="364">S66</f>
        <v>8825.1881259346228</v>
      </c>
      <c r="T135" s="985">
        <f t="shared" si="364"/>
        <v>8522.1881259346228</v>
      </c>
      <c r="U135" s="985">
        <f t="shared" si="363"/>
        <v>7994.3728880745612</v>
      </c>
      <c r="V135" s="985">
        <f t="shared" si="363"/>
        <v>7371.538076757045</v>
      </c>
      <c r="W135" s="985">
        <f t="shared" si="363"/>
        <v>6750.5267779453279</v>
      </c>
      <c r="X135" s="985">
        <f t="shared" si="363"/>
        <v>6134.7882294221918</v>
      </c>
      <c r="Y135" s="985">
        <f t="shared" si="363"/>
        <v>5544.1796376897373</v>
      </c>
      <c r="Z135" s="985">
        <f t="shared" si="363"/>
        <v>4966.0278012041254</v>
      </c>
      <c r="AA135" s="985">
        <f t="shared" si="363"/>
        <v>4805.1774673003956</v>
      </c>
      <c r="AB135" s="445"/>
      <c r="AC135" s="159"/>
      <c r="AD135" s="159"/>
      <c r="AE135" s="159"/>
      <c r="AF135" s="159"/>
      <c r="AG135" s="159"/>
      <c r="AH135" s="159"/>
      <c r="AI135" s="159"/>
      <c r="BZ135" s="286"/>
      <c r="CA135" s="287"/>
    </row>
    <row r="136" spans="1:79" s="163" customFormat="1" ht="13.5" thickTop="1">
      <c r="A136" s="226" t="s">
        <v>165</v>
      </c>
      <c r="B136" s="170">
        <f>B134/'Income Statement'!B432</f>
        <v>0</v>
      </c>
      <c r="C136" s="170">
        <f>C134/'Income Statement'!G432</f>
        <v>0</v>
      </c>
      <c r="D136" s="170">
        <f>D134/'Income Statement'!L432</f>
        <v>0.13841151881096145</v>
      </c>
      <c r="E136" s="170">
        <f>E134/'Income Statement'!Q432</f>
        <v>0.10125155034389446</v>
      </c>
      <c r="F136" s="170">
        <f>F134/'Income Statement'!V432</f>
        <v>9.5411590572697255E-2</v>
      </c>
      <c r="G136" s="170">
        <f>G134/'Income Statement'!AA432</f>
        <v>7.7477477477477477E-2</v>
      </c>
      <c r="H136" s="170">
        <f>H134/'Income Statement'!AF432</f>
        <v>8.9495647720319899E-2</v>
      </c>
      <c r="I136" s="170">
        <f>I134/'Income Statement'!AK432</f>
        <v>0.18217515468824369</v>
      </c>
      <c r="J136" s="170">
        <f>J134/'Income Statement'!AP432</f>
        <v>0.15068015347052668</v>
      </c>
      <c r="K136" s="170">
        <f>K134/'Income Statement'!AU432</f>
        <v>7.9191825359962845E-2</v>
      </c>
      <c r="L136" s="170">
        <f>L134/'Income Statement'!AZ432</f>
        <v>6.3913366599426688E-2</v>
      </c>
      <c r="M136" s="170">
        <f>M134/'Income Statement'!BE432</f>
        <v>6.0972258485639683E-2</v>
      </c>
      <c r="N136" s="170">
        <f>N134/'Income Statement'!BJ432</f>
        <v>6.2493288950928809E-2</v>
      </c>
      <c r="O136" s="170">
        <f>O134/'Income Statement'!BO432</f>
        <v>8.1976355119339733E-2</v>
      </c>
      <c r="P136" s="170">
        <f>P134/'Income Statement'!BT432</f>
        <v>0.12888215561086463</v>
      </c>
      <c r="Q136" s="170">
        <f>Q134/'Income Statement'!BY432</f>
        <v>6.415364184288487E-2</v>
      </c>
      <c r="R136" s="170">
        <f>R134/'Income Statement'!CD432</f>
        <v>5.5893909626719057E-2</v>
      </c>
      <c r="S136" s="170">
        <f>S134/'Income Statement'!CI432</f>
        <v>4.4039483675018982E-2</v>
      </c>
      <c r="T136" s="170">
        <f>T134/'Income Statement'!CN432</f>
        <v>4.306535025858016E-2</v>
      </c>
      <c r="U136" s="318">
        <f t="shared" ref="U136:W136" si="365">T136</f>
        <v>4.306535025858016E-2</v>
      </c>
      <c r="V136" s="318">
        <f t="shared" si="365"/>
        <v>4.306535025858016E-2</v>
      </c>
      <c r="W136" s="318">
        <f t="shared" si="365"/>
        <v>4.306535025858016E-2</v>
      </c>
      <c r="X136" s="318">
        <f t="shared" ref="X136" si="366">W136</f>
        <v>4.306535025858016E-2</v>
      </c>
      <c r="Y136" s="318">
        <f t="shared" ref="Y136" si="367">X136</f>
        <v>4.306535025858016E-2</v>
      </c>
      <c r="Z136" s="318">
        <f t="shared" ref="Z136" si="368">Y136</f>
        <v>4.306535025858016E-2</v>
      </c>
      <c r="AA136" s="318">
        <f t="shared" ref="AA136" si="369">Z136</f>
        <v>4.306535025858016E-2</v>
      </c>
      <c r="AB136" s="170"/>
      <c r="AC136" s="159"/>
      <c r="AD136" s="159"/>
      <c r="AE136" s="159"/>
      <c r="AF136" s="159"/>
      <c r="AG136" s="159"/>
      <c r="AH136" s="159"/>
      <c r="AI136" s="159"/>
      <c r="BZ136" s="286"/>
      <c r="CA136" s="287"/>
    </row>
    <row r="137" spans="1:79" s="163" customFormat="1" ht="13">
      <c r="A137" s="226"/>
      <c r="S137" s="220"/>
      <c r="T137" s="220"/>
      <c r="AC137" s="159"/>
      <c r="AD137" s="159"/>
      <c r="AE137" s="159"/>
      <c r="AF137" s="159"/>
      <c r="AG137" s="159"/>
      <c r="AH137" s="159"/>
      <c r="AI137" s="159"/>
      <c r="BZ137" s="286"/>
      <c r="CA137" s="287"/>
    </row>
    <row r="138" spans="1:79" s="163" customFormat="1" ht="13">
      <c r="A138" s="226" t="s">
        <v>166</v>
      </c>
      <c r="B138" s="703"/>
      <c r="C138" s="703"/>
      <c r="D138" s="703">
        <v>53</v>
      </c>
      <c r="E138" s="703">
        <v>13</v>
      </c>
      <c r="F138" s="704">
        <v>1464</v>
      </c>
      <c r="G138" s="704">
        <v>1912.8657954545454</v>
      </c>
      <c r="H138" s="704">
        <v>910</v>
      </c>
      <c r="I138" s="704">
        <v>880</v>
      </c>
      <c r="J138" s="704">
        <v>1077</v>
      </c>
      <c r="K138" s="704">
        <v>1101</v>
      </c>
      <c r="L138" s="704">
        <v>206</v>
      </c>
      <c r="M138" s="704">
        <v>201.09700000000001</v>
      </c>
      <c r="N138" s="704">
        <v>1053</v>
      </c>
      <c r="O138" s="704">
        <v>255</v>
      </c>
      <c r="P138" s="986">
        <v>2034</v>
      </c>
      <c r="Q138" s="986">
        <v>283</v>
      </c>
      <c r="R138" s="986">
        <v>857</v>
      </c>
      <c r="S138" s="986">
        <v>1193</v>
      </c>
      <c r="T138" s="986">
        <v>1886</v>
      </c>
      <c r="U138" s="704">
        <f t="shared" ref="U138:W138" si="370">T138</f>
        <v>1886</v>
      </c>
      <c r="V138" s="704">
        <f t="shared" si="370"/>
        <v>1886</v>
      </c>
      <c r="W138" s="704">
        <f t="shared" si="370"/>
        <v>1886</v>
      </c>
      <c r="X138" s="704">
        <f t="shared" ref="X138" si="371">W138</f>
        <v>1886</v>
      </c>
      <c r="Y138" s="704">
        <f t="shared" ref="Y138" si="372">X138</f>
        <v>1886</v>
      </c>
      <c r="Z138" s="704">
        <f t="shared" ref="Z138" si="373">Y138</f>
        <v>1886</v>
      </c>
      <c r="AA138" s="704">
        <f t="shared" ref="AA138" si="374">Z138</f>
        <v>1886</v>
      </c>
      <c r="AB138" s="246"/>
      <c r="AC138" s="159"/>
      <c r="AD138" s="159"/>
      <c r="AE138" s="159"/>
      <c r="AF138" s="159"/>
      <c r="AG138" s="159"/>
      <c r="AH138" s="159"/>
      <c r="AI138" s="159"/>
      <c r="BZ138" s="286"/>
      <c r="CA138" s="287"/>
    </row>
    <row r="139" spans="1:79" s="163" customFormat="1" ht="13">
      <c r="A139" s="226" t="s">
        <v>167</v>
      </c>
      <c r="B139" s="703"/>
      <c r="C139" s="703"/>
      <c r="D139" s="703">
        <v>5013</v>
      </c>
      <c r="E139" s="703">
        <v>5442</v>
      </c>
      <c r="F139" s="704">
        <v>4811</v>
      </c>
      <c r="G139" s="704">
        <v>4811</v>
      </c>
      <c r="H139" s="704">
        <v>6613</v>
      </c>
      <c r="I139" s="704">
        <v>8118</v>
      </c>
      <c r="J139" s="704">
        <v>8801</v>
      </c>
      <c r="K139" s="704">
        <v>8763</v>
      </c>
      <c r="L139" s="704">
        <v>7440</v>
      </c>
      <c r="M139" s="704">
        <v>7439.1210000000001</v>
      </c>
      <c r="N139" s="704">
        <v>7894</v>
      </c>
      <c r="O139" s="704">
        <v>9508</v>
      </c>
      <c r="P139" s="986">
        <v>8056</v>
      </c>
      <c r="Q139" s="986">
        <v>9582</v>
      </c>
      <c r="R139" s="986">
        <v>8915</v>
      </c>
      <c r="S139" s="986">
        <v>8096</v>
      </c>
      <c r="T139" s="986">
        <v>7094</v>
      </c>
      <c r="U139" s="693">
        <f t="shared" ref="U139:W139" si="375">U133-U138</f>
        <v>6579.7484940497816</v>
      </c>
      <c r="V139" s="693">
        <f t="shared" si="375"/>
        <v>5968.6042793116058</v>
      </c>
      <c r="W139" s="693">
        <f t="shared" si="375"/>
        <v>5359.4180291024213</v>
      </c>
      <c r="X139" s="693">
        <f t="shared" ref="X139:AA139" si="376">X133-X138</f>
        <v>4756.1629613866189</v>
      </c>
      <c r="Y139" s="693">
        <f t="shared" si="376"/>
        <v>4177.6513717036332</v>
      </c>
      <c r="Z139" s="693">
        <f t="shared" si="376"/>
        <v>3611.7703493314011</v>
      </c>
      <c r="AA139" s="693">
        <f t="shared" si="376"/>
        <v>3463.3889518577953</v>
      </c>
      <c r="AB139" s="246"/>
      <c r="AC139" s="159"/>
      <c r="AD139" s="159"/>
      <c r="AE139" s="159"/>
      <c r="AF139" s="159"/>
      <c r="AG139" s="159"/>
      <c r="AH139" s="159"/>
      <c r="AI139" s="159"/>
      <c r="BZ139" s="286"/>
      <c r="CA139" s="287"/>
    </row>
    <row r="140" spans="1:79" s="163" customFormat="1" ht="13">
      <c r="A140" s="226"/>
      <c r="B140" s="693"/>
      <c r="C140" s="693"/>
      <c r="D140" s="693"/>
      <c r="E140" s="693"/>
      <c r="F140" s="693"/>
      <c r="G140" s="693"/>
      <c r="H140" s="693"/>
      <c r="I140" s="693"/>
      <c r="J140" s="693"/>
      <c r="K140" s="693"/>
      <c r="L140" s="693"/>
      <c r="M140" s="693"/>
      <c r="N140" s="693"/>
      <c r="O140" s="693"/>
      <c r="P140" s="693"/>
      <c r="Q140" s="693"/>
      <c r="R140" s="693"/>
      <c r="S140" s="693"/>
      <c r="T140" s="693"/>
      <c r="U140" s="693"/>
      <c r="V140" s="693"/>
      <c r="W140" s="693"/>
      <c r="X140" s="693"/>
      <c r="Y140" s="693"/>
      <c r="Z140" s="693"/>
      <c r="AA140" s="693"/>
      <c r="AC140" s="159"/>
      <c r="AD140" s="159"/>
      <c r="AE140" s="159"/>
      <c r="AF140" s="159"/>
      <c r="AG140" s="159"/>
      <c r="AH140" s="159"/>
      <c r="AI140" s="159"/>
      <c r="BZ140" s="286"/>
      <c r="CA140" s="287"/>
    </row>
    <row r="141" spans="1:79" s="163" customFormat="1" ht="13">
      <c r="A141" s="226" t="s">
        <v>588</v>
      </c>
      <c r="B141" s="703"/>
      <c r="C141" s="703"/>
      <c r="D141" s="703">
        <v>1192</v>
      </c>
      <c r="E141" s="703">
        <v>898</v>
      </c>
      <c r="F141" s="704">
        <v>838</v>
      </c>
      <c r="G141" s="704">
        <v>688</v>
      </c>
      <c r="H141" s="704">
        <v>808</v>
      </c>
      <c r="I141" s="704">
        <v>1531</v>
      </c>
      <c r="J141" s="704">
        <v>1296</v>
      </c>
      <c r="K141" s="704">
        <v>682</v>
      </c>
      <c r="L141" s="704">
        <v>602</v>
      </c>
      <c r="M141" s="704">
        <v>560.45699999999999</v>
      </c>
      <c r="N141" s="704">
        <v>582</v>
      </c>
      <c r="O141" s="704">
        <v>735</v>
      </c>
      <c r="P141" s="704">
        <v>1191</v>
      </c>
      <c r="Q141" s="704">
        <v>628</v>
      </c>
      <c r="R141" s="704">
        <v>569</v>
      </c>
      <c r="S141" s="704">
        <v>464</v>
      </c>
      <c r="T141" s="704">
        <v>458</v>
      </c>
      <c r="U141" s="693">
        <f t="shared" ref="U141:W141" si="377">U134</f>
        <v>471.37560597522059</v>
      </c>
      <c r="V141" s="693">
        <f t="shared" si="377"/>
        <v>483.06620255456079</v>
      </c>
      <c r="W141" s="693">
        <f t="shared" si="377"/>
        <v>494.89125115709339</v>
      </c>
      <c r="X141" s="693">
        <f t="shared" ref="X141:AA141" si="378">X134</f>
        <v>507.37473196442699</v>
      </c>
      <c r="Y141" s="693">
        <f t="shared" si="378"/>
        <v>519.47173401389557</v>
      </c>
      <c r="Z141" s="693">
        <f t="shared" si="378"/>
        <v>531.74254812727543</v>
      </c>
      <c r="AA141" s="693">
        <f t="shared" si="378"/>
        <v>544.2114845573999</v>
      </c>
      <c r="AB141" s="246"/>
      <c r="AC141" s="159"/>
      <c r="AD141" s="159"/>
      <c r="AE141" s="159"/>
      <c r="AF141" s="159"/>
      <c r="AG141" s="159"/>
      <c r="AH141" s="159"/>
      <c r="AI141" s="159"/>
      <c r="BZ141" s="286"/>
      <c r="CA141" s="287"/>
    </row>
    <row r="142" spans="1:79" s="163" customFormat="1" ht="13">
      <c r="A142" s="226"/>
      <c r="H142" s="159"/>
      <c r="I142" s="159"/>
      <c r="J142" s="159"/>
      <c r="K142" s="159"/>
      <c r="L142" s="159"/>
      <c r="M142" s="159"/>
      <c r="N142" s="159"/>
      <c r="O142" s="159"/>
      <c r="P142" s="159"/>
      <c r="Q142" s="159"/>
      <c r="R142" s="159"/>
      <c r="S142" s="159"/>
      <c r="T142" s="159"/>
      <c r="U142" s="159"/>
      <c r="V142" s="159"/>
      <c r="W142" s="159"/>
      <c r="X142" s="159"/>
      <c r="Y142" s="159"/>
      <c r="Z142" s="159"/>
      <c r="AA142" s="159"/>
      <c r="AB142" s="159"/>
      <c r="AC142" s="159"/>
      <c r="AD142" s="159"/>
      <c r="AE142" s="159"/>
      <c r="AF142" s="159"/>
      <c r="AG142" s="159"/>
      <c r="AH142" s="165"/>
      <c r="AI142" s="165"/>
      <c r="BZ142" s="286"/>
      <c r="CA142" s="287"/>
    </row>
    <row r="143" spans="1:79" s="163" customFormat="1" ht="13">
      <c r="A143" s="443" t="s">
        <v>168</v>
      </c>
      <c r="B143" s="444">
        <f>B$2</f>
        <v>2007</v>
      </c>
      <c r="C143" s="444">
        <f t="shared" ref="C143:Q143" si="379">B143+1</f>
        <v>2008</v>
      </c>
      <c r="D143" s="444">
        <f t="shared" si="379"/>
        <v>2009</v>
      </c>
      <c r="E143" s="444">
        <f t="shared" si="379"/>
        <v>2010</v>
      </c>
      <c r="F143" s="444">
        <f t="shared" si="379"/>
        <v>2011</v>
      </c>
      <c r="G143" s="444">
        <f t="shared" si="379"/>
        <v>2012</v>
      </c>
      <c r="H143" s="444">
        <f t="shared" si="379"/>
        <v>2013</v>
      </c>
      <c r="I143" s="444">
        <f t="shared" si="379"/>
        <v>2014</v>
      </c>
      <c r="J143" s="444">
        <f t="shared" si="379"/>
        <v>2015</v>
      </c>
      <c r="K143" s="444">
        <f t="shared" si="379"/>
        <v>2016</v>
      </c>
      <c r="L143" s="444">
        <f t="shared" si="379"/>
        <v>2017</v>
      </c>
      <c r="M143" s="444">
        <f t="shared" si="379"/>
        <v>2018</v>
      </c>
      <c r="N143" s="444">
        <f t="shared" si="379"/>
        <v>2019</v>
      </c>
      <c r="O143" s="444">
        <f t="shared" si="379"/>
        <v>2020</v>
      </c>
      <c r="P143" s="444">
        <f t="shared" si="379"/>
        <v>2021</v>
      </c>
      <c r="Q143" s="444">
        <f t="shared" si="379"/>
        <v>2022</v>
      </c>
      <c r="R143" s="444">
        <f t="shared" ref="R143:W143" si="380">Q143+1</f>
        <v>2023</v>
      </c>
      <c r="S143" s="444">
        <f t="shared" si="380"/>
        <v>2024</v>
      </c>
      <c r="T143" s="444">
        <f t="shared" si="380"/>
        <v>2025</v>
      </c>
      <c r="U143" s="444">
        <f t="shared" si="380"/>
        <v>2026</v>
      </c>
      <c r="V143" s="444">
        <f t="shared" si="380"/>
        <v>2027</v>
      </c>
      <c r="W143" s="444">
        <f t="shared" si="380"/>
        <v>2028</v>
      </c>
      <c r="X143" s="444">
        <f t="shared" ref="X143" si="381">W143+1</f>
        <v>2029</v>
      </c>
      <c r="Y143" s="444">
        <f t="shared" ref="Y143" si="382">X143+1</f>
        <v>2030</v>
      </c>
      <c r="Z143" s="444">
        <f t="shared" ref="Z143" si="383">Y143+1</f>
        <v>2031</v>
      </c>
      <c r="AA143" s="444">
        <f t="shared" ref="AA143" si="384">Z143+1</f>
        <v>2032</v>
      </c>
      <c r="AB143" s="221"/>
      <c r="AC143" s="165"/>
      <c r="AD143" s="165"/>
      <c r="AE143" s="165"/>
      <c r="AF143" s="165"/>
      <c r="AG143" s="165"/>
      <c r="AH143" s="159"/>
      <c r="AI143" s="159"/>
      <c r="BZ143" s="286"/>
      <c r="CA143" s="287"/>
    </row>
    <row r="144" spans="1:79" s="163" customFormat="1" ht="13">
      <c r="A144" s="226"/>
      <c r="H144" s="159"/>
      <c r="I144" s="159"/>
      <c r="J144" s="159"/>
      <c r="K144" s="159"/>
      <c r="L144" s="159"/>
      <c r="M144" s="159"/>
      <c r="N144" s="159"/>
      <c r="O144" s="159"/>
      <c r="P144" s="159"/>
      <c r="Q144" s="159"/>
      <c r="R144" s="159"/>
      <c r="S144" s="159"/>
      <c r="T144" s="159"/>
      <c r="U144" s="159"/>
      <c r="V144" s="159"/>
      <c r="W144" s="159"/>
      <c r="X144" s="159"/>
      <c r="Y144" s="159"/>
      <c r="Z144" s="159"/>
      <c r="AA144" s="159"/>
      <c r="AB144" s="159"/>
      <c r="AC144" s="159"/>
      <c r="AD144" s="159"/>
      <c r="AE144" s="159"/>
      <c r="AF144" s="159"/>
      <c r="AG144" s="159"/>
      <c r="AH144" s="159"/>
      <c r="AI144" s="159"/>
      <c r="BZ144" s="286"/>
      <c r="CA144" s="287"/>
    </row>
    <row r="145" spans="1:79" s="163" customFormat="1" ht="13">
      <c r="A145" s="226" t="s">
        <v>169</v>
      </c>
      <c r="B145" s="169">
        <v>0</v>
      </c>
      <c r="C145" s="169">
        <v>0</v>
      </c>
      <c r="D145" s="169">
        <v>0</v>
      </c>
      <c r="E145" s="169">
        <v>0</v>
      </c>
      <c r="F145" s="169">
        <v>0</v>
      </c>
      <c r="G145" s="169">
        <v>0</v>
      </c>
      <c r="H145" s="169">
        <v>0</v>
      </c>
      <c r="I145" s="169">
        <v>0</v>
      </c>
      <c r="J145" s="169">
        <v>0</v>
      </c>
      <c r="K145" s="169">
        <v>0</v>
      </c>
      <c r="L145" s="169">
        <v>0</v>
      </c>
      <c r="M145" s="169">
        <v>0</v>
      </c>
      <c r="N145" s="169">
        <v>0</v>
      </c>
      <c r="O145" s="169">
        <v>0</v>
      </c>
      <c r="P145" s="169">
        <v>0</v>
      </c>
      <c r="Q145" s="169"/>
      <c r="R145" s="169">
        <v>0</v>
      </c>
      <c r="S145" s="169">
        <v>0</v>
      </c>
      <c r="T145" s="169"/>
      <c r="U145" s="169">
        <v>0</v>
      </c>
      <c r="V145" s="169">
        <v>0</v>
      </c>
      <c r="W145" s="169">
        <v>0</v>
      </c>
      <c r="X145" s="169">
        <v>0</v>
      </c>
      <c r="Y145" s="169">
        <v>0</v>
      </c>
      <c r="Z145" s="169">
        <v>0</v>
      </c>
      <c r="AA145" s="169">
        <v>0</v>
      </c>
      <c r="AB145" s="169"/>
      <c r="AC145" s="159"/>
      <c r="AD145" s="159"/>
      <c r="AE145" s="159"/>
      <c r="AF145" s="159"/>
      <c r="AG145" s="159"/>
      <c r="AH145" s="159"/>
      <c r="AI145" s="159"/>
      <c r="BZ145" s="286"/>
      <c r="CA145" s="287"/>
    </row>
    <row r="146" spans="1:79" s="163" customFormat="1" ht="13">
      <c r="A146" s="226" t="s">
        <v>64</v>
      </c>
      <c r="B146" s="170"/>
      <c r="C146" s="170"/>
      <c r="D146" s="170"/>
      <c r="E146" s="170"/>
      <c r="F146" s="170"/>
      <c r="G146" s="170"/>
      <c r="H146" s="170"/>
      <c r="I146" s="170"/>
      <c r="J146" s="170"/>
      <c r="K146" s="170"/>
      <c r="L146" s="170"/>
      <c r="M146" s="170"/>
      <c r="N146" s="170"/>
      <c r="O146" s="170"/>
      <c r="P146" s="170"/>
      <c r="Q146" s="170"/>
      <c r="R146" s="170"/>
      <c r="S146" s="170"/>
      <c r="T146" s="170"/>
      <c r="U146" s="170"/>
      <c r="V146" s="170"/>
      <c r="W146" s="170"/>
      <c r="X146" s="170"/>
      <c r="Y146" s="170"/>
      <c r="Z146" s="170"/>
      <c r="AA146" s="170"/>
      <c r="AB146" s="170"/>
      <c r="AC146" s="159"/>
      <c r="AD146" s="159"/>
      <c r="AE146" s="159"/>
      <c r="AF146" s="159"/>
      <c r="AG146" s="159"/>
      <c r="AH146" s="159"/>
      <c r="AI146" s="159"/>
      <c r="BZ146" s="286"/>
      <c r="CA146" s="287"/>
    </row>
    <row r="147" spans="1:79" s="163" customFormat="1" ht="13">
      <c r="A147" s="226"/>
      <c r="AC147" s="159"/>
      <c r="AD147" s="159"/>
      <c r="AE147" s="159"/>
      <c r="AF147" s="159"/>
      <c r="AG147" s="159"/>
      <c r="AH147" s="159"/>
      <c r="AI147" s="159"/>
      <c r="BZ147" s="286"/>
      <c r="CA147" s="287"/>
    </row>
    <row r="148" spans="1:79" s="163" customFormat="1" ht="13">
      <c r="A148" s="226" t="s">
        <v>170</v>
      </c>
      <c r="B148" s="169">
        <v>0</v>
      </c>
      <c r="C148" s="169">
        <v>0</v>
      </c>
      <c r="D148" s="169">
        <v>0</v>
      </c>
      <c r="E148" s="169">
        <v>0</v>
      </c>
      <c r="F148" s="169">
        <v>0</v>
      </c>
      <c r="G148" s="169">
        <v>0</v>
      </c>
      <c r="H148" s="169">
        <v>0</v>
      </c>
      <c r="I148" s="169">
        <v>0</v>
      </c>
      <c r="J148" s="246"/>
      <c r="K148" s="169">
        <v>0</v>
      </c>
      <c r="L148" s="169">
        <v>0</v>
      </c>
      <c r="M148" s="169">
        <v>0</v>
      </c>
      <c r="N148" s="169">
        <v>0</v>
      </c>
      <c r="O148" s="169">
        <v>0</v>
      </c>
      <c r="P148" s="169">
        <v>0</v>
      </c>
      <c r="Q148" s="169"/>
      <c r="R148" s="169">
        <v>0</v>
      </c>
      <c r="S148" s="169">
        <v>0</v>
      </c>
      <c r="T148" s="169"/>
      <c r="U148" s="169">
        <v>0</v>
      </c>
      <c r="V148" s="169">
        <v>0</v>
      </c>
      <c r="W148" s="169">
        <v>0</v>
      </c>
      <c r="X148" s="169">
        <v>0</v>
      </c>
      <c r="Y148" s="169">
        <v>0</v>
      </c>
      <c r="Z148" s="169">
        <v>0</v>
      </c>
      <c r="AA148" s="169">
        <v>0</v>
      </c>
      <c r="AB148" s="169"/>
      <c r="AC148" s="159"/>
      <c r="AD148" s="159"/>
      <c r="AE148" s="159"/>
      <c r="AF148" s="159"/>
      <c r="AG148" s="159"/>
      <c r="AH148" s="159"/>
      <c r="AI148" s="159"/>
      <c r="BZ148" s="286"/>
      <c r="CA148" s="287"/>
    </row>
    <row r="149" spans="1:79" s="163" customFormat="1" ht="13">
      <c r="A149" s="226"/>
      <c r="AC149" s="159"/>
      <c r="AD149" s="159"/>
      <c r="AE149" s="159"/>
      <c r="AF149" s="159"/>
      <c r="AG149" s="159"/>
      <c r="AH149" s="159"/>
      <c r="AI149" s="159"/>
      <c r="BZ149" s="286"/>
      <c r="CA149" s="287"/>
    </row>
    <row r="150" spans="1:79" s="163" customFormat="1" ht="13">
      <c r="A150" s="226"/>
      <c r="B150" s="474" t="s">
        <v>526</v>
      </c>
      <c r="C150" s="474"/>
      <c r="D150" s="474"/>
      <c r="E150" s="474"/>
      <c r="F150" s="474"/>
      <c r="G150" s="474"/>
      <c r="H150" s="474"/>
      <c r="I150" s="474"/>
      <c r="J150" s="218"/>
      <c r="AC150" s="159"/>
      <c r="AD150" s="159"/>
      <c r="AE150" s="159"/>
      <c r="AF150" s="159"/>
      <c r="AG150" s="159"/>
      <c r="AH150" s="165"/>
      <c r="AI150" s="165"/>
      <c r="BZ150" s="286"/>
      <c r="CA150" s="287"/>
    </row>
    <row r="151" spans="1:79" s="163" customFormat="1" ht="13">
      <c r="A151" s="443" t="s">
        <v>171</v>
      </c>
      <c r="B151" s="444">
        <f>B$2</f>
        <v>2007</v>
      </c>
      <c r="C151" s="444">
        <f t="shared" ref="C151:Q151" si="385">B151+1</f>
        <v>2008</v>
      </c>
      <c r="D151" s="444">
        <f t="shared" si="385"/>
        <v>2009</v>
      </c>
      <c r="E151" s="444">
        <f t="shared" si="385"/>
        <v>2010</v>
      </c>
      <c r="F151" s="444">
        <f t="shared" si="385"/>
        <v>2011</v>
      </c>
      <c r="G151" s="444">
        <f t="shared" si="385"/>
        <v>2012</v>
      </c>
      <c r="H151" s="444">
        <f t="shared" si="385"/>
        <v>2013</v>
      </c>
      <c r="I151" s="444">
        <f t="shared" si="385"/>
        <v>2014</v>
      </c>
      <c r="J151" s="444">
        <f t="shared" si="385"/>
        <v>2015</v>
      </c>
      <c r="K151" s="444">
        <f t="shared" si="385"/>
        <v>2016</v>
      </c>
      <c r="L151" s="444">
        <f t="shared" si="385"/>
        <v>2017</v>
      </c>
      <c r="M151" s="444">
        <f t="shared" si="385"/>
        <v>2018</v>
      </c>
      <c r="N151" s="444">
        <f t="shared" si="385"/>
        <v>2019</v>
      </c>
      <c r="O151" s="444">
        <f t="shared" si="385"/>
        <v>2020</v>
      </c>
      <c r="P151" s="444">
        <f t="shared" si="385"/>
        <v>2021</v>
      </c>
      <c r="Q151" s="444">
        <f t="shared" si="385"/>
        <v>2022</v>
      </c>
      <c r="R151" s="444">
        <f t="shared" ref="R151:W151" si="386">Q151+1</f>
        <v>2023</v>
      </c>
      <c r="S151" s="444">
        <f t="shared" si="386"/>
        <v>2024</v>
      </c>
      <c r="T151" s="444">
        <f t="shared" si="386"/>
        <v>2025</v>
      </c>
      <c r="U151" s="444">
        <f t="shared" si="386"/>
        <v>2026</v>
      </c>
      <c r="V151" s="444">
        <f t="shared" si="386"/>
        <v>2027</v>
      </c>
      <c r="W151" s="444">
        <f t="shared" si="386"/>
        <v>2028</v>
      </c>
      <c r="X151" s="444">
        <f t="shared" ref="X151" si="387">W151+1</f>
        <v>2029</v>
      </c>
      <c r="Y151" s="444">
        <f t="shared" ref="Y151" si="388">X151+1</f>
        <v>2030</v>
      </c>
      <c r="Z151" s="444">
        <f t="shared" ref="Z151" si="389">Y151+1</f>
        <v>2031</v>
      </c>
      <c r="AA151" s="444">
        <f t="shared" ref="AA151" si="390">Z151+1</f>
        <v>2032</v>
      </c>
      <c r="AB151" s="221"/>
      <c r="AC151" s="165"/>
      <c r="AD151" s="165"/>
      <c r="AE151" s="165"/>
      <c r="AF151" s="165"/>
      <c r="AG151" s="165"/>
      <c r="AH151" s="159"/>
      <c r="AI151" s="159"/>
      <c r="BZ151" s="286"/>
      <c r="CA151" s="287"/>
    </row>
    <row r="152" spans="1:79" s="221" customFormat="1" ht="13">
      <c r="A152" s="235" t="s">
        <v>103</v>
      </c>
      <c r="B152" s="475"/>
      <c r="C152" s="475"/>
      <c r="D152" s="983">
        <v>134</v>
      </c>
      <c r="E152" s="983">
        <v>214</v>
      </c>
      <c r="F152" s="477">
        <v>110</v>
      </c>
      <c r="G152" s="477">
        <v>112.08750000000001</v>
      </c>
      <c r="H152" s="477">
        <v>70</v>
      </c>
      <c r="I152" s="477">
        <v>12</v>
      </c>
      <c r="J152" s="477">
        <v>13</v>
      </c>
      <c r="K152" s="477">
        <v>6</v>
      </c>
      <c r="L152" s="477">
        <v>5</v>
      </c>
      <c r="M152" s="477">
        <v>16</v>
      </c>
      <c r="N152" s="477">
        <v>3</v>
      </c>
      <c r="O152" s="477">
        <v>3</v>
      </c>
      <c r="P152" s="477">
        <v>5</v>
      </c>
      <c r="Q152" s="477">
        <v>8</v>
      </c>
      <c r="R152" s="477">
        <v>22</v>
      </c>
      <c r="S152" s="477">
        <v>17</v>
      </c>
      <c r="T152" s="477">
        <v>19</v>
      </c>
      <c r="U152" s="445">
        <f>U153*'Income Statement'!CQ432</f>
        <v>19.554883217312646</v>
      </c>
      <c r="V152" s="445">
        <f>V153*'Income Statement'!CR432</f>
        <v>20.039864298114967</v>
      </c>
      <c r="W152" s="445">
        <f>W153*'Income Statement'!CS432</f>
        <v>20.530423082936188</v>
      </c>
      <c r="X152" s="445">
        <f>X153*'Income Statement'!CT432</f>
        <v>21.048296740882343</v>
      </c>
      <c r="Y152" s="445">
        <f>Y153*'Income Statement'!CU432</f>
        <v>21.550137437257675</v>
      </c>
      <c r="Z152" s="445">
        <f>Z153*'Income Statement'!CV432</f>
        <v>22.059188677769068</v>
      </c>
      <c r="AA152" s="445">
        <f>AA153*'Income Statement'!CW432</f>
        <v>22.576458966355016</v>
      </c>
      <c r="AB152" s="445"/>
      <c r="AC152" s="165"/>
      <c r="AD152" s="165"/>
      <c r="AE152" s="165"/>
      <c r="AF152" s="165"/>
      <c r="AG152" s="165"/>
      <c r="AH152" s="165"/>
      <c r="AI152" s="165"/>
      <c r="BZ152" s="346"/>
      <c r="CA152" s="347"/>
    </row>
    <row r="153" spans="1:79" s="163" customFormat="1" ht="13">
      <c r="A153" s="226" t="s">
        <v>172</v>
      </c>
      <c r="B153" s="170">
        <f>B152/'Income Statement'!B432</f>
        <v>0</v>
      </c>
      <c r="C153" s="170">
        <f>C152/'Income Statement'!G432</f>
        <v>0</v>
      </c>
      <c r="D153" s="170">
        <f>D152/'Income Statement'!L432</f>
        <v>1.5559684161634928E-2</v>
      </c>
      <c r="E153" s="170">
        <f>E152/'Income Statement'!Q432</f>
        <v>2.4128988612019394E-2</v>
      </c>
      <c r="F153" s="170">
        <f>F152/'Income Statement'!V432</f>
        <v>1.2524194466583172E-2</v>
      </c>
      <c r="G153" s="170">
        <f>G152/'Income Statement'!AA432</f>
        <v>1.2622466216216217E-2</v>
      </c>
      <c r="H153" s="170">
        <f>H152/'Income Statement'!AF432</f>
        <v>7.7533358173544472E-3</v>
      </c>
      <c r="I153" s="170">
        <f>I152/'Income Statement'!AK432</f>
        <v>1.4278914802475012E-3</v>
      </c>
      <c r="J153" s="170">
        <f>J152/'Income Statement'!AP432</f>
        <v>1.511452156725962E-3</v>
      </c>
      <c r="K153" s="170">
        <f>K152/'Income Statement'!AU432</f>
        <v>6.9670227589410129E-4</v>
      </c>
      <c r="L153" s="170">
        <f>L152/'Income Statement'!AZ432</f>
        <v>5.3084191527763037E-4</v>
      </c>
      <c r="M153" s="170">
        <f>M152/'Income Statement'!BE432</f>
        <v>1.7406440382941688E-3</v>
      </c>
      <c r="N153" s="170">
        <f>N152/'Income Statement'!BJ432</f>
        <v>3.2213035541715882E-4</v>
      </c>
      <c r="O153" s="170">
        <f>O152/'Income Statement'!BO432</f>
        <v>3.3459736783403971E-4</v>
      </c>
      <c r="P153" s="170">
        <f>P152/'Income Statement'!BT432</f>
        <v>5.4106698409263072E-4</v>
      </c>
      <c r="Q153" s="170">
        <f>Q152/'Income Statement'!BY432</f>
        <v>8.1724384513229135E-4</v>
      </c>
      <c r="R153" s="170">
        <f>R152/'Income Statement'!CD432</f>
        <v>2.1611001964636544E-3</v>
      </c>
      <c r="S153" s="170">
        <f>S152/'Income Statement'!CI432</f>
        <v>1.6135155656795748E-3</v>
      </c>
      <c r="T153" s="170">
        <f>T152/'Income Statement'!CN432</f>
        <v>1.7865538316878232E-3</v>
      </c>
      <c r="U153" s="318">
        <f t="shared" ref="U153:W153" si="391">T153</f>
        <v>1.7865538316878232E-3</v>
      </c>
      <c r="V153" s="318">
        <f t="shared" si="391"/>
        <v>1.7865538316878232E-3</v>
      </c>
      <c r="W153" s="318">
        <f t="shared" si="391"/>
        <v>1.7865538316878232E-3</v>
      </c>
      <c r="X153" s="318">
        <f t="shared" ref="X153" si="392">W153</f>
        <v>1.7865538316878232E-3</v>
      </c>
      <c r="Y153" s="318">
        <f t="shared" ref="Y153" si="393">X153</f>
        <v>1.7865538316878232E-3</v>
      </c>
      <c r="Z153" s="318">
        <f t="shared" ref="Z153" si="394">Y153</f>
        <v>1.7865538316878232E-3</v>
      </c>
      <c r="AA153" s="318">
        <f t="shared" ref="AA153" si="395">Z153</f>
        <v>1.7865538316878232E-3</v>
      </c>
      <c r="AB153" s="170"/>
      <c r="AC153" s="159"/>
      <c r="AD153" s="165"/>
      <c r="AE153" s="159"/>
      <c r="AF153" s="159"/>
      <c r="AG153" s="159"/>
      <c r="AH153" s="159"/>
      <c r="AI153" s="159"/>
      <c r="BZ153" s="286"/>
      <c r="CA153" s="287"/>
    </row>
    <row r="154" spans="1:79" s="163" customFormat="1" ht="13">
      <c r="A154" s="226" t="s">
        <v>173</v>
      </c>
      <c r="B154" s="246"/>
      <c r="C154" s="246">
        <f t="shared" ref="C154:L154" si="396">C152-B152</f>
        <v>0</v>
      </c>
      <c r="D154" s="246">
        <f t="shared" si="396"/>
        <v>134</v>
      </c>
      <c r="E154" s="246">
        <f t="shared" si="396"/>
        <v>80</v>
      </c>
      <c r="F154" s="246">
        <f t="shared" si="396"/>
        <v>-104</v>
      </c>
      <c r="G154" s="246">
        <f t="shared" si="396"/>
        <v>2.0875000000000057</v>
      </c>
      <c r="H154" s="246">
        <f t="shared" si="396"/>
        <v>-42.087500000000006</v>
      </c>
      <c r="I154" s="246">
        <f t="shared" si="396"/>
        <v>-58</v>
      </c>
      <c r="J154" s="246">
        <f t="shared" si="396"/>
        <v>1</v>
      </c>
      <c r="K154" s="246">
        <f t="shared" si="396"/>
        <v>-7</v>
      </c>
      <c r="L154" s="246">
        <f t="shared" si="396"/>
        <v>-1</v>
      </c>
      <c r="M154" s="246">
        <f t="shared" ref="M154:T154" si="397">M152-L152</f>
        <v>11</v>
      </c>
      <c r="N154" s="246">
        <f t="shared" si="397"/>
        <v>-13</v>
      </c>
      <c r="O154" s="246">
        <f t="shared" si="397"/>
        <v>0</v>
      </c>
      <c r="P154" s="246">
        <f t="shared" si="397"/>
        <v>2</v>
      </c>
      <c r="Q154" s="246">
        <f t="shared" si="397"/>
        <v>3</v>
      </c>
      <c r="R154" s="246">
        <f t="shared" si="397"/>
        <v>14</v>
      </c>
      <c r="S154" s="246">
        <f t="shared" si="397"/>
        <v>-5</v>
      </c>
      <c r="T154" s="246">
        <f t="shared" si="397"/>
        <v>2</v>
      </c>
      <c r="U154" s="246">
        <f t="shared" ref="U154:W154" si="398">U152-T152</f>
        <v>0.55488321731264634</v>
      </c>
      <c r="V154" s="246">
        <f t="shared" si="398"/>
        <v>0.48498108080232072</v>
      </c>
      <c r="W154" s="246">
        <f t="shared" si="398"/>
        <v>0.49055878482122139</v>
      </c>
      <c r="X154" s="246">
        <f t="shared" ref="X154" si="399">X152-W152</f>
        <v>0.51787365794615425</v>
      </c>
      <c r="Y154" s="246">
        <f t="shared" ref="Y154" si="400">Y152-X152</f>
        <v>0.50184069637533213</v>
      </c>
      <c r="Z154" s="246">
        <f t="shared" ref="Z154" si="401">Z152-Y152</f>
        <v>0.50905124051139339</v>
      </c>
      <c r="AA154" s="246">
        <f t="shared" ref="AA154" si="402">AA152-Z152</f>
        <v>0.51727028858594792</v>
      </c>
      <c r="AB154" s="246"/>
      <c r="AC154" s="159"/>
      <c r="AD154" s="165"/>
      <c r="AE154" s="159"/>
      <c r="AF154" s="159"/>
      <c r="AG154" s="159"/>
      <c r="AH154" s="159"/>
      <c r="AI154" s="159"/>
      <c r="BZ154" s="286"/>
      <c r="CA154" s="287"/>
    </row>
    <row r="155" spans="1:79" s="221" customFormat="1" ht="13">
      <c r="A155" s="235" t="s">
        <v>174</v>
      </c>
      <c r="B155" s="475"/>
      <c r="C155" s="475"/>
      <c r="D155" s="983">
        <v>806</v>
      </c>
      <c r="E155" s="983">
        <v>991</v>
      </c>
      <c r="F155" s="477">
        <v>888</v>
      </c>
      <c r="G155" s="477">
        <v>904.8518181818182</v>
      </c>
      <c r="H155" s="477">
        <v>974</v>
      </c>
      <c r="I155" s="477">
        <v>1036</v>
      </c>
      <c r="J155" s="477">
        <v>1218</v>
      </c>
      <c r="K155" s="477">
        <v>1582</v>
      </c>
      <c r="L155" s="477">
        <v>1582</v>
      </c>
      <c r="M155" s="477">
        <v>2056</v>
      </c>
      <c r="N155" s="477">
        <v>2390</v>
      </c>
      <c r="O155" s="477">
        <v>2073</v>
      </c>
      <c r="P155" s="477">
        <v>1807</v>
      </c>
      <c r="Q155" s="477">
        <v>2136</v>
      </c>
      <c r="R155" s="477">
        <v>2435</v>
      </c>
      <c r="S155" s="477">
        <v>2415</v>
      </c>
      <c r="T155" s="477">
        <v>2701</v>
      </c>
      <c r="U155" s="445">
        <f>U156*'Income Statement'!CQ432</f>
        <v>2752.0822196979916</v>
      </c>
      <c r="V155" s="445">
        <f>V156*'Income Statement'!CR432</f>
        <v>2792.1333035353305</v>
      </c>
      <c r="W155" s="445">
        <f>W156*'Income Statement'!CS432</f>
        <v>2831.8775217764041</v>
      </c>
      <c r="X155" s="445">
        <f>X156*'Income Statement'!CT432</f>
        <v>2874.2776605080558</v>
      </c>
      <c r="Y155" s="445">
        <f>Y156*'Income Statement'!CU432</f>
        <v>2913.3791007190821</v>
      </c>
      <c r="Z155" s="445">
        <f>Z156*'Income Statement'!CV432</f>
        <v>2952.376135193756</v>
      </c>
      <c r="AA155" s="445">
        <f>AA156*'Income Statement'!CW432</f>
        <v>2991.390918617717</v>
      </c>
      <c r="AB155" s="445"/>
      <c r="AC155" s="165"/>
      <c r="AD155" s="165"/>
      <c r="AE155" s="165"/>
      <c r="AF155" s="165"/>
      <c r="AG155" s="165"/>
      <c r="AH155" s="165"/>
      <c r="AI155" s="165"/>
      <c r="BZ155" s="346"/>
      <c r="CA155" s="347"/>
    </row>
    <row r="156" spans="1:79" s="163" customFormat="1" ht="13">
      <c r="A156" s="226" t="s">
        <v>172</v>
      </c>
      <c r="B156" s="170">
        <f>B155/'Income Statement'!B432</f>
        <v>0</v>
      </c>
      <c r="C156" s="170">
        <f>C155/'Income Statement'!G432</f>
        <v>0</v>
      </c>
      <c r="D156" s="170">
        <f>D155/'Income Statement'!L432</f>
        <v>9.3590339061774275E-2</v>
      </c>
      <c r="E156" s="170">
        <f>E155/'Income Statement'!Q432</f>
        <v>0.11173751268463186</v>
      </c>
      <c r="F156" s="170">
        <f>F155/'Income Statement'!V432</f>
        <v>0.10110440623932597</v>
      </c>
      <c r="G156" s="170">
        <f>G155/'Income Statement'!AA432</f>
        <v>0.10189772727272728</v>
      </c>
      <c r="H156" s="170">
        <f>H155/'Income Statement'!AF432</f>
        <v>0.10788212980147474</v>
      </c>
      <c r="I156" s="170">
        <f>I155/'Income Statement'!AK432</f>
        <v>0.12327463112803427</v>
      </c>
      <c r="J156" s="170">
        <f>J155/'Income Statement'!AP432</f>
        <v>0.14161144053017091</v>
      </c>
      <c r="K156" s="170">
        <f>K155/'Income Statement'!AU432</f>
        <v>0.18369716674407804</v>
      </c>
      <c r="L156" s="170">
        <f>L155/'Income Statement'!AZ432</f>
        <v>0.16795838199384222</v>
      </c>
      <c r="M156" s="170">
        <f>M155/'Income Statement'!BE432</f>
        <v>0.22367275892080069</v>
      </c>
      <c r="N156" s="170">
        <f>N155/'Income Statement'!BJ432</f>
        <v>0.25663051648233653</v>
      </c>
      <c r="O156" s="170">
        <f>O155/'Income Statement'!BO432</f>
        <v>0.23120678117332144</v>
      </c>
      <c r="P156" s="170">
        <f>P155/'Income Statement'!BT432</f>
        <v>0.19554160805107673</v>
      </c>
      <c r="Q156" s="170">
        <f>Q155/'Income Statement'!BY432</f>
        <v>0.21820410665032178</v>
      </c>
      <c r="R156" s="170">
        <f>R155/'Income Statement'!CD432</f>
        <v>0.23919449901768172</v>
      </c>
      <c r="S156" s="170">
        <f>S155/'Income Statement'!CI432</f>
        <v>0.22921412300683372</v>
      </c>
      <c r="T156" s="170">
        <f>T155/'Income Statement'!CN432</f>
        <v>0.25397273154677952</v>
      </c>
      <c r="U156" s="318">
        <f t="shared" ref="U156:W156" si="403">T156*0.99</f>
        <v>0.25143300423131171</v>
      </c>
      <c r="V156" s="318">
        <f t="shared" si="403"/>
        <v>0.2489186741889986</v>
      </c>
      <c r="W156" s="318">
        <f t="shared" si="403"/>
        <v>0.2464294874471086</v>
      </c>
      <c r="X156" s="318">
        <f t="shared" ref="X156" si="404">W156*0.99</f>
        <v>0.24396519257263752</v>
      </c>
      <c r="Y156" s="318">
        <f t="shared" ref="Y156" si="405">X156*0.99</f>
        <v>0.24152554064691115</v>
      </c>
      <c r="Z156" s="318">
        <f t="shared" ref="Z156" si="406">Y156*0.99</f>
        <v>0.23911028524044203</v>
      </c>
      <c r="AA156" s="318">
        <f t="shared" ref="AA156" si="407">Z156*0.99</f>
        <v>0.2367191823880376</v>
      </c>
      <c r="AB156" s="170"/>
      <c r="AC156" s="159"/>
      <c r="AD156" s="165"/>
      <c r="AE156" s="159"/>
      <c r="AF156" s="159"/>
      <c r="AG156" s="159"/>
      <c r="AH156" s="159"/>
      <c r="AI156" s="159"/>
      <c r="BZ156" s="286"/>
      <c r="CA156" s="287"/>
    </row>
    <row r="157" spans="1:79" s="163" customFormat="1" ht="13">
      <c r="A157" s="226" t="s">
        <v>175</v>
      </c>
      <c r="B157" s="246"/>
      <c r="C157" s="246">
        <f t="shared" ref="C157:L157" si="408">C155-B155</f>
        <v>0</v>
      </c>
      <c r="D157" s="246">
        <f t="shared" si="408"/>
        <v>806</v>
      </c>
      <c r="E157" s="246">
        <f t="shared" si="408"/>
        <v>185</v>
      </c>
      <c r="F157" s="246">
        <f t="shared" si="408"/>
        <v>-103</v>
      </c>
      <c r="G157" s="246">
        <f t="shared" si="408"/>
        <v>16.851818181818203</v>
      </c>
      <c r="H157" s="246">
        <f t="shared" si="408"/>
        <v>69.148181818181797</v>
      </c>
      <c r="I157" s="246">
        <f t="shared" si="408"/>
        <v>62</v>
      </c>
      <c r="J157" s="246">
        <f t="shared" si="408"/>
        <v>182</v>
      </c>
      <c r="K157" s="246">
        <f t="shared" si="408"/>
        <v>364</v>
      </c>
      <c r="L157" s="246">
        <f t="shared" si="408"/>
        <v>0</v>
      </c>
      <c r="M157" s="246">
        <f t="shared" ref="M157:T157" si="409">M155-L155</f>
        <v>474</v>
      </c>
      <c r="N157" s="246">
        <f t="shared" si="409"/>
        <v>334</v>
      </c>
      <c r="O157" s="246">
        <f t="shared" si="409"/>
        <v>-317</v>
      </c>
      <c r="P157" s="246">
        <f t="shared" si="409"/>
        <v>-266</v>
      </c>
      <c r="Q157" s="246">
        <f t="shared" si="409"/>
        <v>329</v>
      </c>
      <c r="R157" s="246">
        <f t="shared" si="409"/>
        <v>299</v>
      </c>
      <c r="S157" s="246">
        <f t="shared" si="409"/>
        <v>-20</v>
      </c>
      <c r="T157" s="246">
        <f t="shared" si="409"/>
        <v>286</v>
      </c>
      <c r="U157" s="246">
        <f t="shared" ref="U157:W157" si="410">U155-T155</f>
        <v>51.082219697991604</v>
      </c>
      <c r="V157" s="246">
        <f t="shared" si="410"/>
        <v>40.051083837338865</v>
      </c>
      <c r="W157" s="246">
        <f t="shared" si="410"/>
        <v>39.744218241073668</v>
      </c>
      <c r="X157" s="246">
        <f t="shared" ref="X157" si="411">X155-W155</f>
        <v>42.400138731651623</v>
      </c>
      <c r="Y157" s="246">
        <f t="shared" ref="Y157" si="412">Y155-X155</f>
        <v>39.101440211026329</v>
      </c>
      <c r="Z157" s="246">
        <f t="shared" ref="Z157" si="413">Z155-Y155</f>
        <v>38.99703447467391</v>
      </c>
      <c r="AA157" s="246">
        <f t="shared" ref="AA157" si="414">AA155-Z155</f>
        <v>39.014783423961035</v>
      </c>
      <c r="AB157" s="246"/>
      <c r="AC157" s="159"/>
      <c r="AD157" s="165"/>
      <c r="AE157" s="159"/>
      <c r="AF157" s="159"/>
      <c r="AG157" s="159"/>
      <c r="AH157" s="159"/>
      <c r="AI157" s="159"/>
      <c r="BZ157" s="286"/>
      <c r="CA157" s="287"/>
    </row>
    <row r="158" spans="1:79" s="163" customFormat="1" ht="13">
      <c r="A158" s="226"/>
      <c r="H158" s="159"/>
      <c r="I158" s="159"/>
      <c r="J158" s="159"/>
      <c r="K158" s="159"/>
      <c r="L158" s="159"/>
      <c r="M158" s="159"/>
      <c r="N158" s="159"/>
      <c r="O158" s="159"/>
      <c r="P158" s="159"/>
      <c r="Q158" s="159"/>
      <c r="R158" s="159"/>
      <c r="S158" s="159"/>
      <c r="T158" s="159"/>
      <c r="U158" s="159"/>
      <c r="V158" s="159"/>
      <c r="W158" s="159"/>
      <c r="X158" s="159"/>
      <c r="Y158" s="159"/>
      <c r="Z158" s="159"/>
      <c r="AA158" s="159"/>
      <c r="AB158" s="159"/>
      <c r="AC158" s="159"/>
      <c r="AD158" s="165"/>
      <c r="AE158" s="159"/>
      <c r="AF158" s="159"/>
      <c r="AG158" s="159"/>
      <c r="AH158" s="159"/>
      <c r="AI158" s="159"/>
      <c r="BZ158" s="286"/>
      <c r="CA158" s="287"/>
    </row>
    <row r="159" spans="1:79" s="221" customFormat="1" ht="13">
      <c r="A159" s="235" t="s">
        <v>176</v>
      </c>
      <c r="B159" s="475"/>
      <c r="C159" s="475"/>
      <c r="D159" s="475">
        <v>3258</v>
      </c>
      <c r="E159" s="475">
        <v>3298</v>
      </c>
      <c r="F159" s="476">
        <v>2922</v>
      </c>
      <c r="G159" s="476">
        <v>2977.451590909091</v>
      </c>
      <c r="H159" s="476">
        <v>2751</v>
      </c>
      <c r="I159" s="476">
        <v>3303</v>
      </c>
      <c r="J159" s="476">
        <v>3467</v>
      </c>
      <c r="K159" s="476">
        <v>3633</v>
      </c>
      <c r="L159" s="476">
        <v>3299</v>
      </c>
      <c r="M159" s="476">
        <v>4020</v>
      </c>
      <c r="N159" s="476">
        <v>4323</v>
      </c>
      <c r="O159" s="476">
        <v>3997</v>
      </c>
      <c r="P159" s="477">
        <v>4055</v>
      </c>
      <c r="Q159" s="477">
        <f>3807</f>
        <v>3807</v>
      </c>
      <c r="R159" s="477">
        <v>4126</v>
      </c>
      <c r="S159" s="477">
        <v>4111</v>
      </c>
      <c r="T159" s="477">
        <v>4324</v>
      </c>
      <c r="U159" s="445">
        <f>U160*'Income Statement'!CQ432</f>
        <v>4316.7713463531618</v>
      </c>
      <c r="V159" s="445">
        <f>V160*'Income Statement'!CR432</f>
        <v>4291.1167351288796</v>
      </c>
      <c r="W159" s="445">
        <f>W160*'Income Statement'!CS432</f>
        <v>4264.274824275537</v>
      </c>
      <c r="X159" s="445">
        <f>X160*'Income Statement'!CT432</f>
        <v>4240.6846599185228</v>
      </c>
      <c r="Y159" s="445">
        <f>Y160*'Income Statement'!CU432</f>
        <v>4211.5387398381499</v>
      </c>
      <c r="Z159" s="445">
        <f>Z160*'Income Statement'!CV432</f>
        <v>4181.6918392106727</v>
      </c>
      <c r="AA159" s="445">
        <f>AA160*'Income Statement'!CW432</f>
        <v>4151.3566853722723</v>
      </c>
      <c r="AB159" s="445"/>
      <c r="AC159" s="165"/>
      <c r="AD159" s="165"/>
      <c r="AE159" s="165"/>
      <c r="AF159" s="165"/>
      <c r="AG159" s="165"/>
      <c r="AH159" s="165"/>
      <c r="AI159" s="165"/>
      <c r="BZ159" s="346"/>
      <c r="CA159" s="347"/>
    </row>
    <row r="160" spans="1:79" s="163" customFormat="1" ht="13">
      <c r="A160" s="226" t="s">
        <v>172</v>
      </c>
      <c r="B160" s="170">
        <f>B159/'Income Statement'!B432</f>
        <v>0</v>
      </c>
      <c r="C160" s="170">
        <f>C159/'Income Statement'!G432</f>
        <v>0</v>
      </c>
      <c r="D160" s="170">
        <f>D159/'Income Statement'!L432</f>
        <v>0.37830933581049697</v>
      </c>
      <c r="E160" s="170">
        <f>E159/'Income Statement'!Q432</f>
        <v>0.3718570301048596</v>
      </c>
      <c r="F160" s="170">
        <f>F159/'Income Statement'!V432</f>
        <v>0.33268814755778209</v>
      </c>
      <c r="G160" s="170">
        <f>G159/'Income Statement'!AA432</f>
        <v>0.33529860257985261</v>
      </c>
      <c r="H160" s="170">
        <f>H159/'Income Statement'!AF432</f>
        <v>0.30470609762202977</v>
      </c>
      <c r="I160" s="170">
        <f>I159/'Income Statement'!AK432</f>
        <v>0.39302712993812472</v>
      </c>
      <c r="J160" s="170">
        <f>J159/'Income Statement'!AP432</f>
        <v>0.40309266364376234</v>
      </c>
      <c r="K160" s="170">
        <f>K159/'Income Statement'!AU432</f>
        <v>0.42185322805387832</v>
      </c>
      <c r="L160" s="170">
        <f>L159/'Income Statement'!AZ432</f>
        <v>0.35024949570018049</v>
      </c>
      <c r="M160" s="170">
        <f>M159/'Income Statement'!BE432</f>
        <v>0.43733681462140994</v>
      </c>
      <c r="N160" s="170">
        <f>N159/'Income Statement'!BJ432</f>
        <v>0.46418984215612585</v>
      </c>
      <c r="O160" s="170">
        <f>O159/'Income Statement'!BO432</f>
        <v>0.44579522641088559</v>
      </c>
      <c r="P160" s="170">
        <f>P159/'Income Statement'!BT432</f>
        <v>0.43880532409912348</v>
      </c>
      <c r="Q160" s="170">
        <f>Q159/'Income Statement'!BY432</f>
        <v>0.38890591480232917</v>
      </c>
      <c r="R160" s="170">
        <f>R159/'Income Statement'!CD432</f>
        <v>0.40530451866404715</v>
      </c>
      <c r="S160" s="170">
        <f>S159/'Income Statement'!CI432</f>
        <v>0.39018602885345482</v>
      </c>
      <c r="T160" s="170">
        <f>T159/'Income Statement'!CN432</f>
        <v>0.4065820404325341</v>
      </c>
      <c r="U160" s="318">
        <f t="shared" ref="U160:W160" si="415">T160*0.97</f>
        <v>0.39438457921955805</v>
      </c>
      <c r="V160" s="318">
        <f t="shared" si="415"/>
        <v>0.38255304184297129</v>
      </c>
      <c r="W160" s="318">
        <f t="shared" si="415"/>
        <v>0.37107645058768213</v>
      </c>
      <c r="X160" s="318">
        <f t="shared" ref="X160" si="416">W160*0.97</f>
        <v>0.35994415707005167</v>
      </c>
      <c r="Y160" s="318">
        <f t="shared" ref="Y160" si="417">X160*0.97</f>
        <v>0.3491458323579501</v>
      </c>
      <c r="Z160" s="318">
        <f t="shared" ref="Z160" si="418">Y160*0.97</f>
        <v>0.33867145738721161</v>
      </c>
      <c r="AA160" s="318">
        <f t="shared" ref="AA160" si="419">Z160*0.97</f>
        <v>0.32851131366559527</v>
      </c>
      <c r="AB160" s="170"/>
      <c r="AC160" s="159"/>
      <c r="AD160" s="165"/>
      <c r="AE160" s="159"/>
      <c r="AF160" s="159"/>
      <c r="AG160" s="159"/>
      <c r="AH160" s="159"/>
      <c r="AI160" s="159"/>
      <c r="BZ160" s="286"/>
      <c r="CA160" s="287"/>
    </row>
    <row r="161" spans="1:79" s="163" customFormat="1" ht="13">
      <c r="A161" s="226" t="s">
        <v>177</v>
      </c>
      <c r="B161" s="246"/>
      <c r="C161" s="246">
        <f t="shared" ref="C161:L161" si="420">C159-B159</f>
        <v>0</v>
      </c>
      <c r="D161" s="246">
        <f t="shared" si="420"/>
        <v>3258</v>
      </c>
      <c r="E161" s="246">
        <f t="shared" si="420"/>
        <v>40</v>
      </c>
      <c r="F161" s="246">
        <f t="shared" si="420"/>
        <v>-376</v>
      </c>
      <c r="G161" s="246">
        <f t="shared" si="420"/>
        <v>55.45159090909101</v>
      </c>
      <c r="H161" s="246">
        <f t="shared" si="420"/>
        <v>-226.45159090909101</v>
      </c>
      <c r="I161" s="246">
        <f t="shared" si="420"/>
        <v>552</v>
      </c>
      <c r="J161" s="246">
        <f t="shared" si="420"/>
        <v>164</v>
      </c>
      <c r="K161" s="246">
        <f t="shared" si="420"/>
        <v>166</v>
      </c>
      <c r="L161" s="246">
        <f t="shared" si="420"/>
        <v>-334</v>
      </c>
      <c r="M161" s="246">
        <f t="shared" ref="M161:T161" si="421">M159-L159</f>
        <v>721</v>
      </c>
      <c r="N161" s="246">
        <f t="shared" si="421"/>
        <v>303</v>
      </c>
      <c r="O161" s="246">
        <f t="shared" si="421"/>
        <v>-326</v>
      </c>
      <c r="P161" s="246">
        <f t="shared" si="421"/>
        <v>58</v>
      </c>
      <c r="Q161" s="246">
        <f t="shared" si="421"/>
        <v>-248</v>
      </c>
      <c r="R161" s="246">
        <f t="shared" si="421"/>
        <v>319</v>
      </c>
      <c r="S161" s="246">
        <f t="shared" si="421"/>
        <v>-15</v>
      </c>
      <c r="T161" s="246">
        <f t="shared" si="421"/>
        <v>213</v>
      </c>
      <c r="U161" s="246">
        <f t="shared" ref="U161:W161" si="422">U159-T159</f>
        <v>-7.228653646838211</v>
      </c>
      <c r="V161" s="246">
        <f t="shared" si="422"/>
        <v>-25.654611224282235</v>
      </c>
      <c r="W161" s="246">
        <f t="shared" si="422"/>
        <v>-26.841910853342597</v>
      </c>
      <c r="X161" s="246">
        <f t="shared" ref="X161" si="423">X159-W159</f>
        <v>-23.590164357014146</v>
      </c>
      <c r="Y161" s="246">
        <f t="shared" ref="Y161" si="424">Y159-X159</f>
        <v>-29.145920080372889</v>
      </c>
      <c r="Z161" s="246">
        <f t="shared" ref="Z161" si="425">Z159-Y159</f>
        <v>-29.846900627477225</v>
      </c>
      <c r="AA161" s="246">
        <f t="shared" ref="AA161" si="426">AA159-Z159</f>
        <v>-30.335153838400402</v>
      </c>
      <c r="AB161" s="246"/>
      <c r="AC161" s="159"/>
      <c r="AD161" s="165"/>
      <c r="AE161" s="159"/>
      <c r="AF161" s="159"/>
      <c r="AG161" s="159"/>
      <c r="AH161" s="159"/>
      <c r="AI161" s="159"/>
      <c r="BZ161" s="286"/>
      <c r="CA161" s="287"/>
    </row>
    <row r="162" spans="1:79" s="221" customFormat="1" ht="13">
      <c r="A162" s="235" t="s">
        <v>118</v>
      </c>
      <c r="B162" s="475"/>
      <c r="C162" s="475"/>
      <c r="D162" s="475"/>
      <c r="E162" s="475"/>
      <c r="F162" s="476"/>
      <c r="G162" s="476"/>
      <c r="H162" s="476"/>
      <c r="I162" s="476"/>
      <c r="J162" s="476"/>
      <c r="K162" s="477">
        <f t="shared" ref="K162:L162" si="427">J162</f>
        <v>0</v>
      </c>
      <c r="L162" s="477">
        <f t="shared" si="427"/>
        <v>0</v>
      </c>
      <c r="M162" s="477">
        <v>116</v>
      </c>
      <c r="N162" s="477">
        <v>127</v>
      </c>
      <c r="O162" s="477">
        <v>130</v>
      </c>
      <c r="P162" s="477">
        <v>137</v>
      </c>
      <c r="Q162" s="477">
        <v>144</v>
      </c>
      <c r="R162" s="477">
        <v>160</v>
      </c>
      <c r="S162" s="477">
        <v>178</v>
      </c>
      <c r="T162" s="477">
        <v>215</v>
      </c>
      <c r="U162" s="445">
        <f>U163*'Income Statement'!CQ432</f>
        <v>221.27894166959047</v>
      </c>
      <c r="V162" s="445">
        <f>V163*'Income Statement'!CR432</f>
        <v>226.76688547866937</v>
      </c>
      <c r="W162" s="445">
        <f>W163*'Income Statement'!CS432</f>
        <v>232.31794541217266</v>
      </c>
      <c r="X162" s="445">
        <f>X163*'Income Statement'!CT432</f>
        <v>238.17809469945809</v>
      </c>
      <c r="Y162" s="445">
        <f>Y163*'Income Statement'!CU432</f>
        <v>243.85681836896845</v>
      </c>
      <c r="Z162" s="445">
        <f>Z163*'Income Statement'!CV432</f>
        <v>249.61713503791316</v>
      </c>
      <c r="AA162" s="445">
        <f>AA163*'Income Statement'!CW432</f>
        <v>255.47045672454362</v>
      </c>
      <c r="AB162" s="445"/>
      <c r="AC162" s="165"/>
      <c r="AD162" s="165"/>
      <c r="AE162" s="165"/>
      <c r="AF162" s="165"/>
      <c r="AG162" s="165"/>
      <c r="AH162" s="165"/>
      <c r="AI162" s="165"/>
      <c r="BZ162" s="346"/>
      <c r="CA162" s="347"/>
    </row>
    <row r="163" spans="1:79" s="163" customFormat="1" ht="13">
      <c r="A163" s="226" t="s">
        <v>172</v>
      </c>
      <c r="B163" s="170">
        <f>B162/'Income Statement'!B432</f>
        <v>0</v>
      </c>
      <c r="C163" s="170">
        <f>C162/'Income Statement'!G432</f>
        <v>0</v>
      </c>
      <c r="D163" s="170">
        <f>D162/'Income Statement'!L432</f>
        <v>0</v>
      </c>
      <c r="E163" s="170">
        <f>E162/'Income Statement'!Q432</f>
        <v>0</v>
      </c>
      <c r="F163" s="170">
        <f>F162/'Income Statement'!V432</f>
        <v>0</v>
      </c>
      <c r="G163" s="170">
        <f>G162/'Income Statement'!AA432</f>
        <v>0</v>
      </c>
      <c r="H163" s="170">
        <f>H162/'Income Statement'!AF432</f>
        <v>0</v>
      </c>
      <c r="I163" s="170">
        <f>I162/'Income Statement'!AK432</f>
        <v>0</v>
      </c>
      <c r="J163" s="170">
        <f>J162/'Income Statement'!AP432</f>
        <v>0</v>
      </c>
      <c r="K163" s="170">
        <f>K162/'Income Statement'!AU432</f>
        <v>0</v>
      </c>
      <c r="L163" s="170">
        <f>L162/'Income Statement'!AZ432</f>
        <v>0</v>
      </c>
      <c r="M163" s="170">
        <f>M162/'Income Statement'!BE432</f>
        <v>1.2619669277632724E-2</v>
      </c>
      <c r="N163" s="170">
        <f>N162/'Income Statement'!BJ432</f>
        <v>1.3636851712659723E-2</v>
      </c>
      <c r="O163" s="170">
        <f>O162/'Income Statement'!BO432</f>
        <v>1.4499219272808388E-2</v>
      </c>
      <c r="P163" s="170">
        <f>P162/'Income Statement'!BT432</f>
        <v>1.482523536413808E-2</v>
      </c>
      <c r="Q163" s="170">
        <f>Q162/'Income Statement'!BY432</f>
        <v>1.4710389212381244E-2</v>
      </c>
      <c r="R163" s="170">
        <f>R162/'Income Statement'!CD432</f>
        <v>1.5717092337917484E-2</v>
      </c>
      <c r="S163" s="170">
        <f>S162/'Income Statement'!CI432</f>
        <v>1.6894457099468491E-2</v>
      </c>
      <c r="T163" s="170">
        <f>T162/'Income Statement'!CN432</f>
        <v>2.0216267042783263E-2</v>
      </c>
      <c r="U163" s="469">
        <f t="shared" ref="U163:W163" si="428">T163</f>
        <v>2.0216267042783263E-2</v>
      </c>
      <c r="V163" s="469">
        <f t="shared" si="428"/>
        <v>2.0216267042783263E-2</v>
      </c>
      <c r="W163" s="469">
        <f t="shared" si="428"/>
        <v>2.0216267042783263E-2</v>
      </c>
      <c r="X163" s="469">
        <f t="shared" ref="X163" si="429">W163</f>
        <v>2.0216267042783263E-2</v>
      </c>
      <c r="Y163" s="469">
        <f t="shared" ref="Y163" si="430">X163</f>
        <v>2.0216267042783263E-2</v>
      </c>
      <c r="Z163" s="469">
        <f t="shared" ref="Z163" si="431">Y163</f>
        <v>2.0216267042783263E-2</v>
      </c>
      <c r="AA163" s="469">
        <f t="shared" ref="AA163" si="432">Z163</f>
        <v>2.0216267042783263E-2</v>
      </c>
      <c r="AB163" s="170"/>
      <c r="AC163" s="159"/>
      <c r="AD163" s="165"/>
      <c r="AE163" s="159"/>
      <c r="AF163" s="159"/>
      <c r="AG163" s="159"/>
      <c r="AH163" s="159"/>
      <c r="AI163" s="159"/>
      <c r="BZ163" s="286"/>
      <c r="CA163" s="287"/>
    </row>
    <row r="164" spans="1:79" s="163" customFormat="1" ht="13">
      <c r="A164" s="226" t="s">
        <v>178</v>
      </c>
      <c r="B164" s="169"/>
      <c r="C164" s="246">
        <f t="shared" ref="C164:T164" si="433">C162-B162</f>
        <v>0</v>
      </c>
      <c r="D164" s="246">
        <f t="shared" si="433"/>
        <v>0</v>
      </c>
      <c r="E164" s="246">
        <f t="shared" si="433"/>
        <v>0</v>
      </c>
      <c r="F164" s="246">
        <f t="shared" si="433"/>
        <v>0</v>
      </c>
      <c r="G164" s="246">
        <f t="shared" si="433"/>
        <v>0</v>
      </c>
      <c r="H164" s="246">
        <f t="shared" si="433"/>
        <v>0</v>
      </c>
      <c r="I164" s="246">
        <f t="shared" si="433"/>
        <v>0</v>
      </c>
      <c r="J164" s="246">
        <f t="shared" si="433"/>
        <v>0</v>
      </c>
      <c r="K164" s="246">
        <f t="shared" si="433"/>
        <v>0</v>
      </c>
      <c r="L164" s="246">
        <f t="shared" si="433"/>
        <v>0</v>
      </c>
      <c r="M164" s="246">
        <f t="shared" si="433"/>
        <v>116</v>
      </c>
      <c r="N164" s="246">
        <f t="shared" si="433"/>
        <v>11</v>
      </c>
      <c r="O164" s="246">
        <f t="shared" si="433"/>
        <v>3</v>
      </c>
      <c r="P164" s="246">
        <f t="shared" si="433"/>
        <v>7</v>
      </c>
      <c r="Q164" s="246">
        <f t="shared" si="433"/>
        <v>7</v>
      </c>
      <c r="R164" s="246">
        <f t="shared" si="433"/>
        <v>16</v>
      </c>
      <c r="S164" s="246">
        <f t="shared" si="433"/>
        <v>18</v>
      </c>
      <c r="T164" s="246">
        <f t="shared" si="433"/>
        <v>37</v>
      </c>
      <c r="U164" s="246">
        <f t="shared" ref="U164:W164" si="434">U162-T162</f>
        <v>6.2789416695904663</v>
      </c>
      <c r="V164" s="246">
        <f t="shared" si="434"/>
        <v>5.4879438090788994</v>
      </c>
      <c r="W164" s="246">
        <f t="shared" si="434"/>
        <v>5.5510599335032964</v>
      </c>
      <c r="X164" s="246">
        <f t="shared" ref="X164" si="435">X162-W162</f>
        <v>5.8601492872854237</v>
      </c>
      <c r="Y164" s="246">
        <f t="shared" ref="Y164" si="436">Y162-X162</f>
        <v>5.6787236695103616</v>
      </c>
      <c r="Z164" s="246">
        <f t="shared" ref="Z164" si="437">Z162-Y162</f>
        <v>5.7603166689447107</v>
      </c>
      <c r="AA164" s="246">
        <f t="shared" ref="AA164" si="438">AA162-Z162</f>
        <v>5.8533216866304656</v>
      </c>
      <c r="AB164" s="246"/>
      <c r="AC164" s="159"/>
      <c r="AD164" s="159"/>
      <c r="AE164" s="159"/>
      <c r="AF164" s="159"/>
      <c r="AG164" s="159"/>
      <c r="AH164" s="159"/>
      <c r="AI164" s="159"/>
      <c r="BZ164" s="286"/>
      <c r="CA164" s="287"/>
    </row>
    <row r="165" spans="1:79" s="221" customFormat="1" ht="13">
      <c r="A165" s="235" t="s">
        <v>179</v>
      </c>
      <c r="B165" s="983"/>
      <c r="C165" s="983"/>
      <c r="D165" s="983"/>
      <c r="E165" s="983"/>
      <c r="F165" s="477"/>
      <c r="G165" s="477"/>
      <c r="H165" s="477"/>
      <c r="I165" s="477"/>
      <c r="J165" s="477">
        <v>29</v>
      </c>
      <c r="K165" s="477">
        <v>0</v>
      </c>
      <c r="L165" s="477">
        <v>0</v>
      </c>
      <c r="M165" s="477">
        <v>5</v>
      </c>
      <c r="N165" s="477">
        <v>25</v>
      </c>
      <c r="O165" s="477">
        <v>17</v>
      </c>
      <c r="P165" s="477">
        <v>20</v>
      </c>
      <c r="Q165" s="477">
        <v>32</v>
      </c>
      <c r="R165" s="477">
        <v>11</v>
      </c>
      <c r="S165" s="477">
        <v>63</v>
      </c>
      <c r="T165" s="477">
        <v>67</v>
      </c>
      <c r="U165" s="445">
        <f>U166*'Income Statement'!CQ432</f>
        <v>68.956693450523545</v>
      </c>
      <c r="V165" s="445">
        <f>V166*'Income Statement'!CR432</f>
        <v>70.666889893352774</v>
      </c>
      <c r="W165" s="445">
        <f>W166*'Income Statement'!CS432</f>
        <v>72.396755081932881</v>
      </c>
      <c r="X165" s="445">
        <f>X166*'Income Statement'!CT432</f>
        <v>74.222941138900893</v>
      </c>
      <c r="Y165" s="445">
        <f>Y166*'Income Statement'!CU432</f>
        <v>75.992589910329698</v>
      </c>
      <c r="Z165" s="445">
        <f>Z166*'Income Statement'!CV432</f>
        <v>77.787665337396191</v>
      </c>
      <c r="AA165" s="445">
        <f>AA166*'Income Statement'!CW432</f>
        <v>79.611723723462433</v>
      </c>
      <c r="AB165" s="445"/>
      <c r="AC165" s="165"/>
      <c r="AD165" s="165"/>
      <c r="AE165" s="165"/>
      <c r="AF165" s="165"/>
      <c r="AG165" s="165"/>
      <c r="AH165" s="165"/>
      <c r="AI165" s="165"/>
      <c r="BZ165" s="346"/>
      <c r="CA165" s="347"/>
    </row>
    <row r="166" spans="1:79" s="163" customFormat="1" ht="13">
      <c r="A166" s="226" t="s">
        <v>172</v>
      </c>
      <c r="B166" s="170">
        <f>B165/'Income Statement'!B432</f>
        <v>0</v>
      </c>
      <c r="C166" s="170">
        <f>C165/'Income Statement'!G432</f>
        <v>0</v>
      </c>
      <c r="D166" s="170">
        <f>D165/'Income Statement'!L432</f>
        <v>0</v>
      </c>
      <c r="E166" s="170">
        <f>E165/'Income Statement'!Q432</f>
        <v>0</v>
      </c>
      <c r="F166" s="170">
        <f>F165/'Income Statement'!V432</f>
        <v>0</v>
      </c>
      <c r="G166" s="170">
        <f>G165/'Income Statement'!AA432</f>
        <v>0</v>
      </c>
      <c r="H166" s="170">
        <f>H165/'Income Statement'!AF432</f>
        <v>0</v>
      </c>
      <c r="I166" s="170">
        <f>I165/'Income Statement'!AK432</f>
        <v>0</v>
      </c>
      <c r="J166" s="170">
        <f>J165/'Income Statement'!AP432</f>
        <v>3.3717009650040693E-3</v>
      </c>
      <c r="K166" s="170">
        <f>K165/'Income Statement'!AU432</f>
        <v>0</v>
      </c>
      <c r="L166" s="170">
        <f>L165/'Income Statement'!AZ432</f>
        <v>0</v>
      </c>
      <c r="M166" s="170">
        <f>M165/'Income Statement'!BE432</f>
        <v>5.4395126196692773E-4</v>
      </c>
      <c r="N166" s="170">
        <f>N165/'Income Statement'!BJ432</f>
        <v>2.6844196284763235E-3</v>
      </c>
      <c r="O166" s="170">
        <f>O165/'Income Statement'!BO432</f>
        <v>1.8960517510595582E-3</v>
      </c>
      <c r="P166" s="170">
        <f>P165/'Income Statement'!BT432</f>
        <v>2.1642679363705229E-3</v>
      </c>
      <c r="Q166" s="170">
        <f>Q165/'Income Statement'!BY432</f>
        <v>3.2689753805291654E-3</v>
      </c>
      <c r="R166" s="170">
        <f>R165/'Income Statement'!CD432</f>
        <v>1.0805500982318272E-3</v>
      </c>
      <c r="S166" s="170">
        <f>S165/'Income Statement'!CI432</f>
        <v>5.9794988610478361E-3</v>
      </c>
      <c r="T166" s="170">
        <f>T165/'Income Statement'!CN432</f>
        <v>6.2999529854254818E-3</v>
      </c>
      <c r="U166" s="469">
        <f t="shared" ref="U166:W166" si="439">T166</f>
        <v>6.2999529854254818E-3</v>
      </c>
      <c r="V166" s="469">
        <f t="shared" si="439"/>
        <v>6.2999529854254818E-3</v>
      </c>
      <c r="W166" s="469">
        <f t="shared" si="439"/>
        <v>6.2999529854254818E-3</v>
      </c>
      <c r="X166" s="469">
        <f t="shared" ref="X166" si="440">W166</f>
        <v>6.2999529854254818E-3</v>
      </c>
      <c r="Y166" s="469">
        <f t="shared" ref="Y166" si="441">X166</f>
        <v>6.2999529854254818E-3</v>
      </c>
      <c r="Z166" s="469">
        <f t="shared" ref="Z166" si="442">Y166</f>
        <v>6.2999529854254818E-3</v>
      </c>
      <c r="AA166" s="469">
        <f t="shared" ref="AA166" si="443">Z166</f>
        <v>6.2999529854254818E-3</v>
      </c>
      <c r="AB166" s="170"/>
      <c r="AC166" s="159"/>
      <c r="AD166" s="165"/>
      <c r="AE166" s="159"/>
      <c r="AF166" s="159"/>
      <c r="AG166" s="159"/>
      <c r="AH166" s="159"/>
      <c r="AI166" s="159"/>
      <c r="BZ166" s="286"/>
      <c r="CA166" s="287"/>
    </row>
    <row r="167" spans="1:79" s="163" customFormat="1" ht="13">
      <c r="A167" s="226" t="s">
        <v>180</v>
      </c>
      <c r="B167" s="246"/>
      <c r="C167" s="246">
        <f t="shared" ref="C167:Q167" si="444">C165-B165</f>
        <v>0</v>
      </c>
      <c r="D167" s="246">
        <f t="shared" si="444"/>
        <v>0</v>
      </c>
      <c r="E167" s="246">
        <f t="shared" si="444"/>
        <v>0</v>
      </c>
      <c r="F167" s="246">
        <f t="shared" si="444"/>
        <v>0</v>
      </c>
      <c r="G167" s="246">
        <f t="shared" si="444"/>
        <v>0</v>
      </c>
      <c r="H167" s="246">
        <f t="shared" si="444"/>
        <v>0</v>
      </c>
      <c r="I167" s="246">
        <f t="shared" si="444"/>
        <v>0</v>
      </c>
      <c r="J167" s="246">
        <f t="shared" si="444"/>
        <v>29</v>
      </c>
      <c r="K167" s="246">
        <f t="shared" si="444"/>
        <v>-29</v>
      </c>
      <c r="L167" s="246">
        <f t="shared" si="444"/>
        <v>0</v>
      </c>
      <c r="M167" s="246">
        <f t="shared" si="444"/>
        <v>5</v>
      </c>
      <c r="N167" s="246">
        <f t="shared" si="444"/>
        <v>20</v>
      </c>
      <c r="O167" s="246">
        <f t="shared" si="444"/>
        <v>-8</v>
      </c>
      <c r="P167" s="246">
        <f t="shared" si="444"/>
        <v>3</v>
      </c>
      <c r="Q167" s="246">
        <f t="shared" si="444"/>
        <v>12</v>
      </c>
      <c r="R167" s="246">
        <f t="shared" ref="R167:W167" si="445">R165-Q165</f>
        <v>-21</v>
      </c>
      <c r="S167" s="246">
        <f t="shared" si="445"/>
        <v>52</v>
      </c>
      <c r="T167" s="246">
        <f t="shared" si="445"/>
        <v>4</v>
      </c>
      <c r="U167" s="246">
        <f t="shared" si="445"/>
        <v>1.9566934505235452</v>
      </c>
      <c r="V167" s="246">
        <f t="shared" si="445"/>
        <v>1.7101964428292291</v>
      </c>
      <c r="W167" s="246">
        <f t="shared" si="445"/>
        <v>1.7298651885801064</v>
      </c>
      <c r="X167" s="246">
        <f t="shared" ref="X167" si="446">X165-W165</f>
        <v>1.8261860569680124</v>
      </c>
      <c r="Y167" s="246">
        <f t="shared" ref="Y167" si="447">Y165-X165</f>
        <v>1.7696487714288054</v>
      </c>
      <c r="Z167" s="246">
        <f t="shared" ref="Z167" si="448">Z165-Y165</f>
        <v>1.795075427066493</v>
      </c>
      <c r="AA167" s="246">
        <f t="shared" ref="AA167" si="449">AA165-Z165</f>
        <v>1.8240583860662412</v>
      </c>
      <c r="AB167" s="246"/>
      <c r="AC167" s="159"/>
      <c r="AD167" s="165"/>
      <c r="AE167" s="159"/>
      <c r="AF167" s="159"/>
      <c r="AG167" s="159"/>
      <c r="AH167" s="159"/>
      <c r="AI167" s="159"/>
      <c r="BZ167" s="286"/>
      <c r="CA167" s="287"/>
    </row>
    <row r="168" spans="1:79" s="163" customFormat="1" ht="13">
      <c r="A168" s="226"/>
      <c r="B168" s="169"/>
      <c r="C168" s="169"/>
      <c r="D168" s="169"/>
      <c r="E168" s="169"/>
      <c r="F168" s="169"/>
      <c r="G168" s="169"/>
      <c r="H168" s="169"/>
      <c r="I168" s="169"/>
      <c r="J168" s="169"/>
      <c r="K168" s="169"/>
      <c r="L168" s="169"/>
      <c r="M168" s="169"/>
      <c r="N168" s="169"/>
      <c r="O168" s="169"/>
      <c r="P168" s="169"/>
      <c r="Q168" s="169"/>
      <c r="R168" s="169"/>
      <c r="S168" s="169"/>
      <c r="T168" s="169"/>
      <c r="U168" s="169"/>
      <c r="V168" s="169"/>
      <c r="W168" s="169"/>
      <c r="X168" s="169"/>
      <c r="Y168" s="169"/>
      <c r="Z168" s="169"/>
      <c r="AA168" s="169"/>
      <c r="AB168" s="169"/>
      <c r="AC168" s="159"/>
      <c r="AD168" s="165"/>
      <c r="AE168" s="159"/>
      <c r="AF168" s="159"/>
      <c r="AG168" s="159"/>
      <c r="AH168" s="159"/>
      <c r="AI168" s="159"/>
      <c r="BZ168" s="286"/>
      <c r="CA168" s="287"/>
    </row>
    <row r="169" spans="1:79" s="163" customFormat="1" ht="13">
      <c r="A169" s="235" t="s">
        <v>181</v>
      </c>
      <c r="B169" s="445"/>
      <c r="C169" s="445">
        <f t="shared" ref="C169:P169" si="450">-C154-C157+C161+C164+C167</f>
        <v>0</v>
      </c>
      <c r="D169" s="445">
        <f t="shared" si="450"/>
        <v>2318</v>
      </c>
      <c r="E169" s="445">
        <f t="shared" si="450"/>
        <v>-225</v>
      </c>
      <c r="F169" s="445">
        <f t="shared" si="450"/>
        <v>-169</v>
      </c>
      <c r="G169" s="445">
        <f t="shared" si="450"/>
        <v>36.512272727272801</v>
      </c>
      <c r="H169" s="445">
        <f t="shared" si="450"/>
        <v>-253.5122727272728</v>
      </c>
      <c r="I169" s="445">
        <f t="shared" si="450"/>
        <v>548</v>
      </c>
      <c r="J169" s="445">
        <f t="shared" si="450"/>
        <v>10</v>
      </c>
      <c r="K169" s="445">
        <f>-K154-K157+K161+K164+K167</f>
        <v>-220</v>
      </c>
      <c r="L169" s="445">
        <f t="shared" si="450"/>
        <v>-333</v>
      </c>
      <c r="M169" s="445">
        <f t="shared" si="450"/>
        <v>357</v>
      </c>
      <c r="N169" s="445">
        <f t="shared" si="450"/>
        <v>13</v>
      </c>
      <c r="O169" s="445">
        <f>-O154-O157+O161+O164+O167</f>
        <v>-14</v>
      </c>
      <c r="P169" s="445">
        <f t="shared" si="450"/>
        <v>332</v>
      </c>
      <c r="Q169" s="445">
        <f>-Q154-Q157+Q161+Q164+Q167</f>
        <v>-561</v>
      </c>
      <c r="R169" s="445">
        <f t="shared" ref="R169:W169" si="451">-R154-R157+R161+R164+R167</f>
        <v>1</v>
      </c>
      <c r="S169" s="445">
        <f t="shared" si="451"/>
        <v>80</v>
      </c>
      <c r="T169" s="445">
        <f t="shared" ref="T169" si="452">-T154-T157+T161+T164+T167</f>
        <v>-34</v>
      </c>
      <c r="U169" s="445">
        <f t="shared" si="451"/>
        <v>-50.630121442028454</v>
      </c>
      <c r="V169" s="445">
        <f t="shared" si="451"/>
        <v>-58.992535890515299</v>
      </c>
      <c r="W169" s="445">
        <f t="shared" si="451"/>
        <v>-59.79576275715408</v>
      </c>
      <c r="X169" s="445">
        <f t="shared" ref="X169:AA169" si="453">-X154-X157+X161+X164+X167</f>
        <v>-58.821841402358487</v>
      </c>
      <c r="Y169" s="445">
        <f t="shared" si="453"/>
        <v>-61.300828546835376</v>
      </c>
      <c r="Z169" s="445">
        <f t="shared" si="453"/>
        <v>-61.797594246651329</v>
      </c>
      <c r="AA169" s="445">
        <f t="shared" si="453"/>
        <v>-62.189827478250677</v>
      </c>
      <c r="AB169" s="445"/>
      <c r="AC169" s="159"/>
      <c r="AD169" s="165"/>
      <c r="AE169" s="159"/>
      <c r="AF169" s="159"/>
      <c r="AG169" s="159"/>
      <c r="AH169" s="159"/>
      <c r="AI169" s="159"/>
      <c r="BZ169" s="286"/>
      <c r="CA169" s="287"/>
    </row>
    <row r="170" spans="1:79" s="163" customFormat="1" ht="13">
      <c r="A170" s="226"/>
      <c r="B170" s="169"/>
      <c r="C170" s="169"/>
      <c r="D170" s="169"/>
      <c r="E170" s="169"/>
      <c r="F170" s="169"/>
      <c r="G170" s="169"/>
      <c r="H170" s="169"/>
      <c r="I170" s="169"/>
      <c r="J170" s="365"/>
      <c r="K170" s="365"/>
      <c r="L170" s="365"/>
      <c r="M170" s="365"/>
      <c r="N170" s="365"/>
      <c r="O170" s="365"/>
      <c r="P170" s="365"/>
      <c r="Q170" s="365"/>
      <c r="R170" s="365"/>
      <c r="S170" s="365"/>
      <c r="T170" s="365"/>
      <c r="U170" s="365"/>
      <c r="V170" s="365"/>
      <c r="W170" s="365"/>
      <c r="X170" s="365"/>
      <c r="Y170" s="365"/>
      <c r="Z170" s="365"/>
      <c r="AA170" s="365"/>
      <c r="AB170" s="365"/>
      <c r="AC170" s="159"/>
      <c r="AD170" s="159"/>
      <c r="AE170" s="159"/>
      <c r="AF170" s="159"/>
      <c r="AG170" s="159"/>
      <c r="AH170" s="165"/>
      <c r="AI170" s="165"/>
      <c r="BZ170" s="286"/>
      <c r="CA170" s="287"/>
    </row>
    <row r="171" spans="1:79" s="163" customFormat="1" ht="13">
      <c r="A171" s="443" t="s">
        <v>182</v>
      </c>
      <c r="B171" s="444">
        <f>B$2</f>
        <v>2007</v>
      </c>
      <c r="C171" s="444">
        <f t="shared" ref="C171:Q171" si="454">B171+1</f>
        <v>2008</v>
      </c>
      <c r="D171" s="444">
        <f t="shared" si="454"/>
        <v>2009</v>
      </c>
      <c r="E171" s="444">
        <f t="shared" si="454"/>
        <v>2010</v>
      </c>
      <c r="F171" s="444">
        <f t="shared" si="454"/>
        <v>2011</v>
      </c>
      <c r="G171" s="444">
        <f t="shared" si="454"/>
        <v>2012</v>
      </c>
      <c r="H171" s="444">
        <f t="shared" si="454"/>
        <v>2013</v>
      </c>
      <c r="I171" s="444">
        <f t="shared" si="454"/>
        <v>2014</v>
      </c>
      <c r="J171" s="444">
        <f t="shared" si="454"/>
        <v>2015</v>
      </c>
      <c r="K171" s="444">
        <f t="shared" si="454"/>
        <v>2016</v>
      </c>
      <c r="L171" s="444">
        <f t="shared" si="454"/>
        <v>2017</v>
      </c>
      <c r="M171" s="444">
        <f t="shared" si="454"/>
        <v>2018</v>
      </c>
      <c r="N171" s="444">
        <f t="shared" si="454"/>
        <v>2019</v>
      </c>
      <c r="O171" s="444">
        <f t="shared" si="454"/>
        <v>2020</v>
      </c>
      <c r="P171" s="444">
        <f t="shared" si="454"/>
        <v>2021</v>
      </c>
      <c r="Q171" s="444">
        <f t="shared" si="454"/>
        <v>2022</v>
      </c>
      <c r="R171" s="444">
        <f t="shared" ref="R171:W171" si="455">Q171+1</f>
        <v>2023</v>
      </c>
      <c r="S171" s="444">
        <f t="shared" si="455"/>
        <v>2024</v>
      </c>
      <c r="T171" s="444">
        <f t="shared" si="455"/>
        <v>2025</v>
      </c>
      <c r="U171" s="444">
        <f t="shared" si="455"/>
        <v>2026</v>
      </c>
      <c r="V171" s="444">
        <f t="shared" si="455"/>
        <v>2027</v>
      </c>
      <c r="W171" s="444">
        <f t="shared" si="455"/>
        <v>2028</v>
      </c>
      <c r="X171" s="444">
        <f t="shared" ref="X171" si="456">W171+1</f>
        <v>2029</v>
      </c>
      <c r="Y171" s="444">
        <f t="shared" ref="Y171" si="457">X171+1</f>
        <v>2030</v>
      </c>
      <c r="Z171" s="444">
        <f t="shared" ref="Z171" si="458">Y171+1</f>
        <v>2031</v>
      </c>
      <c r="AA171" s="444">
        <f t="shared" ref="AA171" si="459">Z171+1</f>
        <v>2032</v>
      </c>
      <c r="AB171" s="221"/>
      <c r="AC171" s="165"/>
      <c r="AD171" s="165"/>
      <c r="AE171" s="165"/>
      <c r="AF171" s="165"/>
      <c r="AG171" s="165"/>
      <c r="AH171" s="159"/>
      <c r="AI171" s="159"/>
      <c r="BZ171" s="286"/>
      <c r="CA171" s="287"/>
    </row>
    <row r="172" spans="1:79" s="163" customFormat="1" ht="13">
      <c r="A172" s="226"/>
      <c r="B172" s="244"/>
      <c r="C172" s="244"/>
      <c r="D172" s="244"/>
      <c r="E172" s="244"/>
      <c r="F172" s="245"/>
      <c r="G172" s="245"/>
      <c r="H172" s="245"/>
      <c r="I172" s="245"/>
      <c r="J172" s="245">
        <f>25+210+56</f>
        <v>291</v>
      </c>
      <c r="K172" s="245">
        <f>22+1+21+144</f>
        <v>188</v>
      </c>
      <c r="L172" s="245">
        <f>1+29+23</f>
        <v>53</v>
      </c>
      <c r="M172" s="245">
        <v>30</v>
      </c>
      <c r="N172" s="245">
        <v>10</v>
      </c>
      <c r="O172" s="245">
        <v>11</v>
      </c>
      <c r="P172" s="245">
        <v>0</v>
      </c>
      <c r="Q172" s="245">
        <v>0</v>
      </c>
      <c r="R172" s="245">
        <f t="shared" ref="R172:W172" si="460">Q172</f>
        <v>0</v>
      </c>
      <c r="S172" s="245">
        <f t="shared" si="460"/>
        <v>0</v>
      </c>
      <c r="T172" s="245">
        <f t="shared" si="460"/>
        <v>0</v>
      </c>
      <c r="U172" s="246">
        <f t="shared" si="460"/>
        <v>0</v>
      </c>
      <c r="V172" s="246">
        <f t="shared" si="460"/>
        <v>0</v>
      </c>
      <c r="W172" s="246">
        <f t="shared" si="460"/>
        <v>0</v>
      </c>
      <c r="X172" s="246">
        <f t="shared" ref="X172" si="461">W172</f>
        <v>0</v>
      </c>
      <c r="Y172" s="246">
        <f t="shared" ref="Y172" si="462">X172</f>
        <v>0</v>
      </c>
      <c r="Z172" s="246">
        <f t="shared" ref="Z172" si="463">Y172</f>
        <v>0</v>
      </c>
      <c r="AA172" s="246">
        <f t="shared" ref="AA172" si="464">Z172</f>
        <v>0</v>
      </c>
      <c r="AB172" s="246"/>
      <c r="AC172" s="159"/>
      <c r="AD172" s="159"/>
      <c r="AE172" s="159"/>
      <c r="AF172" s="159"/>
      <c r="AG172" s="159"/>
      <c r="AH172" s="159"/>
      <c r="AI172" s="159"/>
      <c r="BZ172" s="286"/>
      <c r="CA172" s="287"/>
    </row>
    <row r="173" spans="1:79" s="163" customFormat="1" ht="13">
      <c r="A173" s="226" t="s">
        <v>172</v>
      </c>
      <c r="B173" s="170">
        <f>B172/'Income Statement'!B432</f>
        <v>0</v>
      </c>
      <c r="C173" s="170">
        <f>C172/'Income Statement'!G432</f>
        <v>0</v>
      </c>
      <c r="D173" s="170">
        <f>D172/'Income Statement'!L432</f>
        <v>0</v>
      </c>
      <c r="E173" s="170">
        <f>E172/'Income Statement'!Q432</f>
        <v>0</v>
      </c>
      <c r="F173" s="170">
        <f>F172/'Income Statement'!V432</f>
        <v>0</v>
      </c>
      <c r="G173" s="170">
        <f>G172/'Income Statement'!AA432</f>
        <v>0</v>
      </c>
      <c r="H173" s="170">
        <f>H172/'Income Statement'!AF432</f>
        <v>0</v>
      </c>
      <c r="I173" s="170">
        <f>I172/'Income Statement'!AK432</f>
        <v>0</v>
      </c>
      <c r="J173" s="170">
        <f>J172/'Income Statement'!AP432</f>
        <v>3.3833275200558073E-2</v>
      </c>
      <c r="K173" s="170">
        <f>K172/'Income Statement'!AU432</f>
        <v>2.1830004644681839E-2</v>
      </c>
      <c r="L173" s="170">
        <f>L172/'Income Statement'!AZ432</f>
        <v>5.6269243019428814E-3</v>
      </c>
      <c r="M173" s="170">
        <f>M172/'Income Statement'!BE432</f>
        <v>3.2637075718015664E-3</v>
      </c>
      <c r="N173" s="170">
        <f>N172/'Income Statement'!BJ432</f>
        <v>1.0737678513905295E-3</v>
      </c>
      <c r="O173" s="170">
        <f>O172/'Income Statement'!BO432</f>
        <v>1.2268570153914789E-3</v>
      </c>
      <c r="P173" s="170">
        <f>P172/'Income Statement'!BT432</f>
        <v>0</v>
      </c>
      <c r="Q173" s="170">
        <f>Q172/'Income Statement'!BY432</f>
        <v>0</v>
      </c>
      <c r="R173" s="170">
        <f>R172/'Income Statement'!CD432</f>
        <v>0</v>
      </c>
      <c r="S173" s="170">
        <f>S172/'Income Statement'!CI432</f>
        <v>0</v>
      </c>
      <c r="T173" s="170">
        <f>T172/'Income Statement'!CJ432</f>
        <v>0</v>
      </c>
      <c r="U173" s="170">
        <f>U172/'Income Statement'!CQ432</f>
        <v>0</v>
      </c>
      <c r="V173" s="170">
        <f>V172/'Income Statement'!CR432</f>
        <v>0</v>
      </c>
      <c r="W173" s="170">
        <f>W172/'Income Statement'!CS432</f>
        <v>0</v>
      </c>
      <c r="X173" s="170">
        <f>X172/'Income Statement'!CT432</f>
        <v>0</v>
      </c>
      <c r="Y173" s="170">
        <f>Y172/'Income Statement'!CU432</f>
        <v>0</v>
      </c>
      <c r="Z173" s="170">
        <f>Z172/'Income Statement'!CV432</f>
        <v>0</v>
      </c>
      <c r="AA173" s="170">
        <f>AA172/'Income Statement'!CW432</f>
        <v>0</v>
      </c>
      <c r="AB173" s="170"/>
      <c r="AC173" s="159"/>
      <c r="AD173" s="159"/>
      <c r="AE173" s="159"/>
      <c r="AF173" s="159"/>
      <c r="AG173" s="159"/>
      <c r="AH173" s="159"/>
      <c r="AI173" s="159"/>
      <c r="BZ173" s="286"/>
      <c r="CA173" s="287"/>
    </row>
    <row r="174" spans="1:79" s="163" customFormat="1" ht="13">
      <c r="A174" s="226"/>
      <c r="B174" s="169"/>
      <c r="C174" s="169"/>
      <c r="D174" s="169"/>
      <c r="E174" s="169"/>
      <c r="F174" s="169"/>
      <c r="G174" s="169"/>
      <c r="H174" s="169"/>
      <c r="I174" s="169"/>
      <c r="J174" s="169"/>
      <c r="K174" s="169"/>
      <c r="L174" s="169"/>
      <c r="M174" s="169"/>
      <c r="N174" s="169"/>
      <c r="O174" s="169"/>
      <c r="P174" s="169"/>
      <c r="Q174" s="169"/>
      <c r="R174" s="169"/>
      <c r="S174" s="169"/>
      <c r="T174" s="169"/>
      <c r="U174" s="169"/>
      <c r="V174" s="169"/>
      <c r="W174" s="169"/>
      <c r="X174" s="169"/>
      <c r="Y174" s="169"/>
      <c r="Z174" s="169"/>
      <c r="AA174" s="169"/>
      <c r="AB174" s="169"/>
      <c r="AC174" s="159"/>
      <c r="AD174" s="159"/>
      <c r="AE174" s="159"/>
      <c r="AF174" s="159"/>
      <c r="AG174" s="159"/>
      <c r="AH174" s="165"/>
      <c r="AI174" s="165"/>
      <c r="BZ174" s="286"/>
      <c r="CA174" s="287"/>
    </row>
    <row r="175" spans="1:79" s="163" customFormat="1" ht="13">
      <c r="A175" s="443" t="s">
        <v>183</v>
      </c>
      <c r="B175" s="444">
        <f>B$2</f>
        <v>2007</v>
      </c>
      <c r="C175" s="444">
        <f t="shared" ref="C175:Q175" si="465">B175+1</f>
        <v>2008</v>
      </c>
      <c r="D175" s="444">
        <f t="shared" si="465"/>
        <v>2009</v>
      </c>
      <c r="E175" s="444">
        <f t="shared" si="465"/>
        <v>2010</v>
      </c>
      <c r="F175" s="444">
        <f t="shared" si="465"/>
        <v>2011</v>
      </c>
      <c r="G175" s="444">
        <f t="shared" si="465"/>
        <v>2012</v>
      </c>
      <c r="H175" s="444">
        <f t="shared" si="465"/>
        <v>2013</v>
      </c>
      <c r="I175" s="444">
        <f t="shared" si="465"/>
        <v>2014</v>
      </c>
      <c r="J175" s="444">
        <f t="shared" si="465"/>
        <v>2015</v>
      </c>
      <c r="K175" s="444">
        <f t="shared" si="465"/>
        <v>2016</v>
      </c>
      <c r="L175" s="444">
        <f t="shared" si="465"/>
        <v>2017</v>
      </c>
      <c r="M175" s="444">
        <f t="shared" si="465"/>
        <v>2018</v>
      </c>
      <c r="N175" s="444">
        <f t="shared" si="465"/>
        <v>2019</v>
      </c>
      <c r="O175" s="444">
        <f t="shared" si="465"/>
        <v>2020</v>
      </c>
      <c r="P175" s="444">
        <f t="shared" si="465"/>
        <v>2021</v>
      </c>
      <c r="Q175" s="444">
        <f t="shared" si="465"/>
        <v>2022</v>
      </c>
      <c r="R175" s="444">
        <f t="shared" ref="R175:W175" si="466">Q175+1</f>
        <v>2023</v>
      </c>
      <c r="S175" s="444">
        <f t="shared" si="466"/>
        <v>2024</v>
      </c>
      <c r="T175" s="444">
        <f t="shared" si="466"/>
        <v>2025</v>
      </c>
      <c r="U175" s="444">
        <f t="shared" si="466"/>
        <v>2026</v>
      </c>
      <c r="V175" s="444">
        <f t="shared" si="466"/>
        <v>2027</v>
      </c>
      <c r="W175" s="444">
        <f t="shared" si="466"/>
        <v>2028</v>
      </c>
      <c r="X175" s="444">
        <f t="shared" ref="X175" si="467">W175+1</f>
        <v>2029</v>
      </c>
      <c r="Y175" s="444">
        <f t="shared" ref="Y175" si="468">X175+1</f>
        <v>2030</v>
      </c>
      <c r="Z175" s="444">
        <f t="shared" ref="Z175" si="469">Y175+1</f>
        <v>2031</v>
      </c>
      <c r="AA175" s="444">
        <f t="shared" ref="AA175" si="470">Z175+1</f>
        <v>2032</v>
      </c>
      <c r="AB175" s="221"/>
      <c r="AC175" s="165"/>
      <c r="AD175" s="165"/>
      <c r="AE175" s="165"/>
      <c r="AF175" s="165"/>
      <c r="AG175" s="165"/>
      <c r="AH175" s="159"/>
      <c r="AI175" s="159"/>
      <c r="BZ175" s="286"/>
      <c r="CA175" s="287"/>
    </row>
    <row r="176" spans="1:79" s="163" customFormat="1" ht="13">
      <c r="A176" s="226"/>
      <c r="B176" s="470">
        <v>0</v>
      </c>
      <c r="C176" s="470">
        <v>0</v>
      </c>
      <c r="D176" s="169">
        <f t="shared" ref="D176:Q176" si="471">C176</f>
        <v>0</v>
      </c>
      <c r="E176" s="169">
        <f t="shared" si="471"/>
        <v>0</v>
      </c>
      <c r="F176" s="169">
        <f t="shared" si="471"/>
        <v>0</v>
      </c>
      <c r="G176" s="169">
        <f t="shared" si="471"/>
        <v>0</v>
      </c>
      <c r="H176" s="169">
        <f t="shared" si="471"/>
        <v>0</v>
      </c>
      <c r="I176" s="169">
        <f t="shared" si="471"/>
        <v>0</v>
      </c>
      <c r="J176" s="169">
        <f t="shared" si="471"/>
        <v>0</v>
      </c>
      <c r="K176" s="169">
        <f t="shared" si="471"/>
        <v>0</v>
      </c>
      <c r="L176" s="169">
        <f t="shared" si="471"/>
        <v>0</v>
      </c>
      <c r="M176" s="169">
        <f t="shared" si="471"/>
        <v>0</v>
      </c>
      <c r="N176" s="169">
        <f t="shared" si="471"/>
        <v>0</v>
      </c>
      <c r="O176" s="169">
        <f t="shared" si="471"/>
        <v>0</v>
      </c>
      <c r="P176" s="169">
        <f t="shared" si="471"/>
        <v>0</v>
      </c>
      <c r="Q176" s="169">
        <f t="shared" si="471"/>
        <v>0</v>
      </c>
      <c r="R176" s="169">
        <f t="shared" ref="R176:W176" si="472">Q176</f>
        <v>0</v>
      </c>
      <c r="S176" s="169">
        <f t="shared" si="472"/>
        <v>0</v>
      </c>
      <c r="T176" s="169">
        <f t="shared" si="472"/>
        <v>0</v>
      </c>
      <c r="U176" s="169">
        <f t="shared" si="472"/>
        <v>0</v>
      </c>
      <c r="V176" s="169">
        <f t="shared" si="472"/>
        <v>0</v>
      </c>
      <c r="W176" s="169">
        <f t="shared" si="472"/>
        <v>0</v>
      </c>
      <c r="X176" s="169">
        <f t="shared" ref="X176" si="473">W176</f>
        <v>0</v>
      </c>
      <c r="Y176" s="169">
        <f t="shared" ref="Y176" si="474">X176</f>
        <v>0</v>
      </c>
      <c r="Z176" s="169">
        <f t="shared" ref="Z176" si="475">Y176</f>
        <v>0</v>
      </c>
      <c r="AA176" s="169">
        <f t="shared" ref="AA176" si="476">Z176</f>
        <v>0</v>
      </c>
      <c r="AB176" s="169"/>
      <c r="AC176" s="159"/>
      <c r="AD176" s="159"/>
      <c r="AE176" s="159"/>
      <c r="AF176" s="159"/>
      <c r="AG176" s="159"/>
      <c r="AH176" s="159"/>
      <c r="AI176" s="159"/>
      <c r="BZ176" s="286"/>
      <c r="CA176" s="287"/>
    </row>
    <row r="177" spans="1:79" s="163" customFormat="1" ht="13">
      <c r="A177" s="226"/>
      <c r="B177" s="169"/>
      <c r="C177" s="169"/>
      <c r="D177" s="169"/>
      <c r="E177" s="169"/>
      <c r="F177" s="169"/>
      <c r="G177" s="169"/>
      <c r="H177" s="159"/>
      <c r="I177" s="159"/>
      <c r="J177" s="159"/>
      <c r="K177" s="159"/>
      <c r="L177" s="159"/>
      <c r="M177" s="159"/>
      <c r="N177" s="159"/>
      <c r="O177" s="159"/>
      <c r="P177" s="159"/>
      <c r="Q177" s="159"/>
      <c r="R177" s="159"/>
      <c r="S177" s="159"/>
      <c r="T177" s="159"/>
      <c r="U177" s="159"/>
      <c r="V177" s="159"/>
      <c r="W177" s="159"/>
      <c r="X177" s="159"/>
      <c r="Y177" s="159"/>
      <c r="Z177" s="159"/>
      <c r="AA177" s="159"/>
      <c r="AB177" s="159"/>
      <c r="AC177" s="159"/>
      <c r="AD177" s="159"/>
      <c r="AE177" s="159"/>
      <c r="AF177" s="159"/>
      <c r="AG177" s="159"/>
      <c r="AH177" s="165"/>
      <c r="AI177" s="165"/>
      <c r="BZ177" s="286"/>
      <c r="CA177" s="287"/>
    </row>
    <row r="178" spans="1:79" s="163" customFormat="1" ht="13">
      <c r="A178" s="443" t="s">
        <v>778</v>
      </c>
      <c r="B178" s="444">
        <f>B$2</f>
        <v>2007</v>
      </c>
      <c r="C178" s="444">
        <f t="shared" ref="C178:Q178" si="477">B178+1</f>
        <v>2008</v>
      </c>
      <c r="D178" s="444">
        <f t="shared" si="477"/>
        <v>2009</v>
      </c>
      <c r="E178" s="444">
        <f t="shared" si="477"/>
        <v>2010</v>
      </c>
      <c r="F178" s="444">
        <f t="shared" si="477"/>
        <v>2011</v>
      </c>
      <c r="G178" s="444">
        <f t="shared" si="477"/>
        <v>2012</v>
      </c>
      <c r="H178" s="444">
        <f t="shared" si="477"/>
        <v>2013</v>
      </c>
      <c r="I178" s="444">
        <f t="shared" si="477"/>
        <v>2014</v>
      </c>
      <c r="J178" s="444">
        <f t="shared" si="477"/>
        <v>2015</v>
      </c>
      <c r="K178" s="444">
        <f t="shared" si="477"/>
        <v>2016</v>
      </c>
      <c r="L178" s="444">
        <f t="shared" si="477"/>
        <v>2017</v>
      </c>
      <c r="M178" s="444">
        <f t="shared" si="477"/>
        <v>2018</v>
      </c>
      <c r="N178" s="444">
        <f t="shared" si="477"/>
        <v>2019</v>
      </c>
      <c r="O178" s="444">
        <f t="shared" si="477"/>
        <v>2020</v>
      </c>
      <c r="P178" s="444">
        <f t="shared" si="477"/>
        <v>2021</v>
      </c>
      <c r="Q178" s="444">
        <f t="shared" si="477"/>
        <v>2022</v>
      </c>
      <c r="R178" s="444">
        <f t="shared" ref="R178:W178" si="478">Q178+1</f>
        <v>2023</v>
      </c>
      <c r="S178" s="444">
        <f t="shared" si="478"/>
        <v>2024</v>
      </c>
      <c r="T178" s="444">
        <f t="shared" si="478"/>
        <v>2025</v>
      </c>
      <c r="U178" s="444">
        <f t="shared" si="478"/>
        <v>2026</v>
      </c>
      <c r="V178" s="444">
        <f t="shared" si="478"/>
        <v>2027</v>
      </c>
      <c r="W178" s="444">
        <f t="shared" si="478"/>
        <v>2028</v>
      </c>
      <c r="X178" s="444">
        <f t="shared" ref="X178" si="479">W178+1</f>
        <v>2029</v>
      </c>
      <c r="Y178" s="444">
        <f t="shared" ref="Y178" si="480">X178+1</f>
        <v>2030</v>
      </c>
      <c r="Z178" s="444">
        <f t="shared" ref="Z178" si="481">Y178+1</f>
        <v>2031</v>
      </c>
      <c r="AA178" s="444">
        <f t="shared" ref="AA178" si="482">Z178+1</f>
        <v>2032</v>
      </c>
      <c r="AB178" s="221"/>
      <c r="AC178" s="165"/>
      <c r="AD178" s="165"/>
      <c r="AE178" s="165"/>
      <c r="AF178" s="165"/>
      <c r="AG178" s="165"/>
      <c r="AH178" s="159"/>
      <c r="AI178" s="159"/>
      <c r="BZ178" s="286"/>
      <c r="CA178" s="287"/>
    </row>
    <row r="179" spans="1:79" s="163" customFormat="1" ht="13">
      <c r="A179" s="226"/>
      <c r="B179" s="471"/>
      <c r="C179" s="471"/>
      <c r="D179" s="471">
        <v>6</v>
      </c>
      <c r="E179" s="471">
        <v>0</v>
      </c>
      <c r="F179" s="471">
        <v>3</v>
      </c>
      <c r="G179" s="471">
        <v>3</v>
      </c>
      <c r="H179" s="471">
        <v>145</v>
      </c>
      <c r="I179" s="471">
        <v>245</v>
      </c>
      <c r="J179" s="471">
        <v>617</v>
      </c>
      <c r="K179" s="471">
        <f>470+871</f>
        <v>1341</v>
      </c>
      <c r="L179" s="471">
        <f>2+802</f>
        <v>804</v>
      </c>
      <c r="M179" s="471">
        <f>4+1018+1</f>
        <v>1023</v>
      </c>
      <c r="N179" s="471">
        <f>4+1183+0+1032</f>
        <v>2219</v>
      </c>
      <c r="O179" s="471">
        <f>4+947</f>
        <v>951</v>
      </c>
      <c r="P179" s="471">
        <f>915+4</f>
        <v>919</v>
      </c>
      <c r="Q179" s="471">
        <f>20264-SUM(Q12:Q15)-Q17</f>
        <v>1231</v>
      </c>
      <c r="R179" s="471">
        <f>19740-SUM(R12:R15)-R17</f>
        <v>1337</v>
      </c>
      <c r="S179" s="471">
        <f>19419-SUM(S12:S15)-S17</f>
        <v>1492</v>
      </c>
      <c r="T179" s="471">
        <f>19341-SUM(T12:T15)-T17</f>
        <v>1558</v>
      </c>
      <c r="U179" s="169">
        <f t="shared" ref="U179:W179" si="483">T179</f>
        <v>1558</v>
      </c>
      <c r="V179" s="169">
        <f t="shared" si="483"/>
        <v>1558</v>
      </c>
      <c r="W179" s="169">
        <f t="shared" si="483"/>
        <v>1558</v>
      </c>
      <c r="X179" s="169">
        <f t="shared" ref="X179" si="484">W179</f>
        <v>1558</v>
      </c>
      <c r="Y179" s="169">
        <f t="shared" ref="Y179" si="485">X179</f>
        <v>1558</v>
      </c>
      <c r="Z179" s="169">
        <f t="shared" ref="Z179" si="486">Y179</f>
        <v>1558</v>
      </c>
      <c r="AA179" s="169">
        <f t="shared" ref="AA179" si="487">Z179</f>
        <v>1558</v>
      </c>
      <c r="AB179" s="169"/>
      <c r="AC179" s="159"/>
      <c r="AD179" s="159"/>
      <c r="AE179" s="159"/>
      <c r="AF179" s="159"/>
      <c r="AG179" s="159"/>
      <c r="AH179" s="159"/>
      <c r="AI179" s="159"/>
      <c r="BZ179" s="286"/>
      <c r="CA179" s="287"/>
    </row>
    <row r="180" spans="1:79" s="163" customFormat="1" ht="13">
      <c r="A180" s="226"/>
      <c r="B180" s="169"/>
      <c r="C180" s="169"/>
      <c r="D180" s="169"/>
      <c r="E180" s="169"/>
      <c r="F180" s="169"/>
      <c r="G180" s="169"/>
      <c r="H180" s="159"/>
      <c r="I180" s="159"/>
      <c r="J180" s="159"/>
      <c r="K180" s="159"/>
      <c r="L180" s="159"/>
      <c r="M180" s="159"/>
      <c r="N180" s="159"/>
      <c r="O180" s="159"/>
      <c r="P180" s="159"/>
      <c r="Q180" s="159"/>
      <c r="R180" s="159"/>
      <c r="S180" s="159"/>
      <c r="T180" s="159"/>
      <c r="U180" s="159"/>
      <c r="V180" s="159"/>
      <c r="W180" s="159"/>
      <c r="X180" s="159"/>
      <c r="Y180" s="159"/>
      <c r="Z180" s="159"/>
      <c r="AA180" s="159"/>
      <c r="AB180" s="159"/>
      <c r="AC180" s="159"/>
      <c r="AD180" s="159"/>
      <c r="AE180" s="159"/>
      <c r="AF180" s="159"/>
      <c r="AG180" s="159"/>
      <c r="AH180" s="165"/>
      <c r="AI180" s="165"/>
      <c r="BZ180" s="286"/>
      <c r="CA180" s="287"/>
    </row>
    <row r="181" spans="1:79" s="163" customFormat="1" ht="13">
      <c r="A181" s="443" t="s">
        <v>519</v>
      </c>
      <c r="B181" s="444">
        <f>B$2</f>
        <v>2007</v>
      </c>
      <c r="C181" s="444">
        <f t="shared" ref="C181:Q181" si="488">B181+1</f>
        <v>2008</v>
      </c>
      <c r="D181" s="444">
        <f t="shared" si="488"/>
        <v>2009</v>
      </c>
      <c r="E181" s="444">
        <f t="shared" si="488"/>
        <v>2010</v>
      </c>
      <c r="F181" s="444">
        <f t="shared" si="488"/>
        <v>2011</v>
      </c>
      <c r="G181" s="444">
        <f t="shared" si="488"/>
        <v>2012</v>
      </c>
      <c r="H181" s="444">
        <f t="shared" si="488"/>
        <v>2013</v>
      </c>
      <c r="I181" s="444">
        <f t="shared" si="488"/>
        <v>2014</v>
      </c>
      <c r="J181" s="444">
        <f t="shared" si="488"/>
        <v>2015</v>
      </c>
      <c r="K181" s="444">
        <f t="shared" si="488"/>
        <v>2016</v>
      </c>
      <c r="L181" s="444">
        <f t="shared" si="488"/>
        <v>2017</v>
      </c>
      <c r="M181" s="444">
        <f t="shared" si="488"/>
        <v>2018</v>
      </c>
      <c r="N181" s="444">
        <f t="shared" si="488"/>
        <v>2019</v>
      </c>
      <c r="O181" s="444">
        <f t="shared" si="488"/>
        <v>2020</v>
      </c>
      <c r="P181" s="444">
        <f t="shared" si="488"/>
        <v>2021</v>
      </c>
      <c r="Q181" s="444">
        <f t="shared" si="488"/>
        <v>2022</v>
      </c>
      <c r="R181" s="444">
        <f t="shared" ref="R181:W181" si="489">Q181+1</f>
        <v>2023</v>
      </c>
      <c r="S181" s="444">
        <f t="shared" si="489"/>
        <v>2024</v>
      </c>
      <c r="T181" s="444">
        <f t="shared" si="489"/>
        <v>2025</v>
      </c>
      <c r="U181" s="444">
        <f t="shared" si="489"/>
        <v>2026</v>
      </c>
      <c r="V181" s="444">
        <f t="shared" si="489"/>
        <v>2027</v>
      </c>
      <c r="W181" s="444">
        <f t="shared" si="489"/>
        <v>2028</v>
      </c>
      <c r="X181" s="444">
        <f t="shared" ref="X181" si="490">W181+1</f>
        <v>2029</v>
      </c>
      <c r="Y181" s="444">
        <f t="shared" ref="Y181" si="491">X181+1</f>
        <v>2030</v>
      </c>
      <c r="Z181" s="444">
        <f t="shared" ref="Z181" si="492">Y181+1</f>
        <v>2031</v>
      </c>
      <c r="AA181" s="444">
        <f t="shared" ref="AA181" si="493">Z181+1</f>
        <v>2032</v>
      </c>
      <c r="AB181" s="221"/>
      <c r="AC181" s="165"/>
      <c r="AD181" s="165"/>
      <c r="AE181" s="165"/>
      <c r="AF181" s="165"/>
      <c r="AG181" s="165"/>
      <c r="AH181" s="159"/>
      <c r="AI181" s="159"/>
    </row>
    <row r="182" spans="1:79" s="163" customFormat="1" ht="13">
      <c r="A182" s="226"/>
      <c r="B182" s="244"/>
      <c r="C182" s="244"/>
      <c r="D182" s="244">
        <v>86</v>
      </c>
      <c r="E182" s="244">
        <v>96</v>
      </c>
      <c r="F182" s="245">
        <v>121</v>
      </c>
      <c r="G182" s="245">
        <v>121</v>
      </c>
      <c r="H182" s="245">
        <v>128</v>
      </c>
      <c r="I182" s="245">
        <v>102</v>
      </c>
      <c r="J182" s="245">
        <v>55</v>
      </c>
      <c r="K182" s="245">
        <v>45</v>
      </c>
      <c r="L182" s="245">
        <v>8</v>
      </c>
      <c r="M182" s="245">
        <v>0</v>
      </c>
      <c r="N182" s="245">
        <v>0</v>
      </c>
      <c r="O182" s="245">
        <v>0</v>
      </c>
      <c r="P182" s="245">
        <f t="shared" ref="P182:W182" si="494">O182</f>
        <v>0</v>
      </c>
      <c r="Q182" s="245">
        <f t="shared" si="494"/>
        <v>0</v>
      </c>
      <c r="R182" s="245">
        <f t="shared" si="494"/>
        <v>0</v>
      </c>
      <c r="S182" s="245">
        <f t="shared" si="494"/>
        <v>0</v>
      </c>
      <c r="T182" s="245">
        <f t="shared" si="494"/>
        <v>0</v>
      </c>
      <c r="U182" s="246">
        <f t="shared" si="494"/>
        <v>0</v>
      </c>
      <c r="V182" s="246">
        <f t="shared" si="494"/>
        <v>0</v>
      </c>
      <c r="W182" s="246">
        <f t="shared" si="494"/>
        <v>0</v>
      </c>
      <c r="X182" s="246">
        <f t="shared" ref="X182" si="495">W182</f>
        <v>0</v>
      </c>
      <c r="Y182" s="246">
        <f t="shared" ref="Y182" si="496">X182</f>
        <v>0</v>
      </c>
      <c r="Z182" s="246">
        <f t="shared" ref="Z182" si="497">Y182</f>
        <v>0</v>
      </c>
      <c r="AA182" s="246">
        <f t="shared" ref="AA182" si="498">Z182</f>
        <v>0</v>
      </c>
      <c r="AB182" s="246"/>
      <c r="AC182" s="159"/>
      <c r="AD182" s="159"/>
      <c r="AE182" s="159"/>
      <c r="AF182" s="159"/>
      <c r="AG182" s="159"/>
      <c r="AH182" s="159"/>
      <c r="AI182" s="159"/>
    </row>
    <row r="183" spans="1:79" s="163" customFormat="1" ht="13">
      <c r="A183" s="226"/>
      <c r="B183" s="169"/>
      <c r="C183" s="169"/>
      <c r="D183" s="169"/>
      <c r="E183" s="169"/>
      <c r="F183" s="169"/>
      <c r="G183" s="169"/>
      <c r="H183" s="159"/>
      <c r="I183" s="159"/>
      <c r="J183" s="159"/>
      <c r="K183" s="159"/>
      <c r="L183" s="159"/>
      <c r="M183" s="159"/>
      <c r="N183" s="159"/>
      <c r="O183" s="159"/>
      <c r="P183" s="159"/>
      <c r="Q183" s="159"/>
      <c r="R183" s="159"/>
      <c r="S183" s="159"/>
      <c r="T183" s="159"/>
      <c r="U183" s="159"/>
      <c r="V183" s="159"/>
      <c r="W183" s="159"/>
      <c r="X183" s="159"/>
      <c r="Y183" s="159"/>
      <c r="Z183" s="159"/>
      <c r="AA183" s="159"/>
      <c r="AB183" s="159"/>
      <c r="AC183" s="159"/>
      <c r="AD183" s="159"/>
      <c r="AE183" s="159"/>
      <c r="AF183" s="159"/>
      <c r="AG183" s="159"/>
      <c r="AH183" s="165"/>
      <c r="AI183" s="165"/>
    </row>
    <row r="184" spans="1:79" s="163" customFormat="1" ht="13">
      <c r="A184" s="443" t="s">
        <v>115</v>
      </c>
      <c r="B184" s="444">
        <f>B$2</f>
        <v>2007</v>
      </c>
      <c r="C184" s="444">
        <f t="shared" ref="C184:Q184" si="499">B184+1</f>
        <v>2008</v>
      </c>
      <c r="D184" s="444">
        <f t="shared" si="499"/>
        <v>2009</v>
      </c>
      <c r="E184" s="444">
        <f t="shared" si="499"/>
        <v>2010</v>
      </c>
      <c r="F184" s="444">
        <f t="shared" si="499"/>
        <v>2011</v>
      </c>
      <c r="G184" s="444">
        <f t="shared" si="499"/>
        <v>2012</v>
      </c>
      <c r="H184" s="444">
        <f t="shared" si="499"/>
        <v>2013</v>
      </c>
      <c r="I184" s="444">
        <f t="shared" si="499"/>
        <v>2014</v>
      </c>
      <c r="J184" s="444">
        <f t="shared" si="499"/>
        <v>2015</v>
      </c>
      <c r="K184" s="444">
        <f t="shared" si="499"/>
        <v>2016</v>
      </c>
      <c r="L184" s="444">
        <f t="shared" si="499"/>
        <v>2017</v>
      </c>
      <c r="M184" s="444">
        <f t="shared" si="499"/>
        <v>2018</v>
      </c>
      <c r="N184" s="444">
        <f t="shared" si="499"/>
        <v>2019</v>
      </c>
      <c r="O184" s="444">
        <f t="shared" si="499"/>
        <v>2020</v>
      </c>
      <c r="P184" s="444">
        <f t="shared" si="499"/>
        <v>2021</v>
      </c>
      <c r="Q184" s="444">
        <f t="shared" si="499"/>
        <v>2022</v>
      </c>
      <c r="R184" s="444">
        <f t="shared" ref="R184:W184" si="500">Q184+1</f>
        <v>2023</v>
      </c>
      <c r="S184" s="444">
        <f t="shared" si="500"/>
        <v>2024</v>
      </c>
      <c r="T184" s="444">
        <f t="shared" si="500"/>
        <v>2025</v>
      </c>
      <c r="U184" s="444">
        <f t="shared" si="500"/>
        <v>2026</v>
      </c>
      <c r="V184" s="444">
        <f t="shared" si="500"/>
        <v>2027</v>
      </c>
      <c r="W184" s="444">
        <f t="shared" si="500"/>
        <v>2028</v>
      </c>
      <c r="X184" s="444">
        <f t="shared" ref="X184" si="501">W184+1</f>
        <v>2029</v>
      </c>
      <c r="Y184" s="444">
        <f t="shared" ref="Y184" si="502">X184+1</f>
        <v>2030</v>
      </c>
      <c r="Z184" s="444">
        <f t="shared" ref="Z184" si="503">Y184+1</f>
        <v>2031</v>
      </c>
      <c r="AA184" s="444">
        <f t="shared" ref="AA184" si="504">Z184+1</f>
        <v>2032</v>
      </c>
      <c r="AB184" s="221"/>
      <c r="AC184" s="165"/>
      <c r="AD184" s="165"/>
      <c r="AE184" s="165"/>
      <c r="AF184" s="165"/>
      <c r="AG184" s="165"/>
      <c r="AH184" s="159"/>
      <c r="AI184" s="159"/>
    </row>
    <row r="185" spans="1:79" s="163" customFormat="1" ht="13">
      <c r="A185" s="226"/>
      <c r="B185" s="471"/>
      <c r="C185" s="471">
        <f>B185</f>
        <v>0</v>
      </c>
      <c r="D185" s="471">
        <v>0</v>
      </c>
      <c r="E185" s="471">
        <v>12</v>
      </c>
      <c r="F185" s="471">
        <v>0</v>
      </c>
      <c r="G185" s="471">
        <f>F185</f>
        <v>0</v>
      </c>
      <c r="H185" s="471">
        <f>G185</f>
        <v>0</v>
      </c>
      <c r="I185" s="471">
        <f>H185</f>
        <v>0</v>
      </c>
      <c r="J185" s="471">
        <f>149+2+9+160</f>
        <v>320</v>
      </c>
      <c r="K185" s="471">
        <f>14+97+152</f>
        <v>263</v>
      </c>
      <c r="L185" s="471">
        <f>23+111+2+1+291</f>
        <v>428</v>
      </c>
      <c r="M185" s="471">
        <f>116+199</f>
        <v>315</v>
      </c>
      <c r="N185" s="471">
        <f>3+126</f>
        <v>129</v>
      </c>
      <c r="O185" s="471">
        <f>5+57</f>
        <v>62</v>
      </c>
      <c r="P185" s="471">
        <f>9+19</f>
        <v>28</v>
      </c>
      <c r="Q185" s="471">
        <f>6+171</f>
        <v>177</v>
      </c>
      <c r="R185" s="471">
        <f>3+265</f>
        <v>268</v>
      </c>
      <c r="S185" s="471">
        <v>56</v>
      </c>
      <c r="T185" s="471">
        <f>84+4</f>
        <v>88</v>
      </c>
      <c r="U185" s="169">
        <f t="shared" ref="U185:W185" si="505">T185</f>
        <v>88</v>
      </c>
      <c r="V185" s="169">
        <f t="shared" si="505"/>
        <v>88</v>
      </c>
      <c r="W185" s="169">
        <f t="shared" si="505"/>
        <v>88</v>
      </c>
      <c r="X185" s="169">
        <f t="shared" ref="X185" si="506">W185</f>
        <v>88</v>
      </c>
      <c r="Y185" s="169">
        <f t="shared" ref="Y185" si="507">X185</f>
        <v>88</v>
      </c>
      <c r="Z185" s="169">
        <f t="shared" ref="Z185" si="508">Y185</f>
        <v>88</v>
      </c>
      <c r="AA185" s="169">
        <f t="shared" ref="AA185" si="509">Z185</f>
        <v>88</v>
      </c>
      <c r="AB185" s="169"/>
      <c r="AC185" s="159" t="s">
        <v>727</v>
      </c>
      <c r="AD185" s="159"/>
      <c r="AE185" s="159"/>
      <c r="AF185" s="159"/>
      <c r="AG185" s="159"/>
      <c r="AH185" s="159"/>
      <c r="AI185" s="159"/>
    </row>
    <row r="186" spans="1:79" s="163" customFormat="1" ht="13">
      <c r="A186" s="226"/>
      <c r="B186" s="169"/>
      <c r="C186" s="169"/>
      <c r="D186" s="169"/>
      <c r="E186" s="169"/>
      <c r="F186" s="169"/>
      <c r="G186" s="169"/>
      <c r="H186" s="159"/>
      <c r="I186" s="159"/>
      <c r="J186" s="159"/>
      <c r="K186" s="159"/>
      <c r="L186" s="159"/>
      <c r="M186" s="159"/>
      <c r="N186" s="159"/>
      <c r="O186" s="159"/>
      <c r="P186" s="159"/>
      <c r="Q186" s="159"/>
      <c r="R186" s="159"/>
      <c r="S186" s="159"/>
      <c r="T186" s="159"/>
      <c r="U186" s="159"/>
      <c r="V186" s="159"/>
      <c r="W186" s="159"/>
      <c r="X186" s="159"/>
      <c r="Y186" s="159"/>
      <c r="Z186" s="159"/>
      <c r="AA186" s="159"/>
      <c r="AB186" s="159"/>
      <c r="AC186" s="159"/>
      <c r="AD186" s="159"/>
      <c r="AE186" s="159"/>
      <c r="AF186" s="159"/>
      <c r="AG186" s="159"/>
      <c r="AH186" s="165"/>
      <c r="AI186" s="165"/>
    </row>
    <row r="187" spans="1:79" s="163" customFormat="1" ht="13">
      <c r="A187" s="443" t="s">
        <v>523</v>
      </c>
      <c r="B187" s="444">
        <f>B$2</f>
        <v>2007</v>
      </c>
      <c r="C187" s="444">
        <f t="shared" ref="C187:Q187" si="510">B187+1</f>
        <v>2008</v>
      </c>
      <c r="D187" s="444">
        <f t="shared" si="510"/>
        <v>2009</v>
      </c>
      <c r="E187" s="444">
        <f t="shared" si="510"/>
        <v>2010</v>
      </c>
      <c r="F187" s="444">
        <f t="shared" si="510"/>
        <v>2011</v>
      </c>
      <c r="G187" s="444">
        <f t="shared" si="510"/>
        <v>2012</v>
      </c>
      <c r="H187" s="444">
        <f t="shared" si="510"/>
        <v>2013</v>
      </c>
      <c r="I187" s="444">
        <f t="shared" si="510"/>
        <v>2014</v>
      </c>
      <c r="J187" s="444">
        <f t="shared" si="510"/>
        <v>2015</v>
      </c>
      <c r="K187" s="444">
        <f t="shared" si="510"/>
        <v>2016</v>
      </c>
      <c r="L187" s="444">
        <f t="shared" si="510"/>
        <v>2017</v>
      </c>
      <c r="M187" s="444">
        <f t="shared" si="510"/>
        <v>2018</v>
      </c>
      <c r="N187" s="444">
        <f t="shared" si="510"/>
        <v>2019</v>
      </c>
      <c r="O187" s="444">
        <f t="shared" si="510"/>
        <v>2020</v>
      </c>
      <c r="P187" s="444">
        <f t="shared" si="510"/>
        <v>2021</v>
      </c>
      <c r="Q187" s="444">
        <f t="shared" si="510"/>
        <v>2022</v>
      </c>
      <c r="R187" s="444">
        <f t="shared" ref="R187:W187" si="511">Q187+1</f>
        <v>2023</v>
      </c>
      <c r="S187" s="444">
        <f t="shared" si="511"/>
        <v>2024</v>
      </c>
      <c r="T187" s="444">
        <f t="shared" si="511"/>
        <v>2025</v>
      </c>
      <c r="U187" s="444">
        <f t="shared" si="511"/>
        <v>2026</v>
      </c>
      <c r="V187" s="444">
        <f t="shared" si="511"/>
        <v>2027</v>
      </c>
      <c r="W187" s="444">
        <f t="shared" si="511"/>
        <v>2028</v>
      </c>
      <c r="X187" s="444">
        <f t="shared" ref="X187" si="512">W187+1</f>
        <v>2029</v>
      </c>
      <c r="Y187" s="444">
        <f t="shared" ref="Y187" si="513">X187+1</f>
        <v>2030</v>
      </c>
      <c r="Z187" s="444">
        <f t="shared" ref="Z187" si="514">Y187+1</f>
        <v>2031</v>
      </c>
      <c r="AA187" s="444">
        <f t="shared" ref="AA187" si="515">Z187+1</f>
        <v>2032</v>
      </c>
      <c r="AB187" s="221"/>
      <c r="AC187" s="165"/>
      <c r="AD187" s="165"/>
      <c r="AE187" s="165"/>
      <c r="AF187" s="165"/>
      <c r="AG187" s="165"/>
      <c r="AH187" s="159"/>
      <c r="AI187" s="159"/>
    </row>
    <row r="188" spans="1:79" s="163" customFormat="1" ht="13">
      <c r="A188" s="226" t="s">
        <v>184</v>
      </c>
      <c r="B188" s="244"/>
      <c r="C188" s="244"/>
      <c r="D188" s="244"/>
      <c r="E188" s="244">
        <v>693</v>
      </c>
      <c r="F188" s="245"/>
      <c r="G188" s="245"/>
      <c r="H188" s="245"/>
      <c r="I188" s="245"/>
      <c r="J188" s="245"/>
      <c r="K188" s="245"/>
      <c r="L188" s="245"/>
      <c r="M188" s="245"/>
      <c r="N188" s="245"/>
      <c r="O188" s="245"/>
      <c r="P188" s="245">
        <f t="shared" ref="P188:W188" si="516">O188</f>
        <v>0</v>
      </c>
      <c r="Q188" s="245">
        <f t="shared" si="516"/>
        <v>0</v>
      </c>
      <c r="R188" s="245">
        <f t="shared" si="516"/>
        <v>0</v>
      </c>
      <c r="S188" s="245">
        <f t="shared" si="516"/>
        <v>0</v>
      </c>
      <c r="T188" s="245">
        <f t="shared" si="516"/>
        <v>0</v>
      </c>
      <c r="U188" s="246">
        <f t="shared" si="516"/>
        <v>0</v>
      </c>
      <c r="V188" s="246">
        <f t="shared" si="516"/>
        <v>0</v>
      </c>
      <c r="W188" s="246">
        <f t="shared" si="516"/>
        <v>0</v>
      </c>
      <c r="X188" s="246">
        <f t="shared" ref="X188" si="517">W188</f>
        <v>0</v>
      </c>
      <c r="Y188" s="246">
        <f t="shared" ref="Y188" si="518">X188</f>
        <v>0</v>
      </c>
      <c r="Z188" s="246">
        <f t="shared" ref="Z188" si="519">Y188</f>
        <v>0</v>
      </c>
      <c r="AA188" s="246">
        <f t="shared" ref="AA188" si="520">Z188</f>
        <v>0</v>
      </c>
      <c r="AB188" s="246"/>
      <c r="AC188" s="159"/>
      <c r="AD188" s="159"/>
      <c r="AE188" s="159"/>
      <c r="AF188" s="159"/>
      <c r="AG188" s="159"/>
      <c r="AH188" s="159"/>
      <c r="AI188" s="159"/>
    </row>
    <row r="189" spans="1:79" s="163" customFormat="1" ht="13">
      <c r="A189" s="226"/>
      <c r="B189" s="169"/>
      <c r="C189" s="169"/>
      <c r="D189" s="169"/>
      <c r="E189" s="169"/>
      <c r="F189" s="169"/>
      <c r="G189" s="169"/>
      <c r="H189" s="169"/>
      <c r="I189" s="169"/>
      <c r="J189" s="169"/>
      <c r="K189" s="169"/>
      <c r="L189" s="169"/>
      <c r="M189" s="169"/>
      <c r="N189" s="169"/>
      <c r="O189" s="169"/>
      <c r="P189" s="169"/>
      <c r="Q189" s="169"/>
      <c r="R189" s="169"/>
      <c r="S189" s="169"/>
      <c r="T189" s="169"/>
      <c r="U189" s="169"/>
      <c r="V189" s="169"/>
      <c r="W189" s="169"/>
      <c r="X189" s="169"/>
      <c r="Y189" s="169"/>
      <c r="Z189" s="169"/>
      <c r="AA189" s="169"/>
      <c r="AB189" s="169"/>
      <c r="AC189" s="159"/>
      <c r="AD189" s="159"/>
      <c r="AE189" s="159"/>
      <c r="AF189" s="159"/>
      <c r="AG189" s="159"/>
      <c r="AH189" s="165"/>
      <c r="AI189" s="165"/>
    </row>
    <row r="190" spans="1:79" s="163" customFormat="1" ht="13">
      <c r="A190" s="443" t="s">
        <v>185</v>
      </c>
      <c r="B190" s="444">
        <f>B$2</f>
        <v>2007</v>
      </c>
      <c r="C190" s="444">
        <f t="shared" ref="C190:Q190" si="521">B190+1</f>
        <v>2008</v>
      </c>
      <c r="D190" s="444">
        <f t="shared" si="521"/>
        <v>2009</v>
      </c>
      <c r="E190" s="444">
        <f t="shared" si="521"/>
        <v>2010</v>
      </c>
      <c r="F190" s="444">
        <f t="shared" si="521"/>
        <v>2011</v>
      </c>
      <c r="G190" s="444">
        <f t="shared" si="521"/>
        <v>2012</v>
      </c>
      <c r="H190" s="444">
        <f t="shared" si="521"/>
        <v>2013</v>
      </c>
      <c r="I190" s="444">
        <f t="shared" si="521"/>
        <v>2014</v>
      </c>
      <c r="J190" s="444">
        <f t="shared" si="521"/>
        <v>2015</v>
      </c>
      <c r="K190" s="444">
        <f t="shared" si="521"/>
        <v>2016</v>
      </c>
      <c r="L190" s="444">
        <f t="shared" si="521"/>
        <v>2017</v>
      </c>
      <c r="M190" s="444">
        <f t="shared" si="521"/>
        <v>2018</v>
      </c>
      <c r="N190" s="444">
        <f t="shared" si="521"/>
        <v>2019</v>
      </c>
      <c r="O190" s="444">
        <f t="shared" si="521"/>
        <v>2020</v>
      </c>
      <c r="P190" s="444">
        <f t="shared" si="521"/>
        <v>2021</v>
      </c>
      <c r="Q190" s="444">
        <f t="shared" si="521"/>
        <v>2022</v>
      </c>
      <c r="R190" s="444">
        <f t="shared" ref="R190:W190" si="522">Q190+1</f>
        <v>2023</v>
      </c>
      <c r="S190" s="444">
        <f t="shared" si="522"/>
        <v>2024</v>
      </c>
      <c r="T190" s="444">
        <f t="shared" si="522"/>
        <v>2025</v>
      </c>
      <c r="U190" s="444">
        <f t="shared" si="522"/>
        <v>2026</v>
      </c>
      <c r="V190" s="444">
        <f t="shared" si="522"/>
        <v>2027</v>
      </c>
      <c r="W190" s="444">
        <f t="shared" si="522"/>
        <v>2028</v>
      </c>
      <c r="X190" s="444">
        <f t="shared" ref="X190" si="523">W190+1</f>
        <v>2029</v>
      </c>
      <c r="Y190" s="444">
        <f t="shared" ref="Y190" si="524">X190+1</f>
        <v>2030</v>
      </c>
      <c r="Z190" s="444">
        <f t="shared" ref="Z190" si="525">Y190+1</f>
        <v>2031</v>
      </c>
      <c r="AA190" s="444">
        <f t="shared" ref="AA190" si="526">Z190+1</f>
        <v>2032</v>
      </c>
      <c r="AB190" s="221"/>
      <c r="AC190" s="165"/>
      <c r="AD190" s="165"/>
      <c r="AE190" s="165"/>
      <c r="AF190" s="165"/>
      <c r="AG190" s="165"/>
      <c r="AH190" s="159"/>
      <c r="AI190" s="159"/>
    </row>
    <row r="191" spans="1:79" s="163" customFormat="1" ht="13">
      <c r="A191" s="226" t="s">
        <v>186</v>
      </c>
      <c r="B191" s="244"/>
      <c r="C191" s="244"/>
      <c r="D191" s="244"/>
      <c r="E191" s="244"/>
      <c r="F191" s="245"/>
      <c r="G191" s="245"/>
      <c r="H191" s="245"/>
      <c r="I191" s="245"/>
      <c r="J191" s="245"/>
      <c r="K191" s="245">
        <f t="shared" ref="K191:Q191" si="527">J191</f>
        <v>0</v>
      </c>
      <c r="L191" s="245">
        <f t="shared" si="527"/>
        <v>0</v>
      </c>
      <c r="M191" s="245">
        <f t="shared" si="527"/>
        <v>0</v>
      </c>
      <c r="N191" s="245">
        <f t="shared" si="527"/>
        <v>0</v>
      </c>
      <c r="O191" s="245">
        <f t="shared" si="527"/>
        <v>0</v>
      </c>
      <c r="P191" s="245">
        <f t="shared" si="527"/>
        <v>0</v>
      </c>
      <c r="Q191" s="245">
        <f t="shared" si="527"/>
        <v>0</v>
      </c>
      <c r="R191" s="245">
        <f t="shared" ref="R191:W191" si="528">Q191</f>
        <v>0</v>
      </c>
      <c r="S191" s="245">
        <f t="shared" si="528"/>
        <v>0</v>
      </c>
      <c r="T191" s="245">
        <f t="shared" si="528"/>
        <v>0</v>
      </c>
      <c r="U191" s="245">
        <f t="shared" si="528"/>
        <v>0</v>
      </c>
      <c r="V191" s="245">
        <f t="shared" si="528"/>
        <v>0</v>
      </c>
      <c r="W191" s="245">
        <f t="shared" si="528"/>
        <v>0</v>
      </c>
      <c r="X191" s="245">
        <f t="shared" ref="X191" si="529">W191</f>
        <v>0</v>
      </c>
      <c r="Y191" s="245">
        <f t="shared" ref="Y191" si="530">X191</f>
        <v>0</v>
      </c>
      <c r="Z191" s="245">
        <f t="shared" ref="Z191" si="531">Y191</f>
        <v>0</v>
      </c>
      <c r="AA191" s="245">
        <f t="shared" ref="AA191" si="532">Z191</f>
        <v>0</v>
      </c>
      <c r="AB191" s="246"/>
      <c r="AC191" s="159"/>
      <c r="AD191" s="159"/>
      <c r="AE191" s="159"/>
      <c r="AF191" s="159"/>
      <c r="AG191" s="159"/>
      <c r="AH191" s="159"/>
      <c r="AI191" s="159"/>
    </row>
    <row r="192" spans="1:79" s="163" customFormat="1" ht="13">
      <c r="A192" s="226" t="s">
        <v>187</v>
      </c>
      <c r="B192" s="170">
        <f>B191/'Income Statement'!B432</f>
        <v>0</v>
      </c>
      <c r="C192" s="170">
        <f>C191/'Income Statement'!G432</f>
        <v>0</v>
      </c>
      <c r="D192" s="170">
        <f>D191/'Income Statement'!L432</f>
        <v>0</v>
      </c>
      <c r="E192" s="170">
        <f>E191/'Income Statement'!Q432</f>
        <v>0</v>
      </c>
      <c r="F192" s="170">
        <f>F191/'Income Statement'!V432</f>
        <v>0</v>
      </c>
      <c r="G192" s="170">
        <f>G191/'Income Statement'!AA432</f>
        <v>0</v>
      </c>
      <c r="H192" s="170">
        <f>H191/'Income Statement'!AF432</f>
        <v>0</v>
      </c>
      <c r="I192" s="170">
        <f>I191/'Income Statement'!AK432</f>
        <v>0</v>
      </c>
      <c r="J192" s="170">
        <f>J191/'Income Statement'!AP432</f>
        <v>0</v>
      </c>
      <c r="K192" s="170">
        <f>K191/'Income Statement'!AU432</f>
        <v>0</v>
      </c>
      <c r="L192" s="170">
        <f>L191/'Income Statement'!AZ432</f>
        <v>0</v>
      </c>
      <c r="M192" s="170">
        <f>M191/'Income Statement'!BE432</f>
        <v>0</v>
      </c>
      <c r="N192" s="170">
        <f>N191/'Income Statement'!BJ432</f>
        <v>0</v>
      </c>
      <c r="O192" s="170">
        <f>O191/'Income Statement'!BO432</f>
        <v>0</v>
      </c>
      <c r="P192" s="170">
        <f>P191/'Income Statement'!BT432</f>
        <v>0</v>
      </c>
      <c r="Q192" s="170">
        <f>Q191/'Income Statement'!BY432</f>
        <v>0</v>
      </c>
      <c r="R192" s="170">
        <f>R191/'Income Statement'!CD432</f>
        <v>0</v>
      </c>
      <c r="S192" s="170">
        <f>S191/'Income Statement'!CI432</f>
        <v>0</v>
      </c>
      <c r="T192" s="170">
        <f>T191/'Income Statement'!CJ432</f>
        <v>0</v>
      </c>
      <c r="U192" s="170">
        <f>U191/'Income Statement'!CQ432</f>
        <v>0</v>
      </c>
      <c r="V192" s="170">
        <f>V191/'Income Statement'!CR432</f>
        <v>0</v>
      </c>
      <c r="W192" s="170">
        <f>W191/'Income Statement'!CS432</f>
        <v>0</v>
      </c>
      <c r="X192" s="170">
        <f>X191/'Income Statement'!CT432</f>
        <v>0</v>
      </c>
      <c r="Y192" s="170">
        <f>Y191/'Income Statement'!CU432</f>
        <v>0</v>
      </c>
      <c r="Z192" s="170">
        <f>Z191/'Income Statement'!CV432</f>
        <v>0</v>
      </c>
      <c r="AA192" s="170">
        <f>AA191/'Income Statement'!CW432</f>
        <v>0</v>
      </c>
      <c r="AB192" s="170"/>
      <c r="AC192" s="159"/>
      <c r="AD192" s="159"/>
      <c r="AE192" s="159"/>
      <c r="AF192" s="159"/>
      <c r="AG192" s="159"/>
      <c r="AH192" s="165"/>
      <c r="AI192" s="165"/>
    </row>
    <row r="193" spans="1:35" s="163" customFormat="1" ht="13">
      <c r="A193" s="443" t="s">
        <v>89</v>
      </c>
      <c r="B193" s="444">
        <f>B$2</f>
        <v>2007</v>
      </c>
      <c r="C193" s="444">
        <f t="shared" ref="C193:Q193" si="533">B193+1</f>
        <v>2008</v>
      </c>
      <c r="D193" s="444">
        <f t="shared" si="533"/>
        <v>2009</v>
      </c>
      <c r="E193" s="444">
        <f t="shared" si="533"/>
        <v>2010</v>
      </c>
      <c r="F193" s="444">
        <f t="shared" si="533"/>
        <v>2011</v>
      </c>
      <c r="G193" s="444">
        <f t="shared" si="533"/>
        <v>2012</v>
      </c>
      <c r="H193" s="444">
        <f t="shared" si="533"/>
        <v>2013</v>
      </c>
      <c r="I193" s="444">
        <f t="shared" si="533"/>
        <v>2014</v>
      </c>
      <c r="J193" s="444">
        <f t="shared" si="533"/>
        <v>2015</v>
      </c>
      <c r="K193" s="444">
        <f t="shared" si="533"/>
        <v>2016</v>
      </c>
      <c r="L193" s="444">
        <f t="shared" si="533"/>
        <v>2017</v>
      </c>
      <c r="M193" s="444">
        <f t="shared" si="533"/>
        <v>2018</v>
      </c>
      <c r="N193" s="444">
        <f t="shared" si="533"/>
        <v>2019</v>
      </c>
      <c r="O193" s="444">
        <f t="shared" si="533"/>
        <v>2020</v>
      </c>
      <c r="P193" s="444">
        <f t="shared" si="533"/>
        <v>2021</v>
      </c>
      <c r="Q193" s="444">
        <f t="shared" si="533"/>
        <v>2022</v>
      </c>
      <c r="R193" s="444">
        <f t="shared" ref="R193:W193" si="534">Q193+1</f>
        <v>2023</v>
      </c>
      <c r="S193" s="444">
        <f t="shared" si="534"/>
        <v>2024</v>
      </c>
      <c r="T193" s="444">
        <f t="shared" si="534"/>
        <v>2025</v>
      </c>
      <c r="U193" s="444">
        <f t="shared" si="534"/>
        <v>2026</v>
      </c>
      <c r="V193" s="444">
        <f t="shared" si="534"/>
        <v>2027</v>
      </c>
      <c r="W193" s="444">
        <f t="shared" si="534"/>
        <v>2028</v>
      </c>
      <c r="X193" s="444">
        <f t="shared" ref="X193" si="535">W193+1</f>
        <v>2029</v>
      </c>
      <c r="Y193" s="444">
        <f t="shared" ref="Y193" si="536">X193+1</f>
        <v>2030</v>
      </c>
      <c r="Z193" s="444">
        <f t="shared" ref="Z193" si="537">Y193+1</f>
        <v>2031</v>
      </c>
      <c r="AA193" s="444">
        <f t="shared" ref="AA193" si="538">Z193+1</f>
        <v>2032</v>
      </c>
      <c r="AB193" s="221"/>
      <c r="AC193" s="165"/>
      <c r="AD193" s="165"/>
      <c r="AE193" s="165"/>
      <c r="AF193" s="165"/>
      <c r="AG193" s="165"/>
      <c r="AH193" s="159"/>
      <c r="AI193" s="159"/>
    </row>
    <row r="194" spans="1:35" s="163" customFormat="1" ht="13">
      <c r="A194" s="226" t="s">
        <v>89</v>
      </c>
      <c r="B194" s="244">
        <f t="shared" ref="B194:S194" si="539">-B57</f>
        <v>188</v>
      </c>
      <c r="C194" s="244">
        <f t="shared" si="539"/>
        <v>214</v>
      </c>
      <c r="D194" s="244">
        <f t="shared" si="539"/>
        <v>222</v>
      </c>
      <c r="E194" s="244">
        <f t="shared" si="539"/>
        <v>837</v>
      </c>
      <c r="F194" s="244">
        <f t="shared" si="539"/>
        <v>473</v>
      </c>
      <c r="G194" s="244">
        <f t="shared" si="539"/>
        <v>716</v>
      </c>
      <c r="H194" s="244">
        <f t="shared" si="539"/>
        <v>724</v>
      </c>
      <c r="I194" s="244">
        <f t="shared" si="539"/>
        <v>688.76864535768641</v>
      </c>
      <c r="J194" s="244">
        <f t="shared" si="539"/>
        <v>713</v>
      </c>
      <c r="K194" s="244">
        <f t="shared" si="539"/>
        <v>709</v>
      </c>
      <c r="L194" s="244">
        <f t="shared" si="539"/>
        <v>676</v>
      </c>
      <c r="M194" s="244">
        <f t="shared" si="539"/>
        <v>585</v>
      </c>
      <c r="N194" s="244">
        <f t="shared" si="539"/>
        <v>509</v>
      </c>
      <c r="O194" s="244">
        <f t="shared" si="539"/>
        <v>469</v>
      </c>
      <c r="P194" s="244">
        <f t="shared" si="539"/>
        <v>454</v>
      </c>
      <c r="Q194" s="244">
        <f t="shared" si="539"/>
        <v>651</v>
      </c>
      <c r="R194" s="244">
        <f t="shared" si="539"/>
        <v>452</v>
      </c>
      <c r="S194" s="244">
        <f t="shared" si="539"/>
        <v>481</v>
      </c>
      <c r="T194" s="244">
        <f t="shared" ref="T194" si="540">-T57</f>
        <v>506</v>
      </c>
      <c r="U194" s="249">
        <f t="shared" ref="U194:W194" si="541">U196*U200</f>
        <v>582.29786590864785</v>
      </c>
      <c r="V194" s="249">
        <f t="shared" si="541"/>
        <v>607.75945221772884</v>
      </c>
      <c r="W194" s="249">
        <f t="shared" si="541"/>
        <v>644.42530994507149</v>
      </c>
      <c r="X194" s="249">
        <f t="shared" ref="X194:AA194" si="542">X196*X200</f>
        <v>684.17911150345446</v>
      </c>
      <c r="Y194" s="249">
        <f t="shared" si="542"/>
        <v>727.43730885866671</v>
      </c>
      <c r="Z194" s="249">
        <f t="shared" si="542"/>
        <v>768.43018778106273</v>
      </c>
      <c r="AA194" s="249">
        <f t="shared" si="542"/>
        <v>816.86571219364487</v>
      </c>
      <c r="AB194" s="250"/>
      <c r="AC194" s="159"/>
      <c r="AD194" s="159"/>
      <c r="AE194" s="159"/>
      <c r="AF194" s="159"/>
      <c r="AG194" s="159"/>
      <c r="AH194" s="159"/>
      <c r="AI194" s="159"/>
    </row>
    <row r="195" spans="1:35" s="163" customFormat="1" ht="13">
      <c r="A195" s="226"/>
      <c r="AC195" s="159"/>
      <c r="AD195" s="159"/>
      <c r="AE195" s="159"/>
      <c r="AF195" s="159"/>
      <c r="AG195" s="159"/>
      <c r="AH195" s="159"/>
      <c r="AI195" s="159"/>
    </row>
    <row r="196" spans="1:35" s="163" customFormat="1" ht="13">
      <c r="A196" s="226" t="s">
        <v>188</v>
      </c>
      <c r="B196" s="169">
        <f t="shared" ref="B196:AA196" si="543">B79</f>
        <v>2687.4</v>
      </c>
      <c r="C196" s="169">
        <f t="shared" si="543"/>
        <v>3227.900000000001</v>
      </c>
      <c r="D196" s="169">
        <f t="shared" si="543"/>
        <v>3007</v>
      </c>
      <c r="E196" s="169">
        <f t="shared" si="543"/>
        <v>3132</v>
      </c>
      <c r="F196" s="169">
        <f t="shared" si="543"/>
        <v>3004</v>
      </c>
      <c r="G196" s="169">
        <f t="shared" si="543"/>
        <v>2709</v>
      </c>
      <c r="H196" s="169">
        <f t="shared" si="543"/>
        <v>2827</v>
      </c>
      <c r="I196" s="169">
        <f t="shared" si="543"/>
        <v>2296.3305194230634</v>
      </c>
      <c r="J196" s="169">
        <f t="shared" si="543"/>
        <v>2777.1792126289793</v>
      </c>
      <c r="K196" s="169">
        <f t="shared" si="543"/>
        <v>2440</v>
      </c>
      <c r="L196" s="169">
        <f t="shared" si="543"/>
        <v>2737</v>
      </c>
      <c r="M196" s="169">
        <f t="shared" si="543"/>
        <v>2350</v>
      </c>
      <c r="N196" s="169">
        <f t="shared" si="543"/>
        <v>2036</v>
      </c>
      <c r="O196" s="169">
        <f t="shared" si="543"/>
        <v>1879</v>
      </c>
      <c r="P196" s="169">
        <f t="shared" si="543"/>
        <v>1670</v>
      </c>
      <c r="Q196" s="169">
        <f t="shared" si="543"/>
        <v>1802</v>
      </c>
      <c r="R196" s="169">
        <f t="shared" si="543"/>
        <v>1444</v>
      </c>
      <c r="S196" s="169">
        <f t="shared" si="543"/>
        <v>1877</v>
      </c>
      <c r="T196" s="169">
        <f t="shared" ref="T196" si="544">T79</f>
        <v>500</v>
      </c>
      <c r="U196" s="169">
        <f t="shared" si="543"/>
        <v>2376.7259833006037</v>
      </c>
      <c r="V196" s="169">
        <f t="shared" si="543"/>
        <v>2532.3310509072035</v>
      </c>
      <c r="W196" s="169">
        <f t="shared" si="543"/>
        <v>2685.1054581044646</v>
      </c>
      <c r="X196" s="169">
        <f t="shared" si="543"/>
        <v>2850.7462979310603</v>
      </c>
      <c r="Y196" s="169">
        <f t="shared" si="543"/>
        <v>3030.9887869111112</v>
      </c>
      <c r="Z196" s="169">
        <f t="shared" si="543"/>
        <v>3201.7924490877613</v>
      </c>
      <c r="AA196" s="169">
        <f t="shared" si="543"/>
        <v>3403.6071341401871</v>
      </c>
      <c r="AB196" s="169"/>
      <c r="AC196" s="159"/>
      <c r="AD196" s="159"/>
      <c r="AE196" s="159"/>
      <c r="AF196" s="159"/>
      <c r="AG196" s="159"/>
      <c r="AH196" s="159"/>
      <c r="AI196" s="159"/>
    </row>
    <row r="197" spans="1:35" s="163" customFormat="1" ht="13">
      <c r="A197" s="226"/>
      <c r="AC197" s="159"/>
      <c r="AD197" s="159"/>
      <c r="AE197" s="159"/>
      <c r="AF197" s="159"/>
      <c r="AG197" s="159"/>
      <c r="AH197" s="159"/>
      <c r="AI197" s="159"/>
    </row>
    <row r="198" spans="1:35" s="163" customFormat="1" ht="13">
      <c r="A198" s="226" t="s">
        <v>189</v>
      </c>
      <c r="B198" s="246">
        <f t="shared" ref="B198:P198" si="545">B194</f>
        <v>188</v>
      </c>
      <c r="C198" s="246">
        <f t="shared" si="545"/>
        <v>214</v>
      </c>
      <c r="D198" s="246">
        <f t="shared" si="545"/>
        <v>222</v>
      </c>
      <c r="E198" s="246">
        <f t="shared" si="545"/>
        <v>837</v>
      </c>
      <c r="F198" s="246">
        <f t="shared" si="545"/>
        <v>473</v>
      </c>
      <c r="G198" s="246">
        <f t="shared" si="545"/>
        <v>716</v>
      </c>
      <c r="H198" s="246">
        <f t="shared" si="545"/>
        <v>724</v>
      </c>
      <c r="I198" s="246">
        <f t="shared" si="545"/>
        <v>688.76864535768641</v>
      </c>
      <c r="J198" s="246">
        <f t="shared" si="545"/>
        <v>713</v>
      </c>
      <c r="K198" s="246">
        <f t="shared" si="545"/>
        <v>709</v>
      </c>
      <c r="L198" s="246">
        <f t="shared" si="545"/>
        <v>676</v>
      </c>
      <c r="M198" s="246">
        <f t="shared" si="545"/>
        <v>585</v>
      </c>
      <c r="N198" s="246">
        <f t="shared" si="545"/>
        <v>509</v>
      </c>
      <c r="O198" s="246">
        <f t="shared" si="545"/>
        <v>469</v>
      </c>
      <c r="P198" s="246">
        <f t="shared" si="545"/>
        <v>454</v>
      </c>
      <c r="Q198" s="246">
        <f t="shared" ref="Q198:R198" si="546">Q194</f>
        <v>651</v>
      </c>
      <c r="R198" s="246">
        <f t="shared" si="546"/>
        <v>452</v>
      </c>
      <c r="S198" s="246">
        <f t="shared" ref="S198:W198" si="547">S194</f>
        <v>481</v>
      </c>
      <c r="T198" s="246">
        <f t="shared" ref="T198" si="548">T194</f>
        <v>506</v>
      </c>
      <c r="U198" s="246">
        <f t="shared" si="547"/>
        <v>582.29786590864785</v>
      </c>
      <c r="V198" s="246">
        <f t="shared" si="547"/>
        <v>607.75945221772884</v>
      </c>
      <c r="W198" s="246">
        <f t="shared" si="547"/>
        <v>644.42530994507149</v>
      </c>
      <c r="X198" s="246">
        <f t="shared" ref="X198:AA198" si="549">X194</f>
        <v>684.17911150345446</v>
      </c>
      <c r="Y198" s="246">
        <f t="shared" si="549"/>
        <v>727.43730885866671</v>
      </c>
      <c r="Z198" s="246">
        <f t="shared" si="549"/>
        <v>768.43018778106273</v>
      </c>
      <c r="AA198" s="246">
        <f t="shared" si="549"/>
        <v>816.86571219364487</v>
      </c>
      <c r="AB198" s="246"/>
      <c r="AC198" s="159"/>
      <c r="AD198" s="159"/>
      <c r="AE198" s="159"/>
      <c r="AF198" s="159"/>
      <c r="AG198" s="159"/>
      <c r="AH198" s="159"/>
      <c r="AI198" s="159"/>
    </row>
    <row r="199" spans="1:35" s="163" customFormat="1" ht="13">
      <c r="A199" s="226"/>
      <c r="AC199" s="159"/>
      <c r="AD199" s="159"/>
      <c r="AE199" s="159"/>
      <c r="AF199" s="159"/>
      <c r="AG199" s="159"/>
      <c r="AH199" s="159"/>
      <c r="AI199" s="159"/>
    </row>
    <row r="200" spans="1:35" s="163" customFormat="1" ht="13">
      <c r="A200" s="226" t="s">
        <v>190</v>
      </c>
      <c r="B200" s="170">
        <f t="shared" ref="B200:K200" si="550">B194/B196</f>
        <v>6.9956091389447042E-2</v>
      </c>
      <c r="C200" s="170">
        <f t="shared" si="550"/>
        <v>6.6296973264351411E-2</v>
      </c>
      <c r="D200" s="170">
        <f t="shared" si="550"/>
        <v>7.3827735284336546E-2</v>
      </c>
      <c r="E200" s="170">
        <f t="shared" si="550"/>
        <v>0.26724137931034481</v>
      </c>
      <c r="F200" s="170">
        <f t="shared" si="550"/>
        <v>0.15745672436750999</v>
      </c>
      <c r="G200" s="170">
        <f t="shared" si="550"/>
        <v>0.26430417128091549</v>
      </c>
      <c r="H200" s="170">
        <f t="shared" si="550"/>
        <v>0.2561018747789176</v>
      </c>
      <c r="I200" s="170">
        <f t="shared" si="550"/>
        <v>0.29994316564269441</v>
      </c>
      <c r="J200" s="170">
        <f t="shared" si="550"/>
        <v>0.2567353222138834</v>
      </c>
      <c r="K200" s="170">
        <f t="shared" si="550"/>
        <v>0.29057377049180327</v>
      </c>
      <c r="L200" s="170">
        <f t="shared" ref="L200:Q200" si="551">L194/L196</f>
        <v>0.24698575082206795</v>
      </c>
      <c r="M200" s="170">
        <f t="shared" si="551"/>
        <v>0.24893617021276596</v>
      </c>
      <c r="N200" s="170">
        <f t="shared" si="551"/>
        <v>0.25</v>
      </c>
      <c r="O200" s="170">
        <f t="shared" si="551"/>
        <v>0.24960085151676423</v>
      </c>
      <c r="P200" s="170">
        <f t="shared" si="551"/>
        <v>0.27185628742514972</v>
      </c>
      <c r="Q200" s="170">
        <f t="shared" si="551"/>
        <v>0.36126526082130966</v>
      </c>
      <c r="R200" s="170">
        <f t="shared" ref="R200" si="552">R194/R196</f>
        <v>0.31301939058171746</v>
      </c>
      <c r="S200" s="170">
        <f>S194/S196</f>
        <v>0.25625998934469901</v>
      </c>
      <c r="T200" s="170">
        <f>T194/T196</f>
        <v>1.012</v>
      </c>
      <c r="U200" s="318">
        <v>0.245</v>
      </c>
      <c r="V200" s="318">
        <v>0.24</v>
      </c>
      <c r="W200" s="318">
        <v>0.24</v>
      </c>
      <c r="X200" s="318">
        <v>0.24</v>
      </c>
      <c r="Y200" s="318">
        <v>0.24</v>
      </c>
      <c r="Z200" s="318">
        <v>0.24</v>
      </c>
      <c r="AA200" s="318">
        <v>0.24</v>
      </c>
      <c r="AB200" s="170"/>
      <c r="AC200" s="159"/>
      <c r="AD200" s="185">
        <v>0.25</v>
      </c>
      <c r="AE200" s="159"/>
      <c r="AF200" s="159"/>
      <c r="AG200" s="159"/>
      <c r="AH200" s="159"/>
      <c r="AI200" s="159"/>
    </row>
    <row r="201" spans="1:35" s="163" customFormat="1" ht="13">
      <c r="A201" s="226" t="s">
        <v>541</v>
      </c>
      <c r="B201" s="160">
        <v>0.25</v>
      </c>
      <c r="C201" s="160">
        <v>0.25</v>
      </c>
      <c r="D201" s="160">
        <v>0.25</v>
      </c>
      <c r="E201" s="160">
        <v>0.25</v>
      </c>
      <c r="F201" s="160">
        <v>0.25</v>
      </c>
      <c r="G201" s="160">
        <v>0.25</v>
      </c>
      <c r="H201" s="160">
        <v>0.25</v>
      </c>
      <c r="I201" s="160">
        <v>0.25</v>
      </c>
      <c r="J201" s="160">
        <v>0.25</v>
      </c>
      <c r="K201" s="160">
        <v>0.25</v>
      </c>
      <c r="L201" s="160">
        <v>1.25</v>
      </c>
      <c r="M201" s="160">
        <v>0.25</v>
      </c>
      <c r="N201" s="160">
        <v>0.25</v>
      </c>
      <c r="O201" s="160">
        <v>0.25</v>
      </c>
      <c r="P201" s="161">
        <v>0.25</v>
      </c>
      <c r="Q201" s="161">
        <v>0.25</v>
      </c>
      <c r="R201" s="161">
        <v>0.25</v>
      </c>
      <c r="S201" s="160">
        <v>0.25</v>
      </c>
      <c r="T201" s="160"/>
      <c r="U201" s="160">
        <v>0.25</v>
      </c>
      <c r="V201" s="160">
        <v>0.25</v>
      </c>
      <c r="W201" s="160">
        <v>0.25</v>
      </c>
      <c r="X201" s="160">
        <v>0.25</v>
      </c>
      <c r="Y201" s="160">
        <v>0.25</v>
      </c>
      <c r="Z201" s="160">
        <v>0.25</v>
      </c>
      <c r="AA201" s="160">
        <v>0.25</v>
      </c>
      <c r="AB201" s="185"/>
      <c r="AC201" s="159"/>
      <c r="AD201" s="159"/>
      <c r="AE201" s="159"/>
      <c r="AF201" s="159"/>
      <c r="AG201" s="159"/>
      <c r="AH201" s="159"/>
      <c r="AI201" s="159"/>
    </row>
    <row r="202" spans="1:35" s="163" customFormat="1" ht="13">
      <c r="A202" s="226"/>
      <c r="H202" s="159"/>
      <c r="I202" s="159"/>
      <c r="J202" s="159"/>
      <c r="K202" s="159"/>
      <c r="L202" s="159"/>
      <c r="M202" s="159"/>
      <c r="N202" s="159"/>
      <c r="O202" s="159"/>
      <c r="P202" s="159"/>
      <c r="Q202" s="159"/>
      <c r="R202" s="159"/>
      <c r="S202" s="159"/>
      <c r="T202" s="159"/>
      <c r="U202" s="159"/>
      <c r="V202" s="159"/>
      <c r="W202" s="159"/>
      <c r="X202" s="159"/>
      <c r="Y202" s="159"/>
      <c r="Z202" s="159"/>
      <c r="AA202" s="159"/>
      <c r="AB202" s="159"/>
      <c r="AC202" s="159"/>
      <c r="AD202" s="159"/>
      <c r="AE202" s="159"/>
      <c r="AF202" s="159"/>
      <c r="AG202" s="159"/>
      <c r="AH202" s="159"/>
      <c r="AI202" s="159"/>
    </row>
    <row r="203" spans="1:35" s="163" customFormat="1" ht="13">
      <c r="A203" s="226"/>
      <c r="H203" s="159"/>
      <c r="I203" s="159"/>
      <c r="J203" s="159"/>
      <c r="K203" s="159"/>
      <c r="L203" s="159"/>
      <c r="M203" s="159"/>
      <c r="N203" s="159"/>
      <c r="O203" s="159"/>
      <c r="P203" s="159"/>
      <c r="Q203" s="159"/>
      <c r="R203" s="159"/>
      <c r="S203" s="159"/>
      <c r="T203" s="159"/>
      <c r="U203" s="159"/>
      <c r="V203" s="159"/>
      <c r="W203" s="159"/>
      <c r="X203" s="159"/>
      <c r="Y203" s="159"/>
      <c r="Z203" s="159"/>
      <c r="AA203" s="159"/>
      <c r="AB203" s="159"/>
      <c r="AC203" s="159"/>
      <c r="AD203" s="159"/>
      <c r="AE203" s="159"/>
      <c r="AF203" s="159"/>
      <c r="AG203" s="159"/>
      <c r="AH203" s="165"/>
      <c r="AI203" s="165"/>
    </row>
    <row r="204" spans="1:35" s="163" customFormat="1" ht="13">
      <c r="A204" s="443" t="s">
        <v>191</v>
      </c>
      <c r="B204" s="444">
        <f>B$2</f>
        <v>2007</v>
      </c>
      <c r="C204" s="444">
        <f t="shared" ref="C204:Q204" si="553">B204+1</f>
        <v>2008</v>
      </c>
      <c r="D204" s="444">
        <f t="shared" si="553"/>
        <v>2009</v>
      </c>
      <c r="E204" s="444">
        <f t="shared" si="553"/>
        <v>2010</v>
      </c>
      <c r="F204" s="444">
        <f t="shared" si="553"/>
        <v>2011</v>
      </c>
      <c r="G204" s="444">
        <f t="shared" si="553"/>
        <v>2012</v>
      </c>
      <c r="H204" s="444">
        <f t="shared" si="553"/>
        <v>2013</v>
      </c>
      <c r="I204" s="444">
        <f t="shared" si="553"/>
        <v>2014</v>
      </c>
      <c r="J204" s="444">
        <f t="shared" si="553"/>
        <v>2015</v>
      </c>
      <c r="K204" s="444">
        <f t="shared" si="553"/>
        <v>2016</v>
      </c>
      <c r="L204" s="444">
        <f t="shared" si="553"/>
        <v>2017</v>
      </c>
      <c r="M204" s="444">
        <f t="shared" si="553"/>
        <v>2018</v>
      </c>
      <c r="N204" s="444">
        <f t="shared" si="553"/>
        <v>2019</v>
      </c>
      <c r="O204" s="444">
        <f t="shared" si="553"/>
        <v>2020</v>
      </c>
      <c r="P204" s="444">
        <f t="shared" si="553"/>
        <v>2021</v>
      </c>
      <c r="Q204" s="444">
        <f t="shared" si="553"/>
        <v>2022</v>
      </c>
      <c r="R204" s="444">
        <f t="shared" ref="R204:W204" si="554">Q204+1</f>
        <v>2023</v>
      </c>
      <c r="S204" s="444">
        <f t="shared" si="554"/>
        <v>2024</v>
      </c>
      <c r="T204" s="444">
        <f t="shared" si="554"/>
        <v>2025</v>
      </c>
      <c r="U204" s="444">
        <f t="shared" si="554"/>
        <v>2026</v>
      </c>
      <c r="V204" s="444">
        <f t="shared" si="554"/>
        <v>2027</v>
      </c>
      <c r="W204" s="444">
        <f t="shared" si="554"/>
        <v>2028</v>
      </c>
      <c r="X204" s="444">
        <f t="shared" ref="X204" si="555">W204+1</f>
        <v>2029</v>
      </c>
      <c r="Y204" s="444">
        <f t="shared" ref="Y204" si="556">X204+1</f>
        <v>2030</v>
      </c>
      <c r="Z204" s="444">
        <f t="shared" ref="Z204" si="557">Y204+1</f>
        <v>2031</v>
      </c>
      <c r="AA204" s="444">
        <f t="shared" ref="AA204" si="558">Z204+1</f>
        <v>2032</v>
      </c>
      <c r="AB204" s="221"/>
      <c r="AC204" s="165"/>
      <c r="AD204" s="165"/>
      <c r="AE204" s="165"/>
      <c r="AF204" s="165"/>
      <c r="AG204" s="165"/>
      <c r="AH204" s="159"/>
      <c r="AI204" s="159"/>
    </row>
    <row r="205" spans="1:35" s="163" customFormat="1" ht="13">
      <c r="A205" s="226" t="s">
        <v>520</v>
      </c>
      <c r="B205" s="471"/>
      <c r="C205" s="471">
        <v>0</v>
      </c>
      <c r="D205" s="471">
        <v>0</v>
      </c>
      <c r="E205" s="471">
        <v>0</v>
      </c>
      <c r="F205" s="471">
        <v>4</v>
      </c>
      <c r="G205" s="471">
        <v>4</v>
      </c>
      <c r="H205" s="471">
        <v>15</v>
      </c>
      <c r="I205" s="471">
        <v>22</v>
      </c>
      <c r="J205" s="471">
        <v>30</v>
      </c>
      <c r="K205" s="471">
        <v>0</v>
      </c>
      <c r="L205" s="471">
        <v>0</v>
      </c>
      <c r="M205" s="471">
        <v>0</v>
      </c>
      <c r="N205" s="471">
        <v>0</v>
      </c>
      <c r="O205" s="471">
        <v>0</v>
      </c>
      <c r="P205" s="471">
        <v>0</v>
      </c>
      <c r="Q205" s="471"/>
      <c r="R205" s="471">
        <f t="shared" ref="R205:W205" si="559">Q205</f>
        <v>0</v>
      </c>
      <c r="S205" s="169">
        <f t="shared" si="559"/>
        <v>0</v>
      </c>
      <c r="T205" s="169">
        <f t="shared" si="559"/>
        <v>0</v>
      </c>
      <c r="U205" s="169">
        <f t="shared" si="559"/>
        <v>0</v>
      </c>
      <c r="V205" s="169">
        <f t="shared" si="559"/>
        <v>0</v>
      </c>
      <c r="W205" s="169">
        <f t="shared" si="559"/>
        <v>0</v>
      </c>
      <c r="X205" s="169">
        <f t="shared" ref="X205" si="560">W205</f>
        <v>0</v>
      </c>
      <c r="Y205" s="169">
        <f t="shared" ref="Y205" si="561">X205</f>
        <v>0</v>
      </c>
      <c r="Z205" s="169">
        <f t="shared" ref="Z205" si="562">Y205</f>
        <v>0</v>
      </c>
      <c r="AA205" s="169">
        <f t="shared" ref="AA205" si="563">Z205</f>
        <v>0</v>
      </c>
      <c r="AB205" s="169"/>
      <c r="AC205" s="159"/>
      <c r="AD205" s="159"/>
      <c r="AE205" s="159"/>
      <c r="AF205" s="159"/>
      <c r="AG205" s="159"/>
      <c r="AH205" s="159"/>
      <c r="AI205" s="159"/>
    </row>
    <row r="206" spans="1:35" s="163" customFormat="1" ht="13">
      <c r="A206" s="226" t="s">
        <v>64</v>
      </c>
      <c r="B206" s="191"/>
      <c r="C206" s="191"/>
      <c r="D206" s="191"/>
      <c r="E206" s="191"/>
      <c r="F206" s="191"/>
      <c r="G206" s="191"/>
      <c r="H206" s="191"/>
      <c r="I206" s="191"/>
      <c r="J206" s="191"/>
      <c r="K206" s="191"/>
      <c r="L206" s="191"/>
      <c r="M206" s="191"/>
      <c r="N206" s="191"/>
      <c r="O206" s="191"/>
      <c r="P206" s="191"/>
      <c r="Q206" s="191"/>
      <c r="R206" s="191"/>
      <c r="S206" s="191"/>
      <c r="T206" s="191"/>
      <c r="U206" s="191"/>
      <c r="V206" s="191"/>
      <c r="W206" s="191"/>
      <c r="X206" s="191"/>
      <c r="Y206" s="191"/>
      <c r="Z206" s="191"/>
      <c r="AA206" s="191"/>
      <c r="AB206" s="191"/>
      <c r="AC206" s="159"/>
      <c r="AD206" s="159"/>
      <c r="AE206" s="159"/>
      <c r="AF206" s="159"/>
      <c r="AG206" s="159"/>
      <c r="AH206" s="159"/>
      <c r="AI206" s="159"/>
    </row>
    <row r="207" spans="1:35" s="163" customFormat="1" ht="13">
      <c r="A207" s="226" t="s">
        <v>521</v>
      </c>
      <c r="B207" s="169">
        <f>'Income Statement'!B483</f>
        <v>0</v>
      </c>
      <c r="C207" s="169">
        <f>'Income Statement'!C483</f>
        <v>0</v>
      </c>
      <c r="D207" s="169">
        <f>'Income Statement'!D483</f>
        <v>0</v>
      </c>
      <c r="E207" s="169">
        <f>'Income Statement'!E483</f>
        <v>0</v>
      </c>
      <c r="F207" s="169">
        <f>'Income Statement'!F483</f>
        <v>0</v>
      </c>
      <c r="G207" s="169">
        <f>'Income Statement'!G483</f>
        <v>0</v>
      </c>
      <c r="H207" s="169">
        <f>'Income Statement'!H483</f>
        <v>0</v>
      </c>
      <c r="I207" s="169">
        <f>'Income Statement'!I483</f>
        <v>0</v>
      </c>
      <c r="J207" s="169">
        <f>'Income Statement'!J483</f>
        <v>0</v>
      </c>
      <c r="K207" s="169">
        <f>'Income Statement'!K483</f>
        <v>0</v>
      </c>
      <c r="L207" s="169">
        <f>'Income Statement'!L483</f>
        <v>0</v>
      </c>
      <c r="M207" s="169">
        <f>'Income Statement'!M483</f>
        <v>0</v>
      </c>
      <c r="N207" s="169">
        <f>'Income Statement'!N483</f>
        <v>0</v>
      </c>
      <c r="O207" s="169">
        <f>'Income Statement'!O483</f>
        <v>0</v>
      </c>
      <c r="P207" s="169">
        <f>'Income Statement'!P483</f>
        <v>0</v>
      </c>
      <c r="Q207" s="169">
        <f>'Income Statement'!Q483</f>
        <v>0</v>
      </c>
      <c r="R207" s="169">
        <f>'Income Statement'!CI483</f>
        <v>0</v>
      </c>
      <c r="S207" s="169">
        <f>'Income Statement'!S483</f>
        <v>0</v>
      </c>
      <c r="T207" s="169">
        <f>'Income Statement'!T483</f>
        <v>0</v>
      </c>
      <c r="U207" s="169">
        <f>'Income Statement'!CQ483</f>
        <v>0</v>
      </c>
      <c r="V207" s="169">
        <f>'Income Statement'!CR483</f>
        <v>0</v>
      </c>
      <c r="W207" s="169">
        <f>'Income Statement'!CS483</f>
        <v>0</v>
      </c>
      <c r="X207" s="169">
        <f>'Income Statement'!CT483</f>
        <v>0</v>
      </c>
      <c r="Y207" s="169">
        <f>'Income Statement'!CU483</f>
        <v>0</v>
      </c>
      <c r="Z207" s="169">
        <f>'Income Statement'!CV483</f>
        <v>0</v>
      </c>
      <c r="AA207" s="169">
        <f>'Income Statement'!CW483</f>
        <v>0</v>
      </c>
      <c r="AB207" s="169"/>
      <c r="AC207" s="159"/>
      <c r="AD207" s="159"/>
      <c r="AE207" s="159"/>
      <c r="AF207" s="159"/>
      <c r="AG207" s="159"/>
      <c r="AH207" s="159"/>
      <c r="AI207" s="159"/>
    </row>
    <row r="208" spans="1:35" s="163" customFormat="1" ht="13">
      <c r="A208" s="226"/>
      <c r="B208" s="169"/>
      <c r="C208" s="169"/>
      <c r="D208" s="169"/>
      <c r="E208" s="169"/>
      <c r="F208" s="169"/>
      <c r="G208" s="169"/>
      <c r="H208" s="169"/>
      <c r="I208" s="169"/>
      <c r="J208" s="169"/>
      <c r="K208" s="169"/>
      <c r="L208" s="169"/>
      <c r="M208" s="169"/>
      <c r="N208" s="169"/>
      <c r="O208" s="169"/>
      <c r="P208" s="169"/>
      <c r="Q208" s="169"/>
      <c r="R208" s="169"/>
      <c r="S208" s="169"/>
      <c r="T208" s="169"/>
      <c r="U208" s="169"/>
      <c r="V208" s="169"/>
      <c r="W208" s="169"/>
      <c r="X208" s="169"/>
      <c r="Y208" s="169"/>
      <c r="Z208" s="169"/>
      <c r="AA208" s="169"/>
      <c r="AB208" s="169"/>
      <c r="AC208" s="159"/>
      <c r="AD208" s="159"/>
      <c r="AE208" s="159"/>
      <c r="AF208" s="159"/>
      <c r="AG208" s="159"/>
      <c r="AH208" s="159"/>
      <c r="AI208" s="159"/>
    </row>
    <row r="209" spans="1:35" s="163" customFormat="1" ht="13">
      <c r="A209" s="226"/>
      <c r="AC209" s="159"/>
      <c r="AD209" s="159"/>
      <c r="AE209" s="159"/>
      <c r="AF209" s="159"/>
      <c r="AG209" s="159"/>
      <c r="AH209" s="165"/>
      <c r="AI209" s="165"/>
    </row>
    <row r="210" spans="1:35" s="163" customFormat="1" ht="13">
      <c r="A210" s="443" t="s">
        <v>192</v>
      </c>
      <c r="B210" s="444">
        <f>B$2</f>
        <v>2007</v>
      </c>
      <c r="C210" s="444">
        <f t="shared" ref="C210:Q210" si="564">B210+1</f>
        <v>2008</v>
      </c>
      <c r="D210" s="444">
        <f t="shared" si="564"/>
        <v>2009</v>
      </c>
      <c r="E210" s="444">
        <f t="shared" si="564"/>
        <v>2010</v>
      </c>
      <c r="F210" s="444">
        <f t="shared" si="564"/>
        <v>2011</v>
      </c>
      <c r="G210" s="444">
        <f t="shared" si="564"/>
        <v>2012</v>
      </c>
      <c r="H210" s="444">
        <f t="shared" si="564"/>
        <v>2013</v>
      </c>
      <c r="I210" s="444">
        <f t="shared" si="564"/>
        <v>2014</v>
      </c>
      <c r="J210" s="444">
        <f t="shared" si="564"/>
        <v>2015</v>
      </c>
      <c r="K210" s="444">
        <f t="shared" si="564"/>
        <v>2016</v>
      </c>
      <c r="L210" s="444">
        <f t="shared" si="564"/>
        <v>2017</v>
      </c>
      <c r="M210" s="444">
        <f t="shared" si="564"/>
        <v>2018</v>
      </c>
      <c r="N210" s="444">
        <f t="shared" si="564"/>
        <v>2019</v>
      </c>
      <c r="O210" s="444">
        <f t="shared" si="564"/>
        <v>2020</v>
      </c>
      <c r="P210" s="444">
        <f t="shared" si="564"/>
        <v>2021</v>
      </c>
      <c r="Q210" s="444">
        <f t="shared" si="564"/>
        <v>2022</v>
      </c>
      <c r="R210" s="444">
        <f t="shared" ref="R210:W210" si="565">Q210+1</f>
        <v>2023</v>
      </c>
      <c r="S210" s="444">
        <f t="shared" si="565"/>
        <v>2024</v>
      </c>
      <c r="T210" s="444">
        <f t="shared" si="565"/>
        <v>2025</v>
      </c>
      <c r="U210" s="444">
        <f t="shared" si="565"/>
        <v>2026</v>
      </c>
      <c r="V210" s="444">
        <f t="shared" si="565"/>
        <v>2027</v>
      </c>
      <c r="W210" s="444">
        <f t="shared" si="565"/>
        <v>2028</v>
      </c>
      <c r="X210" s="444">
        <f t="shared" ref="X210" si="566">W210+1</f>
        <v>2029</v>
      </c>
      <c r="Y210" s="444">
        <f t="shared" ref="Y210" si="567">X210+1</f>
        <v>2030</v>
      </c>
      <c r="Z210" s="444">
        <f t="shared" ref="Z210" si="568">Y210+1</f>
        <v>2031</v>
      </c>
      <c r="AA210" s="444">
        <f t="shared" ref="AA210" si="569">Z210+1</f>
        <v>2032</v>
      </c>
      <c r="AB210" s="221"/>
      <c r="AC210" s="165"/>
      <c r="AD210" s="165"/>
      <c r="AE210" s="165"/>
      <c r="AF210" s="165"/>
      <c r="AG210" s="165"/>
      <c r="AH210" s="165"/>
      <c r="AI210" s="165"/>
    </row>
    <row r="211" spans="1:35" s="163" customFormat="1" ht="13">
      <c r="A211" s="235"/>
      <c r="B211" s="221"/>
      <c r="C211" s="221"/>
      <c r="D211" s="221"/>
      <c r="E211" s="221"/>
      <c r="F211" s="221"/>
      <c r="G211" s="221"/>
      <c r="H211" s="221"/>
      <c r="I211" s="221"/>
      <c r="J211" s="221"/>
      <c r="K211" s="221"/>
      <c r="L211" s="221"/>
      <c r="M211" s="221"/>
      <c r="N211" s="221"/>
      <c r="O211" s="221"/>
      <c r="P211" s="221"/>
      <c r="Q211" s="221"/>
      <c r="R211" s="221"/>
      <c r="S211" s="221"/>
      <c r="T211" s="221"/>
      <c r="U211" s="221"/>
      <c r="V211" s="221"/>
      <c r="W211" s="221"/>
      <c r="X211" s="221"/>
      <c r="Y211" s="221"/>
      <c r="Z211" s="221"/>
      <c r="AA211" s="221"/>
      <c r="AB211" s="221"/>
      <c r="AC211" s="165"/>
      <c r="AD211" s="165"/>
      <c r="AE211" s="165"/>
      <c r="AF211" s="165"/>
      <c r="AG211" s="165"/>
      <c r="AH211" s="165"/>
      <c r="AI211" s="165"/>
    </row>
    <row r="212" spans="1:35" s="163" customFormat="1" ht="13">
      <c r="A212" s="235" t="s">
        <v>193</v>
      </c>
      <c r="B212" s="478"/>
      <c r="C212" s="478"/>
      <c r="D212" s="479">
        <v>7500</v>
      </c>
      <c r="E212" s="479">
        <v>7500</v>
      </c>
      <c r="F212" s="479">
        <v>7500</v>
      </c>
      <c r="G212" s="479">
        <v>7500</v>
      </c>
      <c r="H212" s="479">
        <v>7500</v>
      </c>
      <c r="I212" s="479">
        <v>7500</v>
      </c>
      <c r="J212" s="479">
        <v>7500</v>
      </c>
      <c r="K212" s="480">
        <f>J212</f>
        <v>7500</v>
      </c>
      <c r="L212" s="480">
        <v>7800</v>
      </c>
      <c r="M212" s="480">
        <v>7810</v>
      </c>
      <c r="N212" s="481">
        <v>2532</v>
      </c>
      <c r="O212" s="481">
        <v>2547</v>
      </c>
      <c r="P212" s="481">
        <v>2564</v>
      </c>
      <c r="Q212" s="481">
        <v>2585</v>
      </c>
      <c r="R212" s="481">
        <v>2593</v>
      </c>
      <c r="S212" s="481">
        <v>2597</v>
      </c>
      <c r="T212" s="481">
        <v>2603</v>
      </c>
      <c r="U212" s="208">
        <f t="shared" ref="U212:W212" si="570">T212</f>
        <v>2603</v>
      </c>
      <c r="V212" s="208">
        <f t="shared" si="570"/>
        <v>2603</v>
      </c>
      <c r="W212" s="208">
        <f t="shared" si="570"/>
        <v>2603</v>
      </c>
      <c r="X212" s="208">
        <f t="shared" ref="X212" si="571">W212</f>
        <v>2603</v>
      </c>
      <c r="Y212" s="208">
        <f t="shared" ref="Y212" si="572">X212</f>
        <v>2603</v>
      </c>
      <c r="Z212" s="208">
        <f t="shared" ref="Z212" si="573">Y212</f>
        <v>2603</v>
      </c>
      <c r="AA212" s="208">
        <f t="shared" ref="AA212" si="574">Z212</f>
        <v>2603</v>
      </c>
      <c r="AB212" s="209"/>
      <c r="AC212" s="165"/>
      <c r="AD212" s="165"/>
      <c r="AE212" s="165"/>
      <c r="AF212" s="165"/>
      <c r="AG212" s="165"/>
      <c r="AH212" s="165"/>
      <c r="AI212" s="165"/>
    </row>
    <row r="213" spans="1:35" s="163" customFormat="1" ht="13">
      <c r="A213" s="235"/>
      <c r="B213" s="221"/>
      <c r="C213" s="221"/>
      <c r="D213" s="221"/>
      <c r="E213" s="221"/>
      <c r="F213" s="221"/>
      <c r="G213" s="221"/>
      <c r="H213" s="221"/>
      <c r="I213" s="221"/>
      <c r="J213" s="221"/>
      <c r="K213" s="221"/>
      <c r="L213" s="221"/>
      <c r="M213" s="221"/>
      <c r="N213" s="221"/>
      <c r="O213" s="221"/>
      <c r="P213" s="221"/>
      <c r="Q213" s="221"/>
      <c r="R213" s="221"/>
      <c r="S213" s="221"/>
      <c r="T213" s="221"/>
      <c r="U213" s="221"/>
      <c r="V213" s="221"/>
      <c r="W213" s="221"/>
      <c r="X213" s="221"/>
      <c r="Y213" s="221"/>
      <c r="Z213" s="221"/>
      <c r="AA213" s="221"/>
      <c r="AB213" s="221"/>
      <c r="AC213" s="165"/>
      <c r="AD213" s="165"/>
      <c r="AE213" s="165"/>
      <c r="AF213" s="165"/>
      <c r="AG213" s="165"/>
      <c r="AH213" s="159"/>
      <c r="AI213" s="159"/>
    </row>
    <row r="214" spans="1:35" s="163" customFormat="1" ht="13">
      <c r="A214" s="226" t="s">
        <v>192</v>
      </c>
      <c r="B214" s="244"/>
      <c r="C214" s="246">
        <v>7500</v>
      </c>
      <c r="D214" s="246">
        <v>7500</v>
      </c>
      <c r="E214" s="246">
        <v>7500</v>
      </c>
      <c r="F214" s="246">
        <v>7500</v>
      </c>
      <c r="G214" s="246">
        <v>7500</v>
      </c>
      <c r="H214" s="246">
        <v>7500</v>
      </c>
      <c r="I214" s="246">
        <v>7500</v>
      </c>
      <c r="J214" s="246">
        <v>7500</v>
      </c>
      <c r="K214" s="246">
        <v>7500</v>
      </c>
      <c r="L214" s="246">
        <v>7800</v>
      </c>
      <c r="M214" s="246">
        <v>7810</v>
      </c>
      <c r="N214" s="246">
        <v>7820</v>
      </c>
      <c r="O214" s="246">
        <f>'Income Statement'!BO504</f>
        <v>7825</v>
      </c>
      <c r="P214" s="246">
        <f>'Income Statement'!BT504</f>
        <v>7825</v>
      </c>
      <c r="Q214" s="246">
        <f>'Income Statement'!BY504</f>
        <v>7828</v>
      </c>
      <c r="R214" s="246">
        <f>'Income Statement'!CD504</f>
        <v>7832</v>
      </c>
      <c r="S214" s="246">
        <f>'Income Statement'!CI504</f>
        <v>7832</v>
      </c>
      <c r="T214" s="246">
        <f>'Income Statement'!CJ504</f>
        <v>7833</v>
      </c>
      <c r="U214" s="246">
        <f>'Income Statement'!CQ504</f>
        <v>7835</v>
      </c>
      <c r="V214" s="246">
        <f>'Income Statement'!CR504</f>
        <v>7835</v>
      </c>
      <c r="W214" s="246">
        <f>'Income Statement'!CS504</f>
        <v>7835</v>
      </c>
      <c r="X214" s="246">
        <f>'Income Statement'!CT504</f>
        <v>7835</v>
      </c>
      <c r="Y214" s="246">
        <f>'Income Statement'!CU504</f>
        <v>7835</v>
      </c>
      <c r="Z214" s="246">
        <f>'Income Statement'!CV504</f>
        <v>7835</v>
      </c>
      <c r="AA214" s="246">
        <f>'Income Statement'!CW504</f>
        <v>7835</v>
      </c>
      <c r="AB214" s="246"/>
      <c r="AC214" s="159"/>
      <c r="AD214" s="159"/>
      <c r="AE214" s="159"/>
      <c r="AF214" s="159"/>
      <c r="AG214" s="159"/>
      <c r="AH214" s="159"/>
      <c r="AI214" s="159"/>
    </row>
    <row r="215" spans="1:35" s="163" customFormat="1" ht="13">
      <c r="A215" s="226" t="s">
        <v>194</v>
      </c>
      <c r="B215" s="244"/>
      <c r="C215" s="244"/>
      <c r="D215" s="246">
        <f t="shared" ref="D215:Q215" si="575">(D214+C214)/2</f>
        <v>7500</v>
      </c>
      <c r="E215" s="246">
        <f t="shared" si="575"/>
        <v>7500</v>
      </c>
      <c r="F215" s="246">
        <f t="shared" si="575"/>
        <v>7500</v>
      </c>
      <c r="G215" s="246">
        <f t="shared" si="575"/>
        <v>7500</v>
      </c>
      <c r="H215" s="246">
        <f t="shared" si="575"/>
        <v>7500</v>
      </c>
      <c r="I215" s="246">
        <f t="shared" si="575"/>
        <v>7500</v>
      </c>
      <c r="J215" s="246">
        <f t="shared" si="575"/>
        <v>7500</v>
      </c>
      <c r="K215" s="246">
        <f t="shared" si="575"/>
        <v>7500</v>
      </c>
      <c r="L215" s="246">
        <f t="shared" si="575"/>
        <v>7650</v>
      </c>
      <c r="M215" s="246">
        <f t="shared" si="575"/>
        <v>7805</v>
      </c>
      <c r="N215" s="246">
        <f t="shared" si="575"/>
        <v>7815</v>
      </c>
      <c r="O215" s="246">
        <f t="shared" si="575"/>
        <v>7822.5</v>
      </c>
      <c r="P215" s="246">
        <f t="shared" si="575"/>
        <v>7825</v>
      </c>
      <c r="Q215" s="246">
        <f t="shared" si="575"/>
        <v>7826.5</v>
      </c>
      <c r="R215" s="246">
        <f t="shared" ref="R215:W215" si="576">(R214+Q214)/2</f>
        <v>7830</v>
      </c>
      <c r="S215" s="246">
        <f t="shared" si="576"/>
        <v>7832</v>
      </c>
      <c r="T215" s="246">
        <f t="shared" si="576"/>
        <v>7832.5</v>
      </c>
      <c r="U215" s="246">
        <f t="shared" si="576"/>
        <v>7834</v>
      </c>
      <c r="V215" s="246">
        <f t="shared" si="576"/>
        <v>7835</v>
      </c>
      <c r="W215" s="246">
        <f t="shared" si="576"/>
        <v>7835</v>
      </c>
      <c r="X215" s="246">
        <f t="shared" ref="X215" si="577">(X214+W214)/2</f>
        <v>7835</v>
      </c>
      <c r="Y215" s="246">
        <f t="shared" ref="Y215" si="578">(Y214+X214)/2</f>
        <v>7835</v>
      </c>
      <c r="Z215" s="246">
        <f t="shared" ref="Z215" si="579">(Z214+Y214)/2</f>
        <v>7835</v>
      </c>
      <c r="AA215" s="246">
        <f t="shared" ref="AA215" si="580">(AA214+Z214)/2</f>
        <v>7835</v>
      </c>
      <c r="AB215" s="246"/>
      <c r="AC215" s="159"/>
      <c r="AD215" s="159"/>
      <c r="AE215" s="159"/>
      <c r="AF215" s="159"/>
      <c r="AG215" s="159"/>
      <c r="AH215" s="159"/>
      <c r="AI215" s="159"/>
    </row>
    <row r="216" spans="1:35" s="163" customFormat="1" ht="13">
      <c r="A216" s="226" t="s">
        <v>195</v>
      </c>
      <c r="B216" s="292"/>
      <c r="C216" s="292"/>
      <c r="D216" s="369">
        <f t="shared" ref="D216:Q216" si="581">C216</f>
        <v>0</v>
      </c>
      <c r="E216" s="369">
        <f t="shared" si="581"/>
        <v>0</v>
      </c>
      <c r="F216" s="369">
        <f t="shared" si="581"/>
        <v>0</v>
      </c>
      <c r="G216" s="369">
        <f t="shared" si="581"/>
        <v>0</v>
      </c>
      <c r="H216" s="369">
        <f t="shared" si="581"/>
        <v>0</v>
      </c>
      <c r="I216" s="369">
        <f t="shared" si="581"/>
        <v>0</v>
      </c>
      <c r="J216" s="369">
        <f t="shared" si="581"/>
        <v>0</v>
      </c>
      <c r="K216" s="369">
        <f t="shared" si="581"/>
        <v>0</v>
      </c>
      <c r="L216" s="369">
        <f t="shared" si="581"/>
        <v>0</v>
      </c>
      <c r="M216" s="369">
        <f t="shared" si="581"/>
        <v>0</v>
      </c>
      <c r="N216" s="369">
        <f t="shared" si="581"/>
        <v>0</v>
      </c>
      <c r="O216" s="369">
        <f t="shared" si="581"/>
        <v>0</v>
      </c>
      <c r="P216" s="369">
        <f t="shared" si="581"/>
        <v>0</v>
      </c>
      <c r="Q216" s="369">
        <f t="shared" si="581"/>
        <v>0</v>
      </c>
      <c r="R216" s="369">
        <f t="shared" ref="R216:W217" si="582">Q216</f>
        <v>0</v>
      </c>
      <c r="S216" s="369">
        <f t="shared" si="582"/>
        <v>0</v>
      </c>
      <c r="T216" s="369">
        <f t="shared" si="582"/>
        <v>0</v>
      </c>
      <c r="U216" s="369">
        <f t="shared" si="582"/>
        <v>0</v>
      </c>
      <c r="V216" s="369">
        <f t="shared" si="582"/>
        <v>0</v>
      </c>
      <c r="W216" s="369">
        <f t="shared" si="582"/>
        <v>0</v>
      </c>
      <c r="X216" s="369">
        <f t="shared" ref="X216:X217" si="583">W216</f>
        <v>0</v>
      </c>
      <c r="Y216" s="369">
        <f t="shared" ref="Y216:Y217" si="584">X216</f>
        <v>0</v>
      </c>
      <c r="Z216" s="369">
        <f t="shared" ref="Z216:Z217" si="585">Y216</f>
        <v>0</v>
      </c>
      <c r="AA216" s="369">
        <f t="shared" ref="AA216:AA217" si="586">Z216</f>
        <v>0</v>
      </c>
      <c r="AB216" s="292"/>
      <c r="AC216" s="159"/>
      <c r="AD216" s="159"/>
      <c r="AE216" s="159"/>
      <c r="AF216" s="159"/>
      <c r="AG216" s="159"/>
      <c r="AH216" s="159"/>
      <c r="AI216" s="159"/>
    </row>
    <row r="217" spans="1:35" s="163" customFormat="1" ht="13">
      <c r="A217" s="226" t="s">
        <v>196</v>
      </c>
      <c r="B217" s="244">
        <v>0</v>
      </c>
      <c r="C217" s="244">
        <v>0</v>
      </c>
      <c r="D217" s="246">
        <f t="shared" ref="D217:Q217" si="587">C217</f>
        <v>0</v>
      </c>
      <c r="E217" s="246">
        <f t="shared" si="587"/>
        <v>0</v>
      </c>
      <c r="F217" s="246">
        <f t="shared" si="587"/>
        <v>0</v>
      </c>
      <c r="G217" s="246">
        <f t="shared" si="587"/>
        <v>0</v>
      </c>
      <c r="H217" s="246">
        <f t="shared" si="587"/>
        <v>0</v>
      </c>
      <c r="I217" s="246">
        <f t="shared" si="587"/>
        <v>0</v>
      </c>
      <c r="J217" s="246">
        <f t="shared" si="587"/>
        <v>0</v>
      </c>
      <c r="K217" s="246">
        <f t="shared" si="587"/>
        <v>0</v>
      </c>
      <c r="L217" s="246">
        <f t="shared" si="587"/>
        <v>0</v>
      </c>
      <c r="M217" s="246">
        <f t="shared" si="587"/>
        <v>0</v>
      </c>
      <c r="N217" s="246">
        <f t="shared" si="587"/>
        <v>0</v>
      </c>
      <c r="O217" s="246">
        <f t="shared" si="587"/>
        <v>0</v>
      </c>
      <c r="P217" s="246">
        <f t="shared" si="587"/>
        <v>0</v>
      </c>
      <c r="Q217" s="246">
        <f t="shared" si="587"/>
        <v>0</v>
      </c>
      <c r="R217" s="246">
        <f t="shared" si="582"/>
        <v>0</v>
      </c>
      <c r="S217" s="246">
        <f t="shared" si="582"/>
        <v>0</v>
      </c>
      <c r="T217" s="246">
        <f t="shared" si="582"/>
        <v>0</v>
      </c>
      <c r="U217" s="246">
        <f t="shared" si="582"/>
        <v>0</v>
      </c>
      <c r="V217" s="246">
        <f t="shared" si="582"/>
        <v>0</v>
      </c>
      <c r="W217" s="246">
        <f t="shared" si="582"/>
        <v>0</v>
      </c>
      <c r="X217" s="246">
        <f t="shared" si="583"/>
        <v>0</v>
      </c>
      <c r="Y217" s="246">
        <f t="shared" si="584"/>
        <v>0</v>
      </c>
      <c r="Z217" s="246">
        <f t="shared" si="585"/>
        <v>0</v>
      </c>
      <c r="AA217" s="246">
        <f t="shared" si="586"/>
        <v>0</v>
      </c>
      <c r="AB217" s="246"/>
      <c r="AC217" s="159"/>
      <c r="AD217" s="159"/>
      <c r="AE217" s="159"/>
      <c r="AF217" s="159"/>
      <c r="AG217" s="159"/>
      <c r="AH217" s="159"/>
      <c r="AI217" s="159"/>
    </row>
    <row r="218" spans="1:35" s="163" customFormat="1" ht="13">
      <c r="A218" s="226"/>
      <c r="B218" s="169"/>
      <c r="C218" s="169"/>
      <c r="D218" s="169"/>
      <c r="E218" s="169"/>
      <c r="F218" s="169"/>
      <c r="G218" s="169"/>
      <c r="H218" s="169"/>
      <c r="I218" s="169"/>
      <c r="J218" s="169"/>
      <c r="K218" s="169"/>
      <c r="L218" s="169"/>
      <c r="M218" s="169"/>
      <c r="N218" s="169"/>
      <c r="O218" s="169"/>
      <c r="P218" s="169"/>
      <c r="Q218" s="169"/>
      <c r="R218" s="169"/>
      <c r="S218" s="169"/>
      <c r="T218" s="169"/>
      <c r="U218" s="169"/>
      <c r="V218" s="169"/>
      <c r="W218" s="169"/>
      <c r="X218" s="169"/>
      <c r="Y218" s="169"/>
      <c r="Z218" s="169"/>
      <c r="AA218" s="169"/>
      <c r="AB218" s="169"/>
      <c r="AC218" s="159"/>
      <c r="AD218" s="159"/>
      <c r="AE218" s="159"/>
      <c r="AF218" s="159"/>
      <c r="AG218" s="159"/>
      <c r="AH218" s="165"/>
      <c r="AI218" s="165"/>
    </row>
    <row r="219" spans="1:35" s="163" customFormat="1" ht="13">
      <c r="A219" s="443" t="s">
        <v>126</v>
      </c>
      <c r="B219" s="444">
        <f>B$2</f>
        <v>2007</v>
      </c>
      <c r="C219" s="444">
        <f t="shared" ref="C219:Q219" si="588">B219+1</f>
        <v>2008</v>
      </c>
      <c r="D219" s="444">
        <f t="shared" si="588"/>
        <v>2009</v>
      </c>
      <c r="E219" s="444">
        <f t="shared" si="588"/>
        <v>2010</v>
      </c>
      <c r="F219" s="444">
        <f t="shared" si="588"/>
        <v>2011</v>
      </c>
      <c r="G219" s="444">
        <f t="shared" si="588"/>
        <v>2012</v>
      </c>
      <c r="H219" s="444">
        <f t="shared" si="588"/>
        <v>2013</v>
      </c>
      <c r="I219" s="444">
        <f t="shared" si="588"/>
        <v>2014</v>
      </c>
      <c r="J219" s="444">
        <f t="shared" si="588"/>
        <v>2015</v>
      </c>
      <c r="K219" s="444">
        <f t="shared" si="588"/>
        <v>2016</v>
      </c>
      <c r="L219" s="444">
        <f t="shared" si="588"/>
        <v>2017</v>
      </c>
      <c r="M219" s="444">
        <f t="shared" si="588"/>
        <v>2018</v>
      </c>
      <c r="N219" s="444">
        <f t="shared" si="588"/>
        <v>2019</v>
      </c>
      <c r="O219" s="444">
        <f t="shared" si="588"/>
        <v>2020</v>
      </c>
      <c r="P219" s="444">
        <f t="shared" si="588"/>
        <v>2021</v>
      </c>
      <c r="Q219" s="444">
        <f t="shared" si="588"/>
        <v>2022</v>
      </c>
      <c r="R219" s="444">
        <f t="shared" ref="R219:W219" si="589">Q219+1</f>
        <v>2023</v>
      </c>
      <c r="S219" s="444">
        <f t="shared" si="589"/>
        <v>2024</v>
      </c>
      <c r="T219" s="444">
        <f t="shared" si="589"/>
        <v>2025</v>
      </c>
      <c r="U219" s="444">
        <f t="shared" si="589"/>
        <v>2026</v>
      </c>
      <c r="V219" s="444">
        <f t="shared" si="589"/>
        <v>2027</v>
      </c>
      <c r="W219" s="444">
        <f t="shared" si="589"/>
        <v>2028</v>
      </c>
      <c r="X219" s="444">
        <f t="shared" ref="X219" si="590">W219+1</f>
        <v>2029</v>
      </c>
      <c r="Y219" s="444">
        <f t="shared" ref="Y219" si="591">X219+1</f>
        <v>2030</v>
      </c>
      <c r="Z219" s="444">
        <f t="shared" ref="Z219" si="592">Y219+1</f>
        <v>2031</v>
      </c>
      <c r="AA219" s="444">
        <f t="shared" ref="AA219" si="593">Z219+1</f>
        <v>2032</v>
      </c>
      <c r="AB219" s="221"/>
      <c r="AC219" s="165"/>
      <c r="AD219" s="165"/>
      <c r="AE219" s="165"/>
      <c r="AF219" s="165"/>
      <c r="AG219" s="165"/>
      <c r="AH219" s="159"/>
      <c r="AI219" s="159"/>
    </row>
    <row r="220" spans="1:35" s="163" customFormat="1" ht="13">
      <c r="A220" s="226"/>
      <c r="B220" s="169"/>
      <c r="C220" s="169"/>
      <c r="D220" s="169"/>
      <c r="E220" s="169"/>
      <c r="F220" s="169"/>
      <c r="G220" s="169"/>
      <c r="H220" s="169"/>
      <c r="I220" s="169"/>
      <c r="J220" s="169"/>
      <c r="K220" s="169"/>
      <c r="L220" s="169"/>
      <c r="M220" s="159"/>
      <c r="N220" s="159"/>
      <c r="O220" s="159"/>
      <c r="P220" s="159"/>
      <c r="Q220" s="159"/>
      <c r="R220" s="159"/>
      <c r="S220" s="159"/>
      <c r="T220" s="159"/>
      <c r="U220" s="159"/>
      <c r="V220" s="159"/>
      <c r="W220" s="159"/>
      <c r="X220" s="159"/>
      <c r="Y220" s="159"/>
      <c r="Z220" s="159"/>
      <c r="AA220" s="159"/>
      <c r="AB220" s="159"/>
      <c r="AC220" s="159"/>
      <c r="AD220" s="159"/>
      <c r="AE220" s="159"/>
      <c r="AF220" s="159"/>
      <c r="AG220" s="159"/>
      <c r="AH220" s="159"/>
      <c r="AI220" s="159"/>
    </row>
    <row r="221" spans="1:35" s="163" customFormat="1" ht="13">
      <c r="A221" s="482" t="s">
        <v>126</v>
      </c>
      <c r="B221" s="483"/>
      <c r="C221" s="483"/>
      <c r="D221" s="626">
        <f>8945-D212</f>
        <v>1445</v>
      </c>
      <c r="E221" s="626">
        <f>8667-E212</f>
        <v>1167</v>
      </c>
      <c r="F221" s="626">
        <f>8084-F212</f>
        <v>584</v>
      </c>
      <c r="G221" s="626">
        <f>7077-G212</f>
        <v>-423</v>
      </c>
      <c r="H221" s="626">
        <f>6001-H212</f>
        <v>-1499</v>
      </c>
      <c r="I221" s="626">
        <f>4717-I212</f>
        <v>-2783</v>
      </c>
      <c r="J221" s="626">
        <f>4190-J212</f>
        <v>-3310</v>
      </c>
      <c r="K221" s="626">
        <f>4721-K212</f>
        <v>-2779</v>
      </c>
      <c r="L221" s="626">
        <f>7041-L212</f>
        <v>-759</v>
      </c>
      <c r="M221" s="626">
        <f t="shared" ref="M221:W221" si="594">L221+M222+M223+M224</f>
        <v>-557.02299999999991</v>
      </c>
      <c r="N221" s="626">
        <f t="shared" si="594"/>
        <v>-594.02299999999991</v>
      </c>
      <c r="O221" s="626">
        <f t="shared" si="594"/>
        <v>-514.02299999999991</v>
      </c>
      <c r="P221" s="626">
        <f t="shared" si="594"/>
        <v>-628.02299999999991</v>
      </c>
      <c r="Q221" s="626">
        <f t="shared" si="594"/>
        <v>-1043.0229999999999</v>
      </c>
      <c r="R221" s="626">
        <f t="shared" si="594"/>
        <v>-1382.0229999999999</v>
      </c>
      <c r="S221" s="626">
        <f t="shared" si="594"/>
        <v>-1239.0229999999999</v>
      </c>
      <c r="T221" s="626">
        <f t="shared" si="594"/>
        <v>-2200.0230000000001</v>
      </c>
      <c r="U221" s="626">
        <f t="shared" si="594"/>
        <v>-2020.5801882608046</v>
      </c>
      <c r="V221" s="626">
        <f t="shared" si="594"/>
        <v>-1828.1230283918571</v>
      </c>
      <c r="W221" s="626">
        <f t="shared" si="594"/>
        <v>-1624.0550135759177</v>
      </c>
      <c r="X221" s="626">
        <f t="shared" ref="X221" si="595">W221+X222+X223+X224</f>
        <v>-1407.3982949331573</v>
      </c>
      <c r="Y221" s="626">
        <f t="shared" ref="Y221" si="596">X221+Y222+Y223+Y224</f>
        <v>-1177.0431471279132</v>
      </c>
      <c r="Z221" s="626">
        <f t="shared" ref="Z221" si="597">Y221+Z222+Z223+Z224</f>
        <v>-933.70692099724351</v>
      </c>
      <c r="AA221" s="626">
        <f t="shared" ref="AA221" si="598">Z221+AA222+AA223+AA224</f>
        <v>-675.03277880258952</v>
      </c>
      <c r="AB221" s="246"/>
      <c r="AC221" s="159"/>
      <c r="AD221" s="159"/>
      <c r="AE221" s="159"/>
      <c r="AF221" s="159"/>
      <c r="AG221" s="159"/>
      <c r="AH221" s="159"/>
      <c r="AI221" s="159"/>
    </row>
    <row r="222" spans="1:35" s="163" customFormat="1" ht="13">
      <c r="A222" s="482" t="s">
        <v>91</v>
      </c>
      <c r="B222" s="483">
        <f>'Income Statement'!B484</f>
        <v>1979.9</v>
      </c>
      <c r="C222" s="483">
        <f>'Income Statement'!G484</f>
        <v>2400.6000000000013</v>
      </c>
      <c r="D222" s="626">
        <f>'Income Statement'!L484</f>
        <v>2232</v>
      </c>
      <c r="E222" s="626">
        <f>'Income Statement'!Q484</f>
        <v>2295</v>
      </c>
      <c r="F222" s="626">
        <f>'Income Statement'!V484</f>
        <v>2531</v>
      </c>
      <c r="G222" s="626">
        <f>'Income Statement'!AA484</f>
        <v>1993</v>
      </c>
      <c r="H222" s="626">
        <f>'Income Statement'!AF484</f>
        <v>2103</v>
      </c>
      <c r="I222" s="626">
        <f>'Income Statement'!AK484</f>
        <v>1607.561874065377</v>
      </c>
      <c r="J222" s="626">
        <f>'Income Statement'!AP484</f>
        <v>2064.1792126289793</v>
      </c>
      <c r="K222" s="626">
        <f>'Income Statement'!AU484</f>
        <v>1971</v>
      </c>
      <c r="L222" s="626">
        <f>'Income Statement'!AZ484</f>
        <v>2061</v>
      </c>
      <c r="M222" s="626">
        <f>'Income Statement'!BE484</f>
        <v>1765</v>
      </c>
      <c r="N222" s="626">
        <f>'Income Statement'!BJ484</f>
        <v>1527</v>
      </c>
      <c r="O222" s="626">
        <f>'Income Statement'!BO484</f>
        <v>1410</v>
      </c>
      <c r="P222" s="626">
        <f>'Income Statement'!BT484</f>
        <v>1216</v>
      </c>
      <c r="Q222" s="626">
        <f>'Income Statement'!BY484</f>
        <v>1151</v>
      </c>
      <c r="R222" s="626">
        <f>'Income Statement'!CD484</f>
        <v>992</v>
      </c>
      <c r="S222" s="626">
        <f>'Income Statement'!CI484</f>
        <v>1396</v>
      </c>
      <c r="T222" s="626">
        <f>'Income Statement'!CJ484</f>
        <v>371</v>
      </c>
      <c r="U222" s="626">
        <f>'Income Statement'!CQ484</f>
        <v>1794.4281173919558</v>
      </c>
      <c r="V222" s="626">
        <f>'Income Statement'!CR484</f>
        <v>1924.5715986894747</v>
      </c>
      <c r="W222" s="626">
        <f>'Income Statement'!CS484</f>
        <v>2040.680148159393</v>
      </c>
      <c r="X222" s="626">
        <f>'Income Statement'!CT484</f>
        <v>2166.567186427606</v>
      </c>
      <c r="Y222" s="626">
        <f>'Income Statement'!CU484</f>
        <v>2303.5514780524445</v>
      </c>
      <c r="Z222" s="626">
        <f>'Income Statement'!CV484</f>
        <v>2433.3622613066987</v>
      </c>
      <c r="AA222" s="626">
        <f>'Income Statement'!CW484</f>
        <v>2586.7414219465422</v>
      </c>
      <c r="AB222" s="246"/>
      <c r="AC222" s="159"/>
      <c r="AD222" s="159"/>
      <c r="AE222" s="159"/>
      <c r="AF222" s="159"/>
      <c r="AG222" s="159"/>
      <c r="AH222" s="159"/>
      <c r="AI222" s="159"/>
    </row>
    <row r="223" spans="1:35" s="163" customFormat="1" ht="13">
      <c r="A223" s="482" t="s">
        <v>197</v>
      </c>
      <c r="B223" s="484">
        <f t="shared" ref="B223:P223" si="599">B256</f>
        <v>0</v>
      </c>
      <c r="C223" s="484">
        <f t="shared" si="599"/>
        <v>0</v>
      </c>
      <c r="D223" s="626">
        <f t="shared" si="599"/>
        <v>-2555</v>
      </c>
      <c r="E223" s="626">
        <f t="shared" si="599"/>
        <v>-3000</v>
      </c>
      <c r="F223" s="626">
        <f t="shared" si="599"/>
        <v>-3000</v>
      </c>
      <c r="G223" s="626">
        <f t="shared" si="599"/>
        <v>-3000</v>
      </c>
      <c r="H223" s="626">
        <f t="shared" si="599"/>
        <v>-3000</v>
      </c>
      <c r="I223" s="626">
        <f t="shared" si="599"/>
        <v>-3000</v>
      </c>
      <c r="J223" s="626">
        <f t="shared" si="599"/>
        <v>-2325.0000000000005</v>
      </c>
      <c r="K223" s="626">
        <f t="shared" si="599"/>
        <v>-1500</v>
      </c>
      <c r="L223" s="626">
        <f t="shared" si="599"/>
        <v>-1532.096</v>
      </c>
      <c r="M223" s="626">
        <f t="shared" si="599"/>
        <v>-1563.0229999999999</v>
      </c>
      <c r="N223" s="626">
        <f t="shared" si="599"/>
        <v>-1564</v>
      </c>
      <c r="O223" s="626">
        <f t="shared" si="599"/>
        <v>-1330</v>
      </c>
      <c r="P223" s="626">
        <f t="shared" si="599"/>
        <v>-1330</v>
      </c>
      <c r="Q223" s="626">
        <f t="shared" ref="Q223" si="600">Q256</f>
        <v>-1566</v>
      </c>
      <c r="R223" s="626">
        <f t="shared" ref="R223:W223" si="601">R256</f>
        <v>-1331</v>
      </c>
      <c r="S223" s="626">
        <f t="shared" si="601"/>
        <v>-1253</v>
      </c>
      <c r="T223" s="626">
        <f t="shared" ref="T223" si="602">T256</f>
        <v>-1332</v>
      </c>
      <c r="U223" s="626">
        <f t="shared" si="601"/>
        <v>-1614.9853056527602</v>
      </c>
      <c r="V223" s="626">
        <f t="shared" si="601"/>
        <v>-1732.1144388205273</v>
      </c>
      <c r="W223" s="626">
        <f t="shared" si="601"/>
        <v>-1836.6121333434535</v>
      </c>
      <c r="X223" s="626">
        <f t="shared" ref="X223:AA223" si="603">X256</f>
        <v>-1949.9104677848457</v>
      </c>
      <c r="Y223" s="626">
        <f t="shared" si="603"/>
        <v>-2073.1963302472004</v>
      </c>
      <c r="Z223" s="626">
        <f t="shared" si="603"/>
        <v>-2190.0260351760289</v>
      </c>
      <c r="AA223" s="626">
        <f t="shared" si="603"/>
        <v>-2328.0672797518882</v>
      </c>
      <c r="AB223" s="433"/>
      <c r="AC223" s="159"/>
      <c r="AD223" s="159"/>
      <c r="AE223" s="159"/>
      <c r="AF223" s="159"/>
      <c r="AG223" s="159"/>
      <c r="AH223" s="159"/>
      <c r="AI223" s="159"/>
    </row>
    <row r="224" spans="1:35" s="163" customFormat="1" ht="13">
      <c r="A224" s="482" t="s">
        <v>198</v>
      </c>
      <c r="B224" s="485"/>
      <c r="C224" s="485"/>
      <c r="D224" s="485"/>
      <c r="E224" s="485"/>
      <c r="F224" s="485"/>
      <c r="G224" s="485"/>
      <c r="H224" s="485"/>
      <c r="I224" s="485"/>
      <c r="J224" s="485"/>
      <c r="K224" s="485"/>
      <c r="L224" s="485"/>
      <c r="M224" s="485"/>
      <c r="N224" s="485"/>
      <c r="O224" s="485"/>
      <c r="P224" s="485"/>
      <c r="Q224" s="485"/>
      <c r="R224" s="485"/>
      <c r="S224" s="485"/>
      <c r="T224" s="485"/>
      <c r="U224" s="485"/>
      <c r="V224" s="485"/>
      <c r="W224" s="485"/>
      <c r="X224" s="485"/>
      <c r="Y224" s="485"/>
      <c r="Z224" s="485"/>
      <c r="AA224" s="485"/>
      <c r="AB224" s="169"/>
      <c r="AC224" s="159"/>
      <c r="AD224" s="159"/>
      <c r="AE224" s="159"/>
      <c r="AF224" s="159"/>
      <c r="AG224" s="159"/>
      <c r="AH224" s="159"/>
      <c r="AI224" s="159"/>
    </row>
    <row r="225" spans="1:35" s="163" customFormat="1" ht="13">
      <c r="A225" s="226"/>
      <c r="B225" s="169"/>
      <c r="C225" s="169"/>
      <c r="D225" s="169"/>
      <c r="E225" s="169"/>
      <c r="F225" s="169"/>
      <c r="G225" s="169"/>
      <c r="H225" s="169"/>
      <c r="I225" s="169"/>
      <c r="J225" s="169"/>
      <c r="K225" s="169"/>
      <c r="L225" s="169"/>
      <c r="M225" s="169"/>
      <c r="N225" s="169"/>
      <c r="O225" s="169"/>
      <c r="P225" s="169"/>
      <c r="Q225" s="169"/>
      <c r="R225" s="169"/>
      <c r="S225" s="169"/>
      <c r="T225" s="169"/>
      <c r="U225" s="169"/>
      <c r="V225" s="169"/>
      <c r="W225" s="169"/>
      <c r="X225" s="169"/>
      <c r="Y225" s="169"/>
      <c r="Z225" s="169"/>
      <c r="AA225" s="169"/>
      <c r="AB225" s="169"/>
      <c r="AC225" s="159"/>
      <c r="AD225" s="159"/>
      <c r="AE225" s="159"/>
      <c r="AF225" s="159"/>
      <c r="AG225" s="159"/>
      <c r="AH225" s="159"/>
      <c r="AI225" s="159"/>
    </row>
    <row r="226" spans="1:35" s="163" customFormat="1" ht="13">
      <c r="A226" s="226" t="s">
        <v>586</v>
      </c>
      <c r="B226" s="439"/>
      <c r="C226" s="439"/>
      <c r="D226" s="439"/>
      <c r="E226" s="439"/>
      <c r="F226" s="439"/>
      <c r="G226" s="439"/>
      <c r="H226" s="439"/>
      <c r="I226" s="439"/>
      <c r="J226" s="439"/>
      <c r="K226" s="439"/>
      <c r="L226" s="439"/>
      <c r="M226" s="439"/>
      <c r="N226" s="439"/>
      <c r="O226" s="439"/>
      <c r="P226" s="439"/>
      <c r="Q226" s="439">
        <f>P230</f>
        <v>4161</v>
      </c>
      <c r="R226" s="439">
        <f>Q230</f>
        <v>3786</v>
      </c>
      <c r="S226" s="439">
        <f t="shared" ref="S226:W226" si="604">R230</f>
        <v>3151</v>
      </c>
      <c r="T226" s="439">
        <f t="shared" si="604"/>
        <v>3309</v>
      </c>
      <c r="U226" s="439">
        <f>T230</f>
        <v>3544</v>
      </c>
      <c r="V226" s="439">
        <f t="shared" si="604"/>
        <v>3723.4428117391953</v>
      </c>
      <c r="W226" s="439">
        <f t="shared" si="604"/>
        <v>3915.8999716081426</v>
      </c>
      <c r="X226" s="439">
        <f t="shared" ref="X226" si="605">W230</f>
        <v>4119.9679864240825</v>
      </c>
      <c r="Y226" s="439">
        <f t="shared" ref="Y226" si="606">X230</f>
        <v>4336.6247050668435</v>
      </c>
      <c r="Z226" s="439">
        <f t="shared" ref="Z226" si="607">Y230</f>
        <v>4566.9798528720876</v>
      </c>
      <c r="AA226" s="439">
        <f t="shared" ref="AA226" si="608">Z230</f>
        <v>4810.3160790027569</v>
      </c>
      <c r="AB226" s="169"/>
      <c r="AC226" s="159"/>
      <c r="AD226" s="159"/>
      <c r="AE226" s="159"/>
      <c r="AF226" s="159"/>
      <c r="AG226" s="159"/>
      <c r="AH226" s="159"/>
      <c r="AI226" s="159"/>
    </row>
    <row r="227" spans="1:35" s="163" customFormat="1" ht="13">
      <c r="A227" s="226" t="s">
        <v>91</v>
      </c>
      <c r="B227" s="439"/>
      <c r="C227" s="439"/>
      <c r="D227" s="439"/>
      <c r="E227" s="439"/>
      <c r="F227" s="439"/>
      <c r="G227" s="439"/>
      <c r="H227" s="439"/>
      <c r="I227" s="439"/>
      <c r="J227" s="439"/>
      <c r="K227" s="439"/>
      <c r="L227" s="439"/>
      <c r="M227" s="439"/>
      <c r="N227" s="439"/>
      <c r="O227" s="439"/>
      <c r="P227" s="439"/>
      <c r="Q227" s="982">
        <f>'Income Statement'!BY484</f>
        <v>1151</v>
      </c>
      <c r="R227" s="982">
        <f>'Income Statement'!CD484</f>
        <v>992</v>
      </c>
      <c r="S227" s="982">
        <f>'Income Statement'!CI484</f>
        <v>1396</v>
      </c>
      <c r="T227" s="982">
        <f>'Income Statement'!CJ484</f>
        <v>371</v>
      </c>
      <c r="U227" s="982">
        <f>'Income Statement'!CQ484</f>
        <v>1794.4281173919558</v>
      </c>
      <c r="V227" s="982">
        <f>'Income Statement'!CR484</f>
        <v>1924.5715986894747</v>
      </c>
      <c r="W227" s="982">
        <f>'Income Statement'!CS484</f>
        <v>2040.680148159393</v>
      </c>
      <c r="X227" s="982">
        <f>'Income Statement'!CT484</f>
        <v>2166.567186427606</v>
      </c>
      <c r="Y227" s="982">
        <f>'Income Statement'!CU484</f>
        <v>2303.5514780524445</v>
      </c>
      <c r="Z227" s="982">
        <f>'Income Statement'!CV484</f>
        <v>2433.3622613066987</v>
      </c>
      <c r="AA227" s="982">
        <f>'Income Statement'!CW484</f>
        <v>2586.7414219465422</v>
      </c>
      <c r="AB227" s="365"/>
      <c r="AC227" s="159"/>
      <c r="AD227" s="159"/>
      <c r="AE227" s="159"/>
      <c r="AF227" s="159"/>
      <c r="AG227" s="159"/>
      <c r="AH227" s="159"/>
      <c r="AI227" s="159"/>
    </row>
    <row r="228" spans="1:35" s="163" customFormat="1" ht="13">
      <c r="A228" s="226" t="s">
        <v>197</v>
      </c>
      <c r="B228" s="439"/>
      <c r="C228" s="439"/>
      <c r="D228" s="439"/>
      <c r="E228" s="439"/>
      <c r="F228" s="439"/>
      <c r="G228" s="439"/>
      <c r="H228" s="439"/>
      <c r="I228" s="439"/>
      <c r="J228" s="439"/>
      <c r="K228" s="439"/>
      <c r="L228" s="439"/>
      <c r="M228" s="439"/>
      <c r="N228" s="439"/>
      <c r="O228" s="439"/>
      <c r="P228" s="439"/>
      <c r="Q228" s="439">
        <f>Q61</f>
        <v>-1566</v>
      </c>
      <c r="R228" s="439">
        <f>R61</f>
        <v>-1331</v>
      </c>
      <c r="S228" s="439">
        <f>S61</f>
        <v>-1253</v>
      </c>
      <c r="T228" s="439">
        <f>T61</f>
        <v>-1332</v>
      </c>
      <c r="U228" s="982">
        <f>-'Income Statement'!CQ501*'Income Statement'!CQ504</f>
        <v>-1614.9853056527602</v>
      </c>
      <c r="V228" s="982">
        <f>-'Income Statement'!CR501*'Income Statement'!CR504</f>
        <v>-1732.1144388205273</v>
      </c>
      <c r="W228" s="982">
        <f>-'Income Statement'!CS501*'Income Statement'!CS504</f>
        <v>-1836.6121333434535</v>
      </c>
      <c r="X228" s="982">
        <f>-'Income Statement'!CT501*'Income Statement'!CT504</f>
        <v>-1949.9104677848457</v>
      </c>
      <c r="Y228" s="982">
        <f>-'Income Statement'!CU501*'Income Statement'!CU504</f>
        <v>-2073.1963302472004</v>
      </c>
      <c r="Z228" s="982">
        <f>-'Income Statement'!CV501*'Income Statement'!CV504</f>
        <v>-2190.0260351760289</v>
      </c>
      <c r="AA228" s="982">
        <f>-'Income Statement'!CW501*'Income Statement'!CW504</f>
        <v>-2328.0672797518882</v>
      </c>
      <c r="AB228" s="365"/>
      <c r="AC228" s="159"/>
      <c r="AD228" s="159"/>
      <c r="AE228" s="159"/>
      <c r="AF228" s="159"/>
      <c r="AG228" s="159"/>
      <c r="AH228" s="159"/>
      <c r="AI228" s="159"/>
    </row>
    <row r="229" spans="1:35" s="163" customFormat="1" ht="13">
      <c r="A229" s="226" t="s">
        <v>639</v>
      </c>
      <c r="B229" s="439"/>
      <c r="C229" s="439"/>
      <c r="D229" s="439"/>
      <c r="E229" s="439"/>
      <c r="F229" s="439"/>
      <c r="G229" s="439"/>
      <c r="H229" s="439"/>
      <c r="I229" s="439"/>
      <c r="J229" s="439"/>
      <c r="K229" s="439"/>
      <c r="L229" s="439"/>
      <c r="M229" s="439"/>
      <c r="N229" s="439"/>
      <c r="O229" s="439"/>
      <c r="P229" s="439"/>
      <c r="Q229" s="439">
        <f>Q230-Q228-Q227-Q226</f>
        <v>40</v>
      </c>
      <c r="R229" s="439">
        <f>R230-R228-R227-R226</f>
        <v>-296</v>
      </c>
      <c r="S229" s="439">
        <f>S230-S228-S227-S226</f>
        <v>15</v>
      </c>
      <c r="T229" s="439">
        <f>T230-T228-T227-T226</f>
        <v>1196</v>
      </c>
      <c r="U229" s="439"/>
      <c r="V229" s="439"/>
      <c r="W229" s="439"/>
      <c r="X229" s="439"/>
      <c r="Y229" s="439"/>
      <c r="Z229" s="439"/>
      <c r="AA229" s="439"/>
      <c r="AB229" s="365"/>
      <c r="AC229" s="159"/>
      <c r="AD229" s="159"/>
      <c r="AE229" s="159"/>
      <c r="AF229" s="159"/>
      <c r="AG229" s="159"/>
      <c r="AH229" s="159"/>
      <c r="AI229" s="159"/>
    </row>
    <row r="230" spans="1:35" s="221" customFormat="1" ht="13">
      <c r="A230" s="283" t="s">
        <v>587</v>
      </c>
      <c r="B230" s="487"/>
      <c r="C230" s="487"/>
      <c r="D230" s="487"/>
      <c r="E230" s="487"/>
      <c r="F230" s="487"/>
      <c r="G230" s="487"/>
      <c r="H230" s="487"/>
      <c r="I230" s="487"/>
      <c r="J230" s="487"/>
      <c r="K230" s="487"/>
      <c r="L230" s="487"/>
      <c r="M230" s="487"/>
      <c r="N230" s="487"/>
      <c r="O230" s="487"/>
      <c r="P230" s="486">
        <v>4161</v>
      </c>
      <c r="Q230" s="486">
        <f>3784+2</f>
        <v>3786</v>
      </c>
      <c r="R230" s="486">
        <f>3150+1</f>
        <v>3151</v>
      </c>
      <c r="S230" s="486">
        <f>3308+1</f>
        <v>3309</v>
      </c>
      <c r="T230" s="486">
        <v>3544</v>
      </c>
      <c r="U230" s="487">
        <f>SUM(U226:U229)</f>
        <v>3723.4428117391953</v>
      </c>
      <c r="V230" s="487">
        <f t="shared" ref="V230:AA230" si="609">SUM(V226:V229)</f>
        <v>3915.8999716081426</v>
      </c>
      <c r="W230" s="487">
        <f t="shared" si="609"/>
        <v>4119.9679864240825</v>
      </c>
      <c r="X230" s="487">
        <f t="shared" si="609"/>
        <v>4336.6247050668435</v>
      </c>
      <c r="Y230" s="487">
        <f t="shared" si="609"/>
        <v>4566.9798528720876</v>
      </c>
      <c r="Z230" s="487">
        <f t="shared" si="609"/>
        <v>4810.3160790027569</v>
      </c>
      <c r="AA230" s="487">
        <f t="shared" si="609"/>
        <v>5068.9902211974104</v>
      </c>
      <c r="AB230" s="382"/>
      <c r="AC230" s="165"/>
      <c r="AD230" s="165"/>
      <c r="AE230" s="165"/>
      <c r="AF230" s="165"/>
      <c r="AG230" s="165"/>
      <c r="AH230" s="165"/>
      <c r="AI230" s="165"/>
    </row>
    <row r="231" spans="1:35" s="163" customFormat="1" ht="13">
      <c r="A231" s="226"/>
      <c r="AC231" s="159"/>
      <c r="AD231" s="159"/>
      <c r="AE231" s="159"/>
      <c r="AF231" s="159"/>
      <c r="AG231" s="159"/>
      <c r="AH231" s="165"/>
      <c r="AI231" s="165"/>
    </row>
    <row r="232" spans="1:35" s="163" customFormat="1" ht="13">
      <c r="A232" s="443" t="s">
        <v>658</v>
      </c>
      <c r="B232" s="444">
        <f>B$2</f>
        <v>2007</v>
      </c>
      <c r="C232" s="444">
        <f t="shared" ref="C232" si="610">B232+1</f>
        <v>2008</v>
      </c>
      <c r="D232" s="444">
        <f t="shared" ref="D232" si="611">C232+1</f>
        <v>2009</v>
      </c>
      <c r="E232" s="444">
        <f t="shared" ref="E232" si="612">D232+1</f>
        <v>2010</v>
      </c>
      <c r="F232" s="444">
        <f t="shared" ref="F232" si="613">E232+1</f>
        <v>2011</v>
      </c>
      <c r="G232" s="444">
        <f t="shared" ref="G232" si="614">F232+1</f>
        <v>2012</v>
      </c>
      <c r="H232" s="444">
        <f t="shared" ref="H232" si="615">G232+1</f>
        <v>2013</v>
      </c>
      <c r="I232" s="444">
        <f t="shared" ref="I232" si="616">H232+1</f>
        <v>2014</v>
      </c>
      <c r="J232" s="444">
        <f t="shared" ref="J232" si="617">I232+1</f>
        <v>2015</v>
      </c>
      <c r="K232" s="444">
        <f t="shared" ref="K232" si="618">J232+1</f>
        <v>2016</v>
      </c>
      <c r="L232" s="444">
        <f t="shared" ref="L232" si="619">K232+1</f>
        <v>2017</v>
      </c>
      <c r="M232" s="444">
        <f t="shared" ref="M232" si="620">L232+1</f>
        <v>2018</v>
      </c>
      <c r="N232" s="444">
        <f t="shared" ref="N232" si="621">M232+1</f>
        <v>2019</v>
      </c>
      <c r="O232" s="444">
        <f t="shared" ref="O232" si="622">N232+1</f>
        <v>2020</v>
      </c>
      <c r="P232" s="444">
        <f t="shared" ref="P232" si="623">O232+1</f>
        <v>2021</v>
      </c>
      <c r="Q232" s="444">
        <f t="shared" ref="Q232" si="624">P232+1</f>
        <v>2022</v>
      </c>
      <c r="R232" s="444">
        <f t="shared" ref="R232" si="625">Q232+1</f>
        <v>2023</v>
      </c>
      <c r="S232" s="444">
        <f t="shared" ref="S232:T232" si="626">R232+1</f>
        <v>2024</v>
      </c>
      <c r="T232" s="444">
        <f t="shared" si="626"/>
        <v>2025</v>
      </c>
      <c r="U232" s="444">
        <f t="shared" ref="U232" si="627">T232+1</f>
        <v>2026</v>
      </c>
      <c r="V232" s="444">
        <f t="shared" ref="V232" si="628">U232+1</f>
        <v>2027</v>
      </c>
      <c r="W232" s="444">
        <f t="shared" ref="W232" si="629">V232+1</f>
        <v>2028</v>
      </c>
      <c r="X232" s="444">
        <f t="shared" ref="X232" si="630">W232+1</f>
        <v>2029</v>
      </c>
      <c r="Y232" s="444">
        <f t="shared" ref="Y232" si="631">X232+1</f>
        <v>2030</v>
      </c>
      <c r="Z232" s="444">
        <f t="shared" ref="Z232" si="632">Y232+1</f>
        <v>2031</v>
      </c>
      <c r="AA232" s="444">
        <f t="shared" ref="AA232" si="633">Z232+1</f>
        <v>2032</v>
      </c>
      <c r="AB232" s="221"/>
      <c r="AC232" s="165"/>
      <c r="AD232" s="165"/>
      <c r="AE232" s="165"/>
      <c r="AF232" s="165"/>
      <c r="AG232" s="165"/>
      <c r="AH232" s="159"/>
      <c r="AI232" s="159"/>
    </row>
    <row r="233" spans="1:35" s="163" customFormat="1" ht="13">
      <c r="A233" s="226"/>
      <c r="AC233" s="159"/>
      <c r="AD233" s="159"/>
      <c r="AE233" s="159"/>
      <c r="AF233" s="159"/>
      <c r="AG233" s="159"/>
      <c r="AH233" s="165"/>
      <c r="AI233" s="165"/>
    </row>
    <row r="234" spans="1:35" s="163" customFormat="1" ht="13">
      <c r="A234" s="226" t="s">
        <v>590</v>
      </c>
      <c r="B234" s="439"/>
      <c r="C234" s="439"/>
      <c r="D234" s="439"/>
      <c r="E234" s="439"/>
      <c r="F234" s="439"/>
      <c r="G234" s="439"/>
      <c r="H234" s="439"/>
      <c r="I234" s="439"/>
      <c r="J234" s="439"/>
      <c r="K234" s="439"/>
      <c r="L234" s="439"/>
      <c r="M234" s="439"/>
      <c r="N234" s="439"/>
      <c r="O234" s="439"/>
      <c r="P234" s="439"/>
      <c r="Q234" s="439">
        <f>P237</f>
        <v>7825</v>
      </c>
      <c r="R234" s="439">
        <f>Q237</f>
        <v>7828</v>
      </c>
      <c r="S234" s="439">
        <f>R237</f>
        <v>7831</v>
      </c>
      <c r="T234" s="439">
        <f>S237</f>
        <v>7833</v>
      </c>
      <c r="U234" s="439">
        <f t="shared" ref="U234:AA234" si="634">T237</f>
        <v>7834</v>
      </c>
      <c r="V234" s="439">
        <f t="shared" si="634"/>
        <v>7834</v>
      </c>
      <c r="W234" s="439">
        <f t="shared" si="634"/>
        <v>7834</v>
      </c>
      <c r="X234" s="439">
        <f t="shared" si="634"/>
        <v>7834</v>
      </c>
      <c r="Y234" s="439">
        <f t="shared" si="634"/>
        <v>7834</v>
      </c>
      <c r="Z234" s="439">
        <f t="shared" si="634"/>
        <v>7834</v>
      </c>
      <c r="AA234" s="439">
        <f t="shared" si="634"/>
        <v>7834</v>
      </c>
      <c r="AB234" s="439"/>
      <c r="AC234" s="439"/>
      <c r="AD234" s="159"/>
      <c r="AE234" s="159"/>
      <c r="AF234" s="159"/>
      <c r="AG234" s="159"/>
      <c r="AH234" s="165"/>
      <c r="AI234" s="165"/>
    </row>
    <row r="235" spans="1:35" s="163" customFormat="1" ht="13">
      <c r="A235" s="226" t="s">
        <v>659</v>
      </c>
      <c r="B235" s="439"/>
      <c r="C235" s="439"/>
      <c r="D235" s="439"/>
      <c r="E235" s="439"/>
      <c r="F235" s="439"/>
      <c r="G235" s="439"/>
      <c r="H235" s="439"/>
      <c r="I235" s="439"/>
      <c r="J235" s="439"/>
      <c r="K235" s="439"/>
      <c r="L235" s="439"/>
      <c r="M235" s="439"/>
      <c r="N235" s="439"/>
      <c r="O235" s="439"/>
      <c r="P235" s="439"/>
      <c r="Q235" s="439">
        <f>Q237-Q234</f>
        <v>3</v>
      </c>
      <c r="R235" s="439">
        <f>R237-R234</f>
        <v>3</v>
      </c>
      <c r="S235" s="439">
        <f>S237-S234</f>
        <v>2</v>
      </c>
      <c r="T235" s="439">
        <f>T237-T234</f>
        <v>1</v>
      </c>
      <c r="U235" s="439"/>
      <c r="V235" s="439"/>
      <c r="W235" s="439"/>
      <c r="X235" s="439"/>
      <c r="Y235" s="439"/>
      <c r="Z235" s="439"/>
      <c r="AA235" s="439"/>
      <c r="AC235" s="159"/>
      <c r="AD235" s="159"/>
      <c r="AE235" s="159"/>
      <c r="AF235" s="159"/>
      <c r="AG235" s="159"/>
      <c r="AH235" s="165"/>
      <c r="AI235" s="165"/>
    </row>
    <row r="236" spans="1:35" s="163" customFormat="1" ht="13">
      <c r="A236" s="226" t="s">
        <v>660</v>
      </c>
      <c r="B236" s="439"/>
      <c r="C236" s="439"/>
      <c r="D236" s="439"/>
      <c r="E236" s="439"/>
      <c r="F236" s="439"/>
      <c r="G236" s="439"/>
      <c r="H236" s="439"/>
      <c r="I236" s="439"/>
      <c r="J236" s="439"/>
      <c r="K236" s="439"/>
      <c r="L236" s="439"/>
      <c r="M236" s="439"/>
      <c r="N236" s="439"/>
      <c r="O236" s="439"/>
      <c r="P236" s="439"/>
      <c r="Q236" s="439"/>
      <c r="R236" s="439"/>
      <c r="S236" s="439"/>
      <c r="T236" s="439"/>
      <c r="U236" s="439"/>
      <c r="V236" s="439"/>
      <c r="W236" s="439"/>
      <c r="X236" s="439"/>
      <c r="Y236" s="439"/>
      <c r="Z236" s="439"/>
      <c r="AA236" s="439"/>
      <c r="AC236" s="159"/>
      <c r="AD236" s="159"/>
      <c r="AE236" s="159"/>
      <c r="AF236" s="159"/>
      <c r="AG236" s="159"/>
      <c r="AH236" s="165"/>
      <c r="AI236" s="165"/>
    </row>
    <row r="237" spans="1:35" s="221" customFormat="1" ht="13">
      <c r="A237" s="283" t="s">
        <v>587</v>
      </c>
      <c r="B237" s="487"/>
      <c r="C237" s="487"/>
      <c r="D237" s="487"/>
      <c r="E237" s="487"/>
      <c r="F237" s="487"/>
      <c r="G237" s="487"/>
      <c r="H237" s="487"/>
      <c r="I237" s="487"/>
      <c r="J237" s="487"/>
      <c r="K237" s="487"/>
      <c r="L237" s="487"/>
      <c r="M237" s="487"/>
      <c r="N237" s="487"/>
      <c r="O237" s="487"/>
      <c r="P237" s="486">
        <v>7825</v>
      </c>
      <c r="Q237" s="486">
        <v>7828</v>
      </c>
      <c r="R237" s="486">
        <v>7831</v>
      </c>
      <c r="S237" s="486">
        <v>7833</v>
      </c>
      <c r="T237" s="486">
        <v>7834</v>
      </c>
      <c r="U237" s="487">
        <f t="shared" ref="U237:AA237" si="635">U234+U235-U236</f>
        <v>7834</v>
      </c>
      <c r="V237" s="487">
        <f t="shared" si="635"/>
        <v>7834</v>
      </c>
      <c r="W237" s="487">
        <f t="shared" si="635"/>
        <v>7834</v>
      </c>
      <c r="X237" s="487">
        <f t="shared" si="635"/>
        <v>7834</v>
      </c>
      <c r="Y237" s="487">
        <f t="shared" si="635"/>
        <v>7834</v>
      </c>
      <c r="Z237" s="487">
        <f t="shared" si="635"/>
        <v>7834</v>
      </c>
      <c r="AA237" s="487">
        <f t="shared" si="635"/>
        <v>7834</v>
      </c>
      <c r="AB237" s="488"/>
      <c r="AC237" s="165"/>
      <c r="AD237" s="165"/>
      <c r="AE237" s="165"/>
      <c r="AF237" s="165"/>
      <c r="AG237" s="165"/>
      <c r="AH237" s="165"/>
      <c r="AI237" s="165"/>
    </row>
    <row r="238" spans="1:35" s="163" customFormat="1" ht="13">
      <c r="A238" s="226"/>
      <c r="AC238" s="159"/>
      <c r="AD238" s="159"/>
      <c r="AE238" s="159"/>
      <c r="AF238" s="159"/>
      <c r="AG238" s="159"/>
      <c r="AH238" s="165"/>
      <c r="AI238" s="165"/>
    </row>
    <row r="239" spans="1:35" s="163" customFormat="1" ht="13">
      <c r="A239" s="226"/>
      <c r="AC239" s="159"/>
      <c r="AD239" s="159"/>
      <c r="AE239" s="159"/>
      <c r="AF239" s="159"/>
      <c r="AG239" s="159"/>
      <c r="AH239" s="165"/>
      <c r="AI239" s="165"/>
    </row>
    <row r="240" spans="1:35" s="163" customFormat="1" ht="13">
      <c r="A240" s="226"/>
      <c r="AC240" s="159"/>
      <c r="AD240" s="159"/>
      <c r="AE240" s="159"/>
      <c r="AF240" s="159"/>
      <c r="AG240" s="159"/>
      <c r="AH240" s="165"/>
      <c r="AI240" s="165"/>
    </row>
    <row r="241" spans="1:35" s="163" customFormat="1" ht="13">
      <c r="A241" s="443" t="s">
        <v>199</v>
      </c>
      <c r="B241" s="444">
        <f>B219</f>
        <v>2007</v>
      </c>
      <c r="C241" s="444">
        <f t="shared" ref="C241:Q241" si="636">B241+1</f>
        <v>2008</v>
      </c>
      <c r="D241" s="444">
        <f t="shared" si="636"/>
        <v>2009</v>
      </c>
      <c r="E241" s="444">
        <f t="shared" si="636"/>
        <v>2010</v>
      </c>
      <c r="F241" s="444">
        <f t="shared" si="636"/>
        <v>2011</v>
      </c>
      <c r="G241" s="444">
        <f t="shared" si="636"/>
        <v>2012</v>
      </c>
      <c r="H241" s="444">
        <f t="shared" si="636"/>
        <v>2013</v>
      </c>
      <c r="I241" s="444">
        <f t="shared" si="636"/>
        <v>2014</v>
      </c>
      <c r="J241" s="444">
        <f t="shared" si="636"/>
        <v>2015</v>
      </c>
      <c r="K241" s="444">
        <f t="shared" si="636"/>
        <v>2016</v>
      </c>
      <c r="L241" s="444">
        <f t="shared" si="636"/>
        <v>2017</v>
      </c>
      <c r="M241" s="444">
        <f t="shared" si="636"/>
        <v>2018</v>
      </c>
      <c r="N241" s="444">
        <f t="shared" si="636"/>
        <v>2019</v>
      </c>
      <c r="O241" s="444">
        <f t="shared" si="636"/>
        <v>2020</v>
      </c>
      <c r="P241" s="444">
        <f t="shared" si="636"/>
        <v>2021</v>
      </c>
      <c r="Q241" s="444">
        <f t="shared" si="636"/>
        <v>2022</v>
      </c>
      <c r="R241" s="444">
        <f t="shared" ref="R241:W241" si="637">Q241+1</f>
        <v>2023</v>
      </c>
      <c r="S241" s="444">
        <f t="shared" si="637"/>
        <v>2024</v>
      </c>
      <c r="T241" s="444">
        <f t="shared" si="637"/>
        <v>2025</v>
      </c>
      <c r="U241" s="444">
        <f t="shared" si="637"/>
        <v>2026</v>
      </c>
      <c r="V241" s="444">
        <f t="shared" si="637"/>
        <v>2027</v>
      </c>
      <c r="W241" s="444">
        <f t="shared" si="637"/>
        <v>2028</v>
      </c>
      <c r="X241" s="444">
        <f t="shared" ref="X241" si="638">W241+1</f>
        <v>2029</v>
      </c>
      <c r="Y241" s="444">
        <f t="shared" ref="Y241" si="639">X241+1</f>
        <v>2030</v>
      </c>
      <c r="Z241" s="444">
        <f t="shared" ref="Z241" si="640">Y241+1</f>
        <v>2031</v>
      </c>
      <c r="AA241" s="444">
        <f t="shared" ref="AA241" si="641">Z241+1</f>
        <v>2032</v>
      </c>
      <c r="AB241" s="221"/>
      <c r="AC241" s="165"/>
      <c r="AD241" s="165"/>
      <c r="AE241" s="165"/>
      <c r="AF241" s="165"/>
      <c r="AG241" s="165"/>
      <c r="AH241" s="159"/>
      <c r="AI241" s="159"/>
    </row>
    <row r="242" spans="1:35" s="163" customFormat="1" ht="13">
      <c r="A242" s="226"/>
      <c r="H242" s="159"/>
      <c r="I242" s="159"/>
      <c r="J242" s="159"/>
      <c r="K242" s="159"/>
      <c r="L242" s="159"/>
      <c r="M242" s="159"/>
      <c r="N242" s="159"/>
      <c r="O242" s="159"/>
      <c r="P242" s="159"/>
      <c r="Q242" s="159"/>
      <c r="R242" s="159"/>
      <c r="S242" s="159"/>
      <c r="T242" s="159"/>
      <c r="U242" s="159"/>
      <c r="V242" s="159"/>
      <c r="W242" s="159"/>
      <c r="X242" s="159"/>
      <c r="Y242" s="159"/>
      <c r="Z242" s="159"/>
      <c r="AA242" s="159"/>
      <c r="AB242" s="159"/>
      <c r="AC242" s="159"/>
      <c r="AD242" s="159"/>
      <c r="AE242" s="159"/>
      <c r="AF242" s="159"/>
      <c r="AG242" s="159"/>
      <c r="AH242" s="159"/>
      <c r="AI242" s="159"/>
    </row>
    <row r="243" spans="1:35" s="163" customFormat="1" ht="13">
      <c r="A243" s="226" t="s">
        <v>200</v>
      </c>
      <c r="B243" s="169"/>
      <c r="C243" s="169"/>
      <c r="D243" s="169"/>
      <c r="E243" s="169"/>
      <c r="F243" s="169"/>
      <c r="G243" s="169"/>
      <c r="H243" s="169"/>
      <c r="I243" s="169"/>
      <c r="J243" s="169"/>
      <c r="K243" s="169"/>
      <c r="L243" s="169"/>
      <c r="M243" s="159"/>
      <c r="N243" s="159"/>
      <c r="O243" s="159"/>
      <c r="P243" s="159"/>
      <c r="Q243" s="159"/>
      <c r="R243" s="159"/>
      <c r="S243" s="159"/>
      <c r="T243" s="159"/>
      <c r="U243" s="159"/>
      <c r="V243" s="159"/>
      <c r="W243" s="159"/>
      <c r="X243" s="159"/>
      <c r="Y243" s="159"/>
      <c r="Z243" s="159"/>
      <c r="AA243" s="159"/>
      <c r="AB243" s="159"/>
      <c r="AC243" s="159"/>
      <c r="AD243" s="159"/>
      <c r="AE243" s="159"/>
      <c r="AF243" s="159"/>
      <c r="AG243" s="159"/>
      <c r="AH243" s="159"/>
      <c r="AI243" s="159"/>
    </row>
    <row r="244" spans="1:35" s="163" customFormat="1" ht="13">
      <c r="A244" s="226" t="s">
        <v>201</v>
      </c>
      <c r="B244" s="439"/>
      <c r="C244" s="439"/>
      <c r="D244" s="439"/>
      <c r="E244" s="439"/>
      <c r="F244" s="439"/>
      <c r="G244" s="439"/>
      <c r="H244" s="439"/>
      <c r="I244" s="439"/>
      <c r="J244" s="439"/>
      <c r="K244" s="439"/>
      <c r="L244" s="439"/>
      <c r="M244" s="159"/>
      <c r="N244" s="159"/>
      <c r="O244" s="159"/>
      <c r="P244" s="159"/>
      <c r="Q244" s="159"/>
      <c r="R244" s="159"/>
      <c r="S244" s="159"/>
      <c r="T244" s="159"/>
      <c r="U244" s="159"/>
      <c r="V244" s="159"/>
      <c r="W244" s="159"/>
      <c r="X244" s="159"/>
      <c r="Y244" s="159"/>
      <c r="Z244" s="159"/>
      <c r="AA244" s="159"/>
      <c r="AB244" s="159"/>
      <c r="AC244" s="159"/>
      <c r="AD244" s="159"/>
      <c r="AE244" s="159"/>
      <c r="AF244" s="159"/>
      <c r="AG244" s="159"/>
      <c r="AH244" s="159"/>
      <c r="AI244" s="159"/>
    </row>
    <row r="245" spans="1:35" s="163" customFormat="1" ht="13">
      <c r="A245" s="226" t="s">
        <v>148</v>
      </c>
      <c r="B245" s="439"/>
      <c r="C245" s="439"/>
      <c r="D245" s="439"/>
      <c r="E245" s="439"/>
      <c r="F245" s="439"/>
      <c r="G245" s="439"/>
      <c r="H245" s="439"/>
      <c r="I245" s="439"/>
      <c r="J245" s="439"/>
      <c r="K245" s="439"/>
      <c r="L245" s="439"/>
      <c r="M245" s="159"/>
      <c r="N245" s="159"/>
      <c r="O245" s="159"/>
      <c r="P245" s="159"/>
      <c r="Q245" s="159"/>
      <c r="R245" s="159"/>
      <c r="S245" s="159"/>
      <c r="T245" s="159"/>
      <c r="U245" s="159"/>
      <c r="V245" s="159"/>
      <c r="W245" s="159"/>
      <c r="X245" s="159"/>
      <c r="Y245" s="159"/>
      <c r="Z245" s="159"/>
      <c r="AA245" s="159"/>
      <c r="AB245" s="159"/>
      <c r="AC245" s="159"/>
      <c r="AD245" s="159"/>
      <c r="AE245" s="159"/>
      <c r="AF245" s="159"/>
      <c r="AG245" s="159"/>
      <c r="AH245" s="159"/>
      <c r="AI245" s="159"/>
    </row>
    <row r="246" spans="1:35" s="163" customFormat="1" ht="13">
      <c r="A246" s="226" t="s">
        <v>202</v>
      </c>
      <c r="B246" s="439"/>
      <c r="C246" s="439"/>
      <c r="D246" s="439">
        <v>0</v>
      </c>
      <c r="E246" s="439"/>
      <c r="F246" s="439"/>
      <c r="G246" s="439"/>
      <c r="H246" s="439"/>
      <c r="I246" s="439"/>
      <c r="J246" s="439"/>
      <c r="K246" s="439"/>
      <c r="L246" s="439"/>
      <c r="M246" s="159"/>
      <c r="N246" s="159"/>
      <c r="O246" s="159"/>
      <c r="P246" s="159"/>
      <c r="Q246" s="159"/>
      <c r="R246" s="159"/>
      <c r="S246" s="159"/>
      <c r="T246" s="159"/>
      <c r="U246" s="159"/>
      <c r="V246" s="159"/>
      <c r="W246" s="159"/>
      <c r="X246" s="159"/>
      <c r="Y246" s="159"/>
      <c r="Z246" s="159"/>
      <c r="AA246" s="159"/>
      <c r="AB246" s="159"/>
      <c r="AC246" s="159"/>
      <c r="AD246" s="159"/>
      <c r="AE246" s="159"/>
      <c r="AF246" s="159"/>
      <c r="AG246" s="159"/>
      <c r="AH246" s="159"/>
      <c r="AI246" s="159"/>
    </row>
    <row r="247" spans="1:35" s="163" customFormat="1" ht="13">
      <c r="A247" s="226" t="s">
        <v>203</v>
      </c>
      <c r="B247" s="169"/>
      <c r="C247" s="169"/>
      <c r="D247" s="169">
        <v>0</v>
      </c>
      <c r="E247" s="169">
        <f t="shared" ref="E247:L247" si="642">SUM(E243:E246)</f>
        <v>0</v>
      </c>
      <c r="F247" s="169">
        <f t="shared" si="642"/>
        <v>0</v>
      </c>
      <c r="G247" s="169">
        <f t="shared" si="642"/>
        <v>0</v>
      </c>
      <c r="H247" s="169">
        <f t="shared" si="642"/>
        <v>0</v>
      </c>
      <c r="I247" s="169">
        <f t="shared" si="642"/>
        <v>0</v>
      </c>
      <c r="J247" s="169">
        <f t="shared" si="642"/>
        <v>0</v>
      </c>
      <c r="K247" s="169">
        <f t="shared" si="642"/>
        <v>0</v>
      </c>
      <c r="L247" s="169">
        <f t="shared" si="642"/>
        <v>0</v>
      </c>
      <c r="M247" s="159"/>
      <c r="N247" s="159"/>
      <c r="O247" s="159"/>
      <c r="P247" s="159"/>
      <c r="Q247" s="159"/>
      <c r="R247" s="159"/>
      <c r="S247" s="159"/>
      <c r="T247" s="159"/>
      <c r="U247" s="159"/>
      <c r="V247" s="159"/>
      <c r="W247" s="159"/>
      <c r="X247" s="159"/>
      <c r="Y247" s="159"/>
      <c r="Z247" s="159"/>
      <c r="AA247" s="159"/>
      <c r="AB247" s="159"/>
      <c r="AC247" s="159"/>
      <c r="AD247" s="159"/>
      <c r="AE247" s="159"/>
      <c r="AF247" s="159"/>
      <c r="AG247" s="159"/>
      <c r="AH247" s="159"/>
      <c r="AI247" s="159"/>
    </row>
    <row r="248" spans="1:35" s="163" customFormat="1" ht="13">
      <c r="A248" s="361"/>
      <c r="B248" s="365"/>
      <c r="C248" s="365"/>
      <c r="D248" s="365"/>
      <c r="E248" s="365"/>
      <c r="F248" s="365"/>
      <c r="G248" s="365"/>
      <c r="H248" s="365"/>
      <c r="I248" s="365"/>
      <c r="J248" s="365"/>
      <c r="K248" s="365"/>
      <c r="L248" s="365"/>
      <c r="M248" s="159"/>
      <c r="N248" s="159"/>
      <c r="O248" s="159"/>
      <c r="P248" s="159"/>
      <c r="Q248" s="159"/>
      <c r="R248" s="159"/>
      <c r="S248" s="159"/>
      <c r="T248" s="159"/>
      <c r="U248" s="159"/>
      <c r="V248" s="159"/>
      <c r="W248" s="159"/>
      <c r="X248" s="159"/>
      <c r="Y248" s="159"/>
      <c r="Z248" s="159"/>
      <c r="AA248" s="159"/>
      <c r="AB248" s="159"/>
      <c r="AC248" s="159"/>
      <c r="AD248" s="159"/>
      <c r="AE248" s="159"/>
      <c r="AF248" s="159"/>
      <c r="AG248" s="159"/>
      <c r="AH248" s="159"/>
      <c r="AI248" s="159"/>
    </row>
    <row r="249" spans="1:35" s="163" customFormat="1" ht="13">
      <c r="A249" s="361"/>
      <c r="B249" s="365"/>
      <c r="C249" s="365"/>
      <c r="D249" s="365"/>
      <c r="E249" s="365"/>
      <c r="F249" s="365"/>
      <c r="G249" s="365"/>
      <c r="H249" s="365"/>
      <c r="I249" s="365"/>
      <c r="J249" s="365"/>
      <c r="K249" s="365"/>
      <c r="L249" s="365"/>
      <c r="M249" s="159"/>
      <c r="N249" s="159"/>
      <c r="O249" s="159"/>
      <c r="P249" s="159"/>
      <c r="Q249" s="159"/>
      <c r="R249" s="159"/>
      <c r="S249" s="159"/>
      <c r="T249" s="159"/>
      <c r="U249" s="159"/>
      <c r="V249" s="159"/>
      <c r="W249" s="159"/>
      <c r="X249" s="159"/>
      <c r="Y249" s="159"/>
      <c r="Z249" s="159"/>
      <c r="AA249" s="159"/>
      <c r="AB249" s="159"/>
      <c r="AC249" s="159"/>
      <c r="AD249" s="159"/>
      <c r="AE249" s="159"/>
      <c r="AF249" s="159"/>
      <c r="AG249" s="159"/>
      <c r="AH249" s="159"/>
      <c r="AI249" s="159"/>
    </row>
    <row r="250" spans="1:35" s="163" customFormat="1" ht="13">
      <c r="A250" s="361"/>
      <c r="B250" s="365"/>
      <c r="C250" s="365"/>
      <c r="D250" s="365"/>
      <c r="E250" s="365"/>
      <c r="F250" s="365"/>
      <c r="G250" s="365"/>
      <c r="H250" s="365"/>
      <c r="I250" s="365"/>
      <c r="J250" s="365"/>
      <c r="K250" s="365"/>
      <c r="L250" s="365"/>
      <c r="M250" s="159"/>
      <c r="N250" s="159"/>
      <c r="O250" s="159"/>
      <c r="P250" s="159"/>
      <c r="Q250" s="159"/>
      <c r="R250" s="159"/>
      <c r="S250" s="159"/>
      <c r="T250" s="159"/>
      <c r="U250" s="159"/>
      <c r="V250" s="159"/>
      <c r="W250" s="159"/>
      <c r="X250" s="159"/>
      <c r="Y250" s="159"/>
      <c r="Z250" s="159"/>
      <c r="AA250" s="159"/>
      <c r="AB250" s="159"/>
      <c r="AC250" s="159"/>
      <c r="AD250" s="159"/>
      <c r="AE250" s="159"/>
      <c r="AF250" s="159"/>
      <c r="AG250" s="159"/>
      <c r="AH250" s="159"/>
      <c r="AI250" s="159"/>
    </row>
    <row r="251" spans="1:35" s="163" customFormat="1" ht="13">
      <c r="A251" s="489" t="s">
        <v>204</v>
      </c>
      <c r="B251" s="444">
        <f>B$2</f>
        <v>2007</v>
      </c>
      <c r="C251" s="199">
        <f t="shared" ref="C251:Q251" si="643">B251+1</f>
        <v>2008</v>
      </c>
      <c r="D251" s="199">
        <f t="shared" si="643"/>
        <v>2009</v>
      </c>
      <c r="E251" s="199">
        <f t="shared" si="643"/>
        <v>2010</v>
      </c>
      <c r="F251" s="199">
        <f t="shared" si="643"/>
        <v>2011</v>
      </c>
      <c r="G251" s="199">
        <f t="shared" si="643"/>
        <v>2012</v>
      </c>
      <c r="H251" s="199">
        <f t="shared" si="643"/>
        <v>2013</v>
      </c>
      <c r="I251" s="199">
        <f t="shared" si="643"/>
        <v>2014</v>
      </c>
      <c r="J251" s="199">
        <f t="shared" si="643"/>
        <v>2015</v>
      </c>
      <c r="K251" s="199">
        <f t="shared" si="643"/>
        <v>2016</v>
      </c>
      <c r="L251" s="199">
        <f t="shared" si="643"/>
        <v>2017</v>
      </c>
      <c r="M251" s="199">
        <f t="shared" si="643"/>
        <v>2018</v>
      </c>
      <c r="N251" s="199">
        <f t="shared" si="643"/>
        <v>2019</v>
      </c>
      <c r="O251" s="199">
        <f t="shared" si="643"/>
        <v>2020</v>
      </c>
      <c r="P251" s="199">
        <f t="shared" si="643"/>
        <v>2021</v>
      </c>
      <c r="Q251" s="199">
        <f t="shared" si="643"/>
        <v>2022</v>
      </c>
      <c r="R251" s="199">
        <f t="shared" ref="R251:W251" si="644">Q251+1</f>
        <v>2023</v>
      </c>
      <c r="S251" s="199">
        <f t="shared" si="644"/>
        <v>2024</v>
      </c>
      <c r="T251" s="199">
        <f t="shared" si="644"/>
        <v>2025</v>
      </c>
      <c r="U251" s="199">
        <f t="shared" si="644"/>
        <v>2026</v>
      </c>
      <c r="V251" s="199">
        <f t="shared" si="644"/>
        <v>2027</v>
      </c>
      <c r="W251" s="199">
        <f t="shared" si="644"/>
        <v>2028</v>
      </c>
      <c r="X251" s="199">
        <f t="shared" ref="X251" si="645">W251+1</f>
        <v>2029</v>
      </c>
      <c r="Y251" s="199">
        <f t="shared" ref="Y251" si="646">X251+1</f>
        <v>2030</v>
      </c>
      <c r="Z251" s="199">
        <f t="shared" ref="Z251" si="647">Y251+1</f>
        <v>2031</v>
      </c>
      <c r="AA251" s="199">
        <f t="shared" ref="AA251" si="648">Z251+1</f>
        <v>2032</v>
      </c>
      <c r="AB251" s="203"/>
      <c r="AC251" s="159"/>
      <c r="AD251" s="159"/>
      <c r="AE251" s="159"/>
      <c r="AF251" s="159"/>
      <c r="AG251" s="159"/>
      <c r="AH251" s="159"/>
      <c r="AI251" s="159"/>
    </row>
    <row r="252" spans="1:35" s="163" customFormat="1" ht="13">
      <c r="A252" s="490" t="s">
        <v>133</v>
      </c>
      <c r="B252" s="439">
        <f>'Income Statement'!B453-B73</f>
        <v>2466.1999999999998</v>
      </c>
      <c r="C252" s="439">
        <f>'Income Statement'!G453-C73</f>
        <v>3599.4000000000005</v>
      </c>
      <c r="D252" s="439">
        <f>'Income Statement'!L453-D73</f>
        <v>3630</v>
      </c>
      <c r="E252" s="439">
        <f>'Income Statement'!Q453-E73</f>
        <v>2972</v>
      </c>
      <c r="F252" s="439">
        <f>'Income Statement'!V453-F73</f>
        <v>3434</v>
      </c>
      <c r="G252" s="439">
        <f>'Income Statement'!AA453-G73</f>
        <v>3369</v>
      </c>
      <c r="H252" s="439">
        <f>'Income Statement'!AF453-H73</f>
        <v>3707</v>
      </c>
      <c r="I252" s="439">
        <f>'Income Statement'!AK453-I73</f>
        <v>2972.3305194230634</v>
      </c>
      <c r="J252" s="439">
        <f>'Income Statement'!AP453-J73</f>
        <v>3122</v>
      </c>
      <c r="K252" s="439">
        <f>'Income Statement'!AU453-K73</f>
        <v>3313</v>
      </c>
      <c r="L252" s="439">
        <f>'Income Statement'!AZ453-L73</f>
        <v>3167</v>
      </c>
      <c r="M252" s="439">
        <f>'Income Statement'!BE453-M73</f>
        <v>2805</v>
      </c>
      <c r="N252" s="439">
        <f>'Income Statement'!BJ453-N73</f>
        <v>2713</v>
      </c>
      <c r="O252" s="439">
        <f>'Income Statement'!BO453-O73</f>
        <v>2569</v>
      </c>
      <c r="P252" s="439">
        <f>'Income Statement'!BT453-P73</f>
        <v>2689</v>
      </c>
      <c r="Q252" s="439">
        <f>'Income Statement'!BY453-Q73</f>
        <v>2815</v>
      </c>
      <c r="R252" s="439">
        <f>'Income Statement'!CD453-R73</f>
        <v>3147</v>
      </c>
      <c r="S252" s="439">
        <f>'Income Statement'!CI453-S73</f>
        <v>3448</v>
      </c>
      <c r="T252" s="439">
        <f>'Income Statement'!CN453-T73</f>
        <v>3343</v>
      </c>
      <c r="U252" s="439">
        <f>'Income Statement'!CQ453-U73</f>
        <v>3427.0344138242785</v>
      </c>
      <c r="V252" s="439">
        <f>'Income Statement'!CR453-V73</f>
        <v>3643.2401142052895</v>
      </c>
      <c r="W252" s="439">
        <f>'Income Statement'!CS453-W73</f>
        <v>3748.4807060554476</v>
      </c>
      <c r="X252" s="439">
        <f>'Income Statement'!CT453-X73</f>
        <v>3860.2770785778475</v>
      </c>
      <c r="Y252" s="439">
        <f>'Income Statement'!CU453-Y73</f>
        <v>3969.4387053511377</v>
      </c>
      <c r="Z252" s="439">
        <f>'Income Statement'!CV453-Z73</f>
        <v>4080.8626034257732</v>
      </c>
      <c r="AA252" s="439">
        <f>'Income Statement'!CW453-AA73</f>
        <v>3815.6459748583843</v>
      </c>
      <c r="AB252" s="365"/>
      <c r="AC252" s="159"/>
      <c r="AD252" s="159"/>
      <c r="AE252" s="159"/>
      <c r="AF252" s="159"/>
      <c r="AG252" s="159"/>
      <c r="AH252" s="159"/>
      <c r="AI252" s="159"/>
    </row>
    <row r="253" spans="1:35" s="163" customFormat="1" ht="13">
      <c r="A253" s="490" t="s">
        <v>205</v>
      </c>
      <c r="B253" s="439">
        <f>'Income Statement'!B476*-1</f>
        <v>8.6000000000000014</v>
      </c>
      <c r="C253" s="439">
        <f>C56</f>
        <v>17.899999999999999</v>
      </c>
      <c r="D253" s="439">
        <f t="shared" ref="D253:W253" si="649">D126</f>
        <v>-48</v>
      </c>
      <c r="E253" s="439">
        <f t="shared" si="649"/>
        <v>-211</v>
      </c>
      <c r="F253" s="439">
        <f t="shared" si="649"/>
        <v>-228</v>
      </c>
      <c r="G253" s="439">
        <f t="shared" si="649"/>
        <v>-288</v>
      </c>
      <c r="H253" s="439">
        <f t="shared" si="649"/>
        <v>-329</v>
      </c>
      <c r="I253" s="439">
        <f t="shared" si="649"/>
        <v>-389</v>
      </c>
      <c r="J253" s="439">
        <f t="shared" si="649"/>
        <v>-412</v>
      </c>
      <c r="K253" s="439">
        <f t="shared" si="649"/>
        <v>-669</v>
      </c>
      <c r="L253" s="439">
        <f t="shared" si="649"/>
        <v>-384</v>
      </c>
      <c r="M253" s="439">
        <f t="shared" si="649"/>
        <v>-344.279</v>
      </c>
      <c r="N253" s="439">
        <f t="shared" si="649"/>
        <v>-399</v>
      </c>
      <c r="O253" s="439">
        <f t="shared" si="649"/>
        <v>-405</v>
      </c>
      <c r="P253" s="439">
        <f t="shared" si="649"/>
        <v>-413</v>
      </c>
      <c r="Q253" s="439">
        <f t="shared" ref="Q253" si="650">Q126</f>
        <v>-407</v>
      </c>
      <c r="R253" s="439">
        <f t="shared" si="649"/>
        <v>-446</v>
      </c>
      <c r="S253" s="439">
        <f t="shared" si="649"/>
        <v>-447</v>
      </c>
      <c r="T253" s="439">
        <f t="shared" ref="T253" si="651">T126</f>
        <v>-432</v>
      </c>
      <c r="U253" s="439">
        <f t="shared" si="649"/>
        <v>-432.2472885032538</v>
      </c>
      <c r="V253" s="439">
        <f t="shared" si="649"/>
        <v>-404.22957606993174</v>
      </c>
      <c r="W253" s="439">
        <f t="shared" si="649"/>
        <v>-371.2795361682812</v>
      </c>
      <c r="X253" s="439">
        <f t="shared" ref="X253:AA253" si="652">X126</f>
        <v>-338.42089043880958</v>
      </c>
      <c r="Y253" s="439">
        <f t="shared" si="652"/>
        <v>-305.81839984445975</v>
      </c>
      <c r="Z253" s="439">
        <f t="shared" si="652"/>
        <v>-274.54280377027874</v>
      </c>
      <c r="AA253" s="439">
        <f t="shared" si="652"/>
        <v>-243.91394578134179</v>
      </c>
      <c r="AB253" s="365"/>
      <c r="AC253" s="159"/>
      <c r="AD253" s="159"/>
      <c r="AE253" s="159"/>
      <c r="AF253" s="159"/>
      <c r="AG253" s="159"/>
      <c r="AH253" s="159"/>
      <c r="AI253" s="159"/>
    </row>
    <row r="254" spans="1:35" s="163" customFormat="1" ht="13">
      <c r="A254" s="490" t="s">
        <v>206</v>
      </c>
      <c r="B254" s="439">
        <f>B57</f>
        <v>-188</v>
      </c>
      <c r="C254" s="439">
        <f>C57</f>
        <v>-214</v>
      </c>
      <c r="D254" s="439">
        <f t="shared" ref="D254:AA254" si="653">D57</f>
        <v>-222</v>
      </c>
      <c r="E254" s="439">
        <f t="shared" si="653"/>
        <v>-837</v>
      </c>
      <c r="F254" s="439">
        <f t="shared" si="653"/>
        <v>-473</v>
      </c>
      <c r="G254" s="439">
        <f t="shared" si="653"/>
        <v>-716</v>
      </c>
      <c r="H254" s="439">
        <f t="shared" si="653"/>
        <v>-724</v>
      </c>
      <c r="I254" s="439">
        <f t="shared" si="653"/>
        <v>-688.76864535768641</v>
      </c>
      <c r="J254" s="439">
        <f t="shared" si="653"/>
        <v>-713</v>
      </c>
      <c r="K254" s="439">
        <f t="shared" si="653"/>
        <v>-709</v>
      </c>
      <c r="L254" s="439">
        <f t="shared" si="653"/>
        <v>-676</v>
      </c>
      <c r="M254" s="439">
        <f t="shared" si="653"/>
        <v>-585</v>
      </c>
      <c r="N254" s="439">
        <f t="shared" si="653"/>
        <v>-509</v>
      </c>
      <c r="O254" s="439">
        <f t="shared" si="653"/>
        <v>-469</v>
      </c>
      <c r="P254" s="439">
        <f t="shared" si="653"/>
        <v>-454</v>
      </c>
      <c r="Q254" s="439">
        <f t="shared" si="653"/>
        <v>-651</v>
      </c>
      <c r="R254" s="439">
        <f t="shared" si="653"/>
        <v>-452</v>
      </c>
      <c r="S254" s="439">
        <f t="shared" si="653"/>
        <v>-481</v>
      </c>
      <c r="T254" s="439">
        <f t="shared" ref="T254" si="654">T57</f>
        <v>-506</v>
      </c>
      <c r="U254" s="439">
        <f t="shared" si="653"/>
        <v>-582.29786590864785</v>
      </c>
      <c r="V254" s="439">
        <f t="shared" si="653"/>
        <v>-607.75945221772884</v>
      </c>
      <c r="W254" s="439">
        <f t="shared" si="653"/>
        <v>-644.42530994507149</v>
      </c>
      <c r="X254" s="439">
        <f t="shared" si="653"/>
        <v>-684.17911150345446</v>
      </c>
      <c r="Y254" s="439">
        <f t="shared" si="653"/>
        <v>-727.43730885866671</v>
      </c>
      <c r="Z254" s="439">
        <f t="shared" si="653"/>
        <v>-768.43018778106273</v>
      </c>
      <c r="AA254" s="439">
        <f t="shared" si="653"/>
        <v>-816.86571219364487</v>
      </c>
      <c r="AB254" s="365"/>
      <c r="AC254" s="159"/>
      <c r="AD254" s="159"/>
      <c r="AE254" s="159"/>
      <c r="AF254" s="159"/>
      <c r="AG254" s="159"/>
      <c r="AH254" s="159"/>
      <c r="AI254" s="159"/>
    </row>
    <row r="255" spans="1:35" s="163" customFormat="1" ht="13">
      <c r="A255" s="490" t="s">
        <v>207</v>
      </c>
      <c r="B255" s="439">
        <f>B64</f>
        <v>0</v>
      </c>
      <c r="C255" s="439">
        <f>C64</f>
        <v>0</v>
      </c>
      <c r="D255" s="439">
        <f>D64</f>
        <v>0</v>
      </c>
      <c r="E255" s="439">
        <f>E64</f>
        <v>618</v>
      </c>
      <c r="F255" s="439">
        <f>F64</f>
        <v>-444</v>
      </c>
      <c r="G255" s="439">
        <f t="shared" ref="G255:AA255" si="655">G64+G63</f>
        <v>0</v>
      </c>
      <c r="H255" s="439">
        <f t="shared" si="655"/>
        <v>-80</v>
      </c>
      <c r="I255" s="439">
        <f t="shared" si="655"/>
        <v>-195</v>
      </c>
      <c r="J255" s="439">
        <f t="shared" si="655"/>
        <v>-797</v>
      </c>
      <c r="K255" s="439">
        <f t="shared" si="655"/>
        <v>-814.75</v>
      </c>
      <c r="L255" s="439">
        <f t="shared" si="655"/>
        <v>1896.096</v>
      </c>
      <c r="M255" s="439">
        <f t="shared" si="655"/>
        <v>-705.45899999999961</v>
      </c>
      <c r="N255" s="439">
        <f t="shared" si="655"/>
        <v>-1539.2390000000005</v>
      </c>
      <c r="O255" s="439">
        <f t="shared" si="655"/>
        <v>-1014</v>
      </c>
      <c r="P255" s="439">
        <f t="shared" si="655"/>
        <v>-695</v>
      </c>
      <c r="Q255" s="439">
        <f t="shared" si="655"/>
        <v>32</v>
      </c>
      <c r="R255" s="439">
        <f t="shared" si="655"/>
        <v>-885</v>
      </c>
      <c r="S255" s="439">
        <f t="shared" si="655"/>
        <v>-969</v>
      </c>
      <c r="T255" s="439">
        <f t="shared" ref="T255" si="656">T64+T63</f>
        <v>-736</v>
      </c>
      <c r="U255" s="439">
        <f t="shared" si="655"/>
        <v>-219.0585944575258</v>
      </c>
      <c r="V255" s="439">
        <f t="shared" si="655"/>
        <v>-217.30929988907019</v>
      </c>
      <c r="W255" s="439">
        <f t="shared" si="655"/>
        <v>-215.35666502976989</v>
      </c>
      <c r="X255" s="439">
        <f t="shared" si="655"/>
        <v>-213.20621892524332</v>
      </c>
      <c r="Y255" s="439">
        <f t="shared" si="655"/>
        <v>-211.0772461215214</v>
      </c>
      <c r="Z255" s="439">
        <f t="shared" si="655"/>
        <v>-207.91414596613942</v>
      </c>
      <c r="AA255" s="439">
        <f t="shared" si="655"/>
        <v>-203.75887574952941</v>
      </c>
      <c r="AB255" s="365"/>
      <c r="AC255" s="159"/>
      <c r="AD255" s="159"/>
      <c r="AE255" s="159"/>
      <c r="AF255" s="159"/>
      <c r="AG255" s="159"/>
      <c r="AH255" s="159"/>
      <c r="AI255" s="159"/>
    </row>
    <row r="256" spans="1:35" s="163" customFormat="1" ht="13">
      <c r="A256" s="490" t="s">
        <v>208</v>
      </c>
      <c r="B256" s="624"/>
      <c r="C256" s="624"/>
      <c r="D256" s="624">
        <v>-2555</v>
      </c>
      <c r="E256" s="624">
        <v>-3000</v>
      </c>
      <c r="F256" s="624">
        <v>-3000</v>
      </c>
      <c r="G256" s="624">
        <v>-3000</v>
      </c>
      <c r="H256" s="624">
        <v>-3000</v>
      </c>
      <c r="I256" s="624">
        <v>-3000</v>
      </c>
      <c r="J256" s="624">
        <v>-2325.0000000000005</v>
      </c>
      <c r="K256" s="505">
        <f>-'Income Statement'!AU501*'Income Statement'!AU504</f>
        <v>-1500</v>
      </c>
      <c r="L256" s="506">
        <v>-1532.096</v>
      </c>
      <c r="M256" s="506">
        <v>-1563.0229999999999</v>
      </c>
      <c r="N256" s="506">
        <v>-1564</v>
      </c>
      <c r="O256" s="506">
        <v>-1330</v>
      </c>
      <c r="P256" s="506">
        <v>-1330</v>
      </c>
      <c r="Q256" s="506">
        <v>-1566</v>
      </c>
      <c r="R256" s="506">
        <v>-1331</v>
      </c>
      <c r="S256" s="506">
        <v>-1253</v>
      </c>
      <c r="T256" s="506">
        <v>-1332</v>
      </c>
      <c r="U256" s="439">
        <f>-'Income Statement'!CQ501*'Income Statement'!CQ504</f>
        <v>-1614.9853056527602</v>
      </c>
      <c r="V256" s="439">
        <f>-'Income Statement'!CR501*'Income Statement'!CR504</f>
        <v>-1732.1144388205273</v>
      </c>
      <c r="W256" s="439">
        <f>-'Income Statement'!CS501*'Income Statement'!CS504</f>
        <v>-1836.6121333434535</v>
      </c>
      <c r="X256" s="439">
        <f>-'Income Statement'!CT501*'Income Statement'!CT504</f>
        <v>-1949.9104677848457</v>
      </c>
      <c r="Y256" s="439">
        <f>-'Income Statement'!CU501*'Income Statement'!CU504</f>
        <v>-2073.1963302472004</v>
      </c>
      <c r="Z256" s="439">
        <f>-'Income Statement'!CV501*'Income Statement'!CV504</f>
        <v>-2190.0260351760289</v>
      </c>
      <c r="AA256" s="439">
        <f>-'Income Statement'!CW501*'Income Statement'!CW504</f>
        <v>-2328.0672797518882</v>
      </c>
      <c r="AB256" s="365"/>
      <c r="AC256" s="159"/>
      <c r="AD256" s="159"/>
      <c r="AE256" s="159"/>
      <c r="AF256" s="159"/>
      <c r="AG256" s="159"/>
      <c r="AH256" s="159"/>
      <c r="AI256" s="159"/>
    </row>
    <row r="257" spans="1:35" s="163" customFormat="1" ht="13">
      <c r="A257" s="490" t="s">
        <v>209</v>
      </c>
      <c r="B257" s="439">
        <v>0</v>
      </c>
      <c r="C257" s="439">
        <v>0</v>
      </c>
      <c r="D257" s="439">
        <v>0</v>
      </c>
      <c r="E257" s="439">
        <v>0</v>
      </c>
      <c r="F257" s="439">
        <v>0</v>
      </c>
      <c r="G257" s="439">
        <v>0</v>
      </c>
      <c r="H257" s="439">
        <v>0</v>
      </c>
      <c r="I257" s="439">
        <v>0</v>
      </c>
      <c r="J257" s="439">
        <v>0</v>
      </c>
      <c r="K257" s="439">
        <v>0</v>
      </c>
      <c r="L257" s="439">
        <v>0</v>
      </c>
      <c r="M257" s="439">
        <v>0</v>
      </c>
      <c r="N257" s="439">
        <v>0</v>
      </c>
      <c r="O257" s="439">
        <v>0</v>
      </c>
      <c r="P257" s="439">
        <v>0</v>
      </c>
      <c r="Q257" s="439"/>
      <c r="R257" s="439">
        <v>0</v>
      </c>
      <c r="S257" s="439">
        <v>0</v>
      </c>
      <c r="T257" s="439"/>
      <c r="U257" s="439">
        <v>0</v>
      </c>
      <c r="V257" s="439">
        <v>0</v>
      </c>
      <c r="W257" s="439">
        <v>0</v>
      </c>
      <c r="X257" s="439">
        <v>0</v>
      </c>
      <c r="Y257" s="439">
        <v>0</v>
      </c>
      <c r="Z257" s="439">
        <v>0</v>
      </c>
      <c r="AA257" s="439">
        <v>0</v>
      </c>
      <c r="AB257" s="365"/>
      <c r="AC257" s="159"/>
      <c r="AD257" s="159"/>
      <c r="AE257" s="159"/>
      <c r="AF257" s="159"/>
      <c r="AG257" s="159"/>
      <c r="AH257" s="159"/>
      <c r="AI257" s="159"/>
    </row>
    <row r="258" spans="1:35" s="163" customFormat="1" ht="13">
      <c r="A258" s="491" t="s">
        <v>210</v>
      </c>
      <c r="B258" s="625">
        <f t="shared" ref="B258:W258" si="657">B169</f>
        <v>0</v>
      </c>
      <c r="C258" s="625">
        <f t="shared" si="657"/>
        <v>0</v>
      </c>
      <c r="D258" s="625">
        <f t="shared" si="657"/>
        <v>2318</v>
      </c>
      <c r="E258" s="625">
        <f t="shared" si="657"/>
        <v>-225</v>
      </c>
      <c r="F258" s="625">
        <f t="shared" si="657"/>
        <v>-169</v>
      </c>
      <c r="G258" s="625">
        <f t="shared" si="657"/>
        <v>36.512272727272801</v>
      </c>
      <c r="H258" s="625">
        <f t="shared" si="657"/>
        <v>-253.5122727272728</v>
      </c>
      <c r="I258" s="625">
        <f t="shared" si="657"/>
        <v>548</v>
      </c>
      <c r="J258" s="625">
        <f t="shared" si="657"/>
        <v>10</v>
      </c>
      <c r="K258" s="625">
        <f t="shared" si="657"/>
        <v>-220</v>
      </c>
      <c r="L258" s="625">
        <f t="shared" si="657"/>
        <v>-333</v>
      </c>
      <c r="M258" s="625">
        <f t="shared" si="657"/>
        <v>357</v>
      </c>
      <c r="N258" s="625">
        <f t="shared" si="657"/>
        <v>13</v>
      </c>
      <c r="O258" s="625">
        <f t="shared" si="657"/>
        <v>-14</v>
      </c>
      <c r="P258" s="625">
        <f t="shared" si="657"/>
        <v>332</v>
      </c>
      <c r="Q258" s="625">
        <f t="shared" ref="Q258" si="658">Q169</f>
        <v>-561</v>
      </c>
      <c r="R258" s="625">
        <f t="shared" si="657"/>
        <v>1</v>
      </c>
      <c r="S258" s="625">
        <f t="shared" si="657"/>
        <v>80</v>
      </c>
      <c r="T258" s="625">
        <f t="shared" ref="T258" si="659">T169</f>
        <v>-34</v>
      </c>
      <c r="U258" s="625">
        <f t="shared" si="657"/>
        <v>-50.630121442028454</v>
      </c>
      <c r="V258" s="625">
        <f t="shared" si="657"/>
        <v>-58.992535890515299</v>
      </c>
      <c r="W258" s="625">
        <f t="shared" si="657"/>
        <v>-59.79576275715408</v>
      </c>
      <c r="X258" s="625">
        <f t="shared" ref="X258:AA258" si="660">X169</f>
        <v>-58.821841402358487</v>
      </c>
      <c r="Y258" s="625">
        <f t="shared" si="660"/>
        <v>-61.300828546835376</v>
      </c>
      <c r="Z258" s="625">
        <f t="shared" si="660"/>
        <v>-61.797594246651329</v>
      </c>
      <c r="AA258" s="625">
        <f t="shared" si="660"/>
        <v>-62.189827478250677</v>
      </c>
      <c r="AB258" s="365"/>
      <c r="AC258" s="159"/>
      <c r="AD258" s="159"/>
      <c r="AE258" s="159"/>
      <c r="AF258" s="159"/>
      <c r="AG258" s="159"/>
      <c r="AH258" s="159"/>
      <c r="AI258" s="159"/>
    </row>
    <row r="259" spans="1:35" s="163" customFormat="1" ht="13">
      <c r="A259" s="490" t="s">
        <v>131</v>
      </c>
      <c r="B259" s="439">
        <f t="shared" ref="B259:P259" si="661">SUM(B252:B258)</f>
        <v>2286.7999999999997</v>
      </c>
      <c r="C259" s="439">
        <f t="shared" si="661"/>
        <v>3403.3000000000006</v>
      </c>
      <c r="D259" s="439">
        <f t="shared" si="661"/>
        <v>3123</v>
      </c>
      <c r="E259" s="439">
        <f t="shared" si="661"/>
        <v>-683</v>
      </c>
      <c r="F259" s="439">
        <f t="shared" si="661"/>
        <v>-880</v>
      </c>
      <c r="G259" s="439">
        <f t="shared" si="661"/>
        <v>-598.48772727272717</v>
      </c>
      <c r="H259" s="439">
        <f t="shared" si="661"/>
        <v>-679.51227272727283</v>
      </c>
      <c r="I259" s="439">
        <f t="shared" si="661"/>
        <v>-752.43812593462303</v>
      </c>
      <c r="J259" s="439">
        <f t="shared" si="661"/>
        <v>-1115.0000000000005</v>
      </c>
      <c r="K259" s="439">
        <f t="shared" si="661"/>
        <v>-599.75</v>
      </c>
      <c r="L259" s="439">
        <f t="shared" si="661"/>
        <v>2138</v>
      </c>
      <c r="M259" s="439">
        <f t="shared" si="661"/>
        <v>-35.760999999999513</v>
      </c>
      <c r="N259" s="439">
        <f t="shared" si="661"/>
        <v>-1285.2390000000005</v>
      </c>
      <c r="O259" s="439">
        <f t="shared" si="661"/>
        <v>-663</v>
      </c>
      <c r="P259" s="439">
        <f t="shared" si="661"/>
        <v>129</v>
      </c>
      <c r="Q259" s="439">
        <f t="shared" ref="Q259" si="662">SUM(Q252:Q258)</f>
        <v>-338</v>
      </c>
      <c r="R259" s="439">
        <f>SUM(R252:R258)</f>
        <v>34</v>
      </c>
      <c r="S259" s="439">
        <f t="shared" ref="S259:W259" si="663">SUM(S252:S258)</f>
        <v>378</v>
      </c>
      <c r="T259" s="439">
        <f t="shared" ref="T259" si="664">SUM(T252:T258)</f>
        <v>303</v>
      </c>
      <c r="U259" s="439">
        <f t="shared" si="663"/>
        <v>527.8152378600621</v>
      </c>
      <c r="V259" s="439">
        <f>SUM(V252:V258)</f>
        <v>622.83481131751626</v>
      </c>
      <c r="W259" s="439">
        <f t="shared" si="663"/>
        <v>621.01129881171755</v>
      </c>
      <c r="X259" s="439">
        <f t="shared" ref="X259:AA259" si="665">SUM(X252:X258)</f>
        <v>615.73854852313605</v>
      </c>
      <c r="Y259" s="439">
        <f t="shared" si="665"/>
        <v>590.60859173245399</v>
      </c>
      <c r="Z259" s="439">
        <f t="shared" si="665"/>
        <v>578.15183648561208</v>
      </c>
      <c r="AA259" s="439">
        <f t="shared" si="665"/>
        <v>160.85033390372928</v>
      </c>
      <c r="AB259" s="365"/>
      <c r="AC259" s="159"/>
      <c r="AD259" s="159"/>
      <c r="AE259" s="159"/>
      <c r="AF259" s="159"/>
      <c r="AG259" s="159"/>
      <c r="AH259" s="159"/>
      <c r="AI259" s="159"/>
    </row>
    <row r="260" spans="1:35" s="163" customFormat="1" ht="13">
      <c r="A260" s="490"/>
      <c r="B260" s="365"/>
      <c r="C260" s="365"/>
      <c r="D260" s="365"/>
      <c r="E260" s="365"/>
      <c r="F260" s="365"/>
      <c r="G260" s="365"/>
      <c r="H260" s="365"/>
      <c r="I260" s="365"/>
      <c r="J260" s="365"/>
      <c r="K260" s="365"/>
      <c r="L260" s="365"/>
      <c r="M260" s="365"/>
      <c r="N260" s="365"/>
      <c r="O260" s="365"/>
      <c r="P260" s="365"/>
      <c r="Q260" s="365"/>
      <c r="R260" s="365"/>
      <c r="S260" s="365"/>
      <c r="T260" s="365"/>
      <c r="U260" s="365"/>
      <c r="V260" s="365"/>
      <c r="W260" s="365"/>
      <c r="X260" s="365"/>
      <c r="Y260" s="365"/>
      <c r="Z260" s="365"/>
      <c r="AA260" s="365"/>
      <c r="AB260" s="365"/>
      <c r="AC260" s="159"/>
      <c r="AD260" s="159"/>
      <c r="AE260" s="159"/>
      <c r="AF260" s="159"/>
      <c r="AG260" s="159"/>
      <c r="AH260" s="159"/>
      <c r="AI260" s="159"/>
    </row>
    <row r="261" spans="1:35" s="163" customFormat="1" ht="13">
      <c r="A261" s="490" t="s">
        <v>211</v>
      </c>
      <c r="B261" s="439">
        <f>B66</f>
        <v>0</v>
      </c>
      <c r="C261" s="439">
        <f t="shared" ref="C261:Q261" si="666">B261-C259</f>
        <v>-3403.3000000000006</v>
      </c>
      <c r="D261" s="439">
        <f t="shared" si="666"/>
        <v>-6526.3000000000011</v>
      </c>
      <c r="E261" s="439">
        <f t="shared" si="666"/>
        <v>-5843.3000000000011</v>
      </c>
      <c r="F261" s="439">
        <f t="shared" si="666"/>
        <v>-4963.3000000000011</v>
      </c>
      <c r="G261" s="439">
        <f t="shared" si="666"/>
        <v>-4364.8122727272739</v>
      </c>
      <c r="H261" s="439">
        <f t="shared" si="666"/>
        <v>-3685.3000000000011</v>
      </c>
      <c r="I261" s="439">
        <f t="shared" si="666"/>
        <v>-2932.8618740653783</v>
      </c>
      <c r="J261" s="439">
        <f t="shared" si="666"/>
        <v>-1817.8618740653778</v>
      </c>
      <c r="K261" s="439">
        <f t="shared" si="666"/>
        <v>-1218.1118740653778</v>
      </c>
      <c r="L261" s="439">
        <f t="shared" si="666"/>
        <v>-3356.1118740653778</v>
      </c>
      <c r="M261" s="439">
        <f t="shared" si="666"/>
        <v>-3320.3508740653783</v>
      </c>
      <c r="N261" s="439">
        <f t="shared" si="666"/>
        <v>-2035.1118740653778</v>
      </c>
      <c r="O261" s="439">
        <f t="shared" si="666"/>
        <v>-1372.1118740653778</v>
      </c>
      <c r="P261" s="439">
        <f t="shared" si="666"/>
        <v>-1501.1118740653778</v>
      </c>
      <c r="Q261" s="439">
        <f t="shared" si="666"/>
        <v>-1163.1118740653778</v>
      </c>
      <c r="R261" s="439">
        <f t="shared" ref="R261:W261" si="667">Q261-R259</f>
        <v>-1197.1118740653778</v>
      </c>
      <c r="S261" s="439">
        <f t="shared" si="667"/>
        <v>-1575.1118740653778</v>
      </c>
      <c r="T261" s="439">
        <f t="shared" si="667"/>
        <v>-1878.1118740653778</v>
      </c>
      <c r="U261" s="439">
        <f t="shared" si="667"/>
        <v>-2405.9271119254399</v>
      </c>
      <c r="V261" s="439">
        <f t="shared" si="667"/>
        <v>-3028.7619232429561</v>
      </c>
      <c r="W261" s="439">
        <f t="shared" si="667"/>
        <v>-3649.7732220546736</v>
      </c>
      <c r="X261" s="439">
        <f t="shared" ref="X261" si="668">W261-X259</f>
        <v>-4265.5117705778093</v>
      </c>
      <c r="Y261" s="439">
        <f t="shared" ref="Y261" si="669">X261-Y259</f>
        <v>-4856.1203623102629</v>
      </c>
      <c r="Z261" s="439">
        <f t="shared" ref="Z261" si="670">Y261-Z259</f>
        <v>-5434.2721987958748</v>
      </c>
      <c r="AA261" s="439">
        <f t="shared" ref="AA261" si="671">Z261-AA259</f>
        <v>-5595.1225326996046</v>
      </c>
      <c r="AB261" s="365"/>
      <c r="AC261" s="159"/>
      <c r="AD261" s="159"/>
      <c r="AE261" s="159"/>
      <c r="AF261" s="159"/>
      <c r="AG261" s="159"/>
      <c r="AH261" s="159"/>
      <c r="AI261" s="159"/>
    </row>
    <row r="262" spans="1:35" s="163" customFormat="1" ht="13">
      <c r="A262" s="490" t="s">
        <v>131</v>
      </c>
      <c r="B262" s="439"/>
      <c r="C262" s="439">
        <f t="shared" ref="C262:Q262" si="672">C261-B261</f>
        <v>-3403.3000000000006</v>
      </c>
      <c r="D262" s="439">
        <f t="shared" si="672"/>
        <v>-3123.0000000000005</v>
      </c>
      <c r="E262" s="439">
        <f t="shared" si="672"/>
        <v>683</v>
      </c>
      <c r="F262" s="439">
        <f t="shared" si="672"/>
        <v>880</v>
      </c>
      <c r="G262" s="439">
        <f t="shared" si="672"/>
        <v>598.48772727272717</v>
      </c>
      <c r="H262" s="439">
        <f t="shared" si="672"/>
        <v>679.51227272727283</v>
      </c>
      <c r="I262" s="439">
        <f t="shared" si="672"/>
        <v>752.4381259346228</v>
      </c>
      <c r="J262" s="439">
        <f t="shared" si="672"/>
        <v>1115.0000000000005</v>
      </c>
      <c r="K262" s="439">
        <f t="shared" si="672"/>
        <v>599.75</v>
      </c>
      <c r="L262" s="439">
        <f t="shared" si="672"/>
        <v>-2138</v>
      </c>
      <c r="M262" s="439">
        <f t="shared" si="672"/>
        <v>35.760999999999513</v>
      </c>
      <c r="N262" s="439">
        <f t="shared" si="672"/>
        <v>1285.2390000000005</v>
      </c>
      <c r="O262" s="439">
        <f t="shared" si="672"/>
        <v>663</v>
      </c>
      <c r="P262" s="439">
        <f t="shared" si="672"/>
        <v>-129</v>
      </c>
      <c r="Q262" s="439">
        <f t="shared" si="672"/>
        <v>338</v>
      </c>
      <c r="R262" s="439">
        <f t="shared" ref="R262:W262" si="673">R261-Q261</f>
        <v>-34</v>
      </c>
      <c r="S262" s="439">
        <f t="shared" si="673"/>
        <v>-378</v>
      </c>
      <c r="T262" s="439">
        <f t="shared" si="673"/>
        <v>-303</v>
      </c>
      <c r="U262" s="439">
        <f t="shared" si="673"/>
        <v>-527.8152378600621</v>
      </c>
      <c r="V262" s="439">
        <f t="shared" si="673"/>
        <v>-622.83481131751614</v>
      </c>
      <c r="W262" s="439">
        <f t="shared" si="673"/>
        <v>-621.01129881171755</v>
      </c>
      <c r="X262" s="439">
        <f t="shared" ref="X262" si="674">X261-W261</f>
        <v>-615.73854852313571</v>
      </c>
      <c r="Y262" s="439">
        <f t="shared" ref="Y262" si="675">Y261-X261</f>
        <v>-590.60859173245353</v>
      </c>
      <c r="Z262" s="439">
        <f t="shared" ref="Z262" si="676">Z261-Y261</f>
        <v>-578.15183648561197</v>
      </c>
      <c r="AA262" s="439">
        <f t="shared" ref="AA262" si="677">AA261-Z261</f>
        <v>-160.85033390372973</v>
      </c>
      <c r="AB262" s="365"/>
      <c r="AC262" s="159"/>
      <c r="AD262" s="159"/>
      <c r="AE262" s="159"/>
      <c r="AF262" s="159"/>
      <c r="AG262" s="159"/>
      <c r="AH262" s="159"/>
      <c r="AI262" s="159"/>
    </row>
    <row r="263" spans="1:35" s="163" customFormat="1" ht="13">
      <c r="A263" s="490"/>
      <c r="B263" s="365"/>
      <c r="C263" s="365"/>
      <c r="D263" s="365"/>
      <c r="E263" s="365"/>
      <c r="F263" s="365"/>
      <c r="G263" s="365"/>
      <c r="H263" s="365"/>
      <c r="I263" s="365"/>
      <c r="J263" s="365"/>
      <c r="K263" s="365"/>
      <c r="L263" s="365"/>
      <c r="M263" s="365"/>
      <c r="N263" s="365"/>
      <c r="O263" s="365"/>
      <c r="P263" s="365"/>
      <c r="Q263" s="365"/>
      <c r="R263" s="365"/>
      <c r="S263" s="365"/>
      <c r="T263" s="365"/>
      <c r="U263" s="365"/>
      <c r="V263" s="365"/>
      <c r="W263" s="365"/>
      <c r="X263" s="365"/>
      <c r="Y263" s="365"/>
      <c r="Z263" s="365"/>
      <c r="AA263" s="365"/>
      <c r="AB263" s="365"/>
      <c r="AC263" s="159"/>
      <c r="AD263" s="159"/>
      <c r="AE263" s="159"/>
      <c r="AF263" s="159"/>
      <c r="AG263" s="159"/>
      <c r="AH263" s="159"/>
      <c r="AI263" s="159"/>
    </row>
    <row r="264" spans="1:35" s="163" customFormat="1" ht="13">
      <c r="A264" s="489" t="s">
        <v>212</v>
      </c>
      <c r="B264" s="444">
        <f>B$2</f>
        <v>2007</v>
      </c>
      <c r="C264" s="199">
        <f t="shared" ref="C264:Q264" si="678">B264+1</f>
        <v>2008</v>
      </c>
      <c r="D264" s="199">
        <f t="shared" si="678"/>
        <v>2009</v>
      </c>
      <c r="E264" s="199">
        <f t="shared" si="678"/>
        <v>2010</v>
      </c>
      <c r="F264" s="199">
        <f t="shared" si="678"/>
        <v>2011</v>
      </c>
      <c r="G264" s="199">
        <f t="shared" si="678"/>
        <v>2012</v>
      </c>
      <c r="H264" s="199">
        <f t="shared" si="678"/>
        <v>2013</v>
      </c>
      <c r="I264" s="199">
        <f t="shared" si="678"/>
        <v>2014</v>
      </c>
      <c r="J264" s="199">
        <f t="shared" si="678"/>
        <v>2015</v>
      </c>
      <c r="K264" s="199">
        <f t="shared" si="678"/>
        <v>2016</v>
      </c>
      <c r="L264" s="199">
        <f t="shared" si="678"/>
        <v>2017</v>
      </c>
      <c r="M264" s="199">
        <f t="shared" si="678"/>
        <v>2018</v>
      </c>
      <c r="N264" s="199">
        <f t="shared" si="678"/>
        <v>2019</v>
      </c>
      <c r="O264" s="199">
        <f t="shared" si="678"/>
        <v>2020</v>
      </c>
      <c r="P264" s="199">
        <f t="shared" si="678"/>
        <v>2021</v>
      </c>
      <c r="Q264" s="199">
        <f t="shared" si="678"/>
        <v>2022</v>
      </c>
      <c r="R264" s="199">
        <f t="shared" ref="R264:W264" si="679">Q264+1</f>
        <v>2023</v>
      </c>
      <c r="S264" s="199">
        <f t="shared" si="679"/>
        <v>2024</v>
      </c>
      <c r="T264" s="199">
        <f t="shared" si="679"/>
        <v>2025</v>
      </c>
      <c r="U264" s="199">
        <f t="shared" si="679"/>
        <v>2026</v>
      </c>
      <c r="V264" s="199">
        <f t="shared" si="679"/>
        <v>2027</v>
      </c>
      <c r="W264" s="199">
        <f t="shared" si="679"/>
        <v>2028</v>
      </c>
      <c r="X264" s="199">
        <f t="shared" ref="X264" si="680">W264+1</f>
        <v>2029</v>
      </c>
      <c r="Y264" s="199">
        <f t="shared" ref="Y264" si="681">X264+1</f>
        <v>2030</v>
      </c>
      <c r="Z264" s="199">
        <f t="shared" ref="Z264" si="682">Y264+1</f>
        <v>2031</v>
      </c>
      <c r="AA264" s="199">
        <f t="shared" ref="AA264" si="683">Z264+1</f>
        <v>2032</v>
      </c>
      <c r="AB264" s="203"/>
      <c r="AC264" s="159"/>
      <c r="AD264" s="159"/>
      <c r="AE264" s="159"/>
      <c r="AF264" s="159"/>
      <c r="AG264" s="159"/>
      <c r="AH264" s="159"/>
      <c r="AI264" s="159"/>
    </row>
    <row r="265" spans="1:35" s="163" customFormat="1" ht="13">
      <c r="A265" s="492" t="s">
        <v>2</v>
      </c>
      <c r="B265" s="621">
        <f>'Income Statement'!B453</f>
        <v>3590</v>
      </c>
      <c r="C265" s="621">
        <f>'Income Statement'!G453</f>
        <v>4402.2000000000007</v>
      </c>
      <c r="D265" s="621">
        <f>'Income Statement'!L453</f>
        <v>4220</v>
      </c>
      <c r="E265" s="621">
        <f>'Income Statement'!Q453</f>
        <v>4416</v>
      </c>
      <c r="F265" s="621">
        <f>'Income Statement'!V453</f>
        <v>4423</v>
      </c>
      <c r="G265" s="621">
        <f>'Income Statement'!AA453</f>
        <v>4359</v>
      </c>
      <c r="H265" s="621">
        <f>'Income Statement'!AF453</f>
        <v>4522</v>
      </c>
      <c r="I265" s="621">
        <f>'Income Statement'!AK453</f>
        <v>4112.3305194230634</v>
      </c>
      <c r="J265" s="621">
        <f>'Income Statement'!AP453</f>
        <v>4426</v>
      </c>
      <c r="K265" s="621">
        <f>'Income Statement'!AU453</f>
        <v>4502</v>
      </c>
      <c r="L265" s="621">
        <f>'Income Statement'!AZ453</f>
        <v>4195</v>
      </c>
      <c r="M265" s="621">
        <f>'Income Statement'!BE453</f>
        <v>3843</v>
      </c>
      <c r="N265" s="621">
        <f>'Income Statement'!BJ453</f>
        <v>3926</v>
      </c>
      <c r="O265" s="621">
        <f>'Income Statement'!BO453</f>
        <v>3814</v>
      </c>
      <c r="P265" s="621">
        <f>'Income Statement'!BT453</f>
        <v>3876</v>
      </c>
      <c r="Q265" s="621">
        <f>'Income Statement'!BY453</f>
        <v>3929</v>
      </c>
      <c r="R265" s="621">
        <f>'Income Statement'!CD453</f>
        <v>3960</v>
      </c>
      <c r="S265" s="621">
        <f>'Income Statement'!CI453</f>
        <v>4122</v>
      </c>
      <c r="T265" s="621">
        <f>'Income Statement'!CJ453</f>
        <v>1055</v>
      </c>
      <c r="U265" s="621">
        <f>'Income Statement'!CQ453</f>
        <v>4521.5932718038575</v>
      </c>
      <c r="V265" s="621">
        <f>'Income Statement'!CR453</f>
        <v>4652.7746464653283</v>
      </c>
      <c r="W265" s="621">
        <f>'Income Statement'!CS453</f>
        <v>4782.7277825729407</v>
      </c>
      <c r="X265" s="621">
        <f>'Income Statement'!CT453</f>
        <v>4920.6127220270864</v>
      </c>
      <c r="Y265" s="621">
        <f>'Income Statement'!CU453</f>
        <v>5055.0552341969897</v>
      </c>
      <c r="Z265" s="621">
        <f>'Income Statement'!CV453</f>
        <v>5192.1232583166502</v>
      </c>
      <c r="AA265" s="621">
        <f>'Income Statement'!CW453</f>
        <v>5332.0710765879776</v>
      </c>
      <c r="AB265" s="493"/>
      <c r="AC265" s="159"/>
      <c r="AD265" s="159"/>
      <c r="AE265" s="159"/>
      <c r="AF265" s="159"/>
      <c r="AG265" s="159"/>
      <c r="AH265" s="159"/>
      <c r="AI265" s="159"/>
    </row>
    <row r="266" spans="1:35" s="163" customFormat="1" ht="13">
      <c r="A266" s="492" t="s">
        <v>213</v>
      </c>
      <c r="B266" s="621">
        <f>('Income Statement'!B463+'Income Statement'!B464)*-1</f>
        <v>-894</v>
      </c>
      <c r="C266" s="621">
        <f>('Income Statement'!G463+'Income Statement'!G464)*-1</f>
        <v>-1192.2</v>
      </c>
      <c r="D266" s="621">
        <f>('Income Statement'!L463+'Income Statement'!L464)*-1</f>
        <v>-1165</v>
      </c>
      <c r="E266" s="621">
        <f>('Income Statement'!Q463+'Income Statement'!Q464)*-1</f>
        <v>-1073</v>
      </c>
      <c r="F266" s="621">
        <f>('Income Statement'!V463+'Income Statement'!V464)*-1</f>
        <v>-1191</v>
      </c>
      <c r="G266" s="621">
        <f>('Income Statement'!AA463+'Income Statement'!AA464)*-1</f>
        <v>-1362</v>
      </c>
      <c r="H266" s="621">
        <f>('Income Statement'!AF463+'Income Statement'!AF464)*-1</f>
        <v>-1366</v>
      </c>
      <c r="I266" s="621">
        <f>('Income Statement'!AK463+'Income Statement'!AK464)*-1</f>
        <v>-1427</v>
      </c>
      <c r="J266" s="621">
        <f>('Income Statement'!AP463+'Income Statement'!AP464)*-1</f>
        <v>-1270</v>
      </c>
      <c r="K266" s="621">
        <f>('Income Statement'!AU463+'Income Statement'!AU464)*-1</f>
        <v>-1393</v>
      </c>
      <c r="L266" s="621">
        <f>('Income Statement'!AZ463+'Income Statement'!AZ464)*-1</f>
        <v>-1420</v>
      </c>
      <c r="M266" s="621">
        <f>('Income Statement'!BE463+'Income Statement'!BE464)*-1</f>
        <v>-1068</v>
      </c>
      <c r="N266" s="621">
        <f>('Income Statement'!BJ463+'Income Statement'!BJ464)*-1</f>
        <v>-1379</v>
      </c>
      <c r="O266" s="621">
        <f>('Income Statement'!BO463+'Income Statement'!BO464)*-1</f>
        <v>-1475</v>
      </c>
      <c r="P266" s="621">
        <f>('Income Statement'!BT463+'Income Statement'!BT464)*-1</f>
        <v>-1701</v>
      </c>
      <c r="Q266" s="621">
        <f>('Income Statement'!BY463+'Income Statement'!BY464)*-1</f>
        <v>-1721</v>
      </c>
      <c r="R266" s="621">
        <f>('Income Statement'!CD463+'Income Statement'!CD464)*-1</f>
        <v>-1903</v>
      </c>
      <c r="S266" s="621">
        <f>('Income Statement'!CI463+'Income Statement'!CI464)*-1</f>
        <v>-1780</v>
      </c>
      <c r="T266" s="621">
        <f>('Income Statement'!CJ463+'Income Statement'!CJ464)*-1</f>
        <v>-441</v>
      </c>
      <c r="U266" s="621">
        <f>('Income Statement'!CQ463+'Income Statement'!CQ464)*-1</f>
        <v>-1712.6200000000001</v>
      </c>
      <c r="V266" s="621">
        <f>('Income Statement'!CR463+'Income Statement'!CR464)*-1</f>
        <v>-1716.2140194881929</v>
      </c>
      <c r="W266" s="621">
        <f>('Income Statement'!CS463+'Income Statement'!CS464)*-1</f>
        <v>-1726.342788300195</v>
      </c>
      <c r="X266" s="621">
        <f>('Income Statement'!CT463+'Income Statement'!CT464)*-1</f>
        <v>-1731.4508062958992</v>
      </c>
      <c r="Y266" s="621">
        <f>('Income Statement'!CU463+'Income Statement'!CU464)*-1</f>
        <v>-1718.2769176414311</v>
      </c>
      <c r="Z266" s="621">
        <f>('Income Statement'!CV463+'Income Statement'!CV464)*-1</f>
        <v>-1715.871143349141</v>
      </c>
      <c r="AA266" s="621">
        <f>('Income Statement'!CW463+'Income Statement'!CW464)*-1</f>
        <v>-1684.7269921132493</v>
      </c>
      <c r="AB266" s="493"/>
      <c r="AC266" s="159"/>
      <c r="AD266" s="159"/>
      <c r="AE266" s="159"/>
      <c r="AF266" s="159"/>
      <c r="AG266" s="159"/>
      <c r="AH266" s="159"/>
      <c r="AI266" s="159"/>
    </row>
    <row r="267" spans="1:35" s="163" customFormat="1" ht="13">
      <c r="A267" s="492" t="s">
        <v>214</v>
      </c>
      <c r="B267" s="621">
        <f>'Income Statement'!B476*1</f>
        <v>-8.6000000000000014</v>
      </c>
      <c r="C267" s="621">
        <f>'Income Statement'!G476*1</f>
        <v>17.899999999999999</v>
      </c>
      <c r="D267" s="621">
        <f>'Income Statement'!L476*1</f>
        <v>-48</v>
      </c>
      <c r="E267" s="621">
        <f>'Income Statement'!Q476*1</f>
        <v>-211</v>
      </c>
      <c r="F267" s="621">
        <f>'Income Statement'!V476*1</f>
        <v>-228</v>
      </c>
      <c r="G267" s="621">
        <f>'Income Statement'!AA476*1</f>
        <v>-288</v>
      </c>
      <c r="H267" s="621">
        <f>'Income Statement'!AF476*1</f>
        <v>-329</v>
      </c>
      <c r="I267" s="621">
        <f>'Income Statement'!AK476*1</f>
        <v>-389</v>
      </c>
      <c r="J267" s="621">
        <f>'Income Statement'!AP476*1</f>
        <v>-378.82078737102057</v>
      </c>
      <c r="K267" s="621">
        <f>'Income Statement'!AU476*1</f>
        <v>-669</v>
      </c>
      <c r="L267" s="621">
        <f>'Income Statement'!AZ476*1</f>
        <v>-384</v>
      </c>
      <c r="M267" s="621">
        <f>'Income Statement'!BE476*1</f>
        <v>-358</v>
      </c>
      <c r="N267" s="621">
        <f>'Income Statement'!BJ476*1</f>
        <v>-452</v>
      </c>
      <c r="O267" s="621">
        <f>'Income Statement'!BO476*1</f>
        <v>-405</v>
      </c>
      <c r="P267" s="621">
        <f>'Income Statement'!BT476*1</f>
        <v>-412</v>
      </c>
      <c r="Q267" s="621">
        <f>'Income Statement'!BY476*1</f>
        <v>-407</v>
      </c>
      <c r="R267" s="621">
        <f>'Income Statement'!CD476*1</f>
        <v>-446</v>
      </c>
      <c r="S267" s="621">
        <f>'Income Statement'!CI476*1</f>
        <v>-447</v>
      </c>
      <c r="T267" s="621">
        <f>'Income Statement'!CJ476*1</f>
        <v>-111</v>
      </c>
      <c r="U267" s="621">
        <f>'Income Statement'!CQ476*1</f>
        <v>-432.2472885032538</v>
      </c>
      <c r="V267" s="621">
        <f>'Income Statement'!CR476*1</f>
        <v>-404.22957606993174</v>
      </c>
      <c r="W267" s="621">
        <f>'Income Statement'!CS476*1</f>
        <v>-371.2795361682812</v>
      </c>
      <c r="X267" s="621">
        <f>'Income Statement'!CT476*1</f>
        <v>-338.41561780012677</v>
      </c>
      <c r="Y267" s="621">
        <f>'Income Statement'!CU476*1</f>
        <v>-305.78952964444761</v>
      </c>
      <c r="Z267" s="621">
        <f>'Income Statement'!CV476*1</f>
        <v>-274.45966587974783</v>
      </c>
      <c r="AA267" s="621">
        <f>'Income Statement'!CW476*1</f>
        <v>-243.73695033454078</v>
      </c>
      <c r="AB267" s="494"/>
      <c r="AC267" s="159"/>
      <c r="AD267" s="159"/>
      <c r="AE267" s="159"/>
      <c r="AF267" s="159"/>
      <c r="AG267" s="159"/>
      <c r="AH267" s="159"/>
      <c r="AI267" s="159"/>
    </row>
    <row r="268" spans="1:35" s="163" customFormat="1" ht="13">
      <c r="A268" s="492" t="s">
        <v>215</v>
      </c>
      <c r="B268" s="621">
        <v>0</v>
      </c>
      <c r="C268" s="621">
        <v>0</v>
      </c>
      <c r="D268" s="621">
        <v>0</v>
      </c>
      <c r="E268" s="621">
        <v>0</v>
      </c>
      <c r="F268" s="621">
        <v>0</v>
      </c>
      <c r="G268" s="621">
        <v>0</v>
      </c>
      <c r="H268" s="621">
        <v>0</v>
      </c>
      <c r="I268" s="621">
        <v>0</v>
      </c>
      <c r="J268" s="621">
        <v>0</v>
      </c>
      <c r="K268" s="621">
        <v>0</v>
      </c>
      <c r="L268" s="621">
        <v>0</v>
      </c>
      <c r="M268" s="621">
        <v>0</v>
      </c>
      <c r="N268" s="621">
        <v>0</v>
      </c>
      <c r="O268" s="621">
        <v>0</v>
      </c>
      <c r="P268" s="621">
        <v>0</v>
      </c>
      <c r="Q268" s="621"/>
      <c r="R268" s="621">
        <v>2</v>
      </c>
      <c r="S268" s="621">
        <v>3</v>
      </c>
      <c r="T268" s="621"/>
      <c r="U268" s="621">
        <v>5</v>
      </c>
      <c r="V268" s="621">
        <v>6</v>
      </c>
      <c r="W268" s="621">
        <v>7</v>
      </c>
      <c r="X268" s="621">
        <v>7</v>
      </c>
      <c r="Y268" s="621">
        <v>7</v>
      </c>
      <c r="Z268" s="621">
        <v>7</v>
      </c>
      <c r="AA268" s="621">
        <v>7</v>
      </c>
      <c r="AB268" s="391"/>
      <c r="AC268" s="159"/>
      <c r="AD268" s="159"/>
      <c r="AE268" s="159"/>
      <c r="AF268" s="159"/>
      <c r="AG268" s="159"/>
      <c r="AH268" s="159"/>
      <c r="AI268" s="159"/>
    </row>
    <row r="269" spans="1:35" s="163" customFormat="1" ht="13">
      <c r="A269" s="490" t="s">
        <v>216</v>
      </c>
      <c r="B269" s="439">
        <f>'Income Statement'!B479*B201*-1</f>
        <v>-671.85</v>
      </c>
      <c r="C269" s="439">
        <f>'Income Statement'!G479*0.18*-1</f>
        <v>-581.02200000000016</v>
      </c>
      <c r="D269" s="439">
        <f>'Income Statement'!L479*D201*-1</f>
        <v>-751.75</v>
      </c>
      <c r="E269" s="439">
        <f>'Income Statement'!Q479*E201*-1</f>
        <v>-783</v>
      </c>
      <c r="F269" s="439">
        <f>'Income Statement'!V479*F201*-1</f>
        <v>-751</v>
      </c>
      <c r="G269" s="439">
        <f>'Income Statement'!AA479*G201*-1</f>
        <v>-677.25</v>
      </c>
      <c r="H269" s="439">
        <f>'Income Statement'!AF479*H201*-1</f>
        <v>-706.75</v>
      </c>
      <c r="I269" s="439">
        <f>'Income Statement'!AK479*I201*-1</f>
        <v>-574.08262985576584</v>
      </c>
      <c r="J269" s="439">
        <f>'Income Statement'!AP479*J201*-1</f>
        <v>-694.29480315724481</v>
      </c>
      <c r="K269" s="439">
        <f>'Income Statement'!AU479*K201*-1</f>
        <v>-610</v>
      </c>
      <c r="L269" s="439">
        <f>'Income Statement'!AZ479*L201*-1</f>
        <v>-3421.25</v>
      </c>
      <c r="M269" s="439">
        <f>'Income Statement'!BE479*M201*-1</f>
        <v>-587.5</v>
      </c>
      <c r="N269" s="439">
        <f>'Income Statement'!BJ479*N201*-1</f>
        <v>-509</v>
      </c>
      <c r="O269" s="439">
        <f>'Income Statement'!BO479*O201*-1</f>
        <v>-469.75</v>
      </c>
      <c r="P269" s="439">
        <f>'Income Statement'!BT479*P201*-1</f>
        <v>-417.5</v>
      </c>
      <c r="Q269" s="439">
        <f>'Income Statement'!BY479*Q201*-1</f>
        <v>-450.5</v>
      </c>
      <c r="R269" s="439">
        <f>'Income Statement'!CD479*R201*-1</f>
        <v>-361</v>
      </c>
      <c r="S269" s="439">
        <f>'Income Statement'!CI479*S201*-1</f>
        <v>-469.25</v>
      </c>
      <c r="T269" s="439">
        <f>'Income Statement'!CJ479*T201*-1</f>
        <v>0</v>
      </c>
      <c r="U269" s="439">
        <f>'Income Statement'!CQ479*U201*-1</f>
        <v>-594.18149582515093</v>
      </c>
      <c r="V269" s="439">
        <f>'Income Statement'!CR479*V201*-1</f>
        <v>-633.08276272680087</v>
      </c>
      <c r="W269" s="439">
        <f>'Income Statement'!CS479*W201*-1</f>
        <v>-671.27636452611614</v>
      </c>
      <c r="X269" s="439">
        <f>'Income Statement'!CT479*X201*-1</f>
        <v>-712.68657448276508</v>
      </c>
      <c r="Y269" s="439">
        <f>'Income Statement'!CU479*Y201*-1</f>
        <v>-757.7471967277778</v>
      </c>
      <c r="Z269" s="439">
        <f>'Income Statement'!CV479*Z201*-1</f>
        <v>-800.44811227194032</v>
      </c>
      <c r="AA269" s="439">
        <f>'Income Statement'!CW479*AA201*-1</f>
        <v>-850.90178353504677</v>
      </c>
      <c r="AB269" s="365"/>
      <c r="AC269" s="159"/>
      <c r="AD269" s="159"/>
      <c r="AE269" s="159"/>
      <c r="AF269" s="159"/>
      <c r="AG269" s="159"/>
      <c r="AH269" s="159"/>
      <c r="AI269" s="159"/>
    </row>
    <row r="270" spans="1:35" s="163" customFormat="1" ht="13">
      <c r="A270" s="391" t="s">
        <v>542</v>
      </c>
      <c r="B270" s="439">
        <v>0</v>
      </c>
      <c r="C270" s="439">
        <v>0</v>
      </c>
      <c r="D270" s="439">
        <f>D271-SUM(D265:D269)</f>
        <v>-23.25</v>
      </c>
      <c r="E270" s="439">
        <f t="shared" ref="E270:K270" si="684">E271-SUM(E265:E269)</f>
        <v>-54</v>
      </c>
      <c r="F270" s="439">
        <f t="shared" si="684"/>
        <v>278</v>
      </c>
      <c r="G270" s="439">
        <f t="shared" si="684"/>
        <v>-38.75</v>
      </c>
      <c r="H270" s="439">
        <f t="shared" si="684"/>
        <v>-17.25</v>
      </c>
      <c r="I270" s="439">
        <f t="shared" si="684"/>
        <v>-114.68601550192056</v>
      </c>
      <c r="J270" s="439">
        <f t="shared" si="684"/>
        <v>-18.705196842754958</v>
      </c>
      <c r="K270" s="439">
        <f t="shared" si="684"/>
        <v>140.99999999999977</v>
      </c>
      <c r="L270" s="439">
        <f>L271-SUM(L265:L269)</f>
        <v>3005.6493610223642</v>
      </c>
      <c r="M270" s="439">
        <f>M271-SUM(M265:M269)</f>
        <v>6.1000000000001364</v>
      </c>
      <c r="N270" s="439">
        <f>N271-SUM(N265:N269)</f>
        <v>-94.909207161125323</v>
      </c>
      <c r="O270" s="439">
        <f>O271-SUM(O265:O269)</f>
        <v>-86.250000000000227</v>
      </c>
      <c r="P270" s="439">
        <f t="shared" ref="P270:V270" si="685">P271-SUM(P265:P269)</f>
        <v>-36.663682864450038</v>
      </c>
      <c r="Q270" s="439">
        <f t="shared" ref="Q270" si="686">Q271-SUM(Q265:Q269)</f>
        <v>-198.98577729295039</v>
      </c>
      <c r="R270" s="439">
        <f t="shared" si="685"/>
        <v>-258.98516624040928</v>
      </c>
      <c r="S270" s="439">
        <f t="shared" ref="S270:W270" si="687">S271-SUM(S265:S269)</f>
        <v>-31.141364098967415</v>
      </c>
      <c r="T270" s="439">
        <f t="shared" ref="T270" si="688">T271-SUM(T265:T269)</f>
        <v>1059.6667752575906</v>
      </c>
      <c r="U270" s="439">
        <f t="shared" si="687"/>
        <v>6.4255755151266385</v>
      </c>
      <c r="V270" s="439">
        <f t="shared" si="685"/>
        <v>19.323310509072144</v>
      </c>
      <c r="W270" s="439">
        <f t="shared" si="687"/>
        <v>19.851054581044536</v>
      </c>
      <c r="X270" s="439">
        <f t="shared" ref="X270:AA270" si="689">X271-SUM(X265:X269)</f>
        <v>21.507462979310731</v>
      </c>
      <c r="Y270" s="439">
        <f t="shared" si="689"/>
        <v>23.309887869111662</v>
      </c>
      <c r="Z270" s="439">
        <f t="shared" si="689"/>
        <v>25.017924490877249</v>
      </c>
      <c r="AA270" s="439">
        <f t="shared" si="689"/>
        <v>27.036071341401566</v>
      </c>
      <c r="AB270" s="365"/>
      <c r="AC270" s="159"/>
      <c r="AD270" s="159"/>
      <c r="AE270" s="159"/>
      <c r="AF270" s="159"/>
      <c r="AG270" s="159"/>
      <c r="AH270" s="159"/>
      <c r="AI270" s="159"/>
    </row>
    <row r="271" spans="1:35" s="163" customFormat="1" ht="13">
      <c r="A271" s="448" t="s">
        <v>217</v>
      </c>
      <c r="B271" s="439">
        <f>SUM(B265:B270)</f>
        <v>2015.5500000000002</v>
      </c>
      <c r="C271" s="439">
        <f>SUM(C265:C270)</f>
        <v>2646.8780000000006</v>
      </c>
      <c r="D271" s="505">
        <f>Anna!N15*Anna!N3</f>
        <v>2232</v>
      </c>
      <c r="E271" s="505">
        <f>Anna!O15*Anna!O3</f>
        <v>2295</v>
      </c>
      <c r="F271" s="505">
        <f>Anna!P15*Anna!P3</f>
        <v>2531</v>
      </c>
      <c r="G271" s="505">
        <f>Anna!Q15*Anna!Q3</f>
        <v>1993</v>
      </c>
      <c r="H271" s="505">
        <f>Anna!R15*Anna!R3</f>
        <v>2103</v>
      </c>
      <c r="I271" s="505">
        <f>Anna!S15*Anna!S3</f>
        <v>1607.561874065377</v>
      </c>
      <c r="J271" s="505">
        <f>Anna!T15*Anna!T3</f>
        <v>2064.1792126289793</v>
      </c>
      <c r="K271" s="505">
        <f>Anna!U15*Anna!U3</f>
        <v>1970.9999999999998</v>
      </c>
      <c r="L271" s="505">
        <f>Anna!V15*Anna!V3</f>
        <v>1975.399361022364</v>
      </c>
      <c r="M271" s="505">
        <f>Anna!W15*Anna!W3</f>
        <v>1835.6000000000001</v>
      </c>
      <c r="N271" s="505">
        <f>Anna!X15*Anna!X3</f>
        <v>1491.0907928388747</v>
      </c>
      <c r="O271" s="505">
        <f>Anna!Y15*Anna!Y3</f>
        <v>1377.9999999999998</v>
      </c>
      <c r="P271" s="505">
        <f>Anna!Z15*Anna!Z3</f>
        <v>1308.83631713555</v>
      </c>
      <c r="Q271" s="505">
        <f>Anna!AA15*Anna!AA3</f>
        <v>1151.5142227070496</v>
      </c>
      <c r="R271" s="505">
        <f>Anna!AB15*Anna!AB3</f>
        <v>993.01483375959072</v>
      </c>
      <c r="S271" s="505">
        <f>Anna!AC15*Anna!AC3</f>
        <v>1397.6086359010326</v>
      </c>
      <c r="T271" s="505">
        <f>Anna!AD15*Anna!AD3</f>
        <v>1562.6667752575906</v>
      </c>
      <c r="U271" s="505">
        <f>Anna!AE15*Anna!AE3</f>
        <v>1793.9700629905794</v>
      </c>
      <c r="V271" s="505">
        <f>Anna!AF15*Anna!AF3</f>
        <v>1924.5715986894747</v>
      </c>
      <c r="W271" s="505">
        <f>Anna!AG15*Anna!AG3</f>
        <v>2040.680148159393</v>
      </c>
      <c r="X271" s="505">
        <f>Anna!AH15*Anna!AH3</f>
        <v>2166.567186427606</v>
      </c>
      <c r="Y271" s="505">
        <f>Anna!AI15*Anna!AI3</f>
        <v>2303.5514780524445</v>
      </c>
      <c r="Z271" s="505">
        <f>Anna!AJ15*Anna!AJ3</f>
        <v>2433.3622613066987</v>
      </c>
      <c r="AA271" s="505">
        <f>Anna!AK15*Anna!AK3</f>
        <v>2586.7414219465422</v>
      </c>
      <c r="AB271" s="365"/>
      <c r="AC271" s="159"/>
      <c r="AD271" s="159"/>
      <c r="AE271" s="159"/>
      <c r="AF271" s="159"/>
      <c r="AG271" s="159"/>
      <c r="AH271" s="159"/>
      <c r="AI271" s="159"/>
    </row>
    <row r="272" spans="1:35" s="163" customFormat="1" ht="13">
      <c r="A272" s="448"/>
      <c r="B272" s="365"/>
      <c r="C272" s="365"/>
      <c r="D272" s="365"/>
      <c r="E272" s="365"/>
      <c r="F272" s="365"/>
      <c r="G272" s="365"/>
      <c r="H272" s="365"/>
      <c r="I272" s="365"/>
      <c r="J272" s="365"/>
      <c r="K272" s="365"/>
      <c r="L272" s="365"/>
      <c r="M272" s="159"/>
      <c r="N272" s="159"/>
      <c r="O272" s="159"/>
      <c r="P272" s="159"/>
      <c r="Q272" s="159"/>
      <c r="R272" s="159"/>
      <c r="S272" s="159"/>
      <c r="T272" s="159"/>
      <c r="U272" s="159"/>
      <c r="V272" s="159"/>
      <c r="W272" s="159"/>
      <c r="X272" s="159"/>
      <c r="Y272" s="159"/>
      <c r="Z272" s="159"/>
      <c r="AA272" s="159"/>
      <c r="AB272" s="159"/>
      <c r="AC272" s="159"/>
      <c r="AD272" s="159"/>
      <c r="AE272" s="159"/>
      <c r="AF272" s="159"/>
      <c r="AG272" s="159"/>
      <c r="AH272" s="159"/>
      <c r="AI272" s="159"/>
    </row>
    <row r="273" spans="1:35" s="163" customFormat="1" ht="13">
      <c r="A273" s="493" t="s">
        <v>218</v>
      </c>
      <c r="B273" s="439">
        <f t="shared" ref="B273:W273" si="690">B252*(1-B200)</f>
        <v>2293.6742874153456</v>
      </c>
      <c r="C273" s="439">
        <f t="shared" si="690"/>
        <v>3360.7706744322936</v>
      </c>
      <c r="D273" s="439">
        <f t="shared" si="690"/>
        <v>3362.0053209178586</v>
      </c>
      <c r="E273" s="439">
        <f t="shared" si="690"/>
        <v>2177.7586206896553</v>
      </c>
      <c r="F273" s="439">
        <f t="shared" si="690"/>
        <v>2893.2936085219708</v>
      </c>
      <c r="G273" s="439">
        <f t="shared" si="690"/>
        <v>2478.5592469545954</v>
      </c>
      <c r="H273" s="439">
        <f t="shared" si="690"/>
        <v>2757.6303501945522</v>
      </c>
      <c r="I273" s="439">
        <f t="shared" si="690"/>
        <v>2080.8002940909155</v>
      </c>
      <c r="J273" s="439">
        <f t="shared" si="690"/>
        <v>2320.4723240482558</v>
      </c>
      <c r="K273" s="439">
        <f t="shared" si="690"/>
        <v>2350.3290983606557</v>
      </c>
      <c r="L273" s="439">
        <f t="shared" si="690"/>
        <v>2384.7961271465106</v>
      </c>
      <c r="M273" s="439">
        <f t="shared" si="690"/>
        <v>2106.7340425531916</v>
      </c>
      <c r="N273" s="439">
        <f t="shared" si="690"/>
        <v>2034.75</v>
      </c>
      <c r="O273" s="439">
        <f t="shared" si="690"/>
        <v>1927.7754124534326</v>
      </c>
      <c r="P273" s="439">
        <f t="shared" si="690"/>
        <v>1957.9784431137723</v>
      </c>
      <c r="Q273" s="439">
        <f t="shared" ref="Q273" si="691">Q252*(1-Q200)</f>
        <v>1798.0382907880135</v>
      </c>
      <c r="R273" s="439">
        <f t="shared" si="690"/>
        <v>2161.9279778393352</v>
      </c>
      <c r="S273" s="439">
        <f t="shared" si="690"/>
        <v>2564.4155567394778</v>
      </c>
      <c r="T273" s="439">
        <f t="shared" ref="T273" si="692">T252*(1-T200)</f>
        <v>-40.116000000000035</v>
      </c>
      <c r="U273" s="439">
        <f t="shared" si="690"/>
        <v>2587.4109824373304</v>
      </c>
      <c r="V273" s="439">
        <f t="shared" si="690"/>
        <v>2768.8624867960202</v>
      </c>
      <c r="W273" s="439">
        <f t="shared" si="690"/>
        <v>2848.8453366021404</v>
      </c>
      <c r="X273" s="439">
        <f t="shared" ref="X273:AA273" si="693">X252*(1-X200)</f>
        <v>2933.8105797191643</v>
      </c>
      <c r="Y273" s="439">
        <f t="shared" si="693"/>
        <v>3016.7734160668647</v>
      </c>
      <c r="Z273" s="439">
        <f t="shared" si="693"/>
        <v>3101.4555786035876</v>
      </c>
      <c r="AA273" s="439">
        <f t="shared" si="693"/>
        <v>2899.8909408923723</v>
      </c>
      <c r="AB273" s="365"/>
      <c r="AC273" s="159"/>
      <c r="AD273" s="159"/>
      <c r="AE273" s="159"/>
      <c r="AF273" s="159"/>
      <c r="AG273" s="159"/>
      <c r="AH273" s="159"/>
      <c r="AI273" s="159"/>
    </row>
    <row r="274" spans="1:35" s="163" customFormat="1" ht="13">
      <c r="A274" s="493" t="s">
        <v>145</v>
      </c>
      <c r="B274" s="160">
        <f t="shared" ref="B274:J274" si="694">B273/(5*B340)</f>
        <v>0.4081997308089243</v>
      </c>
      <c r="C274" s="160">
        <f t="shared" si="694"/>
        <v>0.83726225073051663</v>
      </c>
      <c r="D274" s="160">
        <f t="shared" si="694"/>
        <v>1.1396628206501216</v>
      </c>
      <c r="E274" s="160">
        <f t="shared" si="694"/>
        <v>0.30162861782405198</v>
      </c>
      <c r="F274" s="160">
        <f t="shared" si="694"/>
        <v>0.58509476410959971</v>
      </c>
      <c r="G274" s="160">
        <f t="shared" si="694"/>
        <v>0.50071903978880716</v>
      </c>
      <c r="H274" s="160">
        <f t="shared" si="694"/>
        <v>0.67671910434222138</v>
      </c>
      <c r="I274" s="160">
        <f t="shared" si="694"/>
        <v>0.36505268317384482</v>
      </c>
      <c r="J274" s="160">
        <f t="shared" si="694"/>
        <v>0.35590066319758523</v>
      </c>
      <c r="K274" s="160">
        <f>K273/(5*K340-K63)</f>
        <v>0.34759183619043232</v>
      </c>
      <c r="L274" s="160">
        <f>L273/(5*L340-K63-L63)</f>
        <v>0.40035189107256652</v>
      </c>
      <c r="M274" s="160">
        <f>M273/(5*M340-K63-L63-M63)</f>
        <v>0.3111053745997267</v>
      </c>
      <c r="N274" s="160">
        <f>N273/(5*N340-K63-L63-M63-N63)</f>
        <v>0.26609274242588699</v>
      </c>
      <c r="O274" s="160">
        <f>O273/(5*O340-K63-L63-M63-N63-O63)</f>
        <v>0.21703267943346888</v>
      </c>
      <c r="P274" s="161">
        <f>P273/(5*P340-K63-L63-M63-N63-O63-P63)</f>
        <v>0.2278727579789829</v>
      </c>
      <c r="Q274" s="161">
        <f>Q273/(5*Q340-L63-M63-N63-O63-P63-Q63)</f>
        <v>0.24262830362005236</v>
      </c>
      <c r="R274" s="161">
        <f>R273/(5*R340-M63-N63-O63-P63-Q63-R63)</f>
        <v>0.36607666494052921</v>
      </c>
      <c r="S274" s="160">
        <f>S273/(5*S340-M63-N63-O63-P63-Q63-R63-S63)</f>
        <v>0.49214699006835544</v>
      </c>
      <c r="T274" s="160">
        <f>T273/(5*T340-N63-O63-P63-Q63-R63-S63-T63)</f>
        <v>-6.679709939806688E-3</v>
      </c>
      <c r="U274" s="160">
        <f>U273/(5*U340-O63-P63-Q63-R63-S63-T63-U63)</f>
        <v>0.39511842323051577</v>
      </c>
      <c r="V274" s="160">
        <f>V273/(5*V340-Q63-R63-S63-T63-U63-V63)</f>
        <v>0.54854240213009542</v>
      </c>
      <c r="W274" s="160">
        <f>W273/(5*W340-Q63-R63-S63-T63-U63-V63-W63)</f>
        <v>0.55090227495633726</v>
      </c>
      <c r="X274" s="160">
        <f>X273/(5*X340-R63-S63-T63-U63-V63-W63-X63)</f>
        <v>0.55337394302346943</v>
      </c>
      <c r="Y274" s="160">
        <f>Y273/(5*Y340-S63-T63-U63-V63-W63-X63-Y63)</f>
        <v>0.55577145997842847</v>
      </c>
      <c r="Z274" s="160">
        <f>Z273/(5*Z340-T63-U63-V63-W63-X63-Y63-Z63)</f>
        <v>0.55818687811063417</v>
      </c>
      <c r="AA274" s="160">
        <f>AA273/(5*AA340-U63-V63-W63-X63-Y63-Z63-AA63)</f>
        <v>0.3824641174278684</v>
      </c>
      <c r="AB274" s="185"/>
      <c r="AC274" s="159"/>
      <c r="AD274" s="159"/>
      <c r="AE274" s="159"/>
      <c r="AF274" s="159"/>
      <c r="AG274" s="159"/>
      <c r="AH274" s="159"/>
      <c r="AI274" s="159"/>
    </row>
    <row r="275" spans="1:35" s="163" customFormat="1" ht="13">
      <c r="A275" s="493" t="s">
        <v>219</v>
      </c>
      <c r="B275" s="495" t="e">
        <f t="shared" ref="B275:AA275" si="695">((B265+B266)*(1-0.25))/(B20-B27)</f>
        <v>#DIV/0!</v>
      </c>
      <c r="C275" s="495" t="e">
        <f t="shared" si="695"/>
        <v>#DIV/0!</v>
      </c>
      <c r="D275" s="160">
        <f t="shared" si="695"/>
        <v>0.15815903913853799</v>
      </c>
      <c r="E275" s="160">
        <f t="shared" si="695"/>
        <v>0.16824922829150449</v>
      </c>
      <c r="F275" s="160">
        <f t="shared" si="695"/>
        <v>0.17816979051819185</v>
      </c>
      <c r="G275" s="160">
        <f t="shared" si="695"/>
        <v>0.17842653257618343</v>
      </c>
      <c r="H275" s="160">
        <f t="shared" si="695"/>
        <v>0.17316555710000731</v>
      </c>
      <c r="I275" s="160">
        <f t="shared" si="695"/>
        <v>0.14461103536779618</v>
      </c>
      <c r="J275" s="160">
        <f t="shared" si="695"/>
        <v>0.16797956142218437</v>
      </c>
      <c r="K275" s="160">
        <f t="shared" si="695"/>
        <v>0.15920729209340434</v>
      </c>
      <c r="L275" s="160">
        <f t="shared" si="695"/>
        <v>0.13588952548846775</v>
      </c>
      <c r="M275" s="160">
        <f t="shared" si="695"/>
        <v>0.13634702011745006</v>
      </c>
      <c r="N275" s="160">
        <f t="shared" si="695"/>
        <v>0.12105513307984792</v>
      </c>
      <c r="O275" s="160">
        <f t="shared" si="695"/>
        <v>0.10040924961364547</v>
      </c>
      <c r="P275" s="160">
        <f t="shared" si="695"/>
        <v>0.1008875007730843</v>
      </c>
      <c r="Q275" s="160">
        <f t="shared" si="695"/>
        <v>8.9022685732716919E-2</v>
      </c>
      <c r="R275" s="160">
        <f t="shared" si="695"/>
        <v>8.8873206981969002E-2</v>
      </c>
      <c r="S275" s="160">
        <f>((S265+S266)*(1-0.25))/(S20-S27)</f>
        <v>0.10504126300681736</v>
      </c>
      <c r="T275" s="160">
        <f>((T265+T266)*(1-0.25))/(T20-T27)</f>
        <v>2.8885961610839294E-2</v>
      </c>
      <c r="U275" s="160">
        <f t="shared" si="695"/>
        <v>0.13498619367056175</v>
      </c>
      <c r="V275" s="160">
        <f t="shared" si="695"/>
        <v>0.14500754738768049</v>
      </c>
      <c r="W275" s="160">
        <f t="shared" si="695"/>
        <v>0.15506041134161144</v>
      </c>
      <c r="X275" s="160">
        <f t="shared" si="695"/>
        <v>0.1661414770946785</v>
      </c>
      <c r="Y275" s="160">
        <f t="shared" si="695"/>
        <v>0.17814001181842223</v>
      </c>
      <c r="Z275" s="160">
        <f t="shared" si="695"/>
        <v>0.1899483229485735</v>
      </c>
      <c r="AA275" s="160">
        <f t="shared" si="695"/>
        <v>0.19771093328049585</v>
      </c>
      <c r="AB275" s="185"/>
      <c r="AC275" s="159"/>
      <c r="AD275" s="159"/>
      <c r="AE275" s="159"/>
      <c r="AF275" s="159"/>
      <c r="AG275" s="159"/>
      <c r="AH275" s="159"/>
      <c r="AI275" s="159"/>
    </row>
    <row r="276" spans="1:35" s="163" customFormat="1" ht="13">
      <c r="A276" s="490" t="s">
        <v>220</v>
      </c>
      <c r="B276" s="622">
        <f t="shared" ref="B276:P276" si="696">B271</f>
        <v>2015.5500000000002</v>
      </c>
      <c r="C276" s="622">
        <f t="shared" si="696"/>
        <v>2646.8780000000006</v>
      </c>
      <c r="D276" s="622">
        <f t="shared" si="696"/>
        <v>2232</v>
      </c>
      <c r="E276" s="622">
        <f t="shared" si="696"/>
        <v>2295</v>
      </c>
      <c r="F276" s="622">
        <f t="shared" si="696"/>
        <v>2531</v>
      </c>
      <c r="G276" s="622">
        <f t="shared" si="696"/>
        <v>1993</v>
      </c>
      <c r="H276" s="622">
        <f t="shared" si="696"/>
        <v>2103</v>
      </c>
      <c r="I276" s="622">
        <f t="shared" si="696"/>
        <v>1607.561874065377</v>
      </c>
      <c r="J276" s="622">
        <f t="shared" si="696"/>
        <v>2064.1792126289793</v>
      </c>
      <c r="K276" s="622">
        <f t="shared" si="696"/>
        <v>1970.9999999999998</v>
      </c>
      <c r="L276" s="622">
        <f t="shared" si="696"/>
        <v>1975.399361022364</v>
      </c>
      <c r="M276" s="622">
        <f t="shared" si="696"/>
        <v>1835.6000000000001</v>
      </c>
      <c r="N276" s="622">
        <f t="shared" si="696"/>
        <v>1491.0907928388747</v>
      </c>
      <c r="O276" s="622">
        <f t="shared" si="696"/>
        <v>1377.9999999999998</v>
      </c>
      <c r="P276" s="619">
        <f t="shared" si="696"/>
        <v>1308.83631713555</v>
      </c>
      <c r="Q276" s="619">
        <f t="shared" ref="Q276" si="697">Q271</f>
        <v>1151.5142227070496</v>
      </c>
      <c r="R276" s="619">
        <f t="shared" ref="R276:W276" si="698">R271</f>
        <v>993.01483375959072</v>
      </c>
      <c r="S276" s="622">
        <f t="shared" si="698"/>
        <v>1397.6086359010326</v>
      </c>
      <c r="T276" s="622">
        <f t="shared" ref="T276" si="699">T271</f>
        <v>1562.6667752575906</v>
      </c>
      <c r="U276" s="622">
        <f t="shared" si="698"/>
        <v>1793.9700629905794</v>
      </c>
      <c r="V276" s="622">
        <f t="shared" si="698"/>
        <v>1924.5715986894747</v>
      </c>
      <c r="W276" s="622">
        <f t="shared" si="698"/>
        <v>2040.680148159393</v>
      </c>
      <c r="X276" s="622">
        <f t="shared" ref="X276:AA276" si="700">X271</f>
        <v>2166.567186427606</v>
      </c>
      <c r="Y276" s="622">
        <f t="shared" si="700"/>
        <v>2303.5514780524445</v>
      </c>
      <c r="Z276" s="622">
        <f t="shared" si="700"/>
        <v>2433.3622613066987</v>
      </c>
      <c r="AA276" s="622">
        <f t="shared" si="700"/>
        <v>2586.7414219465422</v>
      </c>
      <c r="AB276" s="456"/>
      <c r="AC276" s="159"/>
      <c r="AD276" s="159"/>
      <c r="AE276" s="159"/>
      <c r="AF276" s="159"/>
      <c r="AG276" s="159"/>
      <c r="AH276" s="159"/>
      <c r="AI276" s="159"/>
    </row>
    <row r="277" spans="1:35" s="163" customFormat="1" ht="13">
      <c r="A277" s="490" t="s">
        <v>221</v>
      </c>
      <c r="B277" s="622">
        <f>'Income Statement'!B463</f>
        <v>894</v>
      </c>
      <c r="C277" s="622">
        <f>'Income Statement'!G463</f>
        <v>1192.2</v>
      </c>
      <c r="D277" s="622">
        <f>'Income Statement'!L463</f>
        <v>1165</v>
      </c>
      <c r="E277" s="622">
        <f>'Income Statement'!Q463</f>
        <v>1073</v>
      </c>
      <c r="F277" s="622">
        <f>'Income Statement'!V463</f>
        <v>1191</v>
      </c>
      <c r="G277" s="622">
        <f>'Income Statement'!AA463</f>
        <v>1362</v>
      </c>
      <c r="H277" s="622">
        <f>'Income Statement'!AF463</f>
        <v>1366</v>
      </c>
      <c r="I277" s="622">
        <f>'Income Statement'!AK463</f>
        <v>1427</v>
      </c>
      <c r="J277" s="622">
        <f>'Income Statement'!AP463</f>
        <v>991</v>
      </c>
      <c r="K277" s="622">
        <f>'Income Statement'!AU463</f>
        <v>1052</v>
      </c>
      <c r="L277" s="622">
        <f>'Income Statement'!AZ463</f>
        <v>1021</v>
      </c>
      <c r="M277" s="622">
        <f>'Income Statement'!BE463</f>
        <v>1068</v>
      </c>
      <c r="N277" s="622">
        <f>'Income Statement'!BJ463</f>
        <v>1379</v>
      </c>
      <c r="O277" s="622">
        <f>'Income Statement'!BO463</f>
        <v>1413</v>
      </c>
      <c r="P277" s="619">
        <f>'Income Statement'!BT463</f>
        <v>1520</v>
      </c>
      <c r="Q277" s="619">
        <f>'Income Statement'!BY463</f>
        <v>1408</v>
      </c>
      <c r="R277" s="619">
        <f>'Income Statement'!CD463</f>
        <v>1525</v>
      </c>
      <c r="S277" s="622">
        <f>'Income Statement'!CI463</f>
        <v>1463</v>
      </c>
      <c r="T277" s="622">
        <f>'Income Statement'!CJ463</f>
        <v>361</v>
      </c>
      <c r="U277" s="622">
        <f>'Income Statement'!CQ463</f>
        <v>1406.16</v>
      </c>
      <c r="V277" s="622">
        <f>'Income Statement'!CR463</f>
        <v>1401.3436602489246</v>
      </c>
      <c r="W277" s="622">
        <f>'Income Statement'!CS463</f>
        <v>1403.5416622469752</v>
      </c>
      <c r="X277" s="622">
        <f>'Income Statement'!CT463</f>
        <v>1411.8730140733828</v>
      </c>
      <c r="Y277" s="622">
        <f>'Income Statement'!CU463</f>
        <v>1349.1591651138999</v>
      </c>
      <c r="Z277" s="622">
        <f>'Income Statement'!CV463</f>
        <v>1300.3439035739173</v>
      </c>
      <c r="AA277" s="622">
        <f>'Income Statement'!CW463</f>
        <v>1226.6014365875315</v>
      </c>
      <c r="AB277" s="456"/>
      <c r="AC277" s="159"/>
      <c r="AD277" s="159"/>
      <c r="AE277" s="159"/>
      <c r="AF277" s="159"/>
      <c r="AG277" s="159"/>
      <c r="AH277" s="159"/>
      <c r="AI277" s="159"/>
    </row>
    <row r="278" spans="1:35" s="163" customFormat="1" ht="13">
      <c r="A278" s="490" t="s">
        <v>222</v>
      </c>
      <c r="B278" s="622">
        <f>'Income Statement'!B464</f>
        <v>0</v>
      </c>
      <c r="C278" s="622">
        <f>'Income Statement'!G464</f>
        <v>0</v>
      </c>
      <c r="D278" s="622">
        <f>'Income Statement'!L464</f>
        <v>0</v>
      </c>
      <c r="E278" s="622">
        <f>'Income Statement'!Q464</f>
        <v>0</v>
      </c>
      <c r="F278" s="622">
        <f>'Income Statement'!V464</f>
        <v>0</v>
      </c>
      <c r="G278" s="622">
        <f>'Income Statement'!AA464</f>
        <v>0</v>
      </c>
      <c r="H278" s="622">
        <f>'Income Statement'!AF464</f>
        <v>0</v>
      </c>
      <c r="I278" s="622">
        <f>'Income Statement'!AK464</f>
        <v>0</v>
      </c>
      <c r="J278" s="622">
        <f>'Income Statement'!AP464</f>
        <v>279</v>
      </c>
      <c r="K278" s="622">
        <f>'Income Statement'!AU464</f>
        <v>341</v>
      </c>
      <c r="L278" s="622">
        <f>'Income Statement'!AZ464</f>
        <v>399</v>
      </c>
      <c r="M278" s="622">
        <f>'Income Statement'!BE464</f>
        <v>0</v>
      </c>
      <c r="N278" s="622">
        <f>'Income Statement'!BJ464</f>
        <v>0</v>
      </c>
      <c r="O278" s="622">
        <f>'Income Statement'!BO464</f>
        <v>62</v>
      </c>
      <c r="P278" s="619">
        <f>'Income Statement'!BT464</f>
        <v>181</v>
      </c>
      <c r="Q278" s="619">
        <f>'Income Statement'!BY464</f>
        <v>313</v>
      </c>
      <c r="R278" s="619">
        <f>'Income Statement'!CD464</f>
        <v>378</v>
      </c>
      <c r="S278" s="622">
        <f>'Income Statement'!CI464</f>
        <v>317</v>
      </c>
      <c r="T278" s="622">
        <f>'Income Statement'!CJ464</f>
        <v>80</v>
      </c>
      <c r="U278" s="622">
        <f>'Income Statement'!CQ464</f>
        <v>306.45999999999998</v>
      </c>
      <c r="V278" s="622">
        <f>'Income Statement'!CR464</f>
        <v>314.87035923926828</v>
      </c>
      <c r="W278" s="622">
        <f>'Income Statement'!CS464</f>
        <v>322.80112605321978</v>
      </c>
      <c r="X278" s="622">
        <f>'Income Statement'!CT464</f>
        <v>319.57779222251634</v>
      </c>
      <c r="Y278" s="622">
        <f>'Income Statement'!CU464</f>
        <v>369.11775252753114</v>
      </c>
      <c r="Z278" s="622">
        <f>'Income Statement'!CV464</f>
        <v>415.52723977522379</v>
      </c>
      <c r="AA278" s="622">
        <f>'Income Statement'!CW464</f>
        <v>458.12555552571791</v>
      </c>
      <c r="AB278" s="456"/>
      <c r="AC278" s="159"/>
      <c r="AD278" s="159"/>
      <c r="AE278" s="159"/>
      <c r="AF278" s="159"/>
      <c r="AG278" s="159"/>
      <c r="AH278" s="159"/>
      <c r="AI278" s="159"/>
    </row>
    <row r="279" spans="1:35" s="163" customFormat="1" ht="13">
      <c r="A279" s="490" t="s">
        <v>223</v>
      </c>
      <c r="B279" s="622">
        <f t="shared" ref="B279:AA279" si="701">B75</f>
        <v>1123.8</v>
      </c>
      <c r="C279" s="622">
        <f t="shared" si="701"/>
        <v>802.8</v>
      </c>
      <c r="D279" s="622">
        <f t="shared" si="701"/>
        <v>590</v>
      </c>
      <c r="E279" s="622">
        <f t="shared" si="701"/>
        <v>1444</v>
      </c>
      <c r="F279" s="622">
        <f t="shared" si="701"/>
        <v>989</v>
      </c>
      <c r="G279" s="622">
        <f t="shared" si="701"/>
        <v>990</v>
      </c>
      <c r="H279" s="622">
        <f t="shared" si="701"/>
        <v>815</v>
      </c>
      <c r="I279" s="622">
        <f t="shared" si="701"/>
        <v>1140</v>
      </c>
      <c r="J279" s="622">
        <f t="shared" si="701"/>
        <v>1304</v>
      </c>
      <c r="K279" s="622">
        <f t="shared" si="701"/>
        <v>1189</v>
      </c>
      <c r="L279" s="622">
        <f t="shared" si="701"/>
        <v>1028</v>
      </c>
      <c r="M279" s="622">
        <f t="shared" si="701"/>
        <v>1038</v>
      </c>
      <c r="N279" s="622">
        <f t="shared" si="701"/>
        <v>1213</v>
      </c>
      <c r="O279" s="622">
        <f t="shared" si="701"/>
        <v>1245</v>
      </c>
      <c r="P279" s="619">
        <f t="shared" si="701"/>
        <v>1187</v>
      </c>
      <c r="Q279" s="619">
        <f t="shared" si="701"/>
        <v>1114</v>
      </c>
      <c r="R279" s="619">
        <f t="shared" si="701"/>
        <v>813</v>
      </c>
      <c r="S279" s="622">
        <f t="shared" si="701"/>
        <v>674</v>
      </c>
      <c r="T279" s="622">
        <f t="shared" ref="T279" si="702">T75</f>
        <v>986</v>
      </c>
      <c r="U279" s="622">
        <f t="shared" si="701"/>
        <v>1094.558857979579</v>
      </c>
      <c r="V279" s="622">
        <f t="shared" si="701"/>
        <v>1009.534532260039</v>
      </c>
      <c r="W279" s="622">
        <f t="shared" si="701"/>
        <v>1034.2470765174933</v>
      </c>
      <c r="X279" s="622">
        <f t="shared" si="701"/>
        <v>1060.3356434492387</v>
      </c>
      <c r="Y279" s="622">
        <f t="shared" si="701"/>
        <v>1085.6165288458519</v>
      </c>
      <c r="Z279" s="622">
        <f t="shared" si="701"/>
        <v>1111.260654890877</v>
      </c>
      <c r="AA279" s="622">
        <f t="shared" si="701"/>
        <v>1516.4251017295933</v>
      </c>
      <c r="AB279" s="456"/>
      <c r="AC279" s="159"/>
      <c r="AD279" s="159"/>
      <c r="AE279" s="159"/>
      <c r="AF279" s="159"/>
      <c r="AG279" s="159"/>
      <c r="AH279" s="159"/>
      <c r="AI279" s="159"/>
    </row>
    <row r="280" spans="1:35" s="163" customFormat="1" ht="13">
      <c r="A280" s="490" t="s">
        <v>224</v>
      </c>
      <c r="B280" s="622">
        <f>0</f>
        <v>0</v>
      </c>
      <c r="C280" s="622">
        <f>0</f>
        <v>0</v>
      </c>
      <c r="D280" s="622">
        <f>0</f>
        <v>0</v>
      </c>
      <c r="E280" s="622">
        <f>0</f>
        <v>0</v>
      </c>
      <c r="F280" s="622">
        <f>0</f>
        <v>0</v>
      </c>
      <c r="G280" s="622">
        <f>0</f>
        <v>0</v>
      </c>
      <c r="H280" s="622">
        <f>0</f>
        <v>0</v>
      </c>
      <c r="I280" s="622">
        <f>0</f>
        <v>0</v>
      </c>
      <c r="J280" s="622">
        <f>0</f>
        <v>0</v>
      </c>
      <c r="K280" s="622">
        <f>0</f>
        <v>0</v>
      </c>
      <c r="L280" s="622">
        <f>0</f>
        <v>0</v>
      </c>
      <c r="M280" s="622">
        <f>0</f>
        <v>0</v>
      </c>
      <c r="N280" s="622">
        <f>0</f>
        <v>0</v>
      </c>
      <c r="O280" s="622">
        <f>0</f>
        <v>0</v>
      </c>
      <c r="P280" s="619">
        <f>0</f>
        <v>0</v>
      </c>
      <c r="Q280" s="619">
        <f>0</f>
        <v>0</v>
      </c>
      <c r="R280" s="619">
        <f>0</f>
        <v>0</v>
      </c>
      <c r="S280" s="622">
        <f>0</f>
        <v>0</v>
      </c>
      <c r="T280" s="622">
        <f>0</f>
        <v>0</v>
      </c>
      <c r="U280" s="622">
        <f>0</f>
        <v>0</v>
      </c>
      <c r="V280" s="622">
        <f>0</f>
        <v>0</v>
      </c>
      <c r="W280" s="622">
        <f>0</f>
        <v>0</v>
      </c>
      <c r="X280" s="622">
        <f>0</f>
        <v>0</v>
      </c>
      <c r="Y280" s="622">
        <f>0</f>
        <v>0</v>
      </c>
      <c r="Z280" s="622">
        <f>0</f>
        <v>0</v>
      </c>
      <c r="AA280" s="622">
        <f>0</f>
        <v>0</v>
      </c>
      <c r="AB280" s="307"/>
      <c r="AC280" s="159"/>
      <c r="AD280" s="159"/>
      <c r="AE280" s="159"/>
      <c r="AF280" s="159"/>
      <c r="AG280" s="159"/>
      <c r="AH280" s="159"/>
      <c r="AI280" s="159"/>
    </row>
    <row r="281" spans="1:35" s="163" customFormat="1" ht="13">
      <c r="A281" s="611" t="s">
        <v>225</v>
      </c>
      <c r="B281" s="623">
        <f t="shared" ref="B281:P281" si="703">B276+B277+B278-B279</f>
        <v>1785.7500000000002</v>
      </c>
      <c r="C281" s="623">
        <f t="shared" si="703"/>
        <v>3036.2780000000002</v>
      </c>
      <c r="D281" s="623">
        <f t="shared" si="703"/>
        <v>2807</v>
      </c>
      <c r="E281" s="623">
        <f t="shared" si="703"/>
        <v>1924</v>
      </c>
      <c r="F281" s="623">
        <f t="shared" si="703"/>
        <v>2733</v>
      </c>
      <c r="G281" s="623">
        <f t="shared" si="703"/>
        <v>2365</v>
      </c>
      <c r="H281" s="623">
        <f t="shared" si="703"/>
        <v>2654</v>
      </c>
      <c r="I281" s="623">
        <f t="shared" si="703"/>
        <v>1894.5618740653772</v>
      </c>
      <c r="J281" s="623">
        <f t="shared" si="703"/>
        <v>2030.1792126289793</v>
      </c>
      <c r="K281" s="623">
        <f t="shared" si="703"/>
        <v>2175</v>
      </c>
      <c r="L281" s="623">
        <f t="shared" si="703"/>
        <v>2367.3993610223642</v>
      </c>
      <c r="M281" s="623">
        <f t="shared" si="703"/>
        <v>1865.6000000000004</v>
      </c>
      <c r="N281" s="623">
        <f t="shared" si="703"/>
        <v>1657.0907928388747</v>
      </c>
      <c r="O281" s="623">
        <f t="shared" si="703"/>
        <v>1608</v>
      </c>
      <c r="P281" s="623">
        <f t="shared" si="703"/>
        <v>1822.83631713555</v>
      </c>
      <c r="Q281" s="623">
        <f t="shared" ref="Q281" si="704">Q276+Q277+Q278-Q279</f>
        <v>1758.5142227070496</v>
      </c>
      <c r="R281" s="623">
        <f t="shared" ref="R281:W281" si="705">R276+R277+R278-R279</f>
        <v>2083.0148337595906</v>
      </c>
      <c r="S281" s="623">
        <f t="shared" si="705"/>
        <v>2503.6086359010324</v>
      </c>
      <c r="T281" s="623">
        <f t="shared" ref="T281" si="706">T276+T277+T278-T279</f>
        <v>1017.6667752575906</v>
      </c>
      <c r="U281" s="623">
        <f t="shared" si="705"/>
        <v>2412.0312050110006</v>
      </c>
      <c r="V281" s="623">
        <f t="shared" si="705"/>
        <v>2631.2510859176291</v>
      </c>
      <c r="W281" s="623">
        <f t="shared" si="705"/>
        <v>2732.7758599420949</v>
      </c>
      <c r="X281" s="623">
        <f t="shared" ref="X281:AA281" si="707">X276+X277+X278-X279</f>
        <v>2837.682349274266</v>
      </c>
      <c r="Y281" s="623">
        <f t="shared" si="707"/>
        <v>2936.2118668480234</v>
      </c>
      <c r="Z281" s="623">
        <f t="shared" si="707"/>
        <v>3037.9727497649628</v>
      </c>
      <c r="AA281" s="623">
        <f t="shared" si="707"/>
        <v>2755.0433123301978</v>
      </c>
      <c r="AB281" s="456"/>
      <c r="AC281" s="159"/>
      <c r="AD281" s="159"/>
      <c r="AE281" s="159"/>
      <c r="AF281" s="159"/>
      <c r="AG281" s="159"/>
      <c r="AH281" s="159"/>
      <c r="AI281" s="159"/>
    </row>
    <row r="282" spans="1:35" s="163" customFormat="1" ht="13">
      <c r="A282" s="490" t="s">
        <v>226</v>
      </c>
      <c r="B282" s="496" t="e">
        <f t="shared" ref="B282:W282" si="708">B281/B215</f>
        <v>#DIV/0!</v>
      </c>
      <c r="C282" s="496" t="e">
        <f t="shared" si="708"/>
        <v>#DIV/0!</v>
      </c>
      <c r="D282" s="496">
        <f t="shared" si="708"/>
        <v>0.37426666666666669</v>
      </c>
      <c r="E282" s="496">
        <f t="shared" si="708"/>
        <v>0.25653333333333334</v>
      </c>
      <c r="F282" s="496">
        <f t="shared" si="708"/>
        <v>0.3644</v>
      </c>
      <c r="G282" s="496">
        <f t="shared" si="708"/>
        <v>0.31533333333333335</v>
      </c>
      <c r="H282" s="496">
        <f t="shared" si="708"/>
        <v>0.35386666666666666</v>
      </c>
      <c r="I282" s="496">
        <f t="shared" si="708"/>
        <v>0.25260824987538361</v>
      </c>
      <c r="J282" s="496">
        <f t="shared" si="708"/>
        <v>0.27069056168386391</v>
      </c>
      <c r="K282" s="496">
        <f t="shared" si="708"/>
        <v>0.28999999999999998</v>
      </c>
      <c r="L282" s="496">
        <f t="shared" si="708"/>
        <v>0.30946396876109339</v>
      </c>
      <c r="M282" s="496">
        <f t="shared" si="708"/>
        <v>0.23902626521460607</v>
      </c>
      <c r="N282" s="496">
        <f t="shared" si="708"/>
        <v>0.2120397687573736</v>
      </c>
      <c r="O282" s="496">
        <f t="shared" si="708"/>
        <v>0.20556088207094919</v>
      </c>
      <c r="P282" s="497">
        <f t="shared" si="708"/>
        <v>0.23295032806844088</v>
      </c>
      <c r="Q282" s="497">
        <f t="shared" ref="Q282" si="709">Q281/Q215</f>
        <v>0.22468718107801056</v>
      </c>
      <c r="R282" s="497">
        <f t="shared" si="708"/>
        <v>0.26602999154017759</v>
      </c>
      <c r="S282" s="496">
        <f t="shared" si="708"/>
        <v>0.3196640239914495</v>
      </c>
      <c r="T282" s="496">
        <f t="shared" ref="T282" si="710">T281/T215</f>
        <v>0.12992872968497807</v>
      </c>
      <c r="U282" s="496">
        <f t="shared" si="708"/>
        <v>0.3078926736036508</v>
      </c>
      <c r="V282" s="496">
        <f t="shared" si="708"/>
        <v>0.33583294012988246</v>
      </c>
      <c r="W282" s="496">
        <f t="shared" si="708"/>
        <v>0.34879079258992918</v>
      </c>
      <c r="X282" s="496">
        <f t="shared" ref="X282:AA282" si="711">X281/X215</f>
        <v>0.36218026155383104</v>
      </c>
      <c r="Y282" s="496">
        <f t="shared" si="711"/>
        <v>0.37475582218864373</v>
      </c>
      <c r="Z282" s="496">
        <f t="shared" si="711"/>
        <v>0.38774380979769785</v>
      </c>
      <c r="AA282" s="496">
        <f t="shared" si="711"/>
        <v>0.35163284139504758</v>
      </c>
      <c r="AB282" s="392"/>
      <c r="AC282" s="159"/>
      <c r="AD282" s="159"/>
      <c r="AE282" s="159"/>
      <c r="AF282" s="159"/>
      <c r="AG282" s="159"/>
      <c r="AH282" s="159"/>
      <c r="AI282" s="159"/>
    </row>
    <row r="283" spans="1:35" s="163" customFormat="1" ht="13">
      <c r="A283" s="490" t="s">
        <v>0</v>
      </c>
      <c r="B283" s="160"/>
      <c r="C283" s="160" t="e">
        <f t="shared" ref="C283:Q283" si="712">C282/B282-1</f>
        <v>#DIV/0!</v>
      </c>
      <c r="D283" s="160" t="e">
        <f t="shared" si="712"/>
        <v>#DIV/0!</v>
      </c>
      <c r="E283" s="160">
        <f t="shared" si="712"/>
        <v>-0.31457071606697551</v>
      </c>
      <c r="F283" s="160">
        <f t="shared" si="712"/>
        <v>0.42047817047817038</v>
      </c>
      <c r="G283" s="160">
        <f t="shared" si="712"/>
        <v>-0.13465056714233437</v>
      </c>
      <c r="H283" s="160">
        <f t="shared" si="712"/>
        <v>0.12219873150105709</v>
      </c>
      <c r="I283" s="160">
        <f t="shared" si="712"/>
        <v>-0.28614850261289482</v>
      </c>
      <c r="J283" s="160">
        <f t="shared" si="712"/>
        <v>7.1582427800361392E-2</v>
      </c>
      <c r="K283" s="160">
        <f>K282/J282-1</f>
        <v>7.1333991831925569E-2</v>
      </c>
      <c r="L283" s="160">
        <f t="shared" si="712"/>
        <v>6.7117133658942896E-2</v>
      </c>
      <c r="M283" s="160">
        <f t="shared" si="712"/>
        <v>-0.2276119699119652</v>
      </c>
      <c r="N283" s="160">
        <f t="shared" si="712"/>
        <v>-0.11290180362816216</v>
      </c>
      <c r="O283" s="160">
        <f t="shared" si="712"/>
        <v>-3.0555054480548294E-2</v>
      </c>
      <c r="P283" s="161">
        <f t="shared" si="712"/>
        <v>0.13324250081802158</v>
      </c>
      <c r="Q283" s="161">
        <f t="shared" si="712"/>
        <v>-3.5471712184078186E-2</v>
      </c>
      <c r="R283" s="161">
        <f t="shared" ref="R283:W283" si="713">R282/Q282-1</f>
        <v>0.18400164292333598</v>
      </c>
      <c r="S283" s="160">
        <f t="shared" si="713"/>
        <v>0.201608969502868</v>
      </c>
      <c r="T283" s="160">
        <f t="shared" si="713"/>
        <v>-0.59354597347978877</v>
      </c>
      <c r="U283" s="160">
        <f t="shared" si="713"/>
        <v>1.3697043321377778</v>
      </c>
      <c r="V283" s="160">
        <f t="shared" si="713"/>
        <v>9.0746772890734961E-2</v>
      </c>
      <c r="W283" s="160">
        <f t="shared" si="713"/>
        <v>3.858422123522276E-2</v>
      </c>
      <c r="X283" s="160">
        <f t="shared" ref="X283" si="714">X282/W282-1</f>
        <v>3.8388252351729157E-2</v>
      </c>
      <c r="Y283" s="160">
        <f t="shared" ref="Y283" si="715">Y282/X282-1</f>
        <v>3.4721827691163609E-2</v>
      </c>
      <c r="Z283" s="160">
        <f t="shared" ref="Z283" si="716">Z282/Y282-1</f>
        <v>3.4657200342350425E-2</v>
      </c>
      <c r="AA283" s="160">
        <f t="shared" ref="AA283" si="717">AA282/Z282-1</f>
        <v>-9.3130999103482437E-2</v>
      </c>
      <c r="AB283" s="185"/>
      <c r="AC283" s="159"/>
      <c r="AD283" s="159"/>
      <c r="AE283" s="159"/>
      <c r="AF283" s="159"/>
      <c r="AG283" s="159"/>
      <c r="AH283" s="159"/>
      <c r="AI283" s="159"/>
    </row>
    <row r="284" spans="1:35" s="163" customFormat="1" ht="13">
      <c r="A284" s="226"/>
      <c r="B284" s="381"/>
      <c r="C284" s="381"/>
      <c r="D284" s="381"/>
      <c r="E284" s="381"/>
      <c r="F284" s="381"/>
      <c r="G284" s="381"/>
      <c r="H284" s="381"/>
      <c r="I284" s="381"/>
      <c r="J284" s="381"/>
      <c r="K284" s="381"/>
      <c r="L284" s="381"/>
      <c r="M284" s="381"/>
      <c r="N284" s="381"/>
      <c r="O284" s="381"/>
      <c r="P284" s="381"/>
      <c r="Q284" s="381"/>
      <c r="R284" s="381"/>
      <c r="S284" s="381"/>
      <c r="T284" s="381"/>
      <c r="U284" s="381"/>
      <c r="V284" s="381"/>
      <c r="W284" s="381"/>
      <c r="X284" s="381"/>
      <c r="Y284" s="381"/>
      <c r="Z284" s="381"/>
      <c r="AA284" s="381"/>
      <c r="AB284" s="229"/>
      <c r="AC284" s="159"/>
      <c r="AD284" s="159"/>
      <c r="AE284" s="159"/>
      <c r="AF284" s="159"/>
      <c r="AG284" s="159"/>
    </row>
    <row r="285" spans="1:35" s="163" customFormat="1" ht="13">
      <c r="A285" s="612" t="s">
        <v>759</v>
      </c>
      <c r="B285" s="613">
        <f>B$2</f>
        <v>2007</v>
      </c>
      <c r="C285" s="614">
        <f t="shared" ref="C285" si="718">B285+1</f>
        <v>2008</v>
      </c>
      <c r="D285" s="614">
        <f t="shared" ref="D285" si="719">C285+1</f>
        <v>2009</v>
      </c>
      <c r="E285" s="614">
        <f t="shared" ref="E285" si="720">D285+1</f>
        <v>2010</v>
      </c>
      <c r="F285" s="614">
        <f t="shared" ref="F285" si="721">E285+1</f>
        <v>2011</v>
      </c>
      <c r="G285" s="614">
        <f t="shared" ref="G285" si="722">F285+1</f>
        <v>2012</v>
      </c>
      <c r="H285" s="614">
        <f t="shared" ref="H285" si="723">G285+1</f>
        <v>2013</v>
      </c>
      <c r="I285" s="614">
        <f t="shared" ref="I285" si="724">H285+1</f>
        <v>2014</v>
      </c>
      <c r="J285" s="614">
        <f t="shared" ref="J285" si="725">I285+1</f>
        <v>2015</v>
      </c>
      <c r="K285" s="614">
        <f t="shared" ref="K285" si="726">J285+1</f>
        <v>2016</v>
      </c>
      <c r="L285" s="614">
        <f t="shared" ref="L285" si="727">K285+1</f>
        <v>2017</v>
      </c>
      <c r="M285" s="614">
        <f t="shared" ref="M285" si="728">L285+1</f>
        <v>2018</v>
      </c>
      <c r="N285" s="614">
        <f t="shared" ref="N285" si="729">M285+1</f>
        <v>2019</v>
      </c>
      <c r="O285" s="614">
        <f t="shared" ref="O285" si="730">N285+1</f>
        <v>2020</v>
      </c>
      <c r="P285" s="614">
        <f t="shared" ref="P285" si="731">O285+1</f>
        <v>2021</v>
      </c>
      <c r="Q285" s="614">
        <f t="shared" ref="Q285" si="732">P285+1</f>
        <v>2022</v>
      </c>
      <c r="R285" s="614">
        <f t="shared" ref="R285" si="733">Q285+1</f>
        <v>2023</v>
      </c>
      <c r="S285" s="614">
        <f t="shared" ref="S285:T285" si="734">R285+1</f>
        <v>2024</v>
      </c>
      <c r="T285" s="614">
        <f t="shared" si="734"/>
        <v>2025</v>
      </c>
      <c r="U285" s="614">
        <f t="shared" ref="U285" si="735">T285+1</f>
        <v>2026</v>
      </c>
      <c r="V285" s="614">
        <f t="shared" ref="V285" si="736">U285+1</f>
        <v>2027</v>
      </c>
      <c r="W285" s="614">
        <f t="shared" ref="W285" si="737">V285+1</f>
        <v>2028</v>
      </c>
      <c r="X285" s="614">
        <f t="shared" ref="X285" si="738">W285+1</f>
        <v>2029</v>
      </c>
      <c r="Y285" s="614">
        <f t="shared" ref="Y285" si="739">X285+1</f>
        <v>2030</v>
      </c>
      <c r="Z285" s="614">
        <f t="shared" ref="Z285" si="740">Y285+1</f>
        <v>2031</v>
      </c>
      <c r="AA285" s="614">
        <f t="shared" ref="AA285" si="741">Z285+1</f>
        <v>2032</v>
      </c>
      <c r="AB285" s="229"/>
      <c r="AC285" s="159"/>
      <c r="AD285" s="159"/>
      <c r="AE285" s="159"/>
      <c r="AF285" s="159"/>
      <c r="AG285" s="159"/>
    </row>
    <row r="286" spans="1:35" s="163" customFormat="1" ht="13">
      <c r="A286" s="226"/>
      <c r="B286" s="381"/>
      <c r="C286" s="381"/>
      <c r="D286" s="381"/>
      <c r="E286" s="381"/>
      <c r="F286" s="381"/>
      <c r="G286" s="381"/>
      <c r="H286" s="381"/>
      <c r="I286" s="381"/>
      <c r="J286" s="381"/>
      <c r="K286" s="381"/>
      <c r="L286" s="381"/>
      <c r="M286" s="381"/>
      <c r="N286" s="381"/>
      <c r="O286" s="381"/>
      <c r="P286" s="381"/>
      <c r="Q286" s="381"/>
      <c r="R286" s="381"/>
      <c r="S286" s="381"/>
      <c r="T286" s="381"/>
      <c r="U286" s="381"/>
      <c r="V286" s="381"/>
      <c r="W286" s="381"/>
      <c r="X286" s="381"/>
      <c r="Y286" s="381"/>
      <c r="Z286" s="381"/>
      <c r="AA286" s="381"/>
      <c r="AB286" s="229"/>
      <c r="AC286" s="159"/>
      <c r="AD286" s="159"/>
      <c r="AE286" s="159"/>
      <c r="AF286" s="159"/>
      <c r="AG286" s="159"/>
    </row>
    <row r="287" spans="1:35" s="163" customFormat="1" ht="13">
      <c r="A287" s="235" t="s">
        <v>780</v>
      </c>
      <c r="B287" s="381"/>
      <c r="C287" s="381"/>
      <c r="D287" s="381"/>
      <c r="E287" s="381"/>
      <c r="F287" s="381"/>
      <c r="G287" s="381"/>
      <c r="H287" s="381"/>
      <c r="I287" s="381"/>
      <c r="J287" s="381"/>
      <c r="K287" s="381"/>
      <c r="L287" s="381"/>
      <c r="M287" s="381"/>
      <c r="N287" s="381"/>
      <c r="O287" s="381"/>
      <c r="P287" s="381"/>
      <c r="Q287" s="381"/>
      <c r="R287" s="381"/>
      <c r="S287" s="381"/>
      <c r="T287" s="381"/>
      <c r="U287" s="381"/>
      <c r="V287" s="381"/>
      <c r="W287" s="381"/>
      <c r="X287" s="381"/>
      <c r="Y287" s="381"/>
      <c r="Z287" s="381"/>
      <c r="AA287" s="381"/>
      <c r="AB287" s="229"/>
      <c r="AC287" s="159"/>
      <c r="AD287" s="159"/>
      <c r="AE287" s="159"/>
      <c r="AF287" s="159"/>
      <c r="AG287" s="159"/>
    </row>
    <row r="288" spans="1:35" s="163" customFormat="1" ht="13">
      <c r="A288" s="226" t="s">
        <v>781</v>
      </c>
      <c r="B288" s="381"/>
      <c r="C288" s="381"/>
      <c r="D288" s="381"/>
      <c r="E288" s="381"/>
      <c r="F288" s="381"/>
      <c r="G288" s="381"/>
      <c r="H288" s="381"/>
      <c r="I288" s="381"/>
      <c r="J288" s="381"/>
      <c r="K288" s="381"/>
      <c r="L288" s="381"/>
      <c r="M288" s="381"/>
      <c r="N288" s="381"/>
      <c r="O288" s="381"/>
      <c r="P288" s="381"/>
      <c r="Q288" s="381"/>
      <c r="R288" s="161">
        <f>-IFERROR(R300/R327,"")</f>
        <v>3.7564162389174052E-2</v>
      </c>
      <c r="S288" s="161">
        <f>-IFERROR(S300/S327,"")</f>
        <v>3.2363554352728911E-2</v>
      </c>
      <c r="T288" s="161">
        <f>-IFERROR(T300/T327,"")</f>
        <v>3.4111310592459608E-2</v>
      </c>
      <c r="U288" s="660">
        <f t="shared" ref="U288:AA288" si="742">T288</f>
        <v>3.4111310592459608E-2</v>
      </c>
      <c r="V288" s="660">
        <f t="shared" si="742"/>
        <v>3.4111310592459608E-2</v>
      </c>
      <c r="W288" s="660">
        <f t="shared" si="742"/>
        <v>3.4111310592459608E-2</v>
      </c>
      <c r="X288" s="660">
        <f t="shared" si="742"/>
        <v>3.4111310592459608E-2</v>
      </c>
      <c r="Y288" s="660">
        <f t="shared" si="742"/>
        <v>3.4111310592459608E-2</v>
      </c>
      <c r="Z288" s="660">
        <f t="shared" si="742"/>
        <v>3.4111310592459608E-2</v>
      </c>
      <c r="AA288" s="660">
        <f t="shared" si="742"/>
        <v>3.4111310592459608E-2</v>
      </c>
      <c r="AB288" s="229"/>
      <c r="AC288" s="159"/>
      <c r="AD288" s="159"/>
      <c r="AE288" s="159"/>
      <c r="AF288" s="159"/>
      <c r="AG288" s="159"/>
    </row>
    <row r="289" spans="1:33" s="163" customFormat="1" ht="13">
      <c r="A289" s="226"/>
      <c r="B289" s="381"/>
      <c r="C289" s="381"/>
      <c r="D289" s="381"/>
      <c r="E289" s="381"/>
      <c r="F289" s="381"/>
      <c r="G289" s="381"/>
      <c r="H289" s="381"/>
      <c r="I289" s="381"/>
      <c r="J289" s="381"/>
      <c r="K289" s="381"/>
      <c r="L289" s="381"/>
      <c r="M289" s="381"/>
      <c r="N289" s="381"/>
      <c r="O289" s="381"/>
      <c r="P289" s="381"/>
      <c r="Q289" s="381"/>
      <c r="R289" s="381"/>
      <c r="S289" s="381"/>
      <c r="T289" s="381"/>
      <c r="U289" s="381"/>
      <c r="V289" s="381"/>
      <c r="W289" s="381"/>
      <c r="X289" s="381"/>
      <c r="Y289" s="381"/>
      <c r="Z289" s="381"/>
      <c r="AA289" s="381"/>
      <c r="AB289" s="229"/>
      <c r="AC289" s="159"/>
      <c r="AD289" s="159"/>
      <c r="AE289" s="159"/>
      <c r="AF289" s="159"/>
      <c r="AG289" s="159"/>
    </row>
    <row r="290" spans="1:33" s="163" customFormat="1" ht="13">
      <c r="A290" s="235" t="s">
        <v>776</v>
      </c>
      <c r="B290" s="381"/>
      <c r="C290" s="381"/>
      <c r="D290" s="381"/>
      <c r="E290" s="381"/>
      <c r="F290" s="381"/>
      <c r="G290" s="381"/>
      <c r="H290" s="381"/>
      <c r="I290" s="381"/>
      <c r="J290" s="381"/>
      <c r="K290" s="381"/>
      <c r="L290" s="381"/>
      <c r="M290" s="381"/>
      <c r="N290" s="381"/>
      <c r="O290" s="381"/>
      <c r="P290" s="381"/>
      <c r="Q290" s="381"/>
      <c r="R290" s="381"/>
      <c r="S290" s="381"/>
      <c r="T290" s="381"/>
      <c r="U290" s="381"/>
      <c r="V290" s="381"/>
      <c r="W290" s="381"/>
      <c r="X290" s="381"/>
      <c r="Y290" s="381"/>
      <c r="Z290" s="381"/>
      <c r="AA290" s="381"/>
      <c r="AB290" s="229"/>
      <c r="AC290" s="159"/>
      <c r="AD290" s="159"/>
      <c r="AE290" s="159"/>
      <c r="AF290" s="159"/>
      <c r="AG290" s="159"/>
    </row>
    <row r="291" spans="1:33" s="163" customFormat="1" ht="13">
      <c r="A291" s="615" t="s">
        <v>2</v>
      </c>
      <c r="B291" s="618">
        <f>B332</f>
        <v>3590</v>
      </c>
      <c r="C291" s="618">
        <f t="shared" ref="C291:AA291" si="743">C332</f>
        <v>4402.2000000000007</v>
      </c>
      <c r="D291" s="618">
        <f t="shared" si="743"/>
        <v>4220</v>
      </c>
      <c r="E291" s="618">
        <f t="shared" si="743"/>
        <v>4416</v>
      </c>
      <c r="F291" s="618">
        <f t="shared" si="743"/>
        <v>4423</v>
      </c>
      <c r="G291" s="618">
        <f t="shared" si="743"/>
        <v>4359</v>
      </c>
      <c r="H291" s="618">
        <f t="shared" si="743"/>
        <v>4522</v>
      </c>
      <c r="I291" s="618">
        <f t="shared" si="743"/>
        <v>4112.3305194230634</v>
      </c>
      <c r="J291" s="618">
        <f t="shared" si="743"/>
        <v>4426</v>
      </c>
      <c r="K291" s="618">
        <f t="shared" si="743"/>
        <v>4502</v>
      </c>
      <c r="L291" s="618">
        <f t="shared" si="743"/>
        <v>4195</v>
      </c>
      <c r="M291" s="618">
        <f t="shared" si="743"/>
        <v>3843</v>
      </c>
      <c r="N291" s="618">
        <f t="shared" si="743"/>
        <v>3926</v>
      </c>
      <c r="O291" s="618">
        <f t="shared" si="743"/>
        <v>3814</v>
      </c>
      <c r="P291" s="618">
        <f t="shared" si="743"/>
        <v>3876</v>
      </c>
      <c r="Q291" s="618">
        <f t="shared" si="743"/>
        <v>3929</v>
      </c>
      <c r="R291" s="618">
        <f t="shared" si="743"/>
        <v>3960</v>
      </c>
      <c r="S291" s="618">
        <f t="shared" si="743"/>
        <v>4122</v>
      </c>
      <c r="T291" s="618">
        <f t="shared" ref="T291" si="744">T332</f>
        <v>4329</v>
      </c>
      <c r="U291" s="618">
        <f t="shared" si="743"/>
        <v>4521.5932718038575</v>
      </c>
      <c r="V291" s="618">
        <f t="shared" si="743"/>
        <v>4652.7746464653283</v>
      </c>
      <c r="W291" s="618">
        <f t="shared" si="743"/>
        <v>4782.7277825729407</v>
      </c>
      <c r="X291" s="618">
        <f t="shared" si="743"/>
        <v>4920.6127220270864</v>
      </c>
      <c r="Y291" s="618">
        <f t="shared" si="743"/>
        <v>5055.0552341969897</v>
      </c>
      <c r="Z291" s="618">
        <f t="shared" si="743"/>
        <v>5192.1232583166502</v>
      </c>
      <c r="AA291" s="618">
        <f t="shared" si="743"/>
        <v>5332.0710765879776</v>
      </c>
      <c r="AB291" s="229"/>
      <c r="AC291" s="159"/>
      <c r="AD291" s="159"/>
      <c r="AE291" s="159"/>
      <c r="AF291" s="159"/>
      <c r="AG291" s="159"/>
    </row>
    <row r="292" spans="1:33" s="163" customFormat="1" ht="13">
      <c r="A292" s="615" t="s">
        <v>760</v>
      </c>
      <c r="B292" s="619">
        <f t="shared" ref="B292:AA292" si="745">B58</f>
        <v>0</v>
      </c>
      <c r="C292" s="619">
        <f t="shared" si="745"/>
        <v>-496.50000000000006</v>
      </c>
      <c r="D292" s="619">
        <f t="shared" si="745"/>
        <v>-385</v>
      </c>
      <c r="E292" s="619">
        <f t="shared" si="745"/>
        <v>-225</v>
      </c>
      <c r="F292" s="619">
        <f t="shared" si="745"/>
        <v>-169</v>
      </c>
      <c r="G292" s="619">
        <f t="shared" si="745"/>
        <v>36.512272727272801</v>
      </c>
      <c r="H292" s="619">
        <f t="shared" si="745"/>
        <v>-253.5122727272728</v>
      </c>
      <c r="I292" s="619">
        <f t="shared" si="745"/>
        <v>548</v>
      </c>
      <c r="J292" s="619">
        <f t="shared" si="745"/>
        <v>10</v>
      </c>
      <c r="K292" s="619">
        <f t="shared" si="745"/>
        <v>-220</v>
      </c>
      <c r="L292" s="619">
        <f t="shared" si="745"/>
        <v>-333</v>
      </c>
      <c r="M292" s="619">
        <f t="shared" si="745"/>
        <v>357</v>
      </c>
      <c r="N292" s="619">
        <f t="shared" si="745"/>
        <v>13</v>
      </c>
      <c r="O292" s="619">
        <f t="shared" si="745"/>
        <v>-14</v>
      </c>
      <c r="P292" s="619">
        <f t="shared" si="745"/>
        <v>332</v>
      </c>
      <c r="Q292" s="619">
        <f t="shared" si="745"/>
        <v>-561</v>
      </c>
      <c r="R292" s="619">
        <f t="shared" si="745"/>
        <v>1</v>
      </c>
      <c r="S292" s="619">
        <f t="shared" si="745"/>
        <v>80</v>
      </c>
      <c r="T292" s="619">
        <f t="shared" ref="T292" si="746">T58</f>
        <v>-34</v>
      </c>
      <c r="U292" s="619">
        <f t="shared" si="745"/>
        <v>-50.630121442028454</v>
      </c>
      <c r="V292" s="619">
        <f t="shared" si="745"/>
        <v>-58.992535890515299</v>
      </c>
      <c r="W292" s="619">
        <f t="shared" si="745"/>
        <v>-59.79576275715408</v>
      </c>
      <c r="X292" s="619">
        <f t="shared" si="745"/>
        <v>-58.821841402358487</v>
      </c>
      <c r="Y292" s="619">
        <f t="shared" si="745"/>
        <v>-61.300828546835376</v>
      </c>
      <c r="Z292" s="619">
        <f t="shared" si="745"/>
        <v>-61.797594246651329</v>
      </c>
      <c r="AA292" s="619">
        <f t="shared" si="745"/>
        <v>-62.189827478250677</v>
      </c>
      <c r="AB292" s="229"/>
      <c r="AC292" s="159"/>
      <c r="AD292" s="159"/>
      <c r="AE292" s="159"/>
      <c r="AF292" s="159"/>
      <c r="AG292" s="159"/>
    </row>
    <row r="293" spans="1:33" s="163" customFormat="1" ht="13">
      <c r="A293" s="615" t="s">
        <v>761</v>
      </c>
      <c r="B293" s="619">
        <f t="shared" ref="B293:AA293" si="747">B57</f>
        <v>-188</v>
      </c>
      <c r="C293" s="619">
        <f t="shared" si="747"/>
        <v>-214</v>
      </c>
      <c r="D293" s="619">
        <f t="shared" si="747"/>
        <v>-222</v>
      </c>
      <c r="E293" s="619">
        <f t="shared" si="747"/>
        <v>-837</v>
      </c>
      <c r="F293" s="619">
        <f t="shared" si="747"/>
        <v>-473</v>
      </c>
      <c r="G293" s="619">
        <f t="shared" si="747"/>
        <v>-716</v>
      </c>
      <c r="H293" s="619">
        <f t="shared" si="747"/>
        <v>-724</v>
      </c>
      <c r="I293" s="619">
        <f t="shared" si="747"/>
        <v>-688.76864535768641</v>
      </c>
      <c r="J293" s="619">
        <f t="shared" si="747"/>
        <v>-713</v>
      </c>
      <c r="K293" s="619">
        <f t="shared" si="747"/>
        <v>-709</v>
      </c>
      <c r="L293" s="619">
        <f t="shared" si="747"/>
        <v>-676</v>
      </c>
      <c r="M293" s="619">
        <f t="shared" si="747"/>
        <v>-585</v>
      </c>
      <c r="N293" s="619">
        <f t="shared" si="747"/>
        <v>-509</v>
      </c>
      <c r="O293" s="619">
        <f t="shared" si="747"/>
        <v>-469</v>
      </c>
      <c r="P293" s="619">
        <f t="shared" si="747"/>
        <v>-454</v>
      </c>
      <c r="Q293" s="619">
        <f t="shared" si="747"/>
        <v>-651</v>
      </c>
      <c r="R293" s="619">
        <f t="shared" si="747"/>
        <v>-452</v>
      </c>
      <c r="S293" s="619">
        <f t="shared" si="747"/>
        <v>-481</v>
      </c>
      <c r="T293" s="619">
        <f t="shared" ref="T293" si="748">T57</f>
        <v>-506</v>
      </c>
      <c r="U293" s="619">
        <f t="shared" si="747"/>
        <v>-582.29786590864785</v>
      </c>
      <c r="V293" s="619">
        <f t="shared" si="747"/>
        <v>-607.75945221772884</v>
      </c>
      <c r="W293" s="619">
        <f t="shared" si="747"/>
        <v>-644.42530994507149</v>
      </c>
      <c r="X293" s="619">
        <f t="shared" si="747"/>
        <v>-684.17911150345446</v>
      </c>
      <c r="Y293" s="619">
        <f t="shared" si="747"/>
        <v>-727.43730885866671</v>
      </c>
      <c r="Z293" s="619">
        <f t="shared" si="747"/>
        <v>-768.43018778106273</v>
      </c>
      <c r="AA293" s="619">
        <f t="shared" si="747"/>
        <v>-816.86571219364487</v>
      </c>
      <c r="AB293" s="229"/>
      <c r="AC293" s="159"/>
      <c r="AD293" s="159"/>
      <c r="AE293" s="159"/>
      <c r="AF293" s="159"/>
      <c r="AG293" s="159"/>
    </row>
    <row r="294" spans="1:33" s="163" customFormat="1" ht="13">
      <c r="A294" s="615" t="s">
        <v>733</v>
      </c>
      <c r="B294" s="619">
        <f t="shared" ref="B294:AA294" si="749">-B73</f>
        <v>-1123.8</v>
      </c>
      <c r="C294" s="619">
        <f t="shared" si="749"/>
        <v>-802.8</v>
      </c>
      <c r="D294" s="619">
        <f t="shared" si="749"/>
        <v>-590</v>
      </c>
      <c r="E294" s="619">
        <f t="shared" si="749"/>
        <v>-1444</v>
      </c>
      <c r="F294" s="619">
        <f t="shared" si="749"/>
        <v>-989</v>
      </c>
      <c r="G294" s="619">
        <f t="shared" si="749"/>
        <v>-990</v>
      </c>
      <c r="H294" s="619">
        <f t="shared" si="749"/>
        <v>-815</v>
      </c>
      <c r="I294" s="619">
        <f t="shared" si="749"/>
        <v>-1140</v>
      </c>
      <c r="J294" s="619">
        <f t="shared" si="749"/>
        <v>-1304</v>
      </c>
      <c r="K294" s="619">
        <f t="shared" si="749"/>
        <v>-1189</v>
      </c>
      <c r="L294" s="619">
        <f t="shared" si="749"/>
        <v>-1028</v>
      </c>
      <c r="M294" s="619">
        <f t="shared" si="749"/>
        <v>-1038</v>
      </c>
      <c r="N294" s="619">
        <f t="shared" si="749"/>
        <v>-1213</v>
      </c>
      <c r="O294" s="619">
        <f t="shared" si="749"/>
        <v>-1245</v>
      </c>
      <c r="P294" s="619">
        <f t="shared" si="749"/>
        <v>-1187</v>
      </c>
      <c r="Q294" s="619">
        <f t="shared" si="749"/>
        <v>-1114</v>
      </c>
      <c r="R294" s="619">
        <f t="shared" si="749"/>
        <v>-813</v>
      </c>
      <c r="S294" s="619">
        <f t="shared" si="749"/>
        <v>-674</v>
      </c>
      <c r="T294" s="619">
        <f t="shared" ref="T294" si="750">-T73</f>
        <v>-986</v>
      </c>
      <c r="U294" s="619">
        <f t="shared" si="749"/>
        <v>-1094.558857979579</v>
      </c>
      <c r="V294" s="619">
        <f t="shared" si="749"/>
        <v>-1009.534532260039</v>
      </c>
      <c r="W294" s="619">
        <f t="shared" si="749"/>
        <v>-1034.2470765174933</v>
      </c>
      <c r="X294" s="619">
        <f t="shared" si="749"/>
        <v>-1060.3356434492387</v>
      </c>
      <c r="Y294" s="619">
        <f t="shared" si="749"/>
        <v>-1085.6165288458519</v>
      </c>
      <c r="Z294" s="619">
        <f t="shared" si="749"/>
        <v>-1111.260654890877</v>
      </c>
      <c r="AA294" s="619">
        <f t="shared" si="749"/>
        <v>-1516.4251017295933</v>
      </c>
      <c r="AB294" s="229"/>
      <c r="AC294" s="159"/>
      <c r="AD294" s="159"/>
      <c r="AE294" s="159"/>
      <c r="AF294" s="159"/>
      <c r="AG294" s="159"/>
    </row>
    <row r="295" spans="1:33" s="163" customFormat="1" ht="13">
      <c r="A295" s="615" t="s">
        <v>762</v>
      </c>
      <c r="B295" s="381"/>
      <c r="C295" s="381"/>
      <c r="D295" s="381"/>
      <c r="E295" s="381"/>
      <c r="F295" s="381"/>
      <c r="G295" s="381"/>
      <c r="H295" s="381"/>
      <c r="I295" s="381"/>
      <c r="J295" s="381"/>
      <c r="K295" s="381"/>
      <c r="L295" s="381"/>
      <c r="M295" s="381"/>
      <c r="N295" s="381"/>
      <c r="O295" s="381"/>
      <c r="P295" s="381"/>
      <c r="Q295" s="381"/>
      <c r="R295" s="381"/>
      <c r="S295" s="381"/>
      <c r="T295" s="381"/>
      <c r="U295" s="381"/>
      <c r="V295" s="381"/>
      <c r="W295" s="381"/>
      <c r="X295" s="381"/>
      <c r="Y295" s="381"/>
      <c r="Z295" s="381"/>
      <c r="AA295" s="381"/>
      <c r="AB295" s="229"/>
      <c r="AC295" s="159"/>
      <c r="AD295" s="159"/>
      <c r="AE295" s="159"/>
      <c r="AF295" s="159"/>
      <c r="AG295" s="159"/>
    </row>
    <row r="296" spans="1:33" s="163" customFormat="1" ht="13">
      <c r="A296" s="615" t="s">
        <v>763</v>
      </c>
      <c r="B296" s="619"/>
      <c r="C296" s="619"/>
      <c r="D296" s="619"/>
      <c r="E296" s="619"/>
      <c r="F296" s="619"/>
      <c r="G296" s="619"/>
      <c r="H296" s="619"/>
      <c r="I296" s="619"/>
      <c r="J296" s="619"/>
      <c r="K296" s="619"/>
      <c r="L296" s="619"/>
      <c r="M296" s="619"/>
      <c r="N296" s="619"/>
      <c r="O296" s="619"/>
      <c r="P296" s="619"/>
      <c r="Q296" s="619"/>
      <c r="R296" s="619"/>
      <c r="S296" s="619"/>
      <c r="T296" s="619"/>
      <c r="U296" s="619"/>
      <c r="V296" s="619"/>
      <c r="W296" s="619"/>
      <c r="X296" s="619"/>
      <c r="Y296" s="619"/>
      <c r="Z296" s="619"/>
      <c r="AA296" s="619"/>
      <c r="AB296" s="229"/>
      <c r="AC296" s="159"/>
      <c r="AD296" s="159"/>
      <c r="AE296" s="159"/>
      <c r="AF296" s="159"/>
      <c r="AG296" s="159"/>
    </row>
    <row r="297" spans="1:33" s="163" customFormat="1" ht="13">
      <c r="A297" s="615" t="s">
        <v>639</v>
      </c>
      <c r="B297" s="381"/>
      <c r="C297" s="381"/>
      <c r="D297" s="381"/>
      <c r="E297" s="381"/>
      <c r="F297" s="381"/>
      <c r="G297" s="381"/>
      <c r="H297" s="381"/>
      <c r="I297" s="381"/>
      <c r="J297" s="381"/>
      <c r="K297" s="381"/>
      <c r="L297" s="381"/>
      <c r="M297" s="381"/>
      <c r="N297" s="381"/>
      <c r="O297" s="381"/>
      <c r="P297" s="381"/>
      <c r="Q297" s="381"/>
      <c r="R297" s="381"/>
      <c r="S297" s="381"/>
      <c r="T297" s="381"/>
      <c r="U297" s="381"/>
      <c r="V297" s="381"/>
      <c r="W297" s="381"/>
      <c r="X297" s="381"/>
      <c r="Y297" s="381"/>
      <c r="Z297" s="381"/>
      <c r="AA297" s="381"/>
      <c r="AB297" s="229"/>
      <c r="AC297" s="159"/>
      <c r="AD297" s="159"/>
      <c r="AE297" s="159"/>
      <c r="AF297" s="159"/>
      <c r="AG297" s="159"/>
    </row>
    <row r="298" spans="1:33" s="163" customFormat="1" ht="13">
      <c r="A298" s="616" t="s">
        <v>764</v>
      </c>
      <c r="B298" s="620">
        <f>SUM(B291:B297)</f>
        <v>2278.1999999999998</v>
      </c>
      <c r="C298" s="620">
        <f t="shared" ref="C298:AA298" si="751">SUM(C291:C297)</f>
        <v>2888.9000000000005</v>
      </c>
      <c r="D298" s="620">
        <f t="shared" si="751"/>
        <v>3023</v>
      </c>
      <c r="E298" s="620">
        <f t="shared" si="751"/>
        <v>1910</v>
      </c>
      <c r="F298" s="620">
        <f t="shared" si="751"/>
        <v>2792</v>
      </c>
      <c r="G298" s="620">
        <f t="shared" si="751"/>
        <v>2689.5122727272728</v>
      </c>
      <c r="H298" s="620">
        <f t="shared" si="751"/>
        <v>2729.4877272727272</v>
      </c>
      <c r="I298" s="620">
        <f t="shared" si="751"/>
        <v>2831.5618740653772</v>
      </c>
      <c r="J298" s="620">
        <f t="shared" si="751"/>
        <v>2419</v>
      </c>
      <c r="K298" s="620">
        <f t="shared" si="751"/>
        <v>2384</v>
      </c>
      <c r="L298" s="620">
        <f t="shared" si="751"/>
        <v>2158</v>
      </c>
      <c r="M298" s="620">
        <f t="shared" si="751"/>
        <v>2577</v>
      </c>
      <c r="N298" s="620">
        <f t="shared" si="751"/>
        <v>2217</v>
      </c>
      <c r="O298" s="620">
        <f t="shared" si="751"/>
        <v>2086</v>
      </c>
      <c r="P298" s="620">
        <f t="shared" si="751"/>
        <v>2567</v>
      </c>
      <c r="Q298" s="620">
        <f t="shared" si="751"/>
        <v>1603</v>
      </c>
      <c r="R298" s="620">
        <f t="shared" si="751"/>
        <v>2696</v>
      </c>
      <c r="S298" s="620">
        <f t="shared" si="751"/>
        <v>3047</v>
      </c>
      <c r="T298" s="620">
        <f t="shared" ref="T298" si="752">SUM(T291:T297)</f>
        <v>2803</v>
      </c>
      <c r="U298" s="620">
        <f t="shared" si="751"/>
        <v>2794.1064264736024</v>
      </c>
      <c r="V298" s="620">
        <f t="shared" si="751"/>
        <v>2976.4881260970451</v>
      </c>
      <c r="W298" s="620">
        <f t="shared" si="751"/>
        <v>3044.2596333532219</v>
      </c>
      <c r="X298" s="620">
        <f t="shared" si="751"/>
        <v>3117.2761256720341</v>
      </c>
      <c r="Y298" s="620">
        <f t="shared" si="751"/>
        <v>3180.7005679456365</v>
      </c>
      <c r="Z298" s="620">
        <f t="shared" si="751"/>
        <v>3250.6348213980591</v>
      </c>
      <c r="AA298" s="620">
        <f t="shared" si="751"/>
        <v>2936.5904351864888</v>
      </c>
      <c r="AB298" s="229"/>
      <c r="AC298" s="159"/>
      <c r="AD298" s="159"/>
      <c r="AE298" s="159"/>
      <c r="AF298" s="159"/>
      <c r="AG298" s="159"/>
    </row>
    <row r="299" spans="1:33" s="163" customFormat="1" ht="13">
      <c r="A299" s="615" t="s">
        <v>765</v>
      </c>
      <c r="B299" s="619">
        <f t="shared" ref="B299:AA299" si="753">B56</f>
        <v>-8.6000000000000014</v>
      </c>
      <c r="C299" s="619">
        <f t="shared" si="753"/>
        <v>17.899999999999999</v>
      </c>
      <c r="D299" s="619">
        <f t="shared" si="753"/>
        <v>-48</v>
      </c>
      <c r="E299" s="619">
        <f t="shared" si="753"/>
        <v>-211</v>
      </c>
      <c r="F299" s="619">
        <f t="shared" si="753"/>
        <v>-228</v>
      </c>
      <c r="G299" s="619">
        <f t="shared" si="753"/>
        <v>-288</v>
      </c>
      <c r="H299" s="619">
        <f t="shared" si="753"/>
        <v>-329</v>
      </c>
      <c r="I299" s="619">
        <f t="shared" si="753"/>
        <v>-389</v>
      </c>
      <c r="J299" s="619">
        <f t="shared" si="753"/>
        <v>-412</v>
      </c>
      <c r="K299" s="619">
        <f t="shared" si="753"/>
        <v>-669</v>
      </c>
      <c r="L299" s="619">
        <f t="shared" si="753"/>
        <v>-384</v>
      </c>
      <c r="M299" s="619">
        <f t="shared" si="753"/>
        <v>-344.279</v>
      </c>
      <c r="N299" s="619">
        <f t="shared" si="753"/>
        <v>-399</v>
      </c>
      <c r="O299" s="619">
        <f t="shared" si="753"/>
        <v>-405</v>
      </c>
      <c r="P299" s="619">
        <f t="shared" si="753"/>
        <v>-413</v>
      </c>
      <c r="Q299" s="619">
        <f t="shared" si="753"/>
        <v>-407</v>
      </c>
      <c r="R299" s="619">
        <f t="shared" si="753"/>
        <v>-446</v>
      </c>
      <c r="S299" s="619">
        <f t="shared" si="753"/>
        <v>-447</v>
      </c>
      <c r="T299" s="619">
        <f t="shared" ref="T299" si="754">T56</f>
        <v>-432</v>
      </c>
      <c r="U299" s="619">
        <f t="shared" si="753"/>
        <v>-432.2472885032538</v>
      </c>
      <c r="V299" s="619">
        <f t="shared" si="753"/>
        <v>-404.22957606993174</v>
      </c>
      <c r="W299" s="619">
        <f t="shared" si="753"/>
        <v>-371.2795361682812</v>
      </c>
      <c r="X299" s="619">
        <f t="shared" si="753"/>
        <v>-338.42089043880958</v>
      </c>
      <c r="Y299" s="619">
        <f t="shared" si="753"/>
        <v>-305.81839984445975</v>
      </c>
      <c r="Z299" s="619">
        <f t="shared" si="753"/>
        <v>-274.54280377027874</v>
      </c>
      <c r="AA299" s="619">
        <f t="shared" si="753"/>
        <v>-243.91394578134179</v>
      </c>
      <c r="AB299" s="229"/>
      <c r="AC299" s="159"/>
      <c r="AD299" s="159"/>
      <c r="AE299" s="159"/>
      <c r="AF299" s="159"/>
      <c r="AG299" s="159"/>
    </row>
    <row r="300" spans="1:33" s="163" customFormat="1" ht="13">
      <c r="A300" s="615" t="s">
        <v>766</v>
      </c>
      <c r="B300" s="619"/>
      <c r="C300" s="619"/>
      <c r="D300" s="619"/>
      <c r="E300" s="619"/>
      <c r="F300" s="619"/>
      <c r="G300" s="619"/>
      <c r="H300" s="619"/>
      <c r="I300" s="619"/>
      <c r="J300" s="619"/>
      <c r="K300" s="619"/>
      <c r="L300" s="619"/>
      <c r="M300" s="619"/>
      <c r="N300" s="619"/>
      <c r="O300" s="619"/>
      <c r="P300" s="619"/>
      <c r="Q300" s="619"/>
      <c r="R300" s="659">
        <v>-322</v>
      </c>
      <c r="S300" s="659">
        <v>-287</v>
      </c>
      <c r="T300" s="659">
        <v>-304</v>
      </c>
      <c r="U300" s="619">
        <f t="shared" ref="U300:AA300" si="755">-U288*U327</f>
        <v>-308.85809678830424</v>
      </c>
      <c r="V300" s="619">
        <f t="shared" si="755"/>
        <v>-315.85749472417206</v>
      </c>
      <c r="W300" s="619">
        <f t="shared" si="755"/>
        <v>-323.34385290224674</v>
      </c>
      <c r="X300" s="619">
        <f t="shared" si="755"/>
        <v>-331.32035438736074</v>
      </c>
      <c r="Y300" s="619">
        <f t="shared" si="755"/>
        <v>-338.95733252848066</v>
      </c>
      <c r="Z300" s="619">
        <f t="shared" si="755"/>
        <v>-346.69661713198917</v>
      </c>
      <c r="AA300" s="619">
        <f t="shared" si="755"/>
        <v>-354.55553515595051</v>
      </c>
      <c r="AB300" s="229"/>
      <c r="AC300" s="159"/>
      <c r="AD300" s="159"/>
      <c r="AE300" s="159"/>
      <c r="AF300" s="159"/>
      <c r="AG300" s="159"/>
    </row>
    <row r="301" spans="1:33" s="163" customFormat="1" ht="13">
      <c r="A301" s="616" t="s">
        <v>767</v>
      </c>
      <c r="B301" s="620">
        <f>SUM(B298:B300)</f>
        <v>2269.6</v>
      </c>
      <c r="C301" s="620">
        <f t="shared" ref="C301:AA301" si="756">SUM(C298:C300)</f>
        <v>2906.8000000000006</v>
      </c>
      <c r="D301" s="620">
        <f t="shared" si="756"/>
        <v>2975</v>
      </c>
      <c r="E301" s="620">
        <f t="shared" si="756"/>
        <v>1699</v>
      </c>
      <c r="F301" s="620">
        <f t="shared" si="756"/>
        <v>2564</v>
      </c>
      <c r="G301" s="620">
        <f t="shared" si="756"/>
        <v>2401.5122727272728</v>
      </c>
      <c r="H301" s="620">
        <f t="shared" si="756"/>
        <v>2400.4877272727272</v>
      </c>
      <c r="I301" s="620">
        <f t="shared" si="756"/>
        <v>2442.5618740653772</v>
      </c>
      <c r="J301" s="620">
        <f t="shared" si="756"/>
        <v>2007</v>
      </c>
      <c r="K301" s="620">
        <f t="shared" si="756"/>
        <v>1715</v>
      </c>
      <c r="L301" s="620">
        <f t="shared" si="756"/>
        <v>1774</v>
      </c>
      <c r="M301" s="620">
        <f t="shared" si="756"/>
        <v>2232.721</v>
      </c>
      <c r="N301" s="620">
        <f t="shared" si="756"/>
        <v>1818</v>
      </c>
      <c r="O301" s="620">
        <f t="shared" si="756"/>
        <v>1681</v>
      </c>
      <c r="P301" s="620">
        <f t="shared" si="756"/>
        <v>2154</v>
      </c>
      <c r="Q301" s="620">
        <f t="shared" si="756"/>
        <v>1196</v>
      </c>
      <c r="R301" s="620">
        <f t="shared" si="756"/>
        <v>1928</v>
      </c>
      <c r="S301" s="620">
        <f t="shared" si="756"/>
        <v>2313</v>
      </c>
      <c r="T301" s="620">
        <f t="shared" ref="T301" si="757">SUM(T298:T300)</f>
        <v>2067</v>
      </c>
      <c r="U301" s="620">
        <f t="shared" si="756"/>
        <v>2053.001041182044</v>
      </c>
      <c r="V301" s="620">
        <f t="shared" si="756"/>
        <v>2256.4010553029411</v>
      </c>
      <c r="W301" s="620">
        <f t="shared" si="756"/>
        <v>2349.636244282694</v>
      </c>
      <c r="X301" s="620">
        <f t="shared" si="756"/>
        <v>2447.5348808458639</v>
      </c>
      <c r="Y301" s="620">
        <f t="shared" si="756"/>
        <v>2535.9248355726963</v>
      </c>
      <c r="Z301" s="620">
        <f t="shared" si="756"/>
        <v>2629.3954004957914</v>
      </c>
      <c r="AA301" s="620">
        <f t="shared" si="756"/>
        <v>2338.1209542491965</v>
      </c>
      <c r="AB301" s="229"/>
      <c r="AC301" s="159"/>
      <c r="AD301" s="159"/>
      <c r="AE301" s="159"/>
      <c r="AF301" s="159"/>
      <c r="AG301" s="159"/>
    </row>
    <row r="302" spans="1:33" s="163" customFormat="1" ht="13">
      <c r="A302" s="615" t="s">
        <v>768</v>
      </c>
      <c r="B302" s="381"/>
      <c r="C302" s="381"/>
      <c r="D302" s="381"/>
      <c r="E302" s="381"/>
      <c r="F302" s="381"/>
      <c r="G302" s="381"/>
      <c r="H302" s="381"/>
      <c r="I302" s="381"/>
      <c r="J302" s="381"/>
      <c r="K302" s="381"/>
      <c r="L302" s="381"/>
      <c r="M302" s="381"/>
      <c r="N302" s="381"/>
      <c r="O302" s="381"/>
      <c r="P302" s="381"/>
      <c r="Q302" s="381"/>
      <c r="R302" s="381"/>
      <c r="S302" s="381"/>
      <c r="T302" s="381"/>
      <c r="U302" s="381"/>
      <c r="V302" s="381"/>
      <c r="W302" s="381"/>
      <c r="X302" s="381"/>
      <c r="Y302" s="381"/>
      <c r="Z302" s="381"/>
      <c r="AA302" s="381"/>
      <c r="AB302" s="229"/>
      <c r="AC302" s="159"/>
      <c r="AD302" s="159"/>
      <c r="AE302" s="159"/>
      <c r="AF302" s="159"/>
      <c r="AG302" s="159"/>
    </row>
    <row r="303" spans="1:33" s="163" customFormat="1" ht="13.5" thickBot="1">
      <c r="A303" s="661" t="s">
        <v>769</v>
      </c>
      <c r="B303" s="662">
        <f>B301+B302</f>
        <v>2269.6</v>
      </c>
      <c r="C303" s="662">
        <f t="shared" ref="C303:AA303" si="758">C301+C302</f>
        <v>2906.8000000000006</v>
      </c>
      <c r="D303" s="662">
        <f t="shared" si="758"/>
        <v>2975</v>
      </c>
      <c r="E303" s="662">
        <f t="shared" si="758"/>
        <v>1699</v>
      </c>
      <c r="F303" s="662">
        <f t="shared" si="758"/>
        <v>2564</v>
      </c>
      <c r="G303" s="662">
        <f t="shared" si="758"/>
        <v>2401.5122727272728</v>
      </c>
      <c r="H303" s="662">
        <f t="shared" si="758"/>
        <v>2400.4877272727272</v>
      </c>
      <c r="I303" s="662">
        <f t="shared" si="758"/>
        <v>2442.5618740653772</v>
      </c>
      <c r="J303" s="662">
        <f t="shared" si="758"/>
        <v>2007</v>
      </c>
      <c r="K303" s="662">
        <f t="shared" si="758"/>
        <v>1715</v>
      </c>
      <c r="L303" s="662">
        <f t="shared" si="758"/>
        <v>1774</v>
      </c>
      <c r="M303" s="662">
        <f t="shared" si="758"/>
        <v>2232.721</v>
      </c>
      <c r="N303" s="662">
        <f t="shared" si="758"/>
        <v>1818</v>
      </c>
      <c r="O303" s="662">
        <f t="shared" si="758"/>
        <v>1681</v>
      </c>
      <c r="P303" s="662">
        <f t="shared" si="758"/>
        <v>2154</v>
      </c>
      <c r="Q303" s="662">
        <f t="shared" si="758"/>
        <v>1196</v>
      </c>
      <c r="R303" s="662">
        <f t="shared" si="758"/>
        <v>1928</v>
      </c>
      <c r="S303" s="662">
        <f t="shared" si="758"/>
        <v>2313</v>
      </c>
      <c r="T303" s="662">
        <f t="shared" ref="T303" si="759">T301+T302</f>
        <v>2067</v>
      </c>
      <c r="U303" s="662">
        <f t="shared" si="758"/>
        <v>2053.001041182044</v>
      </c>
      <c r="V303" s="662">
        <f t="shared" si="758"/>
        <v>2256.4010553029411</v>
      </c>
      <c r="W303" s="662">
        <f t="shared" si="758"/>
        <v>2349.636244282694</v>
      </c>
      <c r="X303" s="662">
        <f t="shared" si="758"/>
        <v>2447.5348808458639</v>
      </c>
      <c r="Y303" s="662">
        <f t="shared" si="758"/>
        <v>2535.9248355726963</v>
      </c>
      <c r="Z303" s="662">
        <f t="shared" si="758"/>
        <v>2629.3954004957914</v>
      </c>
      <c r="AA303" s="662">
        <f t="shared" si="758"/>
        <v>2338.1209542491965</v>
      </c>
      <c r="AB303" s="229"/>
      <c r="AC303" s="159"/>
      <c r="AD303" s="159"/>
      <c r="AE303" s="159"/>
      <c r="AF303" s="159"/>
      <c r="AG303" s="159"/>
    </row>
    <row r="304" spans="1:33" s="163" customFormat="1" ht="13.5" thickTop="1">
      <c r="A304" s="615" t="s">
        <v>770</v>
      </c>
      <c r="B304" s="161">
        <f>IFERROR(B303/(DCF!$C$42*1000),"")</f>
        <v>7.8646645638784304E-2</v>
      </c>
      <c r="C304" s="161">
        <f>IFERROR(C303/(DCF!$C$42*1000),"")</f>
        <v>0.10072703099348708</v>
      </c>
      <c r="D304" s="161">
        <f>IFERROR(D303/(DCF!$C$42*1000),"")</f>
        <v>0.10309031140966836</v>
      </c>
      <c r="E304" s="161">
        <f>IFERROR(E303/(DCF!$C$42*1000),"")</f>
        <v>5.8874097171437489E-2</v>
      </c>
      <c r="F304" s="161">
        <f>IFERROR(F303/(DCF!$C$42*1000),"")</f>
        <v>8.8848254942651986E-2</v>
      </c>
      <c r="G304" s="161">
        <f>IFERROR(G303/(DCF!$C$42*1000),"")</f>
        <v>8.3217696823393264E-2</v>
      </c>
      <c r="H304" s="161">
        <f>IFERROR(H303/(DCF!$C$42*1000),"")</f>
        <v>8.3182194063742013E-2</v>
      </c>
      <c r="I304" s="161">
        <f>IFERROR(I303/(DCF!$C$42*1000),"")</f>
        <v>8.464015604530517E-2</v>
      </c>
      <c r="J304" s="161">
        <f>IFERROR(J303/(DCF!$C$42*1000),"")</f>
        <v>6.9546976470320807E-2</v>
      </c>
      <c r="K304" s="161">
        <f>IFERROR(K303/(DCF!$C$42*1000),"")</f>
        <v>5.9428532459691173E-2</v>
      </c>
      <c r="L304" s="161">
        <f>IFERROR(L303/(DCF!$C$42*1000),"")</f>
        <v>6.1473012585126607E-2</v>
      </c>
      <c r="M304" s="161">
        <f>IFERROR(M303/(DCF!$C$42*1000),"")</f>
        <v>7.7368706951565086E-2</v>
      </c>
      <c r="N304" s="161">
        <f>IFERROR(N303/(DCF!$C$42*1000),"")</f>
        <v>6.2997709627824222E-2</v>
      </c>
      <c r="O304" s="161">
        <f>IFERROR(O303/(DCF!$C$42*1000),"")</f>
        <v>5.8250357472152105E-2</v>
      </c>
      <c r="P304" s="161">
        <f>IFERROR(P303/(DCF!$C$42*1000),"")</f>
        <v>7.4640850681151477E-2</v>
      </c>
      <c r="Q304" s="161">
        <f>IFERROR(Q303/(DCF!$C$42*1000),"")</f>
        <v>4.1444037796962471E-2</v>
      </c>
      <c r="R304" s="161">
        <f>IFERROR(R303/(DCF!$C$42*1000),"")</f>
        <v>6.6809452234568273E-2</v>
      </c>
      <c r="S304" s="161">
        <f>IFERROR(S303/(DCF!$C$42*1000),"")</f>
        <v>8.0150551358172409E-2</v>
      </c>
      <c r="T304" s="161">
        <f>IFERROR(T303/(DCF!$C$42*1000),"")</f>
        <v>7.1626108801272098E-2</v>
      </c>
      <c r="U304" s="161">
        <f>IFERROR(U303/(DCF!$C$42*1000),"")</f>
        <v>7.1141014003304304E-2</v>
      </c>
      <c r="V304" s="161">
        <f>IFERROR(V303/(DCF!$C$42*1000),"")</f>
        <v>7.8189273094549414E-2</v>
      </c>
      <c r="W304" s="161">
        <f>IFERROR(W303/(DCF!$C$42*1000),"")</f>
        <v>8.1420078024385376E-2</v>
      </c>
      <c r="X304" s="161">
        <f>IFERROR(X303/(DCF!$C$42*1000),"")</f>
        <v>8.4812481698294334E-2</v>
      </c>
      <c r="Y304" s="161">
        <f>IFERROR(Y303/(DCF!$C$42*1000),"")</f>
        <v>8.7875388575025637E-2</v>
      </c>
      <c r="Z304" s="161">
        <f>IFERROR(Z303/(DCF!$C$42*1000),"")</f>
        <v>9.1114349800423794E-2</v>
      </c>
      <c r="AA304" s="161">
        <f>IFERROR(AA303/(DCF!$C$42*1000),"")</f>
        <v>8.1021047827569956E-2</v>
      </c>
      <c r="AB304" s="229"/>
      <c r="AC304" s="159"/>
      <c r="AD304" s="159"/>
      <c r="AE304" s="159"/>
      <c r="AF304" s="159"/>
      <c r="AG304" s="159"/>
    </row>
    <row r="305" spans="1:40" s="163" customFormat="1" ht="13">
      <c r="A305" s="617"/>
      <c r="B305" s="381"/>
      <c r="C305" s="381"/>
      <c r="D305" s="381"/>
      <c r="E305" s="381"/>
      <c r="F305" s="381"/>
      <c r="G305" s="381"/>
      <c r="H305" s="381"/>
      <c r="I305" s="381"/>
      <c r="J305" s="381"/>
      <c r="K305" s="381"/>
      <c r="L305" s="381"/>
      <c r="M305" s="381"/>
      <c r="N305" s="381"/>
      <c r="O305" s="381"/>
      <c r="P305" s="381"/>
      <c r="Q305" s="381"/>
      <c r="R305" s="381"/>
      <c r="S305" s="381"/>
      <c r="T305" s="381"/>
      <c r="U305" s="381"/>
      <c r="V305" s="381"/>
      <c r="W305" s="381"/>
      <c r="X305" s="381"/>
      <c r="Y305" s="381"/>
      <c r="Z305" s="381"/>
      <c r="AA305" s="381"/>
      <c r="AB305" s="229"/>
      <c r="AC305" s="159"/>
      <c r="AD305" s="159"/>
      <c r="AE305" s="159"/>
      <c r="AF305" s="159"/>
      <c r="AG305" s="159"/>
    </row>
    <row r="306" spans="1:40" s="163" customFormat="1" ht="13">
      <c r="A306" s="615" t="s">
        <v>771</v>
      </c>
      <c r="B306" s="619">
        <f t="shared" ref="B306:AA306" si="760">-B256</f>
        <v>0</v>
      </c>
      <c r="C306" s="619">
        <f t="shared" si="760"/>
        <v>0</v>
      </c>
      <c r="D306" s="619">
        <f t="shared" si="760"/>
        <v>2555</v>
      </c>
      <c r="E306" s="619">
        <f t="shared" si="760"/>
        <v>3000</v>
      </c>
      <c r="F306" s="619">
        <f t="shared" si="760"/>
        <v>3000</v>
      </c>
      <c r="G306" s="619">
        <f t="shared" si="760"/>
        <v>3000</v>
      </c>
      <c r="H306" s="619">
        <f t="shared" si="760"/>
        <v>3000</v>
      </c>
      <c r="I306" s="619">
        <f t="shared" si="760"/>
        <v>3000</v>
      </c>
      <c r="J306" s="619">
        <f t="shared" si="760"/>
        <v>2325.0000000000005</v>
      </c>
      <c r="K306" s="619">
        <f t="shared" si="760"/>
        <v>1500</v>
      </c>
      <c r="L306" s="619">
        <f t="shared" si="760"/>
        <v>1532.096</v>
      </c>
      <c r="M306" s="619">
        <f t="shared" si="760"/>
        <v>1563.0229999999999</v>
      </c>
      <c r="N306" s="619">
        <f t="shared" si="760"/>
        <v>1564</v>
      </c>
      <c r="O306" s="619">
        <f t="shared" si="760"/>
        <v>1330</v>
      </c>
      <c r="P306" s="619">
        <f t="shared" si="760"/>
        <v>1330</v>
      </c>
      <c r="Q306" s="619">
        <f t="shared" si="760"/>
        <v>1566</v>
      </c>
      <c r="R306" s="619">
        <f t="shared" si="760"/>
        <v>1331</v>
      </c>
      <c r="S306" s="619">
        <f t="shared" si="760"/>
        <v>1253</v>
      </c>
      <c r="T306" s="619">
        <f t="shared" ref="T306" si="761">-T256</f>
        <v>1332</v>
      </c>
      <c r="U306" s="619">
        <f t="shared" si="760"/>
        <v>1614.9853056527602</v>
      </c>
      <c r="V306" s="619">
        <f t="shared" si="760"/>
        <v>1732.1144388205273</v>
      </c>
      <c r="W306" s="619">
        <f t="shared" si="760"/>
        <v>1836.6121333434535</v>
      </c>
      <c r="X306" s="619">
        <f t="shared" si="760"/>
        <v>1949.9104677848457</v>
      </c>
      <c r="Y306" s="619">
        <f t="shared" si="760"/>
        <v>2073.1963302472004</v>
      </c>
      <c r="Z306" s="619">
        <f t="shared" si="760"/>
        <v>2190.0260351760289</v>
      </c>
      <c r="AA306" s="619">
        <f t="shared" si="760"/>
        <v>2328.0672797518882</v>
      </c>
      <c r="AB306" s="229"/>
      <c r="AC306" s="159"/>
      <c r="AD306" s="159"/>
      <c r="AE306" s="159"/>
      <c r="AF306" s="159"/>
      <c r="AG306" s="159"/>
    </row>
    <row r="307" spans="1:40" s="163" customFormat="1" ht="13">
      <c r="A307" s="615" t="s">
        <v>772</v>
      </c>
      <c r="B307" s="381"/>
      <c r="C307" s="381"/>
      <c r="D307" s="381"/>
      <c r="E307" s="381"/>
      <c r="F307" s="381"/>
      <c r="G307" s="381"/>
      <c r="H307" s="381"/>
      <c r="I307" s="381"/>
      <c r="J307" s="381"/>
      <c r="K307" s="381"/>
      <c r="L307" s="381"/>
      <c r="M307" s="381"/>
      <c r="N307" s="381"/>
      <c r="O307" s="381"/>
      <c r="P307" s="381"/>
      <c r="Q307" s="381"/>
      <c r="R307" s="381"/>
      <c r="S307" s="381"/>
      <c r="T307" s="381"/>
      <c r="U307" s="381"/>
      <c r="V307" s="381"/>
      <c r="W307" s="381"/>
      <c r="X307" s="381"/>
      <c r="Y307" s="381"/>
      <c r="Z307" s="381"/>
      <c r="AA307" s="381"/>
      <c r="AB307" s="229"/>
      <c r="AC307" s="159"/>
      <c r="AD307" s="159"/>
      <c r="AE307" s="159"/>
      <c r="AF307" s="159"/>
      <c r="AG307" s="159"/>
    </row>
    <row r="308" spans="1:40" s="163" customFormat="1" ht="13">
      <c r="A308" s="617"/>
      <c r="B308" s="381"/>
      <c r="C308" s="381"/>
      <c r="D308" s="381"/>
      <c r="E308" s="381"/>
      <c r="F308" s="381"/>
      <c r="G308" s="381"/>
      <c r="H308" s="381"/>
      <c r="I308" s="381"/>
      <c r="J308" s="381"/>
      <c r="K308" s="381"/>
      <c r="L308" s="381"/>
      <c r="M308" s="381"/>
      <c r="N308" s="381"/>
      <c r="O308" s="381"/>
      <c r="P308" s="381"/>
      <c r="Q308" s="381"/>
      <c r="R308" s="381"/>
      <c r="S308" s="381"/>
      <c r="T308" s="381"/>
      <c r="U308" s="381"/>
      <c r="V308" s="381"/>
      <c r="W308" s="381"/>
      <c r="X308" s="381"/>
      <c r="Y308" s="381"/>
      <c r="Z308" s="381"/>
      <c r="AA308" s="381"/>
      <c r="AB308" s="229"/>
      <c r="AC308" s="159"/>
      <c r="AD308" s="159"/>
      <c r="AE308" s="159"/>
      <c r="AF308" s="159"/>
      <c r="AG308" s="159"/>
    </row>
    <row r="309" spans="1:40" s="163" customFormat="1" ht="13">
      <c r="A309" s="615" t="s">
        <v>773</v>
      </c>
      <c r="B309" s="161">
        <f>IFERROR(B306/(DCF!$C$42*1000),"")</f>
        <v>0</v>
      </c>
      <c r="C309" s="161">
        <f>IFERROR(C306/(DCF!$C$42*1000),"")</f>
        <v>0</v>
      </c>
      <c r="D309" s="161">
        <f>IFERROR(D306/(DCF!$C$42*1000),"")</f>
        <v>8.853638509300929E-2</v>
      </c>
      <c r="E309" s="161">
        <f>IFERROR(E306/(DCF!$C$42*1000),"")</f>
        <v>0.10395661654756473</v>
      </c>
      <c r="F309" s="161">
        <f>IFERROR(F306/(DCF!$C$42*1000),"")</f>
        <v>0.10395661654756473</v>
      </c>
      <c r="G309" s="161">
        <f>IFERROR(G306/(DCF!$C$42*1000),"")</f>
        <v>0.10395661654756473</v>
      </c>
      <c r="H309" s="161">
        <f>IFERROR(H306/(DCF!$C$42*1000),"")</f>
        <v>0.10395661654756473</v>
      </c>
      <c r="I309" s="161">
        <f>IFERROR(I306/(DCF!$C$42*1000),"")</f>
        <v>0.10395661654756473</v>
      </c>
      <c r="J309" s="161">
        <f>IFERROR(J306/(DCF!$C$42*1000),"")</f>
        <v>8.0566377824362684E-2</v>
      </c>
      <c r="K309" s="161">
        <f>IFERROR(K306/(DCF!$C$42*1000),"")</f>
        <v>5.1978308273782366E-2</v>
      </c>
      <c r="L309" s="161">
        <f>IFERROR(L306/(DCF!$C$42*1000),"")</f>
        <v>5.3090505462019245E-2</v>
      </c>
      <c r="M309" s="161">
        <f>IFERROR(M306/(DCF!$C$42*1000),"")</f>
        <v>5.4162194222008082E-2</v>
      </c>
      <c r="N309" s="161">
        <f>IFERROR(N306/(DCF!$C$42*1000),"")</f>
        <v>5.419604942679708E-2</v>
      </c>
      <c r="O309" s="161">
        <f>IFERROR(O306/(DCF!$C$42*1000),"")</f>
        <v>4.608743333608703E-2</v>
      </c>
      <c r="P309" s="161">
        <f>IFERROR(P306/(DCF!$C$42*1000),"")</f>
        <v>4.608743333608703E-2</v>
      </c>
      <c r="Q309" s="161">
        <f>IFERROR(Q306/(DCF!$C$42*1000),"")</f>
        <v>5.4265353837828788E-2</v>
      </c>
      <c r="R309" s="161">
        <f>IFERROR(R306/(DCF!$C$42*1000),"")</f>
        <v>4.6122085541602888E-2</v>
      </c>
      <c r="S309" s="161">
        <f>IFERROR(S306/(DCF!$C$42*1000),"")</f>
        <v>4.3419213511366204E-2</v>
      </c>
      <c r="T309" s="161">
        <f>IFERROR(T306/(DCF!$C$42*1000),"")</f>
        <v>4.6156737747118738E-2</v>
      </c>
      <c r="U309" s="161">
        <f>IFERROR(U306/(DCF!$C$42*1000),"")</f>
        <v>5.5962802716565202E-2</v>
      </c>
      <c r="V309" s="161">
        <f>IFERROR(V306/(DCF!$C$42*1000),"")</f>
        <v>6.0021585510988608E-2</v>
      </c>
      <c r="W309" s="161">
        <f>IFERROR(W306/(DCF!$C$42*1000),"")</f>
        <v>6.3642661097530071E-2</v>
      </c>
      <c r="X309" s="161">
        <f>IFERROR(X306/(DCF!$C$42*1000),"")</f>
        <v>6.7568698267197261E-2</v>
      </c>
      <c r="Y309" s="161">
        <f>IFERROR(Y306/(DCF!$C$42*1000),"")</f>
        <v>7.1840825310442197E-2</v>
      </c>
      <c r="Z309" s="161">
        <f>IFERROR(Z306/(DCF!$C$42*1000),"")</f>
        <v>7.5889232255992645E-2</v>
      </c>
      <c r="AA309" s="161">
        <f>IFERROR(AA306/(DCF!$C$42*1000),"")</f>
        <v>8.0672665832699719E-2</v>
      </c>
      <c r="AB309" s="229"/>
      <c r="AC309" s="159"/>
      <c r="AD309" s="159"/>
      <c r="AE309" s="159"/>
      <c r="AF309" s="159"/>
      <c r="AG309" s="159"/>
    </row>
    <row r="310" spans="1:40" s="163" customFormat="1" ht="13">
      <c r="A310" s="615" t="s">
        <v>774</v>
      </c>
      <c r="B310" s="381"/>
      <c r="C310" s="161">
        <f>IFERROR(C307/(DCF!$C$42*1000),"")</f>
        <v>0</v>
      </c>
      <c r="D310" s="161">
        <f>IFERROR(D307/(DCF!$C$42*1000),"")</f>
        <v>0</v>
      </c>
      <c r="E310" s="161">
        <f>IFERROR(E307/(DCF!$C$42*1000),"")</f>
        <v>0</v>
      </c>
      <c r="F310" s="161">
        <f>IFERROR(F307/(DCF!$C$42*1000),"")</f>
        <v>0</v>
      </c>
      <c r="G310" s="161">
        <f>IFERROR(G307/(DCF!$C$42*1000),"")</f>
        <v>0</v>
      </c>
      <c r="H310" s="161">
        <f>IFERROR(H307/(DCF!$C$42*1000),"")</f>
        <v>0</v>
      </c>
      <c r="I310" s="161">
        <f>IFERROR(I307/(DCF!$C$42*1000),"")</f>
        <v>0</v>
      </c>
      <c r="J310" s="161">
        <f>IFERROR(J307/(DCF!$C$42*1000),"")</f>
        <v>0</v>
      </c>
      <c r="K310" s="161">
        <f>IFERROR(K307/(DCF!$C$42*1000),"")</f>
        <v>0</v>
      </c>
      <c r="L310" s="161">
        <f>IFERROR(L307/(DCF!$C$42*1000),"")</f>
        <v>0</v>
      </c>
      <c r="M310" s="161">
        <f>IFERROR(M307/(DCF!$C$42*1000),"")</f>
        <v>0</v>
      </c>
      <c r="N310" s="161">
        <f>IFERROR(N307/(DCF!$C$42*1000),"")</f>
        <v>0</v>
      </c>
      <c r="O310" s="161">
        <f>IFERROR(O307/(DCF!$C$42*1000),"")</f>
        <v>0</v>
      </c>
      <c r="P310" s="161">
        <f>IFERROR(P307/(DCF!$C$42*1000),"")</f>
        <v>0</v>
      </c>
      <c r="Q310" s="161">
        <f>IFERROR(Q307/(DCF!$C$42*1000),"")</f>
        <v>0</v>
      </c>
      <c r="R310" s="161">
        <f>IFERROR(R307/(DCF!$C$42*1000),"")</f>
        <v>0</v>
      </c>
      <c r="S310" s="161">
        <f>IFERROR(S307/(DCF!$C$42*1000),"")</f>
        <v>0</v>
      </c>
      <c r="T310" s="161">
        <f>IFERROR(T307/(DCF!$C$42*1000),"")</f>
        <v>0</v>
      </c>
      <c r="U310" s="161">
        <f>IFERROR(U307/(DCF!$C$42*1000),"")</f>
        <v>0</v>
      </c>
      <c r="V310" s="161">
        <f>IFERROR(V307/(DCF!$C$42*1000),"")</f>
        <v>0</v>
      </c>
      <c r="W310" s="161">
        <f>IFERROR(W307/(DCF!$C$42*1000),"")</f>
        <v>0</v>
      </c>
      <c r="X310" s="161">
        <f>IFERROR(X307/(DCF!$C$42*1000),"")</f>
        <v>0</v>
      </c>
      <c r="Y310" s="161">
        <f>IFERROR(Y307/(DCF!$C$42*1000),"")</f>
        <v>0</v>
      </c>
      <c r="Z310" s="161">
        <f>IFERROR(Z307/(DCF!$C$42*1000),"")</f>
        <v>0</v>
      </c>
      <c r="AA310" s="161">
        <f>IFERROR(AA307/(DCF!$C$42*1000),"")</f>
        <v>0</v>
      </c>
      <c r="AB310" s="229"/>
      <c r="AC310" s="159"/>
      <c r="AD310" s="159"/>
      <c r="AE310" s="159"/>
      <c r="AF310" s="159"/>
      <c r="AG310" s="159"/>
    </row>
    <row r="311" spans="1:40" s="221" customFormat="1" ht="13">
      <c r="A311" s="616" t="s">
        <v>775</v>
      </c>
      <c r="B311" s="633">
        <f>B309+B310</f>
        <v>0</v>
      </c>
      <c r="C311" s="633">
        <f t="shared" ref="C311:AA311" si="762">C309+C310</f>
        <v>0</v>
      </c>
      <c r="D311" s="633">
        <f t="shared" si="762"/>
        <v>8.853638509300929E-2</v>
      </c>
      <c r="E311" s="633">
        <f t="shared" si="762"/>
        <v>0.10395661654756473</v>
      </c>
      <c r="F311" s="633">
        <f t="shared" si="762"/>
        <v>0.10395661654756473</v>
      </c>
      <c r="G311" s="633">
        <f t="shared" si="762"/>
        <v>0.10395661654756473</v>
      </c>
      <c r="H311" s="633">
        <f t="shared" si="762"/>
        <v>0.10395661654756473</v>
      </c>
      <c r="I311" s="633">
        <f t="shared" si="762"/>
        <v>0.10395661654756473</v>
      </c>
      <c r="J311" s="633">
        <f t="shared" si="762"/>
        <v>8.0566377824362684E-2</v>
      </c>
      <c r="K311" s="633">
        <f t="shared" si="762"/>
        <v>5.1978308273782366E-2</v>
      </c>
      <c r="L311" s="633">
        <f t="shared" si="762"/>
        <v>5.3090505462019245E-2</v>
      </c>
      <c r="M311" s="633">
        <f t="shared" si="762"/>
        <v>5.4162194222008082E-2</v>
      </c>
      <c r="N311" s="633">
        <f t="shared" si="762"/>
        <v>5.419604942679708E-2</v>
      </c>
      <c r="O311" s="633">
        <f t="shared" si="762"/>
        <v>4.608743333608703E-2</v>
      </c>
      <c r="P311" s="633">
        <f t="shared" si="762"/>
        <v>4.608743333608703E-2</v>
      </c>
      <c r="Q311" s="633">
        <f t="shared" si="762"/>
        <v>5.4265353837828788E-2</v>
      </c>
      <c r="R311" s="633">
        <f t="shared" si="762"/>
        <v>4.6122085541602888E-2</v>
      </c>
      <c r="S311" s="633">
        <f t="shared" si="762"/>
        <v>4.3419213511366204E-2</v>
      </c>
      <c r="T311" s="633">
        <f t="shared" ref="T311" si="763">T309+T310</f>
        <v>4.6156737747118738E-2</v>
      </c>
      <c r="U311" s="633">
        <f t="shared" si="762"/>
        <v>5.5962802716565202E-2</v>
      </c>
      <c r="V311" s="633">
        <f t="shared" si="762"/>
        <v>6.0021585510988608E-2</v>
      </c>
      <c r="W311" s="633">
        <f t="shared" si="762"/>
        <v>6.3642661097530071E-2</v>
      </c>
      <c r="X311" s="633">
        <f t="shared" si="762"/>
        <v>6.7568698267197261E-2</v>
      </c>
      <c r="Y311" s="633">
        <f t="shared" si="762"/>
        <v>7.1840825310442197E-2</v>
      </c>
      <c r="Z311" s="633">
        <f t="shared" si="762"/>
        <v>7.5889232255992645E-2</v>
      </c>
      <c r="AA311" s="633">
        <f t="shared" si="762"/>
        <v>8.0672665832699719E-2</v>
      </c>
      <c r="AB311" s="462"/>
      <c r="AC311" s="165"/>
      <c r="AD311" s="165"/>
      <c r="AE311" s="165"/>
      <c r="AF311" s="165"/>
      <c r="AG311" s="165"/>
    </row>
    <row r="312" spans="1:40" s="163" customFormat="1" ht="13">
      <c r="A312" s="226"/>
      <c r="B312" s="381"/>
      <c r="C312" s="381"/>
      <c r="D312" s="381"/>
      <c r="E312" s="381"/>
      <c r="F312" s="381"/>
      <c r="G312" s="381"/>
      <c r="H312" s="381"/>
      <c r="I312" s="381"/>
      <c r="J312" s="381"/>
      <c r="K312" s="381"/>
      <c r="L312" s="381"/>
      <c r="M312" s="381"/>
      <c r="N312" s="381"/>
      <c r="O312" s="381"/>
      <c r="P312" s="381"/>
      <c r="Q312" s="381"/>
      <c r="R312" s="381"/>
      <c r="S312" s="381"/>
      <c r="T312" s="381"/>
      <c r="U312" s="381"/>
      <c r="V312" s="381"/>
      <c r="W312" s="381"/>
      <c r="X312" s="381"/>
      <c r="Y312" s="381"/>
      <c r="Z312" s="381"/>
      <c r="AA312" s="381"/>
      <c r="AB312" s="229"/>
      <c r="AC312" s="159"/>
      <c r="AD312" s="159"/>
      <c r="AE312" s="159"/>
      <c r="AF312" s="159"/>
      <c r="AG312" s="159"/>
    </row>
    <row r="313" spans="1:40" s="163" customFormat="1" ht="13">
      <c r="A313" s="226"/>
      <c r="B313" s="381"/>
      <c r="C313" s="381"/>
      <c r="D313" s="381"/>
      <c r="E313" s="381"/>
      <c r="F313" s="381"/>
      <c r="G313" s="381"/>
      <c r="H313" s="381"/>
      <c r="I313" s="381"/>
      <c r="J313" s="381"/>
      <c r="K313" s="381"/>
      <c r="L313" s="381"/>
      <c r="M313" s="381"/>
      <c r="N313" s="381"/>
      <c r="O313" s="381"/>
      <c r="P313" s="381"/>
      <c r="Q313" s="381"/>
      <c r="R313" s="381"/>
      <c r="S313" s="381"/>
      <c r="T313" s="381"/>
      <c r="U313" s="381"/>
      <c r="V313" s="381"/>
      <c r="W313" s="381"/>
      <c r="X313" s="381"/>
      <c r="Y313" s="381"/>
      <c r="Z313" s="381"/>
      <c r="AA313" s="381"/>
      <c r="AB313" s="229"/>
      <c r="AC313" s="159"/>
      <c r="AD313" s="159"/>
      <c r="AE313" s="159"/>
      <c r="AF313" s="159"/>
      <c r="AG313" s="159"/>
    </row>
    <row r="314" spans="1:40" s="163" customFormat="1" ht="13">
      <c r="A314" s="498"/>
      <c r="B314" s="444">
        <f>B$2</f>
        <v>2007</v>
      </c>
      <c r="C314" s="199">
        <f t="shared" ref="C314:Q314" si="764">B314+1</f>
        <v>2008</v>
      </c>
      <c r="D314" s="199">
        <f t="shared" si="764"/>
        <v>2009</v>
      </c>
      <c r="E314" s="199">
        <f t="shared" si="764"/>
        <v>2010</v>
      </c>
      <c r="F314" s="199">
        <f t="shared" si="764"/>
        <v>2011</v>
      </c>
      <c r="G314" s="199">
        <f t="shared" si="764"/>
        <v>2012</v>
      </c>
      <c r="H314" s="199">
        <f t="shared" si="764"/>
        <v>2013</v>
      </c>
      <c r="I314" s="199">
        <f t="shared" si="764"/>
        <v>2014</v>
      </c>
      <c r="J314" s="199">
        <f t="shared" si="764"/>
        <v>2015</v>
      </c>
      <c r="K314" s="199">
        <f t="shared" si="764"/>
        <v>2016</v>
      </c>
      <c r="L314" s="199">
        <f t="shared" si="764"/>
        <v>2017</v>
      </c>
      <c r="M314" s="199">
        <f t="shared" si="764"/>
        <v>2018</v>
      </c>
      <c r="N314" s="199">
        <f t="shared" si="764"/>
        <v>2019</v>
      </c>
      <c r="O314" s="199">
        <f t="shared" si="764"/>
        <v>2020</v>
      </c>
      <c r="P314" s="199">
        <f t="shared" si="764"/>
        <v>2021</v>
      </c>
      <c r="Q314" s="199">
        <f t="shared" si="764"/>
        <v>2022</v>
      </c>
      <c r="R314" s="199">
        <f t="shared" ref="R314:W314" si="765">Q314+1</f>
        <v>2023</v>
      </c>
      <c r="S314" s="199">
        <f t="shared" si="765"/>
        <v>2024</v>
      </c>
      <c r="T314" s="199">
        <f t="shared" si="765"/>
        <v>2025</v>
      </c>
      <c r="U314" s="199">
        <f t="shared" si="765"/>
        <v>2026</v>
      </c>
      <c r="V314" s="199">
        <f t="shared" si="765"/>
        <v>2027</v>
      </c>
      <c r="W314" s="199">
        <f t="shared" si="765"/>
        <v>2028</v>
      </c>
      <c r="X314" s="199">
        <f t="shared" ref="X314" si="766">W314+1</f>
        <v>2029</v>
      </c>
      <c r="Y314" s="199">
        <f t="shared" ref="Y314" si="767">X314+1</f>
        <v>2030</v>
      </c>
      <c r="Z314" s="199">
        <f t="shared" ref="Z314" si="768">Y314+1</f>
        <v>2031</v>
      </c>
      <c r="AA314" s="199">
        <f t="shared" ref="AA314" si="769">Z314+1</f>
        <v>2032</v>
      </c>
      <c r="AB314" s="203"/>
      <c r="AC314" s="159"/>
      <c r="AD314" s="159"/>
      <c r="AE314" s="159"/>
      <c r="AF314" s="159"/>
      <c r="AG314" s="294">
        <v>39052</v>
      </c>
      <c r="AH314" s="294">
        <v>39417</v>
      </c>
      <c r="AI314" s="294">
        <v>39783</v>
      </c>
      <c r="AJ314" s="294">
        <v>39783</v>
      </c>
      <c r="AK314" s="294">
        <v>40148</v>
      </c>
      <c r="AL314" s="294">
        <v>40513</v>
      </c>
      <c r="AM314" s="294">
        <v>40878</v>
      </c>
      <c r="AN314" s="294">
        <v>41244</v>
      </c>
    </row>
    <row r="315" spans="1:40" s="163" customFormat="1" ht="13">
      <c r="A315" s="159" t="s">
        <v>227</v>
      </c>
      <c r="B315" s="627">
        <f>'Income Statement'!B117</f>
        <v>9765</v>
      </c>
      <c r="C315" s="627">
        <f>'Income Statement'!G117</f>
        <v>11234.1</v>
      </c>
      <c r="D315" s="627">
        <f>'Income Statement'!L117</f>
        <v>12291</v>
      </c>
      <c r="E315" s="627">
        <f>'Income Statement'!Q117</f>
        <v>13954</v>
      </c>
      <c r="F315" s="627">
        <f>'Income Statement'!V117</f>
        <v>12735</v>
      </c>
      <c r="G315" s="627">
        <f>'Income Statement'!AA117</f>
        <v>14091</v>
      </c>
      <c r="H315" s="627">
        <f>'Income Statement'!AF117</f>
        <v>12893</v>
      </c>
      <c r="I315" s="627">
        <f>'Income Statement'!AK117</f>
        <v>12913</v>
      </c>
      <c r="J315" s="627">
        <f>'Income Statement'!AP117</f>
        <v>12694</v>
      </c>
      <c r="K315" s="627">
        <f>'Income Statement'!AU117</f>
        <v>11926</v>
      </c>
      <c r="L315" s="627">
        <f>'Income Statement'!AZ117</f>
        <v>10928</v>
      </c>
      <c r="M315" s="627">
        <f>'Income Statement'!BE117</f>
        <v>10761</v>
      </c>
      <c r="N315" s="627">
        <f>'Income Statement'!BJ117</f>
        <v>11130</v>
      </c>
      <c r="O315" s="627">
        <f>'Income Statement'!BO117</f>
        <v>11132</v>
      </c>
      <c r="P315" s="628">
        <f>'Income Statement'!BT117</f>
        <v>11618</v>
      </c>
      <c r="Q315" s="628">
        <f>'Income Statement'!BY117</f>
        <v>11738</v>
      </c>
      <c r="R315" s="628">
        <f>'Income Statement'!CD117</f>
        <v>12511</v>
      </c>
      <c r="S315" s="627">
        <f>'Income Statement'!CI117</f>
        <v>12826</v>
      </c>
      <c r="T315" s="627">
        <f>'Income Statement'!CJ117</f>
        <v>13115</v>
      </c>
      <c r="U315" s="627">
        <f>'Income Statement'!CQ117</f>
        <v>13589.613584573439</v>
      </c>
      <c r="V315" s="627">
        <f>'Income Statement'!CR117</f>
        <v>13748.767303558094</v>
      </c>
      <c r="W315" s="627">
        <f>'Income Statement'!CS117</f>
        <v>13900.006651461272</v>
      </c>
      <c r="X315" s="627">
        <f>'Income Statement'!CT117</f>
        <v>14044.123874766659</v>
      </c>
      <c r="Y315" s="627">
        <f>'Income Statement'!CU117</f>
        <v>14181.835742538982</v>
      </c>
      <c r="Z315" s="627">
        <f>'Income Statement'!CV117</f>
        <v>14313.790755428116</v>
      </c>
      <c r="AA315" s="627">
        <f>'Income Statement'!CW117</f>
        <v>14440.575666217841</v>
      </c>
      <c r="AB315" s="250"/>
      <c r="AC315" s="159"/>
      <c r="AD315" s="159"/>
      <c r="AE315" s="159"/>
      <c r="AF315" s="159"/>
      <c r="AG315" s="170">
        <v>7.3635000868718548E-2</v>
      </c>
      <c r="AH315" s="170">
        <v>7.7594476224526421E-2</v>
      </c>
      <c r="AI315" s="170">
        <v>-1.996018231706953E-2</v>
      </c>
      <c r="AJ315" s="170">
        <v>-7.6284760395818996E-2</v>
      </c>
      <c r="AK315" s="170">
        <v>-2.2462492609200302E-2</v>
      </c>
      <c r="AL315" s="170">
        <v>-1.1829053031161552E-3</v>
      </c>
      <c r="AM315" s="170">
        <v>5.4107734794393014E-3</v>
      </c>
      <c r="AN315" s="170">
        <v>4.2168961524915449E-3</v>
      </c>
    </row>
    <row r="316" spans="1:40" s="163" customFormat="1" ht="13">
      <c r="A316" s="159" t="s">
        <v>54</v>
      </c>
      <c r="B316" s="170">
        <f>'Income Statement'!B64</f>
        <v>0.27416774326023902</v>
      </c>
      <c r="C316" s="170">
        <f>'Income Statement'!G64</f>
        <v>0.26100358131507073</v>
      </c>
      <c r="D316" s="170">
        <f>'Income Statement'!L64</f>
        <v>0.25319756679594613</v>
      </c>
      <c r="E316" s="170">
        <f>'Income Statement'!Q64</f>
        <v>0.25855457227138645</v>
      </c>
      <c r="F316" s="170">
        <f>'Income Statement'!V64</f>
        <v>0.26466302239769279</v>
      </c>
      <c r="G316" s="170">
        <f>'Income Statement'!AA64</f>
        <v>0.25409200968523005</v>
      </c>
      <c r="H316" s="170">
        <f>'Income Statement'!AF64</f>
        <v>0.25569767441860464</v>
      </c>
      <c r="I316" s="170">
        <f>'Income Statement'!AK64</f>
        <v>0.25436525612472161</v>
      </c>
      <c r="J316" s="170">
        <f>'Income Statement'!AP64</f>
        <v>0.27494331065759636</v>
      </c>
      <c r="K316" s="170">
        <f>'Income Statement'!AU64</f>
        <v>0.27888888888888891</v>
      </c>
      <c r="L316" s="170">
        <f>'Income Statement'!AZ64</f>
        <v>0.2748414870966987</v>
      </c>
      <c r="M316" s="170">
        <f>'Income Statement'!BE64</f>
        <v>0.2749157098059557</v>
      </c>
      <c r="N316" s="170">
        <f>'Income Statement'!BJ64</f>
        <v>0.25293154861998612</v>
      </c>
      <c r="O316" s="170">
        <f>'Income Statement'!BO64</f>
        <v>0.23879552461370973</v>
      </c>
      <c r="P316" s="170">
        <f>'Income Statement'!BT64</f>
        <v>0.2181090862911931</v>
      </c>
      <c r="Q316" s="170">
        <f>'Income Statement'!BY64</f>
        <v>0.42116243783191437</v>
      </c>
      <c r="R316" s="170">
        <f>'Income Statement'!CD64</f>
        <v>0.41965504246402963</v>
      </c>
      <c r="S316" s="170">
        <f>'Income Statement'!CI64</f>
        <v>1.1860258121940366</v>
      </c>
      <c r="T316" s="170">
        <f>'Income Statement'!CJ64</f>
        <v>0</v>
      </c>
      <c r="U316" s="170">
        <f>'Income Statement'!CQ64</f>
        <v>0</v>
      </c>
      <c r="V316" s="170">
        <f>'Income Statement'!CR64</f>
        <v>0</v>
      </c>
      <c r="W316" s="170">
        <f>'Income Statement'!CS64</f>
        <v>0.39694687983496646</v>
      </c>
      <c r="X316" s="170">
        <f>'Income Statement'!CT64</f>
        <v>0.39487092343691715</v>
      </c>
      <c r="Y316" s="170">
        <f>'Income Statement'!CU64</f>
        <v>0.37505445826367184</v>
      </c>
      <c r="Z316" s="170">
        <f>'Income Statement'!CV64</f>
        <v>0.37531829917244552</v>
      </c>
      <c r="AA316" s="170">
        <f>'Income Statement'!CW64</f>
        <v>0.3755530925683957</v>
      </c>
      <c r="AB316" s="170"/>
      <c r="AC316" s="159"/>
      <c r="AD316" s="159"/>
      <c r="AE316" s="159"/>
      <c r="AF316" s="159"/>
      <c r="AG316" s="159"/>
      <c r="AH316" s="159"/>
      <c r="AI316" s="159"/>
    </row>
    <row r="317" spans="1:40" s="163" customFormat="1" ht="13">
      <c r="A317" s="159" t="s">
        <v>228</v>
      </c>
      <c r="B317" s="170">
        <f>'Income Statement'!B90</f>
        <v>0</v>
      </c>
      <c r="C317" s="170">
        <f>'Income Statement'!G90</f>
        <v>0.17740226575022436</v>
      </c>
      <c r="D317" s="170">
        <f>'Income Statement'!L90</f>
        <v>0.21035642906012214</v>
      </c>
      <c r="E317" s="170">
        <f>'Income Statement'!Q90</f>
        <v>0.28039571349084058</v>
      </c>
      <c r="F317" s="170">
        <f>'Income Statement'!V90</f>
        <v>0.33861890071261641</v>
      </c>
      <c r="G317" s="170">
        <f>'Income Statement'!AA90</f>
        <v>0.16975371260971217</v>
      </c>
      <c r="H317" s="170">
        <f>'Income Statement'!AF90</f>
        <v>0.2947058823529401</v>
      </c>
      <c r="I317" s="170">
        <f>'Income Statement'!AK90</f>
        <v>0.22421052631578947</v>
      </c>
      <c r="J317" s="170">
        <f>'Income Statement'!AP90</f>
        <v>0.3705263157894737</v>
      </c>
      <c r="K317" s="170">
        <f>'Income Statement'!AU90</f>
        <v>9.1578947368421051E-2</v>
      </c>
      <c r="L317" s="170">
        <f>'Income Statement'!AZ90</f>
        <v>-0.29052631578947369</v>
      </c>
      <c r="M317" s="170">
        <f>'Income Statement'!BE90</f>
        <v>-4.5789473684210526E-2</v>
      </c>
      <c r="N317" s="170">
        <f>'Income Statement'!BJ90</f>
        <v>-0.1994736842105263</v>
      </c>
      <c r="O317" s="170">
        <f>'Income Statement'!BO90</f>
        <v>-0.44210526315789472</v>
      </c>
      <c r="P317" s="170">
        <f>'Income Statement'!BT90</f>
        <v>-7.1578947368421048E-2</v>
      </c>
      <c r="Q317" s="170">
        <f>'Income Statement'!BY90</f>
        <v>5.094736842105263</v>
      </c>
      <c r="R317" s="170">
        <f>'Income Statement'!CD90</f>
        <v>0.22932315789473681</v>
      </c>
      <c r="S317" s="170">
        <f>'Income Statement'!CI90</f>
        <v>-0.92932315789473685</v>
      </c>
      <c r="T317" s="170">
        <f>'Income Statement'!CJ90</f>
        <v>0</v>
      </c>
      <c r="U317" s="170">
        <f>'Income Statement'!CQ90</f>
        <v>-10.127368421052632</v>
      </c>
      <c r="V317" s="170">
        <f>'Income Statement'!CR90</f>
        <v>0</v>
      </c>
      <c r="W317" s="170">
        <f>'Income Statement'!CS90</f>
        <v>10.127368421052632</v>
      </c>
      <c r="X317" s="170">
        <f>'Income Statement'!CT90</f>
        <v>0</v>
      </c>
      <c r="Y317" s="170">
        <f>'Income Statement'!CU90</f>
        <v>-0.39558489326016189</v>
      </c>
      <c r="Z317" s="170">
        <f>'Income Statement'!CV90</f>
        <v>0.11397303765575711</v>
      </c>
      <c r="AA317" s="170">
        <f>'Income Statement'!CW90</f>
        <v>0.10830540438243157</v>
      </c>
      <c r="AB317" s="170"/>
      <c r="AC317" s="159"/>
      <c r="AD317" s="159"/>
      <c r="AE317" s="159"/>
      <c r="AF317" s="159"/>
      <c r="AG317" s="159"/>
      <c r="AH317" s="159"/>
      <c r="AI317" s="159"/>
    </row>
    <row r="318" spans="1:40" s="163" customFormat="1" ht="13">
      <c r="A318" s="159" t="s">
        <v>229</v>
      </c>
      <c r="B318" s="627">
        <f>'Income Statement'!B77</f>
        <v>23376.2</v>
      </c>
      <c r="C318" s="627">
        <f>'Income Statement'!G77</f>
        <v>27057.1</v>
      </c>
      <c r="D318" s="627">
        <f>'Income Statement'!L77</f>
        <v>30490.024440960002</v>
      </c>
      <c r="E318" s="627">
        <f>'Income Statement'!Q77</f>
        <v>33900</v>
      </c>
      <c r="F318" s="627">
        <f>'Income Statement'!V77</f>
        <v>36700</v>
      </c>
      <c r="G318" s="627">
        <f>'Income Statement'!AA77</f>
        <v>41300</v>
      </c>
      <c r="H318" s="627">
        <f>'Income Statement'!AF77</f>
        <v>43000</v>
      </c>
      <c r="I318" s="627">
        <f>'Income Statement'!AK77</f>
        <v>44900</v>
      </c>
      <c r="J318" s="627">
        <f>'Income Statement'!AP77</f>
        <v>44100</v>
      </c>
      <c r="K318" s="627">
        <f t="shared" ref="K318:W318" si="770">K319*K321</f>
        <v>44308.774922667151</v>
      </c>
      <c r="L318" s="627">
        <f t="shared" si="770"/>
        <v>42333.877200000003</v>
      </c>
      <c r="M318" s="627">
        <f t="shared" si="770"/>
        <v>41676.020099999994</v>
      </c>
      <c r="N318" s="627">
        <f t="shared" si="770"/>
        <v>40210.892670461151</v>
      </c>
      <c r="O318" s="627">
        <f t="shared" si="770"/>
        <v>38723.577053823443</v>
      </c>
      <c r="P318" s="628">
        <f t="shared" si="770"/>
        <v>38111.37539212899</v>
      </c>
      <c r="Q318" s="628">
        <f t="shared" ref="Q318" si="771">Q319*Q321</f>
        <v>38524.962670696266</v>
      </c>
      <c r="R318" s="628">
        <f t="shared" si="770"/>
        <v>37206.553928793743</v>
      </c>
      <c r="S318" s="627">
        <f t="shared" si="770"/>
        <v>36763.657188078607</v>
      </c>
      <c r="T318" s="627">
        <f t="shared" ref="T318" si="772">T319*T321</f>
        <v>0</v>
      </c>
      <c r="U318" s="627">
        <f t="shared" si="770"/>
        <v>0</v>
      </c>
      <c r="V318" s="627">
        <f t="shared" si="770"/>
        <v>0</v>
      </c>
      <c r="W318" s="627">
        <f t="shared" si="770"/>
        <v>0</v>
      </c>
      <c r="X318" s="627">
        <f t="shared" ref="X318:AA318" si="773">X319*X321</f>
        <v>29913.74871869279</v>
      </c>
      <c r="Y318" s="627">
        <f t="shared" si="773"/>
        <v>28233.131081036943</v>
      </c>
      <c r="Z318" s="627">
        <f t="shared" si="773"/>
        <v>26534.959423286575</v>
      </c>
      <c r="AA318" s="627">
        <f t="shared" si="773"/>
        <v>24819.100220681677</v>
      </c>
      <c r="AB318" s="213"/>
      <c r="AC318" s="159"/>
      <c r="AD318" s="159"/>
      <c r="AE318" s="159"/>
      <c r="AF318" s="159"/>
      <c r="AG318" s="159"/>
      <c r="AH318" s="159"/>
      <c r="AI318" s="159"/>
    </row>
    <row r="319" spans="1:40" s="163" customFormat="1" ht="13">
      <c r="A319" s="159" t="s">
        <v>10</v>
      </c>
      <c r="B319" s="304">
        <v>0.86024140722749687</v>
      </c>
      <c r="C319" s="304">
        <v>0.97580424120023079</v>
      </c>
      <c r="D319" s="304">
        <v>1.08</v>
      </c>
      <c r="E319" s="304">
        <v>1.1801338385931661</v>
      </c>
      <c r="F319" s="304">
        <v>1.2556344176431387</v>
      </c>
      <c r="G319" s="304">
        <v>1.3887138950829589</v>
      </c>
      <c r="H319" s="304">
        <v>1.4210087985333475</v>
      </c>
      <c r="I319" s="304">
        <v>1.458277699654815</v>
      </c>
      <c r="J319" s="304">
        <v>1.42</v>
      </c>
      <c r="K319" s="469">
        <v>1.39</v>
      </c>
      <c r="L319" s="469">
        <v>1.3220000000000001</v>
      </c>
      <c r="M319" s="469">
        <v>1.2869999999999999</v>
      </c>
      <c r="N319" s="170">
        <f t="shared" ref="N319:W319" si="774">M319+N320</f>
        <v>1.2363832570937845</v>
      </c>
      <c r="O319" s="170">
        <f t="shared" si="774"/>
        <v>1.1857665141875691</v>
      </c>
      <c r="P319" s="170">
        <f t="shared" si="774"/>
        <v>1.1351497712813536</v>
      </c>
      <c r="Q319" s="170">
        <f t="shared" si="774"/>
        <v>1.1351497712813536</v>
      </c>
      <c r="R319" s="170">
        <f t="shared" si="774"/>
        <v>1.0845330283751382</v>
      </c>
      <c r="S319" s="170">
        <f t="shared" si="774"/>
        <v>1.0339162854689228</v>
      </c>
      <c r="T319" s="170">
        <f t="shared" si="774"/>
        <v>1.0339162854689228</v>
      </c>
      <c r="U319" s="170">
        <f t="shared" si="774"/>
        <v>0.98329954256270735</v>
      </c>
      <c r="V319" s="170">
        <f t="shared" si="774"/>
        <v>0.93268279965649192</v>
      </c>
      <c r="W319" s="170">
        <f t="shared" si="774"/>
        <v>0.88206605675027649</v>
      </c>
      <c r="X319" s="170">
        <f t="shared" ref="X319" si="775">W319+X320</f>
        <v>0.83144931384406107</v>
      </c>
      <c r="Y319" s="170">
        <f t="shared" ref="Y319" si="776">X319+Y320</f>
        <v>0.78083257093784564</v>
      </c>
      <c r="Z319" s="170">
        <f t="shared" ref="Z319" si="777">Y319+Z320</f>
        <v>0.73021582803163021</v>
      </c>
      <c r="AA319" s="170">
        <f t="shared" ref="AA319" si="778">Z319+AA320</f>
        <v>0.67959908512541478</v>
      </c>
      <c r="AB319" s="170"/>
      <c r="AC319" s="159"/>
      <c r="AD319" s="159"/>
      <c r="AE319" s="159"/>
      <c r="AF319" s="159"/>
      <c r="AG319" s="159"/>
      <c r="AH319" s="159"/>
      <c r="AI319" s="159"/>
    </row>
    <row r="320" spans="1:40" s="163" customFormat="1" ht="13">
      <c r="A320" s="500" t="s">
        <v>230</v>
      </c>
      <c r="B320" s="160"/>
      <c r="C320" s="160">
        <f t="shared" ref="C320:J320" si="779">C319-B319</f>
        <v>0.11556283397273392</v>
      </c>
      <c r="D320" s="160">
        <f t="shared" si="779"/>
        <v>0.10419575879976928</v>
      </c>
      <c r="E320" s="160">
        <f t="shared" si="779"/>
        <v>0.10013383859316605</v>
      </c>
      <c r="F320" s="160">
        <f t="shared" si="779"/>
        <v>7.5500579049972538E-2</v>
      </c>
      <c r="G320" s="160">
        <f t="shared" si="779"/>
        <v>0.13307947743982029</v>
      </c>
      <c r="H320" s="160">
        <f t="shared" si="779"/>
        <v>3.2294903450388546E-2</v>
      </c>
      <c r="I320" s="160">
        <f t="shared" si="779"/>
        <v>3.7268901121467524E-2</v>
      </c>
      <c r="J320" s="160">
        <f t="shared" si="779"/>
        <v>-3.8277699654815089E-2</v>
      </c>
      <c r="K320" s="160">
        <f>K319-J319</f>
        <v>-3.0000000000000027E-2</v>
      </c>
      <c r="L320" s="160">
        <f>L319-K319</f>
        <v>-6.7999999999999838E-2</v>
      </c>
      <c r="M320" s="160">
        <f>M319-L319</f>
        <v>-3.5000000000000142E-2</v>
      </c>
      <c r="N320" s="304">
        <v>-5.0616742906215428E-2</v>
      </c>
      <c r="O320" s="304">
        <v>-5.0616742906215428E-2</v>
      </c>
      <c r="P320" s="267">
        <v>-5.0616742906215428E-2</v>
      </c>
      <c r="Q320" s="267"/>
      <c r="R320" s="267">
        <v>-5.0616742906215401E-2</v>
      </c>
      <c r="S320" s="304">
        <v>-5.0616742906215401E-2</v>
      </c>
      <c r="T320" s="304"/>
      <c r="U320" s="304">
        <v>-5.0616742906215401E-2</v>
      </c>
      <c r="V320" s="304">
        <v>-5.0616742906215401E-2</v>
      </c>
      <c r="W320" s="304">
        <v>-5.0616742906215401E-2</v>
      </c>
      <c r="X320" s="304">
        <v>-5.0616742906215401E-2</v>
      </c>
      <c r="Y320" s="304">
        <v>-5.0616742906215401E-2</v>
      </c>
      <c r="Z320" s="304">
        <v>-5.0616742906215401E-2</v>
      </c>
      <c r="AA320" s="304">
        <v>-5.0616742906215401E-2</v>
      </c>
      <c r="AB320" s="185"/>
      <c r="AC320" s="159"/>
      <c r="AD320" s="159"/>
      <c r="AE320" s="159"/>
      <c r="AF320" s="159"/>
      <c r="AG320" s="159"/>
      <c r="AH320" s="159"/>
      <c r="AI320" s="159"/>
    </row>
    <row r="321" spans="1:35" s="163" customFormat="1" ht="13">
      <c r="A321" s="159" t="s">
        <v>231</v>
      </c>
      <c r="B321" s="439">
        <v>27174</v>
      </c>
      <c r="C321" s="627">
        <v>27728</v>
      </c>
      <c r="D321" s="627">
        <v>28231.504111999999</v>
      </c>
      <c r="E321" s="627">
        <v>28725.555433960002</v>
      </c>
      <c r="F321" s="627">
        <v>29228.252654054304</v>
      </c>
      <c r="G321" s="627">
        <v>29739.747075500258</v>
      </c>
      <c r="H321" s="627">
        <v>30260.192649321514</v>
      </c>
      <c r="I321" s="627">
        <v>30789.746020684644</v>
      </c>
      <c r="J321" s="627">
        <v>31328.566576046629</v>
      </c>
      <c r="K321" s="627">
        <f>'Income Statement'!AU69</f>
        <v>31876.816491127447</v>
      </c>
      <c r="L321" s="627">
        <f>'Income Statement'!AZ69</f>
        <v>32022.6</v>
      </c>
      <c r="M321" s="627">
        <f>'Income Statement'!BE69</f>
        <v>32382.3</v>
      </c>
      <c r="N321" s="627">
        <f>'Income Statement'!BJ69</f>
        <v>32523</v>
      </c>
      <c r="O321" s="627">
        <f>'Income Statement'!BO69</f>
        <v>32657</v>
      </c>
      <c r="P321" s="628">
        <f>'Income Statement'!BT69</f>
        <v>33573.874000000003</v>
      </c>
      <c r="Q321" s="628">
        <f>'Income Statement'!BY69</f>
        <v>33938.22</v>
      </c>
      <c r="R321" s="628">
        <f>'Income Statement'!CD69</f>
        <v>34306.519907961767</v>
      </c>
      <c r="S321" s="627">
        <f>'Income Statement'!CI69</f>
        <v>35557.673000000003</v>
      </c>
      <c r="T321" s="627">
        <f>'Income Statement'!CJ69</f>
        <v>0</v>
      </c>
      <c r="U321" s="627">
        <f>'Income Statement'!CQ69</f>
        <v>0</v>
      </c>
      <c r="V321" s="627">
        <f>'Income Statement'!CR69</f>
        <v>0</v>
      </c>
      <c r="W321" s="627">
        <f>'Income Statement'!CS69</f>
        <v>0</v>
      </c>
      <c r="X321" s="627">
        <f>'Income Statement'!CT69</f>
        <v>35977.838000000003</v>
      </c>
      <c r="Y321" s="627">
        <f>'Income Statement'!CU69</f>
        <v>36157.727189999998</v>
      </c>
      <c r="Z321" s="627">
        <f>'Income Statement'!CV69</f>
        <v>36338.515825949995</v>
      </c>
      <c r="AA321" s="627">
        <f>'Income Statement'!CW69</f>
        <v>36520.208405079742</v>
      </c>
      <c r="AB321" s="213"/>
      <c r="AC321" s="159"/>
      <c r="AD321" s="159"/>
      <c r="AE321" s="159"/>
      <c r="AF321" s="159"/>
      <c r="AG321" s="159"/>
      <c r="AH321" s="159"/>
      <c r="AI321" s="159"/>
    </row>
    <row r="322" spans="1:35" s="163" customFormat="1" ht="13">
      <c r="A322" s="159" t="s">
        <v>0</v>
      </c>
      <c r="B322" s="170"/>
      <c r="C322" s="170">
        <f t="shared" ref="C322:J322" si="780">C321/B321-1</f>
        <v>2.0387134761168824E-2</v>
      </c>
      <c r="D322" s="170">
        <f t="shared" si="780"/>
        <v>1.8158688401615608E-2</v>
      </c>
      <c r="E322" s="170">
        <f t="shared" si="780"/>
        <v>1.7500000000000071E-2</v>
      </c>
      <c r="F322" s="170">
        <f t="shared" si="780"/>
        <v>1.7500000000000071E-2</v>
      </c>
      <c r="G322" s="170">
        <f t="shared" si="780"/>
        <v>1.7500000000000071E-2</v>
      </c>
      <c r="H322" s="170">
        <f t="shared" si="780"/>
        <v>1.7500000000000071E-2</v>
      </c>
      <c r="I322" s="170">
        <f t="shared" si="780"/>
        <v>1.7500000000000071E-2</v>
      </c>
      <c r="J322" s="170">
        <f t="shared" si="780"/>
        <v>1.7500000000000071E-2</v>
      </c>
      <c r="K322" s="170">
        <f t="shared" ref="K322:W322" si="781">K321/J321-1</f>
        <v>1.7500000000000071E-2</v>
      </c>
      <c r="L322" s="170">
        <f t="shared" si="781"/>
        <v>4.5733396530713843E-3</v>
      </c>
      <c r="M322" s="170">
        <f t="shared" si="781"/>
        <v>1.1232691911337689E-2</v>
      </c>
      <c r="N322" s="170">
        <f t="shared" si="781"/>
        <v>4.3449662315524495E-3</v>
      </c>
      <c r="O322" s="170">
        <f t="shared" si="781"/>
        <v>4.1201611167480667E-3</v>
      </c>
      <c r="P322" s="170">
        <f t="shared" si="781"/>
        <v>2.8075879597023734E-2</v>
      </c>
      <c r="Q322" s="170">
        <f t="shared" si="781"/>
        <v>1.085206908204861E-2</v>
      </c>
      <c r="R322" s="170">
        <f t="shared" si="781"/>
        <v>1.085206908204861E-2</v>
      </c>
      <c r="S322" s="170">
        <f t="shared" si="781"/>
        <v>3.6469834171313664E-2</v>
      </c>
      <c r="T322" s="170">
        <f t="shared" si="781"/>
        <v>-1</v>
      </c>
      <c r="U322" s="170" t="e">
        <f t="shared" si="781"/>
        <v>#DIV/0!</v>
      </c>
      <c r="V322" s="170" t="e">
        <f t="shared" si="781"/>
        <v>#DIV/0!</v>
      </c>
      <c r="W322" s="170" t="e">
        <f t="shared" si="781"/>
        <v>#DIV/0!</v>
      </c>
      <c r="X322" s="170" t="e">
        <f t="shared" ref="X322" si="782">X321/W321-1</f>
        <v>#DIV/0!</v>
      </c>
      <c r="Y322" s="170">
        <f t="shared" ref="Y322" si="783">Y321/X321-1</f>
        <v>4.9999999999998934E-3</v>
      </c>
      <c r="Z322" s="170">
        <f t="shared" ref="Z322" si="784">Z321/Y321-1</f>
        <v>4.9999999999998934E-3</v>
      </c>
      <c r="AA322" s="170">
        <f t="shared" ref="AA322" si="785">AA321/Z321-1</f>
        <v>4.9999999999998934E-3</v>
      </c>
      <c r="AB322" s="170"/>
      <c r="AC322" s="159"/>
      <c r="AD322" s="159"/>
      <c r="AE322" s="159"/>
      <c r="AF322" s="159"/>
      <c r="AG322" s="159"/>
      <c r="AH322" s="159"/>
      <c r="AI322" s="159"/>
    </row>
    <row r="323" spans="1:35" s="163" customFormat="1" ht="13">
      <c r="A323" s="159"/>
      <c r="B323" s="159"/>
      <c r="C323" s="159"/>
      <c r="D323" s="159"/>
      <c r="E323" s="159"/>
      <c r="F323" s="159"/>
      <c r="G323" s="159"/>
      <c r="H323" s="224"/>
      <c r="I323" s="224"/>
      <c r="J323" s="159"/>
      <c r="K323" s="159"/>
      <c r="L323" s="159"/>
      <c r="M323" s="159"/>
      <c r="N323" s="159"/>
      <c r="O323" s="159"/>
      <c r="P323" s="159"/>
      <c r="Q323" s="159"/>
      <c r="R323" s="159"/>
      <c r="S323" s="159"/>
      <c r="T323" s="159"/>
      <c r="U323" s="159"/>
      <c r="V323" s="159"/>
      <c r="W323" s="159"/>
      <c r="X323" s="159"/>
      <c r="Y323" s="159"/>
      <c r="Z323" s="159"/>
      <c r="AA323" s="159"/>
      <c r="AB323" s="159"/>
      <c r="AC323" s="159"/>
      <c r="AD323" s="159"/>
      <c r="AE323" s="159"/>
      <c r="AF323" s="159"/>
      <c r="AG323" s="159"/>
      <c r="AH323" s="159"/>
      <c r="AI323" s="159"/>
    </row>
    <row r="324" spans="1:35" s="163" customFormat="1" ht="13">
      <c r="A324" s="159" t="s">
        <v>232</v>
      </c>
      <c r="B324" s="627">
        <f>(B315+B315)/2</f>
        <v>9765</v>
      </c>
      <c r="C324" s="627">
        <f t="shared" ref="C324:Q324" si="786">(B315+C315)/2</f>
        <v>10499.55</v>
      </c>
      <c r="D324" s="627">
        <f t="shared" si="786"/>
        <v>11762.55</v>
      </c>
      <c r="E324" s="627">
        <f t="shared" si="786"/>
        <v>13122.5</v>
      </c>
      <c r="F324" s="627">
        <f t="shared" si="786"/>
        <v>13344.5</v>
      </c>
      <c r="G324" s="627">
        <f t="shared" si="786"/>
        <v>13413</v>
      </c>
      <c r="H324" s="627">
        <f t="shared" si="786"/>
        <v>13492</v>
      </c>
      <c r="I324" s="627">
        <f t="shared" si="786"/>
        <v>12903</v>
      </c>
      <c r="J324" s="627">
        <f t="shared" si="786"/>
        <v>12803.5</v>
      </c>
      <c r="K324" s="627">
        <f t="shared" si="786"/>
        <v>12310</v>
      </c>
      <c r="L324" s="627">
        <f t="shared" si="786"/>
        <v>11427</v>
      </c>
      <c r="M324" s="627">
        <f t="shared" si="786"/>
        <v>10844.5</v>
      </c>
      <c r="N324" s="627">
        <f t="shared" si="786"/>
        <v>10945.5</v>
      </c>
      <c r="O324" s="627">
        <f t="shared" si="786"/>
        <v>11131</v>
      </c>
      <c r="P324" s="628">
        <f t="shared" si="786"/>
        <v>11375</v>
      </c>
      <c r="Q324" s="628">
        <f t="shared" si="786"/>
        <v>11678</v>
      </c>
      <c r="R324" s="628">
        <f t="shared" ref="R324:W324" si="787">(Q315+R315)/2</f>
        <v>12124.5</v>
      </c>
      <c r="S324" s="627">
        <f t="shared" si="787"/>
        <v>12668.5</v>
      </c>
      <c r="T324" s="627">
        <f t="shared" si="787"/>
        <v>12970.5</v>
      </c>
      <c r="U324" s="627">
        <f t="shared" si="787"/>
        <v>13352.306792286719</v>
      </c>
      <c r="V324" s="627">
        <f t="shared" si="787"/>
        <v>13669.190444065767</v>
      </c>
      <c r="W324" s="627">
        <f t="shared" si="787"/>
        <v>13824.386977509683</v>
      </c>
      <c r="X324" s="627">
        <f t="shared" ref="X324" si="788">(W315+X315)/2</f>
        <v>13972.065263113966</v>
      </c>
      <c r="Y324" s="627">
        <f t="shared" ref="Y324" si="789">(X315+Y315)/2</f>
        <v>14112.979808652821</v>
      </c>
      <c r="Z324" s="627">
        <f t="shared" ref="Z324" si="790">(Y315+Z315)/2</f>
        <v>14247.813248983548</v>
      </c>
      <c r="AA324" s="627">
        <f t="shared" ref="AA324" si="791">(Z315+AA315)/2</f>
        <v>14377.183210822979</v>
      </c>
      <c r="AB324" s="213"/>
      <c r="AC324" s="159"/>
      <c r="AD324" s="159"/>
      <c r="AE324" s="159"/>
      <c r="AF324" s="159"/>
      <c r="AG324" s="159"/>
      <c r="AH324" s="159"/>
      <c r="AI324" s="159"/>
    </row>
    <row r="325" spans="1:35" s="163" customFormat="1" ht="13">
      <c r="A325" s="159" t="s">
        <v>233</v>
      </c>
      <c r="B325" s="472">
        <f>'Income Statement'!B170/4</f>
        <v>16</v>
      </c>
      <c r="C325" s="472">
        <f>'Income Statement'!G170/4</f>
        <v>14.65</v>
      </c>
      <c r="D325" s="472">
        <f>'Income Statement'!L170/4</f>
        <v>13.9375</v>
      </c>
      <c r="E325" s="472">
        <f>'Income Statement'!Q170/4</f>
        <v>12.75</v>
      </c>
      <c r="F325" s="472">
        <f>'Income Statement'!V170/4</f>
        <v>13</v>
      </c>
      <c r="G325" s="472">
        <f>'Income Statement'!AA170/4</f>
        <v>12.619352493849252</v>
      </c>
      <c r="H325" s="472">
        <f>'Income Statement'!AF170/4</f>
        <v>11.965836236288173</v>
      </c>
      <c r="I325" s="472">
        <f>'Income Statement'!AK170/4</f>
        <v>12.063836898395721</v>
      </c>
      <c r="J325" s="472">
        <f>'Income Statement'!AP170/4</f>
        <v>12.41344651853009</v>
      </c>
      <c r="K325" s="472">
        <f>'Income Statement'!AU170/4</f>
        <v>12.5625</v>
      </c>
      <c r="L325" s="472">
        <f>'Income Statement'!L170/4</f>
        <v>13.9375</v>
      </c>
      <c r="M325" s="472">
        <f>'Income Statement'!M170/4</f>
        <v>13</v>
      </c>
      <c r="N325" s="472">
        <f>'Income Statement'!N170/4</f>
        <v>12.75</v>
      </c>
      <c r="O325" s="472">
        <f>'Income Statement'!O170/4</f>
        <v>12.25</v>
      </c>
      <c r="P325" s="499">
        <f>'Income Statement'!P170/4</f>
        <v>12.25</v>
      </c>
      <c r="Q325" s="499">
        <f>'Income Statement'!Q170/4</f>
        <v>12.75</v>
      </c>
      <c r="R325" s="499">
        <f>'Income Statement'!R170/4</f>
        <v>12.25</v>
      </c>
      <c r="S325" s="472">
        <f>'Income Statement'!S170/4</f>
        <v>12.75</v>
      </c>
      <c r="T325" s="472">
        <f>'Income Statement'!T170/4</f>
        <v>13.5</v>
      </c>
      <c r="U325" s="472">
        <f>'Income Statement'!CQ170/4</f>
        <v>10.607556332127988</v>
      </c>
      <c r="V325" s="472">
        <f>'Income Statement'!V170/4</f>
        <v>13</v>
      </c>
      <c r="W325" s="472">
        <f>'Income Statement'!W170/4</f>
        <v>13</v>
      </c>
      <c r="X325" s="472">
        <f>'Income Statement'!X170/4</f>
        <v>13</v>
      </c>
      <c r="Y325" s="472">
        <f>'Income Statement'!Y170/4</f>
        <v>12</v>
      </c>
      <c r="Z325" s="472">
        <f>'Income Statement'!Z170/4</f>
        <v>12</v>
      </c>
      <c r="AA325" s="472">
        <f>'Income Statement'!AA170/4</f>
        <v>12.619352493849252</v>
      </c>
      <c r="AB325" s="250"/>
      <c r="AC325" s="159"/>
      <c r="AD325" s="159"/>
      <c r="AE325" s="159"/>
      <c r="AF325" s="159"/>
      <c r="AG325" s="159"/>
      <c r="AH325" s="501"/>
      <c r="AI325" s="501"/>
    </row>
    <row r="326" spans="1:35" s="163" customFormat="1" ht="13">
      <c r="A326" s="159" t="s">
        <v>0</v>
      </c>
      <c r="B326" s="170"/>
      <c r="C326" s="170">
        <f t="shared" ref="C326:Q326" si="792">C325/B325-1</f>
        <v>-8.4374999999999978E-2</v>
      </c>
      <c r="D326" s="170">
        <f t="shared" si="792"/>
        <v>-4.8634812286689422E-2</v>
      </c>
      <c r="E326" s="170">
        <f t="shared" si="792"/>
        <v>-8.5201793721973118E-2</v>
      </c>
      <c r="F326" s="170">
        <f t="shared" si="792"/>
        <v>1.9607843137254832E-2</v>
      </c>
      <c r="G326" s="170">
        <f t="shared" si="792"/>
        <v>-2.9280577396211371E-2</v>
      </c>
      <c r="H326" s="170">
        <f t="shared" si="792"/>
        <v>-5.1786829623755026E-2</v>
      </c>
      <c r="I326" s="170">
        <f t="shared" si="792"/>
        <v>8.1900387212676673E-3</v>
      </c>
      <c r="J326" s="170">
        <f t="shared" si="792"/>
        <v>2.8979969066132094E-2</v>
      </c>
      <c r="K326" s="170">
        <f t="shared" si="792"/>
        <v>1.2007421246582162E-2</v>
      </c>
      <c r="L326" s="170">
        <f t="shared" si="792"/>
        <v>0.10945273631840791</v>
      </c>
      <c r="M326" s="170">
        <f t="shared" si="792"/>
        <v>-6.7264573991031362E-2</v>
      </c>
      <c r="N326" s="170">
        <f t="shared" si="792"/>
        <v>-1.9230769230769273E-2</v>
      </c>
      <c r="O326" s="170">
        <f t="shared" si="792"/>
        <v>-3.9215686274509776E-2</v>
      </c>
      <c r="P326" s="170">
        <f t="shared" si="792"/>
        <v>0</v>
      </c>
      <c r="Q326" s="170">
        <f t="shared" si="792"/>
        <v>4.081632653061229E-2</v>
      </c>
      <c r="R326" s="170">
        <f t="shared" ref="R326:W326" si="793">R325/Q325-1</f>
        <v>-3.9215686274509776E-2</v>
      </c>
      <c r="S326" s="170">
        <f t="shared" si="793"/>
        <v>4.081632653061229E-2</v>
      </c>
      <c r="T326" s="170">
        <f t="shared" si="793"/>
        <v>5.8823529411764719E-2</v>
      </c>
      <c r="U326" s="170">
        <f t="shared" si="793"/>
        <v>-0.21425508650903791</v>
      </c>
      <c r="V326" s="170">
        <f t="shared" si="793"/>
        <v>0.22554145299476924</v>
      </c>
      <c r="W326" s="170">
        <f t="shared" si="793"/>
        <v>0</v>
      </c>
      <c r="X326" s="170">
        <f t="shared" ref="X326" si="794">X325/W325-1</f>
        <v>0</v>
      </c>
      <c r="Y326" s="170">
        <f t="shared" ref="Y326" si="795">Y325/X325-1</f>
        <v>-7.6923076923076872E-2</v>
      </c>
      <c r="Z326" s="170">
        <f t="shared" ref="Z326" si="796">Z325/Y325-1</f>
        <v>0</v>
      </c>
      <c r="AA326" s="170">
        <f t="shared" ref="AA326" si="797">AA325/Z325-1</f>
        <v>5.1612707820771098E-2</v>
      </c>
      <c r="AB326" s="170"/>
      <c r="AC326" s="159"/>
      <c r="AD326" s="159"/>
      <c r="AE326" s="159"/>
      <c r="AF326" s="159"/>
      <c r="AG326" s="501"/>
      <c r="AH326" s="159"/>
      <c r="AI326" s="159"/>
    </row>
    <row r="327" spans="1:35" s="163" customFormat="1" ht="13">
      <c r="A327" s="159" t="s">
        <v>48</v>
      </c>
      <c r="B327" s="627">
        <f>'Income Statement'!B429</f>
        <v>0</v>
      </c>
      <c r="C327" s="627">
        <f>'Income Statement'!G429</f>
        <v>0</v>
      </c>
      <c r="D327" s="627">
        <f>'Income Statement'!L429</f>
        <v>0</v>
      </c>
      <c r="E327" s="627">
        <f>'Income Statement'!Q429</f>
        <v>0</v>
      </c>
      <c r="F327" s="627">
        <f>'Income Statement'!V429</f>
        <v>0</v>
      </c>
      <c r="G327" s="627">
        <f>'Income Statement'!AA429</f>
        <v>8538</v>
      </c>
      <c r="H327" s="627">
        <f>'Income Statement'!AF429</f>
        <v>2143</v>
      </c>
      <c r="I327" s="627">
        <f>'Income Statement'!AK429</f>
        <v>8214</v>
      </c>
      <c r="J327" s="627">
        <f>'Income Statement'!AP429</f>
        <v>8520</v>
      </c>
      <c r="K327" s="627">
        <f>'Income Statement'!AU429</f>
        <v>8455</v>
      </c>
      <c r="L327" s="627">
        <f>'Income Statement'!AZ429</f>
        <v>8271</v>
      </c>
      <c r="M327" s="627">
        <f>'Income Statement'!BE429</f>
        <v>8068</v>
      </c>
      <c r="N327" s="627">
        <f>'Income Statement'!BJ429</f>
        <v>7797</v>
      </c>
      <c r="O327" s="627">
        <f>'Income Statement'!BO429</f>
        <v>7725</v>
      </c>
      <c r="P327" s="628">
        <f>'Income Statement'!BT429</f>
        <v>8017</v>
      </c>
      <c r="Q327" s="628">
        <f>'Income Statement'!BY429</f>
        <v>8336</v>
      </c>
      <c r="R327" s="628">
        <f>'Income Statement'!CD429</f>
        <v>8572</v>
      </c>
      <c r="S327" s="627">
        <f>'Income Statement'!CI429</f>
        <v>8868</v>
      </c>
      <c r="T327" s="627">
        <f>'Income Statement'!CN429</f>
        <v>8912</v>
      </c>
      <c r="U327" s="627">
        <f>'Income Statement'!CQ429</f>
        <v>9054.4189426887078</v>
      </c>
      <c r="V327" s="627">
        <f>'Income Statement'!CR429</f>
        <v>9259.6118190191482</v>
      </c>
      <c r="W327" s="627">
        <f>'Income Statement'!CS429</f>
        <v>9479.0803192921794</v>
      </c>
      <c r="X327" s="627">
        <f>'Income Statement'!CT429</f>
        <v>9712.9177575663107</v>
      </c>
      <c r="Y327" s="627">
        <f>'Income Statement'!CU429</f>
        <v>9936.801800966512</v>
      </c>
      <c r="Z327" s="627">
        <f>'Income Statement'!CV429</f>
        <v>10163.685039079892</v>
      </c>
      <c r="AA327" s="627">
        <f>'Income Statement'!CW429</f>
        <v>10394.075425361285</v>
      </c>
      <c r="AB327" s="250"/>
      <c r="AC327" s="159"/>
      <c r="AD327" s="159"/>
      <c r="AE327" s="159"/>
      <c r="AF327" s="159"/>
      <c r="AG327" s="159"/>
      <c r="AH327" s="159"/>
      <c r="AI327" s="159"/>
    </row>
    <row r="328" spans="1:35" s="163" customFormat="1" ht="13">
      <c r="A328" s="159"/>
      <c r="B328" s="249"/>
      <c r="C328" s="249"/>
      <c r="D328" s="249"/>
      <c r="E328" s="249"/>
      <c r="F328" s="249"/>
      <c r="G328" s="249"/>
      <c r="H328" s="502"/>
      <c r="I328" s="502"/>
      <c r="J328" s="502"/>
      <c r="K328" s="502"/>
      <c r="L328" s="502"/>
      <c r="M328" s="502"/>
      <c r="N328" s="502"/>
      <c r="O328" s="502"/>
      <c r="P328" s="502"/>
      <c r="Q328" s="502"/>
      <c r="R328" s="502"/>
      <c r="S328" s="502"/>
      <c r="T328" s="502"/>
      <c r="U328" s="502"/>
      <c r="V328" s="502"/>
      <c r="W328" s="502"/>
      <c r="X328" s="502"/>
      <c r="Y328" s="502"/>
      <c r="Z328" s="502"/>
      <c r="AA328" s="502"/>
      <c r="AB328" s="502"/>
      <c r="AC328" s="159"/>
      <c r="AD328" s="159"/>
      <c r="AE328" s="159"/>
      <c r="AF328" s="159"/>
      <c r="AG328" s="159"/>
      <c r="AH328" s="159"/>
      <c r="AI328" s="159"/>
    </row>
    <row r="329" spans="1:35" s="163" customFormat="1" ht="13">
      <c r="A329" s="159" t="s">
        <v>234</v>
      </c>
      <c r="B329" s="627">
        <f>'Income Statement'!B515-B327</f>
        <v>7690</v>
      </c>
      <c r="C329" s="627">
        <f>'Income Statement'!G515-C327</f>
        <v>8449.9</v>
      </c>
      <c r="D329" s="627">
        <f>'Income Statement'!L515-D327</f>
        <v>8612</v>
      </c>
      <c r="E329" s="627">
        <f>'Income Statement'!Q515-E327</f>
        <v>8869</v>
      </c>
      <c r="F329" s="627">
        <f>'Income Statement'!V515-F327</f>
        <v>8783</v>
      </c>
      <c r="G329" s="627">
        <f>'Income Statement'!AA515-G327</f>
        <v>342</v>
      </c>
      <c r="H329" s="627">
        <f>'Income Statement'!AF515-H327</f>
        <v>6885.3719999999994</v>
      </c>
      <c r="I329" s="627">
        <f>'Income Statement'!AK515-I327</f>
        <v>190</v>
      </c>
      <c r="J329" s="627">
        <f>'Income Statement'!AP515-J327</f>
        <v>81</v>
      </c>
      <c r="K329" s="627">
        <f>'Income Statement'!AU515-K327</f>
        <v>157</v>
      </c>
      <c r="L329" s="627">
        <f>'Income Statement'!AZ515-L327</f>
        <v>1148</v>
      </c>
      <c r="M329" s="627">
        <f>'Income Statement'!BE515-M327</f>
        <v>1124</v>
      </c>
      <c r="N329" s="627">
        <f>'Income Statement'!BJ515-N327</f>
        <v>1516</v>
      </c>
      <c r="O329" s="627">
        <f>'Income Statement'!BO515-O327</f>
        <v>1241</v>
      </c>
      <c r="P329" s="628">
        <f>'Income Statement'!BT515-P327</f>
        <v>1224</v>
      </c>
      <c r="Q329" s="628">
        <f>'Income Statement'!BY515-Q327</f>
        <v>1453</v>
      </c>
      <c r="R329" s="628">
        <f>'Income Statement'!CD515-R327</f>
        <v>1608</v>
      </c>
      <c r="S329" s="627">
        <f>'Income Statement'!CI515-S327</f>
        <v>1668</v>
      </c>
      <c r="T329" s="627">
        <f>'Income Statement'!CJ515-T327</f>
        <v>-6304</v>
      </c>
      <c r="U329" s="627">
        <f>'Income Statement'!CQ515-U327</f>
        <v>1891.1696371070811</v>
      </c>
      <c r="V329" s="627">
        <f>'Income Statement'!CR515-V327</f>
        <v>1957.4385394257297</v>
      </c>
      <c r="W329" s="627">
        <f>'Income Statement'!CS515-W327</f>
        <v>2012.5538642355241</v>
      </c>
      <c r="X329" s="627">
        <f>'Income Statement'!CT515-X327</f>
        <v>2068.5893918696747</v>
      </c>
      <c r="Y329" s="627">
        <f>'Income Statement'!CU515-Y327</f>
        <v>2125.6040750985085</v>
      </c>
      <c r="Z329" s="627">
        <f>'Income Statement'!CV515-Z327</f>
        <v>2183.6555708187425</v>
      </c>
      <c r="AA329" s="627">
        <f>'Income Statement'!CW515-AA327</f>
        <v>2242.8004223853259</v>
      </c>
      <c r="AB329" s="250"/>
      <c r="AC329" s="159"/>
      <c r="AD329" s="159"/>
      <c r="AE329" s="159"/>
      <c r="AF329" s="159"/>
      <c r="AG329" s="159"/>
      <c r="AH329" s="159"/>
      <c r="AI329" s="159"/>
    </row>
    <row r="330" spans="1:35" s="163" customFormat="1" ht="13">
      <c r="A330" s="159" t="s">
        <v>235</v>
      </c>
      <c r="B330" s="170"/>
      <c r="C330" s="170"/>
      <c r="D330" s="170"/>
      <c r="E330" s="170"/>
      <c r="F330" s="170"/>
      <c r="G330" s="170"/>
      <c r="H330" s="224"/>
      <c r="I330" s="224"/>
      <c r="J330" s="224"/>
      <c r="K330" s="224"/>
      <c r="L330" s="224"/>
      <c r="M330" s="224"/>
      <c r="N330" s="224"/>
      <c r="O330" s="224"/>
      <c r="P330" s="224"/>
      <c r="Q330" s="224"/>
      <c r="R330" s="224"/>
      <c r="S330" s="224"/>
      <c r="T330" s="224"/>
      <c r="U330" s="224"/>
      <c r="V330" s="224"/>
      <c r="W330" s="224"/>
      <c r="X330" s="224"/>
      <c r="Y330" s="224"/>
      <c r="Z330" s="224"/>
      <c r="AA330" s="224"/>
      <c r="AB330" s="224"/>
      <c r="AC330" s="159"/>
      <c r="AD330" s="159"/>
      <c r="AE330" s="159"/>
      <c r="AF330" s="159"/>
      <c r="AG330" s="159"/>
      <c r="AH330" s="159"/>
      <c r="AI330" s="159"/>
    </row>
    <row r="331" spans="1:35" s="163" customFormat="1" ht="13">
      <c r="A331" s="159"/>
      <c r="B331" s="167"/>
      <c r="C331" s="167"/>
      <c r="D331" s="167"/>
      <c r="E331" s="167"/>
      <c r="F331" s="167"/>
      <c r="G331" s="167"/>
      <c r="H331" s="224"/>
      <c r="I331" s="224"/>
      <c r="J331" s="224"/>
      <c r="K331" s="224"/>
      <c r="L331" s="224"/>
      <c r="M331" s="224"/>
      <c r="N331" s="224"/>
      <c r="O331" s="224"/>
      <c r="P331" s="224"/>
      <c r="Q331" s="224"/>
      <c r="R331" s="224"/>
      <c r="S331" s="224"/>
      <c r="T331" s="224"/>
      <c r="U331" s="224"/>
      <c r="V331" s="224"/>
      <c r="W331" s="224"/>
      <c r="X331" s="224"/>
      <c r="Y331" s="224"/>
      <c r="Z331" s="224"/>
      <c r="AA331" s="224"/>
      <c r="AB331" s="224"/>
      <c r="AC331" s="159"/>
      <c r="AD331" s="159"/>
      <c r="AE331" s="159"/>
      <c r="AF331" s="159"/>
      <c r="AG331" s="159"/>
      <c r="AH331" s="159"/>
      <c r="AI331" s="159"/>
    </row>
    <row r="332" spans="1:35" s="163" customFormat="1" ht="13">
      <c r="A332" s="165" t="s">
        <v>2</v>
      </c>
      <c r="B332" s="629">
        <f>'Income Statement'!B453</f>
        <v>3590</v>
      </c>
      <c r="C332" s="629">
        <f>'Income Statement'!G453</f>
        <v>4402.2000000000007</v>
      </c>
      <c r="D332" s="629">
        <f>'Income Statement'!L453</f>
        <v>4220</v>
      </c>
      <c r="E332" s="629">
        <f>'Income Statement'!Q453</f>
        <v>4416</v>
      </c>
      <c r="F332" s="629">
        <f>'Income Statement'!V453</f>
        <v>4423</v>
      </c>
      <c r="G332" s="629">
        <f>'Income Statement'!AA453</f>
        <v>4359</v>
      </c>
      <c r="H332" s="629">
        <f>'Income Statement'!AF453</f>
        <v>4522</v>
      </c>
      <c r="I332" s="629">
        <f>'Income Statement'!AK453</f>
        <v>4112.3305194230634</v>
      </c>
      <c r="J332" s="629">
        <f>'Income Statement'!AP453</f>
        <v>4426</v>
      </c>
      <c r="K332" s="629">
        <f>'Income Statement'!AU453</f>
        <v>4502</v>
      </c>
      <c r="L332" s="629">
        <f>'Income Statement'!AZ453</f>
        <v>4195</v>
      </c>
      <c r="M332" s="629">
        <f>'Income Statement'!BE453</f>
        <v>3843</v>
      </c>
      <c r="N332" s="629">
        <f>'Income Statement'!BJ453</f>
        <v>3926</v>
      </c>
      <c r="O332" s="629">
        <f>'Income Statement'!BO453</f>
        <v>3814</v>
      </c>
      <c r="P332" s="630">
        <f>'Income Statement'!BT453</f>
        <v>3876</v>
      </c>
      <c r="Q332" s="630">
        <f>'Income Statement'!BY453</f>
        <v>3929</v>
      </c>
      <c r="R332" s="630">
        <f>'Income Statement'!CD453</f>
        <v>3960</v>
      </c>
      <c r="S332" s="629">
        <f>'Income Statement'!CI453</f>
        <v>4122</v>
      </c>
      <c r="T332" s="629">
        <f>'Income Statement'!CN453</f>
        <v>4329</v>
      </c>
      <c r="U332" s="629">
        <f>'Income Statement'!CQ453</f>
        <v>4521.5932718038575</v>
      </c>
      <c r="V332" s="629">
        <f>'Income Statement'!CR453</f>
        <v>4652.7746464653283</v>
      </c>
      <c r="W332" s="629">
        <f>'Income Statement'!CS453</f>
        <v>4782.7277825729407</v>
      </c>
      <c r="X332" s="629">
        <f>'Income Statement'!CT453</f>
        <v>4920.6127220270864</v>
      </c>
      <c r="Y332" s="629">
        <f>'Income Statement'!CU453</f>
        <v>5055.0552341969897</v>
      </c>
      <c r="Z332" s="629">
        <f>'Income Statement'!CV453</f>
        <v>5192.1232583166502</v>
      </c>
      <c r="AA332" s="629">
        <f>'Income Statement'!CW453</f>
        <v>5332.0710765879776</v>
      </c>
      <c r="AB332" s="503"/>
      <c r="AC332" s="159"/>
      <c r="AD332" s="159"/>
      <c r="AE332" s="159"/>
      <c r="AF332" s="159"/>
      <c r="AG332" s="159"/>
      <c r="AH332" s="159"/>
      <c r="AI332" s="159"/>
    </row>
    <row r="333" spans="1:35" s="163" customFormat="1" ht="13">
      <c r="A333" s="159" t="s">
        <v>236</v>
      </c>
      <c r="B333" s="160">
        <f>'Income Statement'!B456</f>
        <v>0.54824494423478443</v>
      </c>
      <c r="C333" s="160">
        <f>'Income Statement'!G456</f>
        <v>0.53320035437777991</v>
      </c>
      <c r="D333" s="160">
        <f>'Income Statement'!L456</f>
        <v>0.50909949293388912</v>
      </c>
      <c r="E333" s="160">
        <f>'Income Statement'!Q456</f>
        <v>0.52347270082752773</v>
      </c>
      <c r="F333" s="160">
        <f>'Income Statement'!V456</f>
        <v>0.52139769948442571</v>
      </c>
      <c r="G333" s="160">
        <f>'Income Statement'!AA456</f>
        <v>0.51236288503912131</v>
      </c>
      <c r="H333" s="160">
        <f>'Income Statement'!AF456</f>
        <v>0.53895781862484238</v>
      </c>
      <c r="I333" s="160">
        <f>'Income Statement'!AK456</f>
        <v>0.52955291265114623</v>
      </c>
      <c r="J333" s="160">
        <f>'Income Statement'!AP456</f>
        <v>0.56161048468152208</v>
      </c>
      <c r="K333" s="160">
        <f>'Income Statement'!AU456</f>
        <v>0.57718899599820339</v>
      </c>
      <c r="L333" s="160">
        <f>'Income Statement'!AZ456</f>
        <v>0.50572634116937909</v>
      </c>
      <c r="M333" s="160">
        <f>'Income Statement'!BE456</f>
        <v>0.47632622706990579</v>
      </c>
      <c r="N333" s="160">
        <f>'Income Statement'!BJ456</f>
        <v>0.50352699756316532</v>
      </c>
      <c r="O333" s="160">
        <f>'Income Statement'!BO456</f>
        <v>0.49372168284789641</v>
      </c>
      <c r="P333" s="161">
        <f>'Income Statement'!BT456</f>
        <v>0.49162861491628612</v>
      </c>
      <c r="Q333" s="161">
        <f>'Income Statement'!BY456</f>
        <v>0.54599777654252357</v>
      </c>
      <c r="R333" s="161">
        <f>'Income Statement'!CD456</f>
        <v>0.51804779079827812</v>
      </c>
      <c r="S333" s="160">
        <f>'Income Statement'!CI456</f>
        <v>0.52323030534696235</v>
      </c>
      <c r="T333" s="160">
        <f>'Income Statement'!CJ456</f>
        <v>0.69453587886767609</v>
      </c>
      <c r="U333" s="160">
        <f>'Income Statement'!CQ456</f>
        <v>0.52277529777704013</v>
      </c>
      <c r="V333" s="160">
        <f>'Income Statement'!CR456</f>
        <v>0.5174451312953593</v>
      </c>
      <c r="W333" s="160">
        <f>'Income Statement'!CS456</f>
        <v>0.51238583692942585</v>
      </c>
      <c r="X333" s="160">
        <f>'Income Statement'!CT456</f>
        <v>0.50754716271909439</v>
      </c>
      <c r="Y333" s="160">
        <f>'Income Statement'!CU456</f>
        <v>0.50168334491768818</v>
      </c>
      <c r="Z333" s="160">
        <f>'Income Statement'!CV456</f>
        <v>0.49539834013078698</v>
      </c>
      <c r="AA333" s="160">
        <f>'Income Statement'!CW456</f>
        <v>0.48867797934448104</v>
      </c>
      <c r="AB333" s="185"/>
      <c r="AC333" s="159"/>
      <c r="AD333" s="159"/>
      <c r="AE333" s="159"/>
      <c r="AF333" s="159"/>
      <c r="AG333" s="159"/>
      <c r="AH333" s="159"/>
      <c r="AI333" s="159"/>
    </row>
    <row r="334" spans="1:35" s="163" customFormat="1" ht="13">
      <c r="A334" s="159" t="s">
        <v>237</v>
      </c>
      <c r="B334" s="160"/>
      <c r="C334" s="160">
        <f t="shared" ref="C334:Q334" si="798">C332/B332-1</f>
        <v>0.22623955431754905</v>
      </c>
      <c r="D334" s="160">
        <f t="shared" si="798"/>
        <v>-4.1388396710735686E-2</v>
      </c>
      <c r="E334" s="160">
        <f t="shared" si="798"/>
        <v>4.6445497630331678E-2</v>
      </c>
      <c r="F334" s="160">
        <f t="shared" si="798"/>
        <v>1.5851449275361418E-3</v>
      </c>
      <c r="G334" s="160">
        <f t="shared" si="798"/>
        <v>-1.446981686638027E-2</v>
      </c>
      <c r="H334" s="160">
        <f t="shared" si="798"/>
        <v>3.7393897682954869E-2</v>
      </c>
      <c r="I334" s="160">
        <f t="shared" si="798"/>
        <v>-9.0594754660976662E-2</v>
      </c>
      <c r="J334" s="160">
        <f t="shared" si="798"/>
        <v>7.6275357512105568E-2</v>
      </c>
      <c r="K334" s="160">
        <f t="shared" si="798"/>
        <v>1.7171260732038007E-2</v>
      </c>
      <c r="L334" s="160">
        <f t="shared" si="798"/>
        <v>-6.8191914704575751E-2</v>
      </c>
      <c r="M334" s="160">
        <f t="shared" si="798"/>
        <v>-8.3909415971394563E-2</v>
      </c>
      <c r="N334" s="160">
        <f t="shared" si="798"/>
        <v>2.1597710122300384E-2</v>
      </c>
      <c r="O334" s="160">
        <f t="shared" si="798"/>
        <v>-2.852776362710141E-2</v>
      </c>
      <c r="P334" s="161">
        <f t="shared" si="798"/>
        <v>1.625589931830107E-2</v>
      </c>
      <c r="Q334" s="161">
        <f t="shared" si="798"/>
        <v>1.3673890608875139E-2</v>
      </c>
      <c r="R334" s="161">
        <f t="shared" ref="R334:W334" si="799">R332/Q332-1</f>
        <v>7.8900483583608239E-3</v>
      </c>
      <c r="S334" s="160">
        <f t="shared" si="799"/>
        <v>4.0909090909091006E-2</v>
      </c>
      <c r="T334" s="160">
        <f t="shared" si="799"/>
        <v>5.0218340611353662E-2</v>
      </c>
      <c r="U334" s="160">
        <f t="shared" si="799"/>
        <v>4.4489090275781296E-2</v>
      </c>
      <c r="V334" s="160">
        <f t="shared" si="799"/>
        <v>2.9012201402435434E-2</v>
      </c>
      <c r="W334" s="160">
        <f t="shared" si="799"/>
        <v>2.7930245064917703E-2</v>
      </c>
      <c r="X334" s="160">
        <f t="shared" ref="X334" si="800">X332/W332-1</f>
        <v>2.8829769479367773E-2</v>
      </c>
      <c r="Y334" s="160">
        <f t="shared" ref="Y334" si="801">Y332/X332-1</f>
        <v>2.7322311217071071E-2</v>
      </c>
      <c r="Z334" s="160">
        <f t="shared" ref="Z334" si="802">Z332/Y332-1</f>
        <v>2.7115039850090561E-2</v>
      </c>
      <c r="AA334" s="160">
        <f t="shared" ref="AA334" si="803">AA332/Z332-1</f>
        <v>2.6953870566759353E-2</v>
      </c>
      <c r="AB334" s="185"/>
      <c r="AC334" s="159"/>
      <c r="AD334" s="159"/>
      <c r="AE334" s="159"/>
      <c r="AF334" s="159"/>
      <c r="AG334" s="159"/>
      <c r="AH334" s="159"/>
      <c r="AI334" s="159"/>
    </row>
    <row r="335" spans="1:35" s="163" customFormat="1" ht="13">
      <c r="A335" s="159"/>
      <c r="B335" s="159"/>
      <c r="C335" s="159"/>
      <c r="D335" s="159"/>
      <c r="E335" s="159"/>
      <c r="F335" s="159"/>
      <c r="G335" s="159"/>
      <c r="H335" s="224"/>
      <c r="I335" s="224"/>
      <c r="J335" s="224"/>
      <c r="K335" s="224"/>
      <c r="L335" s="224"/>
      <c r="M335" s="224"/>
      <c r="N335" s="224"/>
      <c r="O335" s="224"/>
      <c r="P335" s="224"/>
      <c r="Q335" s="224"/>
      <c r="R335" s="224"/>
      <c r="S335" s="224"/>
      <c r="T335" s="224"/>
      <c r="U335" s="224"/>
      <c r="V335" s="224"/>
      <c r="W335" s="224"/>
      <c r="X335" s="224"/>
      <c r="Y335" s="224"/>
      <c r="Z335" s="224"/>
      <c r="AA335" s="224"/>
      <c r="AB335" s="224"/>
      <c r="AC335" s="159"/>
      <c r="AD335" s="159"/>
      <c r="AE335" s="159"/>
      <c r="AF335" s="159"/>
      <c r="AG335" s="159"/>
      <c r="AH335" s="159"/>
      <c r="AI335" s="159"/>
    </row>
    <row r="336" spans="1:35" s="163" customFormat="1" ht="13">
      <c r="A336" s="165" t="s">
        <v>238</v>
      </c>
      <c r="B336" s="488">
        <f>'Income Statement'!B515-B332</f>
        <v>4100</v>
      </c>
      <c r="C336" s="488">
        <f>'Income Statement'!G515-C332</f>
        <v>4047.6999999999989</v>
      </c>
      <c r="D336" s="488">
        <f>'Income Statement'!L515-D332</f>
        <v>4392</v>
      </c>
      <c r="E336" s="488">
        <f>'Income Statement'!Q515-E332</f>
        <v>4453</v>
      </c>
      <c r="F336" s="488">
        <f>'Income Statement'!V515-F332</f>
        <v>4360</v>
      </c>
      <c r="G336" s="488">
        <f>'Income Statement'!AA515-G332</f>
        <v>4521</v>
      </c>
      <c r="H336" s="488">
        <f>'Income Statement'!AF515-H332</f>
        <v>4506.3719999999994</v>
      </c>
      <c r="I336" s="488">
        <f>'Income Statement'!AK515-I332</f>
        <v>4291.6694805769366</v>
      </c>
      <c r="J336" s="488">
        <f>'Income Statement'!AP515-J332</f>
        <v>4175</v>
      </c>
      <c r="K336" s="488">
        <f>'Income Statement'!AU515-K332</f>
        <v>4110</v>
      </c>
      <c r="L336" s="488">
        <f>'Income Statement'!AZ515-L332</f>
        <v>5224</v>
      </c>
      <c r="M336" s="488">
        <f>'Income Statement'!BE515-M332</f>
        <v>5349</v>
      </c>
      <c r="N336" s="488">
        <f>'Income Statement'!BJ515-N332</f>
        <v>5387</v>
      </c>
      <c r="O336" s="488">
        <f>'Income Statement'!BO515-O332</f>
        <v>5152</v>
      </c>
      <c r="P336" s="488">
        <f>'Income Statement'!BT515-P332</f>
        <v>5365</v>
      </c>
      <c r="Q336" s="488">
        <f>'Income Statement'!BY515-Q332</f>
        <v>5860</v>
      </c>
      <c r="R336" s="488">
        <f>'Income Statement'!CD515-R332</f>
        <v>6220</v>
      </c>
      <c r="S336" s="488">
        <f>'Income Statement'!CI515-S332</f>
        <v>6414</v>
      </c>
      <c r="T336" s="488">
        <f>'Income Statement'!CJ515-T332</f>
        <v>-1721</v>
      </c>
      <c r="U336" s="488">
        <f>'Income Statement'!CQ515-U332</f>
        <v>6423.9953079919314</v>
      </c>
      <c r="V336" s="488">
        <f>'Income Statement'!CR515-V332</f>
        <v>6564.2757119795497</v>
      </c>
      <c r="W336" s="488">
        <f>'Income Statement'!CS515-W332</f>
        <v>6708.9064009547628</v>
      </c>
      <c r="X336" s="488">
        <f>'Income Statement'!CT515-X332</f>
        <v>6860.894427408899</v>
      </c>
      <c r="Y336" s="488">
        <f>'Income Statement'!CU515-Y332</f>
        <v>7007.3506418680308</v>
      </c>
      <c r="Z336" s="488">
        <f>'Income Statement'!CV515-Z332</f>
        <v>7155.2173515819841</v>
      </c>
      <c r="AA336" s="488">
        <f>'Income Statement'!CW515-AA332</f>
        <v>7304.8047711586332</v>
      </c>
      <c r="AB336" s="445"/>
      <c r="AC336" s="159"/>
      <c r="AD336" s="159"/>
      <c r="AE336" s="159"/>
      <c r="AF336" s="159"/>
      <c r="AG336" s="159"/>
      <c r="AH336" s="165"/>
      <c r="AI336" s="165"/>
    </row>
    <row r="337" spans="1:35" s="163" customFormat="1" ht="13">
      <c r="A337" s="501" t="s">
        <v>239</v>
      </c>
      <c r="B337" s="504">
        <f t="shared" ref="B337:P337" si="804">B336/B324</f>
        <v>0.41986687147977469</v>
      </c>
      <c r="C337" s="504">
        <f t="shared" si="804"/>
        <v>0.38551176002781062</v>
      </c>
      <c r="D337" s="504">
        <f t="shared" si="804"/>
        <v>0.3733884234285933</v>
      </c>
      <c r="E337" s="504">
        <f t="shared" si="804"/>
        <v>0.339340826824157</v>
      </c>
      <c r="F337" s="504">
        <f t="shared" si="804"/>
        <v>0.3267263666679156</v>
      </c>
      <c r="G337" s="504">
        <f t="shared" si="804"/>
        <v>0.33706106016551107</v>
      </c>
      <c r="H337" s="504">
        <f t="shared" si="804"/>
        <v>0.33400326119181734</v>
      </c>
      <c r="I337" s="504">
        <f t="shared" si="804"/>
        <v>0.33261020542330749</v>
      </c>
      <c r="J337" s="504">
        <f t="shared" si="804"/>
        <v>0.32608271175850351</v>
      </c>
      <c r="K337" s="504">
        <f t="shared" si="804"/>
        <v>0.33387489845653939</v>
      </c>
      <c r="L337" s="504">
        <f t="shared" si="804"/>
        <v>0.4571628598932353</v>
      </c>
      <c r="M337" s="504">
        <f t="shared" si="804"/>
        <v>0.49324542394762322</v>
      </c>
      <c r="N337" s="504">
        <f t="shared" si="804"/>
        <v>0.49216573020876159</v>
      </c>
      <c r="O337" s="504">
        <f t="shared" si="804"/>
        <v>0.46285149582247775</v>
      </c>
      <c r="P337" s="504">
        <f t="shared" si="804"/>
        <v>0.47164835164835167</v>
      </c>
      <c r="Q337" s="504">
        <f t="shared" ref="Q337" si="805">Q336/Q324</f>
        <v>0.50179825312553517</v>
      </c>
      <c r="R337" s="504">
        <f t="shared" ref="R337:W337" si="806">R336/R324</f>
        <v>0.51301084580807454</v>
      </c>
      <c r="S337" s="504">
        <f t="shared" si="806"/>
        <v>0.50629514149267874</v>
      </c>
      <c r="T337" s="504">
        <f t="shared" ref="T337" si="807">T336/T324</f>
        <v>-0.13268570988011255</v>
      </c>
      <c r="U337" s="504">
        <f t="shared" si="806"/>
        <v>0.48111501689752267</v>
      </c>
      <c r="V337" s="504">
        <f t="shared" si="806"/>
        <v>0.48022417558966057</v>
      </c>
      <c r="W337" s="504">
        <f t="shared" si="806"/>
        <v>0.4852950378102987</v>
      </c>
      <c r="X337" s="504">
        <f t="shared" ref="X337:AA337" si="808">X336/X324</f>
        <v>0.49104368596971509</v>
      </c>
      <c r="Y337" s="504">
        <f t="shared" si="808"/>
        <v>0.49651815115414166</v>
      </c>
      <c r="Z337" s="504">
        <f t="shared" si="808"/>
        <v>0.5021975812388223</v>
      </c>
      <c r="AA337" s="504">
        <f t="shared" si="808"/>
        <v>0.50808316650369034</v>
      </c>
      <c r="AB337" s="504"/>
      <c r="AC337" s="501"/>
      <c r="AD337" s="501"/>
      <c r="AE337" s="501"/>
      <c r="AF337" s="501"/>
      <c r="AG337" s="165"/>
      <c r="AH337" s="159"/>
      <c r="AI337" s="159"/>
    </row>
    <row r="338" spans="1:35" s="163" customFormat="1" ht="13">
      <c r="A338" s="159" t="s">
        <v>0</v>
      </c>
      <c r="B338" s="170"/>
      <c r="C338" s="170">
        <f t="shared" ref="C338:Q338" si="809">C337/B337-1</f>
        <v>-8.1823820324007146E-2</v>
      </c>
      <c r="D338" s="170">
        <f t="shared" si="809"/>
        <v>-3.1447384635796216E-2</v>
      </c>
      <c r="E338" s="170">
        <f t="shared" si="809"/>
        <v>-9.1185463897885288E-2</v>
      </c>
      <c r="F338" s="170">
        <f t="shared" si="809"/>
        <v>-3.7173423175449805E-2</v>
      </c>
      <c r="G338" s="170">
        <f t="shared" si="809"/>
        <v>3.1631036096023468E-2</v>
      </c>
      <c r="H338" s="170">
        <f t="shared" si="809"/>
        <v>-9.0719437368179667E-3</v>
      </c>
      <c r="I338" s="170">
        <f t="shared" si="809"/>
        <v>-4.1707849304795097E-3</v>
      </c>
      <c r="J338" s="170">
        <f t="shared" si="809"/>
        <v>-1.9625055270016567E-2</v>
      </c>
      <c r="K338" s="170">
        <f t="shared" si="809"/>
        <v>2.3896350272647249E-2</v>
      </c>
      <c r="L338" s="170">
        <f t="shared" si="809"/>
        <v>0.36926394289190423</v>
      </c>
      <c r="M338" s="170">
        <f t="shared" si="809"/>
        <v>7.8927155331066423E-2</v>
      </c>
      <c r="N338" s="170">
        <f t="shared" si="809"/>
        <v>-2.1889584503804738E-3</v>
      </c>
      <c r="O338" s="170">
        <f t="shared" si="809"/>
        <v>-5.9561713843525044E-2</v>
      </c>
      <c r="P338" s="170">
        <f t="shared" si="809"/>
        <v>1.9005784588082886E-2</v>
      </c>
      <c r="Q338" s="170">
        <f t="shared" si="809"/>
        <v>6.3924534818818657E-2</v>
      </c>
      <c r="R338" s="170">
        <f t="shared" ref="R338:W338" si="810">R337/Q337-1</f>
        <v>2.2344822072814852E-2</v>
      </c>
      <c r="S338" s="170">
        <f t="shared" si="810"/>
        <v>-1.3090764786497844E-2</v>
      </c>
      <c r="T338" s="170">
        <f t="shared" si="810"/>
        <v>-1.2620718608693804</v>
      </c>
      <c r="U338" s="170">
        <f t="shared" si="810"/>
        <v>-4.6259746232825787</v>
      </c>
      <c r="V338" s="170">
        <f t="shared" si="810"/>
        <v>-1.8516181714857138E-3</v>
      </c>
      <c r="W338" s="170">
        <f t="shared" si="810"/>
        <v>1.0559364726716813E-2</v>
      </c>
      <c r="X338" s="170">
        <f t="shared" ref="X338" si="811">X337/W337-1</f>
        <v>1.1845676777069158E-2</v>
      </c>
      <c r="Y338" s="170">
        <f t="shared" ref="Y338" si="812">Y337/X337-1</f>
        <v>1.1148631661184183E-2</v>
      </c>
      <c r="Z338" s="170">
        <f t="shared" ref="Z338" si="813">Z337/Y337-1</f>
        <v>1.1438514526566523E-2</v>
      </c>
      <c r="AA338" s="170">
        <f t="shared" ref="AA338" si="814">AA337/Z337-1</f>
        <v>1.1719660716703384E-2</v>
      </c>
      <c r="AB338" s="170"/>
      <c r="AC338" s="159"/>
      <c r="AD338" s="159"/>
      <c r="AE338" s="159"/>
      <c r="AF338" s="159"/>
      <c r="AG338" s="159"/>
      <c r="AH338" s="159"/>
      <c r="AI338" s="159"/>
    </row>
    <row r="339" spans="1:35" s="163" customFormat="1" ht="13">
      <c r="A339" s="159"/>
      <c r="B339" s="159"/>
      <c r="C339" s="159"/>
      <c r="D339" s="159"/>
      <c r="E339" s="159"/>
      <c r="F339" s="159"/>
      <c r="G339" s="159"/>
      <c r="H339" s="224"/>
      <c r="I339" s="224"/>
      <c r="J339" s="224"/>
      <c r="K339" s="224"/>
      <c r="L339" s="224"/>
      <c r="M339" s="224"/>
      <c r="N339" s="224"/>
      <c r="O339" s="224"/>
      <c r="P339" s="224"/>
      <c r="Q339" s="224"/>
      <c r="R339" s="224"/>
      <c r="S339" s="224"/>
      <c r="T339" s="224"/>
      <c r="U339" s="224"/>
      <c r="V339" s="224"/>
      <c r="W339" s="224"/>
      <c r="X339" s="224"/>
      <c r="Y339" s="224"/>
      <c r="Z339" s="224"/>
      <c r="AA339" s="224"/>
      <c r="AB339" s="224"/>
      <c r="AC339" s="159"/>
      <c r="AD339" s="159"/>
      <c r="AE339" s="159"/>
      <c r="AF339" s="159"/>
      <c r="AG339" s="159"/>
      <c r="AH339" s="159"/>
      <c r="AI339" s="159"/>
    </row>
    <row r="340" spans="1:35" s="163" customFormat="1" ht="13">
      <c r="A340" s="165" t="s">
        <v>240</v>
      </c>
      <c r="B340" s="629">
        <f t="shared" ref="B340:AA340" si="815">B75</f>
        <v>1123.8</v>
      </c>
      <c r="C340" s="629">
        <f t="shared" si="815"/>
        <v>802.8</v>
      </c>
      <c r="D340" s="629">
        <f t="shared" si="815"/>
        <v>590</v>
      </c>
      <c r="E340" s="629">
        <f t="shared" si="815"/>
        <v>1444</v>
      </c>
      <c r="F340" s="629">
        <f t="shared" si="815"/>
        <v>989</v>
      </c>
      <c r="G340" s="629">
        <f t="shared" si="815"/>
        <v>990</v>
      </c>
      <c r="H340" s="629">
        <f t="shared" si="815"/>
        <v>815</v>
      </c>
      <c r="I340" s="629">
        <f t="shared" si="815"/>
        <v>1140</v>
      </c>
      <c r="J340" s="629">
        <f t="shared" si="815"/>
        <v>1304</v>
      </c>
      <c r="K340" s="629">
        <f t="shared" si="815"/>
        <v>1189</v>
      </c>
      <c r="L340" s="629">
        <f t="shared" si="815"/>
        <v>1028</v>
      </c>
      <c r="M340" s="629">
        <f t="shared" si="815"/>
        <v>1038</v>
      </c>
      <c r="N340" s="629">
        <f t="shared" si="815"/>
        <v>1213</v>
      </c>
      <c r="O340" s="629">
        <f t="shared" si="815"/>
        <v>1245</v>
      </c>
      <c r="P340" s="630">
        <f t="shared" si="815"/>
        <v>1187</v>
      </c>
      <c r="Q340" s="630">
        <f t="shared" si="815"/>
        <v>1114</v>
      </c>
      <c r="R340" s="630">
        <f t="shared" si="815"/>
        <v>813</v>
      </c>
      <c r="S340" s="629">
        <f t="shared" si="815"/>
        <v>674</v>
      </c>
      <c r="T340" s="629">
        <f t="shared" ref="T340" si="816">T75</f>
        <v>986</v>
      </c>
      <c r="U340" s="629">
        <f t="shared" si="815"/>
        <v>1094.558857979579</v>
      </c>
      <c r="V340" s="629">
        <f t="shared" si="815"/>
        <v>1009.534532260039</v>
      </c>
      <c r="W340" s="629">
        <f t="shared" si="815"/>
        <v>1034.2470765174933</v>
      </c>
      <c r="X340" s="629">
        <f t="shared" si="815"/>
        <v>1060.3356434492387</v>
      </c>
      <c r="Y340" s="629">
        <f t="shared" si="815"/>
        <v>1085.6165288458519</v>
      </c>
      <c r="Z340" s="629">
        <f t="shared" si="815"/>
        <v>1111.260654890877</v>
      </c>
      <c r="AA340" s="629">
        <f t="shared" si="815"/>
        <v>1516.4251017295933</v>
      </c>
      <c r="AB340" s="503"/>
      <c r="AC340" s="159"/>
      <c r="AD340" s="159"/>
      <c r="AE340" s="159"/>
      <c r="AF340" s="159"/>
      <c r="AG340" s="159"/>
      <c r="AH340" s="159"/>
      <c r="AI340" s="159"/>
    </row>
    <row r="341" spans="1:35" s="163" customFormat="1" ht="13">
      <c r="A341" s="159" t="s">
        <v>0</v>
      </c>
      <c r="B341" s="191"/>
      <c r="C341" s="191">
        <f t="shared" ref="C341:Q341" si="817">C340/B340-1</f>
        <v>-0.28563801388147358</v>
      </c>
      <c r="D341" s="191">
        <f t="shared" si="817"/>
        <v>-0.26507224713502742</v>
      </c>
      <c r="E341" s="191">
        <f t="shared" si="817"/>
        <v>1.4474576271186441</v>
      </c>
      <c r="F341" s="191">
        <f t="shared" si="817"/>
        <v>-0.3150969529085873</v>
      </c>
      <c r="G341" s="191">
        <f t="shared" si="817"/>
        <v>1.0111223458038054E-3</v>
      </c>
      <c r="H341" s="191">
        <f t="shared" si="817"/>
        <v>-0.1767676767676768</v>
      </c>
      <c r="I341" s="191">
        <f t="shared" si="817"/>
        <v>0.39877300613496924</v>
      </c>
      <c r="J341" s="191">
        <f t="shared" si="817"/>
        <v>0.14385964912280702</v>
      </c>
      <c r="K341" s="191">
        <f t="shared" si="817"/>
        <v>-8.8190184049079745E-2</v>
      </c>
      <c r="L341" s="191">
        <f t="shared" si="817"/>
        <v>-0.13540790580319595</v>
      </c>
      <c r="M341" s="191">
        <f t="shared" si="817"/>
        <v>9.7276264591439343E-3</v>
      </c>
      <c r="N341" s="191">
        <f t="shared" si="817"/>
        <v>0.16859344894026984</v>
      </c>
      <c r="O341" s="191">
        <f t="shared" si="817"/>
        <v>2.638087386644683E-2</v>
      </c>
      <c r="P341" s="191">
        <f t="shared" si="817"/>
        <v>-4.6586345381526062E-2</v>
      </c>
      <c r="Q341" s="191">
        <f t="shared" si="817"/>
        <v>-6.1499578770008445E-2</v>
      </c>
      <c r="R341" s="191">
        <f t="shared" ref="R341:W341" si="818">R340/Q340-1</f>
        <v>-0.27019748653500897</v>
      </c>
      <c r="S341" s="191">
        <f t="shared" si="818"/>
        <v>-0.17097170971709719</v>
      </c>
      <c r="T341" s="191">
        <f t="shared" si="818"/>
        <v>0.4629080118694362</v>
      </c>
      <c r="U341" s="191">
        <f t="shared" si="818"/>
        <v>0.11010026164257503</v>
      </c>
      <c r="V341" s="191">
        <f t="shared" si="818"/>
        <v>-7.7679080571769754E-2</v>
      </c>
      <c r="W341" s="191">
        <f t="shared" si="818"/>
        <v>2.4479147040300298E-2</v>
      </c>
      <c r="X341" s="191">
        <f t="shared" ref="X341" si="819">X340/W340-1</f>
        <v>2.5224694876190057E-2</v>
      </c>
      <c r="Y341" s="191">
        <f t="shared" ref="Y341" si="820">Y340/X340-1</f>
        <v>2.3842342330750332E-2</v>
      </c>
      <c r="Z341" s="191">
        <f t="shared" ref="Z341" si="821">Z340/Y340-1</f>
        <v>2.3621716659277592E-2</v>
      </c>
      <c r="AA341" s="191">
        <f t="shared" ref="AA341" si="822">AA340/Z340-1</f>
        <v>0.36459893100282792</v>
      </c>
      <c r="AB341" s="191"/>
      <c r="AC341" s="159"/>
      <c r="AD341" s="159"/>
      <c r="AE341" s="159"/>
      <c r="AF341" s="159"/>
      <c r="AG341" s="159"/>
      <c r="AH341" s="159"/>
      <c r="AI341" s="159"/>
    </row>
    <row r="342" spans="1:35" s="163" customFormat="1" ht="13">
      <c r="A342" s="159" t="s">
        <v>172</v>
      </c>
      <c r="B342" s="170">
        <f>B340/'Income Statement'!B515</f>
        <v>0.14613784135240571</v>
      </c>
      <c r="C342" s="170">
        <f>C340/'Income Statement'!G515</f>
        <v>9.5007041503449741E-2</v>
      </c>
      <c r="D342" s="170">
        <f>D340/'Income Statement'!L515</f>
        <v>6.8509057129586617E-2</v>
      </c>
      <c r="E342" s="170">
        <f>E340/'Income Statement'!Q515</f>
        <v>0.16281429698951405</v>
      </c>
      <c r="F342" s="170">
        <f>F340/'Income Statement'!V515</f>
        <v>0.11260389388591598</v>
      </c>
      <c r="G342" s="170">
        <f>G340/'Income Statement'!AA515</f>
        <v>0.11148648648648649</v>
      </c>
      <c r="H342" s="170">
        <f>H340/'Income Statement'!AF515</f>
        <v>9.0270981302055353E-2</v>
      </c>
      <c r="I342" s="170">
        <f>I340/'Income Statement'!AK515</f>
        <v>0.13564969062351262</v>
      </c>
      <c r="J342" s="170">
        <f>J340/'Income Statement'!AP515</f>
        <v>0.15161027787466574</v>
      </c>
      <c r="K342" s="170">
        <f>K340/'Income Statement'!AU515</f>
        <v>0.13806316767301441</v>
      </c>
      <c r="L342" s="170">
        <f>L340/'Income Statement'!AZ515</f>
        <v>0.10914109778108079</v>
      </c>
      <c r="M342" s="170">
        <f>M340/'Income Statement'!BE515</f>
        <v>0.1129242819843342</v>
      </c>
      <c r="N342" s="170">
        <f>N340/'Income Statement'!BJ515</f>
        <v>0.13024804037367121</v>
      </c>
      <c r="O342" s="170">
        <f>O340/'Income Statement'!BO515</f>
        <v>0.13885790765112649</v>
      </c>
      <c r="P342" s="170">
        <f>P340/'Income Statement'!BT515</f>
        <v>0.12844930202359053</v>
      </c>
      <c r="Q342" s="170">
        <f>Q340/'Income Statement'!BY515</f>
        <v>0.11380120543467157</v>
      </c>
      <c r="R342" s="170">
        <f>R340/'Income Statement'!CD515</f>
        <v>7.9862475442043224E-2</v>
      </c>
      <c r="S342" s="170">
        <f>S340/'Income Statement'!CI515</f>
        <v>6.3971146545178437E-2</v>
      </c>
      <c r="T342" s="170">
        <f>T340/'Income Statement'!CJ515</f>
        <v>0.37806748466257667</v>
      </c>
      <c r="U342" s="170">
        <f>U340/'Income Statement'!CQ515</f>
        <v>0.1</v>
      </c>
      <c r="V342" s="170">
        <f>V340/'Income Statement'!CR515</f>
        <v>0.09</v>
      </c>
      <c r="W342" s="170">
        <f>W340/'Income Statement'!CS515</f>
        <v>0.09</v>
      </c>
      <c r="X342" s="170">
        <f>X340/'Income Statement'!CT515</f>
        <v>0.09</v>
      </c>
      <c r="Y342" s="170">
        <f>Y340/'Income Statement'!CU515</f>
        <v>9.0000000000000011E-2</v>
      </c>
      <c r="Z342" s="170">
        <f>Z340/'Income Statement'!CV515</f>
        <v>0.09</v>
      </c>
      <c r="AA342" s="170">
        <f>AA340/'Income Statement'!CW515</f>
        <v>0.12</v>
      </c>
      <c r="AB342" s="170"/>
      <c r="AC342" s="159"/>
      <c r="AD342" s="159"/>
      <c r="AE342" s="159"/>
      <c r="AF342" s="159"/>
      <c r="AG342" s="159"/>
      <c r="AH342" s="159"/>
      <c r="AI342" s="159"/>
    </row>
    <row r="343" spans="1:35" s="163" customFormat="1" ht="13">
      <c r="A343" s="159" t="s">
        <v>241</v>
      </c>
      <c r="B343" s="292">
        <f>B340*1000/B315</f>
        <v>115.08448540706605</v>
      </c>
      <c r="C343" s="292">
        <f t="shared" ref="C343:P343" si="823">C340*1000/C315</f>
        <v>71.460998210804604</v>
      </c>
      <c r="D343" s="292">
        <f t="shared" si="823"/>
        <v>48.002603531038972</v>
      </c>
      <c r="E343" s="292">
        <f t="shared" si="823"/>
        <v>103.48287229468252</v>
      </c>
      <c r="F343" s="292">
        <f t="shared" si="823"/>
        <v>77.659992147624664</v>
      </c>
      <c r="G343" s="292">
        <f t="shared" si="823"/>
        <v>70.257611241217802</v>
      </c>
      <c r="H343" s="292">
        <f t="shared" si="823"/>
        <v>63.212595982315989</v>
      </c>
      <c r="I343" s="292">
        <f t="shared" si="823"/>
        <v>88.283125532409201</v>
      </c>
      <c r="J343" s="292">
        <f t="shared" si="823"/>
        <v>102.72569717976997</v>
      </c>
      <c r="K343" s="292">
        <f t="shared" si="823"/>
        <v>99.698138520878757</v>
      </c>
      <c r="L343" s="292">
        <f t="shared" si="823"/>
        <v>94.07027818448023</v>
      </c>
      <c r="M343" s="292">
        <f t="shared" si="823"/>
        <v>96.459436855310841</v>
      </c>
      <c r="N343" s="292">
        <f t="shared" si="823"/>
        <v>108.98472596585805</v>
      </c>
      <c r="O343" s="292">
        <f t="shared" si="823"/>
        <v>111.8397412863816</v>
      </c>
      <c r="P343" s="292">
        <f t="shared" si="823"/>
        <v>102.16904802892064</v>
      </c>
      <c r="Q343" s="292">
        <f t="shared" ref="Q343" si="824">Q340*1000/Q315</f>
        <v>94.905435338217757</v>
      </c>
      <c r="R343" s="292">
        <f t="shared" ref="R343:W343" si="825">R340*1000/R315</f>
        <v>64.982815122692031</v>
      </c>
      <c r="S343" s="292">
        <f t="shared" si="825"/>
        <v>52.54950881022922</v>
      </c>
      <c r="T343" s="292">
        <f t="shared" ref="T343" si="826">T340*1000/T315</f>
        <v>75.181090354555849</v>
      </c>
      <c r="U343" s="292">
        <f t="shared" si="825"/>
        <v>80.543780819646884</v>
      </c>
      <c r="V343" s="292">
        <f t="shared" si="825"/>
        <v>73.427276058325447</v>
      </c>
      <c r="W343" s="292">
        <f t="shared" si="825"/>
        <v>74.406228892614635</v>
      </c>
      <c r="X343" s="292">
        <f t="shared" ref="X343:AA343" si="827">X340*1000/X315</f>
        <v>75.500305530227038</v>
      </c>
      <c r="Y343" s="292">
        <f t="shared" si="827"/>
        <v>76.549788656027218</v>
      </c>
      <c r="Z343" s="292">
        <f t="shared" si="827"/>
        <v>77.635664365811806</v>
      </c>
      <c r="AA343" s="292">
        <f t="shared" si="827"/>
        <v>105.01140236930479</v>
      </c>
      <c r="AB343" s="292"/>
      <c r="AC343" s="159"/>
      <c r="AD343" s="159"/>
      <c r="AE343" s="159"/>
      <c r="AF343" s="159"/>
      <c r="AG343" s="159"/>
      <c r="AH343" s="159"/>
      <c r="AI343" s="159"/>
    </row>
    <row r="344" spans="1:35" s="163" customFormat="1" ht="13">
      <c r="A344" s="159"/>
      <c r="B344" s="159"/>
      <c r="C344" s="159"/>
      <c r="D344" s="159"/>
      <c r="E344" s="159"/>
      <c r="F344" s="159"/>
      <c r="G344" s="159"/>
      <c r="H344" s="159"/>
      <c r="I344" s="159"/>
      <c r="J344" s="159"/>
      <c r="K344" s="159"/>
      <c r="L344" s="159"/>
      <c r="M344" s="159"/>
      <c r="N344" s="159"/>
      <c r="O344" s="159"/>
      <c r="P344" s="159"/>
      <c r="Q344" s="159"/>
      <c r="R344" s="159"/>
      <c r="S344" s="159"/>
      <c r="T344" s="159"/>
      <c r="U344" s="159"/>
      <c r="V344" s="159"/>
      <c r="W344" s="159"/>
      <c r="X344" s="159"/>
      <c r="Y344" s="159"/>
      <c r="Z344" s="159"/>
      <c r="AA344" s="159"/>
      <c r="AB344" s="159"/>
      <c r="AC344" s="159"/>
      <c r="AD344" s="159"/>
      <c r="AE344" s="159"/>
      <c r="AF344" s="159"/>
      <c r="AG344" s="159"/>
      <c r="AH344" s="159"/>
      <c r="AI344" s="159"/>
    </row>
    <row r="345" spans="1:35" s="163" customFormat="1" ht="13">
      <c r="A345" s="159" t="s">
        <v>84</v>
      </c>
      <c r="B345" s="631">
        <f>'Income Statement'!B463</f>
        <v>894</v>
      </c>
      <c r="C345" s="631">
        <f>'Income Statement'!G463</f>
        <v>1192.2</v>
      </c>
      <c r="D345" s="631">
        <f>'Income Statement'!L463</f>
        <v>1165</v>
      </c>
      <c r="E345" s="631">
        <f>'Income Statement'!Q463</f>
        <v>1073</v>
      </c>
      <c r="F345" s="631">
        <f>'Income Statement'!V463</f>
        <v>1191</v>
      </c>
      <c r="G345" s="631">
        <f>'Income Statement'!AA463</f>
        <v>1362</v>
      </c>
      <c r="H345" s="631">
        <f>'Income Statement'!AF463</f>
        <v>1366</v>
      </c>
      <c r="I345" s="631">
        <f>'Income Statement'!AK463</f>
        <v>1427</v>
      </c>
      <c r="J345" s="631">
        <f>'Income Statement'!AP463</f>
        <v>991</v>
      </c>
      <c r="K345" s="631">
        <f>'Income Statement'!AU463</f>
        <v>1052</v>
      </c>
      <c r="L345" s="631">
        <f>'Income Statement'!AZ463</f>
        <v>1021</v>
      </c>
      <c r="M345" s="631">
        <v>1068</v>
      </c>
      <c r="N345" s="631">
        <v>1075</v>
      </c>
      <c r="O345" s="631">
        <f>1131+282</f>
        <v>1413</v>
      </c>
      <c r="P345" s="632">
        <f>'Income Statement'!BT463</f>
        <v>1520</v>
      </c>
      <c r="Q345" s="632">
        <f>'Income Statement'!BY463</f>
        <v>1408</v>
      </c>
      <c r="R345" s="632">
        <f>'Income Statement'!CD463</f>
        <v>1525</v>
      </c>
      <c r="S345" s="632">
        <f>'Income Statement'!CI463</f>
        <v>1463</v>
      </c>
      <c r="T345" s="632">
        <f>'Income Statement'!CN463</f>
        <v>1494</v>
      </c>
      <c r="U345" s="627">
        <f t="shared" ref="U345:AA345" si="828">-U93</f>
        <v>1406.16</v>
      </c>
      <c r="V345" s="627">
        <f t="shared" si="828"/>
        <v>1401.3436602489246</v>
      </c>
      <c r="W345" s="627">
        <f t="shared" si="828"/>
        <v>1403.5416622469752</v>
      </c>
      <c r="X345" s="627">
        <f t="shared" si="828"/>
        <v>1411.8730140733828</v>
      </c>
      <c r="Y345" s="627">
        <f t="shared" si="828"/>
        <v>1349.1591651138999</v>
      </c>
      <c r="Z345" s="627">
        <f t="shared" si="828"/>
        <v>1300.3439035739173</v>
      </c>
      <c r="AA345" s="627">
        <f t="shared" si="828"/>
        <v>1226.6014365875315</v>
      </c>
      <c r="AB345" s="250"/>
      <c r="AC345" s="159"/>
      <c r="AD345" s="159"/>
      <c r="AE345" s="159"/>
      <c r="AF345" s="159"/>
      <c r="AG345" s="159"/>
      <c r="AH345" s="159"/>
      <c r="AI345" s="159"/>
    </row>
    <row r="346" spans="1:35">
      <c r="A346" s="159" t="s">
        <v>85</v>
      </c>
      <c r="B346" s="631">
        <f>'Income Statement'!B464</f>
        <v>0</v>
      </c>
      <c r="C346" s="631">
        <f>'Income Statement'!G464</f>
        <v>0</v>
      </c>
      <c r="D346" s="631">
        <f>'Income Statement'!L464</f>
        <v>0</v>
      </c>
      <c r="E346" s="631">
        <f>'Income Statement'!Q464</f>
        <v>0</v>
      </c>
      <c r="F346" s="631">
        <f>'Income Statement'!V464</f>
        <v>0</v>
      </c>
      <c r="G346" s="631">
        <f>'Income Statement'!AA464</f>
        <v>0</v>
      </c>
      <c r="H346" s="631">
        <f>'Income Statement'!AF464</f>
        <v>0</v>
      </c>
      <c r="I346" s="631">
        <f>'Income Statement'!AK464</f>
        <v>0</v>
      </c>
      <c r="J346" s="631">
        <f>'Income Statement'!AP464</f>
        <v>279</v>
      </c>
      <c r="K346" s="631">
        <f>'Income Statement'!AU464</f>
        <v>341</v>
      </c>
      <c r="L346" s="631">
        <f>'Income Statement'!AZ464</f>
        <v>399</v>
      </c>
      <c r="M346" s="631">
        <v>0</v>
      </c>
      <c r="N346" s="631">
        <f>165+25</f>
        <v>190</v>
      </c>
      <c r="O346" s="631">
        <f>'Income Statement'!BO464</f>
        <v>62</v>
      </c>
      <c r="P346" s="632">
        <f>'Income Statement'!BT464</f>
        <v>181</v>
      </c>
      <c r="Q346" s="632">
        <f>'Income Statement'!BY464</f>
        <v>313</v>
      </c>
      <c r="R346" s="632">
        <f>'Income Statement'!CD464</f>
        <v>378</v>
      </c>
      <c r="S346" s="632">
        <f>'Income Statement'!CI464</f>
        <v>317</v>
      </c>
      <c r="T346" s="632">
        <f>'Income Statement'!CN464</f>
        <v>318</v>
      </c>
      <c r="U346" s="627">
        <f t="shared" ref="U346:AA346" si="829">-U105</f>
        <v>306.45999999999998</v>
      </c>
      <c r="V346" s="627">
        <f t="shared" si="829"/>
        <v>314.87035923926828</v>
      </c>
      <c r="W346" s="627">
        <f t="shared" si="829"/>
        <v>322.80112605321978</v>
      </c>
      <c r="X346" s="627">
        <f t="shared" si="829"/>
        <v>319.57779222251634</v>
      </c>
      <c r="Y346" s="627">
        <f t="shared" si="829"/>
        <v>369.11775252753114</v>
      </c>
      <c r="Z346" s="627">
        <f t="shared" si="829"/>
        <v>415.52723977522379</v>
      </c>
      <c r="AA346" s="627">
        <f t="shared" si="829"/>
        <v>458.12555552571791</v>
      </c>
      <c r="AB346" s="250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21030-A79A-4DF0-B97E-78B7617036AE}">
  <sheetPr>
    <tabColor theme="0"/>
  </sheetPr>
  <dimension ref="B2:CE82"/>
  <sheetViews>
    <sheetView zoomScale="85" zoomScaleNormal="85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X22" sqref="X22"/>
    </sheetView>
  </sheetViews>
  <sheetFormatPr defaultColWidth="7.6328125" defaultRowHeight="13" outlineLevelCol="1"/>
  <cols>
    <col min="1" max="1" width="7.6328125" style="804"/>
    <col min="2" max="2" width="22.90625" style="804" bestFit="1" customWidth="1"/>
    <col min="3" max="24" width="7.7265625" style="804" bestFit="1" customWidth="1"/>
    <col min="25" max="25" width="7.6328125" style="804" customWidth="1"/>
    <col min="26" max="27" width="1.90625" style="804" customWidth="1"/>
    <col min="28" max="29" width="8" style="804" bestFit="1" customWidth="1"/>
    <col min="30" max="30" width="7.7265625" style="804" bestFit="1" customWidth="1"/>
    <col min="31" max="31" width="1.90625" style="804" customWidth="1"/>
    <col min="32" max="33" width="14.26953125" style="804" bestFit="1" customWidth="1"/>
    <col min="34" max="34" width="13.54296875" style="804" bestFit="1" customWidth="1"/>
    <col min="35" max="36" width="11.54296875" style="804" bestFit="1" customWidth="1"/>
    <col min="37" max="37" width="8" style="804" bestFit="1" customWidth="1"/>
    <col min="38" max="38" width="7.90625" style="804" bestFit="1" customWidth="1"/>
    <col min="39" max="39" width="7.6328125" style="805"/>
    <col min="40" max="40" width="7.6328125" style="804"/>
    <col min="41" max="45" width="8.6328125" style="804" customWidth="1" outlineLevel="1"/>
    <col min="46" max="46" width="10.54296875" style="804" bestFit="1" customWidth="1"/>
    <col min="47" max="51" width="8.6328125" style="804" bestFit="1" customWidth="1"/>
    <col min="52" max="52" width="7.6328125" style="804" customWidth="1" outlineLevel="1"/>
    <col min="53" max="54" width="7.6328125" style="989" customWidth="1" outlineLevel="1"/>
    <col min="55" max="68" width="7.6328125" style="804" customWidth="1" outlineLevel="1"/>
    <col min="69" max="69" width="7.6328125" style="804"/>
    <col min="70" max="76" width="8.6328125" style="804" bestFit="1" customWidth="1"/>
    <col min="77" max="16384" width="7.6328125" style="804"/>
  </cols>
  <sheetData>
    <row r="2" spans="2:83">
      <c r="B2" s="802" t="s">
        <v>827</v>
      </c>
      <c r="C2" s="803"/>
    </row>
    <row r="3" spans="2:83">
      <c r="B3" s="806" t="s">
        <v>828</v>
      </c>
      <c r="C3" s="807">
        <v>45838</v>
      </c>
      <c r="Q3" s="806"/>
      <c r="Z3" s="808" t="s">
        <v>829</v>
      </c>
    </row>
    <row r="4" spans="2:83" ht="14.5">
      <c r="B4" s="912">
        <f>DCF!$C$34</f>
        <v>5.7602386508632222</v>
      </c>
      <c r="C4" s="809"/>
      <c r="AB4" s="806" t="s">
        <v>830</v>
      </c>
      <c r="AO4" s="810"/>
      <c r="AP4" s="810"/>
      <c r="AQ4" s="810"/>
      <c r="AR4" s="810"/>
      <c r="AS4" s="810"/>
      <c r="AT4" s="859" t="s">
        <v>849</v>
      </c>
      <c r="AU4" s="859"/>
      <c r="AV4" s="859"/>
      <c r="AW4" s="859"/>
      <c r="AX4" s="859"/>
      <c r="AY4" s="859"/>
      <c r="BD4" s="859" t="s">
        <v>850</v>
      </c>
      <c r="BE4" s="859"/>
      <c r="BF4" s="859"/>
      <c r="BG4" s="859"/>
      <c r="BH4" s="859"/>
      <c r="BI4" s="859"/>
      <c r="BK4" s="859" t="s">
        <v>851</v>
      </c>
      <c r="BL4" s="859"/>
      <c r="BM4" s="859"/>
      <c r="BN4" s="859"/>
      <c r="BO4" s="859"/>
      <c r="BP4" s="859"/>
      <c r="BR4" s="868"/>
      <c r="BS4" s="868" t="s">
        <v>1</v>
      </c>
      <c r="BT4" s="868"/>
      <c r="BU4" s="868"/>
      <c r="BV4" s="868"/>
      <c r="BW4" s="868"/>
      <c r="BX4" s="868"/>
      <c r="BZ4" s="868" t="s">
        <v>852</v>
      </c>
      <c r="CA4" s="868"/>
      <c r="CB4" s="868"/>
      <c r="CC4" s="868"/>
      <c r="CD4" s="868"/>
      <c r="CE4" s="868"/>
    </row>
    <row r="5" spans="2:83">
      <c r="B5" s="810"/>
      <c r="C5" s="810" t="str">
        <f>IF(MONTH(C$6)=3,"Q1"&amp;" "&amp;RIGHT(YEAR(C$6),2),IF(MONTH(C$6)=6,"Q2"&amp;" "&amp;RIGHT(YEAR(C$6),2),IF(MONTH(C$6)=9,"Q3"&amp;" "&amp;RIGHT(YEAR(C$6),2),IF(MONTH(C$6)=12,"Q4"&amp;" "&amp;RIGHT(YEAR(C$6),2),"nm"))))</f>
        <v>Q1 20</v>
      </c>
      <c r="D5" s="810" t="str">
        <f>IF(MONTH(D$6)=3,"Q1"&amp;" "&amp;RIGHT(YEAR(D$6),2),IF(MONTH(D$6)=6,"Q2"&amp;" "&amp;RIGHT(YEAR(D$6),2),IF(MONTH(D$6)=9,"Q3"&amp;" "&amp;RIGHT(YEAR(D$6),2),IF(MONTH(D$6)=12,"Q4"&amp;" "&amp;RIGHT(YEAR(D$6),2),"nm"))))</f>
        <v>Q2 20</v>
      </c>
      <c r="E5" s="810" t="str">
        <f t="shared" ref="E5:X5" si="0">IF(MONTH(E$6)=3,"Q1"&amp;" "&amp;RIGHT(YEAR(E$6),2),IF(MONTH(E$6)=6,"Q2"&amp;" "&amp;RIGHT(YEAR(E$6),2),IF(MONTH(E$6)=9,"Q3"&amp;" "&amp;RIGHT(YEAR(E$6),2),IF(MONTH(E$6)=12,"Q4"&amp;" "&amp;RIGHT(YEAR(E$6),2),"nm"))))</f>
        <v>Q3 20</v>
      </c>
      <c r="F5" s="810" t="str">
        <f t="shared" si="0"/>
        <v>Q4 20</v>
      </c>
      <c r="G5" s="810" t="str">
        <f t="shared" si="0"/>
        <v>Q1 21</v>
      </c>
      <c r="H5" s="810" t="str">
        <f t="shared" si="0"/>
        <v>Q2 21</v>
      </c>
      <c r="I5" s="810" t="str">
        <f t="shared" si="0"/>
        <v>Q3 21</v>
      </c>
      <c r="J5" s="810" t="str">
        <f t="shared" si="0"/>
        <v>Q4 21</v>
      </c>
      <c r="K5" s="810" t="str">
        <f t="shared" si="0"/>
        <v>Q1 22</v>
      </c>
      <c r="L5" s="810" t="str">
        <f t="shared" si="0"/>
        <v>Q2 22</v>
      </c>
      <c r="M5" s="810" t="str">
        <f t="shared" si="0"/>
        <v>Q3 22</v>
      </c>
      <c r="N5" s="810" t="str">
        <f t="shared" si="0"/>
        <v>Q4 22</v>
      </c>
      <c r="O5" s="810" t="str">
        <f t="shared" si="0"/>
        <v>Q1 23</v>
      </c>
      <c r="P5" s="810" t="str">
        <f t="shared" si="0"/>
        <v>Q2 23</v>
      </c>
      <c r="Q5" s="810" t="str">
        <f t="shared" si="0"/>
        <v>Q3 23</v>
      </c>
      <c r="R5" s="810" t="str">
        <f t="shared" si="0"/>
        <v>Q4 23</v>
      </c>
      <c r="S5" s="810" t="str">
        <f t="shared" si="0"/>
        <v>Q1 24</v>
      </c>
      <c r="T5" s="810" t="str">
        <f t="shared" si="0"/>
        <v>Q2 24</v>
      </c>
      <c r="U5" s="810" t="str">
        <f t="shared" si="0"/>
        <v>Q3 24</v>
      </c>
      <c r="V5" s="810" t="str">
        <f t="shared" si="0"/>
        <v>Q4 24</v>
      </c>
      <c r="W5" s="810" t="str">
        <f t="shared" si="0"/>
        <v>Q1 25</v>
      </c>
      <c r="X5" s="810" t="str">
        <f t="shared" si="0"/>
        <v>Q2 25</v>
      </c>
      <c r="Y5" s="810"/>
      <c r="AB5" s="811" t="s">
        <v>832</v>
      </c>
      <c r="AC5" s="811" t="s">
        <v>833</v>
      </c>
      <c r="AD5" s="811" t="s">
        <v>793</v>
      </c>
      <c r="AF5" s="812" t="s">
        <v>834</v>
      </c>
      <c r="AG5" s="812" t="s">
        <v>835</v>
      </c>
      <c r="AH5" s="811" t="s">
        <v>853</v>
      </c>
      <c r="AI5" s="811"/>
      <c r="AJ5" s="811" t="s">
        <v>831</v>
      </c>
      <c r="AK5" s="811"/>
      <c r="AL5" s="811"/>
      <c r="AO5" s="810">
        <v>2020</v>
      </c>
      <c r="AP5" s="810">
        <f>AO5+1</f>
        <v>2021</v>
      </c>
      <c r="AQ5" s="810">
        <f t="shared" ref="AQ5:AV5" si="1">AP5+1</f>
        <v>2022</v>
      </c>
      <c r="AR5" s="810">
        <f t="shared" si="1"/>
        <v>2023</v>
      </c>
      <c r="AS5" s="810">
        <f t="shared" si="1"/>
        <v>2024</v>
      </c>
      <c r="AT5" s="813">
        <f t="shared" si="1"/>
        <v>2025</v>
      </c>
      <c r="AU5" s="813">
        <f t="shared" si="1"/>
        <v>2026</v>
      </c>
      <c r="AV5" s="813">
        <f t="shared" si="1"/>
        <v>2027</v>
      </c>
      <c r="AW5" s="813">
        <f t="shared" ref="AW5" si="2">AV5+1</f>
        <v>2028</v>
      </c>
      <c r="AX5" s="813">
        <f t="shared" ref="AX5" si="3">AW5+1</f>
        <v>2029</v>
      </c>
      <c r="AY5" s="813">
        <f t="shared" ref="AY5" si="4">AX5+1</f>
        <v>2030</v>
      </c>
      <c r="BA5" s="988" t="s">
        <v>912</v>
      </c>
      <c r="BB5" s="988" t="s">
        <v>912</v>
      </c>
      <c r="BD5" s="813">
        <f>AT5</f>
        <v>2025</v>
      </c>
      <c r="BE5" s="813">
        <f t="shared" ref="BE5" si="5">BD5+1</f>
        <v>2026</v>
      </c>
      <c r="BF5" s="813">
        <f t="shared" ref="BF5" si="6">BE5+1</f>
        <v>2027</v>
      </c>
      <c r="BG5" s="813">
        <f t="shared" ref="BG5" si="7">BF5+1</f>
        <v>2028</v>
      </c>
      <c r="BH5" s="813">
        <f t="shared" ref="BH5" si="8">BG5+1</f>
        <v>2029</v>
      </c>
      <c r="BI5" s="813">
        <f t="shared" ref="BI5" si="9">BH5+1</f>
        <v>2030</v>
      </c>
      <c r="BK5" s="813">
        <f>BD5</f>
        <v>2025</v>
      </c>
      <c r="BL5" s="813">
        <f t="shared" ref="BL5:BP5" si="10">BE5</f>
        <v>2026</v>
      </c>
      <c r="BM5" s="813">
        <f t="shared" si="10"/>
        <v>2027</v>
      </c>
      <c r="BN5" s="813">
        <f t="shared" si="10"/>
        <v>2028</v>
      </c>
      <c r="BO5" s="813">
        <f t="shared" si="10"/>
        <v>2029</v>
      </c>
      <c r="BP5" s="813">
        <f t="shared" si="10"/>
        <v>2030</v>
      </c>
      <c r="BR5" s="814">
        <f t="shared" ref="BR5:BX5" si="11">AS5</f>
        <v>2024</v>
      </c>
      <c r="BS5" s="814">
        <f t="shared" si="11"/>
        <v>2025</v>
      </c>
      <c r="BT5" s="814">
        <f t="shared" si="11"/>
        <v>2026</v>
      </c>
      <c r="BU5" s="814">
        <f t="shared" si="11"/>
        <v>2027</v>
      </c>
      <c r="BV5" s="814">
        <f t="shared" si="11"/>
        <v>2028</v>
      </c>
      <c r="BW5" s="814">
        <f t="shared" si="11"/>
        <v>2029</v>
      </c>
      <c r="BX5" s="814">
        <f t="shared" si="11"/>
        <v>2030</v>
      </c>
      <c r="BZ5" s="814">
        <f>BD5</f>
        <v>2025</v>
      </c>
      <c r="CA5" s="814">
        <f>BE5</f>
        <v>2026</v>
      </c>
      <c r="CB5" s="814">
        <f>BF5</f>
        <v>2027</v>
      </c>
      <c r="CC5" s="814">
        <f t="shared" ref="CC5" si="12">BG5</f>
        <v>2028</v>
      </c>
      <c r="CD5" s="814">
        <f t="shared" ref="CD5" si="13">BH5</f>
        <v>2029</v>
      </c>
      <c r="CE5" s="814">
        <f t="shared" ref="CE5" si="14">BI5</f>
        <v>2030</v>
      </c>
    </row>
    <row r="6" spans="2:83">
      <c r="B6" s="815"/>
      <c r="C6" s="815">
        <v>43921</v>
      </c>
      <c r="D6" s="815">
        <f>EOMONTH(C6,3)</f>
        <v>44012</v>
      </c>
      <c r="E6" s="815">
        <f t="shared" ref="E6:X6" si="15">EOMONTH(D6,3)</f>
        <v>44104</v>
      </c>
      <c r="F6" s="815">
        <f t="shared" si="15"/>
        <v>44196</v>
      </c>
      <c r="G6" s="815">
        <f t="shared" si="15"/>
        <v>44286</v>
      </c>
      <c r="H6" s="815">
        <f t="shared" si="15"/>
        <v>44377</v>
      </c>
      <c r="I6" s="815">
        <f t="shared" si="15"/>
        <v>44469</v>
      </c>
      <c r="J6" s="815">
        <f t="shared" si="15"/>
        <v>44561</v>
      </c>
      <c r="K6" s="815">
        <f t="shared" si="15"/>
        <v>44651</v>
      </c>
      <c r="L6" s="815">
        <f t="shared" si="15"/>
        <v>44742</v>
      </c>
      <c r="M6" s="815">
        <f t="shared" si="15"/>
        <v>44834</v>
      </c>
      <c r="N6" s="815">
        <f t="shared" si="15"/>
        <v>44926</v>
      </c>
      <c r="O6" s="815">
        <f t="shared" si="15"/>
        <v>45016</v>
      </c>
      <c r="P6" s="815">
        <f t="shared" si="15"/>
        <v>45107</v>
      </c>
      <c r="Q6" s="815">
        <f t="shared" si="15"/>
        <v>45199</v>
      </c>
      <c r="R6" s="815">
        <f t="shared" si="15"/>
        <v>45291</v>
      </c>
      <c r="S6" s="815">
        <f t="shared" si="15"/>
        <v>45382</v>
      </c>
      <c r="T6" s="815">
        <f t="shared" si="15"/>
        <v>45473</v>
      </c>
      <c r="U6" s="815">
        <f t="shared" si="15"/>
        <v>45565</v>
      </c>
      <c r="V6" s="815">
        <f t="shared" si="15"/>
        <v>45657</v>
      </c>
      <c r="W6" s="815">
        <f t="shared" si="15"/>
        <v>45747</v>
      </c>
      <c r="X6" s="815">
        <f t="shared" si="15"/>
        <v>45838</v>
      </c>
      <c r="Y6" s="815"/>
      <c r="Z6" s="816"/>
      <c r="AA6" s="816"/>
      <c r="AB6" s="817">
        <f>EOMONTH(AC6,-12)</f>
        <v>45473</v>
      </c>
      <c r="AC6" s="817">
        <f>$C$3</f>
        <v>45838</v>
      </c>
      <c r="AD6" s="817"/>
      <c r="AF6" s="817"/>
      <c r="AG6" s="817"/>
      <c r="AH6" s="817" t="s">
        <v>793</v>
      </c>
      <c r="AI6" s="818">
        <f>AJ6-1</f>
        <v>2024</v>
      </c>
      <c r="AJ6" s="818">
        <f>YEAR($C$3)</f>
        <v>2025</v>
      </c>
      <c r="AK6" s="817"/>
      <c r="AL6" s="817"/>
      <c r="BA6" s="989" t="s">
        <v>913</v>
      </c>
      <c r="BB6" s="990" t="s">
        <v>914</v>
      </c>
    </row>
    <row r="7" spans="2:83">
      <c r="B7" s="816"/>
      <c r="C7" s="816"/>
      <c r="D7" s="816"/>
      <c r="E7" s="816"/>
      <c r="F7" s="816"/>
      <c r="G7" s="816"/>
      <c r="H7" s="816"/>
      <c r="I7" s="816"/>
      <c r="J7" s="816"/>
      <c r="K7" s="816"/>
      <c r="L7" s="816"/>
      <c r="M7" s="816"/>
      <c r="N7" s="816"/>
      <c r="O7" s="816"/>
      <c r="P7" s="816"/>
      <c r="Q7" s="816"/>
      <c r="R7" s="816"/>
      <c r="S7" s="816"/>
      <c r="T7" s="816"/>
      <c r="U7" s="816"/>
      <c r="V7" s="816"/>
      <c r="W7" s="816"/>
      <c r="X7" s="816"/>
      <c r="Y7" s="816"/>
      <c r="AB7" s="816"/>
      <c r="AC7" s="816"/>
      <c r="AD7" s="816"/>
      <c r="AF7" s="816"/>
      <c r="AG7" s="816"/>
      <c r="AH7" s="816"/>
      <c r="AI7" s="816"/>
      <c r="AJ7" s="816"/>
      <c r="AK7" s="816"/>
      <c r="AL7" s="816"/>
    </row>
    <row r="8" spans="2:83">
      <c r="B8" s="848" t="s">
        <v>642</v>
      </c>
      <c r="C8" s="850">
        <f>'Income Statement'!BK408</f>
        <v>0</v>
      </c>
      <c r="D8" s="850">
        <f>'Income Statement'!BL408</f>
        <v>0</v>
      </c>
      <c r="E8" s="850">
        <f>'Income Statement'!BM408</f>
        <v>0</v>
      </c>
      <c r="F8" s="850">
        <f>'Income Statement'!BN408</f>
        <v>0</v>
      </c>
      <c r="G8" s="850">
        <f>'Income Statement'!BP408</f>
        <v>748</v>
      </c>
      <c r="H8" s="850">
        <f>'Income Statement'!BQ408</f>
        <v>766</v>
      </c>
      <c r="I8" s="850">
        <f>'Income Statement'!BR408</f>
        <v>783</v>
      </c>
      <c r="J8" s="850">
        <f>'Income Statement'!BS408</f>
        <v>766</v>
      </c>
      <c r="K8" s="850">
        <f>'Income Statement'!BU408</f>
        <v>785</v>
      </c>
      <c r="L8" s="850">
        <f>'Income Statement'!BV408</f>
        <v>810</v>
      </c>
      <c r="M8" s="850">
        <f>'Income Statement'!BW408</f>
        <v>830</v>
      </c>
      <c r="N8" s="850">
        <f>'Income Statement'!BX408</f>
        <v>850</v>
      </c>
      <c r="O8" s="850">
        <f>'Income Statement'!BZ408</f>
        <v>864</v>
      </c>
      <c r="P8" s="850">
        <f>'Income Statement'!CA408</f>
        <v>871</v>
      </c>
      <c r="Q8" s="850">
        <f>'Income Statement'!CB408</f>
        <v>882</v>
      </c>
      <c r="R8" s="850">
        <f>'Income Statement'!CC408</f>
        <v>903</v>
      </c>
      <c r="S8" s="850">
        <f>'Income Statement'!CE408</f>
        <v>911</v>
      </c>
      <c r="T8" s="850">
        <f>'Income Statement'!CF408</f>
        <v>916</v>
      </c>
      <c r="U8" s="850">
        <f>'Income Statement'!CG408</f>
        <v>925</v>
      </c>
      <c r="V8" s="850">
        <f>'Income Statement'!CH408</f>
        <v>948</v>
      </c>
      <c r="W8" s="850">
        <f>'Income Statement'!CJ408</f>
        <v>924</v>
      </c>
      <c r="X8" s="850">
        <f>'Income Statement'!CK408</f>
        <v>933</v>
      </c>
      <c r="Y8" s="819"/>
      <c r="AB8" s="819">
        <f>SUMIFS($C8:Z8,$C$6:Z$6,"&lt;="&amp;AB$6,$C$6:Z$6,"&gt;"&amp;DATE(YEAR($AB$6)-1,12,31))</f>
        <v>1827</v>
      </c>
      <c r="AC8" s="819">
        <f>SUMIFS($C8:Z8,$C$6:Z$6,"&lt;="&amp;AC$6,$C$6:Z$6,"&gt;"&amp;DATE(YEAR($AC$6)-1,12,31))</f>
        <v>1857</v>
      </c>
      <c r="AD8" s="820">
        <f>AC8/AB8-1</f>
        <v>1.6420361247947435E-2</v>
      </c>
      <c r="AF8" s="819">
        <f t="shared" ref="AF8:AG31" si="16">AI8-AB8</f>
        <v>1873</v>
      </c>
      <c r="AG8" s="819">
        <f t="shared" si="16"/>
        <v>1928</v>
      </c>
      <c r="AH8" s="820">
        <f>AG8/AF8-1</f>
        <v>2.9364655632674763E-2</v>
      </c>
      <c r="AI8" s="819">
        <f>SUMIFS($AO8:$AZ8,$AO$5:$AZ$5,AI$6)</f>
        <v>3700</v>
      </c>
      <c r="AJ8" s="819">
        <f>SUMIFS($AO8:$AZ8,$AO$5:$AZ$5,AJ$6)</f>
        <v>3785</v>
      </c>
      <c r="AK8" s="819"/>
      <c r="AL8" s="819"/>
      <c r="AO8" s="850"/>
      <c r="AP8" s="850">
        <f>'Income Statement'!BT408</f>
        <v>3063</v>
      </c>
      <c r="AQ8" s="850">
        <f>'Income Statement'!BY408</f>
        <v>3275</v>
      </c>
      <c r="AR8" s="850">
        <f>'Income Statement'!CD408</f>
        <v>3520</v>
      </c>
      <c r="AS8" s="850">
        <f>'Income Statement'!CI408</f>
        <v>3700</v>
      </c>
      <c r="AT8" s="850">
        <f>'Income Statement'!CN408</f>
        <v>3785</v>
      </c>
      <c r="AU8" s="850">
        <f>'Income Statement'!CQ408</f>
        <v>3901.2032301220534</v>
      </c>
      <c r="AV8" s="850">
        <f>'Income Statement'!CR408</f>
        <v>3963.3333912322096</v>
      </c>
      <c r="AW8" s="850">
        <f>'Income Statement'!CS408</f>
        <v>4055.6600080042908</v>
      </c>
      <c r="AX8" s="850">
        <f>'Income Statement'!CT408</f>
        <v>4147.1954873964769</v>
      </c>
      <c r="AY8" s="850">
        <f>'Income Statement'!CU408</f>
        <v>4238.1030970804968</v>
      </c>
      <c r="AZ8" s="855"/>
      <c r="BA8" s="991">
        <f>(AV8/AS8)^(1/3)-1</f>
        <v>2.3182163441640702E-2</v>
      </c>
      <c r="BB8" s="991">
        <f>(AY8/AS8)^(1/6)-1</f>
        <v>2.2888506732752223E-2</v>
      </c>
      <c r="BC8" s="855"/>
      <c r="BD8" s="850">
        <v>3787.9110880933713</v>
      </c>
      <c r="BE8" s="850">
        <v>3842.5044243744633</v>
      </c>
      <c r="BF8" s="850">
        <v>3915.6603784057479</v>
      </c>
      <c r="BG8" s="850">
        <v>4007.0655467593624</v>
      </c>
      <c r="BH8" s="850">
        <v>4097.7714448322695</v>
      </c>
      <c r="BI8" s="850">
        <v>4187.9338008295763</v>
      </c>
      <c r="BK8" s="855">
        <f t="shared" ref="BK8:BP8" si="17">IFERROR(AT8/BD8-1,"")</f>
        <v>-7.685207032767094E-4</v>
      </c>
      <c r="BL8" s="855">
        <f t="shared" si="17"/>
        <v>1.5276184296689754E-2</v>
      </c>
      <c r="BM8" s="855">
        <f t="shared" si="17"/>
        <v>1.2174961109847837E-2</v>
      </c>
      <c r="BN8" s="855">
        <f t="shared" si="17"/>
        <v>1.2127193997170327E-2</v>
      </c>
      <c r="BO8" s="855">
        <f t="shared" si="17"/>
        <v>1.2061200393822968E-2</v>
      </c>
      <c r="BP8" s="855">
        <f t="shared" si="17"/>
        <v>1.197948645725555E-2</v>
      </c>
    </row>
    <row r="9" spans="2:83">
      <c r="B9" s="846" t="s">
        <v>793</v>
      </c>
      <c r="C9" s="819"/>
      <c r="D9" s="819"/>
      <c r="E9" s="819"/>
      <c r="F9" s="819"/>
      <c r="G9" s="820"/>
      <c r="H9" s="820"/>
      <c r="I9" s="820"/>
      <c r="J9" s="820"/>
      <c r="K9" s="820">
        <f t="shared" ref="K9:X9" si="18">K8/G8-1</f>
        <v>4.9465240641711317E-2</v>
      </c>
      <c r="L9" s="820">
        <f t="shared" si="18"/>
        <v>5.7441253263707637E-2</v>
      </c>
      <c r="M9" s="820">
        <f t="shared" si="18"/>
        <v>6.0025542784163388E-2</v>
      </c>
      <c r="N9" s="820">
        <f t="shared" si="18"/>
        <v>0.10966057441253274</v>
      </c>
      <c r="O9" s="820">
        <f t="shared" si="18"/>
        <v>0.10063694267515921</v>
      </c>
      <c r="P9" s="820">
        <f t="shared" si="18"/>
        <v>7.5308641975308621E-2</v>
      </c>
      <c r="Q9" s="820">
        <f t="shared" si="18"/>
        <v>6.2650602409638489E-2</v>
      </c>
      <c r="R9" s="820">
        <f t="shared" si="18"/>
        <v>6.23529411764705E-2</v>
      </c>
      <c r="S9" s="820">
        <f t="shared" si="18"/>
        <v>5.439814814814814E-2</v>
      </c>
      <c r="T9" s="820">
        <f t="shared" si="18"/>
        <v>5.1664753157290466E-2</v>
      </c>
      <c r="U9" s="820">
        <f t="shared" si="18"/>
        <v>4.8752834467120199E-2</v>
      </c>
      <c r="V9" s="820">
        <f t="shared" si="18"/>
        <v>4.9833887043189362E-2</v>
      </c>
      <c r="W9" s="820">
        <f t="shared" si="18"/>
        <v>1.4270032930845167E-2</v>
      </c>
      <c r="X9" s="820">
        <f t="shared" si="18"/>
        <v>1.8558951965065518E-2</v>
      </c>
      <c r="Y9" s="819"/>
      <c r="AB9" s="819"/>
      <c r="AC9" s="819"/>
      <c r="AD9" s="820"/>
      <c r="AF9" s="819"/>
      <c r="AG9" s="819"/>
      <c r="AH9" s="820"/>
      <c r="AI9" s="819"/>
      <c r="AJ9" s="819"/>
      <c r="AK9" s="819"/>
      <c r="AL9" s="819"/>
      <c r="AO9" s="819"/>
      <c r="AP9" s="819"/>
      <c r="AQ9" s="855">
        <f>IFERROR(AQ8/AP8-1,"")</f>
        <v>6.9213189683317022E-2</v>
      </c>
      <c r="AR9" s="855">
        <f t="shared" ref="AR9:AV9" si="19">IFERROR(AR8/AQ8-1,"")</f>
        <v>7.4809160305343569E-2</v>
      </c>
      <c r="AS9" s="855">
        <f t="shared" si="19"/>
        <v>5.1136363636363535E-2</v>
      </c>
      <c r="AT9" s="855">
        <f t="shared" si="19"/>
        <v>2.2972972972973071E-2</v>
      </c>
      <c r="AU9" s="855">
        <f t="shared" si="19"/>
        <v>3.0700985501203037E-2</v>
      </c>
      <c r="AV9" s="855">
        <f t="shared" si="19"/>
        <v>1.5925897074634765E-2</v>
      </c>
      <c r="AW9" s="855">
        <f t="shared" ref="AW9" si="20">IFERROR(AW8/AV8-1,"")</f>
        <v>2.3295193126152025E-2</v>
      </c>
      <c r="AX9" s="855">
        <f t="shared" ref="AX9" si="21">IFERROR(AX8/AW8-1,"")</f>
        <v>2.2569810884425889E-2</v>
      </c>
      <c r="AY9" s="855">
        <f t="shared" ref="AY9" si="22">IFERROR(AY8/AX8-1,"")</f>
        <v>2.1920261526203078E-2</v>
      </c>
      <c r="BD9" s="855">
        <v>2.375975353874904E-2</v>
      </c>
      <c r="BE9" s="855">
        <v>1.4412517878969355E-2</v>
      </c>
      <c r="BF9" s="855">
        <v>1.9038612829494372E-2</v>
      </c>
      <c r="BG9" s="855">
        <v>2.3343487310007793E-2</v>
      </c>
      <c r="BH9" s="855">
        <v>2.2636489724073394E-2</v>
      </c>
      <c r="BI9" s="855">
        <v>2.2002778146890334E-2</v>
      </c>
    </row>
    <row r="10" spans="2:83">
      <c r="B10" s="848" t="s">
        <v>534</v>
      </c>
      <c r="C10" s="850">
        <f>'Income Statement'!BK409</f>
        <v>0</v>
      </c>
      <c r="D10" s="850">
        <f>'Income Statement'!BL409</f>
        <v>0</v>
      </c>
      <c r="E10" s="850">
        <f>'Income Statement'!BM409</f>
        <v>0</v>
      </c>
      <c r="F10" s="850">
        <f>'Income Statement'!BN409</f>
        <v>0</v>
      </c>
      <c r="G10" s="850">
        <f>'Income Statement'!BP409</f>
        <v>690</v>
      </c>
      <c r="H10" s="850">
        <f>'Income Statement'!BQ409</f>
        <v>685</v>
      </c>
      <c r="I10" s="850">
        <f>'Income Statement'!BR409</f>
        <v>685</v>
      </c>
      <c r="J10" s="850">
        <f>'Income Statement'!BS409</f>
        <v>655</v>
      </c>
      <c r="K10" s="850">
        <f>'Income Statement'!BU409</f>
        <v>657</v>
      </c>
      <c r="L10" s="850">
        <f>'Income Statement'!BV409</f>
        <v>679</v>
      </c>
      <c r="M10" s="850">
        <f>'Income Statement'!BW409</f>
        <v>676</v>
      </c>
      <c r="N10" s="850">
        <f>'Income Statement'!BX409</f>
        <v>681</v>
      </c>
      <c r="O10" s="850">
        <f>'Income Statement'!BZ409</f>
        <v>661</v>
      </c>
      <c r="P10" s="850">
        <f>'Income Statement'!CA409</f>
        <v>651</v>
      </c>
      <c r="Q10" s="850">
        <f>'Income Statement'!CB409</f>
        <v>652</v>
      </c>
      <c r="R10" s="850">
        <f>'Income Statement'!CC409</f>
        <v>655</v>
      </c>
      <c r="S10" s="850">
        <f>'Income Statement'!CE409</f>
        <v>649</v>
      </c>
      <c r="T10" s="850">
        <f>'Income Statement'!CF409</f>
        <v>648</v>
      </c>
      <c r="U10" s="850">
        <f>'Income Statement'!CG409</f>
        <v>641</v>
      </c>
      <c r="V10" s="850">
        <f>'Income Statement'!CH409</f>
        <v>627</v>
      </c>
      <c r="W10" s="850">
        <f>'Income Statement'!CJ409</f>
        <v>595</v>
      </c>
      <c r="X10" s="850">
        <f>'Income Statement'!CK409</f>
        <v>610</v>
      </c>
      <c r="Y10" s="819"/>
      <c r="AB10" s="819">
        <f>SUMIFS($C10:Z10,$C$6:Z$6,"&lt;="&amp;AB$6,$C$6:Z$6,"&gt;"&amp;DATE(YEAR($AB$6)-1,12,31))</f>
        <v>1297</v>
      </c>
      <c r="AC10" s="819">
        <f>SUMIFS($C10:Z10,$C$6:Z$6,"&lt;="&amp;AC$6,$C$6:Z$6,"&gt;"&amp;DATE(YEAR($AC$6)-1,12,31))</f>
        <v>1205</v>
      </c>
      <c r="AD10" s="820">
        <f>AC10/AB10-1</f>
        <v>-7.093292212798763E-2</v>
      </c>
      <c r="AF10" s="819">
        <f t="shared" si="16"/>
        <v>1268</v>
      </c>
      <c r="AG10" s="819">
        <f t="shared" si="16"/>
        <v>1240</v>
      </c>
      <c r="AH10" s="820">
        <f>AG10/AF10-1</f>
        <v>-2.2082018927444769E-2</v>
      </c>
      <c r="AI10" s="819">
        <f>SUMIFS($AO10:$AZ10,$AO$5:$AZ$5,AI$6)</f>
        <v>2565</v>
      </c>
      <c r="AJ10" s="819">
        <f>SUMIFS($AO10:$AZ10,$AO$5:$AZ$5,AJ$6)</f>
        <v>2445</v>
      </c>
      <c r="AK10" s="819"/>
      <c r="AL10" s="819"/>
      <c r="AO10" s="819"/>
      <c r="AP10" s="850">
        <f>'Income Statement'!BT409</f>
        <v>2715</v>
      </c>
      <c r="AQ10" s="850">
        <f>'Income Statement'!BY409</f>
        <v>2693</v>
      </c>
      <c r="AR10" s="850">
        <f>'Income Statement'!CD409</f>
        <v>2619</v>
      </c>
      <c r="AS10" s="850">
        <f>'Income Statement'!CI409</f>
        <v>2565</v>
      </c>
      <c r="AT10" s="850">
        <f>'Income Statement'!CN409</f>
        <v>2445</v>
      </c>
      <c r="AU10" s="850">
        <f>'Income Statement'!CQ409</f>
        <v>2470.115496680211</v>
      </c>
      <c r="AV10" s="850">
        <f>'Income Statement'!CR409</f>
        <v>2479.0650826091564</v>
      </c>
      <c r="AW10" s="850">
        <f>'Income Statement'!CS409</f>
        <v>2493.714583060676</v>
      </c>
      <c r="AX10" s="850">
        <f>'Income Statement'!CT409</f>
        <v>2506.7119314309753</v>
      </c>
      <c r="AY10" s="850">
        <f>'Income Statement'!CU409</f>
        <v>2518.2138013946014</v>
      </c>
      <c r="AZ10" s="855"/>
      <c r="BA10" s="991">
        <f>(AV10/AS10)^(1/3)-1</f>
        <v>-1.129472102113982E-2</v>
      </c>
      <c r="BB10" s="991">
        <f>(AY10/AS10)^(1/6)-1</f>
        <v>-3.0634044041460973E-3</v>
      </c>
      <c r="BC10" s="855"/>
      <c r="BD10" s="850">
        <v>2599.1998865950745</v>
      </c>
      <c r="BE10" s="850">
        <v>2669.8914438568731</v>
      </c>
      <c r="BF10" s="850">
        <v>2700.9924146787303</v>
      </c>
      <c r="BG10" s="850">
        <v>2730.4057207102537</v>
      </c>
      <c r="BH10" s="850">
        <v>2758.2891080341733</v>
      </c>
      <c r="BI10" s="850">
        <v>2784.7851358013977</v>
      </c>
      <c r="BK10" s="855">
        <f t="shared" ref="BK10:BP10" si="23">IFERROR(AT10/BD10-1,"")</f>
        <v>-5.9325905402787149E-2</v>
      </c>
      <c r="BL10" s="855">
        <f t="shared" si="23"/>
        <v>-7.4825494360950429E-2</v>
      </c>
      <c r="BM10" s="855">
        <f t="shared" si="23"/>
        <v>-8.2165107485490996E-2</v>
      </c>
      <c r="BN10" s="855">
        <f t="shared" si="23"/>
        <v>-8.6687167351820471E-2</v>
      </c>
      <c r="BO10" s="855">
        <f t="shared" si="23"/>
        <v>-9.1207689531318414E-2</v>
      </c>
      <c r="BP10" s="855">
        <f t="shared" si="23"/>
        <v>-9.5724201835084566E-2</v>
      </c>
    </row>
    <row r="11" spans="2:83">
      <c r="B11" s="846" t="s">
        <v>793</v>
      </c>
      <c r="C11" s="819"/>
      <c r="D11" s="819"/>
      <c r="E11" s="819"/>
      <c r="F11" s="819"/>
      <c r="G11" s="820"/>
      <c r="H11" s="820"/>
      <c r="I11" s="820"/>
      <c r="J11" s="820"/>
      <c r="K11" s="820">
        <f t="shared" ref="K11:X11" si="24">K10/G10-1</f>
        <v>-4.7826086956521685E-2</v>
      </c>
      <c r="L11" s="820">
        <f t="shared" si="24"/>
        <v>-8.7591240875912746E-3</v>
      </c>
      <c r="M11" s="820">
        <f t="shared" si="24"/>
        <v>-1.3138686131386912E-2</v>
      </c>
      <c r="N11" s="820">
        <f t="shared" si="24"/>
        <v>3.969465648854964E-2</v>
      </c>
      <c r="O11" s="820">
        <f t="shared" si="24"/>
        <v>6.0882800608828003E-3</v>
      </c>
      <c r="P11" s="820">
        <f t="shared" si="24"/>
        <v>-4.123711340206182E-2</v>
      </c>
      <c r="Q11" s="820">
        <f t="shared" si="24"/>
        <v>-3.5502958579881616E-2</v>
      </c>
      <c r="R11" s="820">
        <f t="shared" si="24"/>
        <v>-3.8179148311306865E-2</v>
      </c>
      <c r="S11" s="820">
        <f t="shared" si="24"/>
        <v>-1.8154311649016597E-2</v>
      </c>
      <c r="T11" s="820">
        <f t="shared" si="24"/>
        <v>-4.6082949308755561E-3</v>
      </c>
      <c r="U11" s="820">
        <f t="shared" si="24"/>
        <v>-1.6871165644171793E-2</v>
      </c>
      <c r="V11" s="820">
        <f t="shared" si="24"/>
        <v>-4.2748091603053484E-2</v>
      </c>
      <c r="W11" s="820">
        <f t="shared" si="24"/>
        <v>-8.3204930662557741E-2</v>
      </c>
      <c r="X11" s="820">
        <f t="shared" si="24"/>
        <v>-5.8641975308642014E-2</v>
      </c>
      <c r="Y11" s="819"/>
      <c r="AB11" s="819"/>
      <c r="AC11" s="819"/>
      <c r="AD11" s="820"/>
      <c r="AF11" s="819"/>
      <c r="AG11" s="819"/>
      <c r="AH11" s="820"/>
      <c r="AI11" s="819"/>
      <c r="AJ11" s="819"/>
      <c r="AK11" s="819"/>
      <c r="AL11" s="819"/>
      <c r="AO11" s="819"/>
      <c r="AP11" s="819"/>
      <c r="AQ11" s="855">
        <f>IFERROR(AQ10/AP10-1,"")</f>
        <v>-8.1031307550644138E-3</v>
      </c>
      <c r="AR11" s="855">
        <f t="shared" ref="AR11:AV11" si="25">IFERROR(AR10/AQ10-1,"")</f>
        <v>-2.7478648347567747E-2</v>
      </c>
      <c r="AS11" s="855">
        <f t="shared" si="25"/>
        <v>-2.0618556701030966E-2</v>
      </c>
      <c r="AT11" s="855">
        <f t="shared" si="25"/>
        <v>-4.6783625730994149E-2</v>
      </c>
      <c r="AU11" s="855">
        <f t="shared" si="25"/>
        <v>1.0272186781272286E-2</v>
      </c>
      <c r="AV11" s="855">
        <f t="shared" si="25"/>
        <v>3.6231447237886627E-3</v>
      </c>
      <c r="AW11" s="855">
        <f t="shared" ref="AW11" si="26">IFERROR(AW10/AV10-1,"")</f>
        <v>5.9092843323425015E-3</v>
      </c>
      <c r="AX11" s="855">
        <f t="shared" ref="AX11" si="27">IFERROR(AX10/AW10-1,"")</f>
        <v>5.212043294203772E-3</v>
      </c>
      <c r="AY11" s="855">
        <f t="shared" ref="AY11" si="28">IFERROR(AY10/AX10-1,"")</f>
        <v>4.5884290968609687E-3</v>
      </c>
      <c r="BD11" s="855">
        <v>1.3333289120886826E-2</v>
      </c>
      <c r="BE11" s="855">
        <v>2.7197430111619347E-2</v>
      </c>
      <c r="BF11" s="855">
        <v>1.1648777291457746E-2</v>
      </c>
      <c r="BG11" s="855">
        <v>1.0889814377735618E-2</v>
      </c>
      <c r="BH11" s="855">
        <v>1.0212177301132552E-2</v>
      </c>
      <c r="BI11" s="855">
        <v>9.6059646866053505E-3</v>
      </c>
    </row>
    <row r="12" spans="2:83" s="806" customFormat="1">
      <c r="B12" s="845" t="s">
        <v>673</v>
      </c>
      <c r="C12" s="833"/>
      <c r="D12" s="833"/>
      <c r="E12" s="833"/>
      <c r="F12" s="833"/>
      <c r="G12" s="833">
        <f>G8+G10</f>
        <v>1438</v>
      </c>
      <c r="H12" s="833">
        <f t="shared" ref="H12:X12" si="29">H8+H10</f>
        <v>1451</v>
      </c>
      <c r="I12" s="833">
        <f t="shared" si="29"/>
        <v>1468</v>
      </c>
      <c r="J12" s="833">
        <f t="shared" si="29"/>
        <v>1421</v>
      </c>
      <c r="K12" s="833">
        <f t="shared" si="29"/>
        <v>1442</v>
      </c>
      <c r="L12" s="833">
        <f t="shared" si="29"/>
        <v>1489</v>
      </c>
      <c r="M12" s="833">
        <f t="shared" si="29"/>
        <v>1506</v>
      </c>
      <c r="N12" s="833">
        <f t="shared" si="29"/>
        <v>1531</v>
      </c>
      <c r="O12" s="833">
        <f t="shared" si="29"/>
        <v>1525</v>
      </c>
      <c r="P12" s="833">
        <f t="shared" si="29"/>
        <v>1522</v>
      </c>
      <c r="Q12" s="833">
        <f t="shared" si="29"/>
        <v>1534</v>
      </c>
      <c r="R12" s="833">
        <f t="shared" si="29"/>
        <v>1558</v>
      </c>
      <c r="S12" s="833">
        <f t="shared" si="29"/>
        <v>1560</v>
      </c>
      <c r="T12" s="833">
        <f t="shared" si="29"/>
        <v>1564</v>
      </c>
      <c r="U12" s="833">
        <f t="shared" si="29"/>
        <v>1566</v>
      </c>
      <c r="V12" s="833">
        <f t="shared" si="29"/>
        <v>1575</v>
      </c>
      <c r="W12" s="833">
        <f t="shared" si="29"/>
        <v>1519</v>
      </c>
      <c r="X12" s="833">
        <f t="shared" si="29"/>
        <v>1543</v>
      </c>
      <c r="Y12" s="827"/>
      <c r="AB12" s="833">
        <f>SUMIFS($C12:Z12,$C$6:Z$6,"&lt;="&amp;AB$6,$C$6:Z$6,"&gt;"&amp;DATE(YEAR($AB$6)-1,12,31))</f>
        <v>3124</v>
      </c>
      <c r="AC12" s="833">
        <f>SUMIFS($C12:Z12,$C$6:Z$6,"&lt;="&amp;AC$6,$C$6:Z$6,"&gt;"&amp;DATE(YEAR($AC$6)-1,12,31))</f>
        <v>3062</v>
      </c>
      <c r="AD12" s="831">
        <f>AC12/AB12-1</f>
        <v>-1.984635083226638E-2</v>
      </c>
      <c r="AF12" s="833">
        <f t="shared" ref="AF12" si="30">AI12-AB12</f>
        <v>3141</v>
      </c>
      <c r="AG12" s="833">
        <f t="shared" ref="AG12" si="31">AJ12-AC12</f>
        <v>3168</v>
      </c>
      <c r="AH12" s="831">
        <f>AG12/AF12-1</f>
        <v>8.5959885386819312E-3</v>
      </c>
      <c r="AI12" s="833">
        <f>SUMIFS($AO12:$AZ12,$AO$5:$AZ$5,AI$6)</f>
        <v>6265</v>
      </c>
      <c r="AJ12" s="833">
        <f>SUMIFS($AO12:$AZ12,$AO$5:$AZ$5,AJ$6)</f>
        <v>6230</v>
      </c>
      <c r="AK12" s="833"/>
      <c r="AL12" s="827"/>
      <c r="AM12" s="832"/>
      <c r="AO12" s="833"/>
      <c r="AP12" s="833">
        <f>AP8+AP10</f>
        <v>5778</v>
      </c>
      <c r="AQ12" s="833">
        <f t="shared" ref="AQ12:BI12" si="32">AQ8+AQ10</f>
        <v>5968</v>
      </c>
      <c r="AR12" s="833">
        <f t="shared" si="32"/>
        <v>6139</v>
      </c>
      <c r="AS12" s="833">
        <f t="shared" si="32"/>
        <v>6265</v>
      </c>
      <c r="AT12" s="833">
        <f t="shared" si="32"/>
        <v>6230</v>
      </c>
      <c r="AU12" s="833">
        <f t="shared" si="32"/>
        <v>6371.3187268022648</v>
      </c>
      <c r="AV12" s="833">
        <f t="shared" si="32"/>
        <v>6442.3984738413656</v>
      </c>
      <c r="AW12" s="833">
        <f t="shared" si="32"/>
        <v>6549.3745910649668</v>
      </c>
      <c r="AX12" s="833">
        <f t="shared" si="32"/>
        <v>6653.9074188274517</v>
      </c>
      <c r="AY12" s="833">
        <f t="shared" si="32"/>
        <v>6756.3168984750982</v>
      </c>
      <c r="AZ12" s="855"/>
      <c r="BA12" s="991">
        <f>(AV12/AS12)^(1/3)-1</f>
        <v>9.350887655539708E-3</v>
      </c>
      <c r="BB12" s="991">
        <f>(AY12/AS12)^(1/6)-1</f>
        <v>1.2662721104333086E-2</v>
      </c>
      <c r="BC12" s="855"/>
      <c r="BD12" s="833">
        <f t="shared" si="32"/>
        <v>6387.1109746884458</v>
      </c>
      <c r="BE12" s="833">
        <f t="shared" si="32"/>
        <v>6512.3958682313369</v>
      </c>
      <c r="BF12" s="833">
        <f t="shared" si="32"/>
        <v>6616.6527930844786</v>
      </c>
      <c r="BG12" s="833">
        <f t="shared" si="32"/>
        <v>6737.4712674696166</v>
      </c>
      <c r="BH12" s="833">
        <f t="shared" si="32"/>
        <v>6856.0605528664428</v>
      </c>
      <c r="BI12" s="833">
        <f t="shared" si="32"/>
        <v>6972.718936630974</v>
      </c>
      <c r="BK12" s="860">
        <f t="shared" ref="BK12:BP12" si="33">IFERROR(AT12/BD12-1,"")</f>
        <v>-2.4598128216507087E-2</v>
      </c>
      <c r="BL12" s="860">
        <f t="shared" si="33"/>
        <v>-2.1662863296943002E-2</v>
      </c>
      <c r="BM12" s="860">
        <f t="shared" si="33"/>
        <v>-2.6335720596558754E-2</v>
      </c>
      <c r="BN12" s="860">
        <f t="shared" si="33"/>
        <v>-2.7917993107122063E-2</v>
      </c>
      <c r="BO12" s="860">
        <f t="shared" si="33"/>
        <v>-2.9485319226720264E-2</v>
      </c>
      <c r="BP12" s="860">
        <f t="shared" si="33"/>
        <v>-3.1035531493893154E-2</v>
      </c>
    </row>
    <row r="13" spans="2:83">
      <c r="B13" s="846" t="s">
        <v>793</v>
      </c>
      <c r="C13" s="819"/>
      <c r="D13" s="819"/>
      <c r="E13" s="819"/>
      <c r="F13" s="819"/>
      <c r="G13" s="820"/>
      <c r="H13" s="820"/>
      <c r="I13" s="820"/>
      <c r="J13" s="820"/>
      <c r="K13" s="820">
        <f t="shared" ref="K13" si="34">K12/G12-1</f>
        <v>2.7816411682892728E-3</v>
      </c>
      <c r="L13" s="820">
        <f t="shared" ref="L13" si="35">L12/H12-1</f>
        <v>2.6188835286009571E-2</v>
      </c>
      <c r="M13" s="820">
        <f t="shared" ref="M13" si="36">M12/I12-1</f>
        <v>2.5885558583106372E-2</v>
      </c>
      <c r="N13" s="820">
        <f t="shared" ref="N13" si="37">N12/J12-1</f>
        <v>7.7410274454609462E-2</v>
      </c>
      <c r="O13" s="820">
        <f t="shared" ref="O13" si="38">O12/K12-1</f>
        <v>5.7558945908460446E-2</v>
      </c>
      <c r="P13" s="820">
        <f t="shared" ref="P13" si="39">P12/L12-1</f>
        <v>2.2162525184687754E-2</v>
      </c>
      <c r="Q13" s="820">
        <f t="shared" ref="Q13" si="40">Q12/M12-1</f>
        <v>1.8592297476759612E-2</v>
      </c>
      <c r="R13" s="820">
        <f t="shared" ref="R13" si="41">R12/N12-1</f>
        <v>1.7635532331809367E-2</v>
      </c>
      <c r="S13" s="820">
        <f t="shared" ref="S13" si="42">S12/O12-1</f>
        <v>2.2950819672131084E-2</v>
      </c>
      <c r="T13" s="820">
        <f t="shared" ref="T13" si="43">T12/P12-1</f>
        <v>2.7595269382391541E-2</v>
      </c>
      <c r="U13" s="820">
        <f t="shared" ref="U13" si="44">U12/Q12-1</f>
        <v>2.0860495436766602E-2</v>
      </c>
      <c r="V13" s="820">
        <f t="shared" ref="V13" si="45">V12/R12-1</f>
        <v>1.0911424903722766E-2</v>
      </c>
      <c r="W13" s="820">
        <f t="shared" ref="W13" si="46">W12/S12-1</f>
        <v>-2.62820512820513E-2</v>
      </c>
      <c r="X13" s="820">
        <f t="shared" ref="X13" si="47">X12/T12-1</f>
        <v>-1.3427109974424534E-2</v>
      </c>
      <c r="Y13" s="819"/>
      <c r="AB13" s="819"/>
      <c r="AC13" s="819"/>
      <c r="AD13" s="820"/>
      <c r="AF13" s="819"/>
      <c r="AG13" s="819"/>
      <c r="AH13" s="820"/>
      <c r="AI13" s="819"/>
      <c r="AJ13" s="819"/>
      <c r="AK13" s="819"/>
      <c r="AL13" s="819"/>
      <c r="AO13" s="819"/>
      <c r="AP13" s="819"/>
      <c r="AQ13" s="855">
        <f>IFERROR(AQ12/AP12-1,"")</f>
        <v>3.2883350640360076E-2</v>
      </c>
      <c r="AR13" s="855">
        <f t="shared" ref="AR13" si="48">IFERROR(AR12/AQ12-1,"")</f>
        <v>2.8652815013404886E-2</v>
      </c>
      <c r="AS13" s="855">
        <f t="shared" ref="AS13" si="49">IFERROR(AS12/AR12-1,"")</f>
        <v>2.0524515393386622E-2</v>
      </c>
      <c r="AT13" s="855">
        <f t="shared" ref="AT13" si="50">IFERROR(AT12/AS12-1,"")</f>
        <v>-5.5865921787709993E-3</v>
      </c>
      <c r="AU13" s="855">
        <f t="shared" ref="AU13" si="51">IFERROR(AU12/AT12-1,"")</f>
        <v>2.2683583756382797E-2</v>
      </c>
      <c r="AV13" s="855">
        <f t="shared" ref="AV13" si="52">IFERROR(AV12/AU12-1,"")</f>
        <v>1.1156206444372208E-2</v>
      </c>
      <c r="AW13" s="855">
        <f t="shared" ref="AW13" si="53">IFERROR(AW12/AV12-1,"")</f>
        <v>1.6605014057724965E-2</v>
      </c>
      <c r="AX13" s="855">
        <f t="shared" ref="AX13" si="54">IFERROR(AX12/AW12-1,"")</f>
        <v>1.5960734312722602E-2</v>
      </c>
      <c r="AY13" s="855">
        <f t="shared" ref="AY13" si="55">IFERROR(AY12/AX12-1,"")</f>
        <v>1.5390878351850157E-2</v>
      </c>
      <c r="BD13" s="855"/>
      <c r="BE13" s="855"/>
      <c r="BF13" s="855"/>
      <c r="BG13" s="855"/>
      <c r="BH13" s="855"/>
      <c r="BI13" s="855"/>
    </row>
    <row r="14" spans="2:83">
      <c r="B14" s="848" t="s">
        <v>643</v>
      </c>
      <c r="C14" s="850">
        <f>'Income Statement'!BK411</f>
        <v>0</v>
      </c>
      <c r="D14" s="850">
        <f>'Income Statement'!BL411</f>
        <v>0</v>
      </c>
      <c r="E14" s="850">
        <f>'Income Statement'!BM411</f>
        <v>0</v>
      </c>
      <c r="F14" s="850">
        <f>'Income Statement'!BN411</f>
        <v>0</v>
      </c>
      <c r="G14" s="850">
        <f>'Income Statement'!BP411</f>
        <v>165</v>
      </c>
      <c r="H14" s="850">
        <f>'Income Statement'!BQ411</f>
        <v>175</v>
      </c>
      <c r="I14" s="850">
        <f>'Income Statement'!BR411</f>
        <v>185</v>
      </c>
      <c r="J14" s="850">
        <f>'Income Statement'!BS411</f>
        <v>196</v>
      </c>
      <c r="K14" s="850">
        <f>'Income Statement'!BU411</f>
        <v>200</v>
      </c>
      <c r="L14" s="850">
        <f>'Income Statement'!BV411</f>
        <v>209</v>
      </c>
      <c r="M14" s="850">
        <f>'Income Statement'!BW411</f>
        <v>215</v>
      </c>
      <c r="N14" s="850">
        <f>'Income Statement'!BX411</f>
        <v>219</v>
      </c>
      <c r="O14" s="850">
        <f>'Income Statement'!BZ411</f>
        <v>222</v>
      </c>
      <c r="P14" s="850">
        <f>'Income Statement'!CA411</f>
        <v>229</v>
      </c>
      <c r="Q14" s="850">
        <f>'Income Statement'!CB411</f>
        <v>231</v>
      </c>
      <c r="R14" s="850">
        <f>'Income Statement'!CC411</f>
        <v>243</v>
      </c>
      <c r="S14" s="850">
        <f>'Income Statement'!CE411</f>
        <v>244</v>
      </c>
      <c r="T14" s="850">
        <f>'Income Statement'!CF411</f>
        <v>251</v>
      </c>
      <c r="U14" s="850">
        <f>'Income Statement'!CG411</f>
        <v>251</v>
      </c>
      <c r="V14" s="850">
        <f>'Income Statement'!CH411</f>
        <v>247</v>
      </c>
      <c r="W14" s="850">
        <f>'Income Statement'!CJ411</f>
        <v>254</v>
      </c>
      <c r="X14" s="850">
        <f>'Income Statement'!CK411</f>
        <v>254</v>
      </c>
      <c r="Y14" s="819"/>
      <c r="AB14" s="819">
        <f>SUMIFS($C14:Z14,$C$6:Z$6,"&lt;="&amp;AB$6,$C$6:Z$6,"&gt;"&amp;DATE(YEAR($AB$6)-1,12,31))</f>
        <v>495</v>
      </c>
      <c r="AC14" s="819">
        <f>SUMIFS($C14:Z14,$C$6:Z$6,"&lt;="&amp;AC$6,$C$6:Z$6,"&gt;"&amp;DATE(YEAR($AC$6)-1,12,31))</f>
        <v>508</v>
      </c>
      <c r="AD14" s="821">
        <f>AC14/AB14-1</f>
        <v>2.626262626262621E-2</v>
      </c>
      <c r="AF14" s="819">
        <f t="shared" si="16"/>
        <v>498</v>
      </c>
      <c r="AG14" s="819">
        <f t="shared" si="16"/>
        <v>509</v>
      </c>
      <c r="AH14" s="821">
        <f>AG14/AF14-1</f>
        <v>2.2088353413654671E-2</v>
      </c>
      <c r="AI14" s="819">
        <f>SUMIFS($AO14:$AZ14,$AO$5:$AZ$5,AI$6)</f>
        <v>993</v>
      </c>
      <c r="AJ14" s="819">
        <f>SUMIFS($AO14:$AZ14,$AO$5:$AZ$5,AJ$6)</f>
        <v>1017</v>
      </c>
      <c r="AK14" s="824">
        <f>AJ14/AI14-1</f>
        <v>2.4169184290030232E-2</v>
      </c>
      <c r="AL14" s="819"/>
      <c r="AO14" s="819"/>
      <c r="AP14" s="850">
        <f>'Income Statement'!BT411</f>
        <v>721</v>
      </c>
      <c r="AQ14" s="850">
        <f>'Income Statement'!BY411</f>
        <v>843</v>
      </c>
      <c r="AR14" s="850">
        <f>'Income Statement'!CD411</f>
        <v>925</v>
      </c>
      <c r="AS14" s="850">
        <f>'Income Statement'!CI411</f>
        <v>993</v>
      </c>
      <c r="AT14" s="850">
        <f>'Income Statement'!CN411</f>
        <v>1017</v>
      </c>
      <c r="AU14" s="850">
        <f>'Income Statement'!CQ411</f>
        <v>1013.9377158864435</v>
      </c>
      <c r="AV14" s="850">
        <f>'Income Statement'!CR411</f>
        <v>1064.5927201777827</v>
      </c>
      <c r="AW14" s="850">
        <f>'Income Statement'!CS411</f>
        <v>1089.4540719772128</v>
      </c>
      <c r="AX14" s="850">
        <f>'Income Statement'!CT411</f>
        <v>1126.7460996763584</v>
      </c>
      <c r="AY14" s="850">
        <f>'Income Statement'!CU411</f>
        <v>1151.6074514757888</v>
      </c>
      <c r="BD14" s="850">
        <v>991.2255587485065</v>
      </c>
      <c r="BE14" s="850">
        <v>1074.049272490254</v>
      </c>
      <c r="BF14" s="850">
        <v>1146.8663375292704</v>
      </c>
      <c r="BG14" s="850">
        <v>1215.4401965385741</v>
      </c>
      <c r="BH14" s="850">
        <v>1280.1184959006182</v>
      </c>
      <c r="BI14" s="850">
        <v>1341.2217768560167</v>
      </c>
      <c r="BK14" s="855">
        <f t="shared" ref="BK14:BP14" si="56">IFERROR(AT14/BD14-1,"")</f>
        <v>2.600259953348627E-2</v>
      </c>
      <c r="BL14" s="855">
        <f t="shared" si="56"/>
        <v>-5.5967224356884393E-2</v>
      </c>
      <c r="BM14" s="855">
        <f t="shared" si="56"/>
        <v>-7.1737755882461673E-2</v>
      </c>
      <c r="BN14" s="855">
        <f t="shared" si="56"/>
        <v>-0.10365472930725383</v>
      </c>
      <c r="BO14" s="855">
        <f t="shared" si="56"/>
        <v>-0.11981109304756643</v>
      </c>
      <c r="BP14" s="855">
        <f t="shared" si="56"/>
        <v>-0.14137432649260018</v>
      </c>
    </row>
    <row r="15" spans="2:83">
      <c r="B15" s="846" t="s">
        <v>793</v>
      </c>
      <c r="C15" s="819"/>
      <c r="D15" s="819"/>
      <c r="E15" s="819"/>
      <c r="F15" s="819"/>
      <c r="G15" s="820"/>
      <c r="H15" s="820"/>
      <c r="I15" s="820"/>
      <c r="J15" s="820"/>
      <c r="K15" s="820">
        <f t="shared" ref="K15:X15" si="57">K14/G14-1</f>
        <v>0.21212121212121215</v>
      </c>
      <c r="L15" s="820">
        <f t="shared" si="57"/>
        <v>0.19428571428571439</v>
      </c>
      <c r="M15" s="820">
        <f t="shared" si="57"/>
        <v>0.16216216216216206</v>
      </c>
      <c r="N15" s="820">
        <f t="shared" si="57"/>
        <v>0.11734693877551017</v>
      </c>
      <c r="O15" s="820">
        <f t="shared" si="57"/>
        <v>0.1100000000000001</v>
      </c>
      <c r="P15" s="820">
        <f t="shared" si="57"/>
        <v>9.5693779904306275E-2</v>
      </c>
      <c r="Q15" s="820">
        <f t="shared" si="57"/>
        <v>7.441860465116279E-2</v>
      </c>
      <c r="R15" s="820">
        <f t="shared" si="57"/>
        <v>0.1095890410958904</v>
      </c>
      <c r="S15" s="820">
        <f t="shared" si="57"/>
        <v>9.9099099099099197E-2</v>
      </c>
      <c r="T15" s="820">
        <f t="shared" si="57"/>
        <v>9.606986899563319E-2</v>
      </c>
      <c r="U15" s="820">
        <f t="shared" si="57"/>
        <v>8.6580086580086535E-2</v>
      </c>
      <c r="V15" s="820">
        <f t="shared" si="57"/>
        <v>1.6460905349794164E-2</v>
      </c>
      <c r="W15" s="820">
        <f t="shared" si="57"/>
        <v>4.0983606557376984E-2</v>
      </c>
      <c r="X15" s="820">
        <f t="shared" si="57"/>
        <v>1.195219123505975E-2</v>
      </c>
      <c r="Y15" s="819"/>
      <c r="AB15" s="819"/>
      <c r="AC15" s="819"/>
      <c r="AD15" s="821"/>
      <c r="AF15" s="819"/>
      <c r="AG15" s="819"/>
      <c r="AH15" s="821"/>
      <c r="AI15" s="819"/>
      <c r="AJ15" s="819"/>
      <c r="AK15" s="824"/>
      <c r="AL15" s="819"/>
      <c r="AO15" s="819"/>
      <c r="AP15" s="819"/>
      <c r="AQ15" s="855">
        <f>IFERROR(AQ14/AP14-1,"")</f>
        <v>0.1692094313453536</v>
      </c>
      <c r="AR15" s="855">
        <f t="shared" ref="AR15:AV15" si="58">IFERROR(AR14/AQ14-1,"")</f>
        <v>9.7271648873072269E-2</v>
      </c>
      <c r="AS15" s="855">
        <f t="shared" si="58"/>
        <v>7.3513513513513429E-2</v>
      </c>
      <c r="AT15" s="855">
        <f t="shared" si="58"/>
        <v>2.4169184290030232E-2</v>
      </c>
      <c r="AU15" s="855">
        <f t="shared" si="58"/>
        <v>-3.0110954902227149E-3</v>
      </c>
      <c r="AV15" s="855">
        <f t="shared" si="58"/>
        <v>4.9958694205445964E-2</v>
      </c>
      <c r="AW15" s="855">
        <f t="shared" ref="AW15" si="59">IFERROR(AW14/AV14-1,"")</f>
        <v>2.3352922980046653E-2</v>
      </c>
      <c r="AX15" s="855">
        <f t="shared" ref="AX15" si="60">IFERROR(AX14/AW14-1,"")</f>
        <v>3.4230013598889553E-2</v>
      </c>
      <c r="AY15" s="855">
        <f t="shared" ref="AY15" si="61">IFERROR(AY14/AX14-1,"")</f>
        <v>2.206473295676048E-2</v>
      </c>
      <c r="BD15" s="855">
        <v>-1.7869499007990841E-3</v>
      </c>
      <c r="BE15" s="855">
        <v>8.355687866474959E-2</v>
      </c>
      <c r="BF15" s="855">
        <v>6.7796763988476227E-2</v>
      </c>
      <c r="BG15" s="855">
        <v>5.9792372280308204E-2</v>
      </c>
      <c r="BH15" s="855">
        <v>5.3213888718046443E-2</v>
      </c>
      <c r="BI15" s="855">
        <v>4.7732519412126528E-2</v>
      </c>
    </row>
    <row r="16" spans="2:83" s="806" customFormat="1">
      <c r="B16" s="845" t="s">
        <v>645</v>
      </c>
      <c r="C16" s="826">
        <f>'Income Statement'!BK414</f>
        <v>0</v>
      </c>
      <c r="D16" s="826">
        <f>'Income Statement'!BL414</f>
        <v>0</v>
      </c>
      <c r="E16" s="826">
        <f>'Income Statement'!BM414</f>
        <v>0</v>
      </c>
      <c r="F16" s="826">
        <f>'Income Statement'!BN414</f>
        <v>0</v>
      </c>
      <c r="G16" s="826">
        <f>'Income Statement'!BP414</f>
        <v>1603</v>
      </c>
      <c r="H16" s="826">
        <f>'Income Statement'!BQ414</f>
        <v>1626</v>
      </c>
      <c r="I16" s="826">
        <f>'Income Statement'!BR414</f>
        <v>1653</v>
      </c>
      <c r="J16" s="826">
        <f>'Income Statement'!BS414</f>
        <v>1617</v>
      </c>
      <c r="K16" s="826">
        <f>'Income Statement'!BU414</f>
        <v>1642</v>
      </c>
      <c r="L16" s="826">
        <f>'Income Statement'!BV414</f>
        <v>1698</v>
      </c>
      <c r="M16" s="826">
        <f>'Income Statement'!BW414</f>
        <v>1721</v>
      </c>
      <c r="N16" s="826">
        <f>'Income Statement'!BX414</f>
        <v>1750</v>
      </c>
      <c r="O16" s="826">
        <f>'Income Statement'!BZ414</f>
        <v>1747</v>
      </c>
      <c r="P16" s="826">
        <f>'Income Statement'!CA414</f>
        <v>1751</v>
      </c>
      <c r="Q16" s="826">
        <f>'Income Statement'!CB414</f>
        <v>1765</v>
      </c>
      <c r="R16" s="826">
        <f>'Income Statement'!CC414</f>
        <v>1801</v>
      </c>
      <c r="S16" s="826">
        <f>'Income Statement'!CE414</f>
        <v>1804</v>
      </c>
      <c r="T16" s="826">
        <f>'Income Statement'!CF414</f>
        <v>1815</v>
      </c>
      <c r="U16" s="826">
        <f>'Income Statement'!CG414</f>
        <v>1817</v>
      </c>
      <c r="V16" s="826">
        <f>'Income Statement'!CH414</f>
        <v>1822</v>
      </c>
      <c r="W16" s="826">
        <f>'Income Statement'!CJ414</f>
        <v>1773</v>
      </c>
      <c r="X16" s="826">
        <f>'Income Statement'!CK414</f>
        <v>1797</v>
      </c>
      <c r="Y16" s="827"/>
      <c r="AB16" s="833">
        <f>SUMIFS($C16:Z16,$C$6:Z$6,"&lt;="&amp;AB$6,$C$6:Z$6,"&gt;"&amp;DATE(YEAR($AB$6)-1,12,31))</f>
        <v>3619</v>
      </c>
      <c r="AC16" s="833">
        <f>SUMIFS($C16:Z16,$C$6:Z$6,"&lt;="&amp;AC$6,$C$6:Z$6,"&gt;"&amp;DATE(YEAR($AC$6)-1,12,31))</f>
        <v>3570</v>
      </c>
      <c r="AD16" s="831">
        <f>AC16/AB16-1</f>
        <v>-1.3539651837524147E-2</v>
      </c>
      <c r="AF16" s="833">
        <f t="shared" ref="AF16:AG16" si="62">AI16-AB16</f>
        <v>3639</v>
      </c>
      <c r="AG16" s="833">
        <f t="shared" si="62"/>
        <v>3677</v>
      </c>
      <c r="AH16" s="831">
        <f>AG16/AF16-1</f>
        <v>1.0442429238801898E-2</v>
      </c>
      <c r="AI16" s="833">
        <f>SUMIFS($AO16:$AZ16,$AO$5:$AZ$5,AI$6)</f>
        <v>7258</v>
      </c>
      <c r="AJ16" s="833">
        <f>SUMIFS($AO16:$AZ16,$AO$5:$AZ$5,AJ$6)</f>
        <v>7247</v>
      </c>
      <c r="AK16" s="836">
        <f>AJ16/AI16-1</f>
        <v>-1.515569027280228E-3</v>
      </c>
      <c r="AL16" s="827"/>
      <c r="AM16" s="832"/>
      <c r="AO16" s="833"/>
      <c r="AP16" s="833">
        <f>'Income Statement'!BT414</f>
        <v>6499</v>
      </c>
      <c r="AQ16" s="833">
        <f>'Income Statement'!BY414</f>
        <v>6811</v>
      </c>
      <c r="AR16" s="833">
        <f>'Income Statement'!CD414</f>
        <v>7064</v>
      </c>
      <c r="AS16" s="833">
        <f>'Income Statement'!CI414</f>
        <v>7258</v>
      </c>
      <c r="AT16" s="833">
        <f>'Income Statement'!CN414</f>
        <v>7247</v>
      </c>
      <c r="AU16" s="833">
        <f>'Income Statement'!CQ414</f>
        <v>7385.2564426887084</v>
      </c>
      <c r="AV16" s="833">
        <f>'Income Statement'!CR414</f>
        <v>7506.9911940191487</v>
      </c>
      <c r="AW16" s="833">
        <f>'Income Statement'!CS414</f>
        <v>7638.8286630421799</v>
      </c>
      <c r="AX16" s="833">
        <f>'Income Statement'!CT414</f>
        <v>7780.6535185038101</v>
      </c>
      <c r="AY16" s="833">
        <f>'Income Statement'!CU414</f>
        <v>7907.9243499508866</v>
      </c>
      <c r="AZ16" s="855"/>
      <c r="BA16" s="991">
        <f>(AV16/AS16)^(1/3)-1</f>
        <v>1.1306924389880235E-2</v>
      </c>
      <c r="BB16" s="991">
        <f>(AY16/AS16)^(1/6)-1</f>
        <v>1.4396145625213297E-2</v>
      </c>
      <c r="BC16" s="855"/>
      <c r="BD16" s="833">
        <v>7378.3365334369519</v>
      </c>
      <c r="BE16" s="833">
        <v>7586.4451407215911</v>
      </c>
      <c r="BF16" s="833">
        <v>7763.5191306137494</v>
      </c>
      <c r="BG16" s="833">
        <v>7952.9114640081907</v>
      </c>
      <c r="BH16" s="833">
        <v>8136.1790487670605</v>
      </c>
      <c r="BI16" s="833">
        <v>8313.9407134869907</v>
      </c>
      <c r="BJ16" s="834"/>
      <c r="BK16" s="860">
        <f t="shared" ref="BK16:BP16" si="63">IFERROR(AT16/BD16-1,"")</f>
        <v>-1.78002904640856E-2</v>
      </c>
      <c r="BL16" s="860">
        <f t="shared" si="63"/>
        <v>-2.6519495534603754E-2</v>
      </c>
      <c r="BM16" s="860">
        <f t="shared" si="63"/>
        <v>-3.3042739030942681E-2</v>
      </c>
      <c r="BN16" s="860">
        <f t="shared" si="63"/>
        <v>-3.9492807431269483E-2</v>
      </c>
      <c r="BO16" s="860">
        <f t="shared" si="63"/>
        <v>-4.3696866567498382E-2</v>
      </c>
      <c r="BP16" s="860">
        <f t="shared" si="63"/>
        <v>-4.8835609673936964E-2</v>
      </c>
      <c r="BQ16" s="834"/>
      <c r="BR16" s="834"/>
      <c r="BS16" s="834"/>
      <c r="BT16" s="834"/>
      <c r="BU16" s="834"/>
      <c r="BV16" s="834"/>
      <c r="BW16" s="834"/>
      <c r="BX16" s="834"/>
      <c r="BY16" s="834"/>
      <c r="BZ16" s="834"/>
      <c r="CA16" s="834"/>
      <c r="CB16" s="834"/>
      <c r="CC16" s="834"/>
      <c r="CD16" s="834"/>
      <c r="CE16" s="834"/>
    </row>
    <row r="17" spans="2:83">
      <c r="B17" s="848" t="s">
        <v>793</v>
      </c>
      <c r="C17" s="819"/>
      <c r="D17" s="819"/>
      <c r="E17" s="819"/>
      <c r="F17" s="819"/>
      <c r="G17" s="820"/>
      <c r="H17" s="820"/>
      <c r="I17" s="820"/>
      <c r="J17" s="820"/>
      <c r="K17" s="820">
        <f t="shared" ref="K17:X17" si="64">K16/G16-1</f>
        <v>2.4329382407985101E-2</v>
      </c>
      <c r="L17" s="820">
        <f t="shared" si="64"/>
        <v>4.4280442804428111E-2</v>
      </c>
      <c r="M17" s="820">
        <f t="shared" si="64"/>
        <v>4.1137326073805269E-2</v>
      </c>
      <c r="N17" s="820">
        <f t="shared" si="64"/>
        <v>8.2251082251082241E-2</v>
      </c>
      <c r="O17" s="820">
        <f t="shared" si="64"/>
        <v>6.3946406820950097E-2</v>
      </c>
      <c r="P17" s="820">
        <f t="shared" si="64"/>
        <v>3.1213191990577149E-2</v>
      </c>
      <c r="Q17" s="820">
        <f t="shared" si="64"/>
        <v>2.5566531086577582E-2</v>
      </c>
      <c r="R17" s="820">
        <f t="shared" si="64"/>
        <v>2.9142857142857137E-2</v>
      </c>
      <c r="S17" s="820">
        <f t="shared" si="64"/>
        <v>3.2627361190612492E-2</v>
      </c>
      <c r="T17" s="820">
        <f t="shared" si="64"/>
        <v>3.6550542547115983E-2</v>
      </c>
      <c r="U17" s="820">
        <f t="shared" si="64"/>
        <v>2.9461756373937664E-2</v>
      </c>
      <c r="V17" s="820">
        <f t="shared" si="64"/>
        <v>1.1660188784008874E-2</v>
      </c>
      <c r="W17" s="820">
        <f t="shared" si="64"/>
        <v>-1.7184035476718429E-2</v>
      </c>
      <c r="X17" s="820">
        <f t="shared" si="64"/>
        <v>-9.91735537190086E-3</v>
      </c>
      <c r="Y17" s="819"/>
      <c r="AB17" s="819"/>
      <c r="AC17" s="819"/>
      <c r="AD17" s="821"/>
      <c r="AF17" s="819"/>
      <c r="AG17" s="819"/>
      <c r="AH17" s="821"/>
      <c r="AI17" s="819"/>
      <c r="AJ17" s="819"/>
      <c r="AK17" s="824"/>
      <c r="AL17" s="819"/>
      <c r="AO17" s="819"/>
      <c r="AP17" s="819"/>
      <c r="AQ17" s="855">
        <f>IFERROR(AQ16/AP16-1,"")</f>
        <v>4.8007385751654086E-2</v>
      </c>
      <c r="AR17" s="855">
        <f t="shared" ref="AR17:AV17" si="65">IFERROR(AR16/AQ16-1,"")</f>
        <v>3.7145793569226315E-2</v>
      </c>
      <c r="AS17" s="855">
        <f t="shared" si="65"/>
        <v>2.7463193657984108E-2</v>
      </c>
      <c r="AT17" s="855">
        <f t="shared" si="65"/>
        <v>-1.515569027280228E-3</v>
      </c>
      <c r="AU17" s="855">
        <f t="shared" si="65"/>
        <v>1.9077748404678907E-2</v>
      </c>
      <c r="AV17" s="855">
        <f t="shared" si="65"/>
        <v>1.6483483312343949E-2</v>
      </c>
      <c r="AW17" s="855">
        <f t="shared" ref="AW17" si="66">IFERROR(AW16/AV16-1,"")</f>
        <v>1.7561958661689525E-2</v>
      </c>
      <c r="AX17" s="855">
        <f t="shared" ref="AX17" si="67">IFERROR(AX16/AW16-1,"")</f>
        <v>1.8566309275635406E-2</v>
      </c>
      <c r="AY17" s="855">
        <f t="shared" ref="AY17" si="68">IFERROR(AY16/AX16-1,"")</f>
        <v>1.6357344681189545E-2</v>
      </c>
      <c r="BD17" s="855">
        <v>1.6579847538847003E-2</v>
      </c>
      <c r="BE17" s="855">
        <v>2.8205355819911127E-2</v>
      </c>
      <c r="BF17" s="855">
        <v>2.334083837786971E-2</v>
      </c>
      <c r="BG17" s="855">
        <v>2.439516541507758E-2</v>
      </c>
      <c r="BH17" s="855">
        <v>2.3044087135669633E-2</v>
      </c>
      <c r="BI17" s="855">
        <v>2.1848298034550684E-2</v>
      </c>
    </row>
    <row r="18" spans="2:83">
      <c r="B18" s="848"/>
      <c r="C18" s="819"/>
      <c r="D18" s="819"/>
      <c r="E18" s="819"/>
      <c r="F18" s="819"/>
      <c r="G18" s="819"/>
      <c r="H18" s="819"/>
      <c r="I18" s="819"/>
      <c r="J18" s="819"/>
      <c r="K18" s="819"/>
      <c r="L18" s="819"/>
      <c r="M18" s="819"/>
      <c r="N18" s="819"/>
      <c r="O18" s="819"/>
      <c r="P18" s="819"/>
      <c r="Q18" s="819"/>
      <c r="R18" s="819"/>
      <c r="S18" s="819"/>
      <c r="T18" s="819"/>
      <c r="U18" s="819"/>
      <c r="V18" s="819"/>
      <c r="W18" s="819"/>
      <c r="X18" s="819"/>
      <c r="Y18" s="819"/>
      <c r="AB18" s="819"/>
      <c r="AC18" s="819"/>
      <c r="AD18" s="821"/>
      <c r="AF18" s="819"/>
      <c r="AG18" s="819"/>
      <c r="AH18" s="821"/>
      <c r="AI18" s="819"/>
      <c r="AJ18" s="819"/>
      <c r="AK18" s="824"/>
      <c r="AL18" s="819"/>
      <c r="AO18" s="819"/>
      <c r="AP18" s="819"/>
      <c r="AQ18" s="819"/>
      <c r="AR18" s="819"/>
      <c r="AS18" s="819"/>
      <c r="AT18" s="819"/>
      <c r="AU18" s="819"/>
      <c r="AV18" s="819"/>
      <c r="AW18" s="819"/>
      <c r="AX18" s="819"/>
      <c r="AY18" s="819"/>
      <c r="BD18" s="819"/>
      <c r="BE18" s="819"/>
      <c r="BF18" s="819"/>
      <c r="BG18" s="819"/>
      <c r="BH18" s="819"/>
      <c r="BI18" s="819"/>
    </row>
    <row r="19" spans="2:83" s="806" customFormat="1">
      <c r="B19" s="847" t="s">
        <v>647</v>
      </c>
      <c r="C19" s="849">
        <f>'Income Statement'!BK426</f>
        <v>0</v>
      </c>
      <c r="D19" s="849">
        <f>'Income Statement'!BL426</f>
        <v>0</v>
      </c>
      <c r="E19" s="849">
        <f>'Income Statement'!BM426</f>
        <v>0</v>
      </c>
      <c r="F19" s="849">
        <f>'Income Statement'!BN426</f>
        <v>0</v>
      </c>
      <c r="G19" s="849">
        <f>'Income Statement'!BP426</f>
        <v>368</v>
      </c>
      <c r="H19" s="849">
        <f>'Income Statement'!BQ426</f>
        <v>371</v>
      </c>
      <c r="I19" s="849">
        <f>'Income Statement'!BR426</f>
        <v>380</v>
      </c>
      <c r="J19" s="849">
        <f>'Income Statement'!BS426</f>
        <v>399</v>
      </c>
      <c r="K19" s="849">
        <f>'Income Statement'!BU426</f>
        <v>388</v>
      </c>
      <c r="L19" s="849">
        <f>'Income Statement'!BV426</f>
        <v>386</v>
      </c>
      <c r="M19" s="849">
        <f>'Income Statement'!BW426</f>
        <v>387</v>
      </c>
      <c r="N19" s="849">
        <f>'Income Statement'!BX426</f>
        <v>364</v>
      </c>
      <c r="O19" s="849">
        <f>'Income Statement'!BZ426</f>
        <v>365</v>
      </c>
      <c r="P19" s="849">
        <f>'Income Statement'!CA426</f>
        <v>362</v>
      </c>
      <c r="Q19" s="849">
        <f>'Income Statement'!CB426</f>
        <v>380</v>
      </c>
      <c r="R19" s="849">
        <f>'Income Statement'!CC426</f>
        <v>401</v>
      </c>
      <c r="S19" s="849">
        <f>'Income Statement'!CE426</f>
        <v>387</v>
      </c>
      <c r="T19" s="849">
        <f>'Income Statement'!CF426</f>
        <v>401</v>
      </c>
      <c r="U19" s="849">
        <f>'Income Statement'!CG426</f>
        <v>396</v>
      </c>
      <c r="V19" s="849">
        <f>'Income Statement'!CH426</f>
        <v>426</v>
      </c>
      <c r="W19" s="849">
        <f>'Income Statement'!CJ426</f>
        <v>398</v>
      </c>
      <c r="X19" s="849">
        <f>'Income Statement'!CK426</f>
        <v>407</v>
      </c>
      <c r="Y19" s="827"/>
      <c r="AB19" s="827">
        <f>SUMIFS($C19:Z19,$C$6:Z$6,"&lt;="&amp;AB$6,$C$6:Z$6,"&gt;"&amp;DATE(YEAR($AB$6)-1,12,31))</f>
        <v>788</v>
      </c>
      <c r="AC19" s="827">
        <f>SUMIFS($C19:Z19,$C$6:Z$6,"&lt;="&amp;AC$6,$C$6:Z$6,"&gt;"&amp;DATE(YEAR($AC$6)-1,12,31))</f>
        <v>805</v>
      </c>
      <c r="AD19" s="856">
        <f t="shared" ref="AD19" si="69">AC19/AB19-1</f>
        <v>2.1573604060913798E-2</v>
      </c>
      <c r="AF19" s="827">
        <f>AI19-AB19</f>
        <v>822</v>
      </c>
      <c r="AG19" s="827">
        <f t="shared" si="16"/>
        <v>860</v>
      </c>
      <c r="AH19" s="835">
        <f t="shared" ref="AH19:AH31" si="70">AG19/AF19-1</f>
        <v>4.6228710462287159E-2</v>
      </c>
      <c r="AI19" s="827">
        <f>SUMIFS($AO19:$AZ19,$AO$5:$AZ$5,AI$6)</f>
        <v>1610</v>
      </c>
      <c r="AJ19" s="827">
        <f>SUMIFS($AO19:$AZ19,$AO$5:$AZ$5,AJ$6)</f>
        <v>1665</v>
      </c>
      <c r="AK19" s="835">
        <f t="shared" ref="AK19:AK31" si="71">AJ19/AI19-1</f>
        <v>3.4161490683229712E-2</v>
      </c>
      <c r="AL19" s="827"/>
      <c r="AM19" s="832"/>
      <c r="AO19" s="827"/>
      <c r="AP19" s="850">
        <f>'Income Statement'!BT426</f>
        <v>1518</v>
      </c>
      <c r="AQ19" s="850">
        <f>'Income Statement'!BY426</f>
        <v>1525</v>
      </c>
      <c r="AR19" s="850">
        <f>'Income Statement'!CD426</f>
        <v>1508</v>
      </c>
      <c r="AS19" s="850">
        <f>'Income Statement'!CI426</f>
        <v>1610</v>
      </c>
      <c r="AT19" s="850">
        <f>'Income Statement'!CN426</f>
        <v>1665</v>
      </c>
      <c r="AU19" s="850">
        <f>'Income Statement'!CQ426</f>
        <v>1669.1624999999999</v>
      </c>
      <c r="AV19" s="850">
        <f>'Income Statement'!CR426</f>
        <v>1752.620625</v>
      </c>
      <c r="AW19" s="850">
        <f>'Income Statement'!CS426</f>
        <v>1840.25165625</v>
      </c>
      <c r="AX19" s="850">
        <f>'Income Statement'!CT426</f>
        <v>1932.2642390625001</v>
      </c>
      <c r="AY19" s="850">
        <f>'Income Statement'!CU426</f>
        <v>2028.8774510156252</v>
      </c>
      <c r="AZ19" s="855"/>
      <c r="BA19" s="991">
        <f>(AV19/AS19)^(1/3)-1</f>
        <v>2.8696701766606436E-2</v>
      </c>
      <c r="BB19" s="991">
        <f>(AY19/AS19)^(1/6)-1</f>
        <v>3.9293768313337196E-2</v>
      </c>
      <c r="BC19" s="855"/>
      <c r="BD19" s="850">
        <v>1690.5</v>
      </c>
      <c r="BE19" s="850">
        <v>1775.0250000000001</v>
      </c>
      <c r="BF19" s="850">
        <v>1863.7762500000001</v>
      </c>
      <c r="BG19" s="850">
        <v>1956.9650625000002</v>
      </c>
      <c r="BH19" s="850">
        <v>2054.8133156250001</v>
      </c>
      <c r="BI19" s="850">
        <v>2157.5539814062504</v>
      </c>
      <c r="BK19" s="855">
        <f t="shared" ref="BK19:BP19" si="72">IFERROR(AT19/BD19-1,"")</f>
        <v>-1.5084294587400127E-2</v>
      </c>
      <c r="BL19" s="855">
        <f t="shared" si="72"/>
        <v>-5.9640005070351276E-2</v>
      </c>
      <c r="BM19" s="855">
        <f t="shared" si="72"/>
        <v>-5.9640005070351165E-2</v>
      </c>
      <c r="BN19" s="855">
        <f t="shared" si="72"/>
        <v>-5.9640005070351165E-2</v>
      </c>
      <c r="BO19" s="855">
        <f t="shared" si="72"/>
        <v>-5.9640005070351054E-2</v>
      </c>
      <c r="BP19" s="855">
        <f t="shared" si="72"/>
        <v>-5.9640005070351165E-2</v>
      </c>
    </row>
    <row r="20" spans="2:83">
      <c r="B20" s="848" t="s">
        <v>793</v>
      </c>
      <c r="C20" s="819"/>
      <c r="D20" s="819"/>
      <c r="E20" s="819"/>
      <c r="F20" s="819"/>
      <c r="G20" s="819"/>
      <c r="H20" s="819"/>
      <c r="I20" s="819"/>
      <c r="J20" s="819"/>
      <c r="K20" s="820">
        <f t="shared" ref="K20:X20" si="73">K19/G19-1</f>
        <v>5.4347826086956541E-2</v>
      </c>
      <c r="L20" s="820">
        <f t="shared" si="73"/>
        <v>4.0431266846361114E-2</v>
      </c>
      <c r="M20" s="820">
        <f t="shared" si="73"/>
        <v>1.8421052631578894E-2</v>
      </c>
      <c r="N20" s="820">
        <f t="shared" si="73"/>
        <v>-8.7719298245614086E-2</v>
      </c>
      <c r="O20" s="820">
        <f t="shared" si="73"/>
        <v>-5.9278350515463929E-2</v>
      </c>
      <c r="P20" s="820">
        <f t="shared" si="73"/>
        <v>-6.2176165803108807E-2</v>
      </c>
      <c r="Q20" s="820">
        <f t="shared" si="73"/>
        <v>-1.8087855297157618E-2</v>
      </c>
      <c r="R20" s="820">
        <f t="shared" si="73"/>
        <v>0.10164835164835173</v>
      </c>
      <c r="S20" s="820">
        <f t="shared" si="73"/>
        <v>6.02739726027397E-2</v>
      </c>
      <c r="T20" s="820">
        <f t="shared" si="73"/>
        <v>0.10773480662983426</v>
      </c>
      <c r="U20" s="820">
        <f t="shared" si="73"/>
        <v>4.2105263157894646E-2</v>
      </c>
      <c r="V20" s="820">
        <f t="shared" si="73"/>
        <v>6.2344139650872821E-2</v>
      </c>
      <c r="W20" s="820">
        <f t="shared" si="73"/>
        <v>2.8423772609819098E-2</v>
      </c>
      <c r="X20" s="820">
        <f t="shared" si="73"/>
        <v>1.4962593516209433E-2</v>
      </c>
      <c r="Y20" s="819"/>
      <c r="AB20" s="819"/>
      <c r="AC20" s="819"/>
      <c r="AD20" s="820"/>
      <c r="AF20" s="819"/>
      <c r="AG20" s="819"/>
      <c r="AH20" s="824"/>
      <c r="AI20" s="819"/>
      <c r="AJ20" s="819"/>
      <c r="AK20" s="824"/>
      <c r="AL20" s="819"/>
      <c r="AO20" s="819"/>
      <c r="AP20" s="819"/>
      <c r="AQ20" s="855">
        <f>IFERROR(AQ19/AP19-1,"")</f>
        <v>4.6113306982871194E-3</v>
      </c>
      <c r="AR20" s="855">
        <f t="shared" ref="AR20:AV20" si="74">IFERROR(AR19/AQ19-1,"")</f>
        <v>-1.1147540983606596E-2</v>
      </c>
      <c r="AS20" s="855">
        <f t="shared" si="74"/>
        <v>6.7639257294429767E-2</v>
      </c>
      <c r="AT20" s="855">
        <f t="shared" si="74"/>
        <v>3.4161490683229712E-2</v>
      </c>
      <c r="AU20" s="855">
        <f t="shared" si="74"/>
        <v>2.4999999999999467E-3</v>
      </c>
      <c r="AV20" s="855">
        <f t="shared" si="74"/>
        <v>5.0000000000000044E-2</v>
      </c>
      <c r="AW20" s="855">
        <f t="shared" ref="AW20" si="75">IFERROR(AW19/AV19-1,"")</f>
        <v>5.0000000000000044E-2</v>
      </c>
      <c r="AX20" s="855">
        <f t="shared" ref="AX20" si="76">IFERROR(AX19/AW19-1,"")</f>
        <v>5.0000000000000044E-2</v>
      </c>
      <c r="AY20" s="855">
        <f t="shared" ref="AY20" si="77">IFERROR(AY19/AX19-1,"")</f>
        <v>5.0000000000000044E-2</v>
      </c>
      <c r="BD20" s="855">
        <v>5.0000000000000044E-2</v>
      </c>
      <c r="BE20" s="855">
        <v>5.0000000000000044E-2</v>
      </c>
      <c r="BF20" s="855">
        <v>5.0000000000000044E-2</v>
      </c>
      <c r="BG20" s="855">
        <v>5.0000000000000044E-2</v>
      </c>
      <c r="BH20" s="855">
        <v>5.0000000000000044E-2</v>
      </c>
      <c r="BI20" s="855">
        <v>5.0000000000000044E-2</v>
      </c>
      <c r="BK20" s="855"/>
      <c r="BL20" s="855"/>
      <c r="BM20" s="855"/>
      <c r="BN20" s="855"/>
      <c r="BO20" s="855"/>
      <c r="BP20" s="855"/>
    </row>
    <row r="21" spans="2:83">
      <c r="B21" s="848"/>
      <c r="C21" s="819"/>
      <c r="D21" s="819"/>
      <c r="E21" s="819"/>
      <c r="F21" s="819"/>
      <c r="G21" s="819"/>
      <c r="H21" s="819"/>
      <c r="I21" s="819"/>
      <c r="J21" s="819"/>
      <c r="K21" s="819"/>
      <c r="L21" s="819"/>
      <c r="M21" s="819"/>
      <c r="N21" s="819"/>
      <c r="O21" s="819"/>
      <c r="P21" s="819"/>
      <c r="Q21" s="819"/>
      <c r="R21" s="819"/>
      <c r="S21" s="819"/>
      <c r="T21" s="819"/>
      <c r="U21" s="819"/>
      <c r="V21" s="819"/>
      <c r="W21" s="819"/>
      <c r="X21" s="819"/>
      <c r="Y21" s="819"/>
      <c r="AB21" s="819"/>
      <c r="AC21" s="819"/>
      <c r="AD21" s="820"/>
      <c r="AF21" s="819"/>
      <c r="AG21" s="819"/>
      <c r="AH21" s="824"/>
      <c r="AI21" s="819"/>
      <c r="AJ21" s="819"/>
      <c r="AK21" s="824"/>
      <c r="AL21" s="819"/>
      <c r="AO21" s="819"/>
      <c r="AP21" s="819"/>
      <c r="AQ21" s="819"/>
      <c r="AR21" s="819"/>
      <c r="AS21" s="819"/>
      <c r="AT21" s="819"/>
      <c r="AU21" s="819"/>
      <c r="AV21" s="819"/>
      <c r="AW21" s="819"/>
      <c r="AX21" s="819"/>
      <c r="AY21" s="819"/>
      <c r="BD21" s="819"/>
      <c r="BE21" s="819"/>
      <c r="BF21" s="819"/>
      <c r="BG21" s="819"/>
      <c r="BH21" s="819"/>
      <c r="BI21" s="819"/>
    </row>
    <row r="22" spans="2:83" s="806" customFormat="1">
      <c r="B22" s="845" t="s">
        <v>255</v>
      </c>
      <c r="C22" s="826">
        <f>'Income Statement'!BK429</f>
        <v>1940</v>
      </c>
      <c r="D22" s="826">
        <f>'Income Statement'!BL429</f>
        <v>1900</v>
      </c>
      <c r="E22" s="826">
        <f>'Income Statement'!BM429</f>
        <v>1940</v>
      </c>
      <c r="F22" s="826">
        <f>'Income Statement'!BN429</f>
        <v>1945</v>
      </c>
      <c r="G22" s="826">
        <f>'Income Statement'!BP429</f>
        <v>1971</v>
      </c>
      <c r="H22" s="826">
        <f>'Income Statement'!BQ429</f>
        <v>1997</v>
      </c>
      <c r="I22" s="826">
        <f>'Income Statement'!BR429</f>
        <v>2033</v>
      </c>
      <c r="J22" s="826">
        <f>'Income Statement'!BS429</f>
        <v>2016</v>
      </c>
      <c r="K22" s="826">
        <f>'Income Statement'!BU429</f>
        <v>2030</v>
      </c>
      <c r="L22" s="826">
        <f>'Income Statement'!BV429</f>
        <v>2084</v>
      </c>
      <c r="M22" s="826">
        <f>'Income Statement'!BW429</f>
        <v>2108</v>
      </c>
      <c r="N22" s="826">
        <f>'Income Statement'!BX429</f>
        <v>2114</v>
      </c>
      <c r="O22" s="826">
        <f>'Income Statement'!BZ429</f>
        <v>2112</v>
      </c>
      <c r="P22" s="826">
        <f>'Income Statement'!CA429</f>
        <v>2113</v>
      </c>
      <c r="Q22" s="826">
        <f>'Income Statement'!CB429</f>
        <v>2145</v>
      </c>
      <c r="R22" s="826">
        <f>'Income Statement'!CC429</f>
        <v>2202</v>
      </c>
      <c r="S22" s="826">
        <f>'Income Statement'!CE429</f>
        <v>2191</v>
      </c>
      <c r="T22" s="826">
        <f>'Income Statement'!CF429</f>
        <v>2216</v>
      </c>
      <c r="U22" s="826">
        <f>'Income Statement'!CG429</f>
        <v>2213</v>
      </c>
      <c r="V22" s="826">
        <f>'Income Statement'!CH429</f>
        <v>2248</v>
      </c>
      <c r="W22" s="826">
        <f>'Income Statement'!CJ429</f>
        <v>2171</v>
      </c>
      <c r="X22" s="826">
        <f>'Income Statement'!CK429</f>
        <v>2204</v>
      </c>
      <c r="Y22" s="827"/>
      <c r="AB22" s="833">
        <f>SUMIFS($C22:Z22,$C$6:Z$6,"&lt;="&amp;AB$6,$C$6:Z$6,"&gt;"&amp;DATE(YEAR($AB$6)-1,12,31))</f>
        <v>4407</v>
      </c>
      <c r="AC22" s="833">
        <f>SUMIFS($C22:Z22,$C$6:Z$6,"&lt;="&amp;AC$6,$C$6:Z$6,"&gt;"&amp;DATE(YEAR($AC$6)-1,12,31))</f>
        <v>4375</v>
      </c>
      <c r="AD22" s="831">
        <f t="shared" ref="AD22" si="78">AC22/AB22-1</f>
        <v>-7.2611754027682718E-3</v>
      </c>
      <c r="AF22" s="833">
        <f>AI22-AB22</f>
        <v>4461</v>
      </c>
      <c r="AG22" s="833">
        <f t="shared" ref="AG22" si="79">AJ22-AC22</f>
        <v>4537</v>
      </c>
      <c r="AH22" s="836">
        <f t="shared" ref="AH22" si="80">AG22/AF22-1</f>
        <v>1.7036538892625019E-2</v>
      </c>
      <c r="AI22" s="833">
        <f>SUMIFS($AO22:$AZ22,$AO$5:$AZ$5,AI$6)</f>
        <v>8868</v>
      </c>
      <c r="AJ22" s="833">
        <f>SUMIFS($AO22:$AZ22,$AO$5:$AZ$5,AJ$6)</f>
        <v>8912</v>
      </c>
      <c r="AK22" s="836">
        <f t="shared" ref="AK22" si="81">AJ22/AI22-1</f>
        <v>4.9616599007669127E-3</v>
      </c>
      <c r="AL22" s="827"/>
      <c r="AM22" s="832"/>
      <c r="AO22" s="833"/>
      <c r="AP22" s="826">
        <f>'Income Statement'!BT429</f>
        <v>8017</v>
      </c>
      <c r="AQ22" s="826">
        <f>'Income Statement'!BY429</f>
        <v>8336</v>
      </c>
      <c r="AR22" s="826">
        <f>'Income Statement'!CD429</f>
        <v>8572</v>
      </c>
      <c r="AS22" s="826">
        <f>'Income Statement'!CI429</f>
        <v>8868</v>
      </c>
      <c r="AT22" s="826">
        <f>'Income Statement'!CN429</f>
        <v>8912</v>
      </c>
      <c r="AU22" s="826">
        <f>'Income Statement'!CQ429</f>
        <v>9054.4189426887078</v>
      </c>
      <c r="AV22" s="826">
        <f>'Income Statement'!CR429</f>
        <v>9259.6118190191482</v>
      </c>
      <c r="AW22" s="826">
        <f>'Income Statement'!CS429</f>
        <v>9479.0803192921794</v>
      </c>
      <c r="AX22" s="826">
        <f>'Income Statement'!CT429</f>
        <v>9712.9177575663107</v>
      </c>
      <c r="AY22" s="826">
        <f>'Income Statement'!CU429</f>
        <v>9936.801800966512</v>
      </c>
      <c r="AZ22" s="855"/>
      <c r="BA22" s="991">
        <f>(AV22/AS22)^(1/3)-1</f>
        <v>1.4508520138800662E-2</v>
      </c>
      <c r="BB22" s="991">
        <f>(AY22/AS22)^(1/6)-1</f>
        <v>1.9146984585948434E-2</v>
      </c>
      <c r="BC22" s="855"/>
      <c r="BD22" s="826">
        <v>9068.8365334369519</v>
      </c>
      <c r="BE22" s="826">
        <v>9361.4701407215907</v>
      </c>
      <c r="BF22" s="826">
        <v>9627.2953806137502</v>
      </c>
      <c r="BG22" s="826">
        <v>9909.8765265081911</v>
      </c>
      <c r="BH22" s="826">
        <v>10190.992364392061</v>
      </c>
      <c r="BI22" s="826">
        <v>10471.494694893241</v>
      </c>
      <c r="BJ22" s="834"/>
      <c r="BK22" s="870">
        <f t="shared" ref="BK22:BP22" si="82">IFERROR(AT22/BD22-1,"")</f>
        <v>-1.7294008206972578E-2</v>
      </c>
      <c r="BL22" s="870">
        <f t="shared" si="82"/>
        <v>-3.2799463483543789E-2</v>
      </c>
      <c r="BM22" s="870">
        <f t="shared" si="82"/>
        <v>-3.8191781498155497E-2</v>
      </c>
      <c r="BN22" s="870">
        <f t="shared" si="82"/>
        <v>-4.3471400078867073E-2</v>
      </c>
      <c r="BO22" s="870">
        <f t="shared" si="82"/>
        <v>-4.6911487098761029E-2</v>
      </c>
      <c r="BP22" s="870">
        <f t="shared" si="82"/>
        <v>-5.1061754745240773E-2</v>
      </c>
      <c r="BQ22" s="834"/>
      <c r="BR22" s="833">
        <f>AS22</f>
        <v>8868</v>
      </c>
      <c r="BS22" s="826">
        <f>'Income Statement'!CN17</f>
        <v>8912</v>
      </c>
      <c r="BT22" s="826">
        <f>'Income Statement'!CQ17</f>
        <v>9151.2201344850291</v>
      </c>
      <c r="BU22" s="826">
        <f>'Income Statement'!CR17</f>
        <v>9376.3743680768875</v>
      </c>
      <c r="BV22" s="826">
        <f>'Income Statement'!CS17</f>
        <v>9603.7866105323246</v>
      </c>
      <c r="BW22" s="826">
        <f>'Income Statement'!CT17</f>
        <v>9707.7286432659475</v>
      </c>
      <c r="BX22" s="826">
        <f>'Income Statement'!CU17</f>
        <v>9915.0175429440587</v>
      </c>
      <c r="BY22" s="834"/>
      <c r="BZ22" s="870">
        <f t="shared" ref="BZ22:CE22" si="83">IFERROR(AT22/BS22-1,"")</f>
        <v>0</v>
      </c>
      <c r="CA22" s="870">
        <f t="shared" si="83"/>
        <v>-1.0577954674212298E-2</v>
      </c>
      <c r="CB22" s="870">
        <f t="shared" si="83"/>
        <v>-1.2452846321417521E-2</v>
      </c>
      <c r="CC22" s="870">
        <f t="shared" si="83"/>
        <v>-1.2985116839578814E-2</v>
      </c>
      <c r="CD22" s="870">
        <f t="shared" si="83"/>
        <v>5.3453433764483194E-4</v>
      </c>
      <c r="CE22" s="870">
        <f t="shared" si="83"/>
        <v>2.1970972747249462E-3</v>
      </c>
    </row>
    <row r="23" spans="2:83">
      <c r="B23" s="848" t="s">
        <v>793</v>
      </c>
      <c r="K23" s="820">
        <f t="shared" ref="K23:X23" si="84">K22/G22-1</f>
        <v>2.9934043632673824E-2</v>
      </c>
      <c r="L23" s="820">
        <f t="shared" si="84"/>
        <v>4.3565348022033046E-2</v>
      </c>
      <c r="M23" s="820">
        <f t="shared" si="84"/>
        <v>3.6891293654697455E-2</v>
      </c>
      <c r="N23" s="820">
        <f t="shared" si="84"/>
        <v>4.861111111111116E-2</v>
      </c>
      <c r="O23" s="820">
        <f t="shared" si="84"/>
        <v>4.0394088669950756E-2</v>
      </c>
      <c r="P23" s="820">
        <f t="shared" si="84"/>
        <v>1.3915547024952124E-2</v>
      </c>
      <c r="Q23" s="820">
        <f t="shared" si="84"/>
        <v>1.7552182163187879E-2</v>
      </c>
      <c r="R23" s="820">
        <f t="shared" si="84"/>
        <v>4.1627246925260097E-2</v>
      </c>
      <c r="S23" s="820">
        <f t="shared" si="84"/>
        <v>3.7405303030302983E-2</v>
      </c>
      <c r="T23" s="820">
        <f t="shared" si="84"/>
        <v>4.8745858968291422E-2</v>
      </c>
      <c r="U23" s="820">
        <f t="shared" si="84"/>
        <v>3.170163170163165E-2</v>
      </c>
      <c r="V23" s="820">
        <f t="shared" si="84"/>
        <v>2.0890099909173454E-2</v>
      </c>
      <c r="W23" s="820">
        <f t="shared" si="84"/>
        <v>-9.1282519397535289E-3</v>
      </c>
      <c r="X23" s="820">
        <f t="shared" si="84"/>
        <v>-5.4151624548736121E-3</v>
      </c>
      <c r="Y23" s="819"/>
      <c r="AB23" s="819"/>
      <c r="AC23" s="819"/>
      <c r="AD23" s="820"/>
      <c r="AF23" s="819"/>
      <c r="AG23" s="819"/>
      <c r="AH23" s="824"/>
      <c r="AI23" s="819"/>
      <c r="AJ23" s="819"/>
      <c r="AK23" s="824"/>
      <c r="AL23" s="819"/>
      <c r="AO23" s="819"/>
      <c r="AP23" s="819"/>
      <c r="AQ23" s="855">
        <f>IFERROR(AQ22/AP22-1,"")</f>
        <v>3.979044530372966E-2</v>
      </c>
      <c r="AR23" s="855">
        <f t="shared" ref="AR23:AV23" si="85">IFERROR(AR22/AQ22-1,"")</f>
        <v>2.831094049904026E-2</v>
      </c>
      <c r="AS23" s="855">
        <f t="shared" si="85"/>
        <v>3.4531031264582346E-2</v>
      </c>
      <c r="AT23" s="855">
        <f t="shared" si="85"/>
        <v>4.9616599007669127E-3</v>
      </c>
      <c r="AU23" s="855">
        <f t="shared" si="85"/>
        <v>1.5980581540474326E-2</v>
      </c>
      <c r="AV23" s="855">
        <f t="shared" si="85"/>
        <v>2.2662180492115436E-2</v>
      </c>
      <c r="AW23" s="855">
        <f t="shared" ref="AW23" si="86">IFERROR(AW22/AV22-1,"")</f>
        <v>2.3701695552965418E-2</v>
      </c>
      <c r="AX23" s="855">
        <f t="shared" ref="AX23" si="87">IFERROR(AX22/AW22-1,"")</f>
        <v>2.4668789629118004E-2</v>
      </c>
      <c r="AY23" s="855">
        <f t="shared" ref="AY23" si="88">IFERROR(AY22/AX22-1,"")</f>
        <v>2.3050132718955396E-2</v>
      </c>
      <c r="BD23" s="855">
        <v>2.2647331240071233E-2</v>
      </c>
      <c r="BE23" s="855">
        <v>3.2268043007026792E-2</v>
      </c>
      <c r="BF23" s="855">
        <v>2.8395672463435329E-2</v>
      </c>
      <c r="BG23" s="855">
        <v>2.9352080176481055E-2</v>
      </c>
      <c r="BH23" s="855">
        <v>2.8367239201407379E-2</v>
      </c>
      <c r="BI23" s="855">
        <v>2.7524535439872544E-2</v>
      </c>
      <c r="BS23" s="855">
        <f t="shared" ref="BS23" si="89">IFERROR(BS22/BR22-1,"")</f>
        <v>4.9616599007669127E-3</v>
      </c>
      <c r="BT23" s="855">
        <f t="shared" ref="BT23" si="90">IFERROR(BT22/BS22-1,"")</f>
        <v>2.6842474695357943E-2</v>
      </c>
      <c r="BU23" s="855">
        <f t="shared" ref="BU23" si="91">IFERROR(BU22/BT22-1,"")</f>
        <v>2.4603739204502206E-2</v>
      </c>
      <c r="BV23" s="855">
        <f t="shared" ref="BV23" si="92">IFERROR(BV22/BU22-1,"")</f>
        <v>2.4253750280032849E-2</v>
      </c>
      <c r="BW23" s="855">
        <f t="shared" ref="BW23" si="93">IFERROR(BW22/BV22-1,"")</f>
        <v>1.0823026057204421E-2</v>
      </c>
      <c r="BX23" s="855">
        <f t="shared" ref="BX23" si="94">IFERROR(BX22/BW22-1,"")</f>
        <v>2.1352976303257387E-2</v>
      </c>
    </row>
    <row r="24" spans="2:83">
      <c r="B24" s="848" t="s">
        <v>271</v>
      </c>
      <c r="C24" s="819"/>
      <c r="D24" s="854">
        <f>IFERROR(D22/C22-1,"")</f>
        <v>-2.0618556701030966E-2</v>
      </c>
      <c r="E24" s="854">
        <f t="shared" ref="E24:X24" si="95">IFERROR(E22/D22-1,"")</f>
        <v>2.1052631578947434E-2</v>
      </c>
      <c r="F24" s="854">
        <f t="shared" si="95"/>
        <v>2.5773195876288568E-3</v>
      </c>
      <c r="G24" s="854">
        <f t="shared" si="95"/>
        <v>1.3367609254498758E-2</v>
      </c>
      <c r="H24" s="854">
        <f t="shared" si="95"/>
        <v>1.3191273465246178E-2</v>
      </c>
      <c r="I24" s="854">
        <f t="shared" si="95"/>
        <v>1.8027040560841368E-2</v>
      </c>
      <c r="J24" s="854">
        <f t="shared" si="95"/>
        <v>-8.3620265617314615E-3</v>
      </c>
      <c r="K24" s="854">
        <f t="shared" si="95"/>
        <v>6.9444444444444198E-3</v>
      </c>
      <c r="L24" s="854">
        <f t="shared" si="95"/>
        <v>2.6600985221674867E-2</v>
      </c>
      <c r="M24" s="854">
        <f t="shared" si="95"/>
        <v>1.1516314779270731E-2</v>
      </c>
      <c r="N24" s="854">
        <f t="shared" si="95"/>
        <v>2.8462998102467552E-3</v>
      </c>
      <c r="O24" s="854">
        <f t="shared" si="95"/>
        <v>-9.4607379375588607E-4</v>
      </c>
      <c r="P24" s="854">
        <f t="shared" si="95"/>
        <v>4.7348484848486194E-4</v>
      </c>
      <c r="Q24" s="854">
        <f t="shared" si="95"/>
        <v>1.5144344533838172E-2</v>
      </c>
      <c r="R24" s="854">
        <f t="shared" si="95"/>
        <v>2.657342657342654E-2</v>
      </c>
      <c r="S24" s="854">
        <f t="shared" si="95"/>
        <v>-4.9954586739328066E-3</v>
      </c>
      <c r="T24" s="854">
        <f t="shared" si="95"/>
        <v>1.1410314924692022E-2</v>
      </c>
      <c r="U24" s="854">
        <f t="shared" si="95"/>
        <v>-1.3537906137184308E-3</v>
      </c>
      <c r="V24" s="854">
        <f t="shared" si="95"/>
        <v>1.5815634884771779E-2</v>
      </c>
      <c r="W24" s="854">
        <f t="shared" si="95"/>
        <v>-3.4252669039145922E-2</v>
      </c>
      <c r="X24" s="854">
        <f t="shared" si="95"/>
        <v>1.5200368493781591E-2</v>
      </c>
      <c r="Y24" s="819"/>
      <c r="AB24" s="819"/>
      <c r="AC24" s="819"/>
      <c r="AD24" s="820"/>
      <c r="AF24" s="819"/>
      <c r="AG24" s="819"/>
      <c r="AH24" s="824"/>
      <c r="AI24" s="819"/>
      <c r="AJ24" s="819"/>
      <c r="AK24" s="824"/>
      <c r="AL24" s="819"/>
      <c r="AO24" s="819"/>
      <c r="AP24" s="819"/>
      <c r="AQ24" s="819"/>
      <c r="AR24" s="819"/>
      <c r="AS24" s="819"/>
      <c r="AT24" s="819"/>
      <c r="AU24" s="819"/>
      <c r="AV24" s="819"/>
      <c r="AW24" s="819"/>
      <c r="AX24" s="819"/>
      <c r="AY24" s="819"/>
      <c r="BD24" s="819"/>
      <c r="BE24" s="819"/>
      <c r="BF24" s="819"/>
      <c r="BG24" s="819"/>
      <c r="BH24" s="819"/>
      <c r="BI24" s="819"/>
    </row>
    <row r="25" spans="2:83">
      <c r="B25" s="848" t="s">
        <v>848</v>
      </c>
      <c r="C25" s="819"/>
      <c r="D25" s="854"/>
      <c r="E25" s="854"/>
      <c r="F25" s="854"/>
      <c r="G25" s="854"/>
      <c r="H25" s="854"/>
      <c r="I25" s="854"/>
      <c r="J25" s="854"/>
      <c r="K25" s="854"/>
      <c r="L25" s="854"/>
      <c r="M25" s="854"/>
      <c r="N25" s="854"/>
      <c r="O25" s="854"/>
      <c r="P25" s="854"/>
      <c r="Q25" s="854"/>
      <c r="R25" s="854"/>
      <c r="S25" s="854">
        <f>AVERAGE(O24,K24,G24,C24)</f>
        <v>6.4553266350624305E-3</v>
      </c>
      <c r="T25" s="854">
        <f t="shared" ref="T25:W25" si="96">AVERAGE(P24,L24,H24,D24)</f>
        <v>4.9117967085937353E-3</v>
      </c>
      <c r="U25" s="854">
        <f t="shared" si="96"/>
        <v>1.6435082863224426E-2</v>
      </c>
      <c r="V25" s="854">
        <f t="shared" si="96"/>
        <v>5.9087548523926725E-3</v>
      </c>
      <c r="W25" s="854">
        <f t="shared" si="96"/>
        <v>3.5926303078136212E-3</v>
      </c>
      <c r="X25" s="854">
        <f>AVERAGE(T24,P24,L24,H24)</f>
        <v>1.2919014615024482E-2</v>
      </c>
      <c r="Y25" s="819"/>
      <c r="AB25" s="819"/>
      <c r="AC25" s="819"/>
      <c r="AD25" s="820"/>
      <c r="AF25" s="819"/>
      <c r="AG25" s="819"/>
      <c r="AH25" s="824"/>
      <c r="AI25" s="819"/>
      <c r="AJ25" s="819"/>
      <c r="AK25" s="824"/>
      <c r="AL25" s="819"/>
      <c r="AO25" s="819"/>
      <c r="AP25" s="819"/>
      <c r="AQ25" s="819"/>
      <c r="AR25" s="819"/>
      <c r="AS25" s="819"/>
      <c r="AT25" s="819"/>
      <c r="AU25" s="819"/>
      <c r="AV25" s="819"/>
      <c r="AW25" s="819"/>
      <c r="AX25" s="819"/>
      <c r="AY25" s="819"/>
      <c r="BD25" s="819"/>
      <c r="BE25" s="819"/>
      <c r="BF25" s="819"/>
      <c r="BG25" s="819"/>
      <c r="BH25" s="819"/>
      <c r="BI25" s="819"/>
    </row>
    <row r="26" spans="2:83">
      <c r="B26" s="848"/>
      <c r="C26" s="819"/>
      <c r="D26" s="819"/>
      <c r="E26" s="819"/>
      <c r="F26" s="819"/>
      <c r="G26" s="819"/>
      <c r="H26" s="819"/>
      <c r="I26" s="819"/>
      <c r="J26" s="819"/>
      <c r="K26" s="819"/>
      <c r="L26" s="819"/>
      <c r="M26" s="819"/>
      <c r="N26" s="819"/>
      <c r="O26" s="819"/>
      <c r="P26" s="819"/>
      <c r="Q26" s="819"/>
      <c r="R26" s="819"/>
      <c r="S26" s="819"/>
      <c r="T26" s="819"/>
      <c r="U26" s="819"/>
      <c r="V26" s="819"/>
      <c r="W26" s="819"/>
      <c r="X26" s="819"/>
      <c r="Y26" s="819"/>
      <c r="AB26" s="819"/>
      <c r="AC26" s="819"/>
      <c r="AD26" s="820"/>
      <c r="AF26" s="819"/>
      <c r="AG26" s="819"/>
      <c r="AH26" s="824"/>
      <c r="AI26" s="819"/>
      <c r="AJ26" s="819"/>
      <c r="AK26" s="824"/>
      <c r="AL26" s="819"/>
      <c r="AO26" s="819"/>
      <c r="AP26" s="819"/>
      <c r="AQ26" s="819"/>
      <c r="AR26" s="819"/>
      <c r="AS26" s="819"/>
      <c r="AT26" s="819"/>
      <c r="AU26" s="819"/>
      <c r="AV26" s="819"/>
      <c r="AW26" s="819"/>
      <c r="AX26" s="819"/>
      <c r="AY26" s="819"/>
      <c r="BD26" s="819"/>
      <c r="BE26" s="819"/>
      <c r="BF26" s="819"/>
      <c r="BG26" s="819"/>
      <c r="BH26" s="819"/>
      <c r="BI26" s="819"/>
    </row>
    <row r="27" spans="2:83">
      <c r="B27" s="861" t="s">
        <v>682</v>
      </c>
      <c r="C27" s="862"/>
      <c r="D27" s="862"/>
      <c r="E27" s="862"/>
      <c r="F27" s="862"/>
      <c r="G27" s="862"/>
      <c r="H27" s="862"/>
      <c r="I27" s="862"/>
      <c r="J27" s="862"/>
      <c r="K27" s="862"/>
      <c r="L27" s="862"/>
      <c r="M27" s="862"/>
      <c r="N27" s="862"/>
      <c r="O27" s="862"/>
      <c r="P27" s="862"/>
      <c r="Q27" s="862"/>
      <c r="R27" s="862"/>
      <c r="S27" s="862"/>
      <c r="T27" s="862"/>
      <c r="U27" s="862"/>
      <c r="V27" s="862"/>
      <c r="W27" s="862"/>
      <c r="X27" s="862"/>
      <c r="Y27" s="862"/>
      <c r="Z27" s="863"/>
      <c r="AA27" s="863"/>
      <c r="AB27" s="862"/>
      <c r="AC27" s="862"/>
      <c r="AD27" s="864"/>
      <c r="AE27" s="863"/>
      <c r="AF27" s="862"/>
      <c r="AG27" s="862"/>
      <c r="AH27" s="865"/>
      <c r="AI27" s="862"/>
      <c r="AJ27" s="862"/>
      <c r="AK27" s="865"/>
      <c r="AL27" s="862"/>
      <c r="AM27" s="866"/>
      <c r="AN27" s="863"/>
      <c r="AO27" s="862"/>
      <c r="AP27" s="862"/>
      <c r="AQ27" s="862"/>
      <c r="AR27" s="862"/>
      <c r="AS27" s="862"/>
      <c r="AT27" s="862"/>
      <c r="AU27" s="862"/>
      <c r="AV27" s="862"/>
      <c r="AW27" s="862"/>
      <c r="AX27" s="862"/>
      <c r="AY27" s="862"/>
      <c r="AZ27" s="863"/>
      <c r="BA27" s="992"/>
      <c r="BB27" s="992"/>
      <c r="BC27" s="863"/>
      <c r="BD27" s="862"/>
      <c r="BE27" s="862"/>
      <c r="BF27" s="862"/>
      <c r="BG27" s="862"/>
      <c r="BH27" s="862"/>
      <c r="BI27" s="862"/>
      <c r="BJ27" s="863"/>
      <c r="BK27" s="863"/>
      <c r="BL27" s="863"/>
      <c r="BM27" s="863"/>
      <c r="BN27" s="863"/>
      <c r="BO27" s="863"/>
      <c r="BP27" s="863"/>
    </row>
    <row r="28" spans="2:83">
      <c r="B28" s="867" t="s">
        <v>255</v>
      </c>
      <c r="C28" s="862"/>
      <c r="D28" s="862"/>
      <c r="E28" s="862"/>
      <c r="F28" s="862"/>
      <c r="G28" s="862"/>
      <c r="H28" s="862"/>
      <c r="I28" s="862"/>
      <c r="J28" s="862"/>
      <c r="K28" s="862"/>
      <c r="L28" s="862"/>
      <c r="M28" s="862"/>
      <c r="N28" s="862"/>
      <c r="O28" s="862"/>
      <c r="P28" s="862"/>
      <c r="Q28" s="862"/>
      <c r="R28" s="862"/>
      <c r="S28" s="862"/>
      <c r="T28" s="862"/>
      <c r="U28" s="862"/>
      <c r="V28" s="862"/>
      <c r="W28" s="862"/>
      <c r="X28" s="862"/>
      <c r="Y28" s="862"/>
      <c r="Z28" s="863"/>
      <c r="AA28" s="863"/>
      <c r="AB28" s="862"/>
      <c r="AC28" s="862"/>
      <c r="AD28" s="864"/>
      <c r="AE28" s="863"/>
      <c r="AF28" s="862"/>
      <c r="AG28" s="862"/>
      <c r="AH28" s="865"/>
      <c r="AI28" s="862"/>
      <c r="AJ28" s="862"/>
      <c r="AK28" s="865"/>
      <c r="AL28" s="862"/>
      <c r="AM28" s="866"/>
      <c r="AN28" s="863"/>
      <c r="AO28" s="862"/>
      <c r="AP28" s="862"/>
      <c r="AQ28" s="862"/>
      <c r="AR28" s="862"/>
      <c r="AS28" s="862"/>
      <c r="AT28" s="862" t="str">
        <f>'Income Statement'!CN16</f>
        <v xml:space="preserve">LSD </v>
      </c>
      <c r="AU28" s="862"/>
      <c r="AV28" s="862"/>
      <c r="AW28" s="862"/>
      <c r="AX28" s="862"/>
      <c r="AY28" s="862"/>
      <c r="AZ28" s="863"/>
      <c r="BA28" s="992"/>
      <c r="BB28" s="992"/>
      <c r="BC28" s="863"/>
      <c r="BD28" s="862" t="s">
        <v>795</v>
      </c>
      <c r="BE28" s="862"/>
      <c r="BF28" s="862"/>
      <c r="BG28" s="862"/>
      <c r="BH28" s="862"/>
      <c r="BI28" s="862"/>
      <c r="BJ28" s="863"/>
      <c r="BK28" s="863"/>
      <c r="BL28" s="863"/>
      <c r="BM28" s="863"/>
      <c r="BN28" s="863"/>
      <c r="BO28" s="863"/>
      <c r="BP28" s="863"/>
    </row>
    <row r="29" spans="2:83">
      <c r="B29" s="848"/>
      <c r="C29" s="819"/>
      <c r="D29" s="819"/>
      <c r="E29" s="819"/>
      <c r="F29" s="819"/>
      <c r="G29" s="819"/>
      <c r="H29" s="819"/>
      <c r="I29" s="819"/>
      <c r="J29" s="819"/>
      <c r="K29" s="819"/>
      <c r="L29" s="819"/>
      <c r="M29" s="819"/>
      <c r="N29" s="819"/>
      <c r="O29" s="819"/>
      <c r="P29" s="819"/>
      <c r="Q29" s="819"/>
      <c r="R29" s="819"/>
      <c r="S29" s="819"/>
      <c r="T29" s="819"/>
      <c r="U29" s="819"/>
      <c r="V29" s="819"/>
      <c r="W29" s="819"/>
      <c r="X29" s="819"/>
      <c r="Y29" s="819"/>
      <c r="AB29" s="819"/>
      <c r="AC29" s="819"/>
      <c r="AD29" s="820"/>
      <c r="AF29" s="819"/>
      <c r="AG29" s="819"/>
      <c r="AH29" s="824"/>
      <c r="AI29" s="819"/>
      <c r="AJ29" s="819"/>
      <c r="AK29" s="824"/>
      <c r="AL29" s="819"/>
      <c r="AO29" s="819"/>
      <c r="AP29" s="819"/>
      <c r="AQ29" s="819"/>
      <c r="AR29" s="819"/>
      <c r="AS29" s="819"/>
      <c r="AT29" s="819"/>
      <c r="AU29" s="819"/>
      <c r="AV29" s="819"/>
      <c r="AW29" s="819"/>
      <c r="AX29" s="819"/>
      <c r="AY29" s="819"/>
      <c r="BD29" s="819"/>
      <c r="BE29" s="819"/>
      <c r="BF29" s="819"/>
      <c r="BG29" s="819"/>
      <c r="BH29" s="819"/>
      <c r="BI29" s="819"/>
    </row>
    <row r="30" spans="2:83">
      <c r="B30" s="848" t="s">
        <v>640</v>
      </c>
      <c r="C30" s="819"/>
      <c r="D30" s="819"/>
      <c r="E30" s="819"/>
      <c r="F30" s="819"/>
      <c r="G30" s="819"/>
      <c r="H30" s="819"/>
      <c r="I30" s="819"/>
      <c r="J30" s="819"/>
      <c r="K30" s="819"/>
      <c r="L30" s="819"/>
      <c r="M30" s="819"/>
      <c r="N30" s="819"/>
      <c r="O30" s="819"/>
      <c r="P30" s="819"/>
      <c r="Q30" s="819"/>
      <c r="R30" s="819"/>
      <c r="S30" s="819"/>
      <c r="T30" s="819"/>
      <c r="U30" s="819"/>
      <c r="V30" s="819"/>
      <c r="W30" s="819"/>
      <c r="X30" s="819"/>
      <c r="Y30" s="819"/>
      <c r="AB30" s="819"/>
      <c r="AC30" s="819"/>
      <c r="AD30" s="820"/>
      <c r="AF30" s="819"/>
      <c r="AG30" s="819"/>
      <c r="AH30" s="824"/>
      <c r="AI30" s="819"/>
      <c r="AJ30" s="819"/>
      <c r="AK30" s="824"/>
      <c r="AL30" s="819"/>
      <c r="AO30" s="819"/>
      <c r="AP30" s="849">
        <f>'Income Statement'!BT431</f>
        <v>1223</v>
      </c>
      <c r="AQ30" s="849">
        <f>'Income Statement'!BY431</f>
        <v>1453</v>
      </c>
      <c r="AR30" s="849">
        <f>'Income Statement'!CD431</f>
        <v>1608</v>
      </c>
      <c r="AS30" s="849">
        <f>'Income Statement'!CI431</f>
        <v>1668</v>
      </c>
      <c r="AT30" s="849">
        <f>'Income Statement'!CN431</f>
        <v>1723</v>
      </c>
      <c r="AU30" s="849">
        <f>'Income Statement'!CQ431</f>
        <v>1891.1696371070805</v>
      </c>
      <c r="AV30" s="849">
        <f>'Income Statement'!CR431</f>
        <v>1957.4385394257304</v>
      </c>
      <c r="AW30" s="849">
        <f>'Income Statement'!CS431</f>
        <v>2012.5538642355245</v>
      </c>
      <c r="AX30" s="849">
        <f>'Income Statement'!CT431</f>
        <v>2068.5893918696747</v>
      </c>
      <c r="AY30" s="849">
        <f>'Income Statement'!CU431</f>
        <v>2125.604075098508</v>
      </c>
      <c r="BA30" s="993">
        <f>(AV30/AS30)^(1/3)-1</f>
        <v>5.4785204944075572E-2</v>
      </c>
      <c r="BB30" s="993">
        <f>(AY30/AS30)^(1/6)-1</f>
        <v>4.1232514380674878E-2</v>
      </c>
      <c r="BD30" s="849">
        <v>1693.0723337148106</v>
      </c>
      <c r="BE30" s="849">
        <v>1713.4753781005741</v>
      </c>
      <c r="BF30" s="849">
        <v>1727.4514059106887</v>
      </c>
      <c r="BG30" s="849">
        <v>1740.980787697031</v>
      </c>
      <c r="BH30" s="849">
        <v>1754.1106184780338</v>
      </c>
      <c r="BI30" s="849">
        <v>1766.8835178994784</v>
      </c>
      <c r="BK30" s="854"/>
      <c r="BL30" s="854"/>
      <c r="BM30" s="854"/>
      <c r="BN30" s="854"/>
      <c r="BO30" s="854"/>
      <c r="BP30" s="854"/>
    </row>
    <row r="31" spans="2:83" s="806" customFormat="1">
      <c r="B31" s="825" t="s">
        <v>391</v>
      </c>
      <c r="C31" s="826">
        <f>'Income Statement'!BK432</f>
        <v>2341</v>
      </c>
      <c r="D31" s="826">
        <f>'Income Statement'!BL432</f>
        <v>2151</v>
      </c>
      <c r="E31" s="826">
        <f>'Income Statement'!BM432</f>
        <v>2213</v>
      </c>
      <c r="F31" s="826">
        <f>'Income Statement'!BN432</f>
        <v>2261</v>
      </c>
      <c r="G31" s="826">
        <f>'Income Statement'!BP432</f>
        <v>2240</v>
      </c>
      <c r="H31" s="826">
        <f>'Income Statement'!BQ432</f>
        <v>2274</v>
      </c>
      <c r="I31" s="826">
        <f>'Income Statement'!BR432</f>
        <v>2271</v>
      </c>
      <c r="J31" s="826">
        <f>'Income Statement'!BS432</f>
        <v>2456</v>
      </c>
      <c r="K31" s="826">
        <f>'Income Statement'!BU432</f>
        <v>2406</v>
      </c>
      <c r="L31" s="826">
        <f>'Income Statement'!BV432</f>
        <v>2424</v>
      </c>
      <c r="M31" s="826">
        <f>'Income Statement'!BW432</f>
        <v>2405</v>
      </c>
      <c r="N31" s="826">
        <f>'Income Statement'!BX432</f>
        <v>2554</v>
      </c>
      <c r="O31" s="826">
        <f>'Income Statement'!BZ432</f>
        <v>2526</v>
      </c>
      <c r="P31" s="826">
        <f>'Income Statement'!CA432</f>
        <v>2470</v>
      </c>
      <c r="Q31" s="826">
        <f>'Income Statement'!CB432</f>
        <v>2442</v>
      </c>
      <c r="R31" s="826">
        <f>'Income Statement'!CC432</f>
        <v>2742</v>
      </c>
      <c r="S31" s="826">
        <f>'Income Statement'!CE432</f>
        <v>2603</v>
      </c>
      <c r="T31" s="826">
        <f>'Income Statement'!CF432</f>
        <v>2586</v>
      </c>
      <c r="U31" s="826">
        <f>'Income Statement'!CG432</f>
        <v>2576</v>
      </c>
      <c r="V31" s="826">
        <f>'Income Statement'!CH432</f>
        <v>2771</v>
      </c>
      <c r="W31" s="826">
        <f>'Income Statement'!CJ432</f>
        <v>2608</v>
      </c>
      <c r="X31" s="826">
        <f>'Income Statement'!CK432</f>
        <v>2562</v>
      </c>
      <c r="Y31" s="827"/>
      <c r="AB31" s="828">
        <f>SUMIFS($C31:Z31,$C$6:Z$6,"&lt;="&amp;AB$6,$C$6:Z$6,"&gt;"&amp;DATE(YEAR($AB$6)-1,12,31))</f>
        <v>5189</v>
      </c>
      <c r="AC31" s="828">
        <f>SUMIFS($C31:Z31,$C$6:Z$6,"&lt;="&amp;AC$6,$C$6:Z$6,"&gt;"&amp;DATE(YEAR($AC$6)-1,12,31))</f>
        <v>5170</v>
      </c>
      <c r="AD31" s="829">
        <f>AC31/AB31-1</f>
        <v>-3.6615918288687155E-3</v>
      </c>
      <c r="AF31" s="828">
        <f t="shared" ref="AF31" si="97">AI31-AB31</f>
        <v>5347</v>
      </c>
      <c r="AG31" s="828">
        <f t="shared" si="16"/>
        <v>5465</v>
      </c>
      <c r="AH31" s="830">
        <f t="shared" si="70"/>
        <v>2.2068449597905326E-2</v>
      </c>
      <c r="AI31" s="828">
        <f>SUMIFS($AO31:$AZ31,$AO$5:$AZ$5,AI$6)</f>
        <v>10536</v>
      </c>
      <c r="AJ31" s="828">
        <f>SUMIFS($AO31:$AZ31,$AO$5:$AZ$5,AJ$6)</f>
        <v>10635</v>
      </c>
      <c r="AK31" s="830">
        <f t="shared" si="71"/>
        <v>9.3963553530751476E-3</v>
      </c>
      <c r="AL31" s="827"/>
      <c r="AM31" s="832"/>
      <c r="AO31" s="833"/>
      <c r="AP31" s="826">
        <f>'Income Statement'!BT432</f>
        <v>9241</v>
      </c>
      <c r="AQ31" s="826">
        <f>'Income Statement'!BY432</f>
        <v>9789</v>
      </c>
      <c r="AR31" s="826">
        <f>'Income Statement'!CD432</f>
        <v>10180</v>
      </c>
      <c r="AS31" s="826">
        <f>'Income Statement'!CI432</f>
        <v>10536</v>
      </c>
      <c r="AT31" s="826">
        <f>'Income Statement'!CN432</f>
        <v>10635</v>
      </c>
      <c r="AU31" s="826">
        <f>'Income Statement'!CQ432</f>
        <v>10945.588579795789</v>
      </c>
      <c r="AV31" s="826">
        <f>'Income Statement'!CR432</f>
        <v>11217.050358444878</v>
      </c>
      <c r="AW31" s="826">
        <f>'Income Statement'!CS432</f>
        <v>11491.634183527703</v>
      </c>
      <c r="AX31" s="826">
        <f>'Income Statement'!CT432</f>
        <v>11781.507149435985</v>
      </c>
      <c r="AY31" s="826">
        <f>'Income Statement'!CU432</f>
        <v>12062.40587606502</v>
      </c>
      <c r="AZ31" s="834"/>
      <c r="BA31" s="994">
        <f>(AV31/AS31)^(1/3)-1</f>
        <v>2.1098494542087343E-2</v>
      </c>
      <c r="BB31" s="994">
        <f>(AY31/AS31)^(1/6)-1</f>
        <v>2.2805440042842351E-2</v>
      </c>
      <c r="BC31" s="834"/>
      <c r="BD31" s="826">
        <v>10761.908867151762</v>
      </c>
      <c r="BE31" s="826">
        <v>11074.945518822165</v>
      </c>
      <c r="BF31" s="826">
        <v>11354.74678652444</v>
      </c>
      <c r="BG31" s="826">
        <v>11650.857314205223</v>
      </c>
      <c r="BH31" s="826">
        <v>11945.102982870096</v>
      </c>
      <c r="BI31" s="826">
        <v>12238.378212792719</v>
      </c>
      <c r="BJ31" s="834"/>
      <c r="BK31" s="860">
        <f t="shared" ref="BK31:BP31" si="98">IFERROR(AT31/BD31-1,"")</f>
        <v>-1.1792412360889015E-2</v>
      </c>
      <c r="BL31" s="860">
        <f t="shared" si="98"/>
        <v>-1.1680142245984904E-2</v>
      </c>
      <c r="BM31" s="860">
        <f t="shared" si="98"/>
        <v>-1.2126772236169758E-2</v>
      </c>
      <c r="BN31" s="860">
        <f t="shared" si="98"/>
        <v>-1.366621583146399E-2</v>
      </c>
      <c r="BO31" s="860">
        <f t="shared" si="98"/>
        <v>-1.369564026938197E-2</v>
      </c>
      <c r="BP31" s="860">
        <f t="shared" si="98"/>
        <v>-1.4378730062759026E-2</v>
      </c>
      <c r="BQ31" s="834"/>
      <c r="BR31" s="833">
        <f>AS31</f>
        <v>10536</v>
      </c>
      <c r="BS31" s="826">
        <f>'Income Statement'!CN33</f>
        <v>10635</v>
      </c>
      <c r="BT31" s="826">
        <f>'Income Statement'!CQ33</f>
        <v>10911.649129963815</v>
      </c>
      <c r="BU31" s="826">
        <f>'Income Statement'!CR33</f>
        <v>11162.806386844657</v>
      </c>
      <c r="BV31" s="826">
        <f>'Income Statement'!CS33</f>
        <v>11418.100707559386</v>
      </c>
      <c r="BW31" s="826">
        <f>'Income Statement'!CT33</f>
        <v>11633.102788116341</v>
      </c>
      <c r="BX31" s="826">
        <f>'Income Statement'!CU33</f>
        <v>11887.751679668119</v>
      </c>
      <c r="BY31" s="834"/>
      <c r="BZ31" s="870">
        <f t="shared" ref="BZ31:CE31" si="99">IFERROR(AT31/BS31-1,"")</f>
        <v>0</v>
      </c>
      <c r="CA31" s="870">
        <f t="shared" si="99"/>
        <v>3.1103868377488908E-3</v>
      </c>
      <c r="CB31" s="870">
        <f t="shared" si="99"/>
        <v>4.8593489594290773E-3</v>
      </c>
      <c r="CC31" s="870">
        <f t="shared" si="99"/>
        <v>6.4400794713286302E-3</v>
      </c>
      <c r="CD31" s="870">
        <f t="shared" si="99"/>
        <v>1.2757074705060267E-2</v>
      </c>
      <c r="CE31" s="870">
        <f t="shared" si="99"/>
        <v>1.4691945214132973E-2</v>
      </c>
    </row>
    <row r="32" spans="2:83">
      <c r="B32" s="804" t="s">
        <v>0</v>
      </c>
      <c r="C32" s="820"/>
      <c r="D32" s="820"/>
      <c r="E32" s="820"/>
      <c r="F32" s="820"/>
      <c r="G32" s="820">
        <f t="shared" ref="G32:X32" si="100">G31/C31-1</f>
        <v>-4.314395557454076E-2</v>
      </c>
      <c r="H32" s="820">
        <f t="shared" si="100"/>
        <v>5.7182705718270554E-2</v>
      </c>
      <c r="I32" s="820">
        <f t="shared" si="100"/>
        <v>2.6208766380479087E-2</v>
      </c>
      <c r="J32" s="820">
        <f t="shared" si="100"/>
        <v>8.6245024325519726E-2</v>
      </c>
      <c r="K32" s="820">
        <f t="shared" si="100"/>
        <v>7.4107142857142927E-2</v>
      </c>
      <c r="L32" s="820">
        <f t="shared" si="100"/>
        <v>6.5963060686015762E-2</v>
      </c>
      <c r="M32" s="820">
        <f t="shared" si="100"/>
        <v>5.9004843681197627E-2</v>
      </c>
      <c r="N32" s="820">
        <f t="shared" si="100"/>
        <v>3.9902280130293066E-2</v>
      </c>
      <c r="O32" s="820">
        <f t="shared" si="100"/>
        <v>4.9875311720698257E-2</v>
      </c>
      <c r="P32" s="820">
        <f t="shared" si="100"/>
        <v>1.8976897689769068E-2</v>
      </c>
      <c r="Q32" s="820">
        <f t="shared" si="100"/>
        <v>1.538461538461533E-2</v>
      </c>
      <c r="R32" s="820">
        <f t="shared" si="100"/>
        <v>7.3610023492560739E-2</v>
      </c>
      <c r="S32" s="820">
        <f t="shared" si="100"/>
        <v>3.0482977038796433E-2</v>
      </c>
      <c r="T32" s="820">
        <f t="shared" si="100"/>
        <v>4.6963562753036481E-2</v>
      </c>
      <c r="U32" s="820">
        <f t="shared" si="100"/>
        <v>5.4873054873054938E-2</v>
      </c>
      <c r="V32" s="820">
        <f t="shared" si="100"/>
        <v>1.0576221735959068E-2</v>
      </c>
      <c r="W32" s="820">
        <f t="shared" si="100"/>
        <v>1.9208605455243166E-3</v>
      </c>
      <c r="X32" s="820">
        <f t="shared" si="100"/>
        <v>-9.2807424593968069E-3</v>
      </c>
      <c r="Y32" s="820"/>
      <c r="AB32" s="820"/>
      <c r="AC32" s="820"/>
      <c r="AF32" s="820"/>
      <c r="AG32" s="820"/>
      <c r="AH32" s="820"/>
      <c r="AI32" s="820"/>
      <c r="AJ32" s="820"/>
      <c r="AK32" s="820"/>
      <c r="AL32" s="821"/>
      <c r="AP32" s="820" t="str">
        <f>IFERROR(AP31/AO31-1,"")</f>
        <v/>
      </c>
      <c r="AQ32" s="820">
        <f t="shared" ref="AQ32:AV32" si="101">IFERROR(AQ31/AP31-1,"")</f>
        <v>5.9300941456552403E-2</v>
      </c>
      <c r="AR32" s="820">
        <f t="shared" si="101"/>
        <v>3.9942792930840687E-2</v>
      </c>
      <c r="AS32" s="820">
        <f t="shared" si="101"/>
        <v>3.4970530451866377E-2</v>
      </c>
      <c r="AT32" s="820">
        <f t="shared" si="101"/>
        <v>9.3963553530751476E-3</v>
      </c>
      <c r="AU32" s="820">
        <f t="shared" si="101"/>
        <v>2.9204379858560392E-2</v>
      </c>
      <c r="AV32" s="820">
        <f t="shared" si="101"/>
        <v>2.4801021586922545E-2</v>
      </c>
      <c r="AW32" s="820">
        <f t="shared" ref="AW32" si="102">IFERROR(AW31/AV31-1,"")</f>
        <v>2.4479147040300298E-2</v>
      </c>
      <c r="AX32" s="820">
        <f t="shared" ref="AX32" si="103">IFERROR(AX31/AW31-1,"")</f>
        <v>2.5224694876190057E-2</v>
      </c>
      <c r="AY32" s="820">
        <f t="shared" ref="AY32" si="104">IFERROR(AY31/AX31-1,"")</f>
        <v>2.3842342330750332E-2</v>
      </c>
      <c r="BD32" s="820">
        <v>2.1441616092612081E-2</v>
      </c>
      <c r="BE32" s="820">
        <v>2.9087465386914424E-2</v>
      </c>
      <c r="BF32" s="820">
        <v>2.5264347100104834E-2</v>
      </c>
      <c r="BG32" s="820">
        <v>2.6078126905674459E-2</v>
      </c>
      <c r="BH32" s="820">
        <v>2.5255280425253934E-2</v>
      </c>
      <c r="BI32" s="820">
        <v>2.4551921431166912E-2</v>
      </c>
      <c r="BS32" s="820">
        <f t="shared" ref="BS32:BU32" si="105">IFERROR(BS31/BR31-1,"")</f>
        <v>9.3963553530751476E-3</v>
      </c>
      <c r="BT32" s="820">
        <f t="shared" si="105"/>
        <v>2.6013082272102972E-2</v>
      </c>
      <c r="BU32" s="820">
        <f t="shared" si="105"/>
        <v>2.301735089622281E-2</v>
      </c>
      <c r="BV32" s="820">
        <f t="shared" ref="BV32" si="106">IFERROR(BV31/BU31-1,"")</f>
        <v>2.2870084087061926E-2</v>
      </c>
      <c r="BW32" s="820">
        <f t="shared" ref="BW32" si="107">IFERROR(BW31/BV31-1,"")</f>
        <v>1.882993380979836E-2</v>
      </c>
      <c r="BX32" s="820">
        <f t="shared" ref="BX32" si="108">IFERROR(BX31/BW31-1,"")</f>
        <v>2.1890023340283005E-2</v>
      </c>
    </row>
    <row r="34" spans="2:61">
      <c r="B34" s="806" t="s">
        <v>837</v>
      </c>
    </row>
    <row r="35" spans="2:61">
      <c r="B35" s="851" t="s">
        <v>547</v>
      </c>
      <c r="C35" s="850">
        <f>'Income Statement'!BK326</f>
        <v>110</v>
      </c>
      <c r="D35" s="850">
        <f>'Income Statement'!BL326</f>
        <v>128</v>
      </c>
      <c r="E35" s="850">
        <f>'Income Statement'!BM326</f>
        <v>107</v>
      </c>
      <c r="F35" s="850">
        <f>'Income Statement'!BN326</f>
        <v>128</v>
      </c>
      <c r="G35" s="850">
        <f>'Income Statement'!BP326</f>
        <v>118</v>
      </c>
      <c r="H35" s="850">
        <f>'Income Statement'!BQ326</f>
        <v>117</v>
      </c>
      <c r="I35" s="850">
        <f>'Income Statement'!BR326</f>
        <v>125</v>
      </c>
      <c r="J35" s="850">
        <f>'Income Statement'!BS326</f>
        <v>119</v>
      </c>
      <c r="K35" s="850">
        <f>'Income Statement'!BU326</f>
        <v>132</v>
      </c>
      <c r="L35" s="850">
        <f>'Income Statement'!BV326</f>
        <v>134</v>
      </c>
      <c r="M35" s="850">
        <f>'Income Statement'!BW326</f>
        <v>129</v>
      </c>
      <c r="N35" s="850">
        <f>'Income Statement'!BX326</f>
        <v>123</v>
      </c>
      <c r="O35" s="850">
        <f>'Income Statement'!BZ326</f>
        <v>138</v>
      </c>
      <c r="P35" s="850">
        <f>'Income Statement'!CA326</f>
        <v>144</v>
      </c>
      <c r="Q35" s="850">
        <f>'Income Statement'!CB326</f>
        <v>139</v>
      </c>
      <c r="R35" s="850">
        <f>'Income Statement'!CC326</f>
        <v>136</v>
      </c>
      <c r="S35" s="850">
        <f>'Income Statement'!CE326</f>
        <v>138</v>
      </c>
      <c r="T35" s="850">
        <f>'Income Statement'!CF326</f>
        <v>139</v>
      </c>
      <c r="U35" s="850">
        <f>'Income Statement'!CG326</f>
        <v>149</v>
      </c>
      <c r="V35" s="850">
        <f>'Income Statement'!CH326</f>
        <v>164</v>
      </c>
      <c r="W35" s="850">
        <f>'Income Statement'!CJ326</f>
        <v>146</v>
      </c>
      <c r="X35" s="850">
        <f>'Income Statement'!CK326</f>
        <v>150</v>
      </c>
      <c r="AB35" s="819">
        <f>SUMIFS($C35:Z35,$C$6:Z$6,"&lt;="&amp;AB$6,$C$6:Z$6,"&gt;"&amp;DATE(YEAR($AB$6)-1,12,31))</f>
        <v>277</v>
      </c>
      <c r="AC35" s="819">
        <f>SUMIFS($C35:Z35,$C$6:Z$6,"&lt;="&amp;AC$6,$C$6:Z$6,"&gt;"&amp;DATE(YEAR($AC$6)-1,12,31))</f>
        <v>296</v>
      </c>
      <c r="AD35" s="821">
        <f>AC35/AB35-1</f>
        <v>6.8592057761732939E-2</v>
      </c>
      <c r="AF35" s="819">
        <f t="shared" ref="AF35" si="109">AI35-AB35</f>
        <v>313</v>
      </c>
      <c r="AG35" s="819">
        <f t="shared" ref="AG35" si="110">AJ35-AC35</f>
        <v>304</v>
      </c>
      <c r="AH35" s="824">
        <f t="shared" ref="AH35" si="111">AG35/AF35-1</f>
        <v>-2.8753993610223683E-2</v>
      </c>
      <c r="AI35" s="819">
        <f t="shared" ref="AI35:AJ42" si="112">SUMIFS($AO35:$AZ35,$AO$5:$AZ$5,AI$6)</f>
        <v>590</v>
      </c>
      <c r="AJ35" s="819">
        <f t="shared" si="112"/>
        <v>600</v>
      </c>
      <c r="AK35" s="824">
        <f t="shared" ref="AK35" si="113">AJ35/AI35-1</f>
        <v>1.6949152542372836E-2</v>
      </c>
      <c r="AP35" s="850">
        <f>'Income Statement'!BT326</f>
        <v>479</v>
      </c>
      <c r="AQ35" s="850">
        <f>'Income Statement'!BY326</f>
        <v>518</v>
      </c>
      <c r="AR35" s="850">
        <f>'Income Statement'!CD326</f>
        <v>557</v>
      </c>
      <c r="AS35" s="850">
        <f>'Income Statement'!CI326</f>
        <v>590</v>
      </c>
      <c r="AT35" s="850">
        <f>'Income Statement'!CN326</f>
        <v>600</v>
      </c>
      <c r="AU35" s="850">
        <f>'Income Statement'!CQ326</f>
        <v>573.41868541220379</v>
      </c>
      <c r="AV35" s="850">
        <f>'Income Statement'!CR326</f>
        <v>579.81586264572297</v>
      </c>
      <c r="AW35" s="850">
        <f>'Income Statement'!CS326</f>
        <v>589.44371319584695</v>
      </c>
      <c r="AX35" s="850">
        <f>'Income Statement'!CT326</f>
        <v>598.85166769447073</v>
      </c>
      <c r="AY35" s="850">
        <f>'Income Statement'!CU326</f>
        <v>608.06852086275887</v>
      </c>
    </row>
    <row r="36" spans="2:61">
      <c r="B36" s="851" t="s">
        <v>67</v>
      </c>
      <c r="C36" s="850">
        <f>'Income Statement'!BK329</f>
        <v>0</v>
      </c>
      <c r="D36" s="850">
        <f>'Income Statement'!BL329</f>
        <v>0</v>
      </c>
      <c r="E36" s="850">
        <f>'Income Statement'!BM329</f>
        <v>0</v>
      </c>
      <c r="F36" s="850">
        <f>'Income Statement'!BN329</f>
        <v>0</v>
      </c>
      <c r="G36" s="850">
        <f>'Income Statement'!BP329</f>
        <v>0</v>
      </c>
      <c r="H36" s="850">
        <f>'Income Statement'!BQ329</f>
        <v>0</v>
      </c>
      <c r="I36" s="850">
        <f>'Income Statement'!BR329</f>
        <v>0</v>
      </c>
      <c r="J36" s="850">
        <f>'Income Statement'!BS329</f>
        <v>0</v>
      </c>
      <c r="K36" s="850">
        <f>'Income Statement'!BU329</f>
        <v>972</v>
      </c>
      <c r="L36" s="850">
        <f>'Income Statement'!BV329</f>
        <v>919</v>
      </c>
      <c r="M36" s="850">
        <f>'Income Statement'!BW329</f>
        <v>893</v>
      </c>
      <c r="N36" s="850">
        <f>'Income Statement'!BX329</f>
        <v>1047</v>
      </c>
      <c r="O36" s="850">
        <f>'Income Statement'!BZ329</f>
        <v>1023</v>
      </c>
      <c r="P36" s="850">
        <f>'Income Statement'!CA329</f>
        <v>938</v>
      </c>
      <c r="Q36" s="850">
        <f>'Income Statement'!CB329</f>
        <v>895</v>
      </c>
      <c r="R36" s="850">
        <f>'Income Statement'!CC329</f>
        <v>1175</v>
      </c>
      <c r="S36" s="850">
        <f>'Income Statement'!CE329</f>
        <v>1037</v>
      </c>
      <c r="T36" s="850">
        <f>'Income Statement'!CF329</f>
        <v>996</v>
      </c>
      <c r="U36" s="850">
        <f>'Income Statement'!CG329</f>
        <v>971</v>
      </c>
      <c r="V36" s="850">
        <f>'Income Statement'!CH329</f>
        <v>1181</v>
      </c>
      <c r="W36" s="850">
        <f>'Income Statement'!CJ329</f>
        <v>1012</v>
      </c>
      <c r="X36" s="850">
        <f>'Income Statement'!CK329</f>
        <v>914</v>
      </c>
      <c r="AB36" s="819">
        <f>SUMIFS($C36:Z36,$C$6:Z$6,"&lt;="&amp;AB$6,$C$6:Z$6,"&gt;"&amp;DATE(YEAR($AB$6)-1,12,31))</f>
        <v>2033</v>
      </c>
      <c r="AC36" s="819">
        <f>SUMIFS($C36:Z36,$C$6:Z$6,"&lt;="&amp;AC$6,$C$6:Z$6,"&gt;"&amp;DATE(YEAR($AC$6)-1,12,31))</f>
        <v>1926</v>
      </c>
      <c r="AD36" s="821">
        <f t="shared" ref="AD36:AD42" si="114">AC36/AB36-1</f>
        <v>-5.2631578947368474E-2</v>
      </c>
      <c r="AF36" s="819">
        <f t="shared" ref="AF36:AF42" si="115">AI36-AB36</f>
        <v>2152</v>
      </c>
      <c r="AG36" s="819">
        <f t="shared" ref="AG36:AG42" si="116">AJ36-AC36</f>
        <v>2204</v>
      </c>
      <c r="AH36" s="824">
        <f t="shared" ref="AH36:AH42" si="117">AG36/AF36-1</f>
        <v>2.4163568773234223E-2</v>
      </c>
      <c r="AI36" s="819">
        <f t="shared" si="112"/>
        <v>4185</v>
      </c>
      <c r="AJ36" s="819">
        <f t="shared" si="112"/>
        <v>4130</v>
      </c>
      <c r="AK36" s="824">
        <f t="shared" ref="AK36:AK42" si="118">AJ36/AI36-1</f>
        <v>-1.3142174432496989E-2</v>
      </c>
      <c r="AP36" s="850">
        <f>'Income Statement'!BT329</f>
        <v>0</v>
      </c>
      <c r="AQ36" s="850">
        <f>'Income Statement'!BY329</f>
        <v>3831</v>
      </c>
      <c r="AR36" s="850">
        <f>'Income Statement'!CD329</f>
        <v>4031</v>
      </c>
      <c r="AS36" s="850">
        <f>'Income Statement'!CI329</f>
        <v>4185</v>
      </c>
      <c r="AT36" s="850">
        <f>'Income Statement'!CN329</f>
        <v>4130</v>
      </c>
      <c r="AU36" s="850">
        <f>'Income Statement'!CQ329</f>
        <v>4250.6140888158543</v>
      </c>
      <c r="AV36" s="850">
        <f>'Income Statement'!CR329</f>
        <v>4356.0336605902539</v>
      </c>
      <c r="AW36" s="850">
        <f>'Income Statement'!CS329</f>
        <v>4462.6656490803398</v>
      </c>
      <c r="AX36" s="850">
        <f>'Income Statement'!CT329</f>
        <v>4575.2350284128461</v>
      </c>
      <c r="AY36" s="850">
        <f>'Income Statement'!CU329</f>
        <v>4684.319348203906</v>
      </c>
    </row>
    <row r="37" spans="2:61">
      <c r="B37" s="851" t="s">
        <v>722</v>
      </c>
      <c r="C37" s="850">
        <f>'Income Statement'!BK336</f>
        <v>0</v>
      </c>
      <c r="D37" s="850">
        <f>'Income Statement'!BL336</f>
        <v>0</v>
      </c>
      <c r="E37" s="850">
        <f>'Income Statement'!BM336</f>
        <v>0</v>
      </c>
      <c r="F37" s="850">
        <f>'Income Statement'!BN336</f>
        <v>0</v>
      </c>
      <c r="G37" s="850">
        <f>'Income Statement'!BP336</f>
        <v>0</v>
      </c>
      <c r="H37" s="850">
        <f>'Income Statement'!BQ336</f>
        <v>0</v>
      </c>
      <c r="I37" s="850">
        <f>'Income Statement'!BR336</f>
        <v>0</v>
      </c>
      <c r="J37" s="850">
        <f>'Income Statement'!BS336</f>
        <v>0</v>
      </c>
      <c r="K37" s="850">
        <f>'Income Statement'!BU336</f>
        <v>66</v>
      </c>
      <c r="L37" s="850">
        <f>'Income Statement'!BV336</f>
        <v>67</v>
      </c>
      <c r="M37" s="850">
        <f>'Income Statement'!BW336</f>
        <v>63</v>
      </c>
      <c r="N37" s="850">
        <f>'Income Statement'!BX336</f>
        <v>63</v>
      </c>
      <c r="O37" s="850">
        <f>'Income Statement'!BZ336</f>
        <v>61</v>
      </c>
      <c r="P37" s="850">
        <f>'Income Statement'!CA336</f>
        <v>62</v>
      </c>
      <c r="Q37" s="850">
        <f>'Income Statement'!CB336</f>
        <v>62</v>
      </c>
      <c r="R37" s="850">
        <f>'Income Statement'!CC336</f>
        <v>62</v>
      </c>
      <c r="S37" s="850">
        <f>'Income Statement'!CE336</f>
        <v>62</v>
      </c>
      <c r="T37" s="850">
        <f>'Income Statement'!CF336</f>
        <v>62</v>
      </c>
      <c r="U37" s="850">
        <f>'Income Statement'!CG336</f>
        <v>62</v>
      </c>
      <c r="V37" s="850">
        <f>'Income Statement'!CH336</f>
        <v>62</v>
      </c>
      <c r="W37" s="850">
        <f>'Income Statement'!CJ336</f>
        <v>62</v>
      </c>
      <c r="X37" s="850">
        <f>'Income Statement'!CK336</f>
        <v>63</v>
      </c>
      <c r="AB37" s="819">
        <f>SUMIFS($C37:Z37,$C$6:Z$6,"&lt;="&amp;AB$6,$C$6:Z$6,"&gt;"&amp;DATE(YEAR($AB$6)-1,12,31))</f>
        <v>124</v>
      </c>
      <c r="AC37" s="819">
        <f>SUMIFS($C37:Z37,$C$6:Z$6,"&lt;="&amp;AC$6,$C$6:Z$6,"&gt;"&amp;DATE(YEAR($AC$6)-1,12,31))</f>
        <v>125</v>
      </c>
      <c r="AD37" s="821">
        <f t="shared" si="114"/>
        <v>8.0645161290322509E-3</v>
      </c>
      <c r="AF37" s="819">
        <f t="shared" si="115"/>
        <v>124</v>
      </c>
      <c r="AG37" s="819">
        <f t="shared" si="116"/>
        <v>123</v>
      </c>
      <c r="AH37" s="824">
        <f t="shared" si="117"/>
        <v>-8.0645161290322509E-3</v>
      </c>
      <c r="AI37" s="819">
        <f t="shared" si="112"/>
        <v>248</v>
      </c>
      <c r="AJ37" s="819">
        <f t="shared" si="112"/>
        <v>248</v>
      </c>
      <c r="AK37" s="824">
        <f t="shared" si="118"/>
        <v>0</v>
      </c>
      <c r="AP37" s="850">
        <f>'Income Statement'!BT336</f>
        <v>0</v>
      </c>
      <c r="AQ37" s="850">
        <f>'Income Statement'!BY336</f>
        <v>259</v>
      </c>
      <c r="AR37" s="850">
        <f>'Income Statement'!CD336</f>
        <v>247</v>
      </c>
      <c r="AS37" s="850">
        <f>'Income Statement'!CI336</f>
        <v>248</v>
      </c>
      <c r="AT37" s="850">
        <f>'Income Statement'!CN336</f>
        <v>248</v>
      </c>
      <c r="AU37" s="850">
        <f>'Income Statement'!CQ336</f>
        <v>273.63971449489475</v>
      </c>
      <c r="AV37" s="850">
        <f>'Income Statement'!CR336</f>
        <v>280.42625896112196</v>
      </c>
      <c r="AW37" s="850">
        <f>'Income Statement'!CS336</f>
        <v>287.29085458819259</v>
      </c>
      <c r="AX37" s="850">
        <f>'Income Statement'!CT336</f>
        <v>294.53767873589965</v>
      </c>
      <c r="AY37" s="850">
        <f>'Income Statement'!CU336</f>
        <v>301.5601469016255</v>
      </c>
    </row>
    <row r="38" spans="2:61">
      <c r="B38" s="851" t="s">
        <v>65</v>
      </c>
      <c r="C38" s="850">
        <f>'Income Statement'!BK340</f>
        <v>158</v>
      </c>
      <c r="D38" s="850">
        <f>'Income Statement'!BL340</f>
        <v>178</v>
      </c>
      <c r="E38" s="850">
        <f>'Income Statement'!BM340</f>
        <v>171</v>
      </c>
      <c r="F38" s="850">
        <f>'Income Statement'!BN340</f>
        <v>163</v>
      </c>
      <c r="G38" s="850">
        <f>'Income Statement'!BP340</f>
        <v>183</v>
      </c>
      <c r="H38" s="850">
        <f>'Income Statement'!BQ340</f>
        <v>178</v>
      </c>
      <c r="I38" s="850">
        <f>'Income Statement'!BR340</f>
        <v>183</v>
      </c>
      <c r="J38" s="850">
        <f>'Income Statement'!BS340</f>
        <v>191</v>
      </c>
      <c r="K38" s="850">
        <f>'Income Statement'!BU340</f>
        <v>210</v>
      </c>
      <c r="L38" s="850">
        <f>'Income Statement'!BV340</f>
        <v>194</v>
      </c>
      <c r="M38" s="850">
        <f>'Income Statement'!BW340</f>
        <v>193</v>
      </c>
      <c r="N38" s="850">
        <f>'Income Statement'!BX340</f>
        <v>216</v>
      </c>
      <c r="O38" s="850">
        <f>'Income Statement'!BZ340</f>
        <v>200</v>
      </c>
      <c r="P38" s="850">
        <f>'Income Statement'!CA340</f>
        <v>202</v>
      </c>
      <c r="Q38" s="850">
        <f>'Income Statement'!CB340</f>
        <v>277</v>
      </c>
      <c r="R38" s="850">
        <f>'Income Statement'!CC340</f>
        <v>201</v>
      </c>
      <c r="S38" s="850">
        <f>'Income Statement'!CE340</f>
        <v>202</v>
      </c>
      <c r="T38" s="850">
        <f>'Income Statement'!CF340</f>
        <v>208</v>
      </c>
      <c r="U38" s="850">
        <f>'Income Statement'!CG340</f>
        <v>204</v>
      </c>
      <c r="V38" s="850">
        <f>'Income Statement'!CH340</f>
        <v>225</v>
      </c>
      <c r="W38" s="850">
        <f>'Income Statement'!CJ340</f>
        <v>199</v>
      </c>
      <c r="X38" s="850">
        <f>'Income Statement'!CK340</f>
        <v>209</v>
      </c>
      <c r="AB38" s="819">
        <f>SUMIFS($C38:Z38,$C$6:Z$6,"&lt;="&amp;AB$6,$C$6:Z$6,"&gt;"&amp;DATE(YEAR($AB$6)-1,12,31))</f>
        <v>410</v>
      </c>
      <c r="AC38" s="819">
        <f>SUMIFS($C38:Z38,$C$6:Z$6,"&lt;="&amp;AC$6,$C$6:Z$6,"&gt;"&amp;DATE(YEAR($AC$6)-1,12,31))</f>
        <v>408</v>
      </c>
      <c r="AD38" s="821">
        <f t="shared" si="114"/>
        <v>-4.8780487804878092E-3</v>
      </c>
      <c r="AF38" s="819">
        <f t="shared" si="115"/>
        <v>429</v>
      </c>
      <c r="AG38" s="819">
        <f t="shared" si="116"/>
        <v>364</v>
      </c>
      <c r="AH38" s="824">
        <f t="shared" si="117"/>
        <v>-0.15151515151515149</v>
      </c>
      <c r="AI38" s="819">
        <f t="shared" si="112"/>
        <v>839</v>
      </c>
      <c r="AJ38" s="819">
        <f t="shared" si="112"/>
        <v>772</v>
      </c>
      <c r="AK38" s="824">
        <f t="shared" si="118"/>
        <v>-7.9856972586412445E-2</v>
      </c>
      <c r="AP38" s="850">
        <f>'Income Statement'!BT340</f>
        <v>735</v>
      </c>
      <c r="AQ38" s="850">
        <f>'Income Statement'!BY340</f>
        <v>813</v>
      </c>
      <c r="AR38" s="850">
        <f>'Income Statement'!CD340</f>
        <v>880</v>
      </c>
      <c r="AS38" s="850">
        <f>'Income Statement'!CI340</f>
        <v>839</v>
      </c>
      <c r="AT38" s="850">
        <f>'Income Statement'!CN340</f>
        <v>772</v>
      </c>
      <c r="AU38" s="850">
        <f>'Income Statement'!CQ340</f>
        <v>738.82722913621581</v>
      </c>
      <c r="AV38" s="850">
        <f>'Income Statement'!CR340</f>
        <v>745.93384883658439</v>
      </c>
      <c r="AW38" s="850">
        <f>'Income Statement'!CS340</f>
        <v>752.70203902106459</v>
      </c>
      <c r="AX38" s="850">
        <f>'Income Statement'!CT340</f>
        <v>759.90721113862105</v>
      </c>
      <c r="AY38" s="850">
        <f>'Income Statement'!CU340</f>
        <v>765.96277313012877</v>
      </c>
    </row>
    <row r="39" spans="2:61">
      <c r="B39" s="851" t="s">
        <v>66</v>
      </c>
      <c r="C39" s="850">
        <f>'Income Statement'!BK345</f>
        <v>40</v>
      </c>
      <c r="D39" s="850">
        <f>'Income Statement'!BL345</f>
        <v>30</v>
      </c>
      <c r="E39" s="850">
        <f>'Income Statement'!BM345</f>
        <v>46</v>
      </c>
      <c r="F39" s="850">
        <f>'Income Statement'!BN345</f>
        <v>26</v>
      </c>
      <c r="G39" s="850">
        <f>'Income Statement'!BP345</f>
        <v>41</v>
      </c>
      <c r="H39" s="850">
        <f>'Income Statement'!BQ345</f>
        <v>42</v>
      </c>
      <c r="I39" s="850">
        <f>'Income Statement'!BR345</f>
        <v>49</v>
      </c>
      <c r="J39" s="850">
        <f>'Income Statement'!BS345</f>
        <v>48</v>
      </c>
      <c r="K39" s="850">
        <f>'Income Statement'!BU345</f>
        <v>39</v>
      </c>
      <c r="L39" s="850">
        <f>'Income Statement'!BV345</f>
        <v>50</v>
      </c>
      <c r="M39" s="850">
        <f>'Income Statement'!BW345</f>
        <v>48</v>
      </c>
      <c r="N39" s="850">
        <f>'Income Statement'!BX345</f>
        <v>52</v>
      </c>
      <c r="O39" s="850">
        <f>'Income Statement'!BZ345</f>
        <v>38</v>
      </c>
      <c r="P39" s="850">
        <f>'Income Statement'!CA345</f>
        <v>43</v>
      </c>
      <c r="Q39" s="850">
        <f>'Income Statement'!CB345</f>
        <v>44</v>
      </c>
      <c r="R39" s="850">
        <f>'Income Statement'!CC345</f>
        <v>38</v>
      </c>
      <c r="S39" s="850">
        <f>'Income Statement'!CE345</f>
        <v>39</v>
      </c>
      <c r="T39" s="850">
        <f>'Income Statement'!CF345</f>
        <v>47</v>
      </c>
      <c r="U39" s="850">
        <f>'Income Statement'!CG345</f>
        <v>43</v>
      </c>
      <c r="V39" s="850">
        <f>'Income Statement'!CH345</f>
        <v>48</v>
      </c>
      <c r="W39" s="850">
        <f>'Income Statement'!CJ345</f>
        <v>42</v>
      </c>
      <c r="X39" s="850">
        <f>'Income Statement'!CK345</f>
        <v>41</v>
      </c>
      <c r="AB39" s="819">
        <f>SUMIFS($C39:Z39,$C$6:Z$6,"&lt;="&amp;AB$6,$C$6:Z$6,"&gt;"&amp;DATE(YEAR($AB$6)-1,12,31))</f>
        <v>86</v>
      </c>
      <c r="AC39" s="819">
        <f>SUMIFS($C39:Z39,$C$6:Z$6,"&lt;="&amp;AC$6,$C$6:Z$6,"&gt;"&amp;DATE(YEAR($AC$6)-1,12,31))</f>
        <v>83</v>
      </c>
      <c r="AD39" s="821">
        <f t="shared" si="114"/>
        <v>-3.4883720930232509E-2</v>
      </c>
      <c r="AF39" s="819">
        <f t="shared" si="115"/>
        <v>91</v>
      </c>
      <c r="AG39" s="819">
        <f t="shared" si="116"/>
        <v>93</v>
      </c>
      <c r="AH39" s="824">
        <f t="shared" si="117"/>
        <v>2.19780219780219E-2</v>
      </c>
      <c r="AI39" s="819">
        <f t="shared" si="112"/>
        <v>177</v>
      </c>
      <c r="AJ39" s="819">
        <f t="shared" si="112"/>
        <v>176</v>
      </c>
      <c r="AK39" s="824">
        <f t="shared" si="118"/>
        <v>-5.6497175141242417E-3</v>
      </c>
      <c r="AP39" s="850">
        <f>'Income Statement'!BT345</f>
        <v>180</v>
      </c>
      <c r="AQ39" s="850">
        <f>'Income Statement'!BY345</f>
        <v>189</v>
      </c>
      <c r="AR39" s="850">
        <f>'Income Statement'!CD345</f>
        <v>163</v>
      </c>
      <c r="AS39" s="850">
        <f>'Income Statement'!CI345</f>
        <v>177</v>
      </c>
      <c r="AT39" s="850">
        <f>'Income Statement'!CN345</f>
        <v>176</v>
      </c>
      <c r="AU39" s="850">
        <f>'Income Statement'!CQ345</f>
        <v>181.13997085510661</v>
      </c>
      <c r="AV39" s="850">
        <f>'Income Statement'!CR345</f>
        <v>185.63242718253863</v>
      </c>
      <c r="AW39" s="850">
        <f>'Income Statement'!CS345</f>
        <v>190.17655066298786</v>
      </c>
      <c r="AX39" s="850">
        <f>'Income Statement'!CT345</f>
        <v>194.97369612606803</v>
      </c>
      <c r="AY39" s="850">
        <f>'Income Statement'!CU345</f>
        <v>199.62232573459741</v>
      </c>
    </row>
    <row r="40" spans="2:61">
      <c r="B40" s="851" t="s">
        <v>721</v>
      </c>
      <c r="C40" s="850">
        <f>'Income Statement'!BK349</f>
        <v>0</v>
      </c>
      <c r="D40" s="850">
        <f>'Income Statement'!BL349</f>
        <v>0</v>
      </c>
      <c r="E40" s="850">
        <f>'Income Statement'!BM349</f>
        <v>0</v>
      </c>
      <c r="F40" s="850">
        <f>'Income Statement'!BN349</f>
        <v>0</v>
      </c>
      <c r="G40" s="850">
        <f>'Income Statement'!BP349</f>
        <v>0</v>
      </c>
      <c r="H40" s="850">
        <f>'Income Statement'!BQ349</f>
        <v>0</v>
      </c>
      <c r="I40" s="850">
        <f>'Income Statement'!BR349</f>
        <v>0</v>
      </c>
      <c r="J40" s="850">
        <f>'Income Statement'!BS349</f>
        <v>0</v>
      </c>
      <c r="K40" s="850">
        <f>'Income Statement'!BU349</f>
        <v>-61</v>
      </c>
      <c r="L40" s="850">
        <f>'Income Statement'!BV349</f>
        <v>-74</v>
      </c>
      <c r="M40" s="850">
        <f>'Income Statement'!BW349</f>
        <v>-52</v>
      </c>
      <c r="N40" s="850">
        <f>'Income Statement'!BX349</f>
        <v>-64</v>
      </c>
      <c r="O40" s="850">
        <f>'Income Statement'!BZ349</f>
        <v>-46</v>
      </c>
      <c r="P40" s="850">
        <f>'Income Statement'!CA349</f>
        <v>-52</v>
      </c>
      <c r="Q40" s="850">
        <f>'Income Statement'!CB349</f>
        <v>-38</v>
      </c>
      <c r="R40" s="850">
        <f>'Income Statement'!CC349</f>
        <v>-79</v>
      </c>
      <c r="S40" s="850">
        <f>'Income Statement'!CE349</f>
        <v>-61</v>
      </c>
      <c r="T40" s="850">
        <f>'Income Statement'!CF349</f>
        <v>-59</v>
      </c>
      <c r="U40" s="850">
        <f>'Income Statement'!CG349</f>
        <v>-56</v>
      </c>
      <c r="V40" s="850">
        <f>'Income Statement'!CH349</f>
        <v>-45</v>
      </c>
      <c r="W40" s="850">
        <f>'Income Statement'!CJ349</f>
        <v>-44</v>
      </c>
      <c r="X40" s="850">
        <f>'Income Statement'!CK349</f>
        <v>-57</v>
      </c>
      <c r="AB40" s="819">
        <f>SUMIFS($C40:Z40,$C$6:Z$6,"&lt;="&amp;AB$6,$C$6:Z$6,"&gt;"&amp;DATE(YEAR($AB$6)-1,12,31))</f>
        <v>-120</v>
      </c>
      <c r="AC40" s="819">
        <f>SUMIFS($C40:Z40,$C$6:Z$6,"&lt;="&amp;AC$6,$C$6:Z$6,"&gt;"&amp;DATE(YEAR($AC$6)-1,12,31))</f>
        <v>-101</v>
      </c>
      <c r="AD40" s="821">
        <f t="shared" si="114"/>
        <v>-0.15833333333333333</v>
      </c>
      <c r="AF40" s="819">
        <f t="shared" si="115"/>
        <v>-101</v>
      </c>
      <c r="AG40" s="819">
        <f t="shared" si="116"/>
        <v>-96</v>
      </c>
      <c r="AH40" s="824">
        <f t="shared" si="117"/>
        <v>-4.9504950495049549E-2</v>
      </c>
      <c r="AI40" s="819">
        <f t="shared" si="112"/>
        <v>-221</v>
      </c>
      <c r="AJ40" s="819">
        <f t="shared" si="112"/>
        <v>-197</v>
      </c>
      <c r="AK40" s="824">
        <f t="shared" si="118"/>
        <v>-0.10859728506787325</v>
      </c>
      <c r="AP40" s="850">
        <f>'Income Statement'!BT349</f>
        <v>0</v>
      </c>
      <c r="AQ40" s="850">
        <f>'Income Statement'!BY349</f>
        <v>-251</v>
      </c>
      <c r="AR40" s="850">
        <f>'Income Statement'!CD349</f>
        <v>-215</v>
      </c>
      <c r="AS40" s="850">
        <f>'Income Statement'!CI349</f>
        <v>-221</v>
      </c>
      <c r="AT40" s="850">
        <f>'Income Statement'!CN349</f>
        <v>-197</v>
      </c>
      <c r="AU40" s="850">
        <f>'Income Statement'!CQ349</f>
        <v>-218.91177159591578</v>
      </c>
      <c r="AV40" s="850">
        <f>'Income Statement'!CR349</f>
        <v>-224.34100716889756</v>
      </c>
      <c r="AW40" s="850">
        <f>'Income Statement'!CS349</f>
        <v>-229.83268367055408</v>
      </c>
      <c r="AX40" s="850">
        <f>'Income Statement'!CT349</f>
        <v>-235.63014298871971</v>
      </c>
      <c r="AY40" s="850">
        <f>'Income Statement'!CU349</f>
        <v>-241.2481175213004</v>
      </c>
    </row>
    <row r="41" spans="2:61">
      <c r="B41" s="851" t="s">
        <v>253</v>
      </c>
      <c r="C41" s="850">
        <f>'Income Statement'!BK353</f>
        <v>107</v>
      </c>
      <c r="D41" s="850">
        <f>'Income Statement'!BL353</f>
        <v>95</v>
      </c>
      <c r="E41" s="850">
        <f>'Income Statement'!BM353</f>
        <v>111</v>
      </c>
      <c r="F41" s="850">
        <f>'Income Statement'!BN353</f>
        <v>140</v>
      </c>
      <c r="G41" s="850">
        <f>'Income Statement'!BP353</f>
        <v>99</v>
      </c>
      <c r="H41" s="850">
        <f>'Income Statement'!BQ353</f>
        <v>86</v>
      </c>
      <c r="I41" s="850">
        <f>'Income Statement'!BR353</f>
        <v>102</v>
      </c>
      <c r="J41" s="850">
        <f>'Income Statement'!BS353</f>
        <v>114</v>
      </c>
      <c r="K41" s="850">
        <f>'Income Statement'!BU353</f>
        <v>87</v>
      </c>
      <c r="L41" s="850">
        <f>'Income Statement'!BV353</f>
        <v>96</v>
      </c>
      <c r="M41" s="850">
        <f>'Income Statement'!BW353</f>
        <v>102</v>
      </c>
      <c r="N41" s="850">
        <f>'Income Statement'!BX353</f>
        <v>109</v>
      </c>
      <c r="O41" s="850">
        <f>'Income Statement'!BZ353</f>
        <v>106</v>
      </c>
      <c r="P41" s="850">
        <f>'Income Statement'!CA353</f>
        <v>94</v>
      </c>
      <c r="Q41" s="850">
        <f>'Income Statement'!CB353</f>
        <v>102</v>
      </c>
      <c r="R41" s="850">
        <f>'Income Statement'!CC353</f>
        <v>126</v>
      </c>
      <c r="S41" s="850">
        <f>'Income Statement'!CE353</f>
        <v>102</v>
      </c>
      <c r="T41" s="850">
        <f>'Income Statement'!CF353</f>
        <v>109</v>
      </c>
      <c r="U41" s="850">
        <f>'Income Statement'!CG353</f>
        <v>128</v>
      </c>
      <c r="V41" s="850">
        <f>'Income Statement'!CH353</f>
        <v>123</v>
      </c>
      <c r="W41" s="850">
        <f>'Income Statement'!CJ353</f>
        <v>102</v>
      </c>
      <c r="X41" s="850">
        <f>'Income Statement'!CK353</f>
        <v>111</v>
      </c>
      <c r="AB41" s="819">
        <f>SUMIFS($C41:Z41,$C$6:Z$6,"&lt;="&amp;AB$6,$C$6:Z$6,"&gt;"&amp;DATE(YEAR($AB$6)-1,12,31))</f>
        <v>211</v>
      </c>
      <c r="AC41" s="819">
        <f>SUMIFS($C41:Z41,$C$6:Z$6,"&lt;="&amp;AC$6,$C$6:Z$6,"&gt;"&amp;DATE(YEAR($AC$6)-1,12,31))</f>
        <v>213</v>
      </c>
      <c r="AD41" s="821">
        <f t="shared" si="114"/>
        <v>9.4786729857820884E-3</v>
      </c>
      <c r="AF41" s="819">
        <f t="shared" si="115"/>
        <v>251</v>
      </c>
      <c r="AG41" s="819">
        <f t="shared" si="116"/>
        <v>236</v>
      </c>
      <c r="AH41" s="824">
        <f t="shared" si="117"/>
        <v>-5.9760956175298752E-2</v>
      </c>
      <c r="AI41" s="819">
        <f t="shared" si="112"/>
        <v>462</v>
      </c>
      <c r="AJ41" s="819">
        <f t="shared" si="112"/>
        <v>449</v>
      </c>
      <c r="AK41" s="824">
        <f t="shared" si="118"/>
        <v>-2.8138528138528129E-2</v>
      </c>
      <c r="AP41" s="850">
        <f>'Income Statement'!BT353</f>
        <v>401</v>
      </c>
      <c r="AQ41" s="850">
        <f>'Income Statement'!BY353</f>
        <v>394</v>
      </c>
      <c r="AR41" s="850">
        <f>'Income Statement'!CD353</f>
        <v>428</v>
      </c>
      <c r="AS41" s="850">
        <f>'Income Statement'!CI353</f>
        <v>462</v>
      </c>
      <c r="AT41" s="850">
        <f>'Income Statement'!CN353</f>
        <v>449</v>
      </c>
      <c r="AU41" s="850">
        <f>'Income Statement'!CQ353</f>
        <v>462.11276655649363</v>
      </c>
      <c r="AV41" s="850">
        <f>'Income Statement'!CR353</f>
        <v>473.57363525545372</v>
      </c>
      <c r="AW41" s="850">
        <f>'Income Statement'!CS353</f>
        <v>485.16631390728156</v>
      </c>
      <c r="AX41" s="850">
        <f>'Income Statement'!CT353</f>
        <v>497.40448613979856</v>
      </c>
      <c r="AY41" s="850">
        <f>'Income Statement'!CU353</f>
        <v>509.26377417519461</v>
      </c>
    </row>
    <row r="42" spans="2:61">
      <c r="B42" s="851" t="s">
        <v>71</v>
      </c>
      <c r="C42" s="850">
        <f>'Income Statement'!BK357</f>
        <v>0</v>
      </c>
      <c r="D42" s="850">
        <f>'Income Statement'!BL357</f>
        <v>0</v>
      </c>
      <c r="E42" s="850">
        <f>'Income Statement'!BM357</f>
        <v>0</v>
      </c>
      <c r="F42" s="850">
        <f>'Income Statement'!BN357</f>
        <v>0</v>
      </c>
      <c r="G42" s="850">
        <f>'Income Statement'!BP357</f>
        <v>0</v>
      </c>
      <c r="H42" s="850">
        <f>'Income Statement'!BQ357</f>
        <v>0</v>
      </c>
      <c r="I42" s="850">
        <f>'Income Statement'!BR357</f>
        <v>0</v>
      </c>
      <c r="J42" s="850">
        <f>'Income Statement'!BS357</f>
        <v>0</v>
      </c>
      <c r="K42" s="850">
        <f>'Income Statement'!BU357</f>
        <v>34</v>
      </c>
      <c r="L42" s="850">
        <f>'Income Statement'!BV357</f>
        <v>26</v>
      </c>
      <c r="M42" s="850">
        <f>'Income Statement'!BW357</f>
        <v>25</v>
      </c>
      <c r="N42" s="850">
        <f>'Income Statement'!BX357</f>
        <v>22</v>
      </c>
      <c r="O42" s="850">
        <f>'Income Statement'!BZ357</f>
        <v>34</v>
      </c>
      <c r="P42" s="850">
        <f>'Income Statement'!CA357</f>
        <v>37</v>
      </c>
      <c r="Q42" s="850">
        <f>'Income Statement'!CB357</f>
        <v>32</v>
      </c>
      <c r="R42" s="850">
        <f>'Income Statement'!CC357</f>
        <v>26</v>
      </c>
      <c r="S42" s="850">
        <f>'Income Statement'!CE357</f>
        <v>40</v>
      </c>
      <c r="T42" s="850">
        <f>'Income Statement'!CF357</f>
        <v>38</v>
      </c>
      <c r="U42" s="850">
        <f>'Income Statement'!CG357</f>
        <v>27</v>
      </c>
      <c r="V42" s="850">
        <f>'Income Statement'!CH357</f>
        <v>29</v>
      </c>
      <c r="W42" s="850">
        <f>'Income Statement'!CJ357</f>
        <v>34</v>
      </c>
      <c r="X42" s="850">
        <f>'Income Statement'!CK357</f>
        <v>37</v>
      </c>
      <c r="Y42" s="819"/>
      <c r="AB42" s="819">
        <f>SUMIFS($C42:Z42,$C$6:Z$6,"&lt;="&amp;AB$6,$C$6:Z$6,"&gt;"&amp;DATE(YEAR($AB$6)-1,12,31))</f>
        <v>78</v>
      </c>
      <c r="AC42" s="819">
        <f>SUMIFS($C42:Z42,$C$6:Z$6,"&lt;="&amp;AC$6,$C$6:Z$6,"&gt;"&amp;DATE(YEAR($AC$6)-1,12,31))</f>
        <v>71</v>
      </c>
      <c r="AD42" s="821">
        <f t="shared" si="114"/>
        <v>-8.9743589743589758E-2</v>
      </c>
      <c r="AF42" s="819">
        <f t="shared" si="115"/>
        <v>56</v>
      </c>
      <c r="AG42" s="819">
        <f t="shared" si="116"/>
        <v>58</v>
      </c>
      <c r="AH42" s="824">
        <f t="shared" si="117"/>
        <v>3.5714285714285809E-2</v>
      </c>
      <c r="AI42" s="819">
        <f t="shared" si="112"/>
        <v>134</v>
      </c>
      <c r="AJ42" s="819">
        <f t="shared" si="112"/>
        <v>129</v>
      </c>
      <c r="AK42" s="824">
        <f t="shared" si="118"/>
        <v>-3.7313432835820892E-2</v>
      </c>
      <c r="AL42" s="819"/>
      <c r="AP42" s="850">
        <f>'Income Statement'!BT357</f>
        <v>0</v>
      </c>
      <c r="AQ42" s="850">
        <f>'Income Statement'!BY357</f>
        <v>107</v>
      </c>
      <c r="AR42" s="850">
        <f>'Income Statement'!CD357</f>
        <v>129</v>
      </c>
      <c r="AS42" s="850">
        <f>'Income Statement'!CI357</f>
        <v>134</v>
      </c>
      <c r="AT42" s="850">
        <f>'Income Statement'!CN357</f>
        <v>129</v>
      </c>
      <c r="AU42" s="850">
        <f>'Income Statement'!CQ357</f>
        <v>164.18382869693684</v>
      </c>
      <c r="AV42" s="850">
        <f>'Income Statement'!CR357</f>
        <v>168.25575537667316</v>
      </c>
      <c r="AW42" s="850">
        <f>'Income Statement'!CS357</f>
        <v>172.37451275291554</v>
      </c>
      <c r="AX42" s="850">
        <f>'Income Statement'!CT357</f>
        <v>176.72260724153978</v>
      </c>
      <c r="AY42" s="850">
        <f>'Income Statement'!CU357</f>
        <v>180.9360881409753</v>
      </c>
    </row>
    <row r="43" spans="2:61">
      <c r="B43" s="851" t="s">
        <v>72</v>
      </c>
      <c r="C43" s="850">
        <f>'Income Statement'!BK361</f>
        <v>0</v>
      </c>
      <c r="D43" s="850">
        <f>'Income Statement'!BL361</f>
        <v>0</v>
      </c>
      <c r="E43" s="850">
        <f>'Income Statement'!BM361</f>
        <v>0</v>
      </c>
      <c r="F43" s="850">
        <f>'Income Statement'!BN361</f>
        <v>0</v>
      </c>
      <c r="G43" s="850">
        <f>'Income Statement'!BP361</f>
        <v>0</v>
      </c>
      <c r="H43" s="850">
        <f>'Income Statement'!BQ361</f>
        <v>0</v>
      </c>
      <c r="I43" s="850">
        <f>'Income Statement'!BR361</f>
        <v>0</v>
      </c>
      <c r="J43" s="850">
        <f>'Income Statement'!BS361</f>
        <v>0</v>
      </c>
      <c r="K43" s="850">
        <f>'Income Statement'!BU361</f>
        <v>0</v>
      </c>
      <c r="L43" s="850">
        <f>'Income Statement'!BV361</f>
        <v>0</v>
      </c>
      <c r="M43" s="850">
        <f>'Income Statement'!BW361</f>
        <v>0</v>
      </c>
      <c r="N43" s="850">
        <f>'Income Statement'!BX361</f>
        <v>0</v>
      </c>
      <c r="O43" s="850">
        <f>'Income Statement'!BZ361</f>
        <v>0</v>
      </c>
      <c r="P43" s="850">
        <f>'Income Statement'!CA361</f>
        <v>0</v>
      </c>
      <c r="Q43" s="850">
        <f>'Income Statement'!CB361</f>
        <v>0</v>
      </c>
      <c r="R43" s="850">
        <f>'Income Statement'!CC361</f>
        <v>0</v>
      </c>
      <c r="S43" s="850">
        <f>'Income Statement'!CE361</f>
        <v>0</v>
      </c>
      <c r="T43" s="850">
        <f>'Income Statement'!CF361</f>
        <v>0</v>
      </c>
      <c r="U43" s="850">
        <f>'Income Statement'!CG361</f>
        <v>0</v>
      </c>
      <c r="V43" s="850">
        <f>'Income Statement'!CH361</f>
        <v>0</v>
      </c>
      <c r="W43" s="850">
        <f>'Income Statement'!CJ361</f>
        <v>0</v>
      </c>
      <c r="X43" s="850">
        <f>'Income Statement'!CK361</f>
        <v>0</v>
      </c>
      <c r="Y43" s="819"/>
      <c r="AB43" s="819"/>
      <c r="AC43" s="819"/>
      <c r="AD43" s="821"/>
      <c r="AF43" s="819"/>
      <c r="AG43" s="819"/>
      <c r="AH43" s="824"/>
      <c r="AI43" s="819"/>
      <c r="AJ43" s="819"/>
      <c r="AK43" s="824"/>
      <c r="AL43" s="819"/>
      <c r="AP43" s="850">
        <f>'Income Statement'!BT361</f>
        <v>0</v>
      </c>
      <c r="AQ43" s="850">
        <f>'Income Statement'!BY361</f>
        <v>0</v>
      </c>
      <c r="AR43" s="850">
        <f>'Income Statement'!CD361</f>
        <v>0</v>
      </c>
      <c r="AS43" s="850">
        <f>'Income Statement'!CI361</f>
        <v>0</v>
      </c>
      <c r="AT43" s="850">
        <f>'Income Statement'!CN361</f>
        <v>-1</v>
      </c>
      <c r="AU43" s="850">
        <f>'Income Statement'!CQ361</f>
        <v>-1.0292043798585602</v>
      </c>
      <c r="AV43" s="850">
        <f>'Income Statement'!CR361</f>
        <v>-1.0547296999007878</v>
      </c>
      <c r="AW43" s="850">
        <f>'Income Statement'!CS361</f>
        <v>-1.0805485833124309</v>
      </c>
      <c r="AX43" s="850">
        <f>'Income Statement'!CT361</f>
        <v>-1.1078050916253865</v>
      </c>
      <c r="AY43" s="850">
        <f>'Income Statement'!CU361</f>
        <v>-1.1342177598556671</v>
      </c>
    </row>
    <row r="44" spans="2:61">
      <c r="B44" s="834" t="s">
        <v>838</v>
      </c>
      <c r="C44" s="833"/>
      <c r="D44" s="833"/>
      <c r="E44" s="833"/>
      <c r="F44" s="833"/>
      <c r="G44" s="833"/>
      <c r="H44" s="833"/>
      <c r="I44" s="833"/>
      <c r="J44" s="833"/>
      <c r="K44" s="833">
        <f t="shared" ref="K44:X44" si="119">SUM(K35:K43)</f>
        <v>1479</v>
      </c>
      <c r="L44" s="833">
        <f t="shared" si="119"/>
        <v>1412</v>
      </c>
      <c r="M44" s="833">
        <f t="shared" si="119"/>
        <v>1401</v>
      </c>
      <c r="N44" s="833">
        <f t="shared" si="119"/>
        <v>1568</v>
      </c>
      <c r="O44" s="833">
        <f t="shared" si="119"/>
        <v>1554</v>
      </c>
      <c r="P44" s="833">
        <f t="shared" si="119"/>
        <v>1468</v>
      </c>
      <c r="Q44" s="833">
        <f t="shared" si="119"/>
        <v>1513</v>
      </c>
      <c r="R44" s="833">
        <f t="shared" si="119"/>
        <v>1685</v>
      </c>
      <c r="S44" s="833">
        <f t="shared" si="119"/>
        <v>1559</v>
      </c>
      <c r="T44" s="833">
        <f t="shared" si="119"/>
        <v>1540</v>
      </c>
      <c r="U44" s="833">
        <f t="shared" si="119"/>
        <v>1528</v>
      </c>
      <c r="V44" s="833">
        <f t="shared" si="119"/>
        <v>1787</v>
      </c>
      <c r="W44" s="833">
        <f t="shared" si="119"/>
        <v>1553</v>
      </c>
      <c r="X44" s="833">
        <f t="shared" si="119"/>
        <v>1468</v>
      </c>
      <c r="Y44" s="827"/>
      <c r="AB44" s="833">
        <f>SUMIFS($C44:Z44,$C$6:Z$6,"&lt;="&amp;AB$6,$C$6:Z$6,"&gt;"&amp;DATE(YEAR($AB$6)-1,12,31))</f>
        <v>3099</v>
      </c>
      <c r="AC44" s="833">
        <f>SUMIFS($C44:Z44,$C$6:Z$6,"&lt;="&amp;AC$6,$C$6:Z$6,"&gt;"&amp;DATE(YEAR($AC$6)-1,12,31))</f>
        <v>3021</v>
      </c>
      <c r="AD44" s="836">
        <f t="shared" ref="AD44" si="120">AC44/AB44-1</f>
        <v>-2.5169409486931249E-2</v>
      </c>
      <c r="AF44" s="833">
        <f t="shared" ref="AF44" si="121">AI44-AB44</f>
        <v>3315</v>
      </c>
      <c r="AG44" s="833">
        <f t="shared" ref="AG44" si="122">AJ44-AC44</f>
        <v>3285</v>
      </c>
      <c r="AH44" s="836">
        <f t="shared" ref="AH44" si="123">AG44/AF44-1</f>
        <v>-9.0497737556560764E-3</v>
      </c>
      <c r="AI44" s="833">
        <f>SUMIFS($AO44:$AZ44,$AO$5:$AZ$5,AI$6)</f>
        <v>6414</v>
      </c>
      <c r="AJ44" s="833">
        <f>SUMIFS($AO44:$AZ44,$AO$5:$AZ$5,AJ$6)</f>
        <v>6306</v>
      </c>
      <c r="AK44" s="836">
        <f t="shared" ref="AK44" si="124">AJ44/AI44-1</f>
        <v>-1.6838166510757757E-2</v>
      </c>
      <c r="AL44" s="827"/>
      <c r="AO44" s="869"/>
      <c r="AP44" s="833">
        <f>'Income Statement'!BT374</f>
        <v>2274</v>
      </c>
      <c r="AQ44" s="833">
        <f>'Income Statement'!BY374</f>
        <v>5860</v>
      </c>
      <c r="AR44" s="833">
        <f>'Income Statement'!CD374</f>
        <v>6220</v>
      </c>
      <c r="AS44" s="833">
        <f>'Income Statement'!CI374</f>
        <v>6414</v>
      </c>
      <c r="AT44" s="833">
        <f>'Income Statement'!CN374</f>
        <v>6306</v>
      </c>
      <c r="AU44" s="833">
        <f>'Income Statement'!CQ374</f>
        <v>6423.9953079919314</v>
      </c>
      <c r="AV44" s="833">
        <f>'Income Statement'!CR374</f>
        <v>6564.2757119795497</v>
      </c>
      <c r="AW44" s="833">
        <f>'Income Statement'!CS374</f>
        <v>6708.9064009547628</v>
      </c>
      <c r="AX44" s="833">
        <f>'Income Statement'!CT374</f>
        <v>6860.894427408899</v>
      </c>
      <c r="AY44" s="833">
        <f>'Income Statement'!CU374</f>
        <v>7007.3506418680308</v>
      </c>
      <c r="BA44" s="993">
        <f>(AV44/AS44)^(1/3)-1</f>
        <v>7.7495652172836493E-3</v>
      </c>
      <c r="BB44" s="993">
        <f>(AY44/AS44)^(1/6)-1</f>
        <v>1.4855358183685663E-2</v>
      </c>
    </row>
    <row r="45" spans="2:61">
      <c r="B45" s="804" t="s">
        <v>0</v>
      </c>
      <c r="C45" s="820"/>
      <c r="D45" s="820"/>
      <c r="E45" s="820"/>
      <c r="F45" s="820"/>
      <c r="G45" s="820"/>
      <c r="H45" s="820"/>
      <c r="I45" s="820"/>
      <c r="J45" s="820"/>
      <c r="K45" s="820"/>
      <c r="L45" s="820"/>
      <c r="M45" s="820"/>
      <c r="N45" s="820"/>
      <c r="O45" s="820">
        <f t="shared" ref="O45:X45" si="125">O44/K44-1</f>
        <v>5.070993914807298E-2</v>
      </c>
      <c r="P45" s="820">
        <f t="shared" si="125"/>
        <v>3.966005665722383E-2</v>
      </c>
      <c r="Q45" s="820">
        <f t="shared" si="125"/>
        <v>7.994289793005005E-2</v>
      </c>
      <c r="R45" s="820">
        <f t="shared" si="125"/>
        <v>7.461734693877542E-2</v>
      </c>
      <c r="S45" s="820">
        <f t="shared" si="125"/>
        <v>3.2175032175032481E-3</v>
      </c>
      <c r="T45" s="820">
        <f t="shared" si="125"/>
        <v>4.9046321525885617E-2</v>
      </c>
      <c r="U45" s="820">
        <f t="shared" si="125"/>
        <v>9.9140779907469501E-3</v>
      </c>
      <c r="V45" s="820">
        <f t="shared" si="125"/>
        <v>6.0534124629080033E-2</v>
      </c>
      <c r="W45" s="820">
        <f t="shared" si="125"/>
        <v>-3.8486209108402614E-3</v>
      </c>
      <c r="X45" s="820">
        <f t="shared" si="125"/>
        <v>-4.6753246753246769E-2</v>
      </c>
      <c r="Y45" s="820"/>
      <c r="AB45" s="820"/>
      <c r="AC45" s="820"/>
      <c r="AF45" s="820"/>
      <c r="AG45" s="820"/>
      <c r="AH45" s="820"/>
      <c r="AI45" s="820"/>
      <c r="AJ45" s="820"/>
      <c r="AK45" s="820"/>
      <c r="AL45" s="821"/>
      <c r="AT45" s="820">
        <f t="shared" ref="AT45" si="126">IFERROR(AT44/AS44-1,"")</f>
        <v>-1.6838166510757757E-2</v>
      </c>
      <c r="AU45" s="820">
        <f t="shared" ref="AU45" si="127">IFERROR(AU44/AT44-1,"")</f>
        <v>1.8711593401828708E-2</v>
      </c>
      <c r="AV45" s="820">
        <f t="shared" ref="AV45" si="128">IFERROR(AV44/AU44-1,"")</f>
        <v>2.1836940605031163E-2</v>
      </c>
      <c r="AW45" s="820">
        <f t="shared" ref="AW45" si="129">IFERROR(AW44/AV44-1,"")</f>
        <v>2.2033000337153386E-2</v>
      </c>
      <c r="AX45" s="820">
        <f t="shared" ref="AX45" si="130">IFERROR(AX44/AW44-1,"")</f>
        <v>2.2654664914166345E-2</v>
      </c>
      <c r="AY45" s="820">
        <f t="shared" ref="AY45" si="131">IFERROR(AY44/AX44-1,"")</f>
        <v>2.134651917599073E-2</v>
      </c>
    </row>
    <row r="46" spans="2:61">
      <c r="B46" s="804" t="s">
        <v>839</v>
      </c>
      <c r="C46" s="820">
        <f>C44/C$31</f>
        <v>0</v>
      </c>
      <c r="D46" s="820">
        <f t="shared" ref="D46:AC46" si="132">D44/D$31</f>
        <v>0</v>
      </c>
      <c r="E46" s="820">
        <f t="shared" si="132"/>
        <v>0</v>
      </c>
      <c r="F46" s="820">
        <f t="shared" si="132"/>
        <v>0</v>
      </c>
      <c r="G46" s="820">
        <f t="shared" si="132"/>
        <v>0</v>
      </c>
      <c r="H46" s="820">
        <f t="shared" si="132"/>
        <v>0</v>
      </c>
      <c r="I46" s="820">
        <f t="shared" si="132"/>
        <v>0</v>
      </c>
      <c r="J46" s="820">
        <f t="shared" si="132"/>
        <v>0</v>
      </c>
      <c r="K46" s="820">
        <f t="shared" si="132"/>
        <v>0.61471321695760595</v>
      </c>
      <c r="L46" s="820">
        <f t="shared" si="132"/>
        <v>0.58250825082508251</v>
      </c>
      <c r="M46" s="820">
        <f t="shared" si="132"/>
        <v>0.58253638253638251</v>
      </c>
      <c r="N46" s="820">
        <f t="shared" si="132"/>
        <v>0.61393891934220834</v>
      </c>
      <c r="O46" s="820">
        <f t="shared" si="132"/>
        <v>0.61520190023752974</v>
      </c>
      <c r="P46" s="820">
        <f t="shared" si="132"/>
        <v>0.59433198380566798</v>
      </c>
      <c r="Q46" s="820">
        <f t="shared" si="132"/>
        <v>0.61957411957411956</v>
      </c>
      <c r="R46" s="820">
        <f t="shared" si="132"/>
        <v>0.61451495258935085</v>
      </c>
      <c r="S46" s="820">
        <f t="shared" si="132"/>
        <v>0.5989243180945063</v>
      </c>
      <c r="T46" s="820">
        <f t="shared" si="132"/>
        <v>0.59551430781129155</v>
      </c>
      <c r="U46" s="820">
        <f t="shared" si="132"/>
        <v>0.59316770186335399</v>
      </c>
      <c r="V46" s="820">
        <f t="shared" si="132"/>
        <v>0.64489354023818113</v>
      </c>
      <c r="W46" s="820">
        <f t="shared" si="132"/>
        <v>0.59547546012269936</v>
      </c>
      <c r="X46" s="820">
        <f t="shared" si="132"/>
        <v>0.57298985167837624</v>
      </c>
      <c r="Y46" s="820"/>
      <c r="AB46" s="820">
        <f t="shared" si="132"/>
        <v>0.5972248988244363</v>
      </c>
      <c r="AC46" s="820">
        <f t="shared" si="132"/>
        <v>0.58433268858800769</v>
      </c>
      <c r="AF46" s="820"/>
      <c r="AG46" s="820"/>
      <c r="AH46" s="820"/>
      <c r="AI46" s="820"/>
      <c r="AJ46" s="820"/>
      <c r="AK46" s="820"/>
      <c r="AL46" s="821"/>
      <c r="AT46" s="820">
        <f t="shared" ref="AT46:AY46" si="133">AT44/AT$31</f>
        <v>0.5929478138222849</v>
      </c>
      <c r="AU46" s="820">
        <f t="shared" si="133"/>
        <v>0.58690268331936368</v>
      </c>
      <c r="AV46" s="820">
        <f t="shared" si="133"/>
        <v>0.58520515663349626</v>
      </c>
      <c r="AW46" s="820">
        <f t="shared" si="133"/>
        <v>0.58380786351269509</v>
      </c>
      <c r="AX46" s="820">
        <f t="shared" si="133"/>
        <v>0.58234437584136678</v>
      </c>
      <c r="AY46" s="820">
        <f t="shared" si="133"/>
        <v>0.58092479343382519</v>
      </c>
    </row>
    <row r="47" spans="2:61">
      <c r="B47" s="806"/>
    </row>
    <row r="48" spans="2:61">
      <c r="B48" s="806" t="s">
        <v>2</v>
      </c>
      <c r="AP48" s="849"/>
      <c r="AQ48" s="849"/>
      <c r="AR48" s="849"/>
      <c r="AS48" s="849"/>
      <c r="AT48" s="849"/>
      <c r="AU48" s="849"/>
      <c r="AV48" s="849"/>
      <c r="AW48" s="849"/>
      <c r="AX48" s="849"/>
      <c r="AY48" s="849"/>
      <c r="BD48" s="849"/>
      <c r="BE48" s="849"/>
      <c r="BF48" s="849"/>
      <c r="BG48" s="849"/>
      <c r="BH48" s="849"/>
      <c r="BI48" s="849"/>
    </row>
    <row r="49" spans="2:83" s="806" customFormat="1">
      <c r="B49" s="825" t="s">
        <v>840</v>
      </c>
      <c r="C49" s="826">
        <f>'Income Statement'!BK451</f>
        <v>944</v>
      </c>
      <c r="D49" s="826">
        <f>'Income Statement'!BL451</f>
        <v>938</v>
      </c>
      <c r="E49" s="826">
        <f>'Income Statement'!BM451</f>
        <v>953</v>
      </c>
      <c r="F49" s="826">
        <f>'Income Statement'!BN451</f>
        <v>924</v>
      </c>
      <c r="G49" s="826">
        <f>'Income Statement'!BP451</f>
        <v>961</v>
      </c>
      <c r="H49" s="826">
        <f>'Income Statement'!BQ451</f>
        <v>996</v>
      </c>
      <c r="I49" s="826">
        <f>'Income Statement'!BR451</f>
        <v>969</v>
      </c>
      <c r="J49" s="826">
        <f>'Income Statement'!BS451</f>
        <v>932</v>
      </c>
      <c r="K49" s="826">
        <f>'Income Statement'!BU451</f>
        <v>927</v>
      </c>
      <c r="L49" s="826">
        <f>'Income Statement'!BV451</f>
        <v>1012</v>
      </c>
      <c r="M49" s="826">
        <f>'Income Statement'!BW451</f>
        <v>1004</v>
      </c>
      <c r="N49" s="826">
        <f>'Income Statement'!BX451</f>
        <v>986</v>
      </c>
      <c r="O49" s="826">
        <f>'Income Statement'!BZ451</f>
        <v>972</v>
      </c>
      <c r="P49" s="826">
        <f>'Income Statement'!CA451</f>
        <v>1002</v>
      </c>
      <c r="Q49" s="826">
        <f>'Income Statement'!CB451</f>
        <v>929</v>
      </c>
      <c r="R49" s="826">
        <f>'Income Statement'!CC451</f>
        <v>1057</v>
      </c>
      <c r="S49" s="826">
        <f>'Income Statement'!CE451</f>
        <v>1044</v>
      </c>
      <c r="T49" s="826">
        <f>'Income Statement'!CF451</f>
        <v>1046</v>
      </c>
      <c r="U49" s="826">
        <f>'Income Statement'!CG451</f>
        <v>1048</v>
      </c>
      <c r="V49" s="826">
        <f>'Income Statement'!CH451</f>
        <v>984</v>
      </c>
      <c r="W49" s="826">
        <f>'Income Statement'!CJ451</f>
        <v>1055</v>
      </c>
      <c r="X49" s="826">
        <f>'Income Statement'!CK451</f>
        <v>1094</v>
      </c>
      <c r="Y49" s="827"/>
      <c r="AB49" s="833">
        <f>SUMIFS($C49:Z49,$C$6:Z$6,"&lt;="&amp;AB$6,$C$6:Z$6,"&gt;"&amp;DATE(YEAR($AB$6)-1,12,31))</f>
        <v>2090</v>
      </c>
      <c r="AC49" s="833">
        <f>SUMIFS($C49:Z49,$C$6:Z$6,"&lt;="&amp;AC$6,$C$6:Z$6,"&gt;"&amp;DATE(YEAR($AC$6)-1,12,31))</f>
        <v>2149</v>
      </c>
      <c r="AD49" s="835">
        <f>AC49/AB49-1</f>
        <v>2.8229665071770382E-2</v>
      </c>
      <c r="AF49" s="833">
        <f t="shared" ref="AF49:AG49" si="134">AI49-AB49</f>
        <v>2032</v>
      </c>
      <c r="AG49" s="833">
        <f t="shared" si="134"/>
        <v>2180</v>
      </c>
      <c r="AH49" s="836">
        <f t="shared" ref="AH49" si="135">AG49/AF49-1</f>
        <v>7.2834645669291431E-2</v>
      </c>
      <c r="AI49" s="833">
        <f>SUMIFS($AO49:$AZ49,$AO$5:$AZ$5,AI$6)</f>
        <v>4122</v>
      </c>
      <c r="AJ49" s="833">
        <f>SUMIFS($AO49:$AZ49,$AO$5:$AZ$5,AJ$6)</f>
        <v>4329</v>
      </c>
      <c r="AK49" s="836">
        <f t="shared" ref="AK49" si="136">AJ49/AI49-1</f>
        <v>5.0218340611353662E-2</v>
      </c>
      <c r="AL49" s="827"/>
      <c r="AM49" s="832"/>
      <c r="AO49" s="833"/>
      <c r="AP49" s="826">
        <f>'Income Statement'!BT451</f>
        <v>3858</v>
      </c>
      <c r="AQ49" s="826">
        <f>'Income Statement'!BY451</f>
        <v>3929</v>
      </c>
      <c r="AR49" s="826">
        <f>'Income Statement'!CD451</f>
        <v>3960</v>
      </c>
      <c r="AS49" s="826">
        <f>'Income Statement'!CI451</f>
        <v>4122</v>
      </c>
      <c r="AT49" s="826">
        <f>'Income Statement'!CN451</f>
        <v>4329</v>
      </c>
      <c r="AU49" s="826">
        <f>'Income Statement'!CQ451</f>
        <v>4521.5932718038575</v>
      </c>
      <c r="AV49" s="826">
        <f>'Income Statement'!CR451</f>
        <v>4652.7746464653283</v>
      </c>
      <c r="AW49" s="826">
        <f>'Income Statement'!CS451</f>
        <v>4782.7277825729407</v>
      </c>
      <c r="AX49" s="826">
        <f>'Income Statement'!CT451</f>
        <v>4920.6127220270864</v>
      </c>
      <c r="AY49" s="826">
        <f>'Income Statement'!CU451</f>
        <v>5055.0552341969897</v>
      </c>
      <c r="BA49" s="998">
        <f>(AV49/AS49)^(1/3)-1</f>
        <v>4.1201240738806488E-2</v>
      </c>
      <c r="BB49" s="998">
        <f>(AY49/AS49)^(1/6)-1</f>
        <v>3.4593279444230518E-2</v>
      </c>
      <c r="BD49" s="826">
        <v>4204.226076115895</v>
      </c>
      <c r="BE49" s="826">
        <v>4343.6248028920609</v>
      </c>
      <c r="BF49" s="826">
        <v>4470.3721663328552</v>
      </c>
      <c r="BG49" s="826">
        <v>4603.3428232809802</v>
      </c>
      <c r="BH49" s="826">
        <v>4736.2704302727052</v>
      </c>
      <c r="BI49" s="826">
        <v>4869.5258485142294</v>
      </c>
      <c r="BK49" s="860">
        <f t="shared" ref="BK49:BP49" si="137">IFERROR(AT49/BD49-1,"")</f>
        <v>2.9678214640488143E-2</v>
      </c>
      <c r="BL49" s="860">
        <f t="shared" si="137"/>
        <v>4.0972339229968124E-2</v>
      </c>
      <c r="BM49" s="860">
        <f t="shared" si="137"/>
        <v>4.0802526802170558E-2</v>
      </c>
      <c r="BN49" s="860">
        <f t="shared" si="137"/>
        <v>3.8968411908132827E-2</v>
      </c>
      <c r="BO49" s="860">
        <f t="shared" si="137"/>
        <v>3.8921403342200511E-2</v>
      </c>
      <c r="BP49" s="860">
        <f t="shared" si="137"/>
        <v>3.8100092586913492E-2</v>
      </c>
      <c r="BQ49" s="834"/>
      <c r="BR49" s="833">
        <f>AS49</f>
        <v>4122</v>
      </c>
      <c r="BS49" s="826">
        <f>'Income Statement'!CN42</f>
        <v>4329</v>
      </c>
      <c r="BT49" s="826">
        <f>'Income Statement'!CQ42</f>
        <v>4437.0575774980398</v>
      </c>
      <c r="BU49" s="826">
        <f>'Income Statement'!CR42</f>
        <v>4493.3138470381155</v>
      </c>
      <c r="BV49" s="826">
        <f>'Income Statement'!CS42</f>
        <v>4570.1480438309072</v>
      </c>
      <c r="BW49" s="826">
        <f>'Income Statement'!CT42</f>
        <v>4636.4906309505704</v>
      </c>
      <c r="BX49" s="826">
        <f>'Income Statement'!CU42</f>
        <v>4723.2378259795641</v>
      </c>
      <c r="BY49" s="834"/>
      <c r="BZ49" s="870">
        <f t="shared" ref="BZ49:CE49" si="138">IFERROR(AT49/BS49-1,"")</f>
        <v>0</v>
      </c>
      <c r="CA49" s="870">
        <f t="shared" si="138"/>
        <v>1.9052196828486023E-2</v>
      </c>
      <c r="CB49" s="870">
        <f t="shared" si="138"/>
        <v>3.5488462381127794E-2</v>
      </c>
      <c r="CC49" s="870">
        <f t="shared" si="138"/>
        <v>4.651484737545597E-2</v>
      </c>
      <c r="CD49" s="870">
        <f t="shared" si="138"/>
        <v>6.127955682254127E-2</v>
      </c>
      <c r="CE49" s="870">
        <f t="shared" si="138"/>
        <v>7.0252106805273717E-2</v>
      </c>
    </row>
    <row r="50" spans="2:83">
      <c r="B50" s="804" t="s">
        <v>0</v>
      </c>
      <c r="C50" s="820"/>
      <c r="D50" s="820"/>
      <c r="E50" s="820"/>
      <c r="F50" s="820"/>
      <c r="G50" s="820">
        <f t="shared" ref="G50:X50" si="139">G49/C49-1</f>
        <v>1.8008474576271194E-2</v>
      </c>
      <c r="H50" s="820">
        <f t="shared" si="139"/>
        <v>6.1833688699360234E-2</v>
      </c>
      <c r="I50" s="820">
        <f t="shared" si="139"/>
        <v>1.6789087093389332E-2</v>
      </c>
      <c r="J50" s="820">
        <f t="shared" si="139"/>
        <v>8.6580086580085869E-3</v>
      </c>
      <c r="K50" s="820">
        <f t="shared" si="139"/>
        <v>-3.5379812695109258E-2</v>
      </c>
      <c r="L50" s="820">
        <f t="shared" si="139"/>
        <v>1.6064257028112428E-2</v>
      </c>
      <c r="M50" s="820">
        <f t="shared" si="139"/>
        <v>3.6119711042311708E-2</v>
      </c>
      <c r="N50" s="820">
        <f t="shared" si="139"/>
        <v>5.7939914163090078E-2</v>
      </c>
      <c r="O50" s="820">
        <f t="shared" si="139"/>
        <v>4.8543689320388328E-2</v>
      </c>
      <c r="P50" s="820">
        <f t="shared" si="139"/>
        <v>-9.8814229249012397E-3</v>
      </c>
      <c r="Q50" s="820">
        <f t="shared" si="139"/>
        <v>-7.4701195219123551E-2</v>
      </c>
      <c r="R50" s="820">
        <f t="shared" si="139"/>
        <v>7.2008113590263712E-2</v>
      </c>
      <c r="S50" s="820">
        <f t="shared" si="139"/>
        <v>7.4074074074074181E-2</v>
      </c>
      <c r="T50" s="820">
        <f t="shared" si="139"/>
        <v>4.3912175648702645E-2</v>
      </c>
      <c r="U50" s="820">
        <f t="shared" si="139"/>
        <v>0.12809472551130252</v>
      </c>
      <c r="V50" s="820">
        <f t="shared" si="139"/>
        <v>-6.9063386944181682E-2</v>
      </c>
      <c r="W50" s="820">
        <f t="shared" si="139"/>
        <v>1.0536398467432928E-2</v>
      </c>
      <c r="X50" s="820">
        <f t="shared" si="139"/>
        <v>4.5889101338432159E-2</v>
      </c>
      <c r="Y50" s="820"/>
      <c r="AB50" s="820"/>
      <c r="AC50" s="820"/>
      <c r="AF50" s="820"/>
      <c r="AG50" s="820"/>
      <c r="AH50" s="820"/>
      <c r="AI50" s="820"/>
      <c r="AJ50" s="820"/>
      <c r="AK50" s="820"/>
      <c r="AL50" s="821"/>
      <c r="AP50" s="820" t="str">
        <f>IFERROR(AP49/AO49-1,"")</f>
        <v/>
      </c>
      <c r="AQ50" s="820">
        <f t="shared" ref="AQ50:AV50" si="140">IFERROR(AQ49/AP49-1,"")</f>
        <v>1.8403317781233719E-2</v>
      </c>
      <c r="AR50" s="820">
        <f t="shared" si="140"/>
        <v>7.8900483583608239E-3</v>
      </c>
      <c r="AS50" s="820">
        <f t="shared" si="140"/>
        <v>4.0909090909091006E-2</v>
      </c>
      <c r="AT50" s="820">
        <f t="shared" si="140"/>
        <v>5.0218340611353662E-2</v>
      </c>
      <c r="AU50" s="820">
        <f t="shared" si="140"/>
        <v>4.4489090275781296E-2</v>
      </c>
      <c r="AV50" s="820">
        <f t="shared" si="140"/>
        <v>2.9012201402435434E-2</v>
      </c>
      <c r="AW50" s="820">
        <f t="shared" ref="AW50" si="141">IFERROR(AW49/AV49-1,"")</f>
        <v>2.7930245064917703E-2</v>
      </c>
      <c r="AX50" s="820">
        <f t="shared" ref="AX50" si="142">IFERROR(AX49/AW49-1,"")</f>
        <v>2.8829769479367773E-2</v>
      </c>
      <c r="AY50" s="820">
        <f t="shared" ref="AY50" si="143">IFERROR(AY49/AX49-1,"")</f>
        <v>2.7322311217071071E-2</v>
      </c>
      <c r="BD50" s="820">
        <v>1.9948101920401529E-2</v>
      </c>
      <c r="BE50" s="820">
        <v>3.3156810374229462E-2</v>
      </c>
      <c r="BF50" s="820">
        <v>2.9180090176389895E-2</v>
      </c>
      <c r="BG50" s="820">
        <v>2.9744874028509338E-2</v>
      </c>
      <c r="BH50" s="820">
        <v>2.8876321424391005E-2</v>
      </c>
      <c r="BI50" s="820">
        <v>2.8135094945127781E-2</v>
      </c>
      <c r="BS50" s="820">
        <f t="shared" ref="BS50:BU50" si="144">IFERROR(BS49/BR49-1,"")</f>
        <v>5.0218340611353662E-2</v>
      </c>
      <c r="BT50" s="820">
        <f t="shared" si="144"/>
        <v>2.4961325363372477E-2</v>
      </c>
      <c r="BU50" s="820">
        <f t="shared" si="144"/>
        <v>1.2678733272557086E-2</v>
      </c>
      <c r="BV50" s="820">
        <f t="shared" ref="BV50" si="145">IFERROR(BV49/BU49-1,"")</f>
        <v>1.709967284912417E-2</v>
      </c>
      <c r="BW50" s="820">
        <f t="shared" ref="BW50" si="146">IFERROR(BW49/BV49-1,"")</f>
        <v>1.4516507229829667E-2</v>
      </c>
      <c r="BX50" s="820">
        <f t="shared" ref="BX50" si="147">IFERROR(BX49/BW49-1,"")</f>
        <v>1.8709666843693906E-2</v>
      </c>
    </row>
    <row r="51" spans="2:83">
      <c r="B51" s="804" t="s">
        <v>3</v>
      </c>
      <c r="C51" s="820">
        <f>C49/C$31</f>
        <v>0.40324647586501494</v>
      </c>
      <c r="D51" s="820">
        <f t="shared" ref="D51:X51" si="148">D49/D$31</f>
        <v>0.43607624360762437</v>
      </c>
      <c r="E51" s="820">
        <f t="shared" si="148"/>
        <v>0.43063714414821508</v>
      </c>
      <c r="F51" s="820">
        <f t="shared" si="148"/>
        <v>0.4086687306501548</v>
      </c>
      <c r="G51" s="820">
        <f t="shared" si="148"/>
        <v>0.42901785714285712</v>
      </c>
      <c r="H51" s="820">
        <f t="shared" si="148"/>
        <v>0.43799472295514513</v>
      </c>
      <c r="I51" s="820">
        <f t="shared" si="148"/>
        <v>0.42668428005284015</v>
      </c>
      <c r="J51" s="820">
        <f t="shared" si="148"/>
        <v>0.37947882736156352</v>
      </c>
      <c r="K51" s="820">
        <f t="shared" si="148"/>
        <v>0.385286783042394</v>
      </c>
      <c r="L51" s="820">
        <f t="shared" si="148"/>
        <v>0.41749174917491749</v>
      </c>
      <c r="M51" s="820">
        <f t="shared" si="148"/>
        <v>0.41746361746361749</v>
      </c>
      <c r="N51" s="820">
        <f t="shared" si="148"/>
        <v>0.38606108065779171</v>
      </c>
      <c r="O51" s="820">
        <f t="shared" si="148"/>
        <v>0.38479809976247031</v>
      </c>
      <c r="P51" s="820">
        <f t="shared" si="148"/>
        <v>0.40566801619433196</v>
      </c>
      <c r="Q51" s="820">
        <f t="shared" si="148"/>
        <v>0.38042588042588044</v>
      </c>
      <c r="R51" s="820">
        <f t="shared" si="148"/>
        <v>0.38548504741064915</v>
      </c>
      <c r="S51" s="820">
        <f t="shared" si="148"/>
        <v>0.40107568190549364</v>
      </c>
      <c r="T51" s="820">
        <f t="shared" si="148"/>
        <v>0.40448569218870845</v>
      </c>
      <c r="U51" s="820">
        <f t="shared" si="148"/>
        <v>0.40683229813664595</v>
      </c>
      <c r="V51" s="820">
        <f t="shared" si="148"/>
        <v>0.35510645976181882</v>
      </c>
      <c r="W51" s="820">
        <f t="shared" si="148"/>
        <v>0.40452453987730064</v>
      </c>
      <c r="X51" s="820">
        <f t="shared" si="148"/>
        <v>0.42701014832162371</v>
      </c>
      <c r="Y51" s="820"/>
      <c r="AB51" s="820">
        <f>AB49/AB$31</f>
        <v>0.4027751011755637</v>
      </c>
      <c r="AC51" s="820">
        <f>AC49/AC$31</f>
        <v>0.41566731141199226</v>
      </c>
      <c r="AF51" s="820">
        <f>AF49/AF$31</f>
        <v>0.38002618290630258</v>
      </c>
      <c r="AG51" s="820">
        <f>AG49/AG$31</f>
        <v>0.39890210430009149</v>
      </c>
      <c r="AH51" s="820"/>
      <c r="AI51" s="820"/>
      <c r="AJ51" s="820"/>
      <c r="AK51" s="820"/>
      <c r="AL51" s="821"/>
      <c r="AO51" s="820"/>
      <c r="AP51" s="820">
        <f>AP49/AP$31</f>
        <v>0.41748728492587384</v>
      </c>
      <c r="AQ51" s="820">
        <f t="shared" ref="AQ51:AV51" si="149">AQ49/AQ$31</f>
        <v>0.40136888344059657</v>
      </c>
      <c r="AR51" s="820">
        <f t="shared" si="149"/>
        <v>0.38899803536345778</v>
      </c>
      <c r="AS51" s="820">
        <f t="shared" si="149"/>
        <v>0.39123006833712987</v>
      </c>
      <c r="AT51" s="820">
        <f t="shared" si="149"/>
        <v>0.4070521861777151</v>
      </c>
      <c r="AU51" s="820">
        <f t="shared" si="149"/>
        <v>0.41309731668063632</v>
      </c>
      <c r="AV51" s="820">
        <f t="shared" si="149"/>
        <v>0.4147948433665038</v>
      </c>
      <c r="AW51" s="820">
        <f t="shared" ref="AW51:AY51" si="150">AW49/AW$31</f>
        <v>0.41619213648730491</v>
      </c>
      <c r="AX51" s="820">
        <f t="shared" si="150"/>
        <v>0.41765562415863322</v>
      </c>
      <c r="AY51" s="820">
        <f t="shared" si="150"/>
        <v>0.41907520656617486</v>
      </c>
      <c r="BD51" s="820">
        <v>0.39065802619350576</v>
      </c>
      <c r="BE51" s="820">
        <v>0.39220281449781896</v>
      </c>
      <c r="BF51" s="820">
        <v>0.39370073594579785</v>
      </c>
      <c r="BG51" s="820">
        <v>0.39510764737187093</v>
      </c>
      <c r="BH51" s="820">
        <v>0.39650310567140068</v>
      </c>
      <c r="BI51" s="820">
        <v>0.39788979910950434</v>
      </c>
      <c r="BS51" s="820">
        <f t="shared" ref="BS51:BU51" si="151">BS49/BS$31</f>
        <v>0.4070521861777151</v>
      </c>
      <c r="BT51" s="820">
        <f t="shared" si="151"/>
        <v>0.40663492059268169</v>
      </c>
      <c r="BU51" s="820">
        <f t="shared" si="151"/>
        <v>0.40252546638571784</v>
      </c>
      <c r="BV51" s="820">
        <f t="shared" ref="BV51:BX51" si="152">BV49/BV$31</f>
        <v>0.40025466238927354</v>
      </c>
      <c r="BW51" s="820">
        <f t="shared" si="152"/>
        <v>0.39856010175435935</v>
      </c>
      <c r="BX51" s="820">
        <f t="shared" si="152"/>
        <v>0.39731969116227595</v>
      </c>
    </row>
    <row r="52" spans="2:83">
      <c r="B52" s="804" t="s">
        <v>847</v>
      </c>
      <c r="C52" s="820"/>
      <c r="D52" s="820"/>
      <c r="E52" s="820"/>
      <c r="F52" s="820"/>
      <c r="G52" s="820"/>
      <c r="H52" s="820"/>
      <c r="I52" s="820"/>
      <c r="J52" s="820"/>
      <c r="K52" s="820">
        <f>(K49-G49)/(K$31-G$31)</f>
        <v>-0.20481927710843373</v>
      </c>
      <c r="L52" s="820">
        <f t="shared" ref="L52:W52" si="153">(L49-H49)/(L$31-H$31)</f>
        <v>0.10666666666666667</v>
      </c>
      <c r="M52" s="820">
        <f t="shared" si="153"/>
        <v>0.26119402985074625</v>
      </c>
      <c r="N52" s="820">
        <f t="shared" si="153"/>
        <v>0.55102040816326525</v>
      </c>
      <c r="O52" s="820">
        <f t="shared" si="153"/>
        <v>0.375</v>
      </c>
      <c r="P52" s="820">
        <f t="shared" si="153"/>
        <v>-0.21739130434782608</v>
      </c>
      <c r="Q52" s="820">
        <f t="shared" si="153"/>
        <v>-2.0270270270270272</v>
      </c>
      <c r="R52" s="820">
        <f t="shared" si="153"/>
        <v>0.37765957446808512</v>
      </c>
      <c r="S52" s="820">
        <f t="shared" si="153"/>
        <v>0.93506493506493504</v>
      </c>
      <c r="T52" s="820">
        <f t="shared" si="153"/>
        <v>0.37931034482758619</v>
      </c>
      <c r="U52" s="820">
        <f t="shared" si="153"/>
        <v>0.88805970149253732</v>
      </c>
      <c r="V52" s="820">
        <f t="shared" si="153"/>
        <v>-2.5172413793103448</v>
      </c>
      <c r="W52" s="820">
        <f t="shared" si="153"/>
        <v>2.2000000000000002</v>
      </c>
      <c r="X52" s="820">
        <f>(X49-T49)/(X$31-T$31)</f>
        <v>-2</v>
      </c>
      <c r="Y52" s="820"/>
      <c r="AB52" s="820"/>
      <c r="AC52" s="820"/>
      <c r="AF52" s="820"/>
      <c r="AG52" s="820"/>
      <c r="AH52" s="820"/>
      <c r="AI52" s="820"/>
      <c r="AJ52" s="820"/>
      <c r="AK52" s="820"/>
      <c r="AL52" s="821"/>
      <c r="AO52" s="820"/>
      <c r="AP52" s="820"/>
      <c r="AQ52" s="820"/>
      <c r="AR52" s="820"/>
      <c r="AS52" s="820"/>
      <c r="AT52" s="820"/>
      <c r="AU52" s="820"/>
      <c r="AV52" s="820"/>
      <c r="AW52" s="820"/>
      <c r="AX52" s="820"/>
      <c r="AY52" s="820"/>
      <c r="BD52" s="820"/>
      <c r="BE52" s="820"/>
      <c r="BF52" s="820"/>
      <c r="BG52" s="820"/>
      <c r="BH52" s="820"/>
      <c r="BI52" s="820"/>
      <c r="BS52" s="820"/>
      <c r="BT52" s="820"/>
      <c r="BU52" s="820"/>
      <c r="BV52" s="820"/>
      <c r="BW52" s="820"/>
      <c r="BX52" s="820"/>
    </row>
    <row r="53" spans="2:83">
      <c r="C53" s="820"/>
      <c r="D53" s="820"/>
      <c r="E53" s="820"/>
      <c r="F53" s="820"/>
      <c r="G53" s="820"/>
      <c r="H53" s="820"/>
      <c r="I53" s="820"/>
      <c r="J53" s="820"/>
      <c r="K53" s="820"/>
      <c r="L53" s="820"/>
      <c r="M53" s="820"/>
      <c r="N53" s="820"/>
      <c r="O53" s="820"/>
      <c r="P53" s="820"/>
      <c r="Q53" s="820"/>
      <c r="R53" s="820"/>
      <c r="S53" s="820"/>
      <c r="T53" s="820"/>
      <c r="U53" s="820"/>
      <c r="V53" s="820"/>
      <c r="W53" s="820"/>
      <c r="X53" s="820"/>
      <c r="Y53" s="820"/>
      <c r="AB53" s="820"/>
      <c r="AC53" s="820"/>
      <c r="AF53" s="820"/>
      <c r="AG53" s="820"/>
      <c r="AH53" s="820"/>
      <c r="AI53" s="820"/>
      <c r="AJ53" s="820"/>
      <c r="AK53" s="820"/>
      <c r="AL53" s="821"/>
      <c r="AO53" s="820"/>
      <c r="AP53" s="820"/>
      <c r="AQ53" s="820"/>
      <c r="AR53" s="820"/>
      <c r="AS53" s="820"/>
      <c r="AT53" s="820"/>
      <c r="AU53" s="820"/>
      <c r="AV53" s="820"/>
      <c r="AW53" s="820"/>
      <c r="AX53" s="820"/>
      <c r="AY53" s="820"/>
      <c r="BD53" s="820"/>
      <c r="BE53" s="820"/>
      <c r="BF53" s="820"/>
      <c r="BG53" s="820"/>
      <c r="BH53" s="820"/>
      <c r="BI53" s="820"/>
      <c r="BS53" s="820"/>
      <c r="BT53" s="820"/>
      <c r="BU53" s="820"/>
      <c r="BV53" s="820"/>
      <c r="BW53" s="820"/>
      <c r="BX53" s="820"/>
    </row>
    <row r="54" spans="2:83">
      <c r="B54" s="861" t="s">
        <v>682</v>
      </c>
      <c r="C54" s="862"/>
      <c r="D54" s="862"/>
      <c r="E54" s="862"/>
      <c r="F54" s="862"/>
      <c r="G54" s="862"/>
      <c r="H54" s="862"/>
      <c r="I54" s="862"/>
      <c r="J54" s="862"/>
      <c r="K54" s="862"/>
      <c r="L54" s="862"/>
      <c r="M54" s="862"/>
      <c r="N54" s="862"/>
      <c r="O54" s="862"/>
      <c r="P54" s="862"/>
      <c r="Q54" s="862"/>
      <c r="R54" s="862"/>
      <c r="S54" s="862"/>
      <c r="T54" s="862"/>
      <c r="U54" s="862"/>
      <c r="V54" s="862"/>
      <c r="W54" s="862"/>
      <c r="X54" s="862"/>
      <c r="Y54" s="862"/>
      <c r="Z54" s="863"/>
      <c r="AA54" s="863"/>
      <c r="AB54" s="862"/>
      <c r="AC54" s="862"/>
      <c r="AD54" s="864"/>
      <c r="AE54" s="863"/>
      <c r="AF54" s="862"/>
      <c r="AG54" s="862"/>
      <c r="AH54" s="865"/>
      <c r="AI54" s="862"/>
      <c r="AJ54" s="862"/>
      <c r="AK54" s="865"/>
      <c r="AL54" s="862"/>
      <c r="AM54" s="866"/>
      <c r="AN54" s="863"/>
      <c r="AO54" s="862"/>
      <c r="AP54" s="862"/>
      <c r="AQ54" s="862"/>
      <c r="AR54" s="862"/>
      <c r="AS54" s="862"/>
      <c r="AT54" s="862"/>
      <c r="AU54" s="862"/>
      <c r="AV54" s="862"/>
      <c r="AW54" s="862"/>
      <c r="AX54" s="862"/>
      <c r="AY54" s="862"/>
      <c r="AZ54" s="863"/>
      <c r="BA54" s="992"/>
      <c r="BB54" s="992"/>
      <c r="BC54" s="863"/>
      <c r="BD54" s="862"/>
      <c r="BE54" s="862"/>
      <c r="BF54" s="862"/>
      <c r="BG54" s="862"/>
      <c r="BH54" s="862"/>
      <c r="BI54" s="862"/>
      <c r="BJ54" s="863"/>
      <c r="BK54" s="863"/>
      <c r="BL54" s="863"/>
      <c r="BM54" s="863"/>
      <c r="BN54" s="863"/>
      <c r="BO54" s="863"/>
      <c r="BP54" s="863"/>
    </row>
    <row r="55" spans="2:83">
      <c r="B55" s="867" t="s">
        <v>2</v>
      </c>
      <c r="C55" s="862"/>
      <c r="D55" s="862"/>
      <c r="E55" s="862"/>
      <c r="F55" s="862"/>
      <c r="G55" s="862"/>
      <c r="H55" s="862"/>
      <c r="I55" s="862"/>
      <c r="J55" s="862"/>
      <c r="K55" s="862"/>
      <c r="L55" s="862"/>
      <c r="M55" s="862"/>
      <c r="N55" s="862"/>
      <c r="O55" s="862"/>
      <c r="P55" s="862"/>
      <c r="Q55" s="862"/>
      <c r="R55" s="862"/>
      <c r="S55" s="862"/>
      <c r="T55" s="862"/>
      <c r="U55" s="862"/>
      <c r="V55" s="862"/>
      <c r="W55" s="862"/>
      <c r="X55" s="862"/>
      <c r="Y55" s="862"/>
      <c r="Z55" s="863"/>
      <c r="AA55" s="863"/>
      <c r="AB55" s="862"/>
      <c r="AC55" s="862"/>
      <c r="AD55" s="864"/>
      <c r="AE55" s="863"/>
      <c r="AF55" s="862"/>
      <c r="AG55" s="862"/>
      <c r="AH55" s="865"/>
      <c r="AI55" s="862"/>
      <c r="AJ55" s="862"/>
      <c r="AK55" s="865"/>
      <c r="AL55" s="862"/>
      <c r="AM55" s="866"/>
      <c r="AN55" s="863"/>
      <c r="AO55" s="862"/>
      <c r="AP55" s="862"/>
      <c r="AQ55" s="862"/>
      <c r="AR55" s="862"/>
      <c r="AS55" s="862"/>
      <c r="AT55" s="862" t="str">
        <f>'Income Statement'!CN41</f>
        <v xml:space="preserve">Upgraded to LSD from "marginal to LSD" </v>
      </c>
      <c r="AU55" s="862"/>
      <c r="AV55" s="862"/>
      <c r="AW55" s="862"/>
      <c r="AX55" s="862"/>
      <c r="AY55" s="862"/>
      <c r="AZ55" s="863"/>
      <c r="BA55" s="992"/>
      <c r="BB55" s="992"/>
      <c r="BC55" s="863"/>
      <c r="BD55" s="862" t="s">
        <v>796</v>
      </c>
      <c r="BE55" s="862"/>
      <c r="BF55" s="862"/>
      <c r="BG55" s="862"/>
      <c r="BH55" s="862"/>
      <c r="BI55" s="862"/>
      <c r="BJ55" s="863"/>
      <c r="BK55" s="863"/>
      <c r="BL55" s="863"/>
      <c r="BM55" s="863"/>
      <c r="BN55" s="863"/>
      <c r="BO55" s="863"/>
      <c r="BP55" s="863"/>
    </row>
    <row r="57" spans="2:83">
      <c r="B57" s="802" t="s">
        <v>75</v>
      </c>
    </row>
    <row r="58" spans="2:83">
      <c r="B58" s="834" t="s">
        <v>75</v>
      </c>
      <c r="C58" s="826">
        <f>'Income Statement'!BK471</f>
        <v>597</v>
      </c>
      <c r="D58" s="826">
        <f>'Income Statement'!BL471</f>
        <v>572</v>
      </c>
      <c r="E58" s="826">
        <f>'Income Statement'!BM471</f>
        <v>612</v>
      </c>
      <c r="F58" s="826">
        <f>'Income Statement'!BN471</f>
        <v>558</v>
      </c>
      <c r="G58" s="826">
        <f>'Income Statement'!BP471</f>
        <v>538</v>
      </c>
      <c r="H58" s="826">
        <f>'Income Statement'!BQ471</f>
        <v>548</v>
      </c>
      <c r="I58" s="826">
        <f>'Income Statement'!BR471</f>
        <v>525</v>
      </c>
      <c r="J58" s="826">
        <f>'Income Statement'!BS471</f>
        <v>471</v>
      </c>
      <c r="K58" s="826">
        <f>'Income Statement'!BU471</f>
        <v>520</v>
      </c>
      <c r="L58" s="826">
        <f>'Income Statement'!BV471</f>
        <v>597</v>
      </c>
      <c r="M58" s="826">
        <f>'Income Statement'!BW471</f>
        <v>574</v>
      </c>
      <c r="N58" s="826">
        <f>'Income Statement'!BX471</f>
        <v>518</v>
      </c>
      <c r="O58" s="826">
        <f>'Income Statement'!BZ471</f>
        <v>541</v>
      </c>
      <c r="P58" s="826">
        <f>'Income Statement'!CA471</f>
        <v>568</v>
      </c>
      <c r="Q58" s="826">
        <f>'Income Statement'!CB471</f>
        <v>492</v>
      </c>
      <c r="R58" s="826">
        <f>'Income Statement'!CC471</f>
        <v>289</v>
      </c>
      <c r="S58" s="826">
        <f>'Income Statement'!CE471</f>
        <v>595</v>
      </c>
      <c r="T58" s="826">
        <f>'Income Statement'!CF471</f>
        <v>595</v>
      </c>
      <c r="U58" s="826">
        <f>'Income Statement'!CG471</f>
        <v>597</v>
      </c>
      <c r="V58" s="826">
        <f>'Income Statement'!CH471</f>
        <v>537</v>
      </c>
      <c r="W58" s="826">
        <f>'Income Statement'!CJ471</f>
        <v>611</v>
      </c>
      <c r="X58" s="826">
        <f>'Income Statement'!CK471</f>
        <v>647</v>
      </c>
      <c r="Y58" s="827"/>
      <c r="AB58" s="833">
        <f>SUMIFS($C58:Z58,$C$6:Z$6,"&lt;="&amp;AB$6,$C$6:Z$6,"&gt;"&amp;DATE(YEAR($AB$6)-1,12,31))</f>
        <v>1190</v>
      </c>
      <c r="AC58" s="833">
        <f>SUMIFS($C58:Z58,$C$6:Z$6,"&lt;="&amp;AC$6,$C$6:Z$6,"&gt;"&amp;DATE(YEAR($AC$6)-1,12,31))</f>
        <v>1258</v>
      </c>
      <c r="AD58" s="835">
        <f>AC58/AB58-1</f>
        <v>5.7142857142857162E-2</v>
      </c>
      <c r="AF58" s="833">
        <f t="shared" ref="AF58:AG58" si="154">AI58-AB58</f>
        <v>1134</v>
      </c>
      <c r="AG58" s="833">
        <f t="shared" si="154"/>
        <v>1263</v>
      </c>
      <c r="AH58" s="836">
        <f t="shared" ref="AH58" si="155">AG58/AF58-1</f>
        <v>0.11375661375661372</v>
      </c>
      <c r="AI58" s="833">
        <f>SUMIFS($AO58:$AZ58,$AO$5:$AZ$5,AI$6)</f>
        <v>2324</v>
      </c>
      <c r="AJ58" s="833">
        <f>SUMIFS($AO58:$AZ58,$AO$5:$AZ$5,AJ$6)</f>
        <v>2521</v>
      </c>
      <c r="AK58" s="836">
        <f t="shared" ref="AK58" si="156">AJ58/AI58-1</f>
        <v>8.476764199655773E-2</v>
      </c>
      <c r="AL58" s="827"/>
      <c r="AO58" s="833"/>
      <c r="AP58" s="826">
        <f>'Income Statement'!BT471</f>
        <v>2082</v>
      </c>
      <c r="AQ58" s="826">
        <f>'Income Statement'!BY471</f>
        <v>2209</v>
      </c>
      <c r="AR58" s="826">
        <f>'Income Statement'!CD471</f>
        <v>1890</v>
      </c>
      <c r="AS58" s="826">
        <f>'Income Statement'!CI471</f>
        <v>2324</v>
      </c>
      <c r="AT58" s="826">
        <f>'Income Statement'!CN471</f>
        <v>2521</v>
      </c>
      <c r="AU58" s="826">
        <f>'Income Statement'!CQ471</f>
        <v>2808.9732718038576</v>
      </c>
      <c r="AV58" s="826">
        <f>'Income Statement'!CR471</f>
        <v>2936.5606269771351</v>
      </c>
      <c r="AW58" s="826">
        <f>'Income Statement'!CS471</f>
        <v>3056.3849942727456</v>
      </c>
      <c r="AX58" s="826">
        <f>'Income Statement'!CT471</f>
        <v>3189.161915731187</v>
      </c>
      <c r="AY58" s="826">
        <f>'Income Statement'!CU471</f>
        <v>3336.7783165555588</v>
      </c>
      <c r="AZ58" s="869"/>
      <c r="BA58" s="995">
        <f>(AV58/AS58)^(1/3)-1</f>
        <v>8.1104352815474456E-2</v>
      </c>
      <c r="BB58" s="995">
        <f>(AY58/AS58)^(1/6)-1</f>
        <v>6.2140262237888155E-2</v>
      </c>
      <c r="BC58" s="869"/>
      <c r="BD58" s="826">
        <v>2508.1197873301448</v>
      </c>
      <c r="BE58" s="826">
        <v>2705.9674680263847</v>
      </c>
      <c r="BF58" s="826">
        <v>2867.0140636947158</v>
      </c>
      <c r="BG58" s="826">
        <v>3017.6751824092526</v>
      </c>
      <c r="BH58" s="826">
        <v>3155.6956095622754</v>
      </c>
      <c r="BI58" s="826">
        <v>3284.9108145221903</v>
      </c>
      <c r="BJ58" s="869"/>
      <c r="BK58" s="860">
        <f t="shared" ref="BK58:BP58" si="157">IFERROR(AT58/BD58-1,"")</f>
        <v>5.1354057070638337E-3</v>
      </c>
      <c r="BL58" s="860">
        <f t="shared" si="157"/>
        <v>3.8066164872484931E-2</v>
      </c>
      <c r="BM58" s="860">
        <f t="shared" si="157"/>
        <v>2.42574894079155E-2</v>
      </c>
      <c r="BN58" s="860">
        <f t="shared" si="157"/>
        <v>1.2827693347893021E-2</v>
      </c>
      <c r="BO58" s="860">
        <f t="shared" si="157"/>
        <v>1.0605048873377765E-2</v>
      </c>
      <c r="BP58" s="860">
        <f t="shared" si="157"/>
        <v>1.5789622599209796E-2</v>
      </c>
      <c r="BQ58" s="869"/>
      <c r="BR58" s="869"/>
      <c r="BS58" s="869"/>
      <c r="BT58" s="869"/>
      <c r="BU58" s="869"/>
      <c r="BV58" s="869"/>
      <c r="BW58" s="869"/>
      <c r="BX58" s="869"/>
      <c r="BY58" s="869"/>
      <c r="BZ58" s="869"/>
      <c r="CA58" s="869"/>
      <c r="CB58" s="869"/>
      <c r="CC58" s="869"/>
      <c r="CD58" s="869"/>
      <c r="CE58" s="869"/>
    </row>
    <row r="59" spans="2:83">
      <c r="B59" s="804" t="s">
        <v>0</v>
      </c>
      <c r="C59" s="820"/>
      <c r="D59" s="820"/>
      <c r="E59" s="820"/>
      <c r="F59" s="820"/>
      <c r="G59" s="820">
        <f t="shared" ref="G59:X59" si="158">G58/C58-1</f>
        <v>-9.8827470686767116E-2</v>
      </c>
      <c r="H59" s="820">
        <f t="shared" si="158"/>
        <v>-4.1958041958041981E-2</v>
      </c>
      <c r="I59" s="820">
        <f t="shared" si="158"/>
        <v>-0.14215686274509809</v>
      </c>
      <c r="J59" s="820">
        <f t="shared" si="158"/>
        <v>-0.15591397849462363</v>
      </c>
      <c r="K59" s="820">
        <f t="shared" si="158"/>
        <v>-3.3457249070631967E-2</v>
      </c>
      <c r="L59" s="820">
        <f t="shared" si="158"/>
        <v>8.9416058394160558E-2</v>
      </c>
      <c r="M59" s="820">
        <f t="shared" si="158"/>
        <v>9.3333333333333268E-2</v>
      </c>
      <c r="N59" s="820">
        <f t="shared" si="158"/>
        <v>9.9787685774946899E-2</v>
      </c>
      <c r="O59" s="820">
        <f t="shared" si="158"/>
        <v>4.0384615384615463E-2</v>
      </c>
      <c r="P59" s="820">
        <f t="shared" si="158"/>
        <v>-4.8576214405360085E-2</v>
      </c>
      <c r="Q59" s="820">
        <f t="shared" si="158"/>
        <v>-0.1428571428571429</v>
      </c>
      <c r="R59" s="820">
        <f t="shared" si="158"/>
        <v>-0.44208494208494209</v>
      </c>
      <c r="S59" s="820">
        <f t="shared" si="158"/>
        <v>9.9815157116450948E-2</v>
      </c>
      <c r="T59" s="820">
        <f t="shared" si="158"/>
        <v>4.7535211267605737E-2</v>
      </c>
      <c r="U59" s="820">
        <f t="shared" si="158"/>
        <v>0.21341463414634143</v>
      </c>
      <c r="V59" s="820">
        <f t="shared" si="158"/>
        <v>0.8581314878892734</v>
      </c>
      <c r="W59" s="820">
        <f t="shared" si="158"/>
        <v>2.6890756302520913E-2</v>
      </c>
      <c r="X59" s="820">
        <f t="shared" si="158"/>
        <v>8.7394957983193189E-2</v>
      </c>
      <c r="Y59" s="820"/>
      <c r="AB59" s="820"/>
      <c r="AC59" s="820"/>
      <c r="AF59" s="820"/>
      <c r="AG59" s="820"/>
      <c r="AH59" s="820"/>
      <c r="AI59" s="820"/>
      <c r="AJ59" s="820"/>
      <c r="AK59" s="820"/>
      <c r="AL59" s="821"/>
      <c r="AP59" s="820" t="str">
        <f>IFERROR(AP58/AO58-1,"")</f>
        <v/>
      </c>
      <c r="AQ59" s="820">
        <f t="shared" ref="AQ59:AV59" si="159">IFERROR(AQ58/AP58-1,"")</f>
        <v>6.0999039385206455E-2</v>
      </c>
      <c r="AR59" s="820">
        <f t="shared" si="159"/>
        <v>-0.14440923494794022</v>
      </c>
      <c r="AS59" s="820">
        <f t="shared" si="159"/>
        <v>0.22962962962962963</v>
      </c>
      <c r="AT59" s="820">
        <f t="shared" si="159"/>
        <v>8.476764199655773E-2</v>
      </c>
      <c r="AU59" s="820">
        <f t="shared" si="159"/>
        <v>0.11422977858145877</v>
      </c>
      <c r="AV59" s="820">
        <f t="shared" si="159"/>
        <v>4.5421348951228735E-2</v>
      </c>
      <c r="AW59" s="820">
        <f t="shared" ref="AW59" si="160">IFERROR(AW58/AV58-1,"")</f>
        <v>4.080432264698608E-2</v>
      </c>
      <c r="AX59" s="820">
        <f t="shared" ref="AX59" si="161">IFERROR(AX58/AW58-1,"")</f>
        <v>4.3442472629347195E-2</v>
      </c>
      <c r="AY59" s="820">
        <f t="shared" ref="AY59" si="162">IFERROR(AY58/AX58-1,"")</f>
        <v>4.6286894402013168E-2</v>
      </c>
      <c r="BD59" s="820">
        <v>7.922538181159422E-2</v>
      </c>
      <c r="BE59" s="820">
        <v>7.8882867435468684E-2</v>
      </c>
      <c r="BF59" s="820">
        <v>5.9515348048803984E-2</v>
      </c>
      <c r="BG59" s="820">
        <v>5.2549835950361556E-2</v>
      </c>
      <c r="BH59" s="820">
        <v>4.5737337125472122E-2</v>
      </c>
      <c r="BI59" s="820">
        <v>4.0946663096520286E-2</v>
      </c>
    </row>
    <row r="60" spans="2:83">
      <c r="B60" s="804" t="s">
        <v>712</v>
      </c>
      <c r="C60" s="820">
        <f>C58/C$31</f>
        <v>0.25501922255446391</v>
      </c>
      <c r="D60" s="820">
        <f t="shared" ref="D60:AB60" si="163">D58/D$31</f>
        <v>0.26592282659228267</v>
      </c>
      <c r="E60" s="820">
        <f t="shared" si="163"/>
        <v>0.27654767284229553</v>
      </c>
      <c r="F60" s="820">
        <f t="shared" si="163"/>
        <v>0.24679345422379478</v>
      </c>
      <c r="G60" s="820">
        <f t="shared" si="163"/>
        <v>0.24017857142857144</v>
      </c>
      <c r="H60" s="820">
        <f t="shared" si="163"/>
        <v>0.24098504837291118</v>
      </c>
      <c r="I60" s="820">
        <f t="shared" si="163"/>
        <v>0.23117569352708059</v>
      </c>
      <c r="J60" s="820">
        <f t="shared" si="163"/>
        <v>0.19177524429967427</v>
      </c>
      <c r="K60" s="820">
        <f t="shared" si="163"/>
        <v>0.21612635078969245</v>
      </c>
      <c r="L60" s="820">
        <f t="shared" si="163"/>
        <v>0.24628712871287128</v>
      </c>
      <c r="M60" s="820">
        <f t="shared" si="163"/>
        <v>0.23866943866943868</v>
      </c>
      <c r="N60" s="820">
        <f t="shared" si="163"/>
        <v>0.20281910728269381</v>
      </c>
      <c r="O60" s="820">
        <f t="shared" si="163"/>
        <v>0.21417260490894696</v>
      </c>
      <c r="P60" s="820">
        <f t="shared" si="163"/>
        <v>0.22995951417004049</v>
      </c>
      <c r="Q60" s="820">
        <f t="shared" si="163"/>
        <v>0.20147420147420148</v>
      </c>
      <c r="R60" s="820">
        <f t="shared" si="163"/>
        <v>0.10539752005835157</v>
      </c>
      <c r="S60" s="820">
        <f t="shared" si="163"/>
        <v>0.228582404917403</v>
      </c>
      <c r="T60" s="820">
        <f t="shared" si="163"/>
        <v>0.23008507347254448</v>
      </c>
      <c r="U60" s="820">
        <f t="shared" si="163"/>
        <v>0.23175465838509315</v>
      </c>
      <c r="V60" s="820">
        <f t="shared" si="163"/>
        <v>0.19379285456513895</v>
      </c>
      <c r="W60" s="820">
        <f t="shared" si="163"/>
        <v>0.23427914110429449</v>
      </c>
      <c r="X60" s="820">
        <f t="shared" si="163"/>
        <v>0.25253708040593287</v>
      </c>
      <c r="Y60" s="820"/>
      <c r="AB60" s="820">
        <f t="shared" si="163"/>
        <v>0.2293312777028329</v>
      </c>
      <c r="AC60" s="820">
        <f>AC58/AC$31</f>
        <v>0.24332688588007736</v>
      </c>
      <c r="AF60" s="820">
        <f>AF58/AF$31</f>
        <v>0.21208154105105667</v>
      </c>
      <c r="AG60" s="820">
        <f>AG58/AG$31</f>
        <v>0.23110704483074107</v>
      </c>
      <c r="AH60" s="820"/>
      <c r="AI60" s="820"/>
      <c r="AJ60" s="820"/>
      <c r="AK60" s="820"/>
      <c r="AL60" s="821"/>
      <c r="AO60" s="820"/>
      <c r="AP60" s="820">
        <f>AP58/AP$31</f>
        <v>0.22530029217617142</v>
      </c>
      <c r="AQ60" s="820">
        <f t="shared" ref="AQ60:AV60" si="164">AQ58/AQ$31</f>
        <v>0.22566145673715396</v>
      </c>
      <c r="AR60" s="820">
        <f t="shared" si="164"/>
        <v>0.1856581532416503</v>
      </c>
      <c r="AS60" s="820">
        <f t="shared" si="164"/>
        <v>0.22057706909643129</v>
      </c>
      <c r="AT60" s="820">
        <f t="shared" si="164"/>
        <v>0.23704748472026327</v>
      </c>
      <c r="AU60" s="820">
        <f t="shared" si="164"/>
        <v>0.25663062806772008</v>
      </c>
      <c r="AV60" s="820">
        <f t="shared" si="164"/>
        <v>0.26179436956582025</v>
      </c>
      <c r="AW60" s="820">
        <f t="shared" ref="AW60:AY60" si="165">AW58/AW$31</f>
        <v>0.26596608850060838</v>
      </c>
      <c r="AX60" s="820">
        <f t="shared" si="165"/>
        <v>0.27069218524251892</v>
      </c>
      <c r="AY60" s="820">
        <f t="shared" si="165"/>
        <v>0.27662626766494425</v>
      </c>
      <c r="BD60" s="820">
        <v>0.23305528956722543</v>
      </c>
      <c r="BE60" s="820">
        <v>0.24433235029712072</v>
      </c>
      <c r="BF60" s="820">
        <v>0.25249475990932924</v>
      </c>
      <c r="BG60" s="820">
        <v>0.25900885239835303</v>
      </c>
      <c r="BH60" s="820">
        <v>0.26418320663184808</v>
      </c>
      <c r="BI60" s="820">
        <v>0.2684106306739637</v>
      </c>
    </row>
    <row r="62" spans="2:83">
      <c r="B62" s="837" t="s">
        <v>302</v>
      </c>
      <c r="C62" s="850">
        <f>'Income Statement'!BK476</f>
        <v>-102</v>
      </c>
      <c r="D62" s="850">
        <f>'Income Statement'!BL476</f>
        <v>-103</v>
      </c>
      <c r="E62" s="850">
        <f>'Income Statement'!BM476</f>
        <v>-99</v>
      </c>
      <c r="F62" s="850">
        <f>'Income Statement'!BN476</f>
        <v>-101</v>
      </c>
      <c r="G62" s="850">
        <f>'Income Statement'!BP476</f>
        <v>-109</v>
      </c>
      <c r="H62" s="850">
        <f>'Income Statement'!BQ476</f>
        <v>-110</v>
      </c>
      <c r="I62" s="850">
        <f>'Income Statement'!BR476</f>
        <v>-99</v>
      </c>
      <c r="J62" s="850">
        <f>'Income Statement'!BS476</f>
        <v>-94</v>
      </c>
      <c r="K62" s="850">
        <f>'Income Statement'!BU476</f>
        <v>-91</v>
      </c>
      <c r="L62" s="850">
        <f>'Income Statement'!BV476</f>
        <v>-99</v>
      </c>
      <c r="M62" s="850">
        <f>'Income Statement'!BW476</f>
        <v>-106</v>
      </c>
      <c r="N62" s="850">
        <f>'Income Statement'!BX476</f>
        <v>-111</v>
      </c>
      <c r="O62" s="850">
        <f>'Income Statement'!BZ476</f>
        <v>-112</v>
      </c>
      <c r="P62" s="850">
        <f>'Income Statement'!CA476</f>
        <v>-115</v>
      </c>
      <c r="Q62" s="850">
        <f>'Income Statement'!CB476</f>
        <v>-108</v>
      </c>
      <c r="R62" s="850">
        <f>'Income Statement'!CC476</f>
        <v>-111</v>
      </c>
      <c r="S62" s="850">
        <f>'Income Statement'!CE476</f>
        <v>-116</v>
      </c>
      <c r="T62" s="850">
        <f>'Income Statement'!CF476</f>
        <v>-112</v>
      </c>
      <c r="U62" s="850">
        <f>'Income Statement'!CG476</f>
        <v>-110</v>
      </c>
      <c r="V62" s="850">
        <f>'Income Statement'!CH476</f>
        <v>-109</v>
      </c>
      <c r="W62" s="850">
        <f>'Income Statement'!CJ476</f>
        <v>-111</v>
      </c>
      <c r="X62" s="850">
        <f>'Income Statement'!CK476</f>
        <v>-110</v>
      </c>
      <c r="Y62" s="819"/>
      <c r="AB62" s="819">
        <f>SUMIFS($C62:Z62,$C$6:Z$6,"&lt;="&amp;AB$6,$C$6:Z$6,"&gt;"&amp;DATE(YEAR($AB$6)-1,12,31))</f>
        <v>-228</v>
      </c>
      <c r="AC62" s="819">
        <f>SUMIFS($C62:Z62,$C$6:Z$6,"&lt;="&amp;AC$6,$C$6:Z$6,"&gt;"&amp;DATE(YEAR($AC$6)-1,12,31))</f>
        <v>-221</v>
      </c>
      <c r="AD62" s="824">
        <f>AC62/AB62-1</f>
        <v>-3.0701754385964897E-2</v>
      </c>
      <c r="AF62" s="819">
        <f t="shared" ref="AF62:AG62" si="166">AI62-AB62</f>
        <v>-219</v>
      </c>
      <c r="AG62" s="819">
        <f t="shared" si="166"/>
        <v>-211</v>
      </c>
      <c r="AH62" s="824">
        <f t="shared" ref="AH62" si="167">AG62/AF62-1</f>
        <v>-3.6529680365296802E-2</v>
      </c>
      <c r="AI62" s="819">
        <f>SUMIFS($AO62:$AZ62,$AO$5:$AZ$5,AI$6)</f>
        <v>-447</v>
      </c>
      <c r="AJ62" s="819">
        <f>SUMIFS($AO62:$AZ62,$AO$5:$AZ$5,AJ$6)</f>
        <v>-432</v>
      </c>
      <c r="AK62" s="824">
        <f t="shared" ref="AK62:AK65" si="168">AJ62/AI62-1</f>
        <v>-3.3557046979865723E-2</v>
      </c>
      <c r="AL62" s="819"/>
      <c r="AO62" s="819"/>
      <c r="AP62" s="850">
        <f>'Income Statement'!BT476</f>
        <v>-412</v>
      </c>
      <c r="AQ62" s="850">
        <f>'Income Statement'!BY476</f>
        <v>-407</v>
      </c>
      <c r="AR62" s="850">
        <f>'Income Statement'!CD476</f>
        <v>-446</v>
      </c>
      <c r="AS62" s="850">
        <f>'Income Statement'!CI476</f>
        <v>-447</v>
      </c>
      <c r="AT62" s="850">
        <f>'Income Statement'!CN476</f>
        <v>-432</v>
      </c>
      <c r="AU62" s="850">
        <f>'Income Statement'!CQ476</f>
        <v>-432.2472885032538</v>
      </c>
      <c r="AV62" s="850">
        <f>'Income Statement'!CR476</f>
        <v>-404.22957606993174</v>
      </c>
      <c r="AW62" s="850">
        <f>'Income Statement'!CS476</f>
        <v>-371.2795361682812</v>
      </c>
      <c r="AX62" s="850">
        <f>'Income Statement'!CT476</f>
        <v>-338.41561780012677</v>
      </c>
      <c r="AY62" s="850">
        <f>'Income Statement'!CU476</f>
        <v>-305.78952964444761</v>
      </c>
      <c r="BA62" s="993">
        <f>(AV62/AS62)^(1/3)-1</f>
        <v>-3.2969464837481866E-2</v>
      </c>
      <c r="BB62" s="993">
        <f>(AY62/AS62)^(1/6)-1</f>
        <v>-6.131650581431769E-2</v>
      </c>
      <c r="BD62" s="850">
        <v>-450.45595353339786</v>
      </c>
      <c r="BE62" s="850">
        <v>-427.0592851967001</v>
      </c>
      <c r="BF62" s="850">
        <v>-407.26237626630041</v>
      </c>
      <c r="BG62" s="850">
        <v>-390.31526941688435</v>
      </c>
      <c r="BH62" s="850">
        <v>-375.11378692566967</v>
      </c>
      <c r="BI62" s="850">
        <v>-361.21323900581797</v>
      </c>
      <c r="BK62" s="854">
        <f t="shared" ref="BK62:BP62" si="169">IFERROR(AT62/BD62-1,"")</f>
        <v>-4.0971716299070926E-2</v>
      </c>
      <c r="BL62" s="854">
        <f t="shared" si="169"/>
        <v>1.2148203976326544E-2</v>
      </c>
      <c r="BM62" s="854">
        <f t="shared" si="169"/>
        <v>-7.446796888464835E-3</v>
      </c>
      <c r="BN62" s="854">
        <f t="shared" si="169"/>
        <v>-4.8770147468331859E-2</v>
      </c>
      <c r="BO62" s="854">
        <f t="shared" si="169"/>
        <v>-9.7832098964719671E-2</v>
      </c>
      <c r="BP62" s="854">
        <f t="shared" si="169"/>
        <v>-0.15343764673165161</v>
      </c>
    </row>
    <row r="63" spans="2:83">
      <c r="B63" s="837"/>
      <c r="AB63" s="819"/>
      <c r="AC63" s="819"/>
      <c r="AD63" s="824"/>
      <c r="AF63" s="819"/>
      <c r="AG63" s="819"/>
      <c r="AH63" s="819"/>
      <c r="AI63" s="819"/>
      <c r="AJ63" s="819"/>
      <c r="AK63" s="819"/>
      <c r="AL63" s="819"/>
    </row>
    <row r="64" spans="2:83">
      <c r="B64" s="838" t="s">
        <v>841</v>
      </c>
      <c r="C64" s="826">
        <f>'Income Statement'!BK479</f>
        <v>477</v>
      </c>
      <c r="D64" s="826">
        <f>'Income Statement'!BL479</f>
        <v>450</v>
      </c>
      <c r="E64" s="826">
        <f>'Income Statement'!BM479</f>
        <v>489</v>
      </c>
      <c r="F64" s="826">
        <f>'Income Statement'!BN479</f>
        <v>431</v>
      </c>
      <c r="G64" s="826">
        <f>'Income Statement'!BP479</f>
        <v>453</v>
      </c>
      <c r="H64" s="826">
        <f>'Income Statement'!BQ479</f>
        <v>484</v>
      </c>
      <c r="I64" s="826">
        <f>'Income Statement'!BR479</f>
        <v>441</v>
      </c>
      <c r="J64" s="826">
        <f>'Income Statement'!BS479</f>
        <v>384</v>
      </c>
      <c r="K64" s="826">
        <f>'Income Statement'!BU479</f>
        <v>429</v>
      </c>
      <c r="L64" s="826">
        <f>'Income Statement'!BV479</f>
        <v>498</v>
      </c>
      <c r="M64" s="826">
        <f>'Income Statement'!BW479</f>
        <v>468</v>
      </c>
      <c r="N64" s="826">
        <f>'Income Statement'!BX479</f>
        <v>407</v>
      </c>
      <c r="O64" s="826">
        <f>'Income Statement'!BZ479</f>
        <v>429</v>
      </c>
      <c r="P64" s="826">
        <f>'Income Statement'!CA479</f>
        <v>453</v>
      </c>
      <c r="Q64" s="826">
        <f>'Income Statement'!CB479</f>
        <v>384</v>
      </c>
      <c r="R64" s="826">
        <f>'Income Statement'!CC479</f>
        <v>178</v>
      </c>
      <c r="S64" s="826">
        <f>'Income Statement'!CE479</f>
        <v>479</v>
      </c>
      <c r="T64" s="826">
        <f>'Income Statement'!CF479</f>
        <v>483</v>
      </c>
      <c r="U64" s="826">
        <f>'Income Statement'!CG479</f>
        <v>487</v>
      </c>
      <c r="V64" s="826">
        <f>'Income Statement'!CH479</f>
        <v>428</v>
      </c>
      <c r="W64" s="826">
        <f>'Income Statement'!CJ479</f>
        <v>500</v>
      </c>
      <c r="X64" s="826">
        <f>'Income Statement'!CK479</f>
        <v>537</v>
      </c>
      <c r="Y64" s="827"/>
      <c r="AB64" s="833">
        <f>SUMIFS($C64:Z64,$C$6:Z$6,"&lt;="&amp;AB$6,$C$6:Z$6,"&gt;"&amp;DATE(YEAR($AB$6)-1,12,31))</f>
        <v>962</v>
      </c>
      <c r="AC64" s="833">
        <f>SUMIFS($C64:Z64,$C$6:Z$6,"&lt;="&amp;AC$6,$C$6:Z$6,"&gt;"&amp;DATE(YEAR($AC$6)-1,12,31))</f>
        <v>1037</v>
      </c>
      <c r="AD64" s="835">
        <f>AC64/AB64-1</f>
        <v>7.7962577962577884E-2</v>
      </c>
      <c r="AF64" s="833">
        <f>AI64-AB64</f>
        <v>915</v>
      </c>
      <c r="AG64" s="833">
        <f t="shared" ref="AG64:AG65" si="170">AJ64-AC64</f>
        <v>1052</v>
      </c>
      <c r="AH64" s="836">
        <f t="shared" ref="AH64:AH65" si="171">AG64/AF64-1</f>
        <v>0.14972677595628414</v>
      </c>
      <c r="AI64" s="833">
        <f>SUMIFS($AO64:$AZ64,$AO$5:$AZ$5,AI$6)</f>
        <v>1877</v>
      </c>
      <c r="AJ64" s="833">
        <f>SUMIFS($AO64:$AZ64,$AO$5:$AZ$5,AJ$6)</f>
        <v>2089</v>
      </c>
      <c r="AK64" s="836">
        <f t="shared" si="168"/>
        <v>0.1129461907298881</v>
      </c>
      <c r="AL64" s="827"/>
      <c r="AO64" s="822"/>
      <c r="AP64" s="826">
        <f>'Income Statement'!BT479</f>
        <v>1670</v>
      </c>
      <c r="AQ64" s="826">
        <f>'Income Statement'!BY479</f>
        <v>1802</v>
      </c>
      <c r="AR64" s="826">
        <f>'Income Statement'!CD479</f>
        <v>1444</v>
      </c>
      <c r="AS64" s="826">
        <f>'Income Statement'!CI479</f>
        <v>1877</v>
      </c>
      <c r="AT64" s="826">
        <f>'Income Statement'!CN479</f>
        <v>2089</v>
      </c>
      <c r="AU64" s="826">
        <f>'Income Statement'!CQ479</f>
        <v>2376.7259833006037</v>
      </c>
      <c r="AV64" s="826">
        <f>'Income Statement'!CR479</f>
        <v>2532.3310509072035</v>
      </c>
      <c r="AW64" s="826">
        <f>'Income Statement'!CS479</f>
        <v>2685.1054581044646</v>
      </c>
      <c r="AX64" s="826">
        <f>'Income Statement'!CT479</f>
        <v>2850.7462979310603</v>
      </c>
      <c r="AY64" s="826">
        <f>'Income Statement'!CU479</f>
        <v>3030.9887869111112</v>
      </c>
      <c r="AZ64" s="869"/>
      <c r="BA64" s="995">
        <f>(AV64/AS64)^(1/3)-1</f>
        <v>0.10497402544804535</v>
      </c>
      <c r="BB64" s="995">
        <f>(AY64/AS64)^(1/6)-1</f>
        <v>8.3145191817020736E-2</v>
      </c>
      <c r="BC64" s="869"/>
      <c r="BD64" s="826">
        <v>2057.663833796747</v>
      </c>
      <c r="BE64" s="826">
        <v>2278.9081828296848</v>
      </c>
      <c r="BF64" s="826">
        <v>2459.7516874284156</v>
      </c>
      <c r="BG64" s="826">
        <v>2627.3599129923682</v>
      </c>
      <c r="BH64" s="826">
        <v>2780.5818226366059</v>
      </c>
      <c r="BI64" s="826">
        <v>2923.6975755163721</v>
      </c>
      <c r="BJ64" s="869"/>
      <c r="BK64" s="860">
        <f t="shared" ref="BK64:BP64" si="172">IFERROR(AT64/BD64-1,"")</f>
        <v>1.5229001787640195E-2</v>
      </c>
      <c r="BL64" s="860">
        <f t="shared" si="172"/>
        <v>4.2923098529340509E-2</v>
      </c>
      <c r="BM64" s="860">
        <f t="shared" si="172"/>
        <v>2.9506784709096845E-2</v>
      </c>
      <c r="BN64" s="860">
        <f t="shared" si="172"/>
        <v>2.1978543870804668E-2</v>
      </c>
      <c r="BO64" s="860">
        <f t="shared" si="172"/>
        <v>2.523373875325241E-2</v>
      </c>
      <c r="BP64" s="860">
        <f t="shared" si="172"/>
        <v>3.6697096270564167E-2</v>
      </c>
      <c r="BQ64" s="869"/>
      <c r="BR64" s="869"/>
      <c r="BS64" s="869"/>
      <c r="BT64" s="869"/>
      <c r="BU64" s="869"/>
      <c r="BV64" s="869"/>
      <c r="BW64" s="869"/>
      <c r="BX64" s="869"/>
      <c r="BY64" s="869"/>
      <c r="BZ64" s="869"/>
      <c r="CA64" s="869"/>
      <c r="CB64" s="869"/>
      <c r="CC64" s="869"/>
      <c r="CD64" s="869"/>
      <c r="CE64" s="869"/>
    </row>
    <row r="65" spans="2:83">
      <c r="B65" s="837" t="s">
        <v>89</v>
      </c>
      <c r="C65" s="850">
        <f>'Income Statement'!BK481</f>
        <v>-118</v>
      </c>
      <c r="D65" s="850">
        <f>'Income Statement'!BL481</f>
        <v>-113</v>
      </c>
      <c r="E65" s="850">
        <f>'Income Statement'!BM481</f>
        <v>-126</v>
      </c>
      <c r="F65" s="850">
        <f>'Income Statement'!BN481</f>
        <v>-112</v>
      </c>
      <c r="G65" s="850">
        <f>'Income Statement'!BP481</f>
        <v>-119</v>
      </c>
      <c r="H65" s="850">
        <f>'Income Statement'!BQ481</f>
        <v>-124</v>
      </c>
      <c r="I65" s="850">
        <f>'Income Statement'!BR481</f>
        <v>-116</v>
      </c>
      <c r="J65" s="850">
        <f>'Income Statement'!BS481</f>
        <v>-95</v>
      </c>
      <c r="K65" s="850">
        <f>'Income Statement'!BU481</f>
        <v>-140</v>
      </c>
      <c r="L65" s="850">
        <f>'Income Statement'!BV481</f>
        <v>-176</v>
      </c>
      <c r="M65" s="850">
        <f>'Income Statement'!BW481</f>
        <v>-160</v>
      </c>
      <c r="N65" s="850">
        <f>'Income Statement'!BX481</f>
        <v>-175</v>
      </c>
      <c r="O65" s="850">
        <f>'Income Statement'!BZ481</f>
        <v>-109</v>
      </c>
      <c r="P65" s="850">
        <f>'Income Statement'!CA481</f>
        <v>-124</v>
      </c>
      <c r="Q65" s="850">
        <f>'Income Statement'!CB481</f>
        <v>-97</v>
      </c>
      <c r="R65" s="850">
        <f>'Income Statement'!CC481</f>
        <v>-122</v>
      </c>
      <c r="S65" s="850">
        <f>'Income Statement'!CE481</f>
        <v>-126</v>
      </c>
      <c r="T65" s="850">
        <f>'Income Statement'!CF481</f>
        <v>-127</v>
      </c>
      <c r="U65" s="850">
        <f>'Income Statement'!CG481</f>
        <v>-121</v>
      </c>
      <c r="V65" s="850">
        <f>'Income Statement'!CH481</f>
        <v>-107</v>
      </c>
      <c r="W65" s="850">
        <f>'Income Statement'!CJ481</f>
        <v>-129</v>
      </c>
      <c r="X65" s="850">
        <f>'Income Statement'!CK481</f>
        <v>-139</v>
      </c>
      <c r="Y65" s="819"/>
      <c r="AB65" s="819">
        <f>SUMIFS($C65:Z65,$C$6:Z$6,"&lt;="&amp;AB$6,$C$6:Z$6,"&gt;"&amp;DATE(YEAR($AB$6)-1,12,31))</f>
        <v>-253</v>
      </c>
      <c r="AC65" s="819">
        <f>SUMIFS($C65:Z65,$C$6:Z$6,"&lt;="&amp;AC$6,$C$6:Z$6,"&gt;"&amp;DATE(YEAR($AC$6)-1,12,31))</f>
        <v>-268</v>
      </c>
      <c r="AD65" s="824">
        <f>AC65/AB65-1</f>
        <v>5.9288537549407216E-2</v>
      </c>
      <c r="AF65" s="819">
        <f>AI65-AB65</f>
        <v>-228</v>
      </c>
      <c r="AG65" s="819">
        <f t="shared" si="170"/>
        <v>-238</v>
      </c>
      <c r="AH65" s="824">
        <f t="shared" si="171"/>
        <v>4.3859649122806932E-2</v>
      </c>
      <c r="AI65" s="819">
        <f>SUMIFS($AO65:$AZ65,$AO$5:$AZ$5,AI$6)</f>
        <v>-481</v>
      </c>
      <c r="AJ65" s="819">
        <f>SUMIFS($AO65:$AZ65,$AO$5:$AZ$5,AJ$6)</f>
        <v>-506</v>
      </c>
      <c r="AK65" s="824">
        <f t="shared" si="168"/>
        <v>5.1975051975051922E-2</v>
      </c>
      <c r="AL65" s="819"/>
      <c r="AO65" s="819"/>
      <c r="AP65" s="850">
        <f>'Income Statement'!BT481</f>
        <v>-454</v>
      </c>
      <c r="AQ65" s="850">
        <f>'Income Statement'!BY481</f>
        <v>-651</v>
      </c>
      <c r="AR65" s="850">
        <f>'Income Statement'!CD481</f>
        <v>-452</v>
      </c>
      <c r="AS65" s="850">
        <f>'Income Statement'!CI481</f>
        <v>-481</v>
      </c>
      <c r="AT65" s="850">
        <f>'Income Statement'!CN481</f>
        <v>-506</v>
      </c>
      <c r="AU65" s="850">
        <f>'Income Statement'!CQ481</f>
        <v>-582.29786590864785</v>
      </c>
      <c r="AV65" s="850">
        <f>'Income Statement'!CR481</f>
        <v>-607.75945221772884</v>
      </c>
      <c r="AW65" s="850">
        <f>'Income Statement'!CS481</f>
        <v>-644.42530994507149</v>
      </c>
      <c r="AX65" s="850">
        <f>'Income Statement'!CT481</f>
        <v>-684.17911150345446</v>
      </c>
      <c r="AY65" s="850">
        <f>'Income Statement'!CU481</f>
        <v>-727.43730885866671</v>
      </c>
      <c r="BD65" s="850">
        <v>-514.41595844918675</v>
      </c>
      <c r="BE65" s="850">
        <v>-569.72704570742121</v>
      </c>
      <c r="BF65" s="850">
        <v>-614.9379218571039</v>
      </c>
      <c r="BG65" s="850">
        <v>-656.83997824809205</v>
      </c>
      <c r="BH65" s="850">
        <v>-695.14545565915148</v>
      </c>
      <c r="BI65" s="850">
        <v>-730.92439387909303</v>
      </c>
    </row>
    <row r="66" spans="2:83">
      <c r="B66" s="839" t="s">
        <v>842</v>
      </c>
      <c r="C66" s="820">
        <f t="shared" ref="C66:X66" si="173">-C65/C64</f>
        <v>0.24737945492662475</v>
      </c>
      <c r="D66" s="820">
        <f t="shared" si="173"/>
        <v>0.25111111111111112</v>
      </c>
      <c r="E66" s="820">
        <f t="shared" si="173"/>
        <v>0.25766871165644173</v>
      </c>
      <c r="F66" s="820">
        <f t="shared" si="173"/>
        <v>0.25986078886310904</v>
      </c>
      <c r="G66" s="820">
        <f t="shared" si="173"/>
        <v>0.26269315673289184</v>
      </c>
      <c r="H66" s="820">
        <f t="shared" si="173"/>
        <v>0.256198347107438</v>
      </c>
      <c r="I66" s="820">
        <f t="shared" si="173"/>
        <v>0.26303854875283444</v>
      </c>
      <c r="J66" s="820">
        <f t="shared" si="173"/>
        <v>0.24739583333333334</v>
      </c>
      <c r="K66" s="820">
        <f t="shared" si="173"/>
        <v>0.32634032634032634</v>
      </c>
      <c r="L66" s="820">
        <f t="shared" si="173"/>
        <v>0.3534136546184739</v>
      </c>
      <c r="M66" s="820">
        <f t="shared" si="173"/>
        <v>0.34188034188034189</v>
      </c>
      <c r="N66" s="820">
        <f t="shared" si="173"/>
        <v>0.42997542997542998</v>
      </c>
      <c r="O66" s="820">
        <f t="shared" si="173"/>
        <v>0.25407925407925408</v>
      </c>
      <c r="P66" s="820">
        <f t="shared" si="173"/>
        <v>0.27373068432671083</v>
      </c>
      <c r="Q66" s="820">
        <f t="shared" si="173"/>
        <v>0.25260416666666669</v>
      </c>
      <c r="R66" s="820">
        <f t="shared" si="173"/>
        <v>0.6853932584269663</v>
      </c>
      <c r="S66" s="820">
        <f t="shared" si="173"/>
        <v>0.26304801670146138</v>
      </c>
      <c r="T66" s="820">
        <f t="shared" si="173"/>
        <v>0.26293995859213248</v>
      </c>
      <c r="U66" s="820">
        <f t="shared" si="173"/>
        <v>0.24845995893223818</v>
      </c>
      <c r="V66" s="820">
        <f t="shared" si="173"/>
        <v>0.25</v>
      </c>
      <c r="W66" s="820">
        <f t="shared" si="173"/>
        <v>0.25800000000000001</v>
      </c>
      <c r="X66" s="820">
        <f t="shared" si="173"/>
        <v>0.25884543761638734</v>
      </c>
      <c r="Y66" s="820"/>
      <c r="AB66" s="820">
        <f>-AB65/AB64</f>
        <v>0.26299376299376298</v>
      </c>
      <c r="AC66" s="820">
        <f>-AC65/AC64</f>
        <v>0.25843780135004824</v>
      </c>
      <c r="AF66" s="820">
        <f>-AF65/AF64</f>
        <v>0.24918032786885247</v>
      </c>
      <c r="AG66" s="820">
        <f>-AG65/AG64</f>
        <v>0.22623574144486691</v>
      </c>
      <c r="AH66" s="820"/>
      <c r="AI66" s="820"/>
      <c r="AJ66" s="820"/>
      <c r="AK66" s="820"/>
      <c r="AL66" s="821"/>
      <c r="AP66" s="820">
        <f>-AP65/AP64</f>
        <v>0.27185628742514972</v>
      </c>
      <c r="AQ66" s="820">
        <f t="shared" ref="AQ66:AV66" si="174">-AQ65/AQ64</f>
        <v>0.36126526082130966</v>
      </c>
      <c r="AR66" s="820">
        <f t="shared" si="174"/>
        <v>0.31301939058171746</v>
      </c>
      <c r="AS66" s="820">
        <f t="shared" si="174"/>
        <v>0.25625998934469901</v>
      </c>
      <c r="AT66" s="820">
        <f t="shared" si="174"/>
        <v>0.24222115844901868</v>
      </c>
      <c r="AU66" s="820">
        <f t="shared" si="174"/>
        <v>0.24499999999999997</v>
      </c>
      <c r="AV66" s="820">
        <f t="shared" si="174"/>
        <v>0.24</v>
      </c>
      <c r="AW66" s="820">
        <f t="shared" ref="AW66:AY66" si="175">-AW65/AW64</f>
        <v>0.24</v>
      </c>
      <c r="AX66" s="820">
        <f t="shared" si="175"/>
        <v>0.24</v>
      </c>
      <c r="AY66" s="820">
        <f t="shared" si="175"/>
        <v>0.24000000000000002</v>
      </c>
      <c r="BD66" s="820">
        <v>0.25</v>
      </c>
      <c r="BE66" s="820">
        <v>0.25</v>
      </c>
      <c r="BF66" s="820">
        <v>0.25</v>
      </c>
      <c r="BG66" s="820">
        <v>0.25</v>
      </c>
      <c r="BH66" s="820">
        <v>0.25</v>
      </c>
      <c r="BI66" s="820">
        <v>0.25</v>
      </c>
    </row>
    <row r="67" spans="2:83">
      <c r="B67" s="839"/>
    </row>
    <row r="68" spans="2:83">
      <c r="B68" s="840" t="s">
        <v>843</v>
      </c>
      <c r="C68" s="833">
        <f>C64+C65</f>
        <v>359</v>
      </c>
      <c r="D68" s="833">
        <f t="shared" ref="D68:X68" si="176">D64+D65</f>
        <v>337</v>
      </c>
      <c r="E68" s="833">
        <f t="shared" si="176"/>
        <v>363</v>
      </c>
      <c r="F68" s="833">
        <f t="shared" si="176"/>
        <v>319</v>
      </c>
      <c r="G68" s="833">
        <f t="shared" si="176"/>
        <v>334</v>
      </c>
      <c r="H68" s="833">
        <f t="shared" si="176"/>
        <v>360</v>
      </c>
      <c r="I68" s="833">
        <f t="shared" si="176"/>
        <v>325</v>
      </c>
      <c r="J68" s="833">
        <f t="shared" si="176"/>
        <v>289</v>
      </c>
      <c r="K68" s="833">
        <f t="shared" si="176"/>
        <v>289</v>
      </c>
      <c r="L68" s="833">
        <f t="shared" si="176"/>
        <v>322</v>
      </c>
      <c r="M68" s="833">
        <f t="shared" si="176"/>
        <v>308</v>
      </c>
      <c r="N68" s="833">
        <f t="shared" si="176"/>
        <v>232</v>
      </c>
      <c r="O68" s="833">
        <f t="shared" si="176"/>
        <v>320</v>
      </c>
      <c r="P68" s="833">
        <f t="shared" si="176"/>
        <v>329</v>
      </c>
      <c r="Q68" s="833">
        <f t="shared" si="176"/>
        <v>287</v>
      </c>
      <c r="R68" s="833">
        <f t="shared" si="176"/>
        <v>56</v>
      </c>
      <c r="S68" s="833">
        <f t="shared" si="176"/>
        <v>353</v>
      </c>
      <c r="T68" s="833">
        <f t="shared" si="176"/>
        <v>356</v>
      </c>
      <c r="U68" s="833">
        <f t="shared" si="176"/>
        <v>366</v>
      </c>
      <c r="V68" s="833">
        <f t="shared" si="176"/>
        <v>321</v>
      </c>
      <c r="W68" s="833">
        <f t="shared" si="176"/>
        <v>371</v>
      </c>
      <c r="X68" s="833">
        <f t="shared" si="176"/>
        <v>398</v>
      </c>
      <c r="Y68" s="827"/>
      <c r="AB68" s="833">
        <f>SUMIFS($C68:Z68,$C$6:Z$6,"&lt;="&amp;AB$6,$C$6:Z$6,"&gt;"&amp;DATE(YEAR($AB$6)-1,12,31))</f>
        <v>709</v>
      </c>
      <c r="AC68" s="833">
        <f>SUMIFS($C68:Z68,$C$6:Z$6,"&lt;="&amp;AC$6,$C$6:Z$6,"&gt;"&amp;DATE(YEAR($AC$6)-1,12,31))</f>
        <v>769</v>
      </c>
      <c r="AD68" s="824">
        <f>AC68/AB68-1</f>
        <v>8.4626234132581191E-2</v>
      </c>
      <c r="AF68" s="833">
        <f>AI68-AB68</f>
        <v>687</v>
      </c>
      <c r="AG68" s="833">
        <f t="shared" ref="AG68" si="177">AJ68-AC68</f>
        <v>814</v>
      </c>
      <c r="AH68" s="836">
        <f t="shared" ref="AH68" si="178">AG68/AF68-1</f>
        <v>0.18486171761280934</v>
      </c>
      <c r="AI68" s="833">
        <f>SUMIFS($AO68:$AZ68,$AO$5:$AZ$5,AI$6)</f>
        <v>1396</v>
      </c>
      <c r="AJ68" s="833">
        <f>SUMIFS($AO68:$AZ68,$AO$5:$AZ$5,AJ$6)</f>
        <v>1583</v>
      </c>
      <c r="AK68" s="823">
        <f t="shared" ref="AK68" si="179">AJ68/AI68-1</f>
        <v>0.1339541547277936</v>
      </c>
      <c r="AL68" s="827"/>
      <c r="AO68" s="833"/>
      <c r="AP68" s="833">
        <f>AP64+AP65</f>
        <v>1216</v>
      </c>
      <c r="AQ68" s="833">
        <f t="shared" ref="AQ68:AV68" si="180">AQ64+AQ65</f>
        <v>1151</v>
      </c>
      <c r="AR68" s="833">
        <f t="shared" si="180"/>
        <v>992</v>
      </c>
      <c r="AS68" s="833">
        <f t="shared" si="180"/>
        <v>1396</v>
      </c>
      <c r="AT68" s="833">
        <f t="shared" si="180"/>
        <v>1583</v>
      </c>
      <c r="AU68" s="833">
        <f t="shared" si="180"/>
        <v>1794.4281173919558</v>
      </c>
      <c r="AV68" s="833">
        <f t="shared" si="180"/>
        <v>1924.5715986894747</v>
      </c>
      <c r="AW68" s="833">
        <f t="shared" ref="AW68:AY68" si="181">AW64+AW65</f>
        <v>2040.680148159393</v>
      </c>
      <c r="AX68" s="833">
        <f t="shared" si="181"/>
        <v>2166.567186427606</v>
      </c>
      <c r="AY68" s="833">
        <f t="shared" si="181"/>
        <v>2303.5514780524445</v>
      </c>
      <c r="AZ68" s="869"/>
      <c r="BA68" s="995">
        <f>(AV68/AS68)^(1/3)-1</f>
        <v>0.1129685305987822</v>
      </c>
      <c r="BB68" s="995">
        <f>(AY68/AS68)^(1/6)-1</f>
        <v>8.7056416713996443E-2</v>
      </c>
      <c r="BC68" s="869"/>
      <c r="BD68" s="833">
        <v>1543.2478753475602</v>
      </c>
      <c r="BE68" s="833">
        <v>1709.1811371222636</v>
      </c>
      <c r="BF68" s="833">
        <v>1844.8137655713117</v>
      </c>
      <c r="BG68" s="833">
        <v>1970.5199347442763</v>
      </c>
      <c r="BH68" s="833">
        <v>2085.4363669774543</v>
      </c>
      <c r="BI68" s="833">
        <v>2192.7731816372789</v>
      </c>
      <c r="BJ68" s="869"/>
      <c r="BK68" s="860">
        <f t="shared" ref="BK68:BP68" si="182">IFERROR(AT68/BD68-1,"")</f>
        <v>2.5758742511462707E-2</v>
      </c>
      <c r="BL68" s="860">
        <f t="shared" si="182"/>
        <v>4.9875919186202822E-2</v>
      </c>
      <c r="BM68" s="860">
        <f t="shared" si="182"/>
        <v>4.3233541838551437E-2</v>
      </c>
      <c r="BN68" s="860">
        <f t="shared" si="182"/>
        <v>3.5604924455748588E-2</v>
      </c>
      <c r="BO68" s="860">
        <f t="shared" si="182"/>
        <v>3.890352193662916E-2</v>
      </c>
      <c r="BP68" s="860">
        <f t="shared" si="182"/>
        <v>5.0519724220838391E-2</v>
      </c>
      <c r="BQ68" s="869"/>
      <c r="BR68" s="869"/>
      <c r="BS68" s="869"/>
      <c r="BT68" s="869"/>
      <c r="BU68" s="869"/>
      <c r="BV68" s="869"/>
      <c r="BW68" s="869"/>
      <c r="BX68" s="869"/>
      <c r="BY68" s="869"/>
      <c r="BZ68" s="869"/>
      <c r="CA68" s="869"/>
      <c r="CB68" s="869"/>
      <c r="CC68" s="869"/>
      <c r="CD68" s="869"/>
      <c r="CE68" s="869"/>
    </row>
    <row r="69" spans="2:83">
      <c r="B69" s="804" t="s">
        <v>0</v>
      </c>
      <c r="C69" s="820"/>
      <c r="D69" s="820"/>
      <c r="E69" s="820"/>
      <c r="F69" s="820"/>
      <c r="G69" s="820">
        <f t="shared" ref="G69:X69" si="183">G68/C68-1</f>
        <v>-6.9637883008356494E-2</v>
      </c>
      <c r="H69" s="820">
        <f t="shared" si="183"/>
        <v>6.8249258160237414E-2</v>
      </c>
      <c r="I69" s="820">
        <f t="shared" si="183"/>
        <v>-0.10468319559228645</v>
      </c>
      <c r="J69" s="820">
        <f t="shared" si="183"/>
        <v>-9.404388714733547E-2</v>
      </c>
      <c r="K69" s="820">
        <f t="shared" si="183"/>
        <v>-0.1347305389221557</v>
      </c>
      <c r="L69" s="820">
        <f t="shared" si="183"/>
        <v>-0.10555555555555551</v>
      </c>
      <c r="M69" s="820">
        <f t="shared" si="183"/>
        <v>-5.2307692307692277E-2</v>
      </c>
      <c r="N69" s="820">
        <f t="shared" si="183"/>
        <v>-0.19723183391003463</v>
      </c>
      <c r="O69" s="820">
        <f t="shared" si="183"/>
        <v>0.10726643598615926</v>
      </c>
      <c r="P69" s="820">
        <f t="shared" si="183"/>
        <v>2.1739130434782705E-2</v>
      </c>
      <c r="Q69" s="820">
        <f t="shared" si="183"/>
        <v>-6.8181818181818232E-2</v>
      </c>
      <c r="R69" s="820">
        <f t="shared" si="183"/>
        <v>-0.75862068965517238</v>
      </c>
      <c r="S69" s="820">
        <f t="shared" si="183"/>
        <v>0.10312499999999991</v>
      </c>
      <c r="T69" s="820">
        <f t="shared" si="183"/>
        <v>8.2066869300911893E-2</v>
      </c>
      <c r="U69" s="820">
        <f t="shared" si="183"/>
        <v>0.27526132404181181</v>
      </c>
      <c r="V69" s="820">
        <f t="shared" si="183"/>
        <v>4.7321428571428568</v>
      </c>
      <c r="W69" s="820">
        <f t="shared" si="183"/>
        <v>5.0991501416430607E-2</v>
      </c>
      <c r="X69" s="820">
        <f t="shared" si="183"/>
        <v>0.1179775280898876</v>
      </c>
      <c r="Y69" s="820"/>
      <c r="AB69" s="820"/>
      <c r="AC69" s="820"/>
      <c r="AF69" s="820"/>
      <c r="AG69" s="820"/>
      <c r="AH69" s="820"/>
      <c r="AI69" s="820"/>
      <c r="AJ69" s="820"/>
      <c r="AK69" s="820"/>
      <c r="AL69" s="821"/>
      <c r="AP69" s="820" t="str">
        <f>IFERROR(AP68/AO68-1,"")</f>
        <v/>
      </c>
      <c r="AQ69" s="820">
        <f t="shared" ref="AQ69:AV69" si="184">IFERROR(AQ68/AP68-1,"")</f>
        <v>-5.3453947368421018E-2</v>
      </c>
      <c r="AR69" s="820">
        <f t="shared" si="184"/>
        <v>-0.13814074717636837</v>
      </c>
      <c r="AS69" s="820">
        <f t="shared" si="184"/>
        <v>0.407258064516129</v>
      </c>
      <c r="AT69" s="820">
        <f t="shared" si="184"/>
        <v>0.1339541547277936</v>
      </c>
      <c r="AU69" s="820">
        <f t="shared" si="184"/>
        <v>0.13356166607198716</v>
      </c>
      <c r="AV69" s="820">
        <f t="shared" si="184"/>
        <v>7.2526438945167193E-2</v>
      </c>
      <c r="AW69" s="820">
        <f t="shared" ref="AW69" si="185">IFERROR(AW68/AV68-1,"")</f>
        <v>6.0329555704231375E-2</v>
      </c>
      <c r="AX69" s="820">
        <f t="shared" ref="AX69" si="186">IFERROR(AX68/AW68-1,"")</f>
        <v>6.1688765082444696E-2</v>
      </c>
      <c r="AY69" s="820">
        <f t="shared" ref="AY69" si="187">IFERROR(AY68/AX68-1,"")</f>
        <v>6.3226422186661191E-2</v>
      </c>
      <c r="BD69" s="820">
        <v>0.10547842073607461</v>
      </c>
      <c r="BE69" s="820">
        <v>0.1075221060889735</v>
      </c>
      <c r="BF69" s="820">
        <v>7.9355327240161255E-2</v>
      </c>
      <c r="BG69" s="820">
        <v>6.8140303112945944E-2</v>
      </c>
      <c r="BH69" s="820">
        <v>5.8317822726361435E-2</v>
      </c>
      <c r="BI69" s="820">
        <v>5.14697146167995E-2</v>
      </c>
    </row>
    <row r="70" spans="2:83">
      <c r="B70" s="804" t="s">
        <v>844</v>
      </c>
      <c r="C70" s="820">
        <f>C68/C$31</f>
        <v>0.15335326783425887</v>
      </c>
      <c r="D70" s="820">
        <f t="shared" ref="D70:AC70" si="188">D68/D$31</f>
        <v>0.15667131566713158</v>
      </c>
      <c r="E70" s="820">
        <f t="shared" si="188"/>
        <v>0.16403072751920469</v>
      </c>
      <c r="F70" s="820">
        <f t="shared" si="188"/>
        <v>0.14108801415302963</v>
      </c>
      <c r="G70" s="820">
        <f t="shared" si="188"/>
        <v>0.14910714285714285</v>
      </c>
      <c r="H70" s="820">
        <f t="shared" si="188"/>
        <v>0.15831134564643801</v>
      </c>
      <c r="I70" s="820">
        <f t="shared" si="188"/>
        <v>0.1431087626596213</v>
      </c>
      <c r="J70" s="820">
        <f t="shared" si="188"/>
        <v>0.11767100977198697</v>
      </c>
      <c r="K70" s="820">
        <f t="shared" si="188"/>
        <v>0.12011637572734829</v>
      </c>
      <c r="L70" s="820">
        <f t="shared" si="188"/>
        <v>0.13283828382838284</v>
      </c>
      <c r="M70" s="820">
        <f t="shared" si="188"/>
        <v>0.12806652806652807</v>
      </c>
      <c r="N70" s="820">
        <f t="shared" si="188"/>
        <v>9.0837901331245099E-2</v>
      </c>
      <c r="O70" s="820">
        <f t="shared" si="188"/>
        <v>0.12668250197941408</v>
      </c>
      <c r="P70" s="820">
        <f t="shared" si="188"/>
        <v>0.13319838056680161</v>
      </c>
      <c r="Q70" s="820">
        <f t="shared" si="188"/>
        <v>0.11752661752661753</v>
      </c>
      <c r="R70" s="820">
        <f t="shared" si="188"/>
        <v>2.0423048869438368E-2</v>
      </c>
      <c r="S70" s="820">
        <f t="shared" si="188"/>
        <v>0.13561275451402227</v>
      </c>
      <c r="T70" s="820">
        <f t="shared" si="188"/>
        <v>0.13766434648105183</v>
      </c>
      <c r="U70" s="820">
        <f t="shared" si="188"/>
        <v>0.14208074534161491</v>
      </c>
      <c r="V70" s="820">
        <f t="shared" si="188"/>
        <v>0.11584265608083724</v>
      </c>
      <c r="W70" s="820">
        <f t="shared" si="188"/>
        <v>0.14225460122699388</v>
      </c>
      <c r="X70" s="820">
        <f t="shared" si="188"/>
        <v>0.15534738485558158</v>
      </c>
      <c r="Y70" s="820"/>
      <c r="AB70" s="820">
        <f t="shared" si="188"/>
        <v>0.13663518982462902</v>
      </c>
      <c r="AC70" s="820">
        <f t="shared" si="188"/>
        <v>0.14874274661508705</v>
      </c>
      <c r="AF70" s="820">
        <f t="shared" ref="AF70:AG70" si="189">AF68/AF$31</f>
        <v>0.12848326164204227</v>
      </c>
      <c r="AG70" s="820">
        <f t="shared" si="189"/>
        <v>0.14894784995425434</v>
      </c>
      <c r="AH70" s="820"/>
      <c r="AI70" s="820"/>
      <c r="AJ70" s="820"/>
      <c r="AK70" s="820"/>
      <c r="AL70" s="821"/>
      <c r="AP70" s="820">
        <f>AP68/AP$31</f>
        <v>0.13158749053132779</v>
      </c>
      <c r="AQ70" s="820">
        <f t="shared" ref="AQ70:AV70" si="190">AQ68/AQ$31</f>
        <v>0.11758095821840842</v>
      </c>
      <c r="AR70" s="820">
        <f t="shared" si="190"/>
        <v>9.7445972495088407E-2</v>
      </c>
      <c r="AS70" s="820">
        <f t="shared" si="190"/>
        <v>0.13249810174639332</v>
      </c>
      <c r="AT70" s="820">
        <f t="shared" si="190"/>
        <v>0.14884814292430654</v>
      </c>
      <c r="AU70" s="820">
        <f t="shared" si="190"/>
        <v>0.1639407606370524</v>
      </c>
      <c r="AV70" s="820">
        <f t="shared" si="190"/>
        <v>0.17157555125359139</v>
      </c>
      <c r="AW70" s="820">
        <f t="shared" ref="AW70:AY70" si="191">AW68/AW$31</f>
        <v>0.1775796301525624</v>
      </c>
      <c r="AX70" s="820">
        <f t="shared" si="191"/>
        <v>0.18389558814054838</v>
      </c>
      <c r="AY70" s="820">
        <f t="shared" si="191"/>
        <v>0.1909694883193489</v>
      </c>
      <c r="BD70" s="820">
        <v>0.14339908415857036</v>
      </c>
      <c r="BE70" s="820">
        <v>0.15432862709956133</v>
      </c>
      <c r="BF70" s="820">
        <v>0.16247070940945116</v>
      </c>
      <c r="BG70" s="820">
        <v>0.16913089583044968</v>
      </c>
      <c r="BH70" s="820">
        <v>0.17458504710826517</v>
      </c>
      <c r="BI70" s="820">
        <v>0.17917187584096589</v>
      </c>
    </row>
    <row r="72" spans="2:83">
      <c r="B72" s="841" t="s">
        <v>845</v>
      </c>
      <c r="C72" s="852">
        <f>'Income Statement'!BK483</f>
        <v>0</v>
      </c>
      <c r="D72" s="852">
        <f>'Income Statement'!BL483</f>
        <v>0</v>
      </c>
      <c r="E72" s="852">
        <f>'Income Statement'!BM483</f>
        <v>0</v>
      </c>
      <c r="F72" s="852">
        <f>'Income Statement'!BN483</f>
        <v>0</v>
      </c>
      <c r="G72" s="852">
        <f>'Income Statement'!BP483</f>
        <v>0</v>
      </c>
      <c r="H72" s="852">
        <f>'Income Statement'!BQ483</f>
        <v>0</v>
      </c>
      <c r="I72" s="852">
        <f>'Income Statement'!BR483</f>
        <v>0</v>
      </c>
      <c r="J72" s="852">
        <f>'Income Statement'!BS483</f>
        <v>0</v>
      </c>
      <c r="K72" s="852">
        <f>'Income Statement'!BU483</f>
        <v>0</v>
      </c>
      <c r="L72" s="852">
        <f>'Income Statement'!BV483</f>
        <v>0</v>
      </c>
      <c r="M72" s="852">
        <f>'Income Statement'!BW483</f>
        <v>0</v>
      </c>
      <c r="N72" s="852">
        <f>'Income Statement'!BX483</f>
        <v>0</v>
      </c>
      <c r="O72" s="852">
        <f>'Income Statement'!BZ483</f>
        <v>0</v>
      </c>
      <c r="P72" s="852">
        <f>'Income Statement'!CA483</f>
        <v>0</v>
      </c>
      <c r="Q72" s="852">
        <f>'Income Statement'!CB483</f>
        <v>0</v>
      </c>
      <c r="R72" s="852">
        <f>'Income Statement'!CC483</f>
        <v>0</v>
      </c>
      <c r="S72" s="852">
        <f>'Income Statement'!CE483</f>
        <v>0</v>
      </c>
      <c r="T72" s="852">
        <f>'Income Statement'!CF483</f>
        <v>0</v>
      </c>
      <c r="U72" s="852">
        <f>'Income Statement'!CG483</f>
        <v>0</v>
      </c>
      <c r="V72" s="852">
        <f>'Income Statement'!CH483</f>
        <v>0</v>
      </c>
      <c r="W72" s="852">
        <f>'Income Statement'!CJ483</f>
        <v>0</v>
      </c>
      <c r="X72" s="852">
        <f>'Income Statement'!CK483</f>
        <v>0</v>
      </c>
      <c r="Y72" s="819"/>
      <c r="AB72" s="822">
        <f>SUMIFS($C72:Z72,$C$6:Z$6,"&lt;="&amp;AB$6,$C$6:Z$6,"&gt;"&amp;DATE(YEAR($AB$6)-1,12,31))</f>
        <v>0</v>
      </c>
      <c r="AC72" s="822">
        <f>SUMIFS($C72:Z72,$C$6:Z$6,"&lt;="&amp;AC$6,$C$6:Z$6,"&gt;"&amp;DATE(YEAR($AC$6)-1,12,31))</f>
        <v>0</v>
      </c>
      <c r="AD72" s="824"/>
      <c r="AF72" s="822">
        <f>AI72-AB72</f>
        <v>0</v>
      </c>
      <c r="AG72" s="822">
        <f t="shared" ref="AG72:AG73" si="192">AJ72-AC72</f>
        <v>0</v>
      </c>
      <c r="AH72" s="823"/>
      <c r="AI72" s="822">
        <f>SUMIFS($AO72:$AZ72,$AO$5:$AZ$5,AI$6)</f>
        <v>0</v>
      </c>
      <c r="AJ72" s="822">
        <f>SUMIFS($AO72:$AZ72,$AO$5:$AZ$5,AJ$6)</f>
        <v>0</v>
      </c>
      <c r="AK72" s="823"/>
      <c r="AL72" s="819"/>
      <c r="AO72" s="822"/>
      <c r="AP72" s="852">
        <f>'Income Statement'!BT483</f>
        <v>0</v>
      </c>
      <c r="AQ72" s="852">
        <f>'Income Statement'!BY483</f>
        <v>0</v>
      </c>
      <c r="AR72" s="852">
        <f>'Income Statement'!CD483</f>
        <v>0</v>
      </c>
      <c r="AS72" s="852">
        <f>'Income Statement'!CI483</f>
        <v>0</v>
      </c>
      <c r="AT72" s="852">
        <f>'Income Statement'!CN483</f>
        <v>0</v>
      </c>
      <c r="AU72" s="852">
        <f>'Income Statement'!CQ483</f>
        <v>0</v>
      </c>
      <c r="AV72" s="852">
        <f>'Income Statement'!CR483</f>
        <v>0</v>
      </c>
      <c r="AW72" s="852">
        <f>'Income Statement'!CS483</f>
        <v>0</v>
      </c>
      <c r="AX72" s="852">
        <f>'Income Statement'!CT483</f>
        <v>0</v>
      </c>
      <c r="AY72" s="852">
        <f>'Income Statement'!CU483</f>
        <v>0</v>
      </c>
      <c r="AZ72" s="869"/>
      <c r="BA72" s="996"/>
      <c r="BB72" s="996"/>
      <c r="BC72" s="869"/>
      <c r="BD72" s="852">
        <v>0</v>
      </c>
      <c r="BE72" s="852">
        <v>0</v>
      </c>
      <c r="BF72" s="852">
        <v>0</v>
      </c>
      <c r="BG72" s="852">
        <v>0</v>
      </c>
      <c r="BH72" s="852">
        <v>0</v>
      </c>
      <c r="BI72" s="852">
        <v>0</v>
      </c>
      <c r="BJ72" s="869"/>
      <c r="BK72" s="860" t="str">
        <f t="shared" ref="BK72:BP73" si="193">IFERROR(AT72/BD72-1,"")</f>
        <v/>
      </c>
      <c r="BL72" s="860" t="str">
        <f t="shared" si="193"/>
        <v/>
      </c>
      <c r="BM72" s="860" t="str">
        <f t="shared" si="193"/>
        <v/>
      </c>
      <c r="BN72" s="860" t="str">
        <f t="shared" si="193"/>
        <v/>
      </c>
      <c r="BO72" s="860" t="str">
        <f t="shared" si="193"/>
        <v/>
      </c>
      <c r="BP72" s="860" t="str">
        <f t="shared" si="193"/>
        <v/>
      </c>
      <c r="BQ72" s="869"/>
      <c r="BR72" s="869"/>
      <c r="BS72" s="869"/>
      <c r="BT72" s="869"/>
      <c r="BU72" s="869"/>
      <c r="BV72" s="869"/>
      <c r="BW72" s="869"/>
      <c r="BX72" s="869"/>
      <c r="BY72" s="869"/>
      <c r="BZ72" s="869"/>
      <c r="CA72" s="869"/>
      <c r="CB72" s="869"/>
      <c r="CC72" s="869"/>
      <c r="CD72" s="869"/>
      <c r="CE72" s="869"/>
    </row>
    <row r="73" spans="2:83" s="806" customFormat="1">
      <c r="B73" s="842" t="s">
        <v>846</v>
      </c>
      <c r="C73" s="965">
        <f>'Income Statement'!BK484</f>
        <v>359</v>
      </c>
      <c r="D73" s="965">
        <f>'Income Statement'!BL484</f>
        <v>337</v>
      </c>
      <c r="E73" s="965">
        <f>'Income Statement'!BM484</f>
        <v>363</v>
      </c>
      <c r="F73" s="965">
        <f>'Income Statement'!BN484</f>
        <v>319</v>
      </c>
      <c r="G73" s="965">
        <f>'Income Statement'!BP484</f>
        <v>334</v>
      </c>
      <c r="H73" s="965">
        <f>'Income Statement'!BQ484</f>
        <v>360</v>
      </c>
      <c r="I73" s="965">
        <f>'Income Statement'!BR484</f>
        <v>325</v>
      </c>
      <c r="J73" s="965">
        <f>'Income Statement'!BS484</f>
        <v>289</v>
      </c>
      <c r="K73" s="965">
        <f>'Income Statement'!BU484</f>
        <v>289</v>
      </c>
      <c r="L73" s="965">
        <f>'Income Statement'!BV484</f>
        <v>322</v>
      </c>
      <c r="M73" s="965">
        <f>'Income Statement'!BW484</f>
        <v>308</v>
      </c>
      <c r="N73" s="965">
        <f>'Income Statement'!BX484</f>
        <v>232</v>
      </c>
      <c r="O73" s="965">
        <f>'Income Statement'!BZ484</f>
        <v>320</v>
      </c>
      <c r="P73" s="965">
        <f>'Income Statement'!CA484</f>
        <v>329</v>
      </c>
      <c r="Q73" s="965">
        <f>'Income Statement'!CB484</f>
        <v>287</v>
      </c>
      <c r="R73" s="965">
        <f>'Income Statement'!CC484</f>
        <v>56</v>
      </c>
      <c r="S73" s="965">
        <f>'Income Statement'!CE484</f>
        <v>353</v>
      </c>
      <c r="T73" s="965">
        <f>'Income Statement'!CF484</f>
        <v>356</v>
      </c>
      <c r="U73" s="965">
        <f>'Income Statement'!CG484</f>
        <v>366</v>
      </c>
      <c r="V73" s="965">
        <f>'Income Statement'!CH484</f>
        <v>321</v>
      </c>
      <c r="W73" s="965">
        <f>'Income Statement'!CJ484</f>
        <v>371</v>
      </c>
      <c r="X73" s="965">
        <f>'Income Statement'!CK484</f>
        <v>398</v>
      </c>
      <c r="Y73" s="827"/>
      <c r="AB73" s="966">
        <f>SUMIFS($C73:Z73,$C$6:Z$6,"&lt;="&amp;AB$6,$C$6:Z$6,"&gt;"&amp;DATE(YEAR($AB$6)-1,12,31))</f>
        <v>709</v>
      </c>
      <c r="AC73" s="966">
        <f>SUMIFS($C73:Z73,$C$6:Z$6,"&lt;="&amp;AC$6,$C$6:Z$6,"&gt;"&amp;DATE(YEAR($AC$6)-1,12,31))</f>
        <v>769</v>
      </c>
      <c r="AD73" s="835">
        <f>AC73/AB73-1</f>
        <v>8.4626234132581191E-2</v>
      </c>
      <c r="AF73" s="966">
        <f>AI73-AB73</f>
        <v>687</v>
      </c>
      <c r="AG73" s="966">
        <f t="shared" si="192"/>
        <v>814</v>
      </c>
      <c r="AH73" s="967">
        <f t="shared" ref="AH73" si="194">AG73/AF73-1</f>
        <v>0.18486171761280934</v>
      </c>
      <c r="AI73" s="966">
        <f>SUMIFS($AO73:$AZ73,$AO$5:$AZ$5,AI$6)</f>
        <v>1396</v>
      </c>
      <c r="AJ73" s="966">
        <f>SUMIFS($AO73:$AZ73,$AO$5:$AZ$5,AJ$6)</f>
        <v>1583</v>
      </c>
      <c r="AK73" s="967">
        <f t="shared" ref="AK73" si="195">AJ73/AI73-1</f>
        <v>0.1339541547277936</v>
      </c>
      <c r="AL73" s="827"/>
      <c r="AM73" s="832"/>
      <c r="AO73" s="968"/>
      <c r="AP73" s="969">
        <f>'Income Statement'!BT487</f>
        <v>1216</v>
      </c>
      <c r="AQ73" s="969">
        <f>'Income Statement'!BY487</f>
        <v>1151</v>
      </c>
      <c r="AR73" s="969">
        <f>'Income Statement'!CD487</f>
        <v>992</v>
      </c>
      <c r="AS73" s="969">
        <f>'Income Statement'!CI487</f>
        <v>1396</v>
      </c>
      <c r="AT73" s="969">
        <f>'Income Statement'!CN487</f>
        <v>1583</v>
      </c>
      <c r="AU73" s="969">
        <f>'Income Statement'!CQ487</f>
        <v>1794.4281173919558</v>
      </c>
      <c r="AV73" s="969">
        <f>'Income Statement'!CR487</f>
        <v>1924.5715986894747</v>
      </c>
      <c r="AW73" s="969">
        <f>'Income Statement'!CS487</f>
        <v>2040.680148159393</v>
      </c>
      <c r="AX73" s="969">
        <f>'Income Statement'!CT487</f>
        <v>2166.567186427606</v>
      </c>
      <c r="AY73" s="965">
        <f>'Income Statement'!CU487</f>
        <v>2303.5514780524445</v>
      </c>
      <c r="AZ73" s="970"/>
      <c r="BA73" s="997">
        <f>(AV73/AS73)^(1/3)-1</f>
        <v>0.1129685305987822</v>
      </c>
      <c r="BB73" s="997">
        <f>(AY73/AS73)^(1/6)-1</f>
        <v>8.7056416713996443E-2</v>
      </c>
      <c r="BC73" s="970"/>
      <c r="BD73" s="965">
        <v>1543.2478753475602</v>
      </c>
      <c r="BE73" s="965">
        <v>1709.1811371222636</v>
      </c>
      <c r="BF73" s="965">
        <v>1844.8137655713117</v>
      </c>
      <c r="BG73" s="965">
        <v>1970.5199347442763</v>
      </c>
      <c r="BH73" s="965">
        <v>2085.4363669774543</v>
      </c>
      <c r="BI73" s="965">
        <v>2192.7731816372789</v>
      </c>
      <c r="BJ73" s="970"/>
      <c r="BK73" s="873">
        <f t="shared" si="193"/>
        <v>2.5758742511462707E-2</v>
      </c>
      <c r="BL73" s="873">
        <f t="shared" si="193"/>
        <v>4.9875919186202822E-2</v>
      </c>
      <c r="BM73" s="873">
        <f t="shared" si="193"/>
        <v>4.3233541838551437E-2</v>
      </c>
      <c r="BN73" s="873">
        <f t="shared" si="193"/>
        <v>3.5604924455748588E-2</v>
      </c>
      <c r="BO73" s="873">
        <f t="shared" si="193"/>
        <v>3.890352193662916E-2</v>
      </c>
      <c r="BP73" s="873">
        <f t="shared" si="193"/>
        <v>5.0519724220838391E-2</v>
      </c>
      <c r="BQ73" s="970"/>
      <c r="BR73" s="966">
        <f>AS73</f>
        <v>1396</v>
      </c>
      <c r="BS73" s="965">
        <f>'Income Statement'!CN489</f>
        <v>1583</v>
      </c>
      <c r="BT73" s="965">
        <f>'Income Statement'!CQ489</f>
        <v>1626.0320064203399</v>
      </c>
      <c r="BU73" s="965">
        <f>'Income Statement'!CR489</f>
        <v>1639.7239924008018</v>
      </c>
      <c r="BV73" s="965">
        <f>'Income Statement'!CS489</f>
        <v>1750.066604084456</v>
      </c>
      <c r="BW73" s="965">
        <f>'Income Statement'!CT489</f>
        <v>1872.72637820821</v>
      </c>
      <c r="BX73" s="965">
        <f>'Income Statement'!CU489</f>
        <v>2005.7761800700832</v>
      </c>
      <c r="BY73" s="970"/>
      <c r="BZ73" s="873">
        <f t="shared" ref="BZ73:CE73" si="196">IFERROR(AT73/BS73-1,"")</f>
        <v>0</v>
      </c>
      <c r="CA73" s="873">
        <f t="shared" si="196"/>
        <v>0.10356260535260597</v>
      </c>
      <c r="CB73" s="873">
        <f t="shared" si="196"/>
        <v>0.17371680088160035</v>
      </c>
      <c r="CC73" s="873">
        <f t="shared" si="196"/>
        <v>0.16605856222653359</v>
      </c>
      <c r="CD73" s="873">
        <f t="shared" si="196"/>
        <v>0.15690536088915308</v>
      </c>
      <c r="CE73" s="873">
        <f t="shared" si="196"/>
        <v>0.14845888636086846</v>
      </c>
    </row>
    <row r="74" spans="2:83">
      <c r="B74" s="804" t="s">
        <v>0</v>
      </c>
      <c r="C74" s="820"/>
      <c r="D74" s="820"/>
      <c r="E74" s="820"/>
      <c r="F74" s="820"/>
      <c r="G74" s="820">
        <f t="shared" ref="G74:X74" si="197">G73/C73-1</f>
        <v>-6.9637883008356494E-2</v>
      </c>
      <c r="H74" s="820">
        <f t="shared" si="197"/>
        <v>6.8249258160237414E-2</v>
      </c>
      <c r="I74" s="820">
        <f t="shared" si="197"/>
        <v>-0.10468319559228645</v>
      </c>
      <c r="J74" s="820">
        <f t="shared" si="197"/>
        <v>-9.404388714733547E-2</v>
      </c>
      <c r="K74" s="820">
        <f t="shared" si="197"/>
        <v>-0.1347305389221557</v>
      </c>
      <c r="L74" s="820">
        <f t="shared" si="197"/>
        <v>-0.10555555555555551</v>
      </c>
      <c r="M74" s="820">
        <f t="shared" si="197"/>
        <v>-5.2307692307692277E-2</v>
      </c>
      <c r="N74" s="820">
        <f t="shared" si="197"/>
        <v>-0.19723183391003463</v>
      </c>
      <c r="O74" s="820">
        <f t="shared" si="197"/>
        <v>0.10726643598615926</v>
      </c>
      <c r="P74" s="820">
        <f t="shared" si="197"/>
        <v>2.1739130434782705E-2</v>
      </c>
      <c r="Q74" s="820">
        <f t="shared" si="197"/>
        <v>-6.8181818181818232E-2</v>
      </c>
      <c r="R74" s="820">
        <f t="shared" si="197"/>
        <v>-0.75862068965517238</v>
      </c>
      <c r="S74" s="820">
        <f t="shared" si="197"/>
        <v>0.10312499999999991</v>
      </c>
      <c r="T74" s="820">
        <f t="shared" si="197"/>
        <v>8.2066869300911893E-2</v>
      </c>
      <c r="U74" s="820">
        <f t="shared" si="197"/>
        <v>0.27526132404181181</v>
      </c>
      <c r="V74" s="820">
        <f t="shared" si="197"/>
        <v>4.7321428571428568</v>
      </c>
      <c r="W74" s="820">
        <f t="shared" si="197"/>
        <v>5.0991501416430607E-2</v>
      </c>
      <c r="X74" s="820">
        <f t="shared" si="197"/>
        <v>0.1179775280898876</v>
      </c>
      <c r="Y74" s="820"/>
      <c r="AB74" s="820"/>
      <c r="AC74" s="820"/>
      <c r="AF74" s="820"/>
      <c r="AG74" s="820"/>
      <c r="AH74" s="820"/>
      <c r="AI74" s="820"/>
      <c r="AJ74" s="820"/>
      <c r="AK74" s="820"/>
      <c r="AL74" s="821"/>
      <c r="AP74" s="820" t="str">
        <f>IFERROR(AP73/AO73-1,"")</f>
        <v/>
      </c>
      <c r="AQ74" s="820">
        <f t="shared" ref="AQ74:AV74" si="198">IFERROR(AQ73/AP73-1,"")</f>
        <v>-5.3453947368421018E-2</v>
      </c>
      <c r="AR74" s="820">
        <f t="shared" si="198"/>
        <v>-0.13814074717636837</v>
      </c>
      <c r="AS74" s="820">
        <f t="shared" si="198"/>
        <v>0.407258064516129</v>
      </c>
      <c r="AT74" s="820">
        <f t="shared" si="198"/>
        <v>0.1339541547277936</v>
      </c>
      <c r="AU74" s="820">
        <f t="shared" si="198"/>
        <v>0.13356166607198716</v>
      </c>
      <c r="AV74" s="820">
        <f t="shared" si="198"/>
        <v>7.2526438945167193E-2</v>
      </c>
      <c r="AW74" s="820">
        <f t="shared" ref="AW74" si="199">IFERROR(AW73/AV73-1,"")</f>
        <v>6.0329555704231375E-2</v>
      </c>
      <c r="AX74" s="820">
        <f t="shared" ref="AX74" si="200">IFERROR(AX73/AW73-1,"")</f>
        <v>6.1688765082444696E-2</v>
      </c>
      <c r="AY74" s="820">
        <f t="shared" ref="AY74" si="201">IFERROR(AY73/AX73-1,"")</f>
        <v>6.3226422186661191E-2</v>
      </c>
      <c r="BD74" s="820">
        <v>0.10547842073607461</v>
      </c>
      <c r="BE74" s="820">
        <v>0.1075221060889735</v>
      </c>
      <c r="BF74" s="820">
        <v>7.9355327240161255E-2</v>
      </c>
      <c r="BG74" s="820">
        <v>6.8140303112945944E-2</v>
      </c>
      <c r="BH74" s="820">
        <v>5.8317822726361435E-2</v>
      </c>
      <c r="BI74" s="820">
        <v>5.14697146167995E-2</v>
      </c>
      <c r="BS74" s="820">
        <f t="shared" ref="BS74:BU74" si="202">IFERROR(BS73/BR73-1,"")</f>
        <v>0.1339541547277936</v>
      </c>
      <c r="BT74" s="820">
        <f t="shared" si="202"/>
        <v>2.7183832230157856E-2</v>
      </c>
      <c r="BU74" s="820">
        <f t="shared" si="202"/>
        <v>8.4204898343940293E-3</v>
      </c>
      <c r="BV74" s="820">
        <f t="shared" ref="BV74" si="203">IFERROR(BV73/BU73-1,"")</f>
        <v>6.729340559449648E-2</v>
      </c>
      <c r="BW74" s="820">
        <f t="shared" ref="BW74" si="204">IFERROR(BW73/BV73-1,"")</f>
        <v>7.0088631962623715E-2</v>
      </c>
      <c r="BX74" s="820">
        <f t="shared" ref="BX74" si="205">IFERROR(BX73/BW73-1,"")</f>
        <v>7.1046044638497952E-2</v>
      </c>
    </row>
    <row r="75" spans="2:83">
      <c r="B75" s="804" t="s">
        <v>844</v>
      </c>
      <c r="C75" s="820">
        <f>C73/C$31</f>
        <v>0.15335326783425887</v>
      </c>
      <c r="D75" s="820">
        <f t="shared" ref="D75:AC75" si="206">D73/D$31</f>
        <v>0.15667131566713158</v>
      </c>
      <c r="E75" s="820">
        <f t="shared" si="206"/>
        <v>0.16403072751920469</v>
      </c>
      <c r="F75" s="820">
        <f t="shared" si="206"/>
        <v>0.14108801415302963</v>
      </c>
      <c r="G75" s="820">
        <f t="shared" si="206"/>
        <v>0.14910714285714285</v>
      </c>
      <c r="H75" s="820">
        <f t="shared" si="206"/>
        <v>0.15831134564643801</v>
      </c>
      <c r="I75" s="820">
        <f t="shared" si="206"/>
        <v>0.1431087626596213</v>
      </c>
      <c r="J75" s="820">
        <f t="shared" si="206"/>
        <v>0.11767100977198697</v>
      </c>
      <c r="K75" s="820">
        <f t="shared" si="206"/>
        <v>0.12011637572734829</v>
      </c>
      <c r="L75" s="820">
        <f t="shared" si="206"/>
        <v>0.13283828382838284</v>
      </c>
      <c r="M75" s="820">
        <f t="shared" si="206"/>
        <v>0.12806652806652807</v>
      </c>
      <c r="N75" s="820">
        <f t="shared" si="206"/>
        <v>9.0837901331245099E-2</v>
      </c>
      <c r="O75" s="820">
        <f t="shared" si="206"/>
        <v>0.12668250197941408</v>
      </c>
      <c r="P75" s="820">
        <f t="shared" si="206"/>
        <v>0.13319838056680161</v>
      </c>
      <c r="Q75" s="820">
        <f t="shared" si="206"/>
        <v>0.11752661752661753</v>
      </c>
      <c r="R75" s="820">
        <f t="shared" si="206"/>
        <v>2.0423048869438368E-2</v>
      </c>
      <c r="S75" s="820">
        <f t="shared" si="206"/>
        <v>0.13561275451402227</v>
      </c>
      <c r="T75" s="820">
        <f t="shared" si="206"/>
        <v>0.13766434648105183</v>
      </c>
      <c r="U75" s="820">
        <f t="shared" si="206"/>
        <v>0.14208074534161491</v>
      </c>
      <c r="V75" s="820">
        <f t="shared" si="206"/>
        <v>0.11584265608083724</v>
      </c>
      <c r="W75" s="820">
        <f t="shared" si="206"/>
        <v>0.14225460122699388</v>
      </c>
      <c r="X75" s="820">
        <f t="shared" si="206"/>
        <v>0.15534738485558158</v>
      </c>
      <c r="Y75" s="820"/>
      <c r="AB75" s="820">
        <f t="shared" si="206"/>
        <v>0.13663518982462902</v>
      </c>
      <c r="AC75" s="820">
        <f t="shared" si="206"/>
        <v>0.14874274661508705</v>
      </c>
      <c r="AF75" s="820">
        <f t="shared" ref="AF75:AG75" si="207">AF73/AF$31</f>
        <v>0.12848326164204227</v>
      </c>
      <c r="AG75" s="820">
        <f t="shared" si="207"/>
        <v>0.14894784995425434</v>
      </c>
      <c r="AH75" s="820"/>
      <c r="AI75" s="820"/>
      <c r="AJ75" s="820"/>
      <c r="AK75" s="820"/>
      <c r="AL75" s="821"/>
      <c r="AO75" s="820"/>
      <c r="AP75" s="820">
        <f>AP73/AP$31</f>
        <v>0.13158749053132779</v>
      </c>
      <c r="AQ75" s="820">
        <f t="shared" ref="AQ75:AV75" si="208">AQ73/AQ$31</f>
        <v>0.11758095821840842</v>
      </c>
      <c r="AR75" s="820">
        <f t="shared" si="208"/>
        <v>9.7445972495088407E-2</v>
      </c>
      <c r="AS75" s="820">
        <f t="shared" si="208"/>
        <v>0.13249810174639332</v>
      </c>
      <c r="AT75" s="820">
        <f t="shared" si="208"/>
        <v>0.14884814292430654</v>
      </c>
      <c r="AU75" s="820">
        <f t="shared" si="208"/>
        <v>0.1639407606370524</v>
      </c>
      <c r="AV75" s="820">
        <f t="shared" si="208"/>
        <v>0.17157555125359139</v>
      </c>
      <c r="AW75" s="820">
        <f t="shared" ref="AW75:AY75" si="209">AW73/AW$31</f>
        <v>0.1775796301525624</v>
      </c>
      <c r="AX75" s="820">
        <f t="shared" si="209"/>
        <v>0.18389558814054838</v>
      </c>
      <c r="AY75" s="820">
        <f t="shared" si="209"/>
        <v>0.1909694883193489</v>
      </c>
      <c r="BD75" s="820">
        <v>0.14339908415857036</v>
      </c>
      <c r="BE75" s="820">
        <v>0.15432862709956133</v>
      </c>
      <c r="BF75" s="820">
        <v>0.16247070940945116</v>
      </c>
      <c r="BG75" s="820">
        <v>0.16913089583044968</v>
      </c>
      <c r="BH75" s="820">
        <v>0.17458504710826517</v>
      </c>
      <c r="BI75" s="820">
        <v>0.17917187584096589</v>
      </c>
      <c r="BS75" s="820">
        <f t="shared" ref="BS75:BU75" si="210">BS73/BS$31</f>
        <v>0.14884814292430654</v>
      </c>
      <c r="BT75" s="820">
        <f t="shared" si="210"/>
        <v>0.14901798867003455</v>
      </c>
      <c r="BU75" s="820">
        <f t="shared" si="210"/>
        <v>0.14689173453131041</v>
      </c>
      <c r="BV75" s="820">
        <f t="shared" ref="BV75:BX75" si="211">BV73/BV$31</f>
        <v>0.15327125315384715</v>
      </c>
      <c r="BW75" s="820">
        <f t="shared" si="211"/>
        <v>0.16098253512564778</v>
      </c>
      <c r="BX75" s="820">
        <f t="shared" si="211"/>
        <v>0.16872628518146168</v>
      </c>
    </row>
    <row r="77" spans="2:83">
      <c r="B77" s="806" t="s">
        <v>240</v>
      </c>
      <c r="C77" s="850">
        <f>'Income Statement'!BK508</f>
        <v>163</v>
      </c>
      <c r="D77" s="850">
        <f>'Income Statement'!BL508</f>
        <v>259</v>
      </c>
      <c r="E77" s="850">
        <f>'Income Statement'!BM508</f>
        <v>319</v>
      </c>
      <c r="F77" s="850">
        <f>'Income Statement'!BN508</f>
        <v>504</v>
      </c>
      <c r="G77" s="850">
        <f>'Income Statement'!BP508</f>
        <v>136</v>
      </c>
      <c r="H77" s="850">
        <f>'Income Statement'!BQ508</f>
        <v>180</v>
      </c>
      <c r="I77" s="850">
        <f>'Income Statement'!BR508</f>
        <v>274</v>
      </c>
      <c r="J77" s="850">
        <f>'Income Statement'!BS508</f>
        <v>597</v>
      </c>
      <c r="K77" s="850">
        <f>'Income Statement'!BU508</f>
        <v>171</v>
      </c>
      <c r="L77" s="850">
        <f>'Income Statement'!BV508</f>
        <v>241</v>
      </c>
      <c r="M77" s="850">
        <f>'Income Statement'!BW508</f>
        <v>272</v>
      </c>
      <c r="N77" s="850">
        <f>'Income Statement'!BX508</f>
        <v>430</v>
      </c>
      <c r="O77" s="850">
        <f>'Income Statement'!BZ508</f>
        <v>130</v>
      </c>
      <c r="P77" s="850">
        <f>'Income Statement'!CA508</f>
        <v>166</v>
      </c>
      <c r="Q77" s="850">
        <f>'Income Statement'!CB508</f>
        <v>215</v>
      </c>
      <c r="R77" s="850">
        <f>'Income Statement'!CC508</f>
        <v>302</v>
      </c>
      <c r="S77" s="850">
        <f>'Income Statement'!CE508</f>
        <v>106</v>
      </c>
      <c r="T77" s="850">
        <f>'Income Statement'!CF508</f>
        <v>116</v>
      </c>
      <c r="U77" s="850">
        <f>'Income Statement'!CG508</f>
        <v>140</v>
      </c>
      <c r="V77" s="850">
        <f>'Income Statement'!CH508</f>
        <v>312</v>
      </c>
      <c r="W77" s="850">
        <f>'Income Statement'!CJ508</f>
        <v>86</v>
      </c>
      <c r="X77" s="850">
        <f>'Income Statement'!CK508</f>
        <v>165</v>
      </c>
      <c r="AB77" s="827">
        <f>SUMIFS($C77:Z77,$C$6:Z$6,"&lt;="&amp;AB$6,$C$6:Z$6,"&gt;"&amp;DATE(YEAR($AB$6)-1,12,31))</f>
        <v>222</v>
      </c>
      <c r="AC77" s="827">
        <f>SUMIFS($C77:Z77,$C$6:Z$6,"&lt;="&amp;AC$6,$C$6:Z$6,"&gt;"&amp;DATE(YEAR($AC$6)-1,12,31))</f>
        <v>251</v>
      </c>
      <c r="AD77" s="824">
        <f>AC77/AB77-1</f>
        <v>0.13063063063063063</v>
      </c>
      <c r="AF77" s="827">
        <f>AI77-AB77</f>
        <v>452</v>
      </c>
      <c r="AG77" s="827">
        <f t="shared" ref="AG77" si="212">AJ77-AC77</f>
        <v>735</v>
      </c>
      <c r="AH77" s="835">
        <f t="shared" ref="AH77" si="213">AG77/AF77-1</f>
        <v>0.62610619469026552</v>
      </c>
      <c r="AI77" s="827">
        <f>SUMIFS($AO77:$AZ77,$AO$5:$AZ$5,AI$6)</f>
        <v>674</v>
      </c>
      <c r="AJ77" s="827">
        <f>SUMIFS($AO77:$AZ77,$AO$5:$AZ$5,AJ$6)</f>
        <v>986</v>
      </c>
      <c r="AK77" s="824">
        <f t="shared" ref="AK77" si="214">AJ77/AI77-1</f>
        <v>0.4629080118694362</v>
      </c>
      <c r="AL77" s="827"/>
      <c r="AP77" s="850">
        <f>'Income Statement'!BT508</f>
        <v>1187</v>
      </c>
      <c r="AQ77" s="850">
        <f>'Income Statement'!BY508</f>
        <v>1114</v>
      </c>
      <c r="AR77" s="850">
        <f>'Income Statement'!CD508</f>
        <v>813</v>
      </c>
      <c r="AS77" s="850">
        <f>'Income Statement'!CI508</f>
        <v>674</v>
      </c>
      <c r="AT77" s="850">
        <f>'Income Statement'!CN508</f>
        <v>986</v>
      </c>
      <c r="AU77" s="850">
        <f>'Income Statement'!CQ508</f>
        <v>1094.558857979579</v>
      </c>
      <c r="AV77" s="850">
        <f>'Income Statement'!CR508</f>
        <v>1009.534532260039</v>
      </c>
      <c r="AW77" s="850">
        <f>'Income Statement'!CS508</f>
        <v>1034.2470765174933</v>
      </c>
      <c r="AX77" s="850">
        <f>'Income Statement'!CT508</f>
        <v>1060.3356434492387</v>
      </c>
      <c r="AY77" s="850">
        <f>'Income Statement'!CU508</f>
        <v>1085.6165288458519</v>
      </c>
      <c r="BD77" s="850">
        <v>1183.8099753866938</v>
      </c>
      <c r="BE77" s="850">
        <v>1218.2440070704381</v>
      </c>
      <c r="BF77" s="850">
        <v>1249.0221465176885</v>
      </c>
      <c r="BG77" s="850">
        <v>1281.5943045625745</v>
      </c>
      <c r="BH77" s="850">
        <v>1313.9613281157106</v>
      </c>
      <c r="BI77" s="850">
        <v>1346.2216034071992</v>
      </c>
      <c r="BK77" s="913">
        <f t="shared" ref="BK77:BP77" si="215">IFERROR(AT77/BD77-1,"")</f>
        <v>-0.16709605384266069</v>
      </c>
      <c r="BL77" s="913">
        <f t="shared" si="215"/>
        <v>-0.10152740204180433</v>
      </c>
      <c r="BM77" s="913">
        <f t="shared" si="215"/>
        <v>-0.19174008637504802</v>
      </c>
      <c r="BN77" s="913">
        <f t="shared" si="215"/>
        <v>-0.1929996311348342</v>
      </c>
      <c r="BO77" s="913">
        <f t="shared" si="215"/>
        <v>-0.19302370567494886</v>
      </c>
      <c r="BP77" s="913">
        <f t="shared" si="215"/>
        <v>-0.19358259732407557</v>
      </c>
    </row>
    <row r="78" spans="2:83">
      <c r="B78" s="804" t="s">
        <v>0</v>
      </c>
      <c r="C78" s="820"/>
      <c r="D78" s="820"/>
      <c r="E78" s="820"/>
      <c r="F78" s="820"/>
      <c r="G78" s="820">
        <f t="shared" ref="G78" si="216">G77/C77-1</f>
        <v>-0.16564417177914115</v>
      </c>
      <c r="H78" s="820">
        <f t="shared" ref="H78" si="217">H77/D77-1</f>
        <v>-0.30501930501930496</v>
      </c>
      <c r="I78" s="820">
        <f t="shared" ref="I78" si="218">I77/E77-1</f>
        <v>-0.14106583072100309</v>
      </c>
      <c r="J78" s="820">
        <f t="shared" ref="J78" si="219">J77/F77-1</f>
        <v>0.18452380952380953</v>
      </c>
      <c r="K78" s="820">
        <f t="shared" ref="K78" si="220">K77/G77-1</f>
        <v>0.25735294117647056</v>
      </c>
      <c r="L78" s="820">
        <f t="shared" ref="L78" si="221">L77/H77-1</f>
        <v>0.3388888888888888</v>
      </c>
      <c r="M78" s="820">
        <f t="shared" ref="M78" si="222">M77/I77-1</f>
        <v>-7.2992700729926918E-3</v>
      </c>
      <c r="N78" s="820">
        <f t="shared" ref="N78" si="223">N77/J77-1</f>
        <v>-0.27973199329983245</v>
      </c>
      <c r="O78" s="820">
        <f t="shared" ref="O78" si="224">O77/K77-1</f>
        <v>-0.23976608187134507</v>
      </c>
      <c r="P78" s="820">
        <f t="shared" ref="P78" si="225">P77/L77-1</f>
        <v>-0.31120331950207469</v>
      </c>
      <c r="Q78" s="820">
        <f t="shared" ref="Q78" si="226">Q77/M77-1</f>
        <v>-0.2095588235294118</v>
      </c>
      <c r="R78" s="820">
        <f t="shared" ref="R78" si="227">R77/N77-1</f>
        <v>-0.29767441860465116</v>
      </c>
      <c r="S78" s="820">
        <f t="shared" ref="S78" si="228">S77/O77-1</f>
        <v>-0.18461538461538463</v>
      </c>
      <c r="T78" s="820">
        <f t="shared" ref="T78" si="229">T77/P77-1</f>
        <v>-0.3012048192771084</v>
      </c>
      <c r="U78" s="820">
        <f t="shared" ref="U78" si="230">U77/Q77-1</f>
        <v>-0.34883720930232553</v>
      </c>
      <c r="V78" s="820">
        <f t="shared" ref="V78" si="231">V77/R77-1</f>
        <v>3.3112582781456901E-2</v>
      </c>
      <c r="W78" s="820">
        <f t="shared" ref="W78" si="232">W77/S77-1</f>
        <v>-0.18867924528301883</v>
      </c>
      <c r="X78" s="820">
        <f t="shared" ref="X78" si="233">X77/T77-1</f>
        <v>0.42241379310344818</v>
      </c>
      <c r="AP78" s="820" t="str">
        <f>IFERROR(AP77/AO77-1,"")</f>
        <v/>
      </c>
      <c r="AQ78" s="820">
        <f t="shared" ref="AQ78" si="234">IFERROR(AQ77/AP77-1,"")</f>
        <v>-6.1499578770008445E-2</v>
      </c>
      <c r="AR78" s="820">
        <f t="shared" ref="AR78" si="235">IFERROR(AR77/AQ77-1,"")</f>
        <v>-0.27019748653500897</v>
      </c>
      <c r="AS78" s="820">
        <f t="shared" ref="AS78" si="236">IFERROR(AS77/AR77-1,"")</f>
        <v>-0.17097170971709719</v>
      </c>
      <c r="AT78" s="820">
        <f t="shared" ref="AT78" si="237">IFERROR(AT77/AS77-1,"")</f>
        <v>0.4629080118694362</v>
      </c>
      <c r="AU78" s="820">
        <f t="shared" ref="AU78" si="238">IFERROR(AU77/AT77-1,"")</f>
        <v>0.11010026164257503</v>
      </c>
      <c r="AV78" s="820">
        <f t="shared" ref="AV78" si="239">IFERROR(AV77/AU77-1,"")</f>
        <v>-7.7679080571769754E-2</v>
      </c>
      <c r="AW78" s="820">
        <f t="shared" ref="AW78" si="240">IFERROR(AW77/AV77-1,"")</f>
        <v>2.4479147040300298E-2</v>
      </c>
      <c r="AX78" s="820">
        <f t="shared" ref="AX78" si="241">IFERROR(AX77/AW77-1,"")</f>
        <v>2.5224694876190057E-2</v>
      </c>
      <c r="AY78" s="820">
        <f t="shared" ref="AY78" si="242">IFERROR(AY77/AX77-1,"")</f>
        <v>2.3842342330750332E-2</v>
      </c>
      <c r="BD78" s="820">
        <v>0.75639462223545073</v>
      </c>
      <c r="BE78" s="820">
        <v>2.9087465386914202E-2</v>
      </c>
      <c r="BF78" s="820">
        <v>2.5264347100105056E-2</v>
      </c>
      <c r="BG78" s="820">
        <v>2.6078126905674237E-2</v>
      </c>
      <c r="BH78" s="820">
        <v>2.5255280425253934E-2</v>
      </c>
      <c r="BI78" s="820">
        <v>2.4551921431166912E-2</v>
      </c>
    </row>
    <row r="79" spans="2:83">
      <c r="B79" s="804" t="s">
        <v>150</v>
      </c>
      <c r="C79" s="820">
        <f>C77/C$31</f>
        <v>6.9628363947031188E-2</v>
      </c>
      <c r="D79" s="820">
        <f t="shared" ref="D79:X79" si="243">D77/D$31</f>
        <v>0.1204091120409112</v>
      </c>
      <c r="E79" s="820">
        <f t="shared" si="243"/>
        <v>0.14414821509263442</v>
      </c>
      <c r="F79" s="820">
        <f t="shared" si="243"/>
        <v>0.22291021671826625</v>
      </c>
      <c r="G79" s="820">
        <f t="shared" si="243"/>
        <v>6.0714285714285714E-2</v>
      </c>
      <c r="H79" s="820">
        <f t="shared" si="243"/>
        <v>7.9155672823219003E-2</v>
      </c>
      <c r="I79" s="820">
        <f t="shared" si="243"/>
        <v>0.12065169528841919</v>
      </c>
      <c r="J79" s="820">
        <f t="shared" si="243"/>
        <v>0.24307817589576547</v>
      </c>
      <c r="K79" s="820">
        <f t="shared" si="243"/>
        <v>7.1072319201995013E-2</v>
      </c>
      <c r="L79" s="820">
        <f t="shared" si="243"/>
        <v>9.9422442244224418E-2</v>
      </c>
      <c r="M79" s="820">
        <f t="shared" si="243"/>
        <v>0.1130977130977131</v>
      </c>
      <c r="N79" s="820">
        <f t="shared" si="243"/>
        <v>0.16836335160532498</v>
      </c>
      <c r="O79" s="820">
        <f t="shared" si="243"/>
        <v>5.1464766429136978E-2</v>
      </c>
      <c r="P79" s="820">
        <f t="shared" si="243"/>
        <v>6.7206477732793521E-2</v>
      </c>
      <c r="Q79" s="820">
        <f t="shared" si="243"/>
        <v>8.8042588042588049E-2</v>
      </c>
      <c r="R79" s="820">
        <f t="shared" si="243"/>
        <v>0.11013858497447118</v>
      </c>
      <c r="S79" s="820">
        <f t="shared" si="243"/>
        <v>4.0722243565117174E-2</v>
      </c>
      <c r="T79" s="820">
        <f t="shared" si="243"/>
        <v>4.4856921887084303E-2</v>
      </c>
      <c r="U79" s="820">
        <f t="shared" si="243"/>
        <v>5.434782608695652E-2</v>
      </c>
      <c r="V79" s="820">
        <f t="shared" si="243"/>
        <v>0.11259473114399134</v>
      </c>
      <c r="W79" s="820">
        <f t="shared" si="243"/>
        <v>3.2975460122699383E-2</v>
      </c>
      <c r="X79" s="820">
        <f t="shared" si="243"/>
        <v>6.4402810304449651E-2</v>
      </c>
      <c r="AB79" s="820">
        <f t="shared" ref="AB79:AC79" si="244">AB77/AB$31</f>
        <v>4.2782809789940257E-2</v>
      </c>
      <c r="AC79" s="820">
        <f t="shared" si="244"/>
        <v>4.8549323017408122E-2</v>
      </c>
      <c r="AF79" s="820">
        <f t="shared" ref="AF79:AG79" si="245">AF77/AF$31</f>
        <v>8.4533383205535814E-2</v>
      </c>
      <c r="AG79" s="820">
        <f t="shared" si="245"/>
        <v>0.13449222323879231</v>
      </c>
      <c r="AH79" s="820"/>
      <c r="AP79" s="820">
        <f>AP77/AP$31</f>
        <v>0.12844930202359053</v>
      </c>
      <c r="AQ79" s="820">
        <f t="shared" ref="AQ79:AV79" si="246">AQ77/AQ$31</f>
        <v>0.11380120543467157</v>
      </c>
      <c r="AR79" s="820">
        <f t="shared" si="246"/>
        <v>7.9862475442043224E-2</v>
      </c>
      <c r="AS79" s="820">
        <f t="shared" si="246"/>
        <v>6.3971146545178437E-2</v>
      </c>
      <c r="AT79" s="820">
        <f t="shared" si="246"/>
        <v>9.2712740949694408E-2</v>
      </c>
      <c r="AU79" s="820">
        <f t="shared" si="246"/>
        <v>0.1</v>
      </c>
      <c r="AV79" s="820">
        <f t="shared" si="246"/>
        <v>0.09</v>
      </c>
      <c r="AW79" s="820">
        <f t="shared" ref="AW79:AY79" si="247">AW77/AW$31</f>
        <v>0.09</v>
      </c>
      <c r="AX79" s="820">
        <f t="shared" si="247"/>
        <v>0.09</v>
      </c>
      <c r="AY79" s="820">
        <f t="shared" si="247"/>
        <v>9.0000000000000011E-2</v>
      </c>
      <c r="BD79" s="820">
        <v>0.11</v>
      </c>
      <c r="BE79" s="820">
        <v>0.10999999999999999</v>
      </c>
      <c r="BF79" s="820">
        <v>0.11000000000000001</v>
      </c>
      <c r="BG79" s="820">
        <v>0.11</v>
      </c>
      <c r="BH79" s="820">
        <v>0.11</v>
      </c>
      <c r="BI79" s="820">
        <v>0.11</v>
      </c>
    </row>
    <row r="81" spans="2:68">
      <c r="B81" s="861" t="s">
        <v>682</v>
      </c>
      <c r="C81" s="862"/>
      <c r="D81" s="862"/>
      <c r="E81" s="862"/>
      <c r="F81" s="862"/>
      <c r="G81" s="862"/>
      <c r="H81" s="862"/>
      <c r="I81" s="862"/>
      <c r="J81" s="862"/>
      <c r="K81" s="862"/>
      <c r="L81" s="862"/>
      <c r="M81" s="862"/>
      <c r="N81" s="862"/>
      <c r="O81" s="862"/>
      <c r="P81" s="862"/>
      <c r="Q81" s="862"/>
      <c r="R81" s="862"/>
      <c r="S81" s="862"/>
      <c r="T81" s="862"/>
      <c r="U81" s="862"/>
      <c r="V81" s="862"/>
      <c r="W81" s="862"/>
      <c r="X81" s="862"/>
      <c r="Y81" s="862"/>
      <c r="Z81" s="863"/>
      <c r="AA81" s="863"/>
      <c r="AB81" s="862"/>
      <c r="AC81" s="862"/>
      <c r="AD81" s="864"/>
      <c r="AE81" s="863"/>
      <c r="AF81" s="862"/>
      <c r="AG81" s="862"/>
      <c r="AH81" s="865"/>
      <c r="AI81" s="862"/>
      <c r="AJ81" s="862"/>
      <c r="AK81" s="865"/>
      <c r="AL81" s="862"/>
      <c r="AM81" s="866"/>
      <c r="AN81" s="863"/>
      <c r="AO81" s="862"/>
      <c r="AP81" s="862"/>
      <c r="AQ81" s="862"/>
      <c r="AR81" s="862"/>
      <c r="AS81" s="862"/>
      <c r="AT81" s="862"/>
      <c r="AU81" s="862"/>
      <c r="AV81" s="862"/>
      <c r="AW81" s="862"/>
      <c r="AX81" s="862"/>
      <c r="AY81" s="862"/>
      <c r="AZ81" s="863"/>
      <c r="BA81" s="992"/>
      <c r="BB81" s="992"/>
      <c r="BC81" s="863"/>
      <c r="BD81" s="862"/>
      <c r="BE81" s="862"/>
      <c r="BF81" s="862"/>
      <c r="BG81" s="862"/>
      <c r="BH81" s="862"/>
      <c r="BI81" s="862"/>
      <c r="BJ81" s="863"/>
      <c r="BK81" s="863"/>
      <c r="BL81" s="863"/>
      <c r="BM81" s="863"/>
      <c r="BN81" s="863"/>
      <c r="BO81" s="863"/>
      <c r="BP81" s="863"/>
    </row>
    <row r="82" spans="2:68">
      <c r="B82" s="867" t="s">
        <v>240</v>
      </c>
      <c r="C82" s="862"/>
      <c r="D82" s="862"/>
      <c r="E82" s="862"/>
      <c r="F82" s="862"/>
      <c r="G82" s="862"/>
      <c r="H82" s="862"/>
      <c r="I82" s="862"/>
      <c r="J82" s="862"/>
      <c r="K82" s="862"/>
      <c r="L82" s="862"/>
      <c r="M82" s="862"/>
      <c r="N82" s="862"/>
      <c r="O82" s="862"/>
      <c r="P82" s="862"/>
      <c r="Q82" s="862"/>
      <c r="R82" s="862"/>
      <c r="S82" s="862"/>
      <c r="T82" s="862"/>
      <c r="U82" s="862"/>
      <c r="V82" s="862"/>
      <c r="W82" s="862"/>
      <c r="X82" s="862"/>
      <c r="Y82" s="862"/>
      <c r="Z82" s="863"/>
      <c r="AA82" s="863"/>
      <c r="AB82" s="862"/>
      <c r="AC82" s="862"/>
      <c r="AD82" s="864"/>
      <c r="AE82" s="863"/>
      <c r="AF82" s="862"/>
      <c r="AG82" s="862"/>
      <c r="AH82" s="865"/>
      <c r="AI82" s="862"/>
      <c r="AJ82" s="862"/>
      <c r="AK82" s="865"/>
      <c r="AL82" s="862"/>
      <c r="AM82" s="866"/>
      <c r="AN82" s="863"/>
      <c r="AO82" s="862"/>
      <c r="AP82" s="862"/>
      <c r="AQ82" s="862"/>
      <c r="AR82" s="862"/>
      <c r="AS82" s="862"/>
      <c r="AT82" s="862" t="str">
        <f>'Income Statement'!CN53</f>
        <v>&lt;RM 1bn</v>
      </c>
      <c r="AU82" s="862"/>
      <c r="AV82" s="862"/>
      <c r="AW82" s="862"/>
      <c r="AX82" s="862"/>
      <c r="AY82" s="862"/>
      <c r="AZ82" s="863"/>
      <c r="BA82" s="992"/>
      <c r="BB82" s="992"/>
      <c r="BC82" s="863"/>
      <c r="BD82" s="862" t="s">
        <v>826</v>
      </c>
      <c r="BE82" s="862"/>
      <c r="BF82" s="862"/>
      <c r="BG82" s="862"/>
      <c r="BH82" s="862"/>
      <c r="BI82" s="862"/>
      <c r="BJ82" s="863"/>
      <c r="BK82" s="863"/>
      <c r="BL82" s="863"/>
      <c r="BM82" s="863"/>
      <c r="BN82" s="863"/>
      <c r="BO82" s="863"/>
      <c r="BP82" s="86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3CFBF-1D6D-4F19-ACFC-66C33F7DA976}">
  <sheetPr>
    <tabColor theme="0"/>
  </sheetPr>
  <dimension ref="B2:BA67"/>
  <sheetViews>
    <sheetView zoomScale="85" zoomScaleNormal="85" workbookViewId="0">
      <pane xSplit="2" ySplit="6" topLeftCell="P30" activePane="bottomRight" state="frozen"/>
      <selection pane="topRight" activeCell="C1" sqref="C1"/>
      <selection pane="bottomLeft" activeCell="A7" sqref="A7"/>
      <selection pane="bottomRight" activeCell="AQ58" sqref="AQ58"/>
    </sheetView>
  </sheetViews>
  <sheetFormatPr defaultColWidth="7.6328125" defaultRowHeight="13"/>
  <cols>
    <col min="1" max="1" width="7.6328125" style="804"/>
    <col min="2" max="2" width="22.90625" style="804" bestFit="1" customWidth="1"/>
    <col min="3" max="24" width="7.7265625" style="804" bestFit="1" customWidth="1"/>
    <col min="25" max="25" width="7.6328125" style="804" customWidth="1"/>
    <col min="26" max="27" width="1.90625" style="804" customWidth="1"/>
    <col min="28" max="29" width="8" style="804" bestFit="1" customWidth="1"/>
    <col min="30" max="30" width="7.7265625" style="804" bestFit="1" customWidth="1"/>
    <col min="31" max="31" width="1.90625" style="804" customWidth="1"/>
    <col min="32" max="33" width="14.26953125" style="804" bestFit="1" customWidth="1"/>
    <col min="34" max="34" width="10.90625" style="804" bestFit="1" customWidth="1"/>
    <col min="35" max="36" width="9.6328125" style="804" bestFit="1" customWidth="1"/>
    <col min="37" max="37" width="8" style="804" bestFit="1" customWidth="1"/>
    <col min="38" max="38" width="7.90625" style="804" bestFit="1" customWidth="1"/>
    <col min="39" max="39" width="7.6328125" style="805"/>
    <col min="40" max="40" width="7.6328125" style="804"/>
    <col min="41" max="48" width="8.6328125" style="804" bestFit="1" customWidth="1"/>
    <col min="49" max="49" width="7.6328125" style="804"/>
    <col min="50" max="53" width="8.6328125" style="804" bestFit="1" customWidth="1"/>
    <col min="54" max="16384" width="7.6328125" style="804"/>
  </cols>
  <sheetData>
    <row r="2" spans="2:53">
      <c r="B2" s="802" t="s">
        <v>827</v>
      </c>
      <c r="C2" s="803"/>
    </row>
    <row r="3" spans="2:53">
      <c r="B3" s="806" t="s">
        <v>828</v>
      </c>
      <c r="C3" s="807">
        <v>45838</v>
      </c>
      <c r="Q3" s="806"/>
      <c r="Z3" s="808" t="s">
        <v>829</v>
      </c>
    </row>
    <row r="4" spans="2:53">
      <c r="C4" s="809"/>
      <c r="AB4" s="806" t="s">
        <v>830</v>
      </c>
      <c r="AO4" s="806" t="s">
        <v>831</v>
      </c>
      <c r="AY4" s="806" t="s">
        <v>1</v>
      </c>
    </row>
    <row r="5" spans="2:53">
      <c r="B5" s="810"/>
      <c r="C5" s="810" t="str">
        <f>IF(MONTH(C$6)=3,"Q1"&amp;" "&amp;RIGHT(YEAR(C$6),2),IF(MONTH(C$6)=6,"Q2"&amp;" "&amp;RIGHT(YEAR(C$6),2),IF(MONTH(C$6)=9,"Q3"&amp;" "&amp;RIGHT(YEAR(C$6),2),IF(MONTH(C$6)=12,"Q4"&amp;" "&amp;RIGHT(YEAR(C$6),2),"nm"))))</f>
        <v>Q1 20</v>
      </c>
      <c r="D5" s="810" t="str">
        <f>IF(MONTH(D$6)=3,"Q1"&amp;" "&amp;RIGHT(YEAR(D$6),2),IF(MONTH(D$6)=6,"Q2"&amp;" "&amp;RIGHT(YEAR(D$6),2),IF(MONTH(D$6)=9,"Q3"&amp;" "&amp;RIGHT(YEAR(D$6),2),IF(MONTH(D$6)=12,"Q4"&amp;" "&amp;RIGHT(YEAR(D$6),2),"nm"))))</f>
        <v>Q2 20</v>
      </c>
      <c r="E5" s="810" t="str">
        <f t="shared" ref="E5:X5" si="0">IF(MONTH(E$6)=3,"Q1"&amp;" "&amp;RIGHT(YEAR(E$6),2),IF(MONTH(E$6)=6,"Q2"&amp;" "&amp;RIGHT(YEAR(E$6),2),IF(MONTH(E$6)=9,"Q3"&amp;" "&amp;RIGHT(YEAR(E$6),2),IF(MONTH(E$6)=12,"Q4"&amp;" "&amp;RIGHT(YEAR(E$6),2),"nm"))))</f>
        <v>Q3 20</v>
      </c>
      <c r="F5" s="810" t="str">
        <f t="shared" si="0"/>
        <v>Q4 20</v>
      </c>
      <c r="G5" s="810" t="str">
        <f t="shared" si="0"/>
        <v>Q1 21</v>
      </c>
      <c r="H5" s="810" t="str">
        <f t="shared" si="0"/>
        <v>Q2 21</v>
      </c>
      <c r="I5" s="810" t="str">
        <f t="shared" si="0"/>
        <v>Q3 21</v>
      </c>
      <c r="J5" s="810" t="str">
        <f t="shared" si="0"/>
        <v>Q4 21</v>
      </c>
      <c r="K5" s="810" t="str">
        <f t="shared" si="0"/>
        <v>Q1 22</v>
      </c>
      <c r="L5" s="810" t="str">
        <f t="shared" si="0"/>
        <v>Q2 22</v>
      </c>
      <c r="M5" s="810" t="str">
        <f t="shared" si="0"/>
        <v>Q3 22</v>
      </c>
      <c r="N5" s="810" t="str">
        <f t="shared" si="0"/>
        <v>Q4 22</v>
      </c>
      <c r="O5" s="810" t="str">
        <f t="shared" si="0"/>
        <v>Q1 23</v>
      </c>
      <c r="P5" s="810" t="str">
        <f t="shared" si="0"/>
        <v>Q2 23</v>
      </c>
      <c r="Q5" s="810" t="str">
        <f t="shared" si="0"/>
        <v>Q3 23</v>
      </c>
      <c r="R5" s="810" t="str">
        <f t="shared" si="0"/>
        <v>Q4 23</v>
      </c>
      <c r="S5" s="810" t="str">
        <f t="shared" si="0"/>
        <v>Q1 24</v>
      </c>
      <c r="T5" s="810" t="str">
        <f t="shared" si="0"/>
        <v>Q2 24</v>
      </c>
      <c r="U5" s="810" t="str">
        <f t="shared" si="0"/>
        <v>Q3 24</v>
      </c>
      <c r="V5" s="810" t="str">
        <f t="shared" si="0"/>
        <v>Q4 24</v>
      </c>
      <c r="W5" s="810" t="str">
        <f t="shared" si="0"/>
        <v>Q1 25</v>
      </c>
      <c r="X5" s="810" t="str">
        <f t="shared" si="0"/>
        <v>Q2 25</v>
      </c>
      <c r="Y5" s="810"/>
      <c r="AB5" s="811" t="s">
        <v>832</v>
      </c>
      <c r="AC5" s="811" t="s">
        <v>833</v>
      </c>
      <c r="AD5" s="811" t="s">
        <v>793</v>
      </c>
      <c r="AF5" s="812" t="s">
        <v>834</v>
      </c>
      <c r="AG5" s="812" t="s">
        <v>835</v>
      </c>
      <c r="AH5" s="812" t="s">
        <v>753</v>
      </c>
      <c r="AI5" s="811" t="s">
        <v>836</v>
      </c>
      <c r="AJ5" s="811" t="s">
        <v>836</v>
      </c>
      <c r="AK5" s="811"/>
      <c r="AL5" s="811"/>
      <c r="AO5" s="810">
        <v>2020</v>
      </c>
      <c r="AP5" s="810">
        <f>AO5+1</f>
        <v>2021</v>
      </c>
      <c r="AQ5" s="810">
        <f t="shared" ref="AQ5:AV5" si="1">AP5+1</f>
        <v>2022</v>
      </c>
      <c r="AR5" s="810">
        <f t="shared" si="1"/>
        <v>2023</v>
      </c>
      <c r="AS5" s="810">
        <f t="shared" si="1"/>
        <v>2024</v>
      </c>
      <c r="AT5" s="813">
        <f t="shared" si="1"/>
        <v>2025</v>
      </c>
      <c r="AU5" s="813">
        <f t="shared" si="1"/>
        <v>2026</v>
      </c>
      <c r="AV5" s="813">
        <f t="shared" si="1"/>
        <v>2027</v>
      </c>
      <c r="AX5" s="814">
        <f>AS5</f>
        <v>2024</v>
      </c>
      <c r="AY5" s="814">
        <f>AT5</f>
        <v>2025</v>
      </c>
      <c r="AZ5" s="814">
        <f>AU5</f>
        <v>2026</v>
      </c>
      <c r="BA5" s="814">
        <f>AV5</f>
        <v>2027</v>
      </c>
    </row>
    <row r="6" spans="2:53">
      <c r="B6" s="815"/>
      <c r="C6" s="815">
        <v>43921</v>
      </c>
      <c r="D6" s="815">
        <f>EOMONTH(C6,3)</f>
        <v>44012</v>
      </c>
      <c r="E6" s="815">
        <f t="shared" ref="E6:X6" si="2">EOMONTH(D6,3)</f>
        <v>44104</v>
      </c>
      <c r="F6" s="815">
        <f t="shared" si="2"/>
        <v>44196</v>
      </c>
      <c r="G6" s="815">
        <f t="shared" si="2"/>
        <v>44286</v>
      </c>
      <c r="H6" s="815">
        <f t="shared" si="2"/>
        <v>44377</v>
      </c>
      <c r="I6" s="815">
        <f t="shared" si="2"/>
        <v>44469</v>
      </c>
      <c r="J6" s="815">
        <f t="shared" si="2"/>
        <v>44561</v>
      </c>
      <c r="K6" s="815">
        <f t="shared" si="2"/>
        <v>44651</v>
      </c>
      <c r="L6" s="815">
        <f t="shared" si="2"/>
        <v>44742</v>
      </c>
      <c r="M6" s="815">
        <f t="shared" si="2"/>
        <v>44834</v>
      </c>
      <c r="N6" s="815">
        <f t="shared" si="2"/>
        <v>44926</v>
      </c>
      <c r="O6" s="815">
        <f t="shared" si="2"/>
        <v>45016</v>
      </c>
      <c r="P6" s="815">
        <f t="shared" si="2"/>
        <v>45107</v>
      </c>
      <c r="Q6" s="815">
        <f t="shared" si="2"/>
        <v>45199</v>
      </c>
      <c r="R6" s="815">
        <f t="shared" si="2"/>
        <v>45291</v>
      </c>
      <c r="S6" s="815">
        <f t="shared" si="2"/>
        <v>45382</v>
      </c>
      <c r="T6" s="815">
        <f t="shared" si="2"/>
        <v>45473</v>
      </c>
      <c r="U6" s="815">
        <f t="shared" si="2"/>
        <v>45565</v>
      </c>
      <c r="V6" s="815">
        <f t="shared" si="2"/>
        <v>45657</v>
      </c>
      <c r="W6" s="815">
        <f t="shared" si="2"/>
        <v>45747</v>
      </c>
      <c r="X6" s="815">
        <f t="shared" si="2"/>
        <v>45838</v>
      </c>
      <c r="Y6" s="815"/>
      <c r="Z6" s="816"/>
      <c r="AA6" s="816"/>
      <c r="AB6" s="817">
        <f>EOMONTH(AC6,-12)</f>
        <v>45473</v>
      </c>
      <c r="AC6" s="817">
        <f>$C$3</f>
        <v>45838</v>
      </c>
      <c r="AD6" s="817"/>
      <c r="AF6" s="817"/>
      <c r="AG6" s="817"/>
      <c r="AH6" s="817"/>
      <c r="AI6" s="818">
        <f>AJ6-1</f>
        <v>2024</v>
      </c>
      <c r="AJ6" s="818">
        <f>YEAR($C$3)</f>
        <v>2025</v>
      </c>
      <c r="AK6" s="817"/>
      <c r="AL6" s="817"/>
    </row>
    <row r="7" spans="2:53">
      <c r="B7" s="816"/>
      <c r="C7" s="816"/>
      <c r="D7" s="816"/>
      <c r="E7" s="816"/>
      <c r="F7" s="816"/>
      <c r="G7" s="816"/>
      <c r="H7" s="816"/>
      <c r="I7" s="816"/>
      <c r="J7" s="816"/>
      <c r="K7" s="816"/>
      <c r="L7" s="816"/>
      <c r="M7" s="816"/>
      <c r="N7" s="816"/>
      <c r="O7" s="816"/>
      <c r="P7" s="816"/>
      <c r="Q7" s="816"/>
      <c r="R7" s="816"/>
      <c r="S7" s="816"/>
      <c r="T7" s="816"/>
      <c r="U7" s="816"/>
      <c r="V7" s="816"/>
      <c r="W7" s="816"/>
      <c r="X7" s="816"/>
      <c r="Y7" s="816"/>
      <c r="AB7" s="816"/>
      <c r="AC7" s="816"/>
      <c r="AD7" s="816"/>
      <c r="AF7" s="816"/>
      <c r="AG7" s="816"/>
      <c r="AH7" s="816"/>
      <c r="AI7" s="816"/>
      <c r="AJ7" s="816"/>
      <c r="AK7" s="816"/>
      <c r="AL7" s="816"/>
    </row>
    <row r="8" spans="2:53">
      <c r="B8" s="848" t="s">
        <v>642</v>
      </c>
      <c r="C8" s="850">
        <f>'Income Statement'!BK408</f>
        <v>0</v>
      </c>
      <c r="D8" s="850">
        <f>'Income Statement'!BL408</f>
        <v>0</v>
      </c>
      <c r="E8" s="850">
        <f>'Income Statement'!BM408</f>
        <v>0</v>
      </c>
      <c r="F8" s="850">
        <f>'Income Statement'!BN408</f>
        <v>0</v>
      </c>
      <c r="G8" s="850">
        <f>'Income Statement'!BP408</f>
        <v>748</v>
      </c>
      <c r="H8" s="850">
        <f>'Income Statement'!BQ408</f>
        <v>766</v>
      </c>
      <c r="I8" s="850">
        <f>'Income Statement'!BR408</f>
        <v>783</v>
      </c>
      <c r="J8" s="850">
        <f>'Income Statement'!BS408</f>
        <v>766</v>
      </c>
      <c r="K8" s="850">
        <f>'Income Statement'!BU408</f>
        <v>785</v>
      </c>
      <c r="L8" s="850">
        <f>'Income Statement'!BV408</f>
        <v>810</v>
      </c>
      <c r="M8" s="850">
        <f>'Income Statement'!BW408</f>
        <v>830</v>
      </c>
      <c r="N8" s="850">
        <f>'Income Statement'!BX408</f>
        <v>850</v>
      </c>
      <c r="O8" s="850">
        <f>'Income Statement'!BZ408</f>
        <v>864</v>
      </c>
      <c r="P8" s="850">
        <f>'Income Statement'!CA408</f>
        <v>871</v>
      </c>
      <c r="Q8" s="850">
        <f>'Income Statement'!CB408</f>
        <v>882</v>
      </c>
      <c r="R8" s="850">
        <f>'Income Statement'!CC408</f>
        <v>903</v>
      </c>
      <c r="S8" s="850">
        <f>'Income Statement'!CE408</f>
        <v>911</v>
      </c>
      <c r="T8" s="850">
        <f>'Income Statement'!CF408</f>
        <v>916</v>
      </c>
      <c r="U8" s="850">
        <f>'Income Statement'!CG408</f>
        <v>925</v>
      </c>
      <c r="V8" s="850">
        <f>'Income Statement'!CH408</f>
        <v>948</v>
      </c>
      <c r="W8" s="850">
        <f>'Income Statement'!CJ408</f>
        <v>924</v>
      </c>
      <c r="X8" s="850">
        <f>'Income Statement'!CK408</f>
        <v>933</v>
      </c>
      <c r="Y8" s="819"/>
      <c r="AB8" s="819">
        <f>SUMIFS($C8:Z8,$C$6:Z$6,"&lt;="&amp;AB$6,$C$6:Z$6,"&gt;"&amp;DATE(YEAR($AB$6)-1,12,31))</f>
        <v>1827</v>
      </c>
      <c r="AC8" s="819">
        <f>SUMIFS($C8:Z8,$C$6:Z$6,"&lt;="&amp;AC$6,$C$6:Z$6,"&gt;"&amp;DATE(YEAR($AC$6)-1,12,31))</f>
        <v>1857</v>
      </c>
      <c r="AD8" s="820">
        <f>AC8/AB8-1</f>
        <v>1.6420361247947435E-2</v>
      </c>
      <c r="AF8" s="819">
        <f t="shared" ref="AF8:AG26" si="3">AI8-AB8</f>
        <v>1873</v>
      </c>
      <c r="AG8" s="819">
        <f t="shared" si="3"/>
        <v>1928</v>
      </c>
      <c r="AH8" s="820">
        <f>AG8/AF8-1</f>
        <v>2.9364655632674763E-2</v>
      </c>
      <c r="AI8" s="819">
        <f>SUMIFS($AO8:$AW8,$AO$5:$AW$5,AI$6)</f>
        <v>3700</v>
      </c>
      <c r="AJ8" s="819">
        <f>SUMIFS($AO8:$AW8,$AO$5:$AW$5,AJ$6)</f>
        <v>3785</v>
      </c>
      <c r="AK8" s="819"/>
      <c r="AL8" s="819"/>
      <c r="AO8" s="850"/>
      <c r="AP8" s="850">
        <f>'Income Statement'!BT408</f>
        <v>3063</v>
      </c>
      <c r="AQ8" s="850">
        <f>'Income Statement'!BY408</f>
        <v>3275</v>
      </c>
      <c r="AR8" s="850">
        <f>'Income Statement'!CD408</f>
        <v>3520</v>
      </c>
      <c r="AS8" s="850">
        <f>'Income Statement'!CI408</f>
        <v>3700</v>
      </c>
      <c r="AT8" s="850">
        <f>'Income Statement'!CN408</f>
        <v>3785</v>
      </c>
      <c r="AU8" s="850">
        <f>'Income Statement'!CQ408</f>
        <v>3901.2032301220534</v>
      </c>
      <c r="AV8" s="850">
        <f>'Income Statement'!CR408</f>
        <v>3963.3333912322096</v>
      </c>
    </row>
    <row r="9" spans="2:53">
      <c r="B9" s="846" t="s">
        <v>793</v>
      </c>
      <c r="C9" s="819"/>
      <c r="D9" s="819"/>
      <c r="E9" s="819"/>
      <c r="F9" s="819"/>
      <c r="G9" s="820"/>
      <c r="H9" s="820"/>
      <c r="I9" s="820"/>
      <c r="J9" s="820"/>
      <c r="K9" s="820">
        <f t="shared" ref="K9" si="4">K8/G8-1</f>
        <v>4.9465240641711317E-2</v>
      </c>
      <c r="L9" s="820">
        <f t="shared" ref="L9" si="5">L8/H8-1</f>
        <v>5.7441253263707637E-2</v>
      </c>
      <c r="M9" s="820">
        <f t="shared" ref="M9" si="6">M8/I8-1</f>
        <v>6.0025542784163388E-2</v>
      </c>
      <c r="N9" s="820">
        <f t="shared" ref="N9" si="7">N8/J8-1</f>
        <v>0.10966057441253274</v>
      </c>
      <c r="O9" s="820">
        <f t="shared" ref="O9" si="8">O8/K8-1</f>
        <v>0.10063694267515921</v>
      </c>
      <c r="P9" s="820">
        <f t="shared" ref="P9" si="9">P8/L8-1</f>
        <v>7.5308641975308621E-2</v>
      </c>
      <c r="Q9" s="820">
        <f t="shared" ref="Q9" si="10">Q8/M8-1</f>
        <v>6.2650602409638489E-2</v>
      </c>
      <c r="R9" s="820">
        <f t="shared" ref="R9" si="11">R8/N8-1</f>
        <v>6.23529411764705E-2</v>
      </c>
      <c r="S9" s="820">
        <f t="shared" ref="S9" si="12">S8/O8-1</f>
        <v>5.439814814814814E-2</v>
      </c>
      <c r="T9" s="820">
        <f t="shared" ref="T9" si="13">T8/P8-1</f>
        <v>5.1664753157290466E-2</v>
      </c>
      <c r="U9" s="820">
        <f t="shared" ref="U9" si="14">U8/Q8-1</f>
        <v>4.8752834467120199E-2</v>
      </c>
      <c r="V9" s="820">
        <f t="shared" ref="V9" si="15">V8/R8-1</f>
        <v>4.9833887043189362E-2</v>
      </c>
      <c r="W9" s="820">
        <f t="shared" ref="W9" si="16">W8/S8-1</f>
        <v>1.4270032930845167E-2</v>
      </c>
      <c r="X9" s="820">
        <f t="shared" ref="X9" si="17">X8/T8-1</f>
        <v>1.8558951965065518E-2</v>
      </c>
      <c r="Y9" s="819"/>
      <c r="AB9" s="819"/>
      <c r="AC9" s="819"/>
      <c r="AD9" s="820"/>
      <c r="AF9" s="819"/>
      <c r="AG9" s="819"/>
      <c r="AH9" s="820"/>
      <c r="AI9" s="819"/>
      <c r="AJ9" s="819"/>
      <c r="AK9" s="819"/>
      <c r="AL9" s="819"/>
      <c r="AO9" s="819"/>
      <c r="AP9" s="819"/>
      <c r="AQ9" s="855">
        <f>IFERROR(AQ8/AP8-1,"")</f>
        <v>6.9213189683317022E-2</v>
      </c>
      <c r="AR9" s="855">
        <f t="shared" ref="AR9:AV9" si="18">IFERROR(AR8/AQ8-1,"")</f>
        <v>7.4809160305343569E-2</v>
      </c>
      <c r="AS9" s="855">
        <f t="shared" si="18"/>
        <v>5.1136363636363535E-2</v>
      </c>
      <c r="AT9" s="855">
        <f t="shared" si="18"/>
        <v>2.2972972972973071E-2</v>
      </c>
      <c r="AU9" s="855">
        <f t="shared" si="18"/>
        <v>3.0700985501203037E-2</v>
      </c>
      <c r="AV9" s="855">
        <f t="shared" si="18"/>
        <v>1.5925897074634765E-2</v>
      </c>
    </row>
    <row r="10" spans="2:53">
      <c r="B10" s="848" t="s">
        <v>534</v>
      </c>
      <c r="C10" s="850">
        <f>'Income Statement'!BK409</f>
        <v>0</v>
      </c>
      <c r="D10" s="850">
        <f>'Income Statement'!BL409</f>
        <v>0</v>
      </c>
      <c r="E10" s="850">
        <f>'Income Statement'!BM409</f>
        <v>0</v>
      </c>
      <c r="F10" s="850">
        <f>'Income Statement'!BN409</f>
        <v>0</v>
      </c>
      <c r="G10" s="850">
        <f>'Income Statement'!BP409</f>
        <v>690</v>
      </c>
      <c r="H10" s="850">
        <f>'Income Statement'!BQ409</f>
        <v>685</v>
      </c>
      <c r="I10" s="850">
        <f>'Income Statement'!BR409</f>
        <v>685</v>
      </c>
      <c r="J10" s="850">
        <f>'Income Statement'!BS409</f>
        <v>655</v>
      </c>
      <c r="K10" s="850">
        <f>'Income Statement'!BU409</f>
        <v>657</v>
      </c>
      <c r="L10" s="850">
        <f>'Income Statement'!BV409</f>
        <v>679</v>
      </c>
      <c r="M10" s="850">
        <f>'Income Statement'!BW409</f>
        <v>676</v>
      </c>
      <c r="N10" s="850">
        <f>'Income Statement'!BX409</f>
        <v>681</v>
      </c>
      <c r="O10" s="850">
        <f>'Income Statement'!BZ409</f>
        <v>661</v>
      </c>
      <c r="P10" s="850">
        <f>'Income Statement'!CA409</f>
        <v>651</v>
      </c>
      <c r="Q10" s="850">
        <f>'Income Statement'!CB409</f>
        <v>652</v>
      </c>
      <c r="R10" s="850">
        <f>'Income Statement'!CC409</f>
        <v>655</v>
      </c>
      <c r="S10" s="850">
        <f>'Income Statement'!CE409</f>
        <v>649</v>
      </c>
      <c r="T10" s="850">
        <f>'Income Statement'!CF409</f>
        <v>648</v>
      </c>
      <c r="U10" s="850">
        <f>'Income Statement'!CG409</f>
        <v>641</v>
      </c>
      <c r="V10" s="850">
        <f>'Income Statement'!CH409</f>
        <v>627</v>
      </c>
      <c r="W10" s="850">
        <f>'Income Statement'!CJ409</f>
        <v>595</v>
      </c>
      <c r="X10" s="850">
        <f>'Income Statement'!CK409</f>
        <v>610</v>
      </c>
      <c r="Y10" s="819"/>
      <c r="AB10" s="819">
        <f>SUMIFS($C10:Z10,$C$6:Z$6,"&lt;="&amp;AB$6,$C$6:Z$6,"&gt;"&amp;DATE(YEAR($AB$6)-1,12,31))</f>
        <v>1297</v>
      </c>
      <c r="AC10" s="819">
        <f>SUMIFS($C10:Z10,$C$6:Z$6,"&lt;="&amp;AC$6,$C$6:Z$6,"&gt;"&amp;DATE(YEAR($AC$6)-1,12,31))</f>
        <v>1205</v>
      </c>
      <c r="AD10" s="820">
        <f>AC10/AB10-1</f>
        <v>-7.093292212798763E-2</v>
      </c>
      <c r="AF10" s="819">
        <f t="shared" si="3"/>
        <v>1268</v>
      </c>
      <c r="AG10" s="819">
        <f t="shared" si="3"/>
        <v>1240</v>
      </c>
      <c r="AH10" s="820">
        <f>AG10/AF10-1</f>
        <v>-2.2082018927444769E-2</v>
      </c>
      <c r="AI10" s="819">
        <f>SUMIFS($AO10:$AW10,$AO$5:$AW$5,AI$6)</f>
        <v>2565</v>
      </c>
      <c r="AJ10" s="819">
        <f>SUMIFS($AO10:$AW10,$AO$5:$AW$5,AJ$6)</f>
        <v>2445</v>
      </c>
      <c r="AK10" s="819"/>
      <c r="AL10" s="819"/>
      <c r="AO10" s="819"/>
      <c r="AP10" s="850">
        <f>'Income Statement'!BT409</f>
        <v>2715</v>
      </c>
      <c r="AQ10" s="850">
        <f>'Income Statement'!BY409</f>
        <v>2693</v>
      </c>
      <c r="AR10" s="850">
        <f>'Income Statement'!CD409</f>
        <v>2619</v>
      </c>
      <c r="AS10" s="850">
        <f>'Income Statement'!CI409</f>
        <v>2565</v>
      </c>
      <c r="AT10" s="850">
        <f>'Income Statement'!CN409</f>
        <v>2445</v>
      </c>
      <c r="AU10" s="850">
        <f>'Income Statement'!CQ409</f>
        <v>2470.115496680211</v>
      </c>
      <c r="AV10" s="850">
        <f>'Income Statement'!CR409</f>
        <v>2479.0650826091564</v>
      </c>
    </row>
    <row r="11" spans="2:53">
      <c r="B11" s="846" t="s">
        <v>793</v>
      </c>
      <c r="C11" s="819"/>
      <c r="D11" s="819"/>
      <c r="E11" s="819"/>
      <c r="F11" s="819"/>
      <c r="G11" s="820"/>
      <c r="H11" s="820"/>
      <c r="I11" s="820"/>
      <c r="J11" s="820"/>
      <c r="K11" s="820">
        <f t="shared" ref="K11" si="19">K10/G10-1</f>
        <v>-4.7826086956521685E-2</v>
      </c>
      <c r="L11" s="820">
        <f t="shared" ref="L11" si="20">L10/H10-1</f>
        <v>-8.7591240875912746E-3</v>
      </c>
      <c r="M11" s="820">
        <f t="shared" ref="M11" si="21">M10/I10-1</f>
        <v>-1.3138686131386912E-2</v>
      </c>
      <c r="N11" s="820">
        <f t="shared" ref="N11" si="22">N10/J10-1</f>
        <v>3.969465648854964E-2</v>
      </c>
      <c r="O11" s="820">
        <f t="shared" ref="O11" si="23">O10/K10-1</f>
        <v>6.0882800608828003E-3</v>
      </c>
      <c r="P11" s="820">
        <f t="shared" ref="P11" si="24">P10/L10-1</f>
        <v>-4.123711340206182E-2</v>
      </c>
      <c r="Q11" s="820">
        <f t="shared" ref="Q11" si="25">Q10/M10-1</f>
        <v>-3.5502958579881616E-2</v>
      </c>
      <c r="R11" s="820">
        <f t="shared" ref="R11" si="26">R10/N10-1</f>
        <v>-3.8179148311306865E-2</v>
      </c>
      <c r="S11" s="820">
        <f t="shared" ref="S11" si="27">S10/O10-1</f>
        <v>-1.8154311649016597E-2</v>
      </c>
      <c r="T11" s="820">
        <f t="shared" ref="T11" si="28">T10/P10-1</f>
        <v>-4.6082949308755561E-3</v>
      </c>
      <c r="U11" s="820">
        <f t="shared" ref="U11" si="29">U10/Q10-1</f>
        <v>-1.6871165644171793E-2</v>
      </c>
      <c r="V11" s="820">
        <f t="shared" ref="V11" si="30">V10/R10-1</f>
        <v>-4.2748091603053484E-2</v>
      </c>
      <c r="W11" s="820">
        <f t="shared" ref="W11" si="31">W10/S10-1</f>
        <v>-8.3204930662557741E-2</v>
      </c>
      <c r="X11" s="820">
        <f t="shared" ref="X11" si="32">X10/T10-1</f>
        <v>-5.8641975308642014E-2</v>
      </c>
      <c r="Y11" s="819"/>
      <c r="AB11" s="819"/>
      <c r="AC11" s="819"/>
      <c r="AD11" s="820"/>
      <c r="AF11" s="819"/>
      <c r="AG11" s="819"/>
      <c r="AH11" s="820"/>
      <c r="AI11" s="819"/>
      <c r="AJ11" s="819"/>
      <c r="AK11" s="819"/>
      <c r="AL11" s="819"/>
      <c r="AO11" s="819"/>
      <c r="AP11" s="819"/>
      <c r="AQ11" s="855">
        <f>IFERROR(AQ10/AP10-1,"")</f>
        <v>-8.1031307550644138E-3</v>
      </c>
      <c r="AR11" s="855">
        <f t="shared" ref="AR11" si="33">IFERROR(AR10/AQ10-1,"")</f>
        <v>-2.7478648347567747E-2</v>
      </c>
      <c r="AS11" s="855">
        <f t="shared" ref="AS11" si="34">IFERROR(AS10/AR10-1,"")</f>
        <v>-2.0618556701030966E-2</v>
      </c>
      <c r="AT11" s="855">
        <f t="shared" ref="AT11" si="35">IFERROR(AT10/AS10-1,"")</f>
        <v>-4.6783625730994149E-2</v>
      </c>
      <c r="AU11" s="855">
        <f t="shared" ref="AU11" si="36">IFERROR(AU10/AT10-1,"")</f>
        <v>1.0272186781272286E-2</v>
      </c>
      <c r="AV11" s="855">
        <f t="shared" ref="AV11" si="37">IFERROR(AV10/AU10-1,"")</f>
        <v>3.6231447237886627E-3</v>
      </c>
    </row>
    <row r="12" spans="2:53">
      <c r="B12" s="848" t="s">
        <v>643</v>
      </c>
      <c r="C12" s="850">
        <f>'Income Statement'!BK411</f>
        <v>0</v>
      </c>
      <c r="D12" s="850">
        <f>'Income Statement'!BL411</f>
        <v>0</v>
      </c>
      <c r="E12" s="850">
        <f>'Income Statement'!BM411</f>
        <v>0</v>
      </c>
      <c r="F12" s="850">
        <f>'Income Statement'!BN411</f>
        <v>0</v>
      </c>
      <c r="G12" s="850">
        <f>'Income Statement'!BP411</f>
        <v>165</v>
      </c>
      <c r="H12" s="850">
        <f>'Income Statement'!BQ411</f>
        <v>175</v>
      </c>
      <c r="I12" s="850">
        <f>'Income Statement'!BR411</f>
        <v>185</v>
      </c>
      <c r="J12" s="850">
        <f>'Income Statement'!BS411</f>
        <v>196</v>
      </c>
      <c r="K12" s="850">
        <f>'Income Statement'!BU411</f>
        <v>200</v>
      </c>
      <c r="L12" s="850">
        <f>'Income Statement'!BV411</f>
        <v>209</v>
      </c>
      <c r="M12" s="850">
        <f>'Income Statement'!BW411</f>
        <v>215</v>
      </c>
      <c r="N12" s="850">
        <f>'Income Statement'!BX411</f>
        <v>219</v>
      </c>
      <c r="O12" s="850">
        <f>'Income Statement'!BZ411</f>
        <v>222</v>
      </c>
      <c r="P12" s="850">
        <f>'Income Statement'!CA411</f>
        <v>229</v>
      </c>
      <c r="Q12" s="850">
        <f>'Income Statement'!CB411</f>
        <v>231</v>
      </c>
      <c r="R12" s="850">
        <f>'Income Statement'!CC411</f>
        <v>243</v>
      </c>
      <c r="S12" s="850">
        <f>'Income Statement'!CE411</f>
        <v>244</v>
      </c>
      <c r="T12" s="850">
        <f>'Income Statement'!CF411</f>
        <v>251</v>
      </c>
      <c r="U12" s="850">
        <f>'Income Statement'!CG411</f>
        <v>251</v>
      </c>
      <c r="V12" s="850">
        <f>'Income Statement'!CH411</f>
        <v>247</v>
      </c>
      <c r="W12" s="850">
        <f>'Income Statement'!CJ411</f>
        <v>254</v>
      </c>
      <c r="X12" s="850">
        <f>'Income Statement'!CK411</f>
        <v>254</v>
      </c>
      <c r="Y12" s="819"/>
      <c r="AB12" s="819">
        <f>SUMIFS($C12:Z12,$C$6:Z$6,"&lt;="&amp;AB$6,$C$6:Z$6,"&gt;"&amp;DATE(YEAR($AB$6)-1,12,31))</f>
        <v>495</v>
      </c>
      <c r="AC12" s="819">
        <f>SUMIFS($C12:Z12,$C$6:Z$6,"&lt;="&amp;AC$6,$C$6:Z$6,"&gt;"&amp;DATE(YEAR($AC$6)-1,12,31))</f>
        <v>508</v>
      </c>
      <c r="AD12" s="821">
        <f>AC12/AB12-1</f>
        <v>2.626262626262621E-2</v>
      </c>
      <c r="AF12" s="819">
        <f t="shared" si="3"/>
        <v>498</v>
      </c>
      <c r="AG12" s="819">
        <f t="shared" si="3"/>
        <v>509</v>
      </c>
      <c r="AH12" s="821">
        <f>AG12/AF12-1</f>
        <v>2.2088353413654671E-2</v>
      </c>
      <c r="AI12" s="819">
        <f>SUMIFS($AO12:$AW12,$AO$5:$AW$5,AI$6)</f>
        <v>993</v>
      </c>
      <c r="AJ12" s="819">
        <f>SUMIFS($AO12:$AW12,$AO$5:$AW$5,AJ$6)</f>
        <v>1017</v>
      </c>
      <c r="AK12" s="824">
        <f>AJ12/AI12-1</f>
        <v>2.4169184290030232E-2</v>
      </c>
      <c r="AL12" s="819"/>
      <c r="AO12" s="819"/>
      <c r="AP12" s="850">
        <f>'Income Statement'!BT411</f>
        <v>721</v>
      </c>
      <c r="AQ12" s="850">
        <f>'Income Statement'!BY411</f>
        <v>843</v>
      </c>
      <c r="AR12" s="850">
        <f>'Income Statement'!CD411</f>
        <v>925</v>
      </c>
      <c r="AS12" s="850">
        <f>'Income Statement'!CI411</f>
        <v>993</v>
      </c>
      <c r="AT12" s="850">
        <f>'Income Statement'!CN411</f>
        <v>1017</v>
      </c>
      <c r="AU12" s="850">
        <f>'Income Statement'!CQ411</f>
        <v>1013.9377158864435</v>
      </c>
      <c r="AV12" s="850">
        <f>'Income Statement'!CR411</f>
        <v>1064.5927201777827</v>
      </c>
    </row>
    <row r="13" spans="2:53">
      <c r="B13" s="846" t="s">
        <v>793</v>
      </c>
      <c r="C13" s="819"/>
      <c r="D13" s="819"/>
      <c r="E13" s="819"/>
      <c r="F13" s="819"/>
      <c r="G13" s="820"/>
      <c r="H13" s="820"/>
      <c r="I13" s="820"/>
      <c r="J13" s="820"/>
      <c r="K13" s="820">
        <f t="shared" ref="K13" si="38">K12/G12-1</f>
        <v>0.21212121212121215</v>
      </c>
      <c r="L13" s="820">
        <f t="shared" ref="L13" si="39">L12/H12-1</f>
        <v>0.19428571428571439</v>
      </c>
      <c r="M13" s="820">
        <f t="shared" ref="M13" si="40">M12/I12-1</f>
        <v>0.16216216216216206</v>
      </c>
      <c r="N13" s="820">
        <f t="shared" ref="N13" si="41">N12/J12-1</f>
        <v>0.11734693877551017</v>
      </c>
      <c r="O13" s="820">
        <f t="shared" ref="O13" si="42">O12/K12-1</f>
        <v>0.1100000000000001</v>
      </c>
      <c r="P13" s="820">
        <f t="shared" ref="P13" si="43">P12/L12-1</f>
        <v>9.5693779904306275E-2</v>
      </c>
      <c r="Q13" s="820">
        <f t="shared" ref="Q13" si="44">Q12/M12-1</f>
        <v>7.441860465116279E-2</v>
      </c>
      <c r="R13" s="820">
        <f t="shared" ref="R13" si="45">R12/N12-1</f>
        <v>0.1095890410958904</v>
      </c>
      <c r="S13" s="820">
        <f t="shared" ref="S13" si="46">S12/O12-1</f>
        <v>9.9099099099099197E-2</v>
      </c>
      <c r="T13" s="820">
        <f t="shared" ref="T13" si="47">T12/P12-1</f>
        <v>9.606986899563319E-2</v>
      </c>
      <c r="U13" s="820">
        <f t="shared" ref="U13" si="48">U12/Q12-1</f>
        <v>8.6580086580086535E-2</v>
      </c>
      <c r="V13" s="820">
        <f t="shared" ref="V13" si="49">V12/R12-1</f>
        <v>1.6460905349794164E-2</v>
      </c>
      <c r="W13" s="820">
        <f t="shared" ref="W13" si="50">W12/S12-1</f>
        <v>4.0983606557376984E-2</v>
      </c>
      <c r="X13" s="820">
        <f t="shared" ref="X13" si="51">X12/T12-1</f>
        <v>1.195219123505975E-2</v>
      </c>
      <c r="Y13" s="819"/>
      <c r="AB13" s="819"/>
      <c r="AC13" s="819"/>
      <c r="AD13" s="821"/>
      <c r="AF13" s="819"/>
      <c r="AG13" s="819"/>
      <c r="AH13" s="821"/>
      <c r="AI13" s="819"/>
      <c r="AJ13" s="819"/>
      <c r="AK13" s="824"/>
      <c r="AL13" s="819"/>
      <c r="AO13" s="819"/>
      <c r="AP13" s="819"/>
      <c r="AQ13" s="855">
        <f>IFERROR(AQ12/AP12-1,"")</f>
        <v>0.1692094313453536</v>
      </c>
      <c r="AR13" s="855">
        <f t="shared" ref="AR13" si="52">IFERROR(AR12/AQ12-1,"")</f>
        <v>9.7271648873072269E-2</v>
      </c>
      <c r="AS13" s="855">
        <f t="shared" ref="AS13" si="53">IFERROR(AS12/AR12-1,"")</f>
        <v>7.3513513513513429E-2</v>
      </c>
      <c r="AT13" s="855">
        <f t="shared" ref="AT13" si="54">IFERROR(AT12/AS12-1,"")</f>
        <v>2.4169184290030232E-2</v>
      </c>
      <c r="AU13" s="855">
        <f t="shared" ref="AU13" si="55">IFERROR(AU12/AT12-1,"")</f>
        <v>-3.0110954902227149E-3</v>
      </c>
      <c r="AV13" s="855">
        <f t="shared" ref="AV13" si="56">IFERROR(AV12/AU12-1,"")</f>
        <v>4.9958694205445964E-2</v>
      </c>
    </row>
    <row r="14" spans="2:53" s="806" customFormat="1">
      <c r="B14" s="845" t="s">
        <v>645</v>
      </c>
      <c r="C14" s="826">
        <f>'Income Statement'!BK414</f>
        <v>0</v>
      </c>
      <c r="D14" s="826">
        <f>'Income Statement'!BL414</f>
        <v>0</v>
      </c>
      <c r="E14" s="826">
        <f>'Income Statement'!BM414</f>
        <v>0</v>
      </c>
      <c r="F14" s="826">
        <f>'Income Statement'!BN414</f>
        <v>0</v>
      </c>
      <c r="G14" s="826">
        <f>'Income Statement'!BP414</f>
        <v>1603</v>
      </c>
      <c r="H14" s="826">
        <f>'Income Statement'!BQ414</f>
        <v>1626</v>
      </c>
      <c r="I14" s="826">
        <f>'Income Statement'!BR414</f>
        <v>1653</v>
      </c>
      <c r="J14" s="826">
        <f>'Income Statement'!BS414</f>
        <v>1617</v>
      </c>
      <c r="K14" s="826">
        <f>'Income Statement'!BU414</f>
        <v>1642</v>
      </c>
      <c r="L14" s="826">
        <f>'Income Statement'!BV414</f>
        <v>1698</v>
      </c>
      <c r="M14" s="826">
        <f>'Income Statement'!BW414</f>
        <v>1721</v>
      </c>
      <c r="N14" s="826">
        <f>'Income Statement'!BX414</f>
        <v>1750</v>
      </c>
      <c r="O14" s="826">
        <f>'Income Statement'!BZ414</f>
        <v>1747</v>
      </c>
      <c r="P14" s="826">
        <f>'Income Statement'!CA414</f>
        <v>1751</v>
      </c>
      <c r="Q14" s="826">
        <f>'Income Statement'!CB414</f>
        <v>1765</v>
      </c>
      <c r="R14" s="826">
        <f>'Income Statement'!CC414</f>
        <v>1801</v>
      </c>
      <c r="S14" s="826">
        <f>'Income Statement'!CE414</f>
        <v>1804</v>
      </c>
      <c r="T14" s="826">
        <f>'Income Statement'!CF414</f>
        <v>1815</v>
      </c>
      <c r="U14" s="826">
        <f>'Income Statement'!CG414</f>
        <v>1817</v>
      </c>
      <c r="V14" s="826">
        <f>'Income Statement'!CH414</f>
        <v>1822</v>
      </c>
      <c r="W14" s="826">
        <f>'Income Statement'!CJ414</f>
        <v>1773</v>
      </c>
      <c r="X14" s="826">
        <f>'Income Statement'!CK414</f>
        <v>1797</v>
      </c>
      <c r="Y14" s="827"/>
      <c r="AB14" s="833">
        <f>SUMIFS($C14:Z14,$C$6:Z$6,"&lt;="&amp;AB$6,$C$6:Z$6,"&gt;"&amp;DATE(YEAR($AB$6)-1,12,31))</f>
        <v>3619</v>
      </c>
      <c r="AC14" s="833">
        <f>SUMIFS($C14:Z14,$C$6:Z$6,"&lt;="&amp;AC$6,$C$6:Z$6,"&gt;"&amp;DATE(YEAR($AC$6)-1,12,31))</f>
        <v>3570</v>
      </c>
      <c r="AD14" s="831">
        <f>AC14/AB14-1</f>
        <v>-1.3539651837524147E-2</v>
      </c>
      <c r="AF14" s="833">
        <f t="shared" ref="AF14" si="57">AI14-AB14</f>
        <v>3639</v>
      </c>
      <c r="AG14" s="833">
        <f t="shared" ref="AG14" si="58">AJ14-AC14</f>
        <v>3677</v>
      </c>
      <c r="AH14" s="831">
        <f>AG14/AF14-1</f>
        <v>1.0442429238801898E-2</v>
      </c>
      <c r="AI14" s="833">
        <f>SUMIFS($AO14:$AW14,$AO$5:$AW$5,AI$6)</f>
        <v>7258</v>
      </c>
      <c r="AJ14" s="833">
        <f>SUMIFS($AO14:$AW14,$AO$5:$AW$5,AJ$6)</f>
        <v>7247</v>
      </c>
      <c r="AK14" s="836">
        <f>AJ14/AI14-1</f>
        <v>-1.515569027280228E-3</v>
      </c>
      <c r="AL14" s="833"/>
      <c r="AM14" s="832"/>
      <c r="AO14" s="833"/>
      <c r="AP14" s="833">
        <f>'Income Statement'!BT414</f>
        <v>6499</v>
      </c>
      <c r="AQ14" s="833">
        <f>'Income Statement'!BY414</f>
        <v>6811</v>
      </c>
      <c r="AR14" s="833">
        <f>'Income Statement'!CD414</f>
        <v>7064</v>
      </c>
      <c r="AS14" s="833">
        <f>'Income Statement'!CI414</f>
        <v>7258</v>
      </c>
      <c r="AT14" s="833">
        <f>'Income Statement'!CN414</f>
        <v>7247</v>
      </c>
      <c r="AU14" s="833">
        <f>'Income Statement'!CQ414</f>
        <v>7385.2564426887084</v>
      </c>
      <c r="AV14" s="833">
        <f>'Income Statement'!CR414</f>
        <v>7506.9911940191487</v>
      </c>
    </row>
    <row r="15" spans="2:53">
      <c r="B15" s="848" t="s">
        <v>793</v>
      </c>
      <c r="C15" s="819"/>
      <c r="D15" s="819"/>
      <c r="E15" s="819"/>
      <c r="F15" s="819"/>
      <c r="G15" s="820"/>
      <c r="H15" s="820"/>
      <c r="I15" s="820"/>
      <c r="J15" s="820"/>
      <c r="K15" s="820">
        <f t="shared" ref="K15" si="59">K14/G14-1</f>
        <v>2.4329382407985101E-2</v>
      </c>
      <c r="L15" s="820">
        <f t="shared" ref="L15" si="60">L14/H14-1</f>
        <v>4.4280442804428111E-2</v>
      </c>
      <c r="M15" s="820">
        <f t="shared" ref="M15" si="61">M14/I14-1</f>
        <v>4.1137326073805269E-2</v>
      </c>
      <c r="N15" s="820">
        <f t="shared" ref="N15" si="62">N14/J14-1</f>
        <v>8.2251082251082241E-2</v>
      </c>
      <c r="O15" s="820">
        <f t="shared" ref="O15" si="63">O14/K14-1</f>
        <v>6.3946406820950097E-2</v>
      </c>
      <c r="P15" s="820">
        <f t="shared" ref="P15" si="64">P14/L14-1</f>
        <v>3.1213191990577149E-2</v>
      </c>
      <c r="Q15" s="820">
        <f t="shared" ref="Q15" si="65">Q14/M14-1</f>
        <v>2.5566531086577582E-2</v>
      </c>
      <c r="R15" s="820">
        <f t="shared" ref="R15" si="66">R14/N14-1</f>
        <v>2.9142857142857137E-2</v>
      </c>
      <c r="S15" s="820">
        <f t="shared" ref="S15" si="67">S14/O14-1</f>
        <v>3.2627361190612492E-2</v>
      </c>
      <c r="T15" s="820">
        <f t="shared" ref="T15" si="68">T14/P14-1</f>
        <v>3.6550542547115983E-2</v>
      </c>
      <c r="U15" s="820">
        <f t="shared" ref="U15" si="69">U14/Q14-1</f>
        <v>2.9461756373937664E-2</v>
      </c>
      <c r="V15" s="820">
        <f t="shared" ref="V15" si="70">V14/R14-1</f>
        <v>1.1660188784008874E-2</v>
      </c>
      <c r="W15" s="820">
        <f t="shared" ref="W15" si="71">W14/S14-1</f>
        <v>-1.7184035476718429E-2</v>
      </c>
      <c r="X15" s="820">
        <f t="shared" ref="X15" si="72">X14/T14-1</f>
        <v>-9.91735537190086E-3</v>
      </c>
      <c r="Y15" s="819"/>
      <c r="AB15" s="819"/>
      <c r="AC15" s="819"/>
      <c r="AD15" s="821"/>
      <c r="AF15" s="819"/>
      <c r="AG15" s="819"/>
      <c r="AH15" s="821"/>
      <c r="AI15" s="819"/>
      <c r="AJ15" s="819"/>
      <c r="AK15" s="824"/>
      <c r="AL15" s="819"/>
      <c r="AO15" s="819"/>
      <c r="AP15" s="819"/>
      <c r="AQ15" s="855">
        <f>IFERROR(AQ14/AP14-1,"")</f>
        <v>4.8007385751654086E-2</v>
      </c>
      <c r="AR15" s="855">
        <f t="shared" ref="AR15" si="73">IFERROR(AR14/AQ14-1,"")</f>
        <v>3.7145793569226315E-2</v>
      </c>
      <c r="AS15" s="855">
        <f t="shared" ref="AS15" si="74">IFERROR(AS14/AR14-1,"")</f>
        <v>2.7463193657984108E-2</v>
      </c>
      <c r="AT15" s="855">
        <f t="shared" ref="AT15" si="75">IFERROR(AT14/AS14-1,"")</f>
        <v>-1.515569027280228E-3</v>
      </c>
      <c r="AU15" s="855">
        <f t="shared" ref="AU15" si="76">IFERROR(AU14/AT14-1,"")</f>
        <v>1.9077748404678907E-2</v>
      </c>
      <c r="AV15" s="855">
        <f t="shared" ref="AV15" si="77">IFERROR(AV14/AU14-1,"")</f>
        <v>1.6483483312343949E-2</v>
      </c>
    </row>
    <row r="16" spans="2:53">
      <c r="B16" s="848"/>
      <c r="C16" s="819"/>
      <c r="D16" s="819"/>
      <c r="E16" s="819"/>
      <c r="F16" s="819"/>
      <c r="G16" s="819"/>
      <c r="H16" s="819"/>
      <c r="I16" s="819"/>
      <c r="J16" s="819"/>
      <c r="K16" s="819"/>
      <c r="L16" s="819"/>
      <c r="M16" s="819"/>
      <c r="N16" s="819"/>
      <c r="O16" s="819"/>
      <c r="P16" s="819"/>
      <c r="Q16" s="819"/>
      <c r="R16" s="819"/>
      <c r="S16" s="819"/>
      <c r="T16" s="819"/>
      <c r="U16" s="819"/>
      <c r="V16" s="819"/>
      <c r="W16" s="819"/>
      <c r="X16" s="819"/>
      <c r="Y16" s="819"/>
      <c r="AB16" s="819"/>
      <c r="AC16" s="819"/>
      <c r="AD16" s="821"/>
      <c r="AF16" s="819"/>
      <c r="AG16" s="819"/>
      <c r="AH16" s="821"/>
      <c r="AI16" s="819"/>
      <c r="AJ16" s="819"/>
      <c r="AK16" s="824"/>
      <c r="AL16" s="819"/>
      <c r="AO16" s="819"/>
      <c r="AP16" s="819"/>
      <c r="AQ16" s="819"/>
      <c r="AR16" s="819"/>
      <c r="AS16" s="819"/>
      <c r="AT16" s="819"/>
      <c r="AU16" s="819"/>
      <c r="AV16" s="819"/>
    </row>
    <row r="17" spans="2:53" s="806" customFormat="1">
      <c r="B17" s="847" t="s">
        <v>647</v>
      </c>
      <c r="C17" s="849">
        <f>'Income Statement'!BK426</f>
        <v>0</v>
      </c>
      <c r="D17" s="849">
        <f>'Income Statement'!BL426</f>
        <v>0</v>
      </c>
      <c r="E17" s="849">
        <f>'Income Statement'!BM426</f>
        <v>0</v>
      </c>
      <c r="F17" s="849">
        <f>'Income Statement'!BN426</f>
        <v>0</v>
      </c>
      <c r="G17" s="849">
        <f>'Income Statement'!BP426</f>
        <v>368</v>
      </c>
      <c r="H17" s="849">
        <f>'Income Statement'!BQ426</f>
        <v>371</v>
      </c>
      <c r="I17" s="849">
        <f>'Income Statement'!BR426</f>
        <v>380</v>
      </c>
      <c r="J17" s="849">
        <f>'Income Statement'!BS426</f>
        <v>399</v>
      </c>
      <c r="K17" s="849">
        <f>'Income Statement'!BU426</f>
        <v>388</v>
      </c>
      <c r="L17" s="849">
        <f>'Income Statement'!BV426</f>
        <v>386</v>
      </c>
      <c r="M17" s="849">
        <f>'Income Statement'!BW426</f>
        <v>387</v>
      </c>
      <c r="N17" s="849">
        <f>'Income Statement'!BX426</f>
        <v>364</v>
      </c>
      <c r="O17" s="849">
        <f>'Income Statement'!BZ426</f>
        <v>365</v>
      </c>
      <c r="P17" s="849">
        <f>'Income Statement'!CA426</f>
        <v>362</v>
      </c>
      <c r="Q17" s="849">
        <f>'Income Statement'!CB426</f>
        <v>380</v>
      </c>
      <c r="R17" s="849">
        <f>'Income Statement'!CC426</f>
        <v>401</v>
      </c>
      <c r="S17" s="849">
        <f>'Income Statement'!CE426</f>
        <v>387</v>
      </c>
      <c r="T17" s="849">
        <f>'Income Statement'!CF426</f>
        <v>401</v>
      </c>
      <c r="U17" s="849">
        <f>'Income Statement'!CG426</f>
        <v>396</v>
      </c>
      <c r="V17" s="849">
        <f>'Income Statement'!CH426</f>
        <v>426</v>
      </c>
      <c r="W17" s="849">
        <f>'Income Statement'!CJ426</f>
        <v>398</v>
      </c>
      <c r="X17" s="849">
        <f>'Income Statement'!CK426</f>
        <v>407</v>
      </c>
      <c r="Y17" s="827"/>
      <c r="AB17" s="827">
        <f>SUMIFS($C17:Z17,$C$6:Z$6,"&lt;="&amp;AB$6,$C$6:Z$6,"&gt;"&amp;DATE(YEAR($AB$6)-1,12,31))</f>
        <v>788</v>
      </c>
      <c r="AC17" s="827">
        <f>SUMIFS($C17:Z17,$C$6:Z$6,"&lt;="&amp;AC$6,$C$6:Z$6,"&gt;"&amp;DATE(YEAR($AC$6)-1,12,31))</f>
        <v>805</v>
      </c>
      <c r="AD17" s="856">
        <f t="shared" ref="AD17" si="78">AC17/AB17-1</f>
        <v>2.1573604060913798E-2</v>
      </c>
      <c r="AF17" s="827">
        <f>AI17-AB17</f>
        <v>822</v>
      </c>
      <c r="AG17" s="827">
        <f t="shared" si="3"/>
        <v>860</v>
      </c>
      <c r="AH17" s="835">
        <f t="shared" ref="AH17:AH26" si="79">AG17/AF17-1</f>
        <v>4.6228710462287159E-2</v>
      </c>
      <c r="AI17" s="827">
        <f>SUMIFS($AO17:$AW17,$AO$5:$AW$5,AI$6)</f>
        <v>1610</v>
      </c>
      <c r="AJ17" s="827">
        <f>SUMIFS($AO17:$AW17,$AO$5:$AW$5,AJ$6)</f>
        <v>1665</v>
      </c>
      <c r="AK17" s="835">
        <f t="shared" ref="AK17:AK26" si="80">AJ17/AI17-1</f>
        <v>3.4161490683229712E-2</v>
      </c>
      <c r="AL17" s="827"/>
      <c r="AM17" s="832"/>
      <c r="AO17" s="827"/>
      <c r="AP17" s="850">
        <f>'Income Statement'!BT426</f>
        <v>1518</v>
      </c>
      <c r="AQ17" s="850">
        <f>'Income Statement'!BY426</f>
        <v>1525</v>
      </c>
      <c r="AR17" s="850">
        <f>'Income Statement'!CD426</f>
        <v>1508</v>
      </c>
      <c r="AS17" s="850">
        <f>'Income Statement'!CI426</f>
        <v>1610</v>
      </c>
      <c r="AT17" s="850">
        <f>'Income Statement'!CN426</f>
        <v>1665</v>
      </c>
      <c r="AU17" s="850">
        <f>'Income Statement'!CQ426</f>
        <v>1669.1624999999999</v>
      </c>
      <c r="AV17" s="850">
        <f>'Income Statement'!CR426</f>
        <v>1752.620625</v>
      </c>
    </row>
    <row r="18" spans="2:53">
      <c r="B18" s="848" t="s">
        <v>793</v>
      </c>
      <c r="C18" s="819"/>
      <c r="D18" s="819"/>
      <c r="E18" s="819"/>
      <c r="F18" s="819"/>
      <c r="G18" s="819"/>
      <c r="H18" s="819"/>
      <c r="I18" s="819"/>
      <c r="J18" s="819"/>
      <c r="K18" s="820">
        <f t="shared" ref="K18" si="81">K17/G17-1</f>
        <v>5.4347826086956541E-2</v>
      </c>
      <c r="L18" s="820">
        <f t="shared" ref="L18" si="82">L17/H17-1</f>
        <v>4.0431266846361114E-2</v>
      </c>
      <c r="M18" s="820">
        <f t="shared" ref="M18" si="83">M17/I17-1</f>
        <v>1.8421052631578894E-2</v>
      </c>
      <c r="N18" s="820">
        <f t="shared" ref="N18" si="84">N17/J17-1</f>
        <v>-8.7719298245614086E-2</v>
      </c>
      <c r="O18" s="820">
        <f t="shared" ref="O18" si="85">O17/K17-1</f>
        <v>-5.9278350515463929E-2</v>
      </c>
      <c r="P18" s="820">
        <f t="shared" ref="P18" si="86">P17/L17-1</f>
        <v>-6.2176165803108807E-2</v>
      </c>
      <c r="Q18" s="820">
        <f t="shared" ref="Q18" si="87">Q17/M17-1</f>
        <v>-1.8087855297157618E-2</v>
      </c>
      <c r="R18" s="820">
        <f t="shared" ref="R18" si="88">R17/N17-1</f>
        <v>0.10164835164835173</v>
      </c>
      <c r="S18" s="820">
        <f t="shared" ref="S18" si="89">S17/O17-1</f>
        <v>6.02739726027397E-2</v>
      </c>
      <c r="T18" s="820">
        <f t="shared" ref="T18" si="90">T17/P17-1</f>
        <v>0.10773480662983426</v>
      </c>
      <c r="U18" s="820">
        <f t="shared" ref="U18" si="91">U17/Q17-1</f>
        <v>4.2105263157894646E-2</v>
      </c>
      <c r="V18" s="820">
        <f t="shared" ref="V18" si="92">V17/R17-1</f>
        <v>6.2344139650872821E-2</v>
      </c>
      <c r="W18" s="820">
        <f t="shared" ref="W18" si="93">W17/S17-1</f>
        <v>2.8423772609819098E-2</v>
      </c>
      <c r="X18" s="820">
        <f t="shared" ref="X18" si="94">X17/T17-1</f>
        <v>1.4962593516209433E-2</v>
      </c>
      <c r="Y18" s="819"/>
      <c r="AB18" s="819"/>
      <c r="AC18" s="819"/>
      <c r="AD18" s="820"/>
      <c r="AF18" s="819"/>
      <c r="AG18" s="819"/>
      <c r="AH18" s="824"/>
      <c r="AI18" s="819"/>
      <c r="AJ18" s="819"/>
      <c r="AK18" s="824"/>
      <c r="AL18" s="819"/>
      <c r="AO18" s="819"/>
      <c r="AP18" s="819"/>
      <c r="AQ18" s="855">
        <f>IFERROR(AQ17/AP17-1,"")</f>
        <v>4.6113306982871194E-3</v>
      </c>
      <c r="AR18" s="855">
        <f t="shared" ref="AR18" si="95">IFERROR(AR17/AQ17-1,"")</f>
        <v>-1.1147540983606596E-2</v>
      </c>
      <c r="AS18" s="855">
        <f t="shared" ref="AS18" si="96">IFERROR(AS17/AR17-1,"")</f>
        <v>6.7639257294429767E-2</v>
      </c>
      <c r="AT18" s="855">
        <f t="shared" ref="AT18" si="97">IFERROR(AT17/AS17-1,"")</f>
        <v>3.4161490683229712E-2</v>
      </c>
      <c r="AU18" s="855">
        <f t="shared" ref="AU18" si="98">IFERROR(AU17/AT17-1,"")</f>
        <v>2.4999999999999467E-3</v>
      </c>
      <c r="AV18" s="855">
        <f t="shared" ref="AV18" si="99">IFERROR(AV17/AU17-1,"")</f>
        <v>5.0000000000000044E-2</v>
      </c>
    </row>
    <row r="19" spans="2:53">
      <c r="B19" s="848"/>
      <c r="C19" s="819"/>
      <c r="D19" s="819"/>
      <c r="E19" s="819"/>
      <c r="F19" s="819"/>
      <c r="G19" s="819"/>
      <c r="H19" s="819"/>
      <c r="I19" s="819"/>
      <c r="J19" s="819"/>
      <c r="K19" s="819"/>
      <c r="L19" s="819"/>
      <c r="M19" s="819"/>
      <c r="N19" s="819"/>
      <c r="O19" s="819"/>
      <c r="P19" s="819"/>
      <c r="Q19" s="819"/>
      <c r="R19" s="819"/>
      <c r="S19" s="819"/>
      <c r="T19" s="819"/>
      <c r="U19" s="819"/>
      <c r="V19" s="819"/>
      <c r="W19" s="819"/>
      <c r="X19" s="819"/>
      <c r="Y19" s="819"/>
      <c r="AB19" s="819"/>
      <c r="AC19" s="819"/>
      <c r="AD19" s="820"/>
      <c r="AF19" s="819"/>
      <c r="AG19" s="819"/>
      <c r="AH19" s="824"/>
      <c r="AI19" s="819"/>
      <c r="AJ19" s="819"/>
      <c r="AK19" s="824"/>
      <c r="AL19" s="819"/>
      <c r="AO19" s="819"/>
      <c r="AP19" s="819"/>
      <c r="AQ19" s="819"/>
      <c r="AR19" s="819"/>
      <c r="AS19" s="819"/>
      <c r="AT19" s="819"/>
      <c r="AU19" s="819"/>
      <c r="AV19" s="819"/>
    </row>
    <row r="20" spans="2:53">
      <c r="B20" s="845" t="s">
        <v>255</v>
      </c>
      <c r="C20" s="826">
        <f>'Income Statement'!BK429</f>
        <v>1940</v>
      </c>
      <c r="D20" s="826">
        <f>'Income Statement'!BL429</f>
        <v>1900</v>
      </c>
      <c r="E20" s="826">
        <f>'Income Statement'!BM429</f>
        <v>1940</v>
      </c>
      <c r="F20" s="826">
        <f>'Income Statement'!BN429</f>
        <v>1945</v>
      </c>
      <c r="G20" s="826">
        <f>'Income Statement'!BP429</f>
        <v>1971</v>
      </c>
      <c r="H20" s="826">
        <f>'Income Statement'!BQ429</f>
        <v>1997</v>
      </c>
      <c r="I20" s="826">
        <f>'Income Statement'!BR429</f>
        <v>2033</v>
      </c>
      <c r="J20" s="826">
        <f>'Income Statement'!BS429</f>
        <v>2016</v>
      </c>
      <c r="K20" s="826">
        <f>'Income Statement'!BU429</f>
        <v>2030</v>
      </c>
      <c r="L20" s="826">
        <f>'Income Statement'!BV429</f>
        <v>2084</v>
      </c>
      <c r="M20" s="826">
        <f>'Income Statement'!BW429</f>
        <v>2108</v>
      </c>
      <c r="N20" s="826">
        <f>'Income Statement'!BX429</f>
        <v>2114</v>
      </c>
      <c r="O20" s="826">
        <f>'Income Statement'!BZ429</f>
        <v>2112</v>
      </c>
      <c r="P20" s="826">
        <f>'Income Statement'!CA429</f>
        <v>2113</v>
      </c>
      <c r="Q20" s="826">
        <f>'Income Statement'!CB429</f>
        <v>2145</v>
      </c>
      <c r="R20" s="826">
        <f>'Income Statement'!CC429</f>
        <v>2202</v>
      </c>
      <c r="S20" s="826">
        <f>'Income Statement'!CE429</f>
        <v>2191</v>
      </c>
      <c r="T20" s="826">
        <f>'Income Statement'!CF429</f>
        <v>2216</v>
      </c>
      <c r="U20" s="826">
        <f>'Income Statement'!CG429</f>
        <v>2213</v>
      </c>
      <c r="V20" s="826">
        <f>'Income Statement'!CH429</f>
        <v>2248</v>
      </c>
      <c r="W20" s="826">
        <f>'Income Statement'!CJ429</f>
        <v>2171</v>
      </c>
      <c r="X20" s="826">
        <f>'Income Statement'!CK429</f>
        <v>2204</v>
      </c>
      <c r="Y20" s="819"/>
      <c r="AB20" s="827">
        <f>SUMIFS($C20:Z20,$C$6:Z$6,"&lt;="&amp;AB$6,$C$6:Z$6,"&gt;"&amp;DATE(YEAR($AB$6)-1,12,31))</f>
        <v>4407</v>
      </c>
      <c r="AC20" s="827">
        <f>SUMIFS($C20:Z20,$C$6:Z$6,"&lt;="&amp;AC$6,$C$6:Z$6,"&gt;"&amp;DATE(YEAR($AC$6)-1,12,31))</f>
        <v>4375</v>
      </c>
      <c r="AD20" s="856">
        <f t="shared" ref="AD20" si="100">AC20/AB20-1</f>
        <v>-7.2611754027682718E-3</v>
      </c>
      <c r="AE20" s="806"/>
      <c r="AF20" s="827">
        <f>AI20-AB20</f>
        <v>4461</v>
      </c>
      <c r="AG20" s="827">
        <f t="shared" ref="AG20" si="101">AJ20-AC20</f>
        <v>4537</v>
      </c>
      <c r="AH20" s="835">
        <f t="shared" ref="AH20" si="102">AG20/AF20-1</f>
        <v>1.7036538892625019E-2</v>
      </c>
      <c r="AI20" s="827">
        <f>SUMIFS($AO20:$AW20,$AO$5:$AW$5,AI$6)</f>
        <v>8868</v>
      </c>
      <c r="AJ20" s="827">
        <f>SUMIFS($AO20:$AW20,$AO$5:$AW$5,AJ$6)</f>
        <v>8912</v>
      </c>
      <c r="AK20" s="835">
        <f t="shared" ref="AK20" si="103">AJ20/AI20-1</f>
        <v>4.9616599007669127E-3</v>
      </c>
      <c r="AL20" s="819"/>
      <c r="AO20" s="833"/>
      <c r="AP20" s="826">
        <f>'Income Statement'!BT429</f>
        <v>8017</v>
      </c>
      <c r="AQ20" s="826">
        <f>'Income Statement'!BY429</f>
        <v>8336</v>
      </c>
      <c r="AR20" s="826">
        <f>'Income Statement'!CD429</f>
        <v>8572</v>
      </c>
      <c r="AS20" s="826">
        <f>'Income Statement'!CI429</f>
        <v>8868</v>
      </c>
      <c r="AT20" s="826">
        <f>'Income Statement'!CN429</f>
        <v>8912</v>
      </c>
      <c r="AU20" s="826">
        <f>'Income Statement'!CQ429</f>
        <v>9054.4189426887078</v>
      </c>
      <c r="AV20" s="826">
        <f>'Income Statement'!CR429</f>
        <v>9259.6118190191482</v>
      </c>
    </row>
    <row r="21" spans="2:53">
      <c r="B21" s="848" t="s">
        <v>793</v>
      </c>
      <c r="K21" s="820">
        <f t="shared" ref="K21" si="104">K20/G20-1</f>
        <v>2.9934043632673824E-2</v>
      </c>
      <c r="L21" s="820">
        <f t="shared" ref="L21" si="105">L20/H20-1</f>
        <v>4.3565348022033046E-2</v>
      </c>
      <c r="M21" s="820">
        <f t="shared" ref="M21" si="106">M20/I20-1</f>
        <v>3.6891293654697455E-2</v>
      </c>
      <c r="N21" s="820">
        <f t="shared" ref="N21" si="107">N20/J20-1</f>
        <v>4.861111111111116E-2</v>
      </c>
      <c r="O21" s="820">
        <f t="shared" ref="O21" si="108">O20/K20-1</f>
        <v>4.0394088669950756E-2</v>
      </c>
      <c r="P21" s="820">
        <f t="shared" ref="P21" si="109">P20/L20-1</f>
        <v>1.3915547024952124E-2</v>
      </c>
      <c r="Q21" s="820">
        <f t="shared" ref="Q21" si="110">Q20/M20-1</f>
        <v>1.7552182163187879E-2</v>
      </c>
      <c r="R21" s="820">
        <f t="shared" ref="R21" si="111">R20/N20-1</f>
        <v>4.1627246925260097E-2</v>
      </c>
      <c r="S21" s="820">
        <f t="shared" ref="S21" si="112">S20/O20-1</f>
        <v>3.7405303030302983E-2</v>
      </c>
      <c r="T21" s="820">
        <f t="shared" ref="T21" si="113">T20/P20-1</f>
        <v>4.8745858968291422E-2</v>
      </c>
      <c r="U21" s="820">
        <f t="shared" ref="U21" si="114">U20/Q20-1</f>
        <v>3.170163170163165E-2</v>
      </c>
      <c r="V21" s="820">
        <f t="shared" ref="V21" si="115">V20/R20-1</f>
        <v>2.0890099909173454E-2</v>
      </c>
      <c r="W21" s="820">
        <f t="shared" ref="W21" si="116">W20/S20-1</f>
        <v>-9.1282519397535289E-3</v>
      </c>
      <c r="X21" s="820">
        <f t="shared" ref="X21" si="117">X20/T20-1</f>
        <v>-5.4151624548736121E-3</v>
      </c>
      <c r="Y21" s="819"/>
      <c r="AB21" s="819"/>
      <c r="AC21" s="819"/>
      <c r="AD21" s="820"/>
      <c r="AF21" s="819"/>
      <c r="AG21" s="819"/>
      <c r="AH21" s="824"/>
      <c r="AI21" s="819"/>
      <c r="AJ21" s="819"/>
      <c r="AK21" s="824"/>
      <c r="AL21" s="819"/>
      <c r="AO21" s="819"/>
      <c r="AP21" s="819"/>
      <c r="AQ21" s="855">
        <f>IFERROR(AQ20/AP20-1,"")</f>
        <v>3.979044530372966E-2</v>
      </c>
      <c r="AR21" s="855">
        <f t="shared" ref="AR21" si="118">IFERROR(AR20/AQ20-1,"")</f>
        <v>2.831094049904026E-2</v>
      </c>
      <c r="AS21" s="855">
        <f t="shared" ref="AS21" si="119">IFERROR(AS20/AR20-1,"")</f>
        <v>3.4531031264582346E-2</v>
      </c>
      <c r="AT21" s="855">
        <f t="shared" ref="AT21" si="120">IFERROR(AT20/AS20-1,"")</f>
        <v>4.9616599007669127E-3</v>
      </c>
      <c r="AU21" s="855">
        <f t="shared" ref="AU21" si="121">IFERROR(AU20/AT20-1,"")</f>
        <v>1.5980581540474326E-2</v>
      </c>
      <c r="AV21" s="855">
        <f t="shared" ref="AV21" si="122">IFERROR(AV20/AU20-1,"")</f>
        <v>2.2662180492115436E-2</v>
      </c>
    </row>
    <row r="22" spans="2:53">
      <c r="B22" s="848" t="s">
        <v>271</v>
      </c>
      <c r="C22" s="819"/>
      <c r="D22" s="854">
        <f>IFERROR(D20/C20-1,"")</f>
        <v>-2.0618556701030966E-2</v>
      </c>
      <c r="E22" s="854">
        <f t="shared" ref="E22:X22" si="123">IFERROR(E20/D20-1,"")</f>
        <v>2.1052631578947434E-2</v>
      </c>
      <c r="F22" s="854">
        <f t="shared" si="123"/>
        <v>2.5773195876288568E-3</v>
      </c>
      <c r="G22" s="854">
        <f t="shared" si="123"/>
        <v>1.3367609254498758E-2</v>
      </c>
      <c r="H22" s="854">
        <f t="shared" si="123"/>
        <v>1.3191273465246178E-2</v>
      </c>
      <c r="I22" s="854">
        <f t="shared" si="123"/>
        <v>1.8027040560841368E-2</v>
      </c>
      <c r="J22" s="854">
        <f t="shared" si="123"/>
        <v>-8.3620265617314615E-3</v>
      </c>
      <c r="K22" s="854">
        <f t="shared" si="123"/>
        <v>6.9444444444444198E-3</v>
      </c>
      <c r="L22" s="854">
        <f t="shared" si="123"/>
        <v>2.6600985221674867E-2</v>
      </c>
      <c r="M22" s="854">
        <f t="shared" si="123"/>
        <v>1.1516314779270731E-2</v>
      </c>
      <c r="N22" s="854">
        <f t="shared" si="123"/>
        <v>2.8462998102467552E-3</v>
      </c>
      <c r="O22" s="854">
        <f t="shared" si="123"/>
        <v>-9.4607379375588607E-4</v>
      </c>
      <c r="P22" s="854">
        <f t="shared" si="123"/>
        <v>4.7348484848486194E-4</v>
      </c>
      <c r="Q22" s="854">
        <f t="shared" si="123"/>
        <v>1.5144344533838172E-2</v>
      </c>
      <c r="R22" s="854">
        <f t="shared" si="123"/>
        <v>2.657342657342654E-2</v>
      </c>
      <c r="S22" s="854">
        <f t="shared" si="123"/>
        <v>-4.9954586739328066E-3</v>
      </c>
      <c r="T22" s="854">
        <f t="shared" si="123"/>
        <v>1.1410314924692022E-2</v>
      </c>
      <c r="U22" s="854">
        <f t="shared" si="123"/>
        <v>-1.3537906137184308E-3</v>
      </c>
      <c r="V22" s="854">
        <f t="shared" si="123"/>
        <v>1.5815634884771779E-2</v>
      </c>
      <c r="W22" s="854">
        <f t="shared" si="123"/>
        <v>-3.4252669039145922E-2</v>
      </c>
      <c r="X22" s="854">
        <f t="shared" si="123"/>
        <v>1.5200368493781591E-2</v>
      </c>
      <c r="Y22" s="819"/>
      <c r="AB22" s="819"/>
      <c r="AC22" s="819"/>
      <c r="AD22" s="820"/>
      <c r="AF22" s="819"/>
      <c r="AG22" s="819"/>
      <c r="AH22" s="824"/>
      <c r="AI22" s="819"/>
      <c r="AJ22" s="819"/>
      <c r="AK22" s="824"/>
      <c r="AL22" s="819"/>
      <c r="AO22" s="819"/>
      <c r="AP22" s="819"/>
      <c r="AQ22" s="819"/>
      <c r="AR22" s="819"/>
      <c r="AS22" s="819"/>
      <c r="AT22" s="819"/>
      <c r="AU22" s="819"/>
      <c r="AV22" s="819"/>
    </row>
    <row r="23" spans="2:53">
      <c r="B23" s="848" t="s">
        <v>848</v>
      </c>
      <c r="C23" s="819"/>
      <c r="D23" s="854"/>
      <c r="E23" s="854"/>
      <c r="F23" s="854"/>
      <c r="G23" s="854"/>
      <c r="H23" s="854"/>
      <c r="I23" s="854"/>
      <c r="J23" s="854"/>
      <c r="K23" s="854"/>
      <c r="L23" s="854"/>
      <c r="M23" s="854"/>
      <c r="N23" s="854"/>
      <c r="O23" s="854"/>
      <c r="P23" s="854"/>
      <c r="Q23" s="854"/>
      <c r="R23" s="854"/>
      <c r="S23" s="854">
        <f>AVERAGE(O22,K22,G22,C22)</f>
        <v>6.4553266350624305E-3</v>
      </c>
      <c r="T23" s="854">
        <f t="shared" ref="T23:W23" si="124">AVERAGE(P22,L22,H22,D22)</f>
        <v>4.9117967085937353E-3</v>
      </c>
      <c r="U23" s="854">
        <f t="shared" si="124"/>
        <v>1.6435082863224426E-2</v>
      </c>
      <c r="V23" s="854">
        <f t="shared" si="124"/>
        <v>5.9087548523926725E-3</v>
      </c>
      <c r="W23" s="854">
        <f t="shared" si="124"/>
        <v>3.5926303078136212E-3</v>
      </c>
      <c r="X23" s="854">
        <f>AVERAGE(T22,P22,L22,H22)</f>
        <v>1.2919014615024482E-2</v>
      </c>
      <c r="Y23" s="819"/>
      <c r="AB23" s="819"/>
      <c r="AC23" s="819"/>
      <c r="AD23" s="820"/>
      <c r="AF23" s="819"/>
      <c r="AG23" s="819"/>
      <c r="AH23" s="824"/>
      <c r="AI23" s="819"/>
      <c r="AJ23" s="819"/>
      <c r="AK23" s="824"/>
      <c r="AL23" s="819"/>
      <c r="AO23" s="819"/>
      <c r="AP23" s="819"/>
      <c r="AQ23" s="819"/>
      <c r="AR23" s="819"/>
      <c r="AS23" s="819"/>
      <c r="AT23" s="819"/>
      <c r="AU23" s="819"/>
      <c r="AV23" s="819"/>
    </row>
    <row r="24" spans="2:53">
      <c r="B24" s="848"/>
      <c r="C24" s="819"/>
      <c r="D24" s="819"/>
      <c r="E24" s="819"/>
      <c r="F24" s="819"/>
      <c r="G24" s="819"/>
      <c r="H24" s="819"/>
      <c r="I24" s="819"/>
      <c r="J24" s="819"/>
      <c r="K24" s="819"/>
      <c r="L24" s="819"/>
      <c r="M24" s="819"/>
      <c r="N24" s="819"/>
      <c r="O24" s="819"/>
      <c r="P24" s="819"/>
      <c r="Q24" s="819"/>
      <c r="R24" s="819"/>
      <c r="S24" s="819"/>
      <c r="T24" s="819"/>
      <c r="U24" s="819"/>
      <c r="V24" s="819"/>
      <c r="W24" s="819"/>
      <c r="X24" s="819"/>
      <c r="Y24" s="819"/>
      <c r="AB24" s="819"/>
      <c r="AC24" s="819"/>
      <c r="AD24" s="820"/>
      <c r="AF24" s="819"/>
      <c r="AG24" s="819"/>
      <c r="AH24" s="824"/>
      <c r="AI24" s="819"/>
      <c r="AJ24" s="819"/>
      <c r="AK24" s="824"/>
      <c r="AL24" s="819"/>
      <c r="AO24" s="819"/>
      <c r="AP24" s="819"/>
      <c r="AQ24" s="819"/>
      <c r="AR24" s="819"/>
      <c r="AS24" s="819"/>
      <c r="AT24" s="819"/>
      <c r="AU24" s="819"/>
      <c r="AV24" s="819"/>
    </row>
    <row r="25" spans="2:53">
      <c r="B25" s="848" t="s">
        <v>640</v>
      </c>
      <c r="C25" s="819"/>
      <c r="D25" s="819"/>
      <c r="E25" s="819"/>
      <c r="F25" s="819"/>
      <c r="G25" s="819"/>
      <c r="H25" s="819"/>
      <c r="I25" s="819"/>
      <c r="J25" s="819"/>
      <c r="K25" s="819"/>
      <c r="L25" s="819"/>
      <c r="M25" s="819"/>
      <c r="N25" s="819"/>
      <c r="O25" s="819"/>
      <c r="P25" s="819"/>
      <c r="Q25" s="819"/>
      <c r="R25" s="819"/>
      <c r="S25" s="819"/>
      <c r="T25" s="819"/>
      <c r="U25" s="819"/>
      <c r="V25" s="819"/>
      <c r="W25" s="819"/>
      <c r="X25" s="819"/>
      <c r="Y25" s="819"/>
      <c r="AB25" s="819"/>
      <c r="AC25" s="819"/>
      <c r="AD25" s="820"/>
      <c r="AF25" s="819"/>
      <c r="AG25" s="819"/>
      <c r="AH25" s="824"/>
      <c r="AI25" s="819"/>
      <c r="AJ25" s="819"/>
      <c r="AK25" s="824"/>
      <c r="AL25" s="819"/>
      <c r="AO25" s="819"/>
      <c r="AP25" s="849">
        <f>'Income Statement'!BT431</f>
        <v>1223</v>
      </c>
      <c r="AQ25" s="849">
        <f>'Income Statement'!BY431</f>
        <v>1453</v>
      </c>
      <c r="AR25" s="849">
        <f>'Income Statement'!CD431</f>
        <v>1608</v>
      </c>
      <c r="AS25" s="849">
        <f>'Income Statement'!CI431</f>
        <v>1668</v>
      </c>
      <c r="AT25" s="849">
        <f>'Income Statement'!CN431</f>
        <v>1723</v>
      </c>
      <c r="AU25" s="849">
        <f>'Income Statement'!CQ431</f>
        <v>1891.1696371070805</v>
      </c>
      <c r="AV25" s="849">
        <f>'Income Statement'!CR431</f>
        <v>1957.4385394257304</v>
      </c>
    </row>
    <row r="26" spans="2:53" s="806" customFormat="1">
      <c r="B26" s="825" t="s">
        <v>391</v>
      </c>
      <c r="C26" s="826">
        <f>'Income Statement'!BK432</f>
        <v>2341</v>
      </c>
      <c r="D26" s="826">
        <f>'Income Statement'!BL432</f>
        <v>2151</v>
      </c>
      <c r="E26" s="826">
        <f>'Income Statement'!BM432</f>
        <v>2213</v>
      </c>
      <c r="F26" s="826">
        <f>'Income Statement'!BN432</f>
        <v>2261</v>
      </c>
      <c r="G26" s="826">
        <f>'Income Statement'!BP432</f>
        <v>2240</v>
      </c>
      <c r="H26" s="826">
        <f>'Income Statement'!BQ432</f>
        <v>2274</v>
      </c>
      <c r="I26" s="826">
        <f>'Income Statement'!BR432</f>
        <v>2271</v>
      </c>
      <c r="J26" s="826">
        <f>'Income Statement'!BS432</f>
        <v>2456</v>
      </c>
      <c r="K26" s="826">
        <f>'Income Statement'!BU432</f>
        <v>2406</v>
      </c>
      <c r="L26" s="826">
        <f>'Income Statement'!BV432</f>
        <v>2424</v>
      </c>
      <c r="M26" s="826">
        <f>'Income Statement'!BW432</f>
        <v>2405</v>
      </c>
      <c r="N26" s="826">
        <f>'Income Statement'!BX432</f>
        <v>2554</v>
      </c>
      <c r="O26" s="826">
        <f>'Income Statement'!BZ432</f>
        <v>2526</v>
      </c>
      <c r="P26" s="826">
        <f>'Income Statement'!CA432</f>
        <v>2470</v>
      </c>
      <c r="Q26" s="826">
        <f>'Income Statement'!CB432</f>
        <v>2442</v>
      </c>
      <c r="R26" s="826">
        <f>'Income Statement'!CC432</f>
        <v>2742</v>
      </c>
      <c r="S26" s="826">
        <f>'Income Statement'!CE432</f>
        <v>2603</v>
      </c>
      <c r="T26" s="826">
        <f>'Income Statement'!CF432</f>
        <v>2586</v>
      </c>
      <c r="U26" s="826">
        <f>'Income Statement'!CG432</f>
        <v>2576</v>
      </c>
      <c r="V26" s="826">
        <f>'Income Statement'!CH432</f>
        <v>2771</v>
      </c>
      <c r="W26" s="826">
        <f>'Income Statement'!CJ432</f>
        <v>2608</v>
      </c>
      <c r="X26" s="826">
        <f>'Income Statement'!CK432</f>
        <v>2562</v>
      </c>
      <c r="Y26" s="827"/>
      <c r="AB26" s="828">
        <f>SUMIFS($C26:Z26,$C$6:Z$6,"&lt;="&amp;AB$6,$C$6:Z$6,"&gt;"&amp;DATE(YEAR($AB$6)-1,12,31))</f>
        <v>5189</v>
      </c>
      <c r="AC26" s="828">
        <f>SUMIFS($C26:Z26,$C$6:Z$6,"&lt;="&amp;AC$6,$C$6:Z$6,"&gt;"&amp;DATE(YEAR($AC$6)-1,12,31))</f>
        <v>5170</v>
      </c>
      <c r="AD26" s="829">
        <f>AC26/AB26-1</f>
        <v>-3.6615918288687155E-3</v>
      </c>
      <c r="AF26" s="828">
        <f t="shared" ref="AF26" si="125">AI26-AB26</f>
        <v>5347</v>
      </c>
      <c r="AG26" s="828">
        <f t="shared" si="3"/>
        <v>5465</v>
      </c>
      <c r="AH26" s="830">
        <f t="shared" si="79"/>
        <v>2.2068449597905326E-2</v>
      </c>
      <c r="AI26" s="828">
        <f>SUMIFS($AO26:$AW26,$AO$5:$AW$5,AI$6)</f>
        <v>10536</v>
      </c>
      <c r="AJ26" s="828">
        <f>SUMIFS($AO26:$AW26,$AO$5:$AW$5,AJ$6)</f>
        <v>10635</v>
      </c>
      <c r="AK26" s="830">
        <f t="shared" si="80"/>
        <v>9.3963553530751476E-3</v>
      </c>
      <c r="AL26" s="828"/>
      <c r="AM26" s="832"/>
      <c r="AO26" s="833"/>
      <c r="AP26" s="826">
        <f>'Income Statement'!BT432</f>
        <v>9241</v>
      </c>
      <c r="AQ26" s="826">
        <f>'Income Statement'!BY432</f>
        <v>9789</v>
      </c>
      <c r="AR26" s="826">
        <f>'Income Statement'!CD432</f>
        <v>10180</v>
      </c>
      <c r="AS26" s="826">
        <f>'Income Statement'!CI432</f>
        <v>10536</v>
      </c>
      <c r="AT26" s="826">
        <f>'Income Statement'!CN432</f>
        <v>10635</v>
      </c>
      <c r="AU26" s="826">
        <f>'Income Statement'!CQ432</f>
        <v>10945.588579795789</v>
      </c>
      <c r="AV26" s="826">
        <f>'Income Statement'!CR432</f>
        <v>11217.050358444878</v>
      </c>
      <c r="AX26" s="833">
        <f t="shared" ref="AX26" si="126">AS26</f>
        <v>10536</v>
      </c>
      <c r="AY26" s="833">
        <f>'[7]Vs Consensus'!T12</f>
        <v>146742</v>
      </c>
      <c r="AZ26" s="833">
        <f>'[7]Vs Consensus'!U12</f>
        <v>152589.61320370526</v>
      </c>
      <c r="BA26" s="833">
        <f>'[7]Vs Consensus'!V12</f>
        <v>159186.62302815466</v>
      </c>
    </row>
    <row r="27" spans="2:53">
      <c r="B27" s="804" t="s">
        <v>0</v>
      </c>
      <c r="C27" s="820"/>
      <c r="D27" s="820"/>
      <c r="E27" s="820"/>
      <c r="F27" s="820"/>
      <c r="G27" s="820">
        <f t="shared" ref="G27:X27" si="127">G26/C26-1</f>
        <v>-4.314395557454076E-2</v>
      </c>
      <c r="H27" s="820">
        <f t="shared" si="127"/>
        <v>5.7182705718270554E-2</v>
      </c>
      <c r="I27" s="820">
        <f t="shared" si="127"/>
        <v>2.6208766380479087E-2</v>
      </c>
      <c r="J27" s="820">
        <f t="shared" si="127"/>
        <v>8.6245024325519726E-2</v>
      </c>
      <c r="K27" s="820">
        <f t="shared" si="127"/>
        <v>7.4107142857142927E-2</v>
      </c>
      <c r="L27" s="820">
        <f t="shared" si="127"/>
        <v>6.5963060686015762E-2</v>
      </c>
      <c r="M27" s="820">
        <f t="shared" si="127"/>
        <v>5.9004843681197627E-2</v>
      </c>
      <c r="N27" s="820">
        <f t="shared" si="127"/>
        <v>3.9902280130293066E-2</v>
      </c>
      <c r="O27" s="820">
        <f t="shared" si="127"/>
        <v>4.9875311720698257E-2</v>
      </c>
      <c r="P27" s="820">
        <f t="shared" si="127"/>
        <v>1.8976897689769068E-2</v>
      </c>
      <c r="Q27" s="820">
        <f t="shared" si="127"/>
        <v>1.538461538461533E-2</v>
      </c>
      <c r="R27" s="820">
        <f t="shared" si="127"/>
        <v>7.3610023492560739E-2</v>
      </c>
      <c r="S27" s="820">
        <f t="shared" si="127"/>
        <v>3.0482977038796433E-2</v>
      </c>
      <c r="T27" s="820">
        <f t="shared" si="127"/>
        <v>4.6963562753036481E-2</v>
      </c>
      <c r="U27" s="820">
        <f t="shared" si="127"/>
        <v>5.4873054873054938E-2</v>
      </c>
      <c r="V27" s="820">
        <f t="shared" si="127"/>
        <v>1.0576221735959068E-2</v>
      </c>
      <c r="W27" s="820">
        <f t="shared" si="127"/>
        <v>1.9208605455243166E-3</v>
      </c>
      <c r="X27" s="820">
        <f t="shared" si="127"/>
        <v>-9.2807424593968069E-3</v>
      </c>
      <c r="Y27" s="820"/>
      <c r="AB27" s="820"/>
      <c r="AC27" s="820"/>
      <c r="AF27" s="820"/>
      <c r="AG27" s="820"/>
      <c r="AH27" s="820"/>
      <c r="AI27" s="820"/>
      <c r="AJ27" s="820"/>
      <c r="AK27" s="820"/>
      <c r="AL27" s="820"/>
      <c r="AP27" s="820" t="str">
        <f>IFERROR(AP26/AO26-1,"")</f>
        <v/>
      </c>
      <c r="AQ27" s="820">
        <f t="shared" ref="AQ27:AV27" si="128">IFERROR(AQ26/AP26-1,"")</f>
        <v>5.9300941456552403E-2</v>
      </c>
      <c r="AR27" s="820">
        <f t="shared" si="128"/>
        <v>3.9942792930840687E-2</v>
      </c>
      <c r="AS27" s="820">
        <f t="shared" si="128"/>
        <v>3.4970530451866377E-2</v>
      </c>
      <c r="AT27" s="820">
        <f t="shared" si="128"/>
        <v>9.3963553530751476E-3</v>
      </c>
      <c r="AU27" s="820">
        <f t="shared" si="128"/>
        <v>2.9204379858560392E-2</v>
      </c>
      <c r="AV27" s="820">
        <f t="shared" si="128"/>
        <v>2.4801021586922545E-2</v>
      </c>
      <c r="AY27" s="820">
        <f t="shared" ref="AY27:BA27" si="129">IFERROR(AY26/AX26-1,"")</f>
        <v>12.927676537585421</v>
      </c>
      <c r="AZ27" s="820">
        <f t="shared" si="129"/>
        <v>3.9849621810424063E-2</v>
      </c>
      <c r="BA27" s="820">
        <f t="shared" si="129"/>
        <v>4.3233675516579639E-2</v>
      </c>
    </row>
    <row r="29" spans="2:53">
      <c r="B29" s="806" t="s">
        <v>837</v>
      </c>
    </row>
    <row r="30" spans="2:53">
      <c r="B30" s="851" t="s">
        <v>547</v>
      </c>
      <c r="C30" s="850">
        <f>'Income Statement'!BK326</f>
        <v>110</v>
      </c>
      <c r="D30" s="850">
        <f>'Income Statement'!BL326</f>
        <v>128</v>
      </c>
      <c r="E30" s="850">
        <f>'Income Statement'!BM326</f>
        <v>107</v>
      </c>
      <c r="F30" s="850">
        <f>'Income Statement'!BN326</f>
        <v>128</v>
      </c>
      <c r="G30" s="850">
        <f>'Income Statement'!BP326</f>
        <v>118</v>
      </c>
      <c r="H30" s="850">
        <f>'Income Statement'!BQ326</f>
        <v>117</v>
      </c>
      <c r="I30" s="850">
        <f>'Income Statement'!BR326</f>
        <v>125</v>
      </c>
      <c r="J30" s="850">
        <f>'Income Statement'!BS326</f>
        <v>119</v>
      </c>
      <c r="K30" s="850">
        <f>'Income Statement'!BU326</f>
        <v>132</v>
      </c>
      <c r="L30" s="850">
        <f>'Income Statement'!BV326</f>
        <v>134</v>
      </c>
      <c r="M30" s="850">
        <f>'Income Statement'!BW326</f>
        <v>129</v>
      </c>
      <c r="N30" s="850">
        <f>'Income Statement'!BX326</f>
        <v>123</v>
      </c>
      <c r="O30" s="850">
        <f>'Income Statement'!BZ326</f>
        <v>138</v>
      </c>
      <c r="P30" s="850">
        <f>'Income Statement'!CA326</f>
        <v>144</v>
      </c>
      <c r="Q30" s="850">
        <f>'Income Statement'!CB326</f>
        <v>139</v>
      </c>
      <c r="R30" s="850">
        <f>'Income Statement'!CC326</f>
        <v>136</v>
      </c>
      <c r="S30" s="850">
        <f>'Income Statement'!CE326</f>
        <v>138</v>
      </c>
      <c r="T30" s="850">
        <f>'Income Statement'!CF326</f>
        <v>139</v>
      </c>
      <c r="U30" s="850">
        <f>'Income Statement'!CG326</f>
        <v>149</v>
      </c>
      <c r="V30" s="850">
        <f>'Income Statement'!CH326</f>
        <v>164</v>
      </c>
      <c r="W30" s="850">
        <f>'Income Statement'!CJ326</f>
        <v>146</v>
      </c>
      <c r="X30" s="850">
        <f>'Income Statement'!CK326</f>
        <v>150</v>
      </c>
    </row>
    <row r="31" spans="2:53">
      <c r="B31" s="851" t="s">
        <v>67</v>
      </c>
      <c r="C31" s="850">
        <f>'Income Statement'!BK329</f>
        <v>0</v>
      </c>
      <c r="D31" s="850">
        <f>'Income Statement'!BL329</f>
        <v>0</v>
      </c>
      <c r="E31" s="850">
        <f>'Income Statement'!BM329</f>
        <v>0</v>
      </c>
      <c r="F31" s="850">
        <f>'Income Statement'!BN329</f>
        <v>0</v>
      </c>
      <c r="G31" s="850">
        <f>'Income Statement'!BP329</f>
        <v>0</v>
      </c>
      <c r="H31" s="850">
        <f>'Income Statement'!BQ329</f>
        <v>0</v>
      </c>
      <c r="I31" s="850">
        <f>'Income Statement'!BR329</f>
        <v>0</v>
      </c>
      <c r="J31" s="850">
        <f>'Income Statement'!BS329</f>
        <v>0</v>
      </c>
      <c r="K31" s="850">
        <f>'Income Statement'!BU329</f>
        <v>972</v>
      </c>
      <c r="L31" s="850">
        <f>'Income Statement'!BV329</f>
        <v>919</v>
      </c>
      <c r="M31" s="850">
        <f>'Income Statement'!BW329</f>
        <v>893</v>
      </c>
      <c r="N31" s="850">
        <f>'Income Statement'!BX329</f>
        <v>1047</v>
      </c>
      <c r="O31" s="850">
        <f>'Income Statement'!BZ329</f>
        <v>1023</v>
      </c>
      <c r="P31" s="850">
        <f>'Income Statement'!CA329</f>
        <v>938</v>
      </c>
      <c r="Q31" s="850">
        <f>'Income Statement'!CB329</f>
        <v>895</v>
      </c>
      <c r="R31" s="850">
        <f>'Income Statement'!CC329</f>
        <v>1175</v>
      </c>
      <c r="S31" s="850">
        <f>'Income Statement'!CE329</f>
        <v>1037</v>
      </c>
      <c r="T31" s="850">
        <f>'Income Statement'!CF329</f>
        <v>996</v>
      </c>
      <c r="U31" s="850">
        <f>'Income Statement'!CG329</f>
        <v>971</v>
      </c>
      <c r="V31" s="850">
        <f>'Income Statement'!CH329</f>
        <v>1181</v>
      </c>
      <c r="W31" s="850">
        <f>'Income Statement'!CJ329</f>
        <v>1012</v>
      </c>
      <c r="X31" s="850">
        <f>'Income Statement'!CK329</f>
        <v>914</v>
      </c>
    </row>
    <row r="32" spans="2:53">
      <c r="B32" s="851" t="s">
        <v>722</v>
      </c>
      <c r="C32" s="850">
        <f>'Income Statement'!BK336</f>
        <v>0</v>
      </c>
      <c r="D32" s="850">
        <f>'Income Statement'!BL336</f>
        <v>0</v>
      </c>
      <c r="E32" s="850">
        <f>'Income Statement'!BM336</f>
        <v>0</v>
      </c>
      <c r="F32" s="850">
        <f>'Income Statement'!BN336</f>
        <v>0</v>
      </c>
      <c r="G32" s="850">
        <f>'Income Statement'!BP336</f>
        <v>0</v>
      </c>
      <c r="H32" s="850">
        <f>'Income Statement'!BQ336</f>
        <v>0</v>
      </c>
      <c r="I32" s="850">
        <f>'Income Statement'!BR336</f>
        <v>0</v>
      </c>
      <c r="J32" s="850">
        <f>'Income Statement'!BS336</f>
        <v>0</v>
      </c>
      <c r="K32" s="850">
        <f>'Income Statement'!BU336</f>
        <v>66</v>
      </c>
      <c r="L32" s="850">
        <f>'Income Statement'!BV336</f>
        <v>67</v>
      </c>
      <c r="M32" s="850">
        <f>'Income Statement'!BW336</f>
        <v>63</v>
      </c>
      <c r="N32" s="850">
        <f>'Income Statement'!BX336</f>
        <v>63</v>
      </c>
      <c r="O32" s="850">
        <f>'Income Statement'!BZ336</f>
        <v>61</v>
      </c>
      <c r="P32" s="850">
        <f>'Income Statement'!CA336</f>
        <v>62</v>
      </c>
      <c r="Q32" s="850">
        <f>'Income Statement'!CB336</f>
        <v>62</v>
      </c>
      <c r="R32" s="850">
        <f>'Income Statement'!CC336</f>
        <v>62</v>
      </c>
      <c r="S32" s="850">
        <f>'Income Statement'!CE336</f>
        <v>62</v>
      </c>
      <c r="T32" s="850">
        <f>'Income Statement'!CF336</f>
        <v>62</v>
      </c>
      <c r="U32" s="850">
        <f>'Income Statement'!CG336</f>
        <v>62</v>
      </c>
      <c r="V32" s="850">
        <f>'Income Statement'!CH336</f>
        <v>62</v>
      </c>
      <c r="W32" s="850">
        <f>'Income Statement'!CJ336</f>
        <v>62</v>
      </c>
      <c r="X32" s="850">
        <f>'Income Statement'!CK336</f>
        <v>63</v>
      </c>
    </row>
    <row r="33" spans="2:53">
      <c r="B33" s="851" t="s">
        <v>65</v>
      </c>
      <c r="C33" s="850">
        <f>'Income Statement'!BK340</f>
        <v>158</v>
      </c>
      <c r="D33" s="850">
        <f>'Income Statement'!BL340</f>
        <v>178</v>
      </c>
      <c r="E33" s="850">
        <f>'Income Statement'!BM340</f>
        <v>171</v>
      </c>
      <c r="F33" s="850">
        <f>'Income Statement'!BN340</f>
        <v>163</v>
      </c>
      <c r="G33" s="850">
        <f>'Income Statement'!BP340</f>
        <v>183</v>
      </c>
      <c r="H33" s="850">
        <f>'Income Statement'!BQ340</f>
        <v>178</v>
      </c>
      <c r="I33" s="850">
        <f>'Income Statement'!BR340</f>
        <v>183</v>
      </c>
      <c r="J33" s="850">
        <f>'Income Statement'!BS340</f>
        <v>191</v>
      </c>
      <c r="K33" s="850">
        <f>'Income Statement'!BU340</f>
        <v>210</v>
      </c>
      <c r="L33" s="850">
        <f>'Income Statement'!BV340</f>
        <v>194</v>
      </c>
      <c r="M33" s="850">
        <f>'Income Statement'!BW340</f>
        <v>193</v>
      </c>
      <c r="N33" s="850">
        <f>'Income Statement'!BX340</f>
        <v>216</v>
      </c>
      <c r="O33" s="850">
        <f>'Income Statement'!BZ340</f>
        <v>200</v>
      </c>
      <c r="P33" s="850">
        <f>'Income Statement'!CA340</f>
        <v>202</v>
      </c>
      <c r="Q33" s="850">
        <f>'Income Statement'!CB340</f>
        <v>277</v>
      </c>
      <c r="R33" s="850">
        <f>'Income Statement'!CC340</f>
        <v>201</v>
      </c>
      <c r="S33" s="850">
        <f>'Income Statement'!CE340</f>
        <v>202</v>
      </c>
      <c r="T33" s="850">
        <f>'Income Statement'!CF340</f>
        <v>208</v>
      </c>
      <c r="U33" s="850">
        <f>'Income Statement'!CG340</f>
        <v>204</v>
      </c>
      <c r="V33" s="850">
        <f>'Income Statement'!CH340</f>
        <v>225</v>
      </c>
      <c r="W33" s="850">
        <f>'Income Statement'!CJ340</f>
        <v>199</v>
      </c>
      <c r="X33" s="850">
        <f>'Income Statement'!CK340</f>
        <v>209</v>
      </c>
    </row>
    <row r="34" spans="2:53">
      <c r="B34" s="851" t="s">
        <v>66</v>
      </c>
      <c r="C34" s="850">
        <f>'Income Statement'!BK345</f>
        <v>40</v>
      </c>
      <c r="D34" s="850">
        <f>'Income Statement'!BL345</f>
        <v>30</v>
      </c>
      <c r="E34" s="850">
        <f>'Income Statement'!BM345</f>
        <v>46</v>
      </c>
      <c r="F34" s="850">
        <f>'Income Statement'!BN345</f>
        <v>26</v>
      </c>
      <c r="G34" s="850">
        <f>'Income Statement'!BP345</f>
        <v>41</v>
      </c>
      <c r="H34" s="850">
        <f>'Income Statement'!BQ345</f>
        <v>42</v>
      </c>
      <c r="I34" s="850">
        <f>'Income Statement'!BR345</f>
        <v>49</v>
      </c>
      <c r="J34" s="850">
        <f>'Income Statement'!BS345</f>
        <v>48</v>
      </c>
      <c r="K34" s="850">
        <f>'Income Statement'!BU345</f>
        <v>39</v>
      </c>
      <c r="L34" s="850">
        <f>'Income Statement'!BV345</f>
        <v>50</v>
      </c>
      <c r="M34" s="850">
        <f>'Income Statement'!BW345</f>
        <v>48</v>
      </c>
      <c r="N34" s="850">
        <f>'Income Statement'!BX345</f>
        <v>52</v>
      </c>
      <c r="O34" s="850">
        <f>'Income Statement'!BZ345</f>
        <v>38</v>
      </c>
      <c r="P34" s="850">
        <f>'Income Statement'!CA345</f>
        <v>43</v>
      </c>
      <c r="Q34" s="850">
        <f>'Income Statement'!CB345</f>
        <v>44</v>
      </c>
      <c r="R34" s="850">
        <f>'Income Statement'!CC345</f>
        <v>38</v>
      </c>
      <c r="S34" s="850">
        <f>'Income Statement'!CE345</f>
        <v>39</v>
      </c>
      <c r="T34" s="850">
        <f>'Income Statement'!CF345</f>
        <v>47</v>
      </c>
      <c r="U34" s="850">
        <f>'Income Statement'!CG345</f>
        <v>43</v>
      </c>
      <c r="V34" s="850">
        <f>'Income Statement'!CH345</f>
        <v>48</v>
      </c>
      <c r="W34" s="850">
        <f>'Income Statement'!CJ345</f>
        <v>42</v>
      </c>
      <c r="X34" s="850">
        <f>'Income Statement'!CK345</f>
        <v>41</v>
      </c>
    </row>
    <row r="35" spans="2:53">
      <c r="B35" s="851" t="s">
        <v>721</v>
      </c>
      <c r="C35" s="850">
        <f>'Income Statement'!BK349</f>
        <v>0</v>
      </c>
      <c r="D35" s="850">
        <f>'Income Statement'!BL349</f>
        <v>0</v>
      </c>
      <c r="E35" s="850">
        <f>'Income Statement'!BM349</f>
        <v>0</v>
      </c>
      <c r="F35" s="850">
        <f>'Income Statement'!BN349</f>
        <v>0</v>
      </c>
      <c r="G35" s="850">
        <f>'Income Statement'!BP349</f>
        <v>0</v>
      </c>
      <c r="H35" s="850">
        <f>'Income Statement'!BQ349</f>
        <v>0</v>
      </c>
      <c r="I35" s="850">
        <f>'Income Statement'!BR349</f>
        <v>0</v>
      </c>
      <c r="J35" s="850">
        <f>'Income Statement'!BS349</f>
        <v>0</v>
      </c>
      <c r="K35" s="850">
        <f>'Income Statement'!BU349</f>
        <v>-61</v>
      </c>
      <c r="L35" s="850">
        <f>'Income Statement'!BV349</f>
        <v>-74</v>
      </c>
      <c r="M35" s="850">
        <f>'Income Statement'!BW349</f>
        <v>-52</v>
      </c>
      <c r="N35" s="850">
        <f>'Income Statement'!BX349</f>
        <v>-64</v>
      </c>
      <c r="O35" s="850">
        <f>'Income Statement'!BZ349</f>
        <v>-46</v>
      </c>
      <c r="P35" s="850">
        <f>'Income Statement'!CA349</f>
        <v>-52</v>
      </c>
      <c r="Q35" s="850">
        <f>'Income Statement'!CB349</f>
        <v>-38</v>
      </c>
      <c r="R35" s="850">
        <f>'Income Statement'!CC349</f>
        <v>-79</v>
      </c>
      <c r="S35" s="850">
        <f>'Income Statement'!CE349</f>
        <v>-61</v>
      </c>
      <c r="T35" s="850">
        <f>'Income Statement'!CF349</f>
        <v>-59</v>
      </c>
      <c r="U35" s="850">
        <f>'Income Statement'!CG349</f>
        <v>-56</v>
      </c>
      <c r="V35" s="850">
        <f>'Income Statement'!CH349</f>
        <v>-45</v>
      </c>
      <c r="W35" s="850">
        <f>'Income Statement'!CJ349</f>
        <v>-44</v>
      </c>
      <c r="X35" s="850">
        <f>'Income Statement'!CK349</f>
        <v>-57</v>
      </c>
    </row>
    <row r="36" spans="2:53">
      <c r="B36" s="851" t="s">
        <v>253</v>
      </c>
      <c r="C36" s="850">
        <f>'Income Statement'!BK353</f>
        <v>107</v>
      </c>
      <c r="D36" s="850">
        <f>'Income Statement'!BL353</f>
        <v>95</v>
      </c>
      <c r="E36" s="850">
        <f>'Income Statement'!BM353</f>
        <v>111</v>
      </c>
      <c r="F36" s="850">
        <f>'Income Statement'!BN353</f>
        <v>140</v>
      </c>
      <c r="G36" s="850">
        <f>'Income Statement'!BP353</f>
        <v>99</v>
      </c>
      <c r="H36" s="850">
        <f>'Income Statement'!BQ353</f>
        <v>86</v>
      </c>
      <c r="I36" s="850">
        <f>'Income Statement'!BR353</f>
        <v>102</v>
      </c>
      <c r="J36" s="850">
        <f>'Income Statement'!BS353</f>
        <v>114</v>
      </c>
      <c r="K36" s="850">
        <f>'Income Statement'!BU353</f>
        <v>87</v>
      </c>
      <c r="L36" s="850">
        <f>'Income Statement'!BV353</f>
        <v>96</v>
      </c>
      <c r="M36" s="850">
        <f>'Income Statement'!BW353</f>
        <v>102</v>
      </c>
      <c r="N36" s="850">
        <f>'Income Statement'!BX353</f>
        <v>109</v>
      </c>
      <c r="O36" s="850">
        <f>'Income Statement'!BZ353</f>
        <v>106</v>
      </c>
      <c r="P36" s="850">
        <f>'Income Statement'!CA353</f>
        <v>94</v>
      </c>
      <c r="Q36" s="850">
        <f>'Income Statement'!CB353</f>
        <v>102</v>
      </c>
      <c r="R36" s="850">
        <f>'Income Statement'!CC353</f>
        <v>126</v>
      </c>
      <c r="S36" s="850">
        <f>'Income Statement'!CE353</f>
        <v>102</v>
      </c>
      <c r="T36" s="850">
        <f>'Income Statement'!CF353</f>
        <v>109</v>
      </c>
      <c r="U36" s="850">
        <f>'Income Statement'!CG353</f>
        <v>128</v>
      </c>
      <c r="V36" s="850">
        <f>'Income Statement'!CH353</f>
        <v>123</v>
      </c>
      <c r="W36" s="850">
        <f>'Income Statement'!CJ353</f>
        <v>102</v>
      </c>
      <c r="X36" s="850">
        <f>'Income Statement'!CK353</f>
        <v>111</v>
      </c>
    </row>
    <row r="37" spans="2:53">
      <c r="B37" s="851" t="s">
        <v>71</v>
      </c>
      <c r="C37" s="850">
        <f>'Income Statement'!BK357</f>
        <v>0</v>
      </c>
      <c r="D37" s="850">
        <f>'Income Statement'!BL357</f>
        <v>0</v>
      </c>
      <c r="E37" s="850">
        <f>'Income Statement'!BM357</f>
        <v>0</v>
      </c>
      <c r="F37" s="850">
        <f>'Income Statement'!BN357</f>
        <v>0</v>
      </c>
      <c r="G37" s="850">
        <f>'Income Statement'!BP357</f>
        <v>0</v>
      </c>
      <c r="H37" s="850">
        <f>'Income Statement'!BQ357</f>
        <v>0</v>
      </c>
      <c r="I37" s="850">
        <f>'Income Statement'!BR357</f>
        <v>0</v>
      </c>
      <c r="J37" s="850">
        <f>'Income Statement'!BS357</f>
        <v>0</v>
      </c>
      <c r="K37" s="850">
        <f>'Income Statement'!BU357</f>
        <v>34</v>
      </c>
      <c r="L37" s="850">
        <f>'Income Statement'!BV357</f>
        <v>26</v>
      </c>
      <c r="M37" s="850">
        <f>'Income Statement'!BW357</f>
        <v>25</v>
      </c>
      <c r="N37" s="850">
        <f>'Income Statement'!BX357</f>
        <v>22</v>
      </c>
      <c r="O37" s="850">
        <f>'Income Statement'!BZ357</f>
        <v>34</v>
      </c>
      <c r="P37" s="850">
        <f>'Income Statement'!CA357</f>
        <v>37</v>
      </c>
      <c r="Q37" s="850">
        <f>'Income Statement'!CB357</f>
        <v>32</v>
      </c>
      <c r="R37" s="850">
        <f>'Income Statement'!CC357</f>
        <v>26</v>
      </c>
      <c r="S37" s="850">
        <f>'Income Statement'!CE357</f>
        <v>40</v>
      </c>
      <c r="T37" s="850">
        <f>'Income Statement'!CF357</f>
        <v>38</v>
      </c>
      <c r="U37" s="850">
        <f>'Income Statement'!CG357</f>
        <v>27</v>
      </c>
      <c r="V37" s="850">
        <f>'Income Statement'!CH357</f>
        <v>29</v>
      </c>
      <c r="W37" s="850">
        <f>'Income Statement'!CJ357</f>
        <v>34</v>
      </c>
      <c r="X37" s="850">
        <f>'Income Statement'!CK357</f>
        <v>37</v>
      </c>
      <c r="Y37" s="819"/>
      <c r="AB37" s="819"/>
      <c r="AC37" s="819"/>
      <c r="AD37" s="821"/>
      <c r="AF37" s="819"/>
      <c r="AG37" s="819"/>
      <c r="AH37" s="819"/>
      <c r="AI37" s="819"/>
      <c r="AJ37" s="819"/>
      <c r="AK37" s="819"/>
      <c r="AL37" s="819"/>
    </row>
    <row r="38" spans="2:53">
      <c r="B38" s="851" t="s">
        <v>72</v>
      </c>
      <c r="C38" s="850">
        <f>'Income Statement'!BK361</f>
        <v>0</v>
      </c>
      <c r="D38" s="850">
        <f>'Income Statement'!BL361</f>
        <v>0</v>
      </c>
      <c r="E38" s="850">
        <f>'Income Statement'!BM361</f>
        <v>0</v>
      </c>
      <c r="F38" s="850">
        <f>'Income Statement'!BN361</f>
        <v>0</v>
      </c>
      <c r="G38" s="850">
        <f>'Income Statement'!BP361</f>
        <v>0</v>
      </c>
      <c r="H38" s="850">
        <f>'Income Statement'!BQ361</f>
        <v>0</v>
      </c>
      <c r="I38" s="850">
        <f>'Income Statement'!BR361</f>
        <v>0</v>
      </c>
      <c r="J38" s="850">
        <f>'Income Statement'!BS361</f>
        <v>0</v>
      </c>
      <c r="K38" s="850">
        <f>'Income Statement'!BU361</f>
        <v>0</v>
      </c>
      <c r="L38" s="850">
        <f>'Income Statement'!BV361</f>
        <v>0</v>
      </c>
      <c r="M38" s="850">
        <f>'Income Statement'!BW361</f>
        <v>0</v>
      </c>
      <c r="N38" s="850">
        <f>'Income Statement'!BX361</f>
        <v>0</v>
      </c>
      <c r="O38" s="850">
        <f>'Income Statement'!BZ361</f>
        <v>0</v>
      </c>
      <c r="P38" s="850">
        <f>'Income Statement'!CA361</f>
        <v>0</v>
      </c>
      <c r="Q38" s="850">
        <f>'Income Statement'!CB361</f>
        <v>0</v>
      </c>
      <c r="R38" s="850">
        <f>'Income Statement'!CC361</f>
        <v>0</v>
      </c>
      <c r="S38" s="850">
        <f>'Income Statement'!CE361</f>
        <v>0</v>
      </c>
      <c r="T38" s="850">
        <f>'Income Statement'!CF361</f>
        <v>0</v>
      </c>
      <c r="U38" s="850">
        <f>'Income Statement'!CG361</f>
        <v>0</v>
      </c>
      <c r="V38" s="850">
        <f>'Income Statement'!CH361</f>
        <v>0</v>
      </c>
      <c r="W38" s="850">
        <f>'Income Statement'!CJ361</f>
        <v>0</v>
      </c>
      <c r="X38" s="850">
        <f>'Income Statement'!CK361</f>
        <v>0</v>
      </c>
      <c r="Y38" s="819"/>
      <c r="AB38" s="819"/>
      <c r="AC38" s="819"/>
      <c r="AD38" s="824"/>
      <c r="AF38" s="819"/>
      <c r="AG38" s="819"/>
      <c r="AH38" s="819"/>
      <c r="AI38" s="819"/>
      <c r="AJ38" s="819"/>
      <c r="AK38" s="819"/>
      <c r="AL38" s="819"/>
    </row>
    <row r="39" spans="2:53">
      <c r="B39" s="834" t="s">
        <v>838</v>
      </c>
      <c r="C39" s="833"/>
      <c r="D39" s="833"/>
      <c r="E39" s="833"/>
      <c r="F39" s="833"/>
      <c r="G39" s="833"/>
      <c r="H39" s="833"/>
      <c r="I39" s="833"/>
      <c r="J39" s="833"/>
      <c r="K39" s="833">
        <f t="shared" ref="K39:X39" si="130">SUM(K30:K38)</f>
        <v>1479</v>
      </c>
      <c r="L39" s="833">
        <f t="shared" si="130"/>
        <v>1412</v>
      </c>
      <c r="M39" s="833">
        <f t="shared" si="130"/>
        <v>1401</v>
      </c>
      <c r="N39" s="833">
        <f t="shared" si="130"/>
        <v>1568</v>
      </c>
      <c r="O39" s="833">
        <f t="shared" si="130"/>
        <v>1554</v>
      </c>
      <c r="P39" s="833">
        <f t="shared" si="130"/>
        <v>1468</v>
      </c>
      <c r="Q39" s="833">
        <f t="shared" si="130"/>
        <v>1513</v>
      </c>
      <c r="R39" s="833">
        <f t="shared" si="130"/>
        <v>1685</v>
      </c>
      <c r="S39" s="833">
        <f t="shared" si="130"/>
        <v>1559</v>
      </c>
      <c r="T39" s="833">
        <f t="shared" si="130"/>
        <v>1540</v>
      </c>
      <c r="U39" s="833">
        <f t="shared" si="130"/>
        <v>1528</v>
      </c>
      <c r="V39" s="833">
        <f t="shared" si="130"/>
        <v>1787</v>
      </c>
      <c r="W39" s="833">
        <f t="shared" si="130"/>
        <v>1553</v>
      </c>
      <c r="X39" s="833">
        <f t="shared" si="130"/>
        <v>1468</v>
      </c>
      <c r="Y39" s="827"/>
      <c r="AB39" s="833">
        <f>SUMIFS($C39:Z39,$C$6:Z$6,"&lt;="&amp;AB$6,$C$6:Z$6,"&gt;"&amp;DATE(YEAR($AB$6)-1,12,31))</f>
        <v>3099</v>
      </c>
      <c r="AC39" s="833">
        <f>SUMIFS($C39:Z39,$C$6:Z$6,"&lt;="&amp;AC$6,$C$6:Z$6,"&gt;"&amp;DATE(YEAR($AC$6)-1,12,31))</f>
        <v>3021</v>
      </c>
      <c r="AD39" s="835">
        <f t="shared" ref="AD39" si="131">AC39/AB39-1</f>
        <v>-2.5169409486931249E-2</v>
      </c>
      <c r="AF39" s="833"/>
      <c r="AG39" s="833"/>
      <c r="AH39" s="833"/>
      <c r="AI39" s="833"/>
      <c r="AJ39" s="833"/>
      <c r="AK39" s="833"/>
      <c r="AL39" s="833"/>
    </row>
    <row r="40" spans="2:53">
      <c r="B40" s="804" t="s">
        <v>0</v>
      </c>
      <c r="C40" s="820"/>
      <c r="D40" s="820"/>
      <c r="E40" s="820"/>
      <c r="F40" s="820"/>
      <c r="G40" s="820"/>
      <c r="H40" s="820"/>
      <c r="I40" s="820"/>
      <c r="J40" s="820"/>
      <c r="K40" s="820"/>
      <c r="L40" s="820"/>
      <c r="M40" s="820"/>
      <c r="N40" s="820"/>
      <c r="O40" s="820">
        <f t="shared" ref="O40:X40" si="132">O39/K39-1</f>
        <v>5.070993914807298E-2</v>
      </c>
      <c r="P40" s="820">
        <f t="shared" si="132"/>
        <v>3.966005665722383E-2</v>
      </c>
      <c r="Q40" s="820">
        <f t="shared" si="132"/>
        <v>7.994289793005005E-2</v>
      </c>
      <c r="R40" s="820">
        <f t="shared" si="132"/>
        <v>7.461734693877542E-2</v>
      </c>
      <c r="S40" s="820">
        <f t="shared" si="132"/>
        <v>3.2175032175032481E-3</v>
      </c>
      <c r="T40" s="820">
        <f t="shared" si="132"/>
        <v>4.9046321525885617E-2</v>
      </c>
      <c r="U40" s="820">
        <f t="shared" si="132"/>
        <v>9.9140779907469501E-3</v>
      </c>
      <c r="V40" s="820">
        <f t="shared" si="132"/>
        <v>6.0534124629080033E-2</v>
      </c>
      <c r="W40" s="820">
        <f t="shared" si="132"/>
        <v>-3.8486209108402614E-3</v>
      </c>
      <c r="X40" s="820">
        <f t="shared" si="132"/>
        <v>-4.6753246753246769E-2</v>
      </c>
      <c r="Y40" s="820"/>
      <c r="AB40" s="820"/>
      <c r="AC40" s="820"/>
      <c r="AF40" s="820"/>
      <c r="AG40" s="820"/>
      <c r="AH40" s="820"/>
      <c r="AI40" s="820"/>
      <c r="AJ40" s="820"/>
      <c r="AK40" s="820"/>
      <c r="AL40" s="820"/>
    </row>
    <row r="41" spans="2:53">
      <c r="B41" s="804" t="s">
        <v>839</v>
      </c>
      <c r="C41" s="820">
        <f>C39/C$26</f>
        <v>0</v>
      </c>
      <c r="D41" s="820">
        <f t="shared" ref="D41:AC41" si="133">D39/D$26</f>
        <v>0</v>
      </c>
      <c r="E41" s="820">
        <f t="shared" si="133"/>
        <v>0</v>
      </c>
      <c r="F41" s="820">
        <f t="shared" si="133"/>
        <v>0</v>
      </c>
      <c r="G41" s="820">
        <f t="shared" si="133"/>
        <v>0</v>
      </c>
      <c r="H41" s="820">
        <f t="shared" si="133"/>
        <v>0</v>
      </c>
      <c r="I41" s="820">
        <f t="shared" si="133"/>
        <v>0</v>
      </c>
      <c r="J41" s="820">
        <f t="shared" si="133"/>
        <v>0</v>
      </c>
      <c r="K41" s="820">
        <f t="shared" si="133"/>
        <v>0.61471321695760595</v>
      </c>
      <c r="L41" s="820">
        <f t="shared" si="133"/>
        <v>0.58250825082508251</v>
      </c>
      <c r="M41" s="820">
        <f t="shared" si="133"/>
        <v>0.58253638253638251</v>
      </c>
      <c r="N41" s="820">
        <f t="shared" si="133"/>
        <v>0.61393891934220834</v>
      </c>
      <c r="O41" s="820">
        <f t="shared" si="133"/>
        <v>0.61520190023752974</v>
      </c>
      <c r="P41" s="820">
        <f t="shared" si="133"/>
        <v>0.59433198380566798</v>
      </c>
      <c r="Q41" s="820">
        <f t="shared" si="133"/>
        <v>0.61957411957411956</v>
      </c>
      <c r="R41" s="820">
        <f t="shared" si="133"/>
        <v>0.61451495258935085</v>
      </c>
      <c r="S41" s="820">
        <f t="shared" si="133"/>
        <v>0.5989243180945063</v>
      </c>
      <c r="T41" s="820">
        <f t="shared" si="133"/>
        <v>0.59551430781129155</v>
      </c>
      <c r="U41" s="820">
        <f t="shared" si="133"/>
        <v>0.59316770186335399</v>
      </c>
      <c r="V41" s="820">
        <f t="shared" si="133"/>
        <v>0.64489354023818113</v>
      </c>
      <c r="W41" s="820">
        <f t="shared" si="133"/>
        <v>0.59547546012269936</v>
      </c>
      <c r="X41" s="820">
        <f t="shared" si="133"/>
        <v>0.57298985167837624</v>
      </c>
      <c r="Y41" s="820"/>
      <c r="AB41" s="820">
        <f t="shared" si="133"/>
        <v>0.5972248988244363</v>
      </c>
      <c r="AC41" s="820">
        <f t="shared" si="133"/>
        <v>0.58433268858800769</v>
      </c>
      <c r="AF41" s="820"/>
      <c r="AG41" s="820"/>
      <c r="AH41" s="820"/>
      <c r="AI41" s="820"/>
      <c r="AJ41" s="820"/>
      <c r="AK41" s="820"/>
      <c r="AL41" s="820"/>
    </row>
    <row r="42" spans="2:53">
      <c r="B42" s="806"/>
    </row>
    <row r="43" spans="2:53">
      <c r="B43" s="806" t="s">
        <v>2</v>
      </c>
      <c r="AP43" s="849"/>
      <c r="AQ43" s="849"/>
      <c r="AR43" s="849"/>
      <c r="AS43" s="849"/>
      <c r="AT43" s="849"/>
      <c r="AU43" s="849"/>
      <c r="AV43" s="849"/>
    </row>
    <row r="44" spans="2:53" s="806" customFormat="1">
      <c r="B44" s="825" t="s">
        <v>840</v>
      </c>
      <c r="C44" s="826">
        <f>'Income Statement'!BK451</f>
        <v>944</v>
      </c>
      <c r="D44" s="826">
        <f>'Income Statement'!BL451</f>
        <v>938</v>
      </c>
      <c r="E44" s="826">
        <f>'Income Statement'!BM451</f>
        <v>953</v>
      </c>
      <c r="F44" s="826">
        <f>'Income Statement'!BN451</f>
        <v>924</v>
      </c>
      <c r="G44" s="826">
        <f>'Income Statement'!BP451</f>
        <v>961</v>
      </c>
      <c r="H44" s="826">
        <f>'Income Statement'!BQ451</f>
        <v>996</v>
      </c>
      <c r="I44" s="826">
        <f>'Income Statement'!BR451</f>
        <v>969</v>
      </c>
      <c r="J44" s="826">
        <f>'Income Statement'!BS451</f>
        <v>932</v>
      </c>
      <c r="K44" s="826">
        <f>'Income Statement'!BU451</f>
        <v>927</v>
      </c>
      <c r="L44" s="826">
        <f>'Income Statement'!BV451</f>
        <v>1012</v>
      </c>
      <c r="M44" s="826">
        <f>'Income Statement'!BW451</f>
        <v>1004</v>
      </c>
      <c r="N44" s="826">
        <f>'Income Statement'!BX451</f>
        <v>986</v>
      </c>
      <c r="O44" s="826">
        <f>'Income Statement'!BZ451</f>
        <v>972</v>
      </c>
      <c r="P44" s="826">
        <f>'Income Statement'!CA451</f>
        <v>1002</v>
      </c>
      <c r="Q44" s="826">
        <f>'Income Statement'!CB451</f>
        <v>929</v>
      </c>
      <c r="R44" s="826">
        <f>'Income Statement'!CC451</f>
        <v>1057</v>
      </c>
      <c r="S44" s="826">
        <f>'Income Statement'!CE451</f>
        <v>1044</v>
      </c>
      <c r="T44" s="826">
        <f>'Income Statement'!CF451</f>
        <v>1046</v>
      </c>
      <c r="U44" s="826">
        <f>'Income Statement'!CG451</f>
        <v>1048</v>
      </c>
      <c r="V44" s="826">
        <f>'Income Statement'!CH451</f>
        <v>984</v>
      </c>
      <c r="W44" s="826">
        <f>'Income Statement'!CJ451</f>
        <v>1055</v>
      </c>
      <c r="X44" s="826">
        <f>'Income Statement'!CK451</f>
        <v>1094</v>
      </c>
      <c r="Y44" s="827"/>
      <c r="AB44" s="833">
        <f>SUMIFS($C44:Z44,$C$6:Z$6,"&lt;="&amp;AB$6,$C$6:Z$6,"&gt;"&amp;DATE(YEAR($AB$6)-1,12,31))</f>
        <v>2090</v>
      </c>
      <c r="AC44" s="833">
        <f>SUMIFS($C44:Z44,$C$6:Z$6,"&lt;="&amp;AC$6,$C$6:Z$6,"&gt;"&amp;DATE(YEAR($AC$6)-1,12,31))</f>
        <v>2149</v>
      </c>
      <c r="AD44" s="835">
        <f>AC44/AB44-1</f>
        <v>2.8229665071770382E-2</v>
      </c>
      <c r="AF44" s="833">
        <f t="shared" ref="AF44:AG44" si="134">AI44-AB44</f>
        <v>2032</v>
      </c>
      <c r="AG44" s="833">
        <f t="shared" si="134"/>
        <v>2180</v>
      </c>
      <c r="AH44" s="836">
        <f t="shared" ref="AH44" si="135">AG44/AF44-1</f>
        <v>7.2834645669291431E-2</v>
      </c>
      <c r="AI44" s="833">
        <f>SUMIFS($AO44:$AW44,$AO$5:$AW$5,AI$6)</f>
        <v>4122</v>
      </c>
      <c r="AJ44" s="833">
        <f>SUMIFS($AO44:$AW44,$AO$5:$AW$5,AJ$6)</f>
        <v>4329</v>
      </c>
      <c r="AK44" s="836">
        <f t="shared" ref="AK44" si="136">AJ44/AI44-1</f>
        <v>5.0218340611353662E-2</v>
      </c>
      <c r="AL44" s="833"/>
      <c r="AM44" s="832"/>
      <c r="AO44" s="833"/>
      <c r="AP44" s="826">
        <f>'Income Statement'!BT451</f>
        <v>3858</v>
      </c>
      <c r="AQ44" s="826">
        <f>'Income Statement'!BY451</f>
        <v>3929</v>
      </c>
      <c r="AR44" s="826">
        <f>'Income Statement'!CD451</f>
        <v>3960</v>
      </c>
      <c r="AS44" s="826">
        <f>'Income Statement'!CI451</f>
        <v>4122</v>
      </c>
      <c r="AT44" s="826">
        <f>'Income Statement'!CN451</f>
        <v>4329</v>
      </c>
      <c r="AU44" s="826">
        <f>'Income Statement'!CQ451</f>
        <v>4521.5932718038575</v>
      </c>
      <c r="AV44" s="826">
        <f>'Income Statement'!CR451</f>
        <v>4652.7746464653283</v>
      </c>
      <c r="AX44" s="833">
        <f>AS44</f>
        <v>4122</v>
      </c>
      <c r="AY44" s="833">
        <f>'[7]Vs Consensus'!T62</f>
        <v>72240</v>
      </c>
      <c r="AZ44" s="833">
        <f>'[7]Vs Consensus'!U62</f>
        <v>77183.941634466828</v>
      </c>
      <c r="BA44" s="833" t="str">
        <f>'[7]Vs Consensus'!V62</f>
        <v>-</v>
      </c>
    </row>
    <row r="45" spans="2:53">
      <c r="B45" s="804" t="s">
        <v>0</v>
      </c>
      <c r="C45" s="820"/>
      <c r="D45" s="820"/>
      <c r="E45" s="820"/>
      <c r="F45" s="820"/>
      <c r="G45" s="820">
        <f t="shared" ref="G45:X45" si="137">G44/C44-1</f>
        <v>1.8008474576271194E-2</v>
      </c>
      <c r="H45" s="820">
        <f t="shared" si="137"/>
        <v>6.1833688699360234E-2</v>
      </c>
      <c r="I45" s="820">
        <f t="shared" si="137"/>
        <v>1.6789087093389332E-2</v>
      </c>
      <c r="J45" s="820">
        <f t="shared" si="137"/>
        <v>8.6580086580085869E-3</v>
      </c>
      <c r="K45" s="820">
        <f t="shared" si="137"/>
        <v>-3.5379812695109258E-2</v>
      </c>
      <c r="L45" s="820">
        <f t="shared" si="137"/>
        <v>1.6064257028112428E-2</v>
      </c>
      <c r="M45" s="820">
        <f t="shared" si="137"/>
        <v>3.6119711042311708E-2</v>
      </c>
      <c r="N45" s="820">
        <f t="shared" si="137"/>
        <v>5.7939914163090078E-2</v>
      </c>
      <c r="O45" s="820">
        <f t="shared" si="137"/>
        <v>4.8543689320388328E-2</v>
      </c>
      <c r="P45" s="820">
        <f t="shared" si="137"/>
        <v>-9.8814229249012397E-3</v>
      </c>
      <c r="Q45" s="820">
        <f t="shared" si="137"/>
        <v>-7.4701195219123551E-2</v>
      </c>
      <c r="R45" s="820">
        <f t="shared" si="137"/>
        <v>7.2008113590263712E-2</v>
      </c>
      <c r="S45" s="820">
        <f t="shared" si="137"/>
        <v>7.4074074074074181E-2</v>
      </c>
      <c r="T45" s="820">
        <f t="shared" si="137"/>
        <v>4.3912175648702645E-2</v>
      </c>
      <c r="U45" s="820">
        <f t="shared" si="137"/>
        <v>0.12809472551130252</v>
      </c>
      <c r="V45" s="820">
        <f t="shared" si="137"/>
        <v>-6.9063386944181682E-2</v>
      </c>
      <c r="W45" s="820">
        <f t="shared" si="137"/>
        <v>1.0536398467432928E-2</v>
      </c>
      <c r="X45" s="820">
        <f t="shared" si="137"/>
        <v>4.5889101338432159E-2</v>
      </c>
      <c r="Y45" s="820"/>
      <c r="AB45" s="820"/>
      <c r="AC45" s="820"/>
      <c r="AF45" s="820"/>
      <c r="AG45" s="820"/>
      <c r="AH45" s="820"/>
      <c r="AI45" s="820"/>
      <c r="AJ45" s="820"/>
      <c r="AK45" s="820"/>
      <c r="AL45" s="820"/>
      <c r="AP45" s="820" t="str">
        <f>IFERROR(AP44/AO44-1,"")</f>
        <v/>
      </c>
      <c r="AQ45" s="820">
        <f t="shared" ref="AQ45:AV45" si="138">IFERROR(AQ44/AP44-1,"")</f>
        <v>1.8403317781233719E-2</v>
      </c>
      <c r="AR45" s="820">
        <f t="shared" si="138"/>
        <v>7.8900483583608239E-3</v>
      </c>
      <c r="AS45" s="820">
        <f t="shared" si="138"/>
        <v>4.0909090909091006E-2</v>
      </c>
      <c r="AT45" s="820">
        <f t="shared" si="138"/>
        <v>5.0218340611353662E-2</v>
      </c>
      <c r="AU45" s="820">
        <f t="shared" si="138"/>
        <v>4.4489090275781296E-2</v>
      </c>
      <c r="AV45" s="820">
        <f t="shared" si="138"/>
        <v>2.9012201402435434E-2</v>
      </c>
      <c r="AY45" s="820">
        <f t="shared" ref="AY45:BA45" si="139">IFERROR(AY44/AX44-1,"")</f>
        <v>16.525473071324601</v>
      </c>
      <c r="AZ45" s="820">
        <f t="shared" si="139"/>
        <v>6.8437730266705854E-2</v>
      </c>
      <c r="BA45" s="820" t="str">
        <f t="shared" si="139"/>
        <v/>
      </c>
    </row>
    <row r="46" spans="2:53">
      <c r="B46" s="804" t="s">
        <v>3</v>
      </c>
      <c r="C46" s="820">
        <f>C44/C$26</f>
        <v>0.40324647586501494</v>
      </c>
      <c r="D46" s="820">
        <f t="shared" ref="D46:X46" si="140">D44/D$26</f>
        <v>0.43607624360762437</v>
      </c>
      <c r="E46" s="820">
        <f t="shared" si="140"/>
        <v>0.43063714414821508</v>
      </c>
      <c r="F46" s="820">
        <f t="shared" si="140"/>
        <v>0.4086687306501548</v>
      </c>
      <c r="G46" s="820">
        <f t="shared" si="140"/>
        <v>0.42901785714285712</v>
      </c>
      <c r="H46" s="820">
        <f t="shared" si="140"/>
        <v>0.43799472295514513</v>
      </c>
      <c r="I46" s="820">
        <f t="shared" si="140"/>
        <v>0.42668428005284015</v>
      </c>
      <c r="J46" s="820">
        <f t="shared" si="140"/>
        <v>0.37947882736156352</v>
      </c>
      <c r="K46" s="820">
        <f t="shared" si="140"/>
        <v>0.385286783042394</v>
      </c>
      <c r="L46" s="820">
        <f t="shared" si="140"/>
        <v>0.41749174917491749</v>
      </c>
      <c r="M46" s="820">
        <f t="shared" si="140"/>
        <v>0.41746361746361749</v>
      </c>
      <c r="N46" s="820">
        <f t="shared" si="140"/>
        <v>0.38606108065779171</v>
      </c>
      <c r="O46" s="820">
        <f t="shared" si="140"/>
        <v>0.38479809976247031</v>
      </c>
      <c r="P46" s="820">
        <f t="shared" si="140"/>
        <v>0.40566801619433196</v>
      </c>
      <c r="Q46" s="820">
        <f t="shared" si="140"/>
        <v>0.38042588042588044</v>
      </c>
      <c r="R46" s="820">
        <f t="shared" si="140"/>
        <v>0.38548504741064915</v>
      </c>
      <c r="S46" s="820">
        <f t="shared" si="140"/>
        <v>0.40107568190549364</v>
      </c>
      <c r="T46" s="820">
        <f t="shared" si="140"/>
        <v>0.40448569218870845</v>
      </c>
      <c r="U46" s="820">
        <f t="shared" si="140"/>
        <v>0.40683229813664595</v>
      </c>
      <c r="V46" s="820">
        <f t="shared" si="140"/>
        <v>0.35510645976181882</v>
      </c>
      <c r="W46" s="820">
        <f t="shared" si="140"/>
        <v>0.40452453987730064</v>
      </c>
      <c r="X46" s="820">
        <f t="shared" si="140"/>
        <v>0.42701014832162371</v>
      </c>
      <c r="Y46" s="820"/>
      <c r="AB46" s="820">
        <f>AB44/AB$26</f>
        <v>0.4027751011755637</v>
      </c>
      <c r="AC46" s="820">
        <f>AC44/AC$26</f>
        <v>0.41566731141199226</v>
      </c>
      <c r="AF46" s="820">
        <f>AF44/AF$26</f>
        <v>0.38002618290630258</v>
      </c>
      <c r="AG46" s="820">
        <f>AG44/AG$26</f>
        <v>0.39890210430009149</v>
      </c>
      <c r="AH46" s="820"/>
      <c r="AI46" s="820"/>
      <c r="AJ46" s="820"/>
      <c r="AK46" s="820"/>
      <c r="AL46" s="820"/>
      <c r="AO46" s="820"/>
      <c r="AP46" s="820">
        <f>AP44/AP$26</f>
        <v>0.41748728492587384</v>
      </c>
      <c r="AQ46" s="820">
        <f t="shared" ref="AQ46:AV46" si="141">AQ44/AQ$26</f>
        <v>0.40136888344059657</v>
      </c>
      <c r="AR46" s="820">
        <f t="shared" si="141"/>
        <v>0.38899803536345778</v>
      </c>
      <c r="AS46" s="820">
        <f t="shared" si="141"/>
        <v>0.39123006833712987</v>
      </c>
      <c r="AT46" s="820">
        <f t="shared" si="141"/>
        <v>0.4070521861777151</v>
      </c>
      <c r="AU46" s="820">
        <f t="shared" si="141"/>
        <v>0.41309731668063632</v>
      </c>
      <c r="AV46" s="820">
        <f t="shared" si="141"/>
        <v>0.4147948433665038</v>
      </c>
      <c r="AY46" s="820">
        <f t="shared" ref="AY46:BA46" si="142">AY44/AY$26</f>
        <v>0.49229259516702784</v>
      </c>
      <c r="AZ46" s="820">
        <f t="shared" si="142"/>
        <v>0.505826969568546</v>
      </c>
      <c r="BA46" s="820" t="e">
        <f t="shared" si="142"/>
        <v>#VALUE!</v>
      </c>
    </row>
    <row r="47" spans="2:53">
      <c r="B47" s="804" t="s">
        <v>847</v>
      </c>
      <c r="C47" s="820"/>
      <c r="D47" s="820"/>
      <c r="E47" s="820"/>
      <c r="F47" s="820"/>
      <c r="G47" s="820"/>
      <c r="H47" s="820"/>
      <c r="I47" s="820"/>
      <c r="J47" s="820"/>
      <c r="K47" s="820">
        <f>(K44-G44)/(K$26-G$26)</f>
        <v>-0.20481927710843373</v>
      </c>
      <c r="L47" s="820">
        <f t="shared" ref="L47:W47" si="143">(L44-H44)/(L$26-H$26)</f>
        <v>0.10666666666666667</v>
      </c>
      <c r="M47" s="820">
        <f t="shared" si="143"/>
        <v>0.26119402985074625</v>
      </c>
      <c r="N47" s="820">
        <f t="shared" si="143"/>
        <v>0.55102040816326525</v>
      </c>
      <c r="O47" s="820">
        <f t="shared" si="143"/>
        <v>0.375</v>
      </c>
      <c r="P47" s="820">
        <f t="shared" si="143"/>
        <v>-0.21739130434782608</v>
      </c>
      <c r="Q47" s="820">
        <f t="shared" si="143"/>
        <v>-2.0270270270270272</v>
      </c>
      <c r="R47" s="820">
        <f t="shared" si="143"/>
        <v>0.37765957446808512</v>
      </c>
      <c r="S47" s="820">
        <f t="shared" si="143"/>
        <v>0.93506493506493504</v>
      </c>
      <c r="T47" s="820">
        <f t="shared" si="143"/>
        <v>0.37931034482758619</v>
      </c>
      <c r="U47" s="820">
        <f t="shared" si="143"/>
        <v>0.88805970149253732</v>
      </c>
      <c r="V47" s="820">
        <f t="shared" si="143"/>
        <v>-2.5172413793103448</v>
      </c>
      <c r="W47" s="820">
        <f t="shared" si="143"/>
        <v>2.2000000000000002</v>
      </c>
      <c r="X47" s="820">
        <f>(X44-T44)/(X$26-T$26)</f>
        <v>-2</v>
      </c>
      <c r="Y47" s="820"/>
      <c r="AB47" s="820"/>
      <c r="AC47" s="820"/>
      <c r="AF47" s="820"/>
      <c r="AG47" s="820"/>
      <c r="AH47" s="820"/>
      <c r="AI47" s="820"/>
      <c r="AJ47" s="820"/>
      <c r="AK47" s="820"/>
      <c r="AL47" s="820"/>
      <c r="AO47" s="820"/>
      <c r="AP47" s="820"/>
      <c r="AQ47" s="820"/>
      <c r="AR47" s="820"/>
      <c r="AS47" s="820"/>
      <c r="AT47" s="820"/>
      <c r="AU47" s="820"/>
      <c r="AV47" s="820"/>
      <c r="AY47" s="820"/>
      <c r="AZ47" s="820"/>
      <c r="BA47" s="820"/>
    </row>
    <row r="49" spans="2:48">
      <c r="B49" s="802" t="s">
        <v>75</v>
      </c>
    </row>
    <row r="50" spans="2:48">
      <c r="B50" s="834" t="s">
        <v>75</v>
      </c>
      <c r="C50" s="826">
        <f>'Income Statement'!BK471</f>
        <v>597</v>
      </c>
      <c r="D50" s="826">
        <f>'Income Statement'!BL471</f>
        <v>572</v>
      </c>
      <c r="E50" s="826">
        <f>'Income Statement'!BM471</f>
        <v>612</v>
      </c>
      <c r="F50" s="826">
        <f>'Income Statement'!BN471</f>
        <v>558</v>
      </c>
      <c r="G50" s="826">
        <f>'Income Statement'!BP471</f>
        <v>538</v>
      </c>
      <c r="H50" s="826">
        <f>'Income Statement'!BQ471</f>
        <v>548</v>
      </c>
      <c r="I50" s="826">
        <f>'Income Statement'!BR471</f>
        <v>525</v>
      </c>
      <c r="J50" s="826">
        <f>'Income Statement'!BS471</f>
        <v>471</v>
      </c>
      <c r="K50" s="826">
        <f>'Income Statement'!BU471</f>
        <v>520</v>
      </c>
      <c r="L50" s="826">
        <f>'Income Statement'!BV471</f>
        <v>597</v>
      </c>
      <c r="M50" s="826">
        <f>'Income Statement'!BW471</f>
        <v>574</v>
      </c>
      <c r="N50" s="826">
        <f>'Income Statement'!BX471</f>
        <v>518</v>
      </c>
      <c r="O50" s="826">
        <f>'Income Statement'!BZ471</f>
        <v>541</v>
      </c>
      <c r="P50" s="826">
        <f>'Income Statement'!CA471</f>
        <v>568</v>
      </c>
      <c r="Q50" s="826">
        <f>'Income Statement'!CB471</f>
        <v>492</v>
      </c>
      <c r="R50" s="826">
        <f>'Income Statement'!CC471</f>
        <v>289</v>
      </c>
      <c r="S50" s="826">
        <f>'Income Statement'!CE471</f>
        <v>595</v>
      </c>
      <c r="T50" s="826">
        <f>'Income Statement'!CF471</f>
        <v>595</v>
      </c>
      <c r="U50" s="826">
        <f>'Income Statement'!CG471</f>
        <v>597</v>
      </c>
      <c r="V50" s="826">
        <f>'Income Statement'!CH471</f>
        <v>537</v>
      </c>
      <c r="W50" s="826">
        <f>'Income Statement'!CJ471</f>
        <v>611</v>
      </c>
      <c r="X50" s="826">
        <f>'Income Statement'!CK471</f>
        <v>647</v>
      </c>
      <c r="Y50" s="827"/>
      <c r="AB50" s="833">
        <f>SUMIFS($C50:Z50,$C$6:Z$6,"&lt;="&amp;AB$6,$C$6:Z$6,"&gt;"&amp;DATE(YEAR($AB$6)-1,12,31))</f>
        <v>1190</v>
      </c>
      <c r="AC50" s="833">
        <f>SUMIFS($C50:Z50,$C$6:Z$6,"&lt;="&amp;AC$6,$C$6:Z$6,"&gt;"&amp;DATE(YEAR($AC$6)-1,12,31))</f>
        <v>1258</v>
      </c>
      <c r="AD50" s="835">
        <f>AC50/AB50-1</f>
        <v>5.7142857142857162E-2</v>
      </c>
      <c r="AF50" s="833">
        <f t="shared" ref="AF50:AG50" si="144">AI50-AB50</f>
        <v>1134</v>
      </c>
      <c r="AG50" s="833">
        <f t="shared" si="144"/>
        <v>1263</v>
      </c>
      <c r="AH50" s="836">
        <f t="shared" ref="AH50" si="145">AG50/AF50-1</f>
        <v>0.11375661375661372</v>
      </c>
      <c r="AI50" s="833">
        <f>SUMIFS($AO50:$AW50,$AO$5:$AW$5,AI$6)</f>
        <v>2324</v>
      </c>
      <c r="AJ50" s="833">
        <f>SUMIFS($AO50:$AW50,$AO$5:$AW$5,AJ$6)</f>
        <v>2521</v>
      </c>
      <c r="AK50" s="836">
        <f t="shared" ref="AK50" si="146">AJ50/AI50-1</f>
        <v>8.476764199655773E-2</v>
      </c>
      <c r="AL50" s="833"/>
      <c r="AO50" s="833"/>
      <c r="AP50" s="826">
        <f>'Income Statement'!BT471</f>
        <v>2082</v>
      </c>
      <c r="AQ50" s="826">
        <f>'Income Statement'!BY471</f>
        <v>2209</v>
      </c>
      <c r="AR50" s="826">
        <f>'Income Statement'!CD471</f>
        <v>1890</v>
      </c>
      <c r="AS50" s="826">
        <f>'Income Statement'!CI471</f>
        <v>2324</v>
      </c>
      <c r="AT50" s="826">
        <f>'Income Statement'!CN471</f>
        <v>2521</v>
      </c>
      <c r="AU50" s="826">
        <f>'Income Statement'!CQ471</f>
        <v>2808.9732718038576</v>
      </c>
      <c r="AV50" s="826">
        <f>'Income Statement'!CR471</f>
        <v>2936.5606269771351</v>
      </c>
    </row>
    <row r="51" spans="2:48">
      <c r="B51" s="804" t="s">
        <v>0</v>
      </c>
      <c r="C51" s="820"/>
      <c r="D51" s="820"/>
      <c r="E51" s="820"/>
      <c r="F51" s="820"/>
      <c r="G51" s="820">
        <f t="shared" ref="G51:X51" si="147">G50/C50-1</f>
        <v>-9.8827470686767116E-2</v>
      </c>
      <c r="H51" s="820">
        <f t="shared" si="147"/>
        <v>-4.1958041958041981E-2</v>
      </c>
      <c r="I51" s="820">
        <f t="shared" si="147"/>
        <v>-0.14215686274509809</v>
      </c>
      <c r="J51" s="820">
        <f t="shared" si="147"/>
        <v>-0.15591397849462363</v>
      </c>
      <c r="K51" s="820">
        <f t="shared" si="147"/>
        <v>-3.3457249070631967E-2</v>
      </c>
      <c r="L51" s="820">
        <f t="shared" si="147"/>
        <v>8.9416058394160558E-2</v>
      </c>
      <c r="M51" s="820">
        <f t="shared" si="147"/>
        <v>9.3333333333333268E-2</v>
      </c>
      <c r="N51" s="820">
        <f t="shared" si="147"/>
        <v>9.9787685774946899E-2</v>
      </c>
      <c r="O51" s="820">
        <f t="shared" si="147"/>
        <v>4.0384615384615463E-2</v>
      </c>
      <c r="P51" s="820">
        <f t="shared" si="147"/>
        <v>-4.8576214405360085E-2</v>
      </c>
      <c r="Q51" s="820">
        <f t="shared" si="147"/>
        <v>-0.1428571428571429</v>
      </c>
      <c r="R51" s="820">
        <f t="shared" si="147"/>
        <v>-0.44208494208494209</v>
      </c>
      <c r="S51" s="820">
        <f t="shared" si="147"/>
        <v>9.9815157116450948E-2</v>
      </c>
      <c r="T51" s="820">
        <f t="shared" si="147"/>
        <v>4.7535211267605737E-2</v>
      </c>
      <c r="U51" s="820">
        <f t="shared" si="147"/>
        <v>0.21341463414634143</v>
      </c>
      <c r="V51" s="820">
        <f t="shared" si="147"/>
        <v>0.8581314878892734</v>
      </c>
      <c r="W51" s="820">
        <f t="shared" si="147"/>
        <v>2.6890756302520913E-2</v>
      </c>
      <c r="X51" s="820">
        <f t="shared" si="147"/>
        <v>8.7394957983193189E-2</v>
      </c>
      <c r="Y51" s="820"/>
      <c r="AB51" s="820"/>
      <c r="AC51" s="820"/>
      <c r="AF51" s="820"/>
      <c r="AG51" s="820"/>
      <c r="AH51" s="820"/>
      <c r="AI51" s="820"/>
      <c r="AJ51" s="820"/>
      <c r="AK51" s="820"/>
      <c r="AL51" s="820"/>
      <c r="AP51" s="820" t="str">
        <f>IFERROR(AP50/AO50-1,"")</f>
        <v/>
      </c>
      <c r="AQ51" s="820">
        <f t="shared" ref="AQ51:AV51" si="148">IFERROR(AQ50/AP50-1,"")</f>
        <v>6.0999039385206455E-2</v>
      </c>
      <c r="AR51" s="820">
        <f t="shared" si="148"/>
        <v>-0.14440923494794022</v>
      </c>
      <c r="AS51" s="820">
        <f t="shared" si="148"/>
        <v>0.22962962962962963</v>
      </c>
      <c r="AT51" s="820">
        <f t="shared" si="148"/>
        <v>8.476764199655773E-2</v>
      </c>
      <c r="AU51" s="820">
        <f t="shared" si="148"/>
        <v>0.11422977858145877</v>
      </c>
      <c r="AV51" s="820">
        <f t="shared" si="148"/>
        <v>4.5421348951228735E-2</v>
      </c>
    </row>
    <row r="52" spans="2:48">
      <c r="B52" s="804" t="s">
        <v>712</v>
      </c>
      <c r="C52" s="820">
        <f>C50/C$26</f>
        <v>0.25501922255446391</v>
      </c>
      <c r="D52" s="820">
        <f t="shared" ref="D52:AB52" si="149">D50/D$26</f>
        <v>0.26592282659228267</v>
      </c>
      <c r="E52" s="820">
        <f t="shared" si="149"/>
        <v>0.27654767284229553</v>
      </c>
      <c r="F52" s="820">
        <f t="shared" si="149"/>
        <v>0.24679345422379478</v>
      </c>
      <c r="G52" s="820">
        <f t="shared" si="149"/>
        <v>0.24017857142857144</v>
      </c>
      <c r="H52" s="820">
        <f t="shared" si="149"/>
        <v>0.24098504837291118</v>
      </c>
      <c r="I52" s="820">
        <f t="shared" si="149"/>
        <v>0.23117569352708059</v>
      </c>
      <c r="J52" s="820">
        <f t="shared" si="149"/>
        <v>0.19177524429967427</v>
      </c>
      <c r="K52" s="820">
        <f t="shared" si="149"/>
        <v>0.21612635078969245</v>
      </c>
      <c r="L52" s="820">
        <f t="shared" si="149"/>
        <v>0.24628712871287128</v>
      </c>
      <c r="M52" s="820">
        <f t="shared" si="149"/>
        <v>0.23866943866943868</v>
      </c>
      <c r="N52" s="820">
        <f t="shared" si="149"/>
        <v>0.20281910728269381</v>
      </c>
      <c r="O52" s="820">
        <f t="shared" si="149"/>
        <v>0.21417260490894696</v>
      </c>
      <c r="P52" s="820">
        <f t="shared" si="149"/>
        <v>0.22995951417004049</v>
      </c>
      <c r="Q52" s="820">
        <f t="shared" si="149"/>
        <v>0.20147420147420148</v>
      </c>
      <c r="R52" s="820">
        <f t="shared" si="149"/>
        <v>0.10539752005835157</v>
      </c>
      <c r="S52" s="820">
        <f t="shared" si="149"/>
        <v>0.228582404917403</v>
      </c>
      <c r="T52" s="820">
        <f t="shared" si="149"/>
        <v>0.23008507347254448</v>
      </c>
      <c r="U52" s="820">
        <f t="shared" si="149"/>
        <v>0.23175465838509315</v>
      </c>
      <c r="V52" s="820">
        <f t="shared" si="149"/>
        <v>0.19379285456513895</v>
      </c>
      <c r="W52" s="820">
        <f t="shared" si="149"/>
        <v>0.23427914110429449</v>
      </c>
      <c r="X52" s="820">
        <f t="shared" si="149"/>
        <v>0.25253708040593287</v>
      </c>
      <c r="Y52" s="820"/>
      <c r="AB52" s="820">
        <f t="shared" si="149"/>
        <v>0.2293312777028329</v>
      </c>
      <c r="AC52" s="820">
        <f>AC50/AC$26</f>
        <v>0.24332688588007736</v>
      </c>
      <c r="AF52" s="820">
        <f>AF50/AF$26</f>
        <v>0.21208154105105667</v>
      </c>
      <c r="AG52" s="820">
        <f>AG50/AG$26</f>
        <v>0.23110704483074107</v>
      </c>
      <c r="AH52" s="820"/>
      <c r="AI52" s="820"/>
      <c r="AJ52" s="820"/>
      <c r="AK52" s="820"/>
      <c r="AL52" s="820"/>
      <c r="AO52" s="820"/>
      <c r="AP52" s="820">
        <f>AP50/AP$26</f>
        <v>0.22530029217617142</v>
      </c>
      <c r="AQ52" s="820">
        <f t="shared" ref="AQ52:AV52" si="150">AQ50/AQ$26</f>
        <v>0.22566145673715396</v>
      </c>
      <c r="AR52" s="820">
        <f t="shared" si="150"/>
        <v>0.1856581532416503</v>
      </c>
      <c r="AS52" s="820">
        <f t="shared" si="150"/>
        <v>0.22057706909643129</v>
      </c>
      <c r="AT52" s="820">
        <f t="shared" si="150"/>
        <v>0.23704748472026327</v>
      </c>
      <c r="AU52" s="820">
        <f t="shared" si="150"/>
        <v>0.25663062806772008</v>
      </c>
      <c r="AV52" s="820">
        <f t="shared" si="150"/>
        <v>0.26179436956582025</v>
      </c>
    </row>
    <row r="54" spans="2:48">
      <c r="B54" s="837" t="s">
        <v>302</v>
      </c>
      <c r="C54" s="850">
        <f>'Income Statement'!BK476</f>
        <v>-102</v>
      </c>
      <c r="D54" s="850">
        <f>'Income Statement'!BL476</f>
        <v>-103</v>
      </c>
      <c r="E54" s="850">
        <f>'Income Statement'!BM476</f>
        <v>-99</v>
      </c>
      <c r="F54" s="850">
        <f>'Income Statement'!BN476</f>
        <v>-101</v>
      </c>
      <c r="G54" s="850">
        <f>'Income Statement'!BP476</f>
        <v>-109</v>
      </c>
      <c r="H54" s="850">
        <f>'Income Statement'!BQ476</f>
        <v>-110</v>
      </c>
      <c r="I54" s="850">
        <f>'Income Statement'!BR476</f>
        <v>-99</v>
      </c>
      <c r="J54" s="850">
        <f>'Income Statement'!BS476</f>
        <v>-94</v>
      </c>
      <c r="K54" s="850">
        <f>'Income Statement'!BU476</f>
        <v>-91</v>
      </c>
      <c r="L54" s="850">
        <f>'Income Statement'!BV476</f>
        <v>-99</v>
      </c>
      <c r="M54" s="850">
        <f>'Income Statement'!BW476</f>
        <v>-106</v>
      </c>
      <c r="N54" s="850">
        <f>'Income Statement'!BX476</f>
        <v>-111</v>
      </c>
      <c r="O54" s="850">
        <f>'Income Statement'!BZ476</f>
        <v>-112</v>
      </c>
      <c r="P54" s="850">
        <f>'Income Statement'!CA476</f>
        <v>-115</v>
      </c>
      <c r="Q54" s="850">
        <f>'Income Statement'!CB476</f>
        <v>-108</v>
      </c>
      <c r="R54" s="850">
        <f>'Income Statement'!CC476</f>
        <v>-111</v>
      </c>
      <c r="S54" s="850">
        <f>'Income Statement'!CE476</f>
        <v>-116</v>
      </c>
      <c r="T54" s="850">
        <f>'Income Statement'!CF476</f>
        <v>-112</v>
      </c>
      <c r="U54" s="850">
        <f>'Income Statement'!CG476</f>
        <v>-110</v>
      </c>
      <c r="V54" s="850">
        <f>'Income Statement'!CH476</f>
        <v>-109</v>
      </c>
      <c r="W54" s="850">
        <f>'Income Statement'!CJ476</f>
        <v>-111</v>
      </c>
      <c r="X54" s="850">
        <f>'Income Statement'!CK476</f>
        <v>-110</v>
      </c>
      <c r="Y54" s="819"/>
      <c r="AB54" s="819">
        <f>SUMIFS($C54:Z54,$C$6:Z$6,"&lt;="&amp;AB$6,$C$6:Z$6,"&gt;"&amp;DATE(YEAR($AB$6)-1,12,31))</f>
        <v>-228</v>
      </c>
      <c r="AC54" s="819">
        <f>SUMIFS($C54:Z54,$C$6:Z$6,"&lt;="&amp;AC$6,$C$6:Z$6,"&gt;"&amp;DATE(YEAR($AC$6)-1,12,31))</f>
        <v>-221</v>
      </c>
      <c r="AD54" s="824">
        <f>AC54/AB54-1</f>
        <v>-3.0701754385964897E-2</v>
      </c>
      <c r="AF54" s="819">
        <f t="shared" ref="AF54:AG54" si="151">AI54-AB54</f>
        <v>-219</v>
      </c>
      <c r="AG54" s="819">
        <f t="shared" si="151"/>
        <v>-211</v>
      </c>
      <c r="AH54" s="824">
        <f t="shared" ref="AH54" si="152">AG54/AF54-1</f>
        <v>-3.6529680365296802E-2</v>
      </c>
      <c r="AI54" s="819">
        <f>SUMIFS($AO54:$AW54,$AO$5:$AW$5,AI$6)</f>
        <v>-447</v>
      </c>
      <c r="AJ54" s="819">
        <f>SUMIFS($AO54:$AW54,$AO$5:$AW$5,AJ$6)</f>
        <v>-432</v>
      </c>
      <c r="AK54" s="824">
        <f t="shared" ref="AK54:AK57" si="153">AJ54/AI54-1</f>
        <v>-3.3557046979865723E-2</v>
      </c>
      <c r="AL54" s="819"/>
      <c r="AO54" s="819"/>
      <c r="AP54" s="850">
        <f>'Income Statement'!BT476</f>
        <v>-412</v>
      </c>
      <c r="AQ54" s="850">
        <f>'Income Statement'!BY476</f>
        <v>-407</v>
      </c>
      <c r="AR54" s="850">
        <f>'Income Statement'!CD476</f>
        <v>-446</v>
      </c>
      <c r="AS54" s="850">
        <f>'Income Statement'!CI476</f>
        <v>-447</v>
      </c>
      <c r="AT54" s="850">
        <f>'Income Statement'!CN476</f>
        <v>-432</v>
      </c>
      <c r="AU54" s="850">
        <f>'Income Statement'!CQ476</f>
        <v>-432.2472885032538</v>
      </c>
      <c r="AV54" s="850">
        <f>'Income Statement'!CR476</f>
        <v>-404.22957606993174</v>
      </c>
    </row>
    <row r="55" spans="2:48">
      <c r="B55" s="837"/>
      <c r="AB55" s="819"/>
      <c r="AC55" s="819"/>
      <c r="AD55" s="824"/>
      <c r="AF55" s="819"/>
      <c r="AG55" s="819"/>
      <c r="AH55" s="819"/>
      <c r="AI55" s="819"/>
      <c r="AJ55" s="819"/>
      <c r="AK55" s="819"/>
      <c r="AL55" s="819"/>
    </row>
    <row r="56" spans="2:48">
      <c r="B56" s="838" t="s">
        <v>841</v>
      </c>
      <c r="C56" s="826">
        <f>'Income Statement'!BK479</f>
        <v>477</v>
      </c>
      <c r="D56" s="826">
        <f>'Income Statement'!BL479</f>
        <v>450</v>
      </c>
      <c r="E56" s="826">
        <f>'Income Statement'!BM479</f>
        <v>489</v>
      </c>
      <c r="F56" s="826">
        <f>'Income Statement'!BN479</f>
        <v>431</v>
      </c>
      <c r="G56" s="826">
        <f>'Income Statement'!BP479</f>
        <v>453</v>
      </c>
      <c r="H56" s="826">
        <f>'Income Statement'!BQ479</f>
        <v>484</v>
      </c>
      <c r="I56" s="826">
        <f>'Income Statement'!BR479</f>
        <v>441</v>
      </c>
      <c r="J56" s="826">
        <f>'Income Statement'!BS479</f>
        <v>384</v>
      </c>
      <c r="K56" s="826">
        <f>'Income Statement'!BU479</f>
        <v>429</v>
      </c>
      <c r="L56" s="826">
        <f>'Income Statement'!BV479</f>
        <v>498</v>
      </c>
      <c r="M56" s="826">
        <f>'Income Statement'!BW479</f>
        <v>468</v>
      </c>
      <c r="N56" s="826">
        <f>'Income Statement'!BX479</f>
        <v>407</v>
      </c>
      <c r="O56" s="826">
        <f>'Income Statement'!BZ479</f>
        <v>429</v>
      </c>
      <c r="P56" s="826">
        <f>'Income Statement'!CA479</f>
        <v>453</v>
      </c>
      <c r="Q56" s="826">
        <f>'Income Statement'!CB479</f>
        <v>384</v>
      </c>
      <c r="R56" s="826">
        <f>'Income Statement'!CC479</f>
        <v>178</v>
      </c>
      <c r="S56" s="826">
        <f>'Income Statement'!CE479</f>
        <v>479</v>
      </c>
      <c r="T56" s="826">
        <f>'Income Statement'!CF479</f>
        <v>483</v>
      </c>
      <c r="U56" s="826">
        <f>'Income Statement'!CG479</f>
        <v>487</v>
      </c>
      <c r="V56" s="826">
        <f>'Income Statement'!CH479</f>
        <v>428</v>
      </c>
      <c r="W56" s="826">
        <f>'Income Statement'!CJ479</f>
        <v>500</v>
      </c>
      <c r="X56" s="826">
        <f>'Income Statement'!CK479</f>
        <v>537</v>
      </c>
      <c r="Y56" s="827"/>
      <c r="AB56" s="833">
        <f>SUMIFS($C56:Z56,$C$6:Z$6,"&lt;="&amp;AB$6,$C$6:Z$6,"&gt;"&amp;DATE(YEAR($AB$6)-1,12,31))</f>
        <v>962</v>
      </c>
      <c r="AC56" s="833">
        <f>SUMIFS($C56:Z56,$C$6:Z$6,"&lt;="&amp;AC$6,$C$6:Z$6,"&gt;"&amp;DATE(YEAR($AC$6)-1,12,31))</f>
        <v>1037</v>
      </c>
      <c r="AD56" s="835">
        <f>AC56/AB56-1</f>
        <v>7.7962577962577884E-2</v>
      </c>
      <c r="AF56" s="833">
        <f>AI56-AB56</f>
        <v>915</v>
      </c>
      <c r="AG56" s="833">
        <f t="shared" ref="AG56:AG57" si="154">AJ56-AC56</f>
        <v>1052</v>
      </c>
      <c r="AH56" s="836">
        <f t="shared" ref="AH56:AH57" si="155">AG56/AF56-1</f>
        <v>0.14972677595628414</v>
      </c>
      <c r="AI56" s="833">
        <f>SUMIFS($AO56:$AW56,$AO$5:$AW$5,AI$6)</f>
        <v>1877</v>
      </c>
      <c r="AJ56" s="833">
        <f>SUMIFS($AO56:$AW56,$AO$5:$AW$5,AJ$6)</f>
        <v>2089</v>
      </c>
      <c r="AK56" s="836">
        <f t="shared" si="153"/>
        <v>0.1129461907298881</v>
      </c>
      <c r="AL56" s="833"/>
      <c r="AO56" s="822"/>
      <c r="AP56" s="826">
        <f>'Income Statement'!BT479</f>
        <v>1670</v>
      </c>
      <c r="AQ56" s="826">
        <f>'Income Statement'!BY479</f>
        <v>1802</v>
      </c>
      <c r="AR56" s="826">
        <f>'Income Statement'!CD479</f>
        <v>1444</v>
      </c>
      <c r="AS56" s="826">
        <f>'Income Statement'!CI479</f>
        <v>1877</v>
      </c>
      <c r="AT56" s="826">
        <f>'Income Statement'!CN479</f>
        <v>2089</v>
      </c>
      <c r="AU56" s="826">
        <f>'Income Statement'!CQ479</f>
        <v>2376.7259833006037</v>
      </c>
      <c r="AV56" s="826">
        <f>'Income Statement'!CR479</f>
        <v>2532.3310509072035</v>
      </c>
    </row>
    <row r="57" spans="2:48">
      <c r="B57" s="837" t="s">
        <v>89</v>
      </c>
      <c r="C57" s="850">
        <f>'Income Statement'!BK481</f>
        <v>-118</v>
      </c>
      <c r="D57" s="850">
        <f>'Income Statement'!BL481</f>
        <v>-113</v>
      </c>
      <c r="E57" s="850">
        <f>'Income Statement'!BM481</f>
        <v>-126</v>
      </c>
      <c r="F57" s="850">
        <f>'Income Statement'!BN481</f>
        <v>-112</v>
      </c>
      <c r="G57" s="850">
        <f>'Income Statement'!BP481</f>
        <v>-119</v>
      </c>
      <c r="H57" s="850">
        <f>'Income Statement'!BQ481</f>
        <v>-124</v>
      </c>
      <c r="I57" s="850">
        <f>'Income Statement'!BR481</f>
        <v>-116</v>
      </c>
      <c r="J57" s="850">
        <f>'Income Statement'!BS481</f>
        <v>-95</v>
      </c>
      <c r="K57" s="850">
        <f>'Income Statement'!BU481</f>
        <v>-140</v>
      </c>
      <c r="L57" s="850">
        <f>'Income Statement'!BV481</f>
        <v>-176</v>
      </c>
      <c r="M57" s="850">
        <f>'Income Statement'!BW481</f>
        <v>-160</v>
      </c>
      <c r="N57" s="850">
        <f>'Income Statement'!BX481</f>
        <v>-175</v>
      </c>
      <c r="O57" s="850">
        <f>'Income Statement'!BZ481</f>
        <v>-109</v>
      </c>
      <c r="P57" s="850">
        <f>'Income Statement'!CA481</f>
        <v>-124</v>
      </c>
      <c r="Q57" s="850">
        <f>'Income Statement'!CB481</f>
        <v>-97</v>
      </c>
      <c r="R57" s="850">
        <f>'Income Statement'!CC481</f>
        <v>-122</v>
      </c>
      <c r="S57" s="850">
        <f>'Income Statement'!CE481</f>
        <v>-126</v>
      </c>
      <c r="T57" s="850">
        <f>'Income Statement'!CF481</f>
        <v>-127</v>
      </c>
      <c r="U57" s="850">
        <f>'Income Statement'!CG481</f>
        <v>-121</v>
      </c>
      <c r="V57" s="850">
        <f>'Income Statement'!CH481</f>
        <v>-107</v>
      </c>
      <c r="W57" s="850">
        <f>'Income Statement'!CJ481</f>
        <v>-129</v>
      </c>
      <c r="X57" s="850">
        <f>'Income Statement'!CK481</f>
        <v>-139</v>
      </c>
      <c r="Y57" s="819"/>
      <c r="AB57" s="819">
        <f>SUMIFS($C57:Z57,$C$6:Z$6,"&lt;="&amp;AB$6,$C$6:Z$6,"&gt;"&amp;DATE(YEAR($AB$6)-1,12,31))</f>
        <v>-253</v>
      </c>
      <c r="AC57" s="819">
        <f>SUMIFS($C57:Z57,$C$6:Z$6,"&lt;="&amp;AC$6,$C$6:Z$6,"&gt;"&amp;DATE(YEAR($AC$6)-1,12,31))</f>
        <v>-268</v>
      </c>
      <c r="AD57" s="824">
        <f>AC57/AB57-1</f>
        <v>5.9288537549407216E-2</v>
      </c>
      <c r="AF57" s="819">
        <f>AI57-AB57</f>
        <v>-228</v>
      </c>
      <c r="AG57" s="819">
        <f t="shared" si="154"/>
        <v>-238</v>
      </c>
      <c r="AH57" s="824">
        <f t="shared" si="155"/>
        <v>4.3859649122806932E-2</v>
      </c>
      <c r="AI57" s="819">
        <f>SUMIFS($AO57:$AW57,$AO$5:$AW$5,AI$6)</f>
        <v>-481</v>
      </c>
      <c r="AJ57" s="819">
        <f>SUMIFS($AO57:$AW57,$AO$5:$AW$5,AJ$6)</f>
        <v>-506</v>
      </c>
      <c r="AK57" s="824">
        <f t="shared" si="153"/>
        <v>5.1975051975051922E-2</v>
      </c>
      <c r="AL57" s="819"/>
      <c r="AO57" s="819"/>
      <c r="AP57" s="850">
        <f>'Income Statement'!BT481</f>
        <v>-454</v>
      </c>
      <c r="AQ57" s="850">
        <f>'Income Statement'!BY481</f>
        <v>-651</v>
      </c>
      <c r="AR57" s="850">
        <f>'Income Statement'!CD481</f>
        <v>-452</v>
      </c>
      <c r="AS57" s="850">
        <f>'Income Statement'!CI481</f>
        <v>-481</v>
      </c>
      <c r="AT57" s="850">
        <f>'Income Statement'!CN481</f>
        <v>-506</v>
      </c>
      <c r="AU57" s="850">
        <f>'Income Statement'!CQ481</f>
        <v>-582.29786590864785</v>
      </c>
      <c r="AV57" s="850">
        <f>'Income Statement'!CR481</f>
        <v>-607.75945221772884</v>
      </c>
    </row>
    <row r="58" spans="2:48">
      <c r="B58" s="839" t="s">
        <v>842</v>
      </c>
      <c r="C58" s="820">
        <f t="shared" ref="C58:X58" si="156">-C57/C56</f>
        <v>0.24737945492662475</v>
      </c>
      <c r="D58" s="820">
        <f t="shared" si="156"/>
        <v>0.25111111111111112</v>
      </c>
      <c r="E58" s="820">
        <f t="shared" si="156"/>
        <v>0.25766871165644173</v>
      </c>
      <c r="F58" s="820">
        <f t="shared" si="156"/>
        <v>0.25986078886310904</v>
      </c>
      <c r="G58" s="820">
        <f t="shared" si="156"/>
        <v>0.26269315673289184</v>
      </c>
      <c r="H58" s="820">
        <f t="shared" si="156"/>
        <v>0.256198347107438</v>
      </c>
      <c r="I58" s="820">
        <f t="shared" si="156"/>
        <v>0.26303854875283444</v>
      </c>
      <c r="J58" s="820">
        <f t="shared" si="156"/>
        <v>0.24739583333333334</v>
      </c>
      <c r="K58" s="820">
        <f t="shared" si="156"/>
        <v>0.32634032634032634</v>
      </c>
      <c r="L58" s="820">
        <f t="shared" si="156"/>
        <v>0.3534136546184739</v>
      </c>
      <c r="M58" s="820">
        <f t="shared" si="156"/>
        <v>0.34188034188034189</v>
      </c>
      <c r="N58" s="820">
        <f t="shared" si="156"/>
        <v>0.42997542997542998</v>
      </c>
      <c r="O58" s="820">
        <f t="shared" si="156"/>
        <v>0.25407925407925408</v>
      </c>
      <c r="P58" s="820">
        <f t="shared" si="156"/>
        <v>0.27373068432671083</v>
      </c>
      <c r="Q58" s="820">
        <f t="shared" si="156"/>
        <v>0.25260416666666669</v>
      </c>
      <c r="R58" s="820">
        <f t="shared" si="156"/>
        <v>0.6853932584269663</v>
      </c>
      <c r="S58" s="820">
        <f t="shared" si="156"/>
        <v>0.26304801670146138</v>
      </c>
      <c r="T58" s="820">
        <f t="shared" si="156"/>
        <v>0.26293995859213248</v>
      </c>
      <c r="U58" s="820">
        <f t="shared" si="156"/>
        <v>0.24845995893223818</v>
      </c>
      <c r="V58" s="820">
        <f t="shared" si="156"/>
        <v>0.25</v>
      </c>
      <c r="W58" s="820">
        <f t="shared" si="156"/>
        <v>0.25800000000000001</v>
      </c>
      <c r="X58" s="820">
        <f t="shared" si="156"/>
        <v>0.25884543761638734</v>
      </c>
      <c r="Y58" s="820"/>
      <c r="AB58" s="820">
        <f>-AB57/AB56</f>
        <v>0.26299376299376298</v>
      </c>
      <c r="AC58" s="820">
        <f>-AC57/AC56</f>
        <v>0.25843780135004824</v>
      </c>
      <c r="AF58" s="820">
        <f>-AF57/AF56</f>
        <v>0.24918032786885247</v>
      </c>
      <c r="AG58" s="820">
        <f>-AG57/AG56</f>
        <v>0.22623574144486691</v>
      </c>
      <c r="AH58" s="820"/>
      <c r="AI58" s="820"/>
      <c r="AJ58" s="820"/>
      <c r="AK58" s="820"/>
      <c r="AL58" s="820"/>
      <c r="AP58" s="820">
        <f>-AP57/AP56</f>
        <v>0.27185628742514972</v>
      </c>
      <c r="AQ58" s="820">
        <f t="shared" ref="AQ58:AV58" si="157">-AQ57/AQ56</f>
        <v>0.36126526082130966</v>
      </c>
      <c r="AR58" s="820">
        <f t="shared" si="157"/>
        <v>0.31301939058171746</v>
      </c>
      <c r="AS58" s="820">
        <f t="shared" si="157"/>
        <v>0.25625998934469901</v>
      </c>
      <c r="AT58" s="820">
        <f t="shared" si="157"/>
        <v>0.24222115844901868</v>
      </c>
      <c r="AU58" s="820">
        <f t="shared" si="157"/>
        <v>0.24499999999999997</v>
      </c>
      <c r="AV58" s="820">
        <f t="shared" si="157"/>
        <v>0.24</v>
      </c>
    </row>
    <row r="59" spans="2:48">
      <c r="B59" s="839"/>
    </row>
    <row r="60" spans="2:48">
      <c r="B60" s="840" t="s">
        <v>843</v>
      </c>
      <c r="C60" s="833">
        <f>C56+C57</f>
        <v>359</v>
      </c>
      <c r="D60" s="833">
        <f t="shared" ref="D60:X60" si="158">D56+D57</f>
        <v>337</v>
      </c>
      <c r="E60" s="833">
        <f t="shared" si="158"/>
        <v>363</v>
      </c>
      <c r="F60" s="833">
        <f t="shared" si="158"/>
        <v>319</v>
      </c>
      <c r="G60" s="833">
        <f t="shared" si="158"/>
        <v>334</v>
      </c>
      <c r="H60" s="833">
        <f t="shared" si="158"/>
        <v>360</v>
      </c>
      <c r="I60" s="833">
        <f t="shared" si="158"/>
        <v>325</v>
      </c>
      <c r="J60" s="833">
        <f t="shared" si="158"/>
        <v>289</v>
      </c>
      <c r="K60" s="833">
        <f t="shared" si="158"/>
        <v>289</v>
      </c>
      <c r="L60" s="833">
        <f t="shared" si="158"/>
        <v>322</v>
      </c>
      <c r="M60" s="833">
        <f t="shared" si="158"/>
        <v>308</v>
      </c>
      <c r="N60" s="833">
        <f t="shared" si="158"/>
        <v>232</v>
      </c>
      <c r="O60" s="833">
        <f t="shared" si="158"/>
        <v>320</v>
      </c>
      <c r="P60" s="833">
        <f t="shared" si="158"/>
        <v>329</v>
      </c>
      <c r="Q60" s="833">
        <f t="shared" si="158"/>
        <v>287</v>
      </c>
      <c r="R60" s="833">
        <f t="shared" si="158"/>
        <v>56</v>
      </c>
      <c r="S60" s="833">
        <f t="shared" si="158"/>
        <v>353</v>
      </c>
      <c r="T60" s="833">
        <f t="shared" si="158"/>
        <v>356</v>
      </c>
      <c r="U60" s="833">
        <f t="shared" si="158"/>
        <v>366</v>
      </c>
      <c r="V60" s="833">
        <f t="shared" si="158"/>
        <v>321</v>
      </c>
      <c r="W60" s="833">
        <f t="shared" si="158"/>
        <v>371</v>
      </c>
      <c r="X60" s="833">
        <f t="shared" si="158"/>
        <v>398</v>
      </c>
      <c r="Y60" s="827"/>
      <c r="AB60" s="833">
        <f>SUMIFS($C60:Z60,$C$6:Z$6,"&lt;="&amp;AB$6,$C$6:Z$6,"&gt;"&amp;DATE(YEAR($AB$6)-1,12,31))</f>
        <v>709</v>
      </c>
      <c r="AC60" s="833">
        <f>SUMIFS($C60:Z60,$C$6:Z$6,"&lt;="&amp;AC$6,$C$6:Z$6,"&gt;"&amp;DATE(YEAR($AC$6)-1,12,31))</f>
        <v>769</v>
      </c>
      <c r="AD60" s="824">
        <f>AC60/AB60-1</f>
        <v>8.4626234132581191E-2</v>
      </c>
      <c r="AF60" s="833">
        <f>AI60-AB60</f>
        <v>687</v>
      </c>
      <c r="AG60" s="833">
        <f t="shared" ref="AG60" si="159">AJ60-AC60</f>
        <v>814</v>
      </c>
      <c r="AH60" s="836">
        <f t="shared" ref="AH60" si="160">AG60/AF60-1</f>
        <v>0.18486171761280934</v>
      </c>
      <c r="AI60" s="833">
        <f>SUMIFS($AO60:$AW60,$AO$5:$AW$5,AI$6)</f>
        <v>1396</v>
      </c>
      <c r="AJ60" s="833">
        <f>SUMIFS($AO60:$AW60,$AO$5:$AW$5,AJ$6)</f>
        <v>1583</v>
      </c>
      <c r="AK60" s="823">
        <f t="shared" ref="AK60" si="161">AJ60/AI60-1</f>
        <v>0.1339541547277936</v>
      </c>
      <c r="AL60" s="833"/>
      <c r="AO60" s="833"/>
      <c r="AP60" s="833">
        <f>AP56+AP57</f>
        <v>1216</v>
      </c>
      <c r="AQ60" s="833">
        <f t="shared" ref="AQ60:AV60" si="162">AQ56+AQ57</f>
        <v>1151</v>
      </c>
      <c r="AR60" s="833">
        <f t="shared" si="162"/>
        <v>992</v>
      </c>
      <c r="AS60" s="833">
        <f t="shared" si="162"/>
        <v>1396</v>
      </c>
      <c r="AT60" s="833">
        <f t="shared" si="162"/>
        <v>1583</v>
      </c>
      <c r="AU60" s="833">
        <f t="shared" si="162"/>
        <v>1794.4281173919558</v>
      </c>
      <c r="AV60" s="833">
        <f t="shared" si="162"/>
        <v>1924.5715986894747</v>
      </c>
    </row>
    <row r="61" spans="2:48">
      <c r="B61" s="804" t="s">
        <v>0</v>
      </c>
      <c r="C61" s="820"/>
      <c r="D61" s="820"/>
      <c r="E61" s="820"/>
      <c r="F61" s="820"/>
      <c r="G61" s="820">
        <f t="shared" ref="G61:X61" si="163">G60/C60-1</f>
        <v>-6.9637883008356494E-2</v>
      </c>
      <c r="H61" s="820">
        <f t="shared" si="163"/>
        <v>6.8249258160237414E-2</v>
      </c>
      <c r="I61" s="820">
        <f t="shared" si="163"/>
        <v>-0.10468319559228645</v>
      </c>
      <c r="J61" s="820">
        <f t="shared" si="163"/>
        <v>-9.404388714733547E-2</v>
      </c>
      <c r="K61" s="820">
        <f t="shared" si="163"/>
        <v>-0.1347305389221557</v>
      </c>
      <c r="L61" s="820">
        <f t="shared" si="163"/>
        <v>-0.10555555555555551</v>
      </c>
      <c r="M61" s="820">
        <f t="shared" si="163"/>
        <v>-5.2307692307692277E-2</v>
      </c>
      <c r="N61" s="820">
        <f t="shared" si="163"/>
        <v>-0.19723183391003463</v>
      </c>
      <c r="O61" s="820">
        <f t="shared" si="163"/>
        <v>0.10726643598615926</v>
      </c>
      <c r="P61" s="820">
        <f t="shared" si="163"/>
        <v>2.1739130434782705E-2</v>
      </c>
      <c r="Q61" s="820">
        <f t="shared" si="163"/>
        <v>-6.8181818181818232E-2</v>
      </c>
      <c r="R61" s="820">
        <f t="shared" si="163"/>
        <v>-0.75862068965517238</v>
      </c>
      <c r="S61" s="820">
        <f t="shared" si="163"/>
        <v>0.10312499999999991</v>
      </c>
      <c r="T61" s="820">
        <f t="shared" si="163"/>
        <v>8.2066869300911893E-2</v>
      </c>
      <c r="U61" s="820">
        <f t="shared" si="163"/>
        <v>0.27526132404181181</v>
      </c>
      <c r="V61" s="820">
        <f t="shared" si="163"/>
        <v>4.7321428571428568</v>
      </c>
      <c r="W61" s="820">
        <f t="shared" si="163"/>
        <v>5.0991501416430607E-2</v>
      </c>
      <c r="X61" s="820">
        <f t="shared" si="163"/>
        <v>0.1179775280898876</v>
      </c>
      <c r="Y61" s="820"/>
      <c r="AB61" s="820"/>
      <c r="AC61" s="820"/>
      <c r="AF61" s="820"/>
      <c r="AG61" s="820"/>
      <c r="AH61" s="820"/>
      <c r="AI61" s="820"/>
      <c r="AJ61" s="820"/>
      <c r="AK61" s="820"/>
      <c r="AL61" s="820"/>
      <c r="AP61" s="820" t="str">
        <f>IFERROR(AP60/AO60-1,"")</f>
        <v/>
      </c>
      <c r="AQ61" s="820">
        <f t="shared" ref="AQ61:AV61" si="164">IFERROR(AQ60/AP60-1,"")</f>
        <v>-5.3453947368421018E-2</v>
      </c>
      <c r="AR61" s="820">
        <f t="shared" si="164"/>
        <v>-0.13814074717636837</v>
      </c>
      <c r="AS61" s="820">
        <f t="shared" si="164"/>
        <v>0.407258064516129</v>
      </c>
      <c r="AT61" s="820">
        <f t="shared" si="164"/>
        <v>0.1339541547277936</v>
      </c>
      <c r="AU61" s="820">
        <f t="shared" si="164"/>
        <v>0.13356166607198716</v>
      </c>
      <c r="AV61" s="820">
        <f t="shared" si="164"/>
        <v>7.2526438945167193E-2</v>
      </c>
    </row>
    <row r="62" spans="2:48">
      <c r="B62" s="804" t="s">
        <v>844</v>
      </c>
      <c r="C62" s="820">
        <f>C60/C$26</f>
        <v>0.15335326783425887</v>
      </c>
      <c r="D62" s="820">
        <f t="shared" ref="D62:AC62" si="165">D60/D$26</f>
        <v>0.15667131566713158</v>
      </c>
      <c r="E62" s="820">
        <f t="shared" si="165"/>
        <v>0.16403072751920469</v>
      </c>
      <c r="F62" s="820">
        <f t="shared" si="165"/>
        <v>0.14108801415302963</v>
      </c>
      <c r="G62" s="820">
        <f t="shared" si="165"/>
        <v>0.14910714285714285</v>
      </c>
      <c r="H62" s="820">
        <f t="shared" si="165"/>
        <v>0.15831134564643801</v>
      </c>
      <c r="I62" s="820">
        <f t="shared" si="165"/>
        <v>0.1431087626596213</v>
      </c>
      <c r="J62" s="820">
        <f t="shared" si="165"/>
        <v>0.11767100977198697</v>
      </c>
      <c r="K62" s="820">
        <f t="shared" si="165"/>
        <v>0.12011637572734829</v>
      </c>
      <c r="L62" s="820">
        <f t="shared" si="165"/>
        <v>0.13283828382838284</v>
      </c>
      <c r="M62" s="820">
        <f t="shared" si="165"/>
        <v>0.12806652806652807</v>
      </c>
      <c r="N62" s="820">
        <f t="shared" si="165"/>
        <v>9.0837901331245099E-2</v>
      </c>
      <c r="O62" s="820">
        <f t="shared" si="165"/>
        <v>0.12668250197941408</v>
      </c>
      <c r="P62" s="820">
        <f t="shared" si="165"/>
        <v>0.13319838056680161</v>
      </c>
      <c r="Q62" s="820">
        <f t="shared" si="165"/>
        <v>0.11752661752661753</v>
      </c>
      <c r="R62" s="820">
        <f t="shared" si="165"/>
        <v>2.0423048869438368E-2</v>
      </c>
      <c r="S62" s="820">
        <f t="shared" si="165"/>
        <v>0.13561275451402227</v>
      </c>
      <c r="T62" s="820">
        <f t="shared" si="165"/>
        <v>0.13766434648105183</v>
      </c>
      <c r="U62" s="820">
        <f t="shared" si="165"/>
        <v>0.14208074534161491</v>
      </c>
      <c r="V62" s="820">
        <f t="shared" si="165"/>
        <v>0.11584265608083724</v>
      </c>
      <c r="W62" s="820">
        <f t="shared" si="165"/>
        <v>0.14225460122699388</v>
      </c>
      <c r="X62" s="820">
        <f t="shared" si="165"/>
        <v>0.15534738485558158</v>
      </c>
      <c r="Y62" s="820"/>
      <c r="AB62" s="820">
        <f t="shared" si="165"/>
        <v>0.13663518982462902</v>
      </c>
      <c r="AC62" s="820">
        <f t="shared" si="165"/>
        <v>0.14874274661508705</v>
      </c>
      <c r="AF62" s="820">
        <f t="shared" ref="AF62:AG62" si="166">AF60/AF$26</f>
        <v>0.12848326164204227</v>
      </c>
      <c r="AG62" s="820">
        <f t="shared" si="166"/>
        <v>0.14894784995425434</v>
      </c>
      <c r="AH62" s="820"/>
      <c r="AI62" s="820"/>
      <c r="AJ62" s="820"/>
      <c r="AK62" s="820"/>
      <c r="AL62" s="820"/>
      <c r="AP62" s="820">
        <f>AP60/AP$26</f>
        <v>0.13158749053132779</v>
      </c>
      <c r="AQ62" s="820">
        <f t="shared" ref="AQ62:AV62" si="167">AQ60/AQ$26</f>
        <v>0.11758095821840842</v>
      </c>
      <c r="AR62" s="820">
        <f t="shared" si="167"/>
        <v>9.7445972495088407E-2</v>
      </c>
      <c r="AS62" s="820">
        <f t="shared" si="167"/>
        <v>0.13249810174639332</v>
      </c>
      <c r="AT62" s="820">
        <f t="shared" si="167"/>
        <v>0.14884814292430654</v>
      </c>
      <c r="AU62" s="820">
        <f t="shared" si="167"/>
        <v>0.1639407606370524</v>
      </c>
      <c r="AV62" s="820">
        <f t="shared" si="167"/>
        <v>0.17157555125359139</v>
      </c>
    </row>
    <row r="64" spans="2:48">
      <c r="B64" s="841" t="s">
        <v>845</v>
      </c>
      <c r="C64" s="852">
        <f>'Income Statement'!BK483</f>
        <v>0</v>
      </c>
      <c r="D64" s="852">
        <f>'Income Statement'!BL483</f>
        <v>0</v>
      </c>
      <c r="E64" s="852">
        <f>'Income Statement'!BM483</f>
        <v>0</v>
      </c>
      <c r="F64" s="852">
        <f>'Income Statement'!BN483</f>
        <v>0</v>
      </c>
      <c r="G64" s="852">
        <f>'Income Statement'!BP483</f>
        <v>0</v>
      </c>
      <c r="H64" s="852">
        <f>'Income Statement'!BQ483</f>
        <v>0</v>
      </c>
      <c r="I64" s="852">
        <f>'Income Statement'!BR483</f>
        <v>0</v>
      </c>
      <c r="J64" s="852">
        <f>'Income Statement'!BS483</f>
        <v>0</v>
      </c>
      <c r="K64" s="852">
        <f>'Income Statement'!BU483</f>
        <v>0</v>
      </c>
      <c r="L64" s="852">
        <f>'Income Statement'!BV483</f>
        <v>0</v>
      </c>
      <c r="M64" s="852">
        <f>'Income Statement'!BW483</f>
        <v>0</v>
      </c>
      <c r="N64" s="852">
        <f>'Income Statement'!BX483</f>
        <v>0</v>
      </c>
      <c r="O64" s="852">
        <f>'Income Statement'!BZ483</f>
        <v>0</v>
      </c>
      <c r="P64" s="852">
        <f>'Income Statement'!CA483</f>
        <v>0</v>
      </c>
      <c r="Q64" s="852">
        <f>'Income Statement'!CB483</f>
        <v>0</v>
      </c>
      <c r="R64" s="852">
        <f>'Income Statement'!CC483</f>
        <v>0</v>
      </c>
      <c r="S64" s="852">
        <f>'Income Statement'!CE483</f>
        <v>0</v>
      </c>
      <c r="T64" s="852">
        <f>'Income Statement'!CF483</f>
        <v>0</v>
      </c>
      <c r="U64" s="852">
        <f>'Income Statement'!CG483</f>
        <v>0</v>
      </c>
      <c r="V64" s="852">
        <f>'Income Statement'!CH483</f>
        <v>0</v>
      </c>
      <c r="W64" s="852">
        <f>'Income Statement'!CJ483</f>
        <v>0</v>
      </c>
      <c r="X64" s="852">
        <f>'Income Statement'!CK483</f>
        <v>0</v>
      </c>
      <c r="Y64" s="819"/>
      <c r="AB64" s="822">
        <f>SUMIFS($C64:Z64,$C$6:Z$6,"&lt;="&amp;AB$6,$C$6:Z$6,"&gt;"&amp;DATE(YEAR($AB$6)-1,12,31))</f>
        <v>0</v>
      </c>
      <c r="AC64" s="822">
        <f>SUMIFS($C64:Z64,$C$6:Z$6,"&lt;="&amp;AC$6,$C$6:Z$6,"&gt;"&amp;DATE(YEAR($AC$6)-1,12,31))</f>
        <v>0</v>
      </c>
      <c r="AD64" s="824"/>
      <c r="AF64" s="822">
        <f>AI64-AB64</f>
        <v>0</v>
      </c>
      <c r="AG64" s="822">
        <f t="shared" ref="AG64:AG65" si="168">AJ64-AC64</f>
        <v>0</v>
      </c>
      <c r="AH64" s="823"/>
      <c r="AI64" s="822">
        <f>SUMIFS($AO64:$AW64,$AO$5:$AW$5,AI$6)</f>
        <v>0</v>
      </c>
      <c r="AJ64" s="822">
        <f>SUMIFS($AO64:$AW64,$AO$5:$AW$5,AJ$6)</f>
        <v>0</v>
      </c>
      <c r="AK64" s="823"/>
      <c r="AL64" s="822"/>
      <c r="AO64" s="822"/>
      <c r="AP64" s="852">
        <f>'Income Statement'!BT483</f>
        <v>0</v>
      </c>
      <c r="AQ64" s="852">
        <f>'Income Statement'!BY483</f>
        <v>0</v>
      </c>
      <c r="AR64" s="852">
        <f>'Income Statement'!CD483</f>
        <v>0</v>
      </c>
      <c r="AS64" s="852">
        <f>'Income Statement'!CI483</f>
        <v>0</v>
      </c>
      <c r="AT64" s="852">
        <f>'Income Statement'!CN483</f>
        <v>0</v>
      </c>
      <c r="AU64" s="852">
        <f>'Income Statement'!CQ483</f>
        <v>0</v>
      </c>
      <c r="AV64" s="852">
        <f>'Income Statement'!CR483</f>
        <v>0</v>
      </c>
    </row>
    <row r="65" spans="2:53">
      <c r="B65" s="842" t="s">
        <v>846</v>
      </c>
      <c r="C65" s="853">
        <f>'Income Statement'!BK484</f>
        <v>359</v>
      </c>
      <c r="D65" s="853">
        <f>'Income Statement'!BL484</f>
        <v>337</v>
      </c>
      <c r="E65" s="853">
        <f>'Income Statement'!BM484</f>
        <v>363</v>
      </c>
      <c r="F65" s="853">
        <f>'Income Statement'!BN484</f>
        <v>319</v>
      </c>
      <c r="G65" s="853">
        <f>'Income Statement'!BP484</f>
        <v>334</v>
      </c>
      <c r="H65" s="853">
        <f>'Income Statement'!BQ484</f>
        <v>360</v>
      </c>
      <c r="I65" s="853">
        <f>'Income Statement'!BR484</f>
        <v>325</v>
      </c>
      <c r="J65" s="853">
        <f>'Income Statement'!BS484</f>
        <v>289</v>
      </c>
      <c r="K65" s="853">
        <f>'Income Statement'!BU484</f>
        <v>289</v>
      </c>
      <c r="L65" s="853">
        <f>'Income Statement'!BV484</f>
        <v>322</v>
      </c>
      <c r="M65" s="853">
        <f>'Income Statement'!BW484</f>
        <v>308</v>
      </c>
      <c r="N65" s="853">
        <f>'Income Statement'!BX484</f>
        <v>232</v>
      </c>
      <c r="O65" s="853">
        <f>'Income Statement'!BZ484</f>
        <v>320</v>
      </c>
      <c r="P65" s="853">
        <f>'Income Statement'!CA484</f>
        <v>329</v>
      </c>
      <c r="Q65" s="853">
        <f>'Income Statement'!CB484</f>
        <v>287</v>
      </c>
      <c r="R65" s="853">
        <f>'Income Statement'!CC484</f>
        <v>56</v>
      </c>
      <c r="S65" s="853">
        <f>'Income Statement'!CE484</f>
        <v>353</v>
      </c>
      <c r="T65" s="853">
        <f>'Income Statement'!CF484</f>
        <v>356</v>
      </c>
      <c r="U65" s="853">
        <f>'Income Statement'!CG484</f>
        <v>366</v>
      </c>
      <c r="V65" s="853">
        <f>'Income Statement'!CH484</f>
        <v>321</v>
      </c>
      <c r="W65" s="853">
        <f>'Income Statement'!CJ484</f>
        <v>371</v>
      </c>
      <c r="X65" s="853">
        <f>'Income Statement'!CK484</f>
        <v>398</v>
      </c>
      <c r="Y65" s="819"/>
      <c r="AB65" s="843">
        <f>SUMIFS($C65:Z65,$C$6:Z$6,"&lt;="&amp;AB$6,$C$6:Z$6,"&gt;"&amp;DATE(YEAR($AB$6)-1,12,31))</f>
        <v>709</v>
      </c>
      <c r="AC65" s="843">
        <f>SUMIFS($C65:Z65,$C$6:Z$6,"&lt;="&amp;AC$6,$C$6:Z$6,"&gt;"&amp;DATE(YEAR($AC$6)-1,12,31))</f>
        <v>769</v>
      </c>
      <c r="AD65" s="824">
        <f>AC65/AB65-1</f>
        <v>8.4626234132581191E-2</v>
      </c>
      <c r="AF65" s="843">
        <f>AI65-AB65</f>
        <v>687</v>
      </c>
      <c r="AG65" s="843">
        <f t="shared" si="168"/>
        <v>814</v>
      </c>
      <c r="AH65" s="844">
        <f t="shared" ref="AH65" si="169">AG65/AF65-1</f>
        <v>0.18486171761280934</v>
      </c>
      <c r="AI65" s="843">
        <f>SUMIFS($AO65:$AW65,$AO$5:$AW$5,AI$6)</f>
        <v>1396</v>
      </c>
      <c r="AJ65" s="843">
        <f>SUMIFS($AO65:$AW65,$AO$5:$AW$5,AJ$6)</f>
        <v>1583</v>
      </c>
      <c r="AK65" s="844">
        <f t="shared" ref="AK65" si="170">AJ65/AI65-1</f>
        <v>0.1339541547277936</v>
      </c>
      <c r="AL65" s="843"/>
      <c r="AO65" s="857"/>
      <c r="AP65" s="858">
        <f>'Income Statement'!BT487</f>
        <v>1216</v>
      </c>
      <c r="AQ65" s="858">
        <f>'Income Statement'!BY487</f>
        <v>1151</v>
      </c>
      <c r="AR65" s="858">
        <f>'Income Statement'!CD487</f>
        <v>992</v>
      </c>
      <c r="AS65" s="858">
        <f>'Income Statement'!CI487</f>
        <v>1396</v>
      </c>
      <c r="AT65" s="858">
        <f>'Income Statement'!CN487</f>
        <v>1583</v>
      </c>
      <c r="AU65" s="858">
        <f>'Income Statement'!CQ487</f>
        <v>1794.4281173919558</v>
      </c>
      <c r="AV65" s="858">
        <f>'Income Statement'!CR487</f>
        <v>1924.5715986894747</v>
      </c>
      <c r="AX65" s="819">
        <f>AS65</f>
        <v>1396</v>
      </c>
      <c r="AY65" s="819">
        <f>'[7]Vs Consensus'!T78</f>
        <v>17814</v>
      </c>
      <c r="AZ65" s="819">
        <f>'[7]Vs Consensus'!U78</f>
        <v>23300.490003422899</v>
      </c>
      <c r="BA65" s="819">
        <f>'[7]Vs Consensus'!V78</f>
        <v>25585.300141344367</v>
      </c>
    </row>
    <row r="66" spans="2:53">
      <c r="B66" s="804" t="s">
        <v>0</v>
      </c>
      <c r="C66" s="820"/>
      <c r="D66" s="820"/>
      <c r="E66" s="820"/>
      <c r="F66" s="820"/>
      <c r="G66" s="820">
        <f t="shared" ref="G66:X66" si="171">G65/C65-1</f>
        <v>-6.9637883008356494E-2</v>
      </c>
      <c r="H66" s="820">
        <f t="shared" si="171"/>
        <v>6.8249258160237414E-2</v>
      </c>
      <c r="I66" s="820">
        <f t="shared" si="171"/>
        <v>-0.10468319559228645</v>
      </c>
      <c r="J66" s="820">
        <f t="shared" si="171"/>
        <v>-9.404388714733547E-2</v>
      </c>
      <c r="K66" s="820">
        <f t="shared" si="171"/>
        <v>-0.1347305389221557</v>
      </c>
      <c r="L66" s="820">
        <f t="shared" si="171"/>
        <v>-0.10555555555555551</v>
      </c>
      <c r="M66" s="820">
        <f t="shared" si="171"/>
        <v>-5.2307692307692277E-2</v>
      </c>
      <c r="N66" s="820">
        <f t="shared" si="171"/>
        <v>-0.19723183391003463</v>
      </c>
      <c r="O66" s="820">
        <f t="shared" si="171"/>
        <v>0.10726643598615926</v>
      </c>
      <c r="P66" s="820">
        <f t="shared" si="171"/>
        <v>2.1739130434782705E-2</v>
      </c>
      <c r="Q66" s="820">
        <f t="shared" si="171"/>
        <v>-6.8181818181818232E-2</v>
      </c>
      <c r="R66" s="820">
        <f t="shared" si="171"/>
        <v>-0.75862068965517238</v>
      </c>
      <c r="S66" s="820">
        <f t="shared" si="171"/>
        <v>0.10312499999999991</v>
      </c>
      <c r="T66" s="820">
        <f t="shared" si="171"/>
        <v>8.2066869300911893E-2</v>
      </c>
      <c r="U66" s="820">
        <f t="shared" si="171"/>
        <v>0.27526132404181181</v>
      </c>
      <c r="V66" s="820">
        <f t="shared" si="171"/>
        <v>4.7321428571428568</v>
      </c>
      <c r="W66" s="820">
        <f t="shared" si="171"/>
        <v>5.0991501416430607E-2</v>
      </c>
      <c r="X66" s="820">
        <f t="shared" si="171"/>
        <v>0.1179775280898876</v>
      </c>
      <c r="Y66" s="820"/>
      <c r="AB66" s="820"/>
      <c r="AC66" s="820"/>
      <c r="AF66" s="820"/>
      <c r="AG66" s="820"/>
      <c r="AH66" s="820"/>
      <c r="AI66" s="820"/>
      <c r="AJ66" s="820"/>
      <c r="AK66" s="820"/>
      <c r="AL66" s="820"/>
      <c r="AP66" s="820" t="str">
        <f>IFERROR(AP65/AO65-1,"")</f>
        <v/>
      </c>
      <c r="AQ66" s="820">
        <f t="shared" ref="AQ66:AV66" si="172">IFERROR(AQ65/AP65-1,"")</f>
        <v>-5.3453947368421018E-2</v>
      </c>
      <c r="AR66" s="820">
        <f t="shared" si="172"/>
        <v>-0.13814074717636837</v>
      </c>
      <c r="AS66" s="820">
        <f t="shared" si="172"/>
        <v>0.407258064516129</v>
      </c>
      <c r="AT66" s="820">
        <f t="shared" si="172"/>
        <v>0.1339541547277936</v>
      </c>
      <c r="AU66" s="820">
        <f t="shared" si="172"/>
        <v>0.13356166607198716</v>
      </c>
      <c r="AV66" s="820">
        <f t="shared" si="172"/>
        <v>7.2526438945167193E-2</v>
      </c>
      <c r="AY66" s="820">
        <f t="shared" ref="AY66:BA66" si="173">IFERROR(AY65/AX65-1,"")</f>
        <v>11.760744985673352</v>
      </c>
      <c r="AZ66" s="820">
        <f t="shared" si="173"/>
        <v>0.3079875380836925</v>
      </c>
      <c r="BA66" s="820">
        <f t="shared" si="173"/>
        <v>9.8058458752834143E-2</v>
      </c>
    </row>
    <row r="67" spans="2:53">
      <c r="B67" s="804" t="s">
        <v>844</v>
      </c>
      <c r="C67" s="820">
        <f>C65/C$26</f>
        <v>0.15335326783425887</v>
      </c>
      <c r="D67" s="820">
        <f t="shared" ref="D67:AC67" si="174">D65/D$26</f>
        <v>0.15667131566713158</v>
      </c>
      <c r="E67" s="820">
        <f t="shared" si="174"/>
        <v>0.16403072751920469</v>
      </c>
      <c r="F67" s="820">
        <f t="shared" si="174"/>
        <v>0.14108801415302963</v>
      </c>
      <c r="G67" s="820">
        <f t="shared" si="174"/>
        <v>0.14910714285714285</v>
      </c>
      <c r="H67" s="820">
        <f t="shared" si="174"/>
        <v>0.15831134564643801</v>
      </c>
      <c r="I67" s="820">
        <f t="shared" si="174"/>
        <v>0.1431087626596213</v>
      </c>
      <c r="J67" s="820">
        <f t="shared" si="174"/>
        <v>0.11767100977198697</v>
      </c>
      <c r="K67" s="820">
        <f t="shared" si="174"/>
        <v>0.12011637572734829</v>
      </c>
      <c r="L67" s="820">
        <f t="shared" si="174"/>
        <v>0.13283828382838284</v>
      </c>
      <c r="M67" s="820">
        <f t="shared" si="174"/>
        <v>0.12806652806652807</v>
      </c>
      <c r="N67" s="820">
        <f t="shared" si="174"/>
        <v>9.0837901331245099E-2</v>
      </c>
      <c r="O67" s="820">
        <f t="shared" si="174"/>
        <v>0.12668250197941408</v>
      </c>
      <c r="P67" s="820">
        <f t="shared" si="174"/>
        <v>0.13319838056680161</v>
      </c>
      <c r="Q67" s="820">
        <f t="shared" si="174"/>
        <v>0.11752661752661753</v>
      </c>
      <c r="R67" s="820">
        <f t="shared" si="174"/>
        <v>2.0423048869438368E-2</v>
      </c>
      <c r="S67" s="820">
        <f t="shared" si="174"/>
        <v>0.13561275451402227</v>
      </c>
      <c r="T67" s="820">
        <f t="shared" si="174"/>
        <v>0.13766434648105183</v>
      </c>
      <c r="U67" s="820">
        <f t="shared" si="174"/>
        <v>0.14208074534161491</v>
      </c>
      <c r="V67" s="820">
        <f t="shared" si="174"/>
        <v>0.11584265608083724</v>
      </c>
      <c r="W67" s="820">
        <f t="shared" si="174"/>
        <v>0.14225460122699388</v>
      </c>
      <c r="X67" s="820">
        <f t="shared" si="174"/>
        <v>0.15534738485558158</v>
      </c>
      <c r="Y67" s="820"/>
      <c r="AB67" s="820">
        <f t="shared" si="174"/>
        <v>0.13663518982462902</v>
      </c>
      <c r="AC67" s="820">
        <f t="shared" si="174"/>
        <v>0.14874274661508705</v>
      </c>
      <c r="AF67" s="820">
        <f t="shared" ref="AF67:AG67" si="175">AF65/AF$26</f>
        <v>0.12848326164204227</v>
      </c>
      <c r="AG67" s="820">
        <f t="shared" si="175"/>
        <v>0.14894784995425434</v>
      </c>
      <c r="AH67" s="820"/>
      <c r="AI67" s="820"/>
      <c r="AJ67" s="820"/>
      <c r="AK67" s="820"/>
      <c r="AL67" s="820"/>
      <c r="AO67" s="820"/>
      <c r="AP67" s="820">
        <f>AP65/AP$26</f>
        <v>0.13158749053132779</v>
      </c>
      <c r="AQ67" s="820">
        <f t="shared" ref="AQ67:AV67" si="176">AQ65/AQ$26</f>
        <v>0.11758095821840842</v>
      </c>
      <c r="AR67" s="820">
        <f t="shared" si="176"/>
        <v>9.7445972495088407E-2</v>
      </c>
      <c r="AS67" s="820">
        <f t="shared" si="176"/>
        <v>0.13249810174639332</v>
      </c>
      <c r="AT67" s="820">
        <f t="shared" si="176"/>
        <v>0.14884814292430654</v>
      </c>
      <c r="AU67" s="820">
        <f t="shared" si="176"/>
        <v>0.1639407606370524</v>
      </c>
      <c r="AV67" s="820">
        <f t="shared" si="176"/>
        <v>0.17157555125359139</v>
      </c>
      <c r="AY67" s="820">
        <f t="shared" ref="AY67:BA67" si="177">AY65/AY$26</f>
        <v>0.12139673713047389</v>
      </c>
      <c r="AZ67" s="820">
        <f t="shared" si="177"/>
        <v>0.152700367437966</v>
      </c>
      <c r="BA67" s="820">
        <f t="shared" si="177"/>
        <v>0.16072518943265229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">
    <tabColor theme="2"/>
  </sheetPr>
  <dimension ref="A1:DI129"/>
  <sheetViews>
    <sheetView zoomScale="85" zoomScaleNormal="85" workbookViewId="0">
      <pane xSplit="2" ySplit="2" topLeftCell="BM18" activePane="bottomRight" state="frozen"/>
      <selection pane="topRight" activeCell="C1" sqref="C1"/>
      <selection pane="bottomLeft" activeCell="A3" sqref="A3"/>
      <selection pane="bottomRight" activeCell="CD35" sqref="CD35"/>
    </sheetView>
  </sheetViews>
  <sheetFormatPr defaultRowHeight="14.5"/>
  <cols>
    <col min="1" max="1" width="24.36328125" bestFit="1" customWidth="1"/>
    <col min="2" max="2" width="4.6328125" customWidth="1"/>
    <col min="3" max="80" width="10.6328125" customWidth="1"/>
    <col min="82" max="82" width="28.08984375" customWidth="1"/>
    <col min="83" max="83" width="20.54296875" customWidth="1"/>
    <col min="90" max="91" width="8.6328125" bestFit="1" customWidth="1"/>
    <col min="92" max="94" width="9.36328125" bestFit="1" customWidth="1"/>
    <col min="95" max="95" width="8.6328125" bestFit="1" customWidth="1"/>
    <col min="96" max="96" width="9.36328125" bestFit="1" customWidth="1"/>
  </cols>
  <sheetData>
    <row r="1" spans="1:113">
      <c r="A1" s="129" t="s">
        <v>245</v>
      </c>
      <c r="B1" s="129"/>
      <c r="C1" s="668" t="str">
        <f>IF(MONTH(C$2)=3,"Q1"&amp;" "&amp;RIGHT(YEAR(C$2),2),IF(MONTH(C$2)=6,"Q2"&amp;" "&amp;RIGHT(YEAR(C$2),2),IF(MONTH(C$2)=9,"Q3"&amp;" "&amp;RIGHT(YEAR(C$2),2),IF(MONTH(C$2)=12,"Q4"&amp;" "&amp;RIGHT(YEAR(C$2),2),"nm"))))</f>
        <v>Q1 07</v>
      </c>
      <c r="D1" s="668" t="str">
        <f t="shared" ref="D1:BO1" si="0">IF(MONTH(D$2)=3,"Q1"&amp;" "&amp;RIGHT(YEAR(D$2),2),IF(MONTH(D$2)=6,"Q2"&amp;" "&amp;RIGHT(YEAR(D$2),2),IF(MONTH(D$2)=9,"Q3"&amp;" "&amp;RIGHT(YEAR(D$2),2),IF(MONTH(D$2)=12,"Q4"&amp;" "&amp;RIGHT(YEAR(D$2),2),"nm"))))</f>
        <v>Q2 07</v>
      </c>
      <c r="E1" s="668" t="str">
        <f t="shared" si="0"/>
        <v>Q3 07</v>
      </c>
      <c r="F1" s="668" t="str">
        <f t="shared" si="0"/>
        <v>Q4 07</v>
      </c>
      <c r="G1" s="668" t="str">
        <f t="shared" si="0"/>
        <v>Q1 08</v>
      </c>
      <c r="H1" s="668" t="str">
        <f t="shared" si="0"/>
        <v>Q2 08</v>
      </c>
      <c r="I1" s="668" t="str">
        <f t="shared" si="0"/>
        <v>Q3 08</v>
      </c>
      <c r="J1" s="668" t="str">
        <f t="shared" si="0"/>
        <v>Q4 08</v>
      </c>
      <c r="K1" s="668" t="str">
        <f t="shared" si="0"/>
        <v>Q1 09</v>
      </c>
      <c r="L1" s="668" t="str">
        <f t="shared" si="0"/>
        <v>Q2 09</v>
      </c>
      <c r="M1" s="668" t="str">
        <f t="shared" si="0"/>
        <v>Q3 09</v>
      </c>
      <c r="N1" s="668" t="str">
        <f t="shared" si="0"/>
        <v>Q4 09</v>
      </c>
      <c r="O1" s="668" t="str">
        <f t="shared" si="0"/>
        <v>Q1 10</v>
      </c>
      <c r="P1" s="668" t="str">
        <f t="shared" si="0"/>
        <v>Q2 10</v>
      </c>
      <c r="Q1" s="668" t="str">
        <f t="shared" si="0"/>
        <v>Q3 10</v>
      </c>
      <c r="R1" s="668" t="str">
        <f t="shared" si="0"/>
        <v>Q4 10</v>
      </c>
      <c r="S1" s="668" t="str">
        <f t="shared" si="0"/>
        <v>Q1 11</v>
      </c>
      <c r="T1" s="668" t="str">
        <f t="shared" si="0"/>
        <v>Q2 11</v>
      </c>
      <c r="U1" s="668" t="str">
        <f t="shared" si="0"/>
        <v>Q3 11</v>
      </c>
      <c r="V1" s="668" t="str">
        <f t="shared" si="0"/>
        <v>Q4 11</v>
      </c>
      <c r="W1" s="668" t="str">
        <f t="shared" si="0"/>
        <v>Q1 12</v>
      </c>
      <c r="X1" s="668" t="str">
        <f t="shared" si="0"/>
        <v>Q2 12</v>
      </c>
      <c r="Y1" s="668" t="str">
        <f t="shared" si="0"/>
        <v>Q3 12</v>
      </c>
      <c r="Z1" s="668" t="str">
        <f t="shared" si="0"/>
        <v>Q4 12</v>
      </c>
      <c r="AA1" s="668" t="str">
        <f t="shared" si="0"/>
        <v>Q1 13</v>
      </c>
      <c r="AB1" s="668" t="str">
        <f t="shared" si="0"/>
        <v>Q2 13</v>
      </c>
      <c r="AC1" s="668" t="str">
        <f t="shared" si="0"/>
        <v>Q3 13</v>
      </c>
      <c r="AD1" s="668" t="str">
        <f t="shared" si="0"/>
        <v>Q4 13</v>
      </c>
      <c r="AE1" s="668" t="str">
        <f t="shared" si="0"/>
        <v>Q1 14</v>
      </c>
      <c r="AF1" s="668" t="str">
        <f t="shared" si="0"/>
        <v>Q2 14</v>
      </c>
      <c r="AG1" s="668" t="str">
        <f t="shared" si="0"/>
        <v>Q3 14</v>
      </c>
      <c r="AH1" s="668" t="str">
        <f t="shared" si="0"/>
        <v>Q4 14</v>
      </c>
      <c r="AI1" s="668" t="str">
        <f t="shared" si="0"/>
        <v>Q1 15</v>
      </c>
      <c r="AJ1" s="668" t="str">
        <f t="shared" si="0"/>
        <v>Q2 15</v>
      </c>
      <c r="AK1" s="668" t="str">
        <f t="shared" si="0"/>
        <v>Q3 15</v>
      </c>
      <c r="AL1" s="668" t="str">
        <f t="shared" si="0"/>
        <v>Q4 15</v>
      </c>
      <c r="AM1" s="668" t="str">
        <f t="shared" si="0"/>
        <v>Q1 16</v>
      </c>
      <c r="AN1" s="668" t="str">
        <f t="shared" si="0"/>
        <v>Q2 16</v>
      </c>
      <c r="AO1" s="668" t="str">
        <f t="shared" si="0"/>
        <v>Q3 16</v>
      </c>
      <c r="AP1" s="668" t="str">
        <f t="shared" si="0"/>
        <v>Q4 16</v>
      </c>
      <c r="AQ1" s="668" t="str">
        <f t="shared" si="0"/>
        <v>Q1 17</v>
      </c>
      <c r="AR1" s="668" t="str">
        <f t="shared" si="0"/>
        <v>Q2 17</v>
      </c>
      <c r="AS1" s="668" t="str">
        <f t="shared" si="0"/>
        <v>Q3 17</v>
      </c>
      <c r="AT1" s="668" t="str">
        <f t="shared" si="0"/>
        <v>Q4 17</v>
      </c>
      <c r="AU1" s="668" t="str">
        <f t="shared" si="0"/>
        <v>Q1 18</v>
      </c>
      <c r="AV1" s="668" t="str">
        <f t="shared" si="0"/>
        <v>Q2 18</v>
      </c>
      <c r="AW1" s="668" t="str">
        <f t="shared" si="0"/>
        <v>Q3 18</v>
      </c>
      <c r="AX1" s="668" t="str">
        <f t="shared" si="0"/>
        <v>Q4 18</v>
      </c>
      <c r="AY1" s="668" t="str">
        <f t="shared" si="0"/>
        <v>Q1 19</v>
      </c>
      <c r="AZ1" s="668" t="str">
        <f t="shared" si="0"/>
        <v>Q2 19</v>
      </c>
      <c r="BA1" s="668" t="str">
        <f t="shared" si="0"/>
        <v>Q3 19</v>
      </c>
      <c r="BB1" s="668" t="str">
        <f t="shared" si="0"/>
        <v>Q4 19</v>
      </c>
      <c r="BC1" s="668" t="str">
        <f t="shared" si="0"/>
        <v>Q1 20</v>
      </c>
      <c r="BD1" s="668" t="str">
        <f t="shared" si="0"/>
        <v>Q2 20</v>
      </c>
      <c r="BE1" s="668" t="str">
        <f t="shared" si="0"/>
        <v>Q3 20</v>
      </c>
      <c r="BF1" s="668" t="str">
        <f t="shared" si="0"/>
        <v>Q4 20</v>
      </c>
      <c r="BG1" s="668" t="str">
        <f t="shared" si="0"/>
        <v>Q1 21</v>
      </c>
      <c r="BH1" s="668" t="str">
        <f t="shared" si="0"/>
        <v>Q2 21</v>
      </c>
      <c r="BI1" s="668" t="str">
        <f t="shared" si="0"/>
        <v>Q3 21</v>
      </c>
      <c r="BJ1" s="668" t="str">
        <f t="shared" si="0"/>
        <v>Q4 21</v>
      </c>
      <c r="BK1" s="668" t="str">
        <f t="shared" si="0"/>
        <v>Q1 22</v>
      </c>
      <c r="BL1" s="668" t="str">
        <f t="shared" si="0"/>
        <v>Q2 22</v>
      </c>
      <c r="BM1" s="668" t="str">
        <f t="shared" si="0"/>
        <v>Q3 22</v>
      </c>
      <c r="BN1" s="668" t="str">
        <f t="shared" si="0"/>
        <v>Q4 22</v>
      </c>
      <c r="BO1" s="668" t="str">
        <f t="shared" si="0"/>
        <v>Q1 23</v>
      </c>
      <c r="BP1" s="668" t="str">
        <f t="shared" ref="BP1:CB1" si="1">IF(MONTH(BP$2)=3,"Q1"&amp;" "&amp;RIGHT(YEAR(BP$2),2),IF(MONTH(BP$2)=6,"Q2"&amp;" "&amp;RIGHT(YEAR(BP$2),2),IF(MONTH(BP$2)=9,"Q3"&amp;" "&amp;RIGHT(YEAR(BP$2),2),IF(MONTH(BP$2)=12,"Q4"&amp;" "&amp;RIGHT(YEAR(BP$2),2),"nm"))))</f>
        <v>Q2 23</v>
      </c>
      <c r="BQ1" s="668" t="str">
        <f t="shared" si="1"/>
        <v>Q3 23</v>
      </c>
      <c r="BR1" s="668" t="str">
        <f t="shared" si="1"/>
        <v>Q4 23</v>
      </c>
      <c r="BS1" s="668" t="str">
        <f t="shared" si="1"/>
        <v>Q1 24</v>
      </c>
      <c r="BT1" s="668" t="str">
        <f t="shared" si="1"/>
        <v>Q2 24</v>
      </c>
      <c r="BU1" s="668" t="str">
        <f t="shared" si="1"/>
        <v>Q3 24</v>
      </c>
      <c r="BV1" s="668" t="str">
        <f t="shared" si="1"/>
        <v>Q4 24</v>
      </c>
      <c r="BW1" s="668" t="str">
        <f t="shared" si="1"/>
        <v>Q1 25</v>
      </c>
      <c r="BX1" s="668" t="str">
        <f t="shared" si="1"/>
        <v>Q2 25</v>
      </c>
      <c r="BY1" s="668" t="str">
        <f t="shared" si="1"/>
        <v>Q3 25</v>
      </c>
      <c r="BZ1" s="668" t="str">
        <f t="shared" si="1"/>
        <v>Q4 25</v>
      </c>
      <c r="CA1" s="668" t="str">
        <f t="shared" si="1"/>
        <v>Q1 26</v>
      </c>
      <c r="CB1" s="668" t="str">
        <f t="shared" si="1"/>
        <v>Q2 26</v>
      </c>
      <c r="CD1" s="130" t="s">
        <v>613</v>
      </c>
      <c r="CE1" s="130" t="s">
        <v>604</v>
      </c>
      <c r="CF1" s="124"/>
      <c r="CG1" s="131">
        <v>2010</v>
      </c>
      <c r="CH1" s="131">
        <f>CG1+1</f>
        <v>2011</v>
      </c>
      <c r="CI1" s="131">
        <f t="shared" ref="CI1:CJ1" si="2">CH1+1</f>
        <v>2012</v>
      </c>
      <c r="CJ1" s="131">
        <f t="shared" si="2"/>
        <v>2013</v>
      </c>
      <c r="CK1" s="131">
        <f t="shared" ref="CK1:CR1" si="3">CJ1+1</f>
        <v>2014</v>
      </c>
      <c r="CL1" s="131">
        <f t="shared" si="3"/>
        <v>2015</v>
      </c>
      <c r="CM1" s="131">
        <f t="shared" si="3"/>
        <v>2016</v>
      </c>
      <c r="CN1" s="131">
        <f t="shared" si="3"/>
        <v>2017</v>
      </c>
      <c r="CO1" s="131">
        <f t="shared" si="3"/>
        <v>2018</v>
      </c>
      <c r="CP1" s="131">
        <f t="shared" si="3"/>
        <v>2019</v>
      </c>
      <c r="CQ1" s="131">
        <f t="shared" si="3"/>
        <v>2020</v>
      </c>
      <c r="CR1" s="131">
        <f t="shared" si="3"/>
        <v>2021</v>
      </c>
      <c r="CS1" s="131">
        <f t="shared" ref="CS1" si="4">CR1+1</f>
        <v>2022</v>
      </c>
      <c r="CT1" s="131">
        <f t="shared" ref="CT1" si="5">CS1+1</f>
        <v>2023</v>
      </c>
      <c r="CU1" s="131">
        <f t="shared" ref="CU1" si="6">CT1+1</f>
        <v>2024</v>
      </c>
      <c r="CV1" s="131">
        <f t="shared" ref="CV1" si="7">CU1+1</f>
        <v>2025</v>
      </c>
      <c r="CW1" s="131">
        <f t="shared" ref="CW1" si="8">CV1+1</f>
        <v>2026</v>
      </c>
      <c r="CX1" s="131">
        <f t="shared" ref="CX1" si="9">CW1+1</f>
        <v>2027</v>
      </c>
      <c r="CY1" s="131">
        <f t="shared" ref="CY1" si="10">CX1+1</f>
        <v>2028</v>
      </c>
    </row>
    <row r="2" spans="1:113">
      <c r="A2" s="129" t="s">
        <v>600</v>
      </c>
      <c r="B2" s="129"/>
      <c r="C2" s="669">
        <v>39172</v>
      </c>
      <c r="D2" s="669">
        <f>EOMONTH(C2,3)</f>
        <v>39263</v>
      </c>
      <c r="E2" s="669">
        <f t="shared" ref="E2:BP2" si="11">EOMONTH(D2,3)</f>
        <v>39355</v>
      </c>
      <c r="F2" s="669">
        <f t="shared" si="11"/>
        <v>39447</v>
      </c>
      <c r="G2" s="669">
        <f t="shared" si="11"/>
        <v>39538</v>
      </c>
      <c r="H2" s="669">
        <f t="shared" si="11"/>
        <v>39629</v>
      </c>
      <c r="I2" s="669">
        <f t="shared" si="11"/>
        <v>39721</v>
      </c>
      <c r="J2" s="669">
        <f t="shared" si="11"/>
        <v>39813</v>
      </c>
      <c r="K2" s="669">
        <f t="shared" si="11"/>
        <v>39903</v>
      </c>
      <c r="L2" s="669">
        <f t="shared" si="11"/>
        <v>39994</v>
      </c>
      <c r="M2" s="669">
        <f t="shared" si="11"/>
        <v>40086</v>
      </c>
      <c r="N2" s="669">
        <f t="shared" si="11"/>
        <v>40178</v>
      </c>
      <c r="O2" s="669">
        <f t="shared" si="11"/>
        <v>40268</v>
      </c>
      <c r="P2" s="669">
        <f t="shared" si="11"/>
        <v>40359</v>
      </c>
      <c r="Q2" s="669">
        <f t="shared" si="11"/>
        <v>40451</v>
      </c>
      <c r="R2" s="669">
        <f t="shared" si="11"/>
        <v>40543</v>
      </c>
      <c r="S2" s="669">
        <f t="shared" si="11"/>
        <v>40633</v>
      </c>
      <c r="T2" s="669">
        <f t="shared" si="11"/>
        <v>40724</v>
      </c>
      <c r="U2" s="669">
        <f t="shared" si="11"/>
        <v>40816</v>
      </c>
      <c r="V2" s="669">
        <f t="shared" si="11"/>
        <v>40908</v>
      </c>
      <c r="W2" s="669">
        <f t="shared" si="11"/>
        <v>40999</v>
      </c>
      <c r="X2" s="669">
        <f t="shared" si="11"/>
        <v>41090</v>
      </c>
      <c r="Y2" s="669">
        <f t="shared" si="11"/>
        <v>41182</v>
      </c>
      <c r="Z2" s="669">
        <f t="shared" si="11"/>
        <v>41274</v>
      </c>
      <c r="AA2" s="669">
        <f t="shared" si="11"/>
        <v>41364</v>
      </c>
      <c r="AB2" s="669">
        <f t="shared" si="11"/>
        <v>41455</v>
      </c>
      <c r="AC2" s="669">
        <f t="shared" si="11"/>
        <v>41547</v>
      </c>
      <c r="AD2" s="669">
        <f t="shared" si="11"/>
        <v>41639</v>
      </c>
      <c r="AE2" s="669">
        <f t="shared" si="11"/>
        <v>41729</v>
      </c>
      <c r="AF2" s="669">
        <f t="shared" si="11"/>
        <v>41820</v>
      </c>
      <c r="AG2" s="669">
        <f t="shared" si="11"/>
        <v>41912</v>
      </c>
      <c r="AH2" s="669">
        <f t="shared" si="11"/>
        <v>42004</v>
      </c>
      <c r="AI2" s="669">
        <f t="shared" si="11"/>
        <v>42094</v>
      </c>
      <c r="AJ2" s="669">
        <f t="shared" si="11"/>
        <v>42185</v>
      </c>
      <c r="AK2" s="669">
        <f t="shared" si="11"/>
        <v>42277</v>
      </c>
      <c r="AL2" s="669">
        <f t="shared" si="11"/>
        <v>42369</v>
      </c>
      <c r="AM2" s="669">
        <f t="shared" si="11"/>
        <v>42460</v>
      </c>
      <c r="AN2" s="669">
        <f t="shared" si="11"/>
        <v>42551</v>
      </c>
      <c r="AO2" s="669">
        <f t="shared" si="11"/>
        <v>42643</v>
      </c>
      <c r="AP2" s="669">
        <f t="shared" si="11"/>
        <v>42735</v>
      </c>
      <c r="AQ2" s="669">
        <f t="shared" si="11"/>
        <v>42825</v>
      </c>
      <c r="AR2" s="669">
        <f t="shared" si="11"/>
        <v>42916</v>
      </c>
      <c r="AS2" s="669">
        <f t="shared" si="11"/>
        <v>43008</v>
      </c>
      <c r="AT2" s="669">
        <f t="shared" si="11"/>
        <v>43100</v>
      </c>
      <c r="AU2" s="669">
        <f t="shared" si="11"/>
        <v>43190</v>
      </c>
      <c r="AV2" s="669">
        <f t="shared" si="11"/>
        <v>43281</v>
      </c>
      <c r="AW2" s="669">
        <f t="shared" si="11"/>
        <v>43373</v>
      </c>
      <c r="AX2" s="669">
        <f t="shared" si="11"/>
        <v>43465</v>
      </c>
      <c r="AY2" s="669">
        <f t="shared" si="11"/>
        <v>43555</v>
      </c>
      <c r="AZ2" s="669">
        <f t="shared" si="11"/>
        <v>43646</v>
      </c>
      <c r="BA2" s="669">
        <f t="shared" si="11"/>
        <v>43738</v>
      </c>
      <c r="BB2" s="669">
        <f t="shared" si="11"/>
        <v>43830</v>
      </c>
      <c r="BC2" s="669">
        <f t="shared" si="11"/>
        <v>43921</v>
      </c>
      <c r="BD2" s="669">
        <f t="shared" si="11"/>
        <v>44012</v>
      </c>
      <c r="BE2" s="669">
        <f t="shared" si="11"/>
        <v>44104</v>
      </c>
      <c r="BF2" s="669">
        <f t="shared" si="11"/>
        <v>44196</v>
      </c>
      <c r="BG2" s="669">
        <f t="shared" si="11"/>
        <v>44286</v>
      </c>
      <c r="BH2" s="669">
        <f t="shared" si="11"/>
        <v>44377</v>
      </c>
      <c r="BI2" s="669">
        <f t="shared" si="11"/>
        <v>44469</v>
      </c>
      <c r="BJ2" s="669">
        <f t="shared" si="11"/>
        <v>44561</v>
      </c>
      <c r="BK2" s="669">
        <f t="shared" si="11"/>
        <v>44651</v>
      </c>
      <c r="BL2" s="669">
        <f t="shared" si="11"/>
        <v>44742</v>
      </c>
      <c r="BM2" s="669">
        <f t="shared" si="11"/>
        <v>44834</v>
      </c>
      <c r="BN2" s="669">
        <f t="shared" si="11"/>
        <v>44926</v>
      </c>
      <c r="BO2" s="669">
        <f t="shared" si="11"/>
        <v>45016</v>
      </c>
      <c r="BP2" s="669">
        <f t="shared" si="11"/>
        <v>45107</v>
      </c>
      <c r="BQ2" s="669">
        <f t="shared" ref="BQ2:CB2" si="12">EOMONTH(BP2,3)</f>
        <v>45199</v>
      </c>
      <c r="BR2" s="669">
        <f t="shared" si="12"/>
        <v>45291</v>
      </c>
      <c r="BS2" s="669">
        <f t="shared" si="12"/>
        <v>45382</v>
      </c>
      <c r="BT2" s="669">
        <f t="shared" si="12"/>
        <v>45473</v>
      </c>
      <c r="BU2" s="669">
        <f t="shared" si="12"/>
        <v>45565</v>
      </c>
      <c r="BV2" s="669">
        <f t="shared" si="12"/>
        <v>45657</v>
      </c>
      <c r="BW2" s="669">
        <f t="shared" si="12"/>
        <v>45747</v>
      </c>
      <c r="BX2" s="669">
        <f t="shared" si="12"/>
        <v>45838</v>
      </c>
      <c r="BY2" s="669">
        <f t="shared" si="12"/>
        <v>45930</v>
      </c>
      <c r="BZ2" s="669">
        <f t="shared" si="12"/>
        <v>46022</v>
      </c>
      <c r="CA2" s="669">
        <f t="shared" si="12"/>
        <v>46112</v>
      </c>
      <c r="CB2" s="669">
        <f t="shared" si="12"/>
        <v>46203</v>
      </c>
      <c r="CD2" s="130"/>
      <c r="CE2" s="130"/>
      <c r="CF2" s="124"/>
      <c r="CG2" s="132">
        <v>40543</v>
      </c>
      <c r="CH2" s="132">
        <f>EOMONTH(CG2,12)</f>
        <v>40908</v>
      </c>
      <c r="CI2" s="132">
        <f t="shared" ref="CI2:CJ2" si="13">EOMONTH(CH2,12)</f>
        <v>41274</v>
      </c>
      <c r="CJ2" s="132">
        <f t="shared" si="13"/>
        <v>41639</v>
      </c>
      <c r="CK2" s="132">
        <f t="shared" ref="CK2:CR2" si="14">EOMONTH(CJ2,12)</f>
        <v>42004</v>
      </c>
      <c r="CL2" s="132">
        <f t="shared" si="14"/>
        <v>42369</v>
      </c>
      <c r="CM2" s="132">
        <f t="shared" si="14"/>
        <v>42735</v>
      </c>
      <c r="CN2" s="132">
        <f t="shared" si="14"/>
        <v>43100</v>
      </c>
      <c r="CO2" s="132">
        <f t="shared" si="14"/>
        <v>43465</v>
      </c>
      <c r="CP2" s="132">
        <f t="shared" si="14"/>
        <v>43830</v>
      </c>
      <c r="CQ2" s="132">
        <f t="shared" si="14"/>
        <v>44196</v>
      </c>
      <c r="CR2" s="132">
        <f t="shared" si="14"/>
        <v>44561</v>
      </c>
      <c r="CS2" s="132">
        <f t="shared" ref="CS2" si="15">EOMONTH(CR2,12)</f>
        <v>44926</v>
      </c>
      <c r="CT2" s="132">
        <f t="shared" ref="CT2" si="16">EOMONTH(CS2,12)</f>
        <v>45291</v>
      </c>
      <c r="CU2" s="132">
        <f t="shared" ref="CU2" si="17">EOMONTH(CT2,12)</f>
        <v>45657</v>
      </c>
      <c r="CV2" s="132">
        <f t="shared" ref="CV2" si="18">EOMONTH(CU2,12)</f>
        <v>46022</v>
      </c>
      <c r="CW2" s="132">
        <f t="shared" ref="CW2" si="19">EOMONTH(CV2,12)</f>
        <v>46387</v>
      </c>
      <c r="CX2" s="132">
        <f t="shared" ref="CX2" si="20">EOMONTH(CW2,12)</f>
        <v>46752</v>
      </c>
      <c r="CY2" s="132">
        <f t="shared" ref="CY2" si="21">EOMONTH(CX2,12)</f>
        <v>47118</v>
      </c>
    </row>
    <row r="3" spans="1:113">
      <c r="A3" s="91" t="s">
        <v>468</v>
      </c>
      <c r="B3" s="91"/>
      <c r="C3" s="92"/>
      <c r="D3" s="92"/>
      <c r="E3" s="92"/>
      <c r="F3" s="92"/>
      <c r="G3" s="92">
        <f>[8]Financials!R5</f>
        <v>0</v>
      </c>
      <c r="H3" s="92">
        <f>[8]Financials!S5</f>
        <v>0</v>
      </c>
      <c r="I3" s="92">
        <f>[8]Financials!T5</f>
        <v>0</v>
      </c>
      <c r="J3" s="92">
        <f>[8]Financials!U5</f>
        <v>0</v>
      </c>
      <c r="K3" s="92">
        <f>[8]Financials!W5</f>
        <v>0</v>
      </c>
      <c r="L3" s="92">
        <f>[8]Financials!X5</f>
        <v>0</v>
      </c>
      <c r="M3" s="92">
        <f>[8]Financials!Y5</f>
        <v>0</v>
      </c>
      <c r="N3" s="92">
        <f>[8]Financials!Z5</f>
        <v>0</v>
      </c>
      <c r="O3" s="92" t="e">
        <f>[8]Financials!AB5</f>
        <v>#REF!</v>
      </c>
      <c r="P3" s="92" t="e">
        <f>[8]Financials!AC5</f>
        <v>#REF!</v>
      </c>
      <c r="Q3" s="92" t="e">
        <f>[8]Financials!AD5</f>
        <v>#REF!</v>
      </c>
      <c r="R3" s="92" t="e">
        <f>[8]Financials!AE5</f>
        <v>#REF!</v>
      </c>
      <c r="S3" s="92" t="e">
        <f>[8]Financials!AG5</f>
        <v>#REF!</v>
      </c>
      <c r="T3" s="92" t="e">
        <f>[8]Financials!AH5</f>
        <v>#REF!</v>
      </c>
      <c r="U3" s="92" t="e">
        <f>[8]Financials!AI5</f>
        <v>#REF!</v>
      </c>
      <c r="V3" s="92" t="e">
        <f>[8]Financials!AJ5</f>
        <v>#REF!</v>
      </c>
      <c r="W3" s="92" t="e">
        <f>[8]Financials!AL5</f>
        <v>#REF!</v>
      </c>
      <c r="X3" s="92" t="e">
        <f>[8]Financials!AM5</f>
        <v>#REF!</v>
      </c>
      <c r="Y3" s="92" t="e">
        <f>[8]Financials!AN5</f>
        <v>#REF!</v>
      </c>
      <c r="Z3" s="92" t="e">
        <f>[8]Financials!AO5</f>
        <v>#REF!</v>
      </c>
      <c r="AA3" s="92" t="e">
        <f>[8]Financials!AQ5</f>
        <v>#REF!</v>
      </c>
      <c r="AB3" s="92" t="e">
        <f>[8]Financials!AR5</f>
        <v>#REF!</v>
      </c>
      <c r="AC3" s="92" t="e">
        <f>[8]Financials!AS5</f>
        <v>#REF!</v>
      </c>
      <c r="AD3" s="92" t="e">
        <f>[8]Financials!AT5</f>
        <v>#REF!</v>
      </c>
      <c r="AE3" s="92" t="e">
        <f>[8]Financials!AV5</f>
        <v>#REF!</v>
      </c>
      <c r="AF3" s="92" t="e">
        <f>[8]Financials!AW5</f>
        <v>#REF!</v>
      </c>
      <c r="AG3" s="92" t="e">
        <f>[8]Financials!AX5</f>
        <v>#REF!</v>
      </c>
      <c r="AH3" s="92" t="e">
        <f>[8]Financials!AY5</f>
        <v>#REF!</v>
      </c>
      <c r="AI3" s="92" t="e">
        <f>[8]Financials!BA5</f>
        <v>#REF!</v>
      </c>
      <c r="AJ3" s="92" t="e">
        <f>[8]Financials!BB5</f>
        <v>#REF!</v>
      </c>
      <c r="AK3" s="92" t="e">
        <f>[8]Financials!BC5</f>
        <v>#REF!</v>
      </c>
      <c r="AL3" s="92" t="e">
        <f>[8]Financials!BD5</f>
        <v>#REF!</v>
      </c>
      <c r="AM3" s="92" t="e">
        <f>[8]Financials!BF5</f>
        <v>#REF!</v>
      </c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</row>
    <row r="4" spans="1:113">
      <c r="A4" s="117" t="s">
        <v>10</v>
      </c>
      <c r="B4" s="93"/>
      <c r="C4" s="94"/>
      <c r="D4" s="94"/>
      <c r="E4" s="94"/>
      <c r="F4" s="94"/>
      <c r="G4" s="118">
        <f>[8]Financials!M7</f>
        <v>0</v>
      </c>
      <c r="H4" s="118">
        <f>[8]Financials!N7</f>
        <v>0</v>
      </c>
      <c r="I4" s="118">
        <f>[8]Financials!O7</f>
        <v>0</v>
      </c>
      <c r="J4" s="118">
        <f>[8]Financials!P7</f>
        <v>0</v>
      </c>
      <c r="K4" s="118">
        <f>[8]Financials!R7</f>
        <v>0</v>
      </c>
      <c r="L4" s="118">
        <f>[8]Financials!S7</f>
        <v>0</v>
      </c>
      <c r="M4" s="118">
        <f>[8]Financials!T7</f>
        <v>0</v>
      </c>
      <c r="N4" s="118">
        <f>[8]Financials!U7</f>
        <v>0</v>
      </c>
      <c r="O4" s="118">
        <f>[8]Financials!W7</f>
        <v>0</v>
      </c>
      <c r="P4" s="118">
        <f>[8]Financials!X7</f>
        <v>0</v>
      </c>
      <c r="Q4" s="118">
        <f>[8]Financials!Y7</f>
        <v>0</v>
      </c>
      <c r="R4" s="118">
        <f>[8]Financials!Z7</f>
        <v>0</v>
      </c>
      <c r="S4" s="118" t="e">
        <f>[8]Financials!AB7</f>
        <v>#REF!</v>
      </c>
      <c r="T4" s="118" t="e">
        <f>[8]Financials!AC7</f>
        <v>#REF!</v>
      </c>
      <c r="U4" s="118" t="e">
        <f>[8]Financials!AD7</f>
        <v>#REF!</v>
      </c>
      <c r="V4" s="118" t="e">
        <f>[8]Financials!AE7</f>
        <v>#REF!</v>
      </c>
      <c r="W4" s="118" t="e">
        <f>[8]Financials!AG7</f>
        <v>#REF!</v>
      </c>
      <c r="X4" s="118" t="e">
        <f>[8]Financials!AH7</f>
        <v>#REF!</v>
      </c>
      <c r="Y4" s="118" t="e">
        <f>[8]Financials!AI7</f>
        <v>#REF!</v>
      </c>
      <c r="Z4" s="118" t="e">
        <f>[8]Financials!AJ7</f>
        <v>#REF!</v>
      </c>
      <c r="AA4" s="118" t="e">
        <f>[8]Financials!AL7</f>
        <v>#REF!</v>
      </c>
      <c r="AB4" s="118" t="e">
        <f>[8]Financials!AM7</f>
        <v>#REF!</v>
      </c>
      <c r="AC4" s="118" t="e">
        <f>[8]Financials!AN7</f>
        <v>#REF!</v>
      </c>
      <c r="AD4" s="118" t="e">
        <f>[8]Financials!AO7</f>
        <v>#REF!</v>
      </c>
      <c r="AE4" s="118" t="e">
        <f>[8]Financials!AQ7</f>
        <v>#REF!</v>
      </c>
      <c r="AF4" s="118" t="e">
        <f>[8]Financials!AR7</f>
        <v>#REF!</v>
      </c>
      <c r="AG4" s="118" t="e">
        <f>[8]Financials!AS7</f>
        <v>#REF!</v>
      </c>
      <c r="AH4" s="118" t="e">
        <f>[8]Financials!AT7</f>
        <v>#REF!</v>
      </c>
      <c r="AI4" s="118" t="e">
        <f>[8]Financials!AV7</f>
        <v>#REF!</v>
      </c>
      <c r="AJ4" s="118" t="e">
        <f>[8]Financials!AW7</f>
        <v>#REF!</v>
      </c>
      <c r="AK4" s="118" t="e">
        <f>[8]Financials!AX7</f>
        <v>#REF!</v>
      </c>
      <c r="AL4" s="118" t="e">
        <f>[8]Financials!AY7</f>
        <v>#REF!</v>
      </c>
      <c r="AM4" s="118" t="e">
        <f>[8]Financials!BA7</f>
        <v>#REF!</v>
      </c>
      <c r="AN4" s="118" t="e">
        <f>[8]Financials!BB7</f>
        <v>#REF!</v>
      </c>
      <c r="AO4" s="118" t="e">
        <f>[8]Financials!BC7</f>
        <v>#REF!</v>
      </c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8"/>
      <c r="BX4" s="118"/>
      <c r="BY4" s="118"/>
      <c r="BZ4" s="118"/>
      <c r="CA4" s="118"/>
      <c r="CB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</row>
    <row r="5" spans="1:113">
      <c r="A5" s="67"/>
      <c r="B5" s="89"/>
      <c r="C5" s="95"/>
      <c r="D5" s="95"/>
      <c r="E5" s="95"/>
      <c r="F5" s="95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</row>
    <row r="6" spans="1:113">
      <c r="A6" s="69" t="s">
        <v>469</v>
      </c>
      <c r="B6" s="69"/>
      <c r="C6" s="95"/>
      <c r="D6" s="95"/>
      <c r="E6" s="95"/>
      <c r="F6" s="95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 t="s">
        <v>618</v>
      </c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</row>
    <row r="7" spans="1:113">
      <c r="A7" s="96" t="s">
        <v>470</v>
      </c>
      <c r="B7" s="96"/>
      <c r="C7" s="97"/>
      <c r="D7" s="97"/>
      <c r="E7" s="97"/>
      <c r="F7" s="97"/>
      <c r="G7" s="97">
        <f>'Income Statement'!C432</f>
        <v>0</v>
      </c>
      <c r="H7" s="97">
        <f>'Income Statement'!D432</f>
        <v>0</v>
      </c>
      <c r="I7" s="97">
        <f>'Income Statement'!E432</f>
        <v>0</v>
      </c>
      <c r="J7" s="97">
        <f>'Income Statement'!F432</f>
        <v>2204</v>
      </c>
      <c r="K7" s="97">
        <f>'Income Statement'!H432</f>
        <v>2129</v>
      </c>
      <c r="L7" s="97">
        <f>'Income Statement'!I432</f>
        <v>2116</v>
      </c>
      <c r="M7" s="97">
        <f>'Income Statement'!J432</f>
        <v>2156</v>
      </c>
      <c r="N7" s="97">
        <f>'Income Statement'!K432</f>
        <v>2211</v>
      </c>
      <c r="O7" s="97">
        <f>'Income Statement'!M432</f>
        <v>2152</v>
      </c>
      <c r="P7" s="97">
        <f>'Income Statement'!N432</f>
        <v>2191</v>
      </c>
      <c r="Q7" s="97">
        <f>'Income Statement'!O432</f>
        <v>2216</v>
      </c>
      <c r="R7" s="97">
        <f>'Income Statement'!P432</f>
        <v>2310</v>
      </c>
      <c r="S7" s="97">
        <f>'Income Statement'!R432</f>
        <v>2133</v>
      </c>
      <c r="T7" s="97">
        <f>'Income Statement'!S432</f>
        <v>2158</v>
      </c>
      <c r="U7" s="97">
        <f>'Income Statement'!T432</f>
        <v>2244</v>
      </c>
      <c r="V7" s="97">
        <f>'Income Statement'!U432</f>
        <v>2248</v>
      </c>
      <c r="W7" s="97">
        <f>'Income Statement'!W432</f>
        <v>2135</v>
      </c>
      <c r="X7" s="97">
        <f>'Income Statement'!X432</f>
        <v>2223</v>
      </c>
      <c r="Y7" s="97">
        <f>'Income Statement'!Y432</f>
        <v>2216</v>
      </c>
      <c r="Z7" s="97">
        <f>'Income Statement'!Z432</f>
        <v>2306</v>
      </c>
      <c r="AA7" s="97">
        <f>'Income Statement'!AB432</f>
        <v>2327</v>
      </c>
      <c r="AB7" s="97">
        <f>'Income Statement'!AC432</f>
        <v>2295</v>
      </c>
      <c r="AC7" s="97">
        <f>'Income Statement'!AD432</f>
        <v>2239</v>
      </c>
      <c r="AD7" s="97">
        <f>'Income Statement'!AE432</f>
        <v>2224</v>
      </c>
      <c r="AE7" s="97">
        <f>'Income Statement'!AG432</f>
        <v>2119</v>
      </c>
      <c r="AF7" s="97">
        <f>'Income Statement'!AH432</f>
        <v>2082</v>
      </c>
      <c r="AG7" s="97">
        <f>'Income Statement'!AI432</f>
        <v>2065</v>
      </c>
      <c r="AH7" s="97">
        <f>'Income Statement'!AJ432</f>
        <v>2123</v>
      </c>
      <c r="AI7" s="97">
        <f>'Income Statement'!AL432</f>
        <v>2149</v>
      </c>
      <c r="AJ7" s="97">
        <f>'Income Statement'!AM432</f>
        <v>2110</v>
      </c>
      <c r="AK7" s="97">
        <f>'Income Statement'!AN432</f>
        <v>2166</v>
      </c>
      <c r="AL7" s="97">
        <f>'Income Statement'!AO432</f>
        <v>2176</v>
      </c>
      <c r="AM7" s="97">
        <f>'Income Statement'!AQ432</f>
        <v>2140</v>
      </c>
      <c r="AN7" s="97">
        <f>'Income Statement'!AR432</f>
        <v>2102</v>
      </c>
      <c r="AO7" s="97">
        <f>'Income Statement'!AS432</f>
        <v>2156</v>
      </c>
      <c r="AP7" s="97">
        <f>'Income Statement'!AT432</f>
        <v>2214</v>
      </c>
      <c r="AQ7" s="97">
        <f>'Income Statement'!AV432</f>
        <v>2375</v>
      </c>
      <c r="AR7" s="97">
        <f>'Income Statement'!AW432</f>
        <v>2335</v>
      </c>
      <c r="AS7" s="97">
        <f>'Income Statement'!AX432</f>
        <v>2333</v>
      </c>
      <c r="AT7" s="97">
        <f>'Income Statement'!AY432</f>
        <v>2376</v>
      </c>
      <c r="AU7" s="97">
        <f>'Income Statement'!BA432</f>
        <v>2237</v>
      </c>
      <c r="AV7" s="97">
        <f>'Income Statement'!BB432</f>
        <v>2246</v>
      </c>
      <c r="AW7" s="97">
        <f>'Income Statement'!BC432</f>
        <v>2264</v>
      </c>
      <c r="AX7" s="97">
        <f>'Income Statement'!BD432</f>
        <v>2445</v>
      </c>
      <c r="AY7" s="97">
        <f>'Income Statement'!BF432</f>
        <v>2232</v>
      </c>
      <c r="AZ7" s="97">
        <f>'Income Statement'!BG432</f>
        <v>2206</v>
      </c>
      <c r="BA7" s="97">
        <f>'Income Statement'!BH432</f>
        <v>2285</v>
      </c>
      <c r="BB7" s="97">
        <f>'Income Statement'!BI432</f>
        <v>2590</v>
      </c>
      <c r="BC7" s="97">
        <f>'Income Statement'!BK432</f>
        <v>2341</v>
      </c>
      <c r="BD7" s="97">
        <f>'Income Statement'!BL432</f>
        <v>2151</v>
      </c>
      <c r="BE7" s="97">
        <f>'Income Statement'!BM432</f>
        <v>2213</v>
      </c>
      <c r="BF7" s="97">
        <f>'Income Statement'!BN432</f>
        <v>2261</v>
      </c>
      <c r="BG7" s="97">
        <f>'Income Statement'!BP432</f>
        <v>2240</v>
      </c>
      <c r="BH7" s="97">
        <f>'Income Statement'!BQ432</f>
        <v>2274</v>
      </c>
      <c r="BI7" s="97">
        <f>'Income Statement'!BR432</f>
        <v>2271</v>
      </c>
      <c r="BJ7" s="97">
        <f>'Income Statement'!BS432</f>
        <v>2456</v>
      </c>
      <c r="BK7" s="97">
        <f>'Income Statement'!BU432</f>
        <v>2406</v>
      </c>
      <c r="BL7" s="97">
        <f>'Income Statement'!BV432</f>
        <v>2424</v>
      </c>
      <c r="BM7" s="97">
        <f>'Income Statement'!BW432</f>
        <v>2405</v>
      </c>
      <c r="BN7" s="97">
        <f>'Income Statement'!BX432</f>
        <v>2554</v>
      </c>
      <c r="BO7" s="97">
        <f>'Income Statement'!BZ432</f>
        <v>2526</v>
      </c>
      <c r="BP7" s="97">
        <f>'Income Statement'!CA432</f>
        <v>2470</v>
      </c>
      <c r="BQ7" s="97">
        <f>'Income Statement'!CB432</f>
        <v>2442</v>
      </c>
      <c r="BR7" s="97">
        <f>'Income Statement'!CC432</f>
        <v>2742</v>
      </c>
      <c r="BS7" s="97">
        <f>'Income Statement'!CE432</f>
        <v>2603</v>
      </c>
      <c r="BT7" s="97">
        <f>'Income Statement'!CF432</f>
        <v>2586</v>
      </c>
      <c r="BU7" s="97">
        <f>'Income Statement'!CG432</f>
        <v>2576</v>
      </c>
      <c r="BV7" s="97">
        <f>'Income Statement'!CH432</f>
        <v>2771</v>
      </c>
      <c r="BW7" s="97">
        <f>'Income Statement'!CJ432</f>
        <v>2608</v>
      </c>
      <c r="BX7" s="97">
        <f>'Income Statement'!CK432</f>
        <v>2562</v>
      </c>
      <c r="BY7" s="97">
        <f>'Income Statement'!CL432</f>
        <v>2589</v>
      </c>
      <c r="BZ7" s="97">
        <f>'Income Statement'!CM432</f>
        <v>2876</v>
      </c>
      <c r="CA7" s="97">
        <f>'Income Statement'!CO432</f>
        <v>2731</v>
      </c>
      <c r="CB7" s="97">
        <f>'Income Statement'!CP432</f>
        <v>2656</v>
      </c>
      <c r="CE7" t="s">
        <v>605</v>
      </c>
      <c r="CG7" s="97">
        <f>'Income Statement'!Q432</f>
        <v>8869</v>
      </c>
      <c r="CH7" s="97">
        <f>'Income Statement'!V432</f>
        <v>8783</v>
      </c>
      <c r="CI7" s="97">
        <f>'Income Statement'!AA432</f>
        <v>8880</v>
      </c>
      <c r="CJ7" s="97">
        <f>'Income Statement'!AF432</f>
        <v>9028.3719999999994</v>
      </c>
      <c r="CK7" s="97">
        <f>'Income Statement'!AK432</f>
        <v>8404</v>
      </c>
      <c r="CL7" s="97">
        <f>'Income Statement'!AP432</f>
        <v>8601</v>
      </c>
      <c r="CM7" s="97">
        <f>'Income Statement'!AU432</f>
        <v>8612</v>
      </c>
      <c r="CN7" s="97">
        <f>'Income Statement'!AZ432</f>
        <v>9419</v>
      </c>
      <c r="CO7" s="97">
        <f>'Income Statement'!BE432</f>
        <v>9192</v>
      </c>
      <c r="CP7" s="97">
        <f>'Income Statement'!BJ432</f>
        <v>9313</v>
      </c>
      <c r="CQ7" s="97">
        <f>'Income Statement'!BO432</f>
        <v>8966</v>
      </c>
      <c r="CR7" s="97">
        <f>'Income Statement'!BT432</f>
        <v>9241</v>
      </c>
      <c r="CS7" s="97">
        <f>'Income Statement'!BY432</f>
        <v>9789</v>
      </c>
      <c r="CT7" s="97">
        <f>'Income Statement'!CD432</f>
        <v>10180</v>
      </c>
      <c r="CU7" s="97">
        <f>'Income Statement'!CI432</f>
        <v>10536</v>
      </c>
      <c r="CV7" s="97">
        <f>'Income Statement'!CN432</f>
        <v>10635</v>
      </c>
      <c r="CW7" s="97">
        <f>'Income Statement'!CQ432</f>
        <v>10945.588579795789</v>
      </c>
      <c r="CX7" s="97">
        <f>'Income Statement'!CR432</f>
        <v>11217.050358444878</v>
      </c>
      <c r="CY7" s="97">
        <f>'Income Statement'!CS432</f>
        <v>11491.634183527703</v>
      </c>
      <c r="DA7">
        <f>(CS7/CN7)^0.2-1</f>
        <v>7.7358443083193063E-3</v>
      </c>
      <c r="DB7">
        <f>(CY7/CT7)^0.2-1</f>
        <v>2.4535008527757141E-2</v>
      </c>
    </row>
    <row r="8" spans="1:113">
      <c r="A8" s="96" t="s">
        <v>471</v>
      </c>
      <c r="B8" s="96"/>
      <c r="C8" s="97"/>
      <c r="D8" s="97"/>
      <c r="E8" s="97"/>
      <c r="F8" s="97"/>
      <c r="G8" s="122">
        <f>'Income Statement'!C388</f>
        <v>0</v>
      </c>
      <c r="H8" s="122">
        <f>'Income Statement'!D388</f>
        <v>0</v>
      </c>
      <c r="I8" s="122">
        <f>'Income Statement'!E388</f>
        <v>0</v>
      </c>
      <c r="J8" s="122">
        <f>'Income Statement'!F388</f>
        <v>2078</v>
      </c>
      <c r="K8" s="122">
        <f>'Income Statement'!H388</f>
        <v>1954</v>
      </c>
      <c r="L8" s="122">
        <f>'Income Statement'!I388</f>
        <v>1962</v>
      </c>
      <c r="M8" s="122">
        <f>'Income Statement'!J388</f>
        <v>2013</v>
      </c>
      <c r="N8" s="122">
        <f>'Income Statement'!K388</f>
        <v>2075</v>
      </c>
      <c r="O8" s="122">
        <f>'Income Statement'!M388</f>
        <v>2023</v>
      </c>
      <c r="P8" s="122">
        <f>'Income Statement'!N388</f>
        <v>2041</v>
      </c>
      <c r="Q8" s="122">
        <f>'Income Statement'!O388</f>
        <v>2063</v>
      </c>
      <c r="R8" s="122">
        <f>'Income Statement'!P388</f>
        <v>2152</v>
      </c>
      <c r="S8" s="122">
        <f>'Income Statement'!R388</f>
        <v>2038</v>
      </c>
      <c r="T8" s="122">
        <f>'Income Statement'!S388</f>
        <v>2075</v>
      </c>
      <c r="U8" s="122">
        <f>'Income Statement'!T388</f>
        <v>2163</v>
      </c>
      <c r="V8" s="122">
        <f>'Income Statement'!U388</f>
        <v>2170</v>
      </c>
      <c r="W8" s="122">
        <f>'Income Statement'!W388</f>
        <v>2036</v>
      </c>
      <c r="X8" s="122">
        <f>'Income Statement'!X388</f>
        <v>2081</v>
      </c>
      <c r="Y8" s="122">
        <f>'Income Statement'!Y388</f>
        <v>2066</v>
      </c>
      <c r="Z8" s="122">
        <f>'Income Statement'!Z388</f>
        <v>2111</v>
      </c>
      <c r="AA8" s="122">
        <f>'Income Statement'!AB388</f>
        <v>2066</v>
      </c>
      <c r="AB8" s="122">
        <f>'Income Statement'!AC388</f>
        <v>2063</v>
      </c>
      <c r="AC8" s="122">
        <f>'Income Statement'!AD388</f>
        <v>2051</v>
      </c>
      <c r="AD8" s="122">
        <f>'Income Statement'!AE388</f>
        <v>2024</v>
      </c>
      <c r="AE8" s="122">
        <f>'Income Statement'!AG388</f>
        <v>1953</v>
      </c>
      <c r="AF8" s="122">
        <f>'Income Statement'!AH388</f>
        <v>1955</v>
      </c>
      <c r="AG8" s="122">
        <f>'Income Statement'!AI388</f>
        <v>1946</v>
      </c>
      <c r="AH8" s="122">
        <f>'Income Statement'!AJ388</f>
        <v>1988</v>
      </c>
      <c r="AI8" s="122">
        <f>'Income Statement'!AL388</f>
        <v>2019</v>
      </c>
      <c r="AJ8" s="122">
        <f>'Income Statement'!AM388</f>
        <v>1984</v>
      </c>
      <c r="AK8" s="122">
        <f>'Income Statement'!AN388</f>
        <v>2046</v>
      </c>
      <c r="AL8" s="122">
        <f>'Income Statement'!AO388</f>
        <v>2047</v>
      </c>
      <c r="AM8" s="122">
        <f>'Income Statement'!AQ388</f>
        <v>2005</v>
      </c>
      <c r="AN8" s="122">
        <f>'Income Statement'!AR388</f>
        <v>1934</v>
      </c>
      <c r="AO8" s="122">
        <f>'Income Statement'!AS388</f>
        <v>1982</v>
      </c>
      <c r="AP8" s="122">
        <f>'Income Statement'!AT388</f>
        <v>2028</v>
      </c>
      <c r="AQ8" s="97">
        <f>'Income Statement'!AV429</f>
        <v>2076</v>
      </c>
      <c r="AR8" s="97">
        <f>'Income Statement'!AW429</f>
        <v>2069</v>
      </c>
      <c r="AS8" s="97">
        <f>'Income Statement'!AX429</f>
        <v>2090</v>
      </c>
      <c r="AT8" s="97">
        <f>'Income Statement'!AY429</f>
        <v>2036</v>
      </c>
      <c r="AU8" s="97">
        <f>'Income Statement'!BA429</f>
        <v>1980</v>
      </c>
      <c r="AV8" s="97">
        <f>'Income Statement'!BB429</f>
        <v>2013</v>
      </c>
      <c r="AW8" s="97">
        <f>'Income Statement'!BC429</f>
        <v>2027</v>
      </c>
      <c r="AX8" s="97">
        <f>'Income Statement'!BD429</f>
        <v>2048</v>
      </c>
      <c r="AY8" s="97">
        <f>'Income Statement'!BF429</f>
        <v>1947</v>
      </c>
      <c r="AZ8" s="97">
        <f>'Income Statement'!BG429</f>
        <v>1918</v>
      </c>
      <c r="BA8" s="97">
        <f>'Income Statement'!BH429</f>
        <v>1940</v>
      </c>
      <c r="BB8" s="97">
        <f>'Income Statement'!BI429</f>
        <v>1992</v>
      </c>
      <c r="BC8" s="97">
        <f>'Income Statement'!BK429</f>
        <v>1940</v>
      </c>
      <c r="BD8" s="97">
        <f>'Income Statement'!BL429</f>
        <v>1900</v>
      </c>
      <c r="BE8" s="97">
        <f>'Income Statement'!BM429</f>
        <v>1940</v>
      </c>
      <c r="BF8" s="97">
        <f>'Income Statement'!BN429</f>
        <v>1945</v>
      </c>
      <c r="BG8" s="97">
        <f>'Income Statement'!BP429</f>
        <v>1971</v>
      </c>
      <c r="BH8" s="97">
        <f>'Income Statement'!BQ429</f>
        <v>1997</v>
      </c>
      <c r="BI8" s="97">
        <f>'Income Statement'!BR429</f>
        <v>2033</v>
      </c>
      <c r="BJ8" s="97">
        <f>'Income Statement'!BS429</f>
        <v>2016</v>
      </c>
      <c r="BK8" s="97">
        <f>'Income Statement'!BU429</f>
        <v>2030</v>
      </c>
      <c r="BL8" s="97">
        <f>'Income Statement'!BV429</f>
        <v>2084</v>
      </c>
      <c r="BM8" s="97">
        <f>'Income Statement'!BW429</f>
        <v>2108</v>
      </c>
      <c r="BN8" s="97">
        <f>'Income Statement'!BX429</f>
        <v>2114</v>
      </c>
      <c r="BO8" s="97">
        <f>'Income Statement'!BZ429</f>
        <v>2112</v>
      </c>
      <c r="BP8" s="97">
        <f>'Income Statement'!CA429</f>
        <v>2113</v>
      </c>
      <c r="BQ8" s="97">
        <f>'Income Statement'!CB429</f>
        <v>2145</v>
      </c>
      <c r="BR8" s="97">
        <f>'Income Statement'!CC429</f>
        <v>2202</v>
      </c>
      <c r="BS8" s="97">
        <f>'Income Statement'!CE429</f>
        <v>2191</v>
      </c>
      <c r="BT8" s="97">
        <f>'Income Statement'!CF429</f>
        <v>2216</v>
      </c>
      <c r="BU8" s="97">
        <f>'Income Statement'!CG429</f>
        <v>2213</v>
      </c>
      <c r="BV8" s="97">
        <f>'Income Statement'!CH429</f>
        <v>2248</v>
      </c>
      <c r="BW8" s="97">
        <f>'Income Statement'!CJ429</f>
        <v>2171</v>
      </c>
      <c r="BX8" s="97">
        <f>'Income Statement'!CK429</f>
        <v>2204</v>
      </c>
      <c r="BY8" s="97">
        <f>'Income Statement'!CL429</f>
        <v>2241</v>
      </c>
      <c r="BZ8" s="97">
        <f>'Income Statement'!CM429</f>
        <v>2296</v>
      </c>
      <c r="CA8" s="97">
        <f>'Income Statement'!CO429</f>
        <v>2242</v>
      </c>
      <c r="CB8" s="97">
        <f>'Income Statement'!CP429</f>
        <v>2252</v>
      </c>
      <c r="CD8" t="s">
        <v>617</v>
      </c>
      <c r="CG8" s="122">
        <f>'Income Statement'!Q429</f>
        <v>0</v>
      </c>
      <c r="CH8" s="122">
        <f>'Income Statement'!V429</f>
        <v>0</v>
      </c>
      <c r="CI8" s="122">
        <f>'Income Statement'!AA429</f>
        <v>8538</v>
      </c>
      <c r="CJ8" s="122">
        <f>'Income Statement'!AF429</f>
        <v>2143</v>
      </c>
      <c r="CK8" s="122">
        <f>'Income Statement'!AK429</f>
        <v>8214</v>
      </c>
      <c r="CL8" s="122">
        <f>'Income Statement'!AP429</f>
        <v>8520</v>
      </c>
      <c r="CM8" s="122">
        <f>'Income Statement'!AU429</f>
        <v>8455</v>
      </c>
      <c r="CN8" s="122">
        <f>'Income Statement'!AZ382+'Income Statement'!AZ391+'Income Statement'!AZ394</f>
        <v>8295</v>
      </c>
      <c r="CO8" s="122">
        <f>'Income Statement'!BE429</f>
        <v>8068</v>
      </c>
      <c r="CP8" s="122">
        <f>'Income Statement'!BJ429</f>
        <v>7797</v>
      </c>
      <c r="CQ8" s="122">
        <f>'Income Statement'!BO429</f>
        <v>7725</v>
      </c>
      <c r="CR8" s="122">
        <f>'Income Statement'!BT429</f>
        <v>8017</v>
      </c>
      <c r="CS8" s="122">
        <f>'Income Statement'!BY429</f>
        <v>8336</v>
      </c>
      <c r="CT8" s="122">
        <f>'Income Statement'!CD429</f>
        <v>8572</v>
      </c>
      <c r="CU8" s="122">
        <f>'Income Statement'!CI429</f>
        <v>8868</v>
      </c>
      <c r="CV8" s="122">
        <f>'Income Statement'!CN429</f>
        <v>8912</v>
      </c>
      <c r="CW8" s="122">
        <f>'Income Statement'!CQ429</f>
        <v>9054.4189426887078</v>
      </c>
      <c r="CX8" s="122">
        <f>'Income Statement'!CR429</f>
        <v>9259.6118190191482</v>
      </c>
      <c r="CY8" s="122">
        <f>'Income Statement'!CS429</f>
        <v>9479.0803192921794</v>
      </c>
    </row>
    <row r="9" spans="1:113">
      <c r="A9" s="96" t="s">
        <v>2</v>
      </c>
      <c r="B9" s="96"/>
      <c r="C9" s="97"/>
      <c r="D9" s="97"/>
      <c r="E9" s="97"/>
      <c r="F9" s="97"/>
      <c r="G9" s="97">
        <f>'Income Statement'!C453</f>
        <v>0</v>
      </c>
      <c r="H9" s="97">
        <f>'Income Statement'!D453</f>
        <v>0</v>
      </c>
      <c r="I9" s="97">
        <f>'Income Statement'!E453</f>
        <v>1185</v>
      </c>
      <c r="J9" s="97">
        <f>'Income Statement'!F453</f>
        <v>1144</v>
      </c>
      <c r="K9" s="97">
        <f>'Income Statement'!H453</f>
        <v>1071</v>
      </c>
      <c r="L9" s="97">
        <f>'Income Statement'!I453</f>
        <v>1075.2475247524753</v>
      </c>
      <c r="M9" s="97">
        <f>'Income Statement'!J453</f>
        <v>1086</v>
      </c>
      <c r="N9" s="97">
        <f>'Income Statement'!K453</f>
        <v>1106</v>
      </c>
      <c r="O9" s="97">
        <f>'Income Statement'!M453</f>
        <v>1082</v>
      </c>
      <c r="P9" s="97">
        <f>'Income Statement'!N453</f>
        <v>1028</v>
      </c>
      <c r="Q9" s="97">
        <f>'Income Statement'!O453</f>
        <v>1140</v>
      </c>
      <c r="R9" s="97">
        <f>'Income Statement'!P453</f>
        <v>1166</v>
      </c>
      <c r="S9" s="97">
        <f>'Income Statement'!R453</f>
        <v>1090</v>
      </c>
      <c r="T9" s="97">
        <f>'Income Statement'!S453</f>
        <v>1106</v>
      </c>
      <c r="U9" s="97">
        <f>'Income Statement'!T453</f>
        <v>1123</v>
      </c>
      <c r="V9" s="97">
        <f>'Income Statement'!U453</f>
        <v>1104</v>
      </c>
      <c r="W9" s="97">
        <f>'Income Statement'!W453</f>
        <v>1133</v>
      </c>
      <c r="X9" s="97">
        <f>'Income Statement'!X453</f>
        <v>1106</v>
      </c>
      <c r="Y9" s="97">
        <f>'Income Statement'!Y453</f>
        <v>1055</v>
      </c>
      <c r="Z9" s="97">
        <f>'Income Statement'!Z453</f>
        <v>1065</v>
      </c>
      <c r="AA9" s="97">
        <f>'Income Statement'!AB453</f>
        <v>1122</v>
      </c>
      <c r="AB9" s="97">
        <f>'Income Statement'!AC453</f>
        <v>1165</v>
      </c>
      <c r="AC9" s="97">
        <f>'Income Statement'!AD453</f>
        <v>1154</v>
      </c>
      <c r="AD9" s="97">
        <f>'Income Statement'!AE453</f>
        <v>1081</v>
      </c>
      <c r="AE9" s="97">
        <f>'Income Statement'!AG453</f>
        <v>707.74600000000009</v>
      </c>
      <c r="AF9" s="97">
        <f>'Income Statement'!AH453</f>
        <v>651.66600000000005</v>
      </c>
      <c r="AG9" s="97">
        <f>'Income Statement'!AI453</f>
        <v>652.54</v>
      </c>
      <c r="AH9" s="97">
        <f>'Income Statement'!AJ453</f>
        <v>696.34400000000005</v>
      </c>
      <c r="AI9" s="97">
        <f>'Income Statement'!AL453</f>
        <v>713.46800000000007</v>
      </c>
      <c r="AJ9" s="97">
        <f>'Income Statement'!AM453</f>
        <v>649.88</v>
      </c>
      <c r="AK9" s="97">
        <f>'Income Statement'!AN453</f>
        <v>689</v>
      </c>
      <c r="AL9" s="97">
        <f>'Income Statement'!AO453</f>
        <v>676</v>
      </c>
      <c r="AM9" s="97">
        <f>'Income Statement'!AQ453</f>
        <v>1161</v>
      </c>
      <c r="AN9" s="97">
        <f>'Income Statement'!AR453</f>
        <v>1010</v>
      </c>
      <c r="AO9" s="97">
        <f>'Income Statement'!AS453</f>
        <v>1144</v>
      </c>
      <c r="AP9" s="97">
        <f>'Income Statement'!AT453</f>
        <v>1187</v>
      </c>
      <c r="AQ9" s="97">
        <f>'Income Statement'!AV453</f>
        <v>1024</v>
      </c>
      <c r="AR9" s="97">
        <f>'Income Statement'!AW453</f>
        <v>1006</v>
      </c>
      <c r="AS9" s="97">
        <f>'Income Statement'!AX453</f>
        <v>1119</v>
      </c>
      <c r="AT9" s="97">
        <f>'Income Statement'!AY453</f>
        <v>1046</v>
      </c>
      <c r="AU9" s="97">
        <f>'Income Statement'!BA453</f>
        <v>1020</v>
      </c>
      <c r="AV9" s="97">
        <f>'Income Statement'!BB453</f>
        <v>1007</v>
      </c>
      <c r="AW9" s="97">
        <f>'Income Statement'!BC453</f>
        <v>1047</v>
      </c>
      <c r="AX9" s="97">
        <f>'Income Statement'!BD453</f>
        <v>769</v>
      </c>
      <c r="AY9" s="97">
        <f>'Income Statement'!BF453</f>
        <v>991</v>
      </c>
      <c r="AZ9" s="97">
        <f>'Income Statement'!BG453</f>
        <v>985</v>
      </c>
      <c r="BA9" s="97">
        <f>'Income Statement'!BH453</f>
        <v>1005</v>
      </c>
      <c r="BB9" s="97">
        <f>'Income Statement'!BI453</f>
        <v>945</v>
      </c>
      <c r="BC9" s="97">
        <f>'Income Statement'!BK453</f>
        <v>962</v>
      </c>
      <c r="BD9" s="97">
        <f>'Income Statement'!BL453</f>
        <v>946</v>
      </c>
      <c r="BE9" s="97">
        <f>'Income Statement'!BM453</f>
        <v>967</v>
      </c>
      <c r="BF9" s="97">
        <f>'Income Statement'!BN453</f>
        <v>939</v>
      </c>
      <c r="BG9" s="97">
        <f>'Income Statement'!BP453</f>
        <v>961</v>
      </c>
      <c r="BH9" s="97">
        <f>'Income Statement'!BQ453</f>
        <v>1006</v>
      </c>
      <c r="BI9" s="97">
        <f>'Income Statement'!BR453</f>
        <v>977</v>
      </c>
      <c r="BJ9" s="97">
        <f>'Income Statement'!BS453</f>
        <v>932</v>
      </c>
      <c r="BK9" s="97">
        <f>'Income Statement'!BU453</f>
        <v>927</v>
      </c>
      <c r="BL9" s="97">
        <f>'Income Statement'!BV453</f>
        <v>1012</v>
      </c>
      <c r="BM9" s="97">
        <f>'Income Statement'!BW453</f>
        <v>1004</v>
      </c>
      <c r="BN9" s="97">
        <f>'Income Statement'!BX453</f>
        <v>986</v>
      </c>
      <c r="BO9" s="97">
        <f>'Income Statement'!BZ453</f>
        <v>972</v>
      </c>
      <c r="BP9" s="97">
        <f>'Income Statement'!CA453</f>
        <v>1002</v>
      </c>
      <c r="BQ9" s="97">
        <f>'Income Statement'!CB453</f>
        <v>929</v>
      </c>
      <c r="BR9" s="97">
        <f>'Income Statement'!CC453</f>
        <v>1057</v>
      </c>
      <c r="BS9" s="97">
        <f>'Income Statement'!CE453</f>
        <v>1044</v>
      </c>
      <c r="BT9" s="97">
        <f>'Income Statement'!CF453</f>
        <v>1046</v>
      </c>
      <c r="BU9" s="97">
        <f>'Income Statement'!CG453</f>
        <v>1048</v>
      </c>
      <c r="BV9" s="97">
        <f>'Income Statement'!CH453</f>
        <v>984</v>
      </c>
      <c r="BW9" s="97">
        <f>'Income Statement'!CJ453</f>
        <v>1055</v>
      </c>
      <c r="BX9" s="97">
        <f>'Income Statement'!CK453</f>
        <v>1094</v>
      </c>
      <c r="BY9" s="97">
        <f>'Income Statement'!CL453</f>
        <v>1102</v>
      </c>
      <c r="BZ9" s="97">
        <f>'Income Statement'!CM453</f>
        <v>1078</v>
      </c>
      <c r="CA9" s="97">
        <f>'Income Statement'!CO453</f>
        <v>1099</v>
      </c>
      <c r="CB9" s="97">
        <f>'Income Statement'!CP453</f>
        <v>1124</v>
      </c>
      <c r="CG9" s="97">
        <f>'Income Statement'!Q453</f>
        <v>4416</v>
      </c>
      <c r="CH9" s="97">
        <f>'Income Statement'!V453</f>
        <v>4423</v>
      </c>
      <c r="CI9" s="97">
        <f>'Income Statement'!AA453</f>
        <v>4359</v>
      </c>
      <c r="CJ9" s="97">
        <f>'Income Statement'!AF453</f>
        <v>4522</v>
      </c>
      <c r="CK9" s="97">
        <f>'Income Statement'!AK453</f>
        <v>4112.3305194230634</v>
      </c>
      <c r="CL9" s="97">
        <f>'Income Statement'!AP453</f>
        <v>4426</v>
      </c>
      <c r="CM9" s="97">
        <f>'Income Statement'!AU453</f>
        <v>4502</v>
      </c>
      <c r="CN9" s="97">
        <f>'Income Statement'!AZ453</f>
        <v>4195</v>
      </c>
      <c r="CO9" s="97">
        <f>'Income Statement'!BE453</f>
        <v>3843</v>
      </c>
      <c r="CP9" s="97">
        <f>'Income Statement'!BJ453</f>
        <v>3926</v>
      </c>
      <c r="CQ9" s="97">
        <f>'Income Statement'!BO453</f>
        <v>3814</v>
      </c>
      <c r="CR9" s="97">
        <f>'Income Statement'!BT453</f>
        <v>3876</v>
      </c>
      <c r="CS9" s="97">
        <f>'Income Statement'!BY453</f>
        <v>3929</v>
      </c>
      <c r="CT9" s="97">
        <f>'Income Statement'!CD453</f>
        <v>3960</v>
      </c>
      <c r="CU9" s="97">
        <f>'Income Statement'!CI453</f>
        <v>4122</v>
      </c>
      <c r="CV9" s="97">
        <f>'Income Statement'!CN453</f>
        <v>4329</v>
      </c>
      <c r="CW9" s="97">
        <f>'Income Statement'!CQ453</f>
        <v>4521.5932718038575</v>
      </c>
      <c r="CX9" s="97">
        <f>'Income Statement'!CR453</f>
        <v>4652.7746464653283</v>
      </c>
      <c r="CY9" s="97">
        <f>'Income Statement'!CS453</f>
        <v>4782.7277825729407</v>
      </c>
    </row>
    <row r="10" spans="1:113">
      <c r="A10" s="96" t="s">
        <v>91</v>
      </c>
      <c r="B10" s="96"/>
      <c r="C10" s="97"/>
      <c r="D10" s="97"/>
      <c r="E10" s="97"/>
      <c r="F10" s="97"/>
      <c r="G10" s="97">
        <f>'Income Statement'!C484</f>
        <v>0</v>
      </c>
      <c r="H10" s="97">
        <f>'Income Statement'!D484</f>
        <v>0</v>
      </c>
      <c r="I10" s="97">
        <f>'Income Statement'!E484</f>
        <v>0</v>
      </c>
      <c r="J10" s="97">
        <f>'Income Statement'!F484</f>
        <v>0</v>
      </c>
      <c r="K10" s="97">
        <f>'Income Statement'!H484</f>
        <v>1045</v>
      </c>
      <c r="L10" s="97">
        <f>'Income Statement'!I484</f>
        <v>1075.2475247524753</v>
      </c>
      <c r="M10" s="97">
        <f>'Income Statement'!J484</f>
        <v>615</v>
      </c>
      <c r="N10" s="97">
        <f>'Income Statement'!K484</f>
        <v>588</v>
      </c>
      <c r="O10" s="97">
        <f>'Income Statement'!M484</f>
        <v>552</v>
      </c>
      <c r="P10" s="97">
        <f>'Income Statement'!N484</f>
        <v>532</v>
      </c>
      <c r="Q10" s="97">
        <f>'Income Statement'!O484</f>
        <v>601</v>
      </c>
      <c r="R10" s="97">
        <f>'Income Statement'!P484</f>
        <v>610</v>
      </c>
      <c r="S10" s="97">
        <f>'Income Statement'!R484</f>
        <v>540</v>
      </c>
      <c r="T10" s="97">
        <f>'Income Statement'!S484</f>
        <v>552</v>
      </c>
      <c r="U10" s="97">
        <f>'Income Statement'!T484</f>
        <v>538</v>
      </c>
      <c r="V10" s="97">
        <f>'Income Statement'!U484</f>
        <v>901</v>
      </c>
      <c r="W10" s="97">
        <f>'Income Statement'!W484</f>
        <v>573</v>
      </c>
      <c r="X10" s="97">
        <f>'Income Statement'!X484</f>
        <v>589</v>
      </c>
      <c r="Y10" s="97">
        <f>'Income Statement'!Y484</f>
        <v>501</v>
      </c>
      <c r="Z10" s="97">
        <f>'Income Statement'!Z484</f>
        <v>330</v>
      </c>
      <c r="AA10" s="97">
        <f>'Income Statement'!AB484</f>
        <v>483</v>
      </c>
      <c r="AB10" s="97">
        <f>'Income Statement'!AC484</f>
        <v>539</v>
      </c>
      <c r="AC10" s="97">
        <f>'Income Statement'!AD484</f>
        <v>576</v>
      </c>
      <c r="AD10" s="97">
        <f>'Income Statement'!AE484</f>
        <v>505</v>
      </c>
      <c r="AE10" s="97">
        <f>'Income Statement'!AG484</f>
        <v>116.74600000000009</v>
      </c>
      <c r="AF10" s="97">
        <f>'Income Statement'!AH484</f>
        <v>55.897354642313616</v>
      </c>
      <c r="AG10" s="97">
        <f>'Income Statement'!AI484</f>
        <v>33.539999999999964</v>
      </c>
      <c r="AH10" s="97">
        <f>'Income Statement'!AJ484</f>
        <v>-2.6559999999999491</v>
      </c>
      <c r="AI10" s="97">
        <f>'Income Statement'!AL484</f>
        <v>135.46800000000007</v>
      </c>
      <c r="AJ10" s="97">
        <f>'Income Statement'!AM484</f>
        <v>47.879999999999995</v>
      </c>
      <c r="AK10" s="97">
        <f>'Income Statement'!AN484</f>
        <v>117</v>
      </c>
      <c r="AL10" s="97">
        <f>'Income Statement'!AO484</f>
        <v>34</v>
      </c>
      <c r="AM10" s="97">
        <f>'Income Statement'!AQ484</f>
        <v>484</v>
      </c>
      <c r="AN10" s="97">
        <f>'Income Statement'!AR484</f>
        <v>424</v>
      </c>
      <c r="AO10" s="97">
        <f>'Income Statement'!AS484</f>
        <v>519</v>
      </c>
      <c r="AP10" s="97">
        <f>'Income Statement'!AT484</f>
        <v>544</v>
      </c>
      <c r="AQ10" s="97">
        <f>'Income Statement'!AV484</f>
        <v>510</v>
      </c>
      <c r="AR10" s="97">
        <f>'Income Statement'!AW484</f>
        <v>482</v>
      </c>
      <c r="AS10" s="97">
        <f>'Income Statement'!AX484</f>
        <v>561</v>
      </c>
      <c r="AT10" s="97">
        <f>'Income Statement'!AY484</f>
        <v>508</v>
      </c>
      <c r="AU10" s="97">
        <f>'Income Statement'!BA484</f>
        <v>510</v>
      </c>
      <c r="AV10" s="97">
        <f>'Income Statement'!BB484</f>
        <v>478</v>
      </c>
      <c r="AW10" s="97">
        <f>'Income Statement'!BC484</f>
        <v>518</v>
      </c>
      <c r="AX10" s="97">
        <f>'Income Statement'!BD484</f>
        <v>259</v>
      </c>
      <c r="AY10" s="97">
        <f>'Income Statement'!BF484</f>
        <v>402</v>
      </c>
      <c r="AZ10" s="97">
        <f>'Income Statement'!BG484</f>
        <v>389</v>
      </c>
      <c r="BA10" s="97">
        <f>'Income Statement'!BH484</f>
        <v>360</v>
      </c>
      <c r="BB10" s="97">
        <f>'Income Statement'!BI484</f>
        <v>342</v>
      </c>
      <c r="BC10" s="97">
        <f>'Income Statement'!BK484</f>
        <v>359</v>
      </c>
      <c r="BD10" s="97">
        <f>'Income Statement'!BL484</f>
        <v>337</v>
      </c>
      <c r="BE10" s="97">
        <f>'Income Statement'!BM484</f>
        <v>363</v>
      </c>
      <c r="BF10" s="97">
        <f>'Income Statement'!BN484</f>
        <v>319</v>
      </c>
      <c r="BG10" s="97">
        <f>'Income Statement'!BP484</f>
        <v>334</v>
      </c>
      <c r="BH10" s="97">
        <f>'Income Statement'!BQ484</f>
        <v>360</v>
      </c>
      <c r="BI10" s="97">
        <f>'Income Statement'!BR484</f>
        <v>325</v>
      </c>
      <c r="BJ10" s="97">
        <f>'Income Statement'!BS484</f>
        <v>289</v>
      </c>
      <c r="BK10" s="97">
        <f>'Income Statement'!BU484</f>
        <v>289</v>
      </c>
      <c r="BL10" s="97">
        <f>'Income Statement'!BV484</f>
        <v>322</v>
      </c>
      <c r="BM10" s="97">
        <f>'Income Statement'!BW484</f>
        <v>308</v>
      </c>
      <c r="BN10" s="97">
        <f>'Income Statement'!BX484</f>
        <v>232</v>
      </c>
      <c r="BO10" s="97">
        <f>'Income Statement'!BZ484</f>
        <v>320</v>
      </c>
      <c r="BP10" s="97">
        <f>'Income Statement'!CA484</f>
        <v>329</v>
      </c>
      <c r="BQ10" s="97">
        <f>'Income Statement'!CB484</f>
        <v>287</v>
      </c>
      <c r="BR10" s="97">
        <f>'Income Statement'!CC484</f>
        <v>56</v>
      </c>
      <c r="BS10" s="97">
        <f>'Income Statement'!CE484</f>
        <v>353</v>
      </c>
      <c r="BT10" s="97">
        <f>'Income Statement'!CF484</f>
        <v>356</v>
      </c>
      <c r="BU10" s="97">
        <f>'Income Statement'!CG484</f>
        <v>366</v>
      </c>
      <c r="BV10" s="97">
        <f>'Income Statement'!CH484</f>
        <v>321</v>
      </c>
      <c r="BW10" s="97">
        <f>'Income Statement'!CJ484</f>
        <v>371</v>
      </c>
      <c r="BX10" s="97">
        <f>'Income Statement'!CK484</f>
        <v>398</v>
      </c>
      <c r="BY10" s="97">
        <f>'Income Statement'!CL484</f>
        <v>412</v>
      </c>
      <c r="BZ10" s="97">
        <f>'Income Statement'!CM484</f>
        <v>380</v>
      </c>
      <c r="CA10" s="97">
        <f>'Income Statement'!CO484</f>
        <v>417</v>
      </c>
      <c r="CB10" s="97">
        <f>'Income Statement'!CP484</f>
        <v>436</v>
      </c>
      <c r="CG10" s="97">
        <f>'Income Statement'!Q484</f>
        <v>2295</v>
      </c>
      <c r="CH10" s="97">
        <f>'Income Statement'!V484</f>
        <v>2531</v>
      </c>
      <c r="CI10" s="97">
        <f>'Income Statement'!AA484</f>
        <v>1993</v>
      </c>
      <c r="CJ10" s="97">
        <f>'Income Statement'!AF484</f>
        <v>2103</v>
      </c>
      <c r="CK10" s="97">
        <f>'Income Statement'!AK484</f>
        <v>1607.561874065377</v>
      </c>
      <c r="CL10" s="97">
        <f>'Income Statement'!AP484</f>
        <v>2064.1792126289793</v>
      </c>
      <c r="CM10" s="97">
        <f>'Income Statement'!AU484</f>
        <v>1971</v>
      </c>
      <c r="CN10" s="97">
        <f>'Income Statement'!AZ484</f>
        <v>2061</v>
      </c>
      <c r="CO10" s="97">
        <f>'Income Statement'!BE484</f>
        <v>1765</v>
      </c>
      <c r="CP10" s="97">
        <f>'Income Statement'!BJ484</f>
        <v>1527</v>
      </c>
      <c r="CQ10" s="97">
        <f>'Income Statement'!BO484</f>
        <v>1410</v>
      </c>
      <c r="CR10" s="97">
        <f>'Income Statement'!BT484</f>
        <v>1216</v>
      </c>
      <c r="CS10" s="97">
        <f>'Income Statement'!BY484</f>
        <v>1151</v>
      </c>
      <c r="CT10" s="97">
        <f>'Income Statement'!CD484</f>
        <v>992</v>
      </c>
      <c r="CU10" s="97">
        <f>'Income Statement'!CI484</f>
        <v>1396</v>
      </c>
      <c r="CV10" s="97">
        <f>'Income Statement'!CN484</f>
        <v>1583</v>
      </c>
      <c r="CW10" s="97">
        <f>'Income Statement'!CQ484</f>
        <v>1794.4281173919558</v>
      </c>
      <c r="CX10" s="97">
        <f>'Income Statement'!CR484</f>
        <v>1924.5715986894747</v>
      </c>
      <c r="CY10" s="97">
        <f>'Income Statement'!CS484</f>
        <v>2040.680148159393</v>
      </c>
    </row>
    <row r="11" spans="1:113">
      <c r="A11" s="96" t="s">
        <v>240</v>
      </c>
      <c r="B11" s="96"/>
      <c r="C11" s="97"/>
      <c r="D11" s="97"/>
      <c r="E11" s="97"/>
      <c r="F11" s="97"/>
      <c r="G11" s="97">
        <f>'Income Statement'!C49</f>
        <v>129.79999999999995</v>
      </c>
      <c r="H11" s="97">
        <f>'Income Statement'!D49</f>
        <v>171</v>
      </c>
      <c r="I11" s="97">
        <f>'Income Statement'!E49</f>
        <v>195</v>
      </c>
      <c r="J11" s="97">
        <f>'Income Statement'!F49</f>
        <v>401</v>
      </c>
      <c r="K11" s="97">
        <f>'Income Statement'!H49</f>
        <v>158</v>
      </c>
      <c r="L11" s="97">
        <f>'Income Statement'!I49</f>
        <v>199</v>
      </c>
      <c r="M11" s="97">
        <f>'Income Statement'!J49</f>
        <v>291</v>
      </c>
      <c r="N11" s="97">
        <f>'Income Statement'!K49</f>
        <v>596</v>
      </c>
      <c r="O11" s="97">
        <f>'Income Statement'!M49</f>
        <v>135</v>
      </c>
      <c r="P11" s="97">
        <f>'Income Statement'!N49</f>
        <v>307</v>
      </c>
      <c r="Q11" s="97">
        <f>'Income Statement'!O49</f>
        <v>489</v>
      </c>
      <c r="R11" s="97">
        <f>'Income Statement'!P49</f>
        <v>513</v>
      </c>
      <c r="S11" s="97">
        <f>'Income Statement'!R49</f>
        <v>257</v>
      </c>
      <c r="T11" s="97">
        <f>'Income Statement'!S49</f>
        <v>225</v>
      </c>
      <c r="U11" s="97">
        <f>'Income Statement'!T49</f>
        <v>225</v>
      </c>
      <c r="V11" s="97">
        <f>'Income Statement'!U49</f>
        <v>282</v>
      </c>
      <c r="W11" s="97">
        <f>'Income Statement'!W49</f>
        <v>78</v>
      </c>
      <c r="X11" s="97">
        <f>'Income Statement'!X49</f>
        <v>176</v>
      </c>
      <c r="Y11" s="97">
        <f>'Income Statement'!Y49</f>
        <v>145</v>
      </c>
      <c r="Z11" s="97">
        <f>'Income Statement'!Z49</f>
        <v>591</v>
      </c>
      <c r="AA11" s="97">
        <f>'Income Statement'!AB49</f>
        <v>191</v>
      </c>
      <c r="AB11" s="97">
        <f>'Income Statement'!AC49</f>
        <v>216</v>
      </c>
      <c r="AC11" s="97">
        <f>'Income Statement'!AD49</f>
        <v>141</v>
      </c>
      <c r="AD11" s="97">
        <f>'Income Statement'!AE49</f>
        <v>267</v>
      </c>
      <c r="AE11" s="97">
        <f>'Income Statement'!AG49</f>
        <v>118</v>
      </c>
      <c r="AF11" s="97">
        <f>'Income Statement'!AH49</f>
        <v>155</v>
      </c>
      <c r="AG11" s="97">
        <f>'Income Statement'!AI49</f>
        <v>337</v>
      </c>
      <c r="AH11" s="97">
        <f>'Income Statement'!AJ49</f>
        <v>530</v>
      </c>
      <c r="AI11" s="97">
        <f>'Income Statement'!AL49</f>
        <v>146</v>
      </c>
      <c r="AJ11" s="97">
        <f>'Income Statement'!AM49</f>
        <v>260</v>
      </c>
      <c r="AK11" s="97">
        <f>'Income Statement'!AN49</f>
        <v>359</v>
      </c>
      <c r="AL11" s="97">
        <f>'Income Statement'!AO49</f>
        <v>539</v>
      </c>
      <c r="AM11" s="97">
        <f>'Income Statement'!AQ49</f>
        <v>159</v>
      </c>
      <c r="AN11" s="97">
        <f>'Income Statement'!AR49</f>
        <v>333</v>
      </c>
      <c r="AO11" s="97">
        <f>'Income Statement'!AS49</f>
        <v>249</v>
      </c>
      <c r="AP11" s="97">
        <f>'Income Statement'!AT49</f>
        <v>448</v>
      </c>
      <c r="AQ11" s="97">
        <f>'Income Statement'!AV49</f>
        <v>162</v>
      </c>
      <c r="AR11" s="97">
        <f>'Income Statement'!AW49</f>
        <v>211</v>
      </c>
      <c r="AS11" s="97">
        <f>'Income Statement'!AX49</f>
        <v>273</v>
      </c>
      <c r="AT11" s="97">
        <f>'Income Statement'!AY49</f>
        <v>382</v>
      </c>
      <c r="AU11" s="97">
        <f>'Income Statement'!BA49</f>
        <v>107</v>
      </c>
      <c r="AV11" s="97">
        <f>'Income Statement'!BB49</f>
        <v>212</v>
      </c>
      <c r="AW11" s="97">
        <f>'Income Statement'!BC49</f>
        <v>195</v>
      </c>
      <c r="AX11" s="97">
        <f>'Income Statement'!BD49</f>
        <v>524</v>
      </c>
      <c r="AY11" s="97">
        <f>'Income Statement'!BF49</f>
        <v>127</v>
      </c>
      <c r="AZ11" s="97">
        <f>'Income Statement'!BG49</f>
        <v>267</v>
      </c>
      <c r="BA11" s="97">
        <f>'Income Statement'!BH49</f>
        <v>242</v>
      </c>
      <c r="BB11" s="97">
        <f>'Income Statement'!BI49</f>
        <v>577</v>
      </c>
      <c r="BC11" s="97">
        <f>'Income Statement'!BK49</f>
        <v>163</v>
      </c>
      <c r="BD11" s="97">
        <f>'Income Statement'!BL49</f>
        <v>259</v>
      </c>
      <c r="BE11" s="97">
        <f>'Income Statement'!BM49</f>
        <v>319</v>
      </c>
      <c r="BF11" s="97">
        <f>'Income Statement'!BN49</f>
        <v>504</v>
      </c>
      <c r="BG11" s="97">
        <f>'Income Statement'!BP49</f>
        <v>136</v>
      </c>
      <c r="BH11" s="97">
        <f>'Income Statement'!BQ49</f>
        <v>180</v>
      </c>
      <c r="BI11" s="97">
        <f>'Income Statement'!BR49</f>
        <v>274</v>
      </c>
      <c r="BJ11" s="97">
        <f>'Income Statement'!BS49</f>
        <v>597</v>
      </c>
      <c r="BK11" s="97">
        <f>'Income Statement'!BU49</f>
        <v>171</v>
      </c>
      <c r="BL11" s="97">
        <f>'Income Statement'!BV49</f>
        <v>241</v>
      </c>
      <c r="BM11" s="97">
        <f>'Income Statement'!BW49</f>
        <v>272</v>
      </c>
      <c r="BN11" s="97">
        <f>'Income Statement'!BX49</f>
        <v>430</v>
      </c>
      <c r="BO11" s="97">
        <f>'Income Statement'!BZ49</f>
        <v>130</v>
      </c>
      <c r="BP11" s="97">
        <f>'Income Statement'!CA49</f>
        <v>166</v>
      </c>
      <c r="BQ11" s="97">
        <f>'Income Statement'!CB49</f>
        <v>215</v>
      </c>
      <c r="BR11" s="97">
        <f>'Income Statement'!CC49</f>
        <v>302</v>
      </c>
      <c r="BS11" s="97">
        <f>'Income Statement'!CE49</f>
        <v>106</v>
      </c>
      <c r="BT11" s="97">
        <f>'Income Statement'!CF49</f>
        <v>116</v>
      </c>
      <c r="BU11" s="97">
        <f>'Income Statement'!CG49</f>
        <v>140</v>
      </c>
      <c r="BV11" s="97">
        <f>'Income Statement'!CH49</f>
        <v>312</v>
      </c>
      <c r="BW11" s="97">
        <f>'Income Statement'!CJ49</f>
        <v>86</v>
      </c>
      <c r="BX11" s="97">
        <f>'Income Statement'!CK49</f>
        <v>165</v>
      </c>
      <c r="BY11" s="97">
        <f>'Income Statement'!CL49</f>
        <v>224</v>
      </c>
      <c r="BZ11" s="97">
        <f>'Income Statement'!CM49</f>
        <v>511</v>
      </c>
      <c r="CA11" s="97">
        <f>'Income Statement'!CO49</f>
        <v>142</v>
      </c>
      <c r="CB11" s="97">
        <f>'Income Statement'!CP49</f>
        <v>171</v>
      </c>
      <c r="CG11" s="97">
        <f>'Income Statement'!Q49</f>
        <v>1444</v>
      </c>
      <c r="CH11" s="97">
        <f>'Income Statement'!V49</f>
        <v>989</v>
      </c>
      <c r="CI11" s="97">
        <f>'Income Statement'!AA49</f>
        <v>990</v>
      </c>
      <c r="CJ11" s="97">
        <f>'Income Statement'!AF49</f>
        <v>815</v>
      </c>
      <c r="CK11" s="97">
        <f>'Income Statement'!AK49</f>
        <v>1140</v>
      </c>
      <c r="CL11" s="97">
        <f>'Income Statement'!AP49</f>
        <v>1304</v>
      </c>
      <c r="CM11" s="97">
        <f>'Income Statement'!AU49</f>
        <v>1189</v>
      </c>
      <c r="CN11" s="97">
        <f>'Income Statement'!AZ49</f>
        <v>1028</v>
      </c>
      <c r="CO11" s="97">
        <f>'Income Statement'!BE49</f>
        <v>1038</v>
      </c>
      <c r="CP11" s="97">
        <f>'Income Statement'!BJ49</f>
        <v>1213</v>
      </c>
      <c r="CQ11" s="97">
        <f>'Income Statement'!BO49</f>
        <v>1245</v>
      </c>
      <c r="CR11" s="97">
        <f>'Income Statement'!BT49</f>
        <v>1187</v>
      </c>
      <c r="CS11" s="97">
        <f>'Income Statement'!BY49</f>
        <v>1114</v>
      </c>
      <c r="CT11" s="97">
        <f>'Income Statement'!CD49</f>
        <v>813</v>
      </c>
      <c r="CU11" s="97">
        <f>'Income Statement'!CI49</f>
        <v>674</v>
      </c>
      <c r="CV11" s="97">
        <f>'Income Statement'!CN49</f>
        <v>986</v>
      </c>
      <c r="CW11" s="97">
        <f>'Income Statement'!CQ49</f>
        <v>1094.558857979579</v>
      </c>
      <c r="CX11" s="97">
        <f>'Income Statement'!CR49</f>
        <v>1009.534532260039</v>
      </c>
      <c r="CY11" s="97">
        <f>'Income Statement'!CS49</f>
        <v>1034.2470765174933</v>
      </c>
    </row>
    <row r="12" spans="1:113">
      <c r="A12" s="96" t="s">
        <v>472</v>
      </c>
      <c r="B12" s="96"/>
      <c r="C12" s="98"/>
      <c r="D12" s="98"/>
      <c r="E12" s="98"/>
      <c r="F12" s="98"/>
      <c r="G12" s="98" t="e">
        <f>'Income Statement'!C52</f>
        <v>#DIV/0!</v>
      </c>
      <c r="H12" s="98" t="e">
        <f>'Income Statement'!D52</f>
        <v>#DIV/0!</v>
      </c>
      <c r="I12" s="98" t="e">
        <f>'Income Statement'!E52</f>
        <v>#DIV/0!</v>
      </c>
      <c r="J12" s="98" t="e">
        <f>'Income Statement'!F52</f>
        <v>#DIV/0!</v>
      </c>
      <c r="K12" s="98" t="e">
        <f>'Income Statement'!H52</f>
        <v>#DIV/0!</v>
      </c>
      <c r="L12" s="98" t="e">
        <f>'Income Statement'!I52</f>
        <v>#DIV/0!</v>
      </c>
      <c r="M12" s="98">
        <f>'Income Statement'!J52</f>
        <v>1.0467625899280575</v>
      </c>
      <c r="N12" s="98">
        <f>'Income Statement'!K52</f>
        <v>2.1209964412811386</v>
      </c>
      <c r="O12" s="98">
        <f>'Income Statement'!M52</f>
        <v>0.5056179775280899</v>
      </c>
      <c r="P12" s="98">
        <f>'Income Statement'!N52</f>
        <v>1.2134387351778657</v>
      </c>
      <c r="Q12" s="98">
        <f>'Income Statement'!O52</f>
        <v>1.7846715328467153</v>
      </c>
      <c r="R12" s="98">
        <f>'Income Statement'!P52</f>
        <v>1.8387096774193548</v>
      </c>
      <c r="S12" s="98">
        <f>'Income Statement'!R52</f>
        <v>0.90175438596491231</v>
      </c>
      <c r="T12" s="98">
        <f>'Income Statement'!S52</f>
        <v>0.78125</v>
      </c>
      <c r="U12" s="98">
        <f>'Income Statement'!T52</f>
        <v>0.72815533980582525</v>
      </c>
      <c r="V12" s="98">
        <f>'Income Statement'!U52</f>
        <v>0.91262135922330101</v>
      </c>
      <c r="W12" s="98">
        <f>'Income Statement'!W52</f>
        <v>0.26440677966101694</v>
      </c>
      <c r="X12" s="98">
        <f>'Income Statement'!X52</f>
        <v>0.60899653979238755</v>
      </c>
      <c r="Y12" s="98">
        <f>'Income Statement'!Y52</f>
        <v>0.5017301038062284</v>
      </c>
      <c r="Z12" s="98">
        <f>'Income Statement'!Z52</f>
        <v>1.2085889570552146</v>
      </c>
      <c r="AA12" s="98">
        <f>'Income Statement'!AB52</f>
        <v>0.51621621621621616</v>
      </c>
      <c r="AB12" s="98">
        <f>'Income Statement'!AC52</f>
        <v>0.63529411764705879</v>
      </c>
      <c r="AC12" s="98">
        <f>'Income Statement'!AD52</f>
        <v>0.46534653465346537</v>
      </c>
      <c r="AD12" s="98">
        <f>'Income Statement'!AE52</f>
        <v>0.75637393767705385</v>
      </c>
      <c r="AE12" s="98">
        <f>'Income Statement'!AG52</f>
        <v>0.35542168674698793</v>
      </c>
      <c r="AF12" s="98">
        <f>'Income Statement'!AH52</f>
        <v>0.46268656716417911</v>
      </c>
      <c r="AG12" s="98">
        <f>'Income Statement'!AI52</f>
        <v>1.0337423312883436</v>
      </c>
      <c r="AH12" s="98">
        <f>'Income Statement'!AJ52</f>
        <v>1.2211981566820276</v>
      </c>
      <c r="AI12" s="98">
        <f>'Income Statement'!AL52</f>
        <v>0.60082304526748975</v>
      </c>
      <c r="AJ12" s="98">
        <f>'Income Statement'!AM52</f>
        <v>1.0743801652892562</v>
      </c>
      <c r="AK12" s="98">
        <f>'Income Statement'!AN52</f>
        <v>1.4534412955465588</v>
      </c>
      <c r="AL12" s="98">
        <f>'Income Statement'!AO52</f>
        <v>2.0810810810810811</v>
      </c>
      <c r="AM12" s="98">
        <f>'Income Statement'!AQ52</f>
        <v>0.58029197080291972</v>
      </c>
      <c r="AN12" s="98">
        <f>'Income Statement'!AR52</f>
        <v>1.2957198443579767</v>
      </c>
      <c r="AO12" s="98">
        <f>'Income Statement'!AS52</f>
        <v>0.93962264150943398</v>
      </c>
      <c r="AP12" s="98">
        <f>'Income Statement'!AT52</f>
        <v>1.75</v>
      </c>
      <c r="AQ12" s="98">
        <f>'Income Statement'!AV52</f>
        <v>0.67500000000000004</v>
      </c>
      <c r="AR12" s="98">
        <f>'Income Statement'!AW52</f>
        <v>0.88655462184873945</v>
      </c>
      <c r="AS12" s="98">
        <f>'Income Statement'!AX52</f>
        <v>1.0340909090909092</v>
      </c>
      <c r="AT12" s="98">
        <f>'Income Statement'!AY52</f>
        <v>1.3691756272401434</v>
      </c>
      <c r="AU12" s="98">
        <f>'Income Statement'!BA52</f>
        <v>0.4553191489361702</v>
      </c>
      <c r="AV12" s="98">
        <f>'Income Statement'!BB52</f>
        <v>0.79104477611940294</v>
      </c>
      <c r="AW12" s="98">
        <f>'Income Statement'!BC52</f>
        <v>0.75</v>
      </c>
      <c r="AX12" s="98">
        <f>'Income Statement'!BD52</f>
        <v>1.7180327868852459</v>
      </c>
      <c r="AY12" s="98">
        <f>'Income Statement'!BF52</f>
        <v>0.39318885448916407</v>
      </c>
      <c r="AZ12" s="98">
        <f>'Income Statement'!BG52</f>
        <v>0.82662538699690402</v>
      </c>
      <c r="BA12" s="98">
        <f>'Income Statement'!BH52</f>
        <v>0.64533333333333331</v>
      </c>
      <c r="BB12" s="98">
        <f>'Income Statement'!BI52</f>
        <v>1.6117318435754191</v>
      </c>
      <c r="BC12" s="98">
        <f>'Income Statement'!BK52</f>
        <v>0.45915492957746479</v>
      </c>
      <c r="BD12" s="98">
        <f>'Income Statement'!BL52</f>
        <v>0.72549019607843135</v>
      </c>
      <c r="BE12" s="98">
        <f>'Income Statement'!BM52</f>
        <v>0.94100294985250732</v>
      </c>
      <c r="BF12" s="98">
        <f>'Income Statement'!BN52</f>
        <v>1.3922651933701657</v>
      </c>
      <c r="BG12" s="98">
        <f>'Income Statement'!BP52</f>
        <v>0.35233160621761656</v>
      </c>
      <c r="BH12" s="98">
        <f>'Income Statement'!BQ52</f>
        <v>0.4580152671755725</v>
      </c>
      <c r="BI12" s="98">
        <f>'Income Statement'!BR52</f>
        <v>0.74254742547425479</v>
      </c>
      <c r="BJ12" s="98">
        <f>'Income Statement'!BS52</f>
        <v>1.6048387096774193</v>
      </c>
      <c r="BK12" s="98">
        <f>'Income Statement'!BU52</f>
        <v>0.48857142857142855</v>
      </c>
      <c r="BL12" s="98">
        <f>'Income Statement'!BV52</f>
        <v>0.70262390670553931</v>
      </c>
      <c r="BM12" s="98">
        <f>'Income Statement'!BW52</f>
        <v>0.79300291545189505</v>
      </c>
      <c r="BN12" s="98">
        <f>'Income Statement'!BX52</f>
        <v>1.1559139784946237</v>
      </c>
      <c r="BO12" s="98">
        <f>'Income Statement'!BZ52</f>
        <v>0.37249283667621774</v>
      </c>
      <c r="BP12" s="98">
        <f>'Income Statement'!CA52</f>
        <v>0.47976878612716761</v>
      </c>
      <c r="BQ12" s="98">
        <f>'Income Statement'!CB52</f>
        <v>0.61428571428571432</v>
      </c>
      <c r="BR12" s="98">
        <f>'Income Statement'!CC52</f>
        <v>0.62916666666666665</v>
      </c>
      <c r="BS12" s="98">
        <f>'Income Statement'!CE52</f>
        <v>0.28882833787465939</v>
      </c>
      <c r="BT12" s="98">
        <f>'Income Statement'!CF52</f>
        <v>0.31868131868131866</v>
      </c>
      <c r="BU12" s="98">
        <f>'Income Statement'!CG52</f>
        <v>0.38674033149171272</v>
      </c>
      <c r="BV12" s="98">
        <f>'Income Statement'!CH52</f>
        <v>0.84324324324324329</v>
      </c>
      <c r="BW12" s="98">
        <f>'Income Statement'!CJ52</f>
        <v>0.23822714681440443</v>
      </c>
      <c r="BX12" s="98">
        <f>'Income Statement'!CK52</f>
        <v>0.45706371191135736</v>
      </c>
      <c r="BY12" s="98">
        <f>'Income Statement'!CL52</f>
        <v>0.60869565217391308</v>
      </c>
      <c r="BZ12" s="98">
        <f>'Income Statement'!CM52</f>
        <v>1.2648514851485149</v>
      </c>
      <c r="CA12" s="98">
        <f>'Income Statement'!CO52</f>
        <v>0.39335180055401664</v>
      </c>
      <c r="CB12" s="98">
        <f>'Income Statement'!CP52</f>
        <v>0.48169014084507045</v>
      </c>
      <c r="CG12" s="98">
        <f>'Income Statement'!Q52</f>
        <v>1.3457595526561044</v>
      </c>
      <c r="CH12" s="98">
        <f>'Income Statement'!V52</f>
        <v>0.83039462636439965</v>
      </c>
      <c r="CI12" s="98">
        <f>'Income Statement'!AA52</f>
        <v>0.72687224669603523</v>
      </c>
      <c r="CJ12" s="98">
        <f>'Income Statement'!AF52</f>
        <v>0.59663250366032206</v>
      </c>
      <c r="CK12" s="98">
        <f>'Income Statement'!AK52</f>
        <v>0.79887876664330759</v>
      </c>
      <c r="CL12" s="98">
        <f>'Income Statement'!AP52</f>
        <v>1.3158425832492431</v>
      </c>
      <c r="CM12" s="98">
        <f>'Income Statement'!AU52</f>
        <v>1.1302281368821292</v>
      </c>
      <c r="CN12" s="98">
        <f>'Income Statement'!AZ52</f>
        <v>1.0068560235063664</v>
      </c>
      <c r="CO12" s="98">
        <f>'Income Statement'!BE52</f>
        <v>0.9719101123595506</v>
      </c>
      <c r="CP12" s="98">
        <f>'Income Statement'!BJ52</f>
        <v>0.87962291515591007</v>
      </c>
      <c r="CQ12" s="98">
        <f>'Income Statement'!BO52</f>
        <v>0.88110403397027603</v>
      </c>
      <c r="CR12" s="98">
        <f>'Income Statement'!BT52</f>
        <v>0.78092105263157896</v>
      </c>
      <c r="CS12" s="98">
        <f>'Income Statement'!BY52</f>
        <v>0.79119318181818177</v>
      </c>
      <c r="CT12" s="98">
        <f>'Income Statement'!CD52</f>
        <v>0.53311475409836062</v>
      </c>
      <c r="CU12" s="98">
        <f>'Income Statement'!CI52</f>
        <v>0.46069719753930283</v>
      </c>
      <c r="CV12" s="98">
        <f>'Income Statement'!CN52</f>
        <v>0.65997322623828647</v>
      </c>
      <c r="CW12" s="98">
        <f>'Income Statement'!CQ52</f>
        <v>0.77840278345250824</v>
      </c>
      <c r="CX12" s="98">
        <f>'Income Statement'!CR52</f>
        <v>0.72040468080521558</v>
      </c>
      <c r="CY12" s="98">
        <f>'Income Statement'!CS52</f>
        <v>0.73688377362573887</v>
      </c>
    </row>
    <row r="13" spans="1:113">
      <c r="A13" s="96" t="s">
        <v>219</v>
      </c>
      <c r="B13" s="96"/>
      <c r="C13" s="97"/>
      <c r="D13" s="97"/>
      <c r="E13" s="97"/>
      <c r="F13" s="97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70"/>
      <c r="BX13" s="70"/>
      <c r="BY13" s="70"/>
      <c r="BZ13" s="70"/>
      <c r="CA13" s="70"/>
      <c r="CB13" s="70"/>
      <c r="CG13" s="70"/>
      <c r="CH13" s="70"/>
      <c r="CI13" s="70"/>
      <c r="CJ13" s="70"/>
      <c r="CK13" s="70"/>
      <c r="CL13" s="70"/>
      <c r="CM13" s="70"/>
      <c r="CN13" s="70"/>
      <c r="CO13" s="70"/>
      <c r="CP13" s="70"/>
      <c r="CQ13" s="70"/>
      <c r="CR13" s="70"/>
      <c r="CS13" s="70"/>
      <c r="CT13" s="70"/>
      <c r="CU13" s="70"/>
      <c r="CV13" s="70"/>
      <c r="CW13" s="70"/>
      <c r="CX13" s="70"/>
      <c r="CY13" s="70"/>
    </row>
    <row r="14" spans="1:113">
      <c r="A14" s="96" t="s">
        <v>145</v>
      </c>
      <c r="B14" s="96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8"/>
      <c r="AN14" s="98"/>
      <c r="AO14" s="98"/>
      <c r="AP14" s="98"/>
      <c r="AQ14" s="98"/>
      <c r="AR14" s="98"/>
      <c r="AS14" s="98"/>
      <c r="AT14" s="98"/>
      <c r="AU14" s="98"/>
      <c r="AV14" s="98"/>
      <c r="AW14" s="98"/>
      <c r="AX14" s="98"/>
      <c r="AY14" s="98"/>
      <c r="AZ14" s="98"/>
      <c r="BA14" s="98"/>
      <c r="BB14" s="98"/>
      <c r="BC14" s="98"/>
      <c r="BD14" s="98"/>
      <c r="BE14" s="98"/>
      <c r="BF14" s="98"/>
      <c r="BG14" s="98"/>
      <c r="BH14" s="98"/>
      <c r="BI14" s="98"/>
      <c r="BJ14" s="98"/>
      <c r="BK14" s="98"/>
      <c r="BL14" s="98"/>
      <c r="BM14" s="98"/>
      <c r="BN14" s="98"/>
      <c r="BO14" s="98"/>
      <c r="BP14" s="98"/>
      <c r="BQ14" s="98"/>
      <c r="BR14" s="98"/>
      <c r="BS14" s="98"/>
      <c r="BT14" s="98"/>
      <c r="BU14" s="98"/>
      <c r="BV14" s="98"/>
      <c r="BW14" s="98"/>
      <c r="BX14" s="98"/>
      <c r="BY14" s="98"/>
      <c r="BZ14" s="98"/>
      <c r="CA14" s="98"/>
      <c r="CB14" s="98"/>
      <c r="CG14" s="98"/>
      <c r="CH14" s="98"/>
      <c r="CI14" s="98"/>
      <c r="CJ14" s="98"/>
      <c r="CK14" s="98"/>
      <c r="CL14" s="98"/>
      <c r="CM14" s="98"/>
      <c r="CN14" s="98"/>
      <c r="CO14" s="98"/>
      <c r="CP14" s="98"/>
      <c r="CQ14" s="98"/>
      <c r="CR14" s="98"/>
      <c r="CS14" s="98"/>
      <c r="CT14" s="98"/>
      <c r="CU14" s="98"/>
      <c r="CV14" s="98"/>
      <c r="CW14" s="98"/>
      <c r="CX14" s="98"/>
      <c r="CY14" s="98"/>
    </row>
    <row r="15" spans="1:113" s="792" customFormat="1" ht="13">
      <c r="A15" s="790"/>
      <c r="B15" s="790"/>
      <c r="C15" s="791"/>
      <c r="D15" s="791"/>
      <c r="E15" s="791"/>
      <c r="F15" s="791"/>
      <c r="G15" s="791"/>
      <c r="H15" s="791"/>
      <c r="I15" s="791"/>
      <c r="J15" s="791"/>
      <c r="K15" s="791"/>
      <c r="L15" s="791"/>
      <c r="M15" s="791"/>
      <c r="N15" s="791"/>
      <c r="O15" s="791"/>
      <c r="P15" s="791"/>
      <c r="Q15" s="791"/>
      <c r="R15" s="791"/>
      <c r="S15" s="791"/>
      <c r="T15" s="791"/>
      <c r="U15" s="791"/>
      <c r="V15" s="791"/>
      <c r="W15" s="791"/>
      <c r="X15" s="791"/>
      <c r="Y15" s="791"/>
      <c r="Z15" s="791"/>
      <c r="AA15" s="791"/>
      <c r="AB15" s="791"/>
      <c r="AC15" s="791"/>
      <c r="AD15" s="791"/>
      <c r="AE15" s="791"/>
      <c r="AF15" s="791"/>
      <c r="AG15" s="791"/>
      <c r="AH15" s="791"/>
      <c r="AI15" s="791"/>
      <c r="AJ15" s="791"/>
      <c r="AK15" s="791"/>
      <c r="AL15" s="791"/>
      <c r="AM15" s="791"/>
      <c r="AN15" s="791"/>
      <c r="AO15" s="791"/>
      <c r="AP15" s="791"/>
      <c r="AQ15" s="791"/>
      <c r="AR15" s="791"/>
      <c r="AS15" s="791"/>
      <c r="AT15" s="791"/>
      <c r="AU15" s="791"/>
      <c r="AV15" s="791"/>
      <c r="AW15" s="791"/>
      <c r="AX15" s="791"/>
      <c r="AY15" s="791"/>
      <c r="AZ15" s="791"/>
      <c r="BA15" s="791"/>
      <c r="BB15" s="791"/>
      <c r="BC15" s="791"/>
      <c r="BD15" s="791"/>
      <c r="BE15" s="791"/>
      <c r="BF15" s="791"/>
      <c r="BG15" s="791"/>
      <c r="BH15" s="791"/>
      <c r="BI15" s="791"/>
      <c r="BJ15" s="791"/>
      <c r="BK15" s="791"/>
      <c r="BL15" s="791"/>
      <c r="BM15" s="791"/>
      <c r="BN15" s="791"/>
      <c r="BO15" s="791"/>
      <c r="BP15" s="791"/>
      <c r="BQ15" s="791"/>
      <c r="BR15" s="791"/>
      <c r="BS15" s="791"/>
      <c r="BT15" s="791"/>
      <c r="BU15" s="791"/>
      <c r="BV15" s="791"/>
      <c r="BW15" s="791"/>
      <c r="BX15" s="791"/>
      <c r="BY15" s="791"/>
      <c r="BZ15" s="791"/>
      <c r="CA15" s="791"/>
      <c r="CB15" s="791"/>
      <c r="CF15" s="793"/>
      <c r="CI15" s="794"/>
      <c r="CJ15" s="794"/>
      <c r="CK15" s="794"/>
      <c r="CL15" s="794"/>
      <c r="CM15" s="794"/>
      <c r="CN15" s="794"/>
      <c r="CO15" s="794"/>
      <c r="CP15" s="794"/>
      <c r="CQ15" s="794"/>
      <c r="CR15" s="794"/>
      <c r="CS15" s="794"/>
      <c r="CT15" s="794"/>
      <c r="CU15" s="794"/>
      <c r="CV15" s="794"/>
      <c r="CW15" s="794"/>
      <c r="CX15" s="794"/>
      <c r="CY15" s="794"/>
      <c r="CZ15" s="794"/>
      <c r="DA15" s="794"/>
      <c r="DB15" s="794"/>
      <c r="DC15" s="794"/>
      <c r="DD15" s="794"/>
      <c r="DE15" s="794"/>
      <c r="DF15" s="794"/>
      <c r="DG15" s="794"/>
      <c r="DH15" s="794"/>
      <c r="DI15" s="794"/>
    </row>
    <row r="16" spans="1:113" s="792" customFormat="1" ht="13">
      <c r="A16" s="790" t="s">
        <v>162</v>
      </c>
      <c r="B16" s="790"/>
      <c r="C16" s="791"/>
      <c r="D16" s="791"/>
      <c r="E16" s="791"/>
      <c r="F16" s="791"/>
      <c r="G16" s="791"/>
      <c r="H16" s="791"/>
      <c r="I16" s="791"/>
      <c r="J16" s="791"/>
      <c r="K16" s="791"/>
      <c r="L16" s="791"/>
      <c r="M16" s="791"/>
      <c r="N16" s="791"/>
      <c r="O16" s="791"/>
      <c r="P16" s="791"/>
      <c r="Q16" s="791"/>
      <c r="R16" s="791"/>
      <c r="S16" s="791"/>
      <c r="T16" s="791"/>
      <c r="U16" s="791"/>
      <c r="V16" s="791"/>
      <c r="W16" s="791"/>
      <c r="X16" s="791"/>
      <c r="Y16" s="791"/>
      <c r="Z16" s="791"/>
      <c r="AA16" s="791"/>
      <c r="AB16" s="791"/>
      <c r="AC16" s="791"/>
      <c r="AD16" s="791"/>
      <c r="AE16" s="791"/>
      <c r="AF16" s="791"/>
      <c r="AG16" s="791"/>
      <c r="AH16" s="791"/>
      <c r="AI16" s="796">
        <f>'[3]Key Balance Sheet &amp; CFlow Items'!O7</f>
        <v>8723</v>
      </c>
      <c r="AJ16" s="796">
        <f>'[3]Key Balance Sheet &amp; CFlow Items'!P7</f>
        <v>9569</v>
      </c>
      <c r="AK16" s="796">
        <f>'[3]Key Balance Sheet &amp; CFlow Items'!Q7</f>
        <v>9105</v>
      </c>
      <c r="AL16" s="796">
        <f>'[3]Key Balance Sheet &amp; CFlow Items'!R7</f>
        <v>9130</v>
      </c>
      <c r="AM16" s="796">
        <f>'[3]Key Balance Sheet &amp; CFlow Items'!S7</f>
        <v>8695</v>
      </c>
      <c r="AN16" s="796">
        <f>'[3]Key Balance Sheet &amp; CFlow Items'!T7</f>
        <v>8751</v>
      </c>
      <c r="AO16" s="796">
        <f>'[3]Key Balance Sheet &amp; CFlow Items'!U7</f>
        <v>8300</v>
      </c>
      <c r="AP16" s="796">
        <f>'[3]Key Balance Sheet &amp; CFlow Items'!V7</f>
        <v>9253</v>
      </c>
      <c r="AQ16" s="796">
        <f>'[3]Key Balance Sheet &amp; CFlow Items'!W7</f>
        <v>9263</v>
      </c>
      <c r="AR16" s="796">
        <f>'[3]Key Balance Sheet &amp; CFlow Items'!X7</f>
        <v>9295</v>
      </c>
      <c r="AS16" s="796">
        <f>'[3]Key Balance Sheet &amp; CFlow Items'!Y7</f>
        <v>7839</v>
      </c>
      <c r="AT16" s="796">
        <f>'[3]Key Balance Sheet &amp; CFlow Items'!Z7</f>
        <v>7643</v>
      </c>
      <c r="AU16" s="796">
        <f>'[3]Key Balance Sheet &amp; CFlow Items'!AA7</f>
        <v>7622</v>
      </c>
      <c r="AV16" s="796">
        <f>'[3]Key Balance Sheet &amp; CFlow Items'!AB7</f>
        <v>7637</v>
      </c>
      <c r="AW16" s="796">
        <f>'[3]Key Balance Sheet &amp; CFlow Items'!AC7</f>
        <v>7622</v>
      </c>
      <c r="AX16" s="796">
        <f>'[3]Key Balance Sheet &amp; CFlow Items'!AD7</f>
        <v>7639</v>
      </c>
      <c r="AY16" s="796">
        <f>'[3]Key Balance Sheet &amp; CFlow Items'!AE7</f>
        <v>8717</v>
      </c>
      <c r="AZ16" s="796">
        <f>'[3]Key Balance Sheet &amp; CFlow Items'!AF7</f>
        <v>8731</v>
      </c>
      <c r="BA16" s="796">
        <f>'[3]Key Balance Sheet &amp; CFlow Items'!AG7</f>
        <v>8704</v>
      </c>
      <c r="BB16" s="796">
        <f>'[3]Key Balance Sheet &amp; CFlow Items'!AH7</f>
        <v>8953</v>
      </c>
      <c r="BC16" s="796">
        <f>'[3]Key Balance Sheet &amp; CFlow Items'!AI7</f>
        <v>8990</v>
      </c>
      <c r="BD16" s="796">
        <f>'[3]Key Balance Sheet &amp; CFlow Items'!AJ7</f>
        <v>8951</v>
      </c>
      <c r="BE16" s="796">
        <f>'[3]Key Balance Sheet &amp; CFlow Items'!AK7</f>
        <v>8910</v>
      </c>
      <c r="BF16" s="796">
        <f>'[3]Key Balance Sheet &amp; CFlow Items'!AL7</f>
        <v>9780</v>
      </c>
      <c r="BG16" s="796">
        <f>'[3]Key Balance Sheet &amp; CFlow Items'!AM7</f>
        <v>10092</v>
      </c>
      <c r="BH16" s="796">
        <f>'[3]Key Balance Sheet &amp; CFlow Items'!AN7</f>
        <v>10341</v>
      </c>
      <c r="BI16" s="796">
        <f>'[3]Key Balance Sheet &amp; CFlow Items'!AO7</f>
        <v>10070</v>
      </c>
      <c r="BJ16" s="796">
        <f>'[3]Key Balance Sheet &amp; CFlow Items'!AP7</f>
        <v>10098</v>
      </c>
      <c r="BK16" s="796">
        <f>'[3]Key Balance Sheet &amp; CFlow Items'!AQ7</f>
        <v>9936</v>
      </c>
      <c r="BL16" s="796">
        <f>'[3]Key Balance Sheet &amp; CFlow Items'!AR7</f>
        <v>9895</v>
      </c>
      <c r="BM16" s="796">
        <f>'[3]Key Balance Sheet &amp; CFlow Items'!AS7</f>
        <v>10285</v>
      </c>
      <c r="BN16" s="796">
        <f>'[3]Key Balance Sheet &amp; CFlow Items'!AT7</f>
        <v>9865</v>
      </c>
      <c r="BO16" s="796">
        <f>'[3]Key Balance Sheet &amp; CFlow Items'!AU7</f>
        <v>10157</v>
      </c>
      <c r="BP16" s="796">
        <f>'[3]Key Balance Sheet &amp; CFlow Items'!AV7</f>
        <v>10056</v>
      </c>
      <c r="BQ16" s="796">
        <f>'[3]Key Balance Sheet &amp; CFlow Items'!AW7</f>
        <v>9768</v>
      </c>
      <c r="BR16" s="796">
        <f>'[3]Key Balance Sheet &amp; CFlow Items'!AX7</f>
        <v>9772</v>
      </c>
      <c r="BS16" s="796">
        <f>'[3]Key Balance Sheet &amp; CFlow Items'!AY7</f>
        <v>10065</v>
      </c>
      <c r="BT16" s="796">
        <f>'[3]Key Balance Sheet &amp; CFlow Items'!AZ7</f>
        <v>9249</v>
      </c>
      <c r="BU16" s="796">
        <f>'[3]Key Balance Sheet &amp; CFlow Items'!BA7</f>
        <v>9290</v>
      </c>
      <c r="BV16" s="796">
        <f>'[3]Key Balance Sheet &amp; CFlow Items'!BB7</f>
        <v>9289</v>
      </c>
      <c r="BW16" s="796">
        <f>'[3]Key Balance Sheet &amp; CFlow Items'!BC7</f>
        <v>9842</v>
      </c>
      <c r="BX16" s="796">
        <f>'[3]Key Balance Sheet &amp; CFlow Items'!BD7</f>
        <v>9025</v>
      </c>
      <c r="BY16" s="796">
        <f>'[3]Key Balance Sheet &amp; CFlow Items'!BE7</f>
        <v>8978</v>
      </c>
      <c r="BZ16" s="796">
        <f>'[3]Key Balance Sheet &amp; CFlow Items'!BF7</f>
        <v>8980</v>
      </c>
      <c r="CA16" s="796">
        <f>'[3]Key Balance Sheet &amp; CFlow Items'!BG7</f>
        <v>8962</v>
      </c>
      <c r="CB16" s="796">
        <f>'[3]Key Balance Sheet &amp; CFlow Items'!BH7</f>
        <v>9274</v>
      </c>
      <c r="CF16" s="793"/>
      <c r="CI16" s="794"/>
      <c r="CJ16" s="794"/>
      <c r="CK16" s="794"/>
      <c r="CL16" s="794"/>
      <c r="CM16" s="794"/>
      <c r="CN16" s="794"/>
      <c r="CO16" s="794"/>
      <c r="CP16" s="794"/>
      <c r="CQ16" s="794"/>
      <c r="CR16" s="794"/>
      <c r="CS16" s="794"/>
      <c r="CT16" s="794"/>
      <c r="CU16" s="794"/>
      <c r="CV16" s="794"/>
      <c r="CW16" s="794"/>
      <c r="CX16" s="794"/>
      <c r="CY16" s="794"/>
      <c r="CZ16" s="794"/>
      <c r="DA16" s="794"/>
      <c r="DB16" s="794"/>
      <c r="DC16" s="794"/>
      <c r="DD16" s="794"/>
      <c r="DE16" s="794"/>
      <c r="DF16" s="794"/>
      <c r="DG16" s="794"/>
      <c r="DH16" s="794"/>
      <c r="DI16" s="794"/>
    </row>
    <row r="17" spans="1:113" s="792" customFormat="1" ht="13">
      <c r="A17" s="790" t="s">
        <v>588</v>
      </c>
      <c r="B17" s="790"/>
      <c r="C17" s="791"/>
      <c r="D17" s="791"/>
      <c r="E17" s="791"/>
      <c r="F17" s="791"/>
      <c r="G17" s="791"/>
      <c r="H17" s="791"/>
      <c r="I17" s="791"/>
      <c r="J17" s="791"/>
      <c r="K17" s="791"/>
      <c r="L17" s="791"/>
      <c r="M17" s="791"/>
      <c r="N17" s="791"/>
      <c r="O17" s="791"/>
      <c r="P17" s="791"/>
      <c r="Q17" s="791"/>
      <c r="R17" s="791"/>
      <c r="S17" s="791"/>
      <c r="T17" s="791"/>
      <c r="U17" s="791"/>
      <c r="V17" s="791"/>
      <c r="W17" s="791"/>
      <c r="X17" s="791"/>
      <c r="Y17" s="791"/>
      <c r="Z17" s="791"/>
      <c r="AA17" s="791"/>
      <c r="AB17" s="791"/>
      <c r="AC17" s="791"/>
      <c r="AD17" s="791"/>
      <c r="AE17" s="791"/>
      <c r="AF17" s="791"/>
      <c r="AG17" s="791"/>
      <c r="AH17" s="791"/>
      <c r="AI17" s="796">
        <f>'[3]Key Balance Sheet &amp; CFlow Items'!O8</f>
        <v>1335</v>
      </c>
      <c r="AJ17" s="796">
        <f>'[3]Key Balance Sheet &amp; CFlow Items'!P8</f>
        <v>1557</v>
      </c>
      <c r="AK17" s="796">
        <f>'[3]Key Balance Sheet &amp; CFlow Items'!Q8</f>
        <v>1303</v>
      </c>
      <c r="AL17" s="796">
        <f>'[3]Key Balance Sheet &amp; CFlow Items'!R8</f>
        <v>1296</v>
      </c>
      <c r="AM17" s="796">
        <f>'[3]Key Balance Sheet &amp; CFlow Items'!S8</f>
        <v>786</v>
      </c>
      <c r="AN17" s="796">
        <f>'[3]Key Balance Sheet &amp; CFlow Items'!T8</f>
        <v>973</v>
      </c>
      <c r="AO17" s="796">
        <f>'[3]Key Balance Sheet &amp; CFlow Items'!U8</f>
        <v>696</v>
      </c>
      <c r="AP17" s="796">
        <f>'[3]Key Balance Sheet &amp; CFlow Items'!V8</f>
        <v>682</v>
      </c>
      <c r="AQ17" s="796">
        <f>'[3]Key Balance Sheet &amp; CFlow Items'!W8</f>
        <v>559</v>
      </c>
      <c r="AR17" s="796">
        <f>'[3]Key Balance Sheet &amp; CFlow Items'!X8</f>
        <v>454</v>
      </c>
      <c r="AS17" s="796">
        <f>'[3]Key Balance Sheet &amp; CFlow Items'!Y8</f>
        <v>731</v>
      </c>
      <c r="AT17" s="796">
        <f>'[3]Key Balance Sheet &amp; CFlow Items'!Z8</f>
        <v>602</v>
      </c>
      <c r="AU17" s="796">
        <f>'[3]Key Balance Sheet &amp; CFlow Items'!AA8</f>
        <v>376</v>
      </c>
      <c r="AV17" s="796">
        <f>'[3]Key Balance Sheet &amp; CFlow Items'!AB8</f>
        <v>524</v>
      </c>
      <c r="AW17" s="796">
        <f>'[3]Key Balance Sheet &amp; CFlow Items'!AC8</f>
        <v>734</v>
      </c>
      <c r="AX17" s="796">
        <f>'[3]Key Balance Sheet &amp; CFlow Items'!AD8</f>
        <v>560</v>
      </c>
      <c r="AY17" s="796">
        <f>'[3]Key Balance Sheet &amp; CFlow Items'!AE8</f>
        <v>434</v>
      </c>
      <c r="AZ17" s="796">
        <f>'[3]Key Balance Sheet &amp; CFlow Items'!AF8</f>
        <v>600</v>
      </c>
      <c r="BA17" s="796">
        <f>'[3]Key Balance Sheet &amp; CFlow Items'!AG8</f>
        <v>844</v>
      </c>
      <c r="BB17" s="796">
        <f>'[3]Key Balance Sheet &amp; CFlow Items'!AH8</f>
        <v>582</v>
      </c>
      <c r="BC17" s="796">
        <f>'[3]Key Balance Sheet &amp; CFlow Items'!AI8</f>
        <v>948</v>
      </c>
      <c r="BD17" s="796">
        <f>'[3]Key Balance Sheet &amp; CFlow Items'!AJ8</f>
        <v>693</v>
      </c>
      <c r="BE17" s="796">
        <f>'[3]Key Balance Sheet &amp; CFlow Items'!AK8</f>
        <v>637</v>
      </c>
      <c r="BF17" s="796">
        <f>'[3]Key Balance Sheet &amp; CFlow Items'!AL8</f>
        <v>735</v>
      </c>
      <c r="BG17" s="796">
        <f>'[3]Key Balance Sheet &amp; CFlow Items'!AM8</f>
        <v>952</v>
      </c>
      <c r="BH17" s="796">
        <f>'[3]Key Balance Sheet &amp; CFlow Items'!AN8</f>
        <v>1369</v>
      </c>
      <c r="BI17" s="796">
        <f>'[3]Key Balance Sheet &amp; CFlow Items'!AO8</f>
        <v>1214</v>
      </c>
      <c r="BJ17" s="796">
        <f>'[3]Key Balance Sheet &amp; CFlow Items'!AP8</f>
        <v>1191</v>
      </c>
      <c r="BK17" s="796">
        <f>'[3]Key Balance Sheet &amp; CFlow Items'!AQ8</f>
        <v>531</v>
      </c>
      <c r="BL17" s="796">
        <f>'[3]Key Balance Sheet &amp; CFlow Items'!AR8</f>
        <v>853</v>
      </c>
      <c r="BM17" s="796">
        <f>'[3]Key Balance Sheet &amp; CFlow Items'!AS8</f>
        <v>1142</v>
      </c>
      <c r="BN17" s="796">
        <f>'[3]Key Balance Sheet &amp; CFlow Items'!AT8</f>
        <v>628</v>
      </c>
      <c r="BO17" s="796">
        <f>'[3]Key Balance Sheet &amp; CFlow Items'!AU8</f>
        <v>340</v>
      </c>
      <c r="BP17" s="796">
        <f>'[3]Key Balance Sheet &amp; CFlow Items'!AV8</f>
        <v>515</v>
      </c>
      <c r="BQ17" s="796">
        <f>'[3]Key Balance Sheet &amp; CFlow Items'!AW8</f>
        <v>695</v>
      </c>
      <c r="BR17" s="796">
        <f>'[3]Key Balance Sheet &amp; CFlow Items'!AX8</f>
        <v>569</v>
      </c>
      <c r="BS17" s="796">
        <f>'[3]Key Balance Sheet &amp; CFlow Items'!AY8</f>
        <v>1168</v>
      </c>
      <c r="BT17" s="796">
        <f>'[3]Key Balance Sheet &amp; CFlow Items'!AZ8</f>
        <v>727</v>
      </c>
      <c r="BU17" s="796">
        <f>'[3]Key Balance Sheet &amp; CFlow Items'!BA8</f>
        <v>827</v>
      </c>
      <c r="BV17" s="796">
        <f>'[3]Key Balance Sheet &amp; CFlow Items'!BB8</f>
        <v>464</v>
      </c>
      <c r="BW17" s="796">
        <f>'[3]Key Balance Sheet &amp; CFlow Items'!BC8</f>
        <v>1231</v>
      </c>
      <c r="BX17" s="796">
        <f>'[3]Key Balance Sheet &amp; CFlow Items'!BD8</f>
        <v>688</v>
      </c>
      <c r="BY17" s="796">
        <f>'[3]Key Balance Sheet &amp; CFlow Items'!BE8</f>
        <v>899</v>
      </c>
      <c r="BZ17" s="796">
        <f>'[3]Key Balance Sheet &amp; CFlow Items'!BF8</f>
        <v>458</v>
      </c>
      <c r="CA17" s="796">
        <f>'[3]Key Balance Sheet &amp; CFlow Items'!BG8</f>
        <v>346</v>
      </c>
      <c r="CB17" s="796">
        <f>'[3]Key Balance Sheet &amp; CFlow Items'!BH8</f>
        <v>804</v>
      </c>
      <c r="CF17" s="793"/>
      <c r="CI17" s="794"/>
      <c r="CJ17" s="794"/>
      <c r="CK17" s="794"/>
      <c r="CL17" s="794"/>
      <c r="CM17" s="794"/>
      <c r="CN17" s="794"/>
      <c r="CO17" s="794"/>
      <c r="CP17" s="794"/>
      <c r="CQ17" s="794"/>
      <c r="CR17" s="794"/>
      <c r="CS17" s="794"/>
      <c r="CT17" s="794"/>
      <c r="CU17" s="794"/>
      <c r="CV17" s="794"/>
      <c r="CW17" s="794"/>
      <c r="CX17" s="794"/>
      <c r="CY17" s="794"/>
      <c r="CZ17" s="794"/>
      <c r="DA17" s="794"/>
      <c r="DB17" s="794"/>
      <c r="DC17" s="794"/>
      <c r="DD17" s="794"/>
      <c r="DE17" s="794"/>
      <c r="DF17" s="794"/>
      <c r="DG17" s="794"/>
      <c r="DH17" s="794"/>
      <c r="DI17" s="794"/>
    </row>
    <row r="18" spans="1:113" s="792" customFormat="1" ht="13">
      <c r="A18" s="790" t="s">
        <v>142</v>
      </c>
      <c r="B18" s="790"/>
      <c r="C18" s="791"/>
      <c r="D18" s="791"/>
      <c r="E18" s="791"/>
      <c r="F18" s="791"/>
      <c r="G18" s="791"/>
      <c r="H18" s="791"/>
      <c r="I18" s="791"/>
      <c r="J18" s="791"/>
      <c r="K18" s="791"/>
      <c r="L18" s="791"/>
      <c r="M18" s="791"/>
      <c r="N18" s="791"/>
      <c r="O18" s="791"/>
      <c r="P18" s="791"/>
      <c r="Q18" s="791"/>
      <c r="R18" s="791"/>
      <c r="S18" s="791"/>
      <c r="T18" s="791"/>
      <c r="U18" s="791"/>
      <c r="V18" s="791"/>
      <c r="W18" s="791"/>
      <c r="X18" s="791"/>
      <c r="Y18" s="791"/>
      <c r="Z18" s="791"/>
      <c r="AA18" s="791"/>
      <c r="AB18" s="791"/>
      <c r="AC18" s="791"/>
      <c r="AD18" s="791"/>
      <c r="AE18" s="791"/>
      <c r="AF18" s="791"/>
      <c r="AG18" s="791"/>
      <c r="AH18" s="791"/>
      <c r="AI18" s="796">
        <f>'[3]Key Balance Sheet &amp; CFlow Items'!O9</f>
        <v>7388</v>
      </c>
      <c r="AJ18" s="796">
        <f>'[3]Key Balance Sheet &amp; CFlow Items'!P9</f>
        <v>8012</v>
      </c>
      <c r="AK18" s="796">
        <f>'[3]Key Balance Sheet &amp; CFlow Items'!Q9</f>
        <v>7802</v>
      </c>
      <c r="AL18" s="796">
        <f>'[3]Key Balance Sheet &amp; CFlow Items'!R9</f>
        <v>7834</v>
      </c>
      <c r="AM18" s="796">
        <f>'[3]Key Balance Sheet &amp; CFlow Items'!S9</f>
        <v>7909</v>
      </c>
      <c r="AN18" s="796">
        <f>'[3]Key Balance Sheet &amp; CFlow Items'!T9</f>
        <v>7778</v>
      </c>
      <c r="AO18" s="796">
        <f>'[3]Key Balance Sheet &amp; CFlow Items'!U9</f>
        <v>7604</v>
      </c>
      <c r="AP18" s="796">
        <f>'[3]Key Balance Sheet &amp; CFlow Items'!V9</f>
        <v>8571</v>
      </c>
      <c r="AQ18" s="796">
        <f>'[3]Key Balance Sheet &amp; CFlow Items'!W9</f>
        <v>8704</v>
      </c>
      <c r="AR18" s="796">
        <f>'[3]Key Balance Sheet &amp; CFlow Items'!X9</f>
        <v>8841</v>
      </c>
      <c r="AS18" s="796">
        <f>'[3]Key Balance Sheet &amp; CFlow Items'!Y9</f>
        <v>7108</v>
      </c>
      <c r="AT18" s="796">
        <f>'[3]Key Balance Sheet &amp; CFlow Items'!Z9</f>
        <v>7041</v>
      </c>
      <c r="AU18" s="796">
        <f>'[3]Key Balance Sheet &amp; CFlow Items'!AA9</f>
        <v>7246</v>
      </c>
      <c r="AV18" s="796">
        <f>'[3]Key Balance Sheet &amp; CFlow Items'!AB9</f>
        <v>7113</v>
      </c>
      <c r="AW18" s="796">
        <f>'[3]Key Balance Sheet &amp; CFlow Items'!AC9</f>
        <v>6888</v>
      </c>
      <c r="AX18" s="796">
        <f>'[3]Key Balance Sheet &amp; CFlow Items'!AD9</f>
        <v>7079</v>
      </c>
      <c r="AY18" s="796">
        <f>'[3]Key Balance Sheet &amp; CFlow Items'!AE9</f>
        <v>8283</v>
      </c>
      <c r="AZ18" s="796">
        <f>'[3]Key Balance Sheet &amp; CFlow Items'!AF9</f>
        <v>8131</v>
      </c>
      <c r="BA18" s="796">
        <f>'[3]Key Balance Sheet &amp; CFlow Items'!AG9</f>
        <v>7860</v>
      </c>
      <c r="BB18" s="796">
        <f>'[3]Key Balance Sheet &amp; CFlow Items'!AH9</f>
        <v>8371</v>
      </c>
      <c r="BC18" s="796">
        <f>'[3]Key Balance Sheet &amp; CFlow Items'!AI9</f>
        <v>8042</v>
      </c>
      <c r="BD18" s="796">
        <f>'[3]Key Balance Sheet &amp; CFlow Items'!AJ9</f>
        <v>8258</v>
      </c>
      <c r="BE18" s="796">
        <f>'[3]Key Balance Sheet &amp; CFlow Items'!AK9</f>
        <v>8273</v>
      </c>
      <c r="BF18" s="796">
        <f>'[3]Key Balance Sheet &amp; CFlow Items'!AL9</f>
        <v>9045</v>
      </c>
      <c r="BG18" s="796">
        <f>'[3]Key Balance Sheet &amp; CFlow Items'!AM9</f>
        <v>9140</v>
      </c>
      <c r="BH18" s="796">
        <f>'[3]Key Balance Sheet &amp; CFlow Items'!AN9</f>
        <v>8972</v>
      </c>
      <c r="BI18" s="796">
        <f>'[3]Key Balance Sheet &amp; CFlow Items'!AO9</f>
        <v>8856</v>
      </c>
      <c r="BJ18" s="796">
        <f>'[3]Key Balance Sheet &amp; CFlow Items'!AP9</f>
        <v>8907</v>
      </c>
      <c r="BK18" s="796">
        <f>'[3]Key Balance Sheet &amp; CFlow Items'!AQ9</f>
        <v>9405</v>
      </c>
      <c r="BL18" s="796">
        <f>'[3]Key Balance Sheet &amp; CFlow Items'!AR9</f>
        <v>9042</v>
      </c>
      <c r="BM18" s="796">
        <f>'[3]Key Balance Sheet &amp; CFlow Items'!AS9</f>
        <v>9143</v>
      </c>
      <c r="BN18" s="796">
        <f>'[3]Key Balance Sheet &amp; CFlow Items'!AT9</f>
        <v>9237</v>
      </c>
      <c r="BO18" s="796">
        <f>'[3]Key Balance Sheet &amp; CFlow Items'!AU9</f>
        <v>9817</v>
      </c>
      <c r="BP18" s="796">
        <f>'[3]Key Balance Sheet &amp; CFlow Items'!AV9</f>
        <v>9541</v>
      </c>
      <c r="BQ18" s="796">
        <f>'[3]Key Balance Sheet &amp; CFlow Items'!AW9</f>
        <v>9073</v>
      </c>
      <c r="BR18" s="796">
        <f>'[3]Key Balance Sheet &amp; CFlow Items'!AX9</f>
        <v>9203</v>
      </c>
      <c r="BS18" s="796">
        <f>'[3]Key Balance Sheet &amp; CFlow Items'!AY9</f>
        <v>8897</v>
      </c>
      <c r="BT18" s="796">
        <f>'[3]Key Balance Sheet &amp; CFlow Items'!AZ9</f>
        <v>8522</v>
      </c>
      <c r="BU18" s="796">
        <f>'[3]Key Balance Sheet &amp; CFlow Items'!BA9</f>
        <v>8463</v>
      </c>
      <c r="BV18" s="796">
        <f>'[3]Key Balance Sheet &amp; CFlow Items'!BB9</f>
        <v>8825</v>
      </c>
      <c r="BW18" s="796">
        <f>'[3]Key Balance Sheet &amp; CFlow Items'!BC9</f>
        <v>8611</v>
      </c>
      <c r="BX18" s="796">
        <f>'[3]Key Balance Sheet &amp; CFlow Items'!BD9</f>
        <v>8337</v>
      </c>
      <c r="BY18" s="796">
        <f>'[3]Key Balance Sheet &amp; CFlow Items'!BE9</f>
        <v>8079</v>
      </c>
      <c r="BZ18" s="796">
        <f>'[3]Key Balance Sheet &amp; CFlow Items'!BF9</f>
        <v>8522</v>
      </c>
      <c r="CA18" s="796">
        <f>'[3]Key Balance Sheet &amp; CFlow Items'!BG9</f>
        <v>8616</v>
      </c>
      <c r="CB18" s="796">
        <f>'[3]Key Balance Sheet &amp; CFlow Items'!BH9</f>
        <v>8470</v>
      </c>
      <c r="CF18" s="793"/>
      <c r="CI18" s="794"/>
      <c r="CJ18" s="794"/>
      <c r="CK18" s="794"/>
      <c r="CL18" s="794"/>
      <c r="CM18" s="794"/>
      <c r="CN18" s="794"/>
      <c r="CO18" s="794"/>
      <c r="CP18" s="794"/>
      <c r="CQ18" s="794"/>
      <c r="CR18" s="794"/>
      <c r="CS18" s="794"/>
      <c r="CT18" s="794"/>
      <c r="CU18" s="794"/>
      <c r="CV18" s="794"/>
      <c r="CW18" s="794"/>
      <c r="CX18" s="794"/>
      <c r="CY18" s="794"/>
      <c r="CZ18" s="794"/>
      <c r="DA18" s="794"/>
      <c r="DB18" s="794"/>
      <c r="DC18" s="794"/>
      <c r="DD18" s="794"/>
      <c r="DE18" s="794"/>
      <c r="DF18" s="794"/>
      <c r="DG18" s="794"/>
      <c r="DH18" s="794"/>
      <c r="DI18" s="794"/>
    </row>
    <row r="19" spans="1:113" s="792" customFormat="1" ht="13">
      <c r="A19" s="790" t="s">
        <v>823</v>
      </c>
      <c r="B19" s="790"/>
      <c r="C19" s="797"/>
      <c r="D19" s="797"/>
      <c r="E19" s="797"/>
      <c r="F19" s="797"/>
      <c r="G19" s="797"/>
      <c r="H19" s="797"/>
      <c r="I19" s="797"/>
      <c r="J19" s="797"/>
      <c r="K19" s="797"/>
      <c r="L19" s="797"/>
      <c r="M19" s="797"/>
      <c r="N19" s="797"/>
      <c r="O19" s="797"/>
      <c r="P19" s="797"/>
      <c r="Q19" s="797"/>
      <c r="R19" s="797"/>
      <c r="S19" s="797"/>
      <c r="T19" s="797"/>
      <c r="U19" s="797"/>
      <c r="V19" s="797"/>
      <c r="W19" s="797"/>
      <c r="X19" s="797"/>
      <c r="Y19" s="797"/>
      <c r="Z19" s="797"/>
      <c r="AA19" s="797"/>
      <c r="AB19" s="797"/>
      <c r="AC19" s="797"/>
      <c r="AD19" s="797"/>
      <c r="AE19" s="797"/>
      <c r="AF19" s="797"/>
      <c r="AG19" s="797"/>
      <c r="AH19" s="797"/>
      <c r="AI19" s="798">
        <f>AI18/(AI9*4)</f>
        <v>2.5887636165882699</v>
      </c>
      <c r="AJ19" s="798">
        <f t="shared" ref="AJ19:BO19" si="22">AJ18/(AJ9*4)</f>
        <v>3.082107465993722</v>
      </c>
      <c r="AK19" s="798">
        <f t="shared" si="22"/>
        <v>2.8309143686502178</v>
      </c>
      <c r="AL19" s="798">
        <f t="shared" si="22"/>
        <v>2.8971893491124261</v>
      </c>
      <c r="AM19" s="798">
        <f t="shared" si="22"/>
        <v>1.7030577088716623</v>
      </c>
      <c r="AN19" s="798">
        <f t="shared" si="22"/>
        <v>1.9252475247524752</v>
      </c>
      <c r="AO19" s="798">
        <f t="shared" si="22"/>
        <v>1.6617132867132867</v>
      </c>
      <c r="AP19" s="798">
        <f t="shared" si="22"/>
        <v>1.8051811288963775</v>
      </c>
      <c r="AQ19" s="798">
        <f t="shared" si="22"/>
        <v>2.125</v>
      </c>
      <c r="AR19" s="798">
        <f t="shared" si="22"/>
        <v>2.1970675944333995</v>
      </c>
      <c r="AS19" s="798">
        <f t="shared" si="22"/>
        <v>1.5880250223413763</v>
      </c>
      <c r="AT19" s="798">
        <f t="shared" si="22"/>
        <v>1.6828393881453154</v>
      </c>
      <c r="AU19" s="798">
        <f t="shared" si="22"/>
        <v>1.7759803921568627</v>
      </c>
      <c r="AV19" s="798">
        <f t="shared" si="22"/>
        <v>1.7658887785501489</v>
      </c>
      <c r="AW19" s="798">
        <f t="shared" si="22"/>
        <v>1.6446991404011462</v>
      </c>
      <c r="AX19" s="798">
        <f t="shared" si="22"/>
        <v>2.3013654096228868</v>
      </c>
      <c r="AY19" s="798">
        <f t="shared" si="22"/>
        <v>2.0895560040363268</v>
      </c>
      <c r="AZ19" s="798">
        <f t="shared" si="22"/>
        <v>2.0637055837563452</v>
      </c>
      <c r="BA19" s="798">
        <f t="shared" si="22"/>
        <v>1.955223880597015</v>
      </c>
      <c r="BB19" s="798">
        <f t="shared" si="22"/>
        <v>2.2145502645502644</v>
      </c>
      <c r="BC19" s="798">
        <f t="shared" si="22"/>
        <v>2.0899168399168397</v>
      </c>
      <c r="BD19" s="798">
        <f t="shared" si="22"/>
        <v>2.1823467230443976</v>
      </c>
      <c r="BE19" s="798">
        <f t="shared" si="22"/>
        <v>2.1388314374353672</v>
      </c>
      <c r="BF19" s="798">
        <f t="shared" si="22"/>
        <v>2.4081469648562299</v>
      </c>
      <c r="BG19" s="798">
        <f t="shared" si="22"/>
        <v>2.3777315296566077</v>
      </c>
      <c r="BH19" s="798">
        <f t="shared" si="22"/>
        <v>2.2296222664015906</v>
      </c>
      <c r="BI19" s="798">
        <f t="shared" si="22"/>
        <v>2.2661207778915045</v>
      </c>
      <c r="BJ19" s="798">
        <f t="shared" si="22"/>
        <v>2.3892167381974247</v>
      </c>
      <c r="BK19" s="798">
        <f t="shared" si="22"/>
        <v>2.5364077669902914</v>
      </c>
      <c r="BL19" s="798">
        <f t="shared" si="22"/>
        <v>2.2336956521739131</v>
      </c>
      <c r="BM19" s="798">
        <f t="shared" si="22"/>
        <v>2.2766434262948207</v>
      </c>
      <c r="BN19" s="798">
        <f t="shared" si="22"/>
        <v>2.3420385395537524</v>
      </c>
      <c r="BO19" s="798">
        <f t="shared" si="22"/>
        <v>2.5249485596707819</v>
      </c>
      <c r="BP19" s="798">
        <f t="shared" ref="BP19:BW19" si="23">BP18/(BP9*4)</f>
        <v>2.3804890219560879</v>
      </c>
      <c r="BQ19" s="798">
        <f t="shared" si="23"/>
        <v>2.4416038751345535</v>
      </c>
      <c r="BR19" s="798">
        <f t="shared" si="23"/>
        <v>2.1766792809839166</v>
      </c>
      <c r="BS19" s="798">
        <f t="shared" si="23"/>
        <v>2.1305076628352491</v>
      </c>
      <c r="BT19" s="798">
        <f t="shared" si="23"/>
        <v>2.0368068833652009</v>
      </c>
      <c r="BU19" s="798">
        <f t="shared" si="23"/>
        <v>2.0188454198473282</v>
      </c>
      <c r="BV19" s="798">
        <f t="shared" si="23"/>
        <v>2.2421239837398375</v>
      </c>
      <c r="BW19" s="798">
        <f t="shared" si="23"/>
        <v>2.040521327014218</v>
      </c>
      <c r="BX19" s="798">
        <f t="shared" ref="BX19:BY19" si="24">BX18/(BX9*4)</f>
        <v>1.9051645338208409</v>
      </c>
      <c r="BY19" s="798">
        <f t="shared" si="24"/>
        <v>1.8328039927404718</v>
      </c>
      <c r="BZ19" s="798">
        <f t="shared" ref="BZ19:CB19" si="25">BZ18/(BZ9*4)</f>
        <v>1.9763450834879406</v>
      </c>
      <c r="CA19" s="798">
        <f t="shared" si="25"/>
        <v>1.9599636032757053</v>
      </c>
      <c r="CB19" s="798">
        <f t="shared" si="25"/>
        <v>1.8838967971530249</v>
      </c>
      <c r="CF19" s="793"/>
      <c r="CI19" s="794"/>
      <c r="CJ19" s="794"/>
      <c r="CK19" s="794"/>
      <c r="CL19" s="794"/>
      <c r="CM19" s="794"/>
      <c r="CN19" s="794"/>
      <c r="CO19" s="794"/>
      <c r="CP19" s="794"/>
      <c r="CQ19" s="794"/>
      <c r="CR19" s="794"/>
      <c r="CS19" s="794"/>
      <c r="CT19" s="794"/>
      <c r="CU19" s="794"/>
      <c r="CV19" s="794"/>
      <c r="CW19" s="794"/>
      <c r="CX19" s="794"/>
      <c r="CY19" s="794"/>
      <c r="CZ19" s="794"/>
      <c r="DA19" s="794"/>
      <c r="DB19" s="794"/>
      <c r="DC19" s="794"/>
      <c r="DD19" s="794"/>
      <c r="DE19" s="794"/>
      <c r="DF19" s="794"/>
      <c r="DG19" s="794"/>
      <c r="DH19" s="794"/>
      <c r="DI19" s="794"/>
    </row>
    <row r="20" spans="1:113" s="792" customFormat="1" ht="13">
      <c r="A20" s="790"/>
      <c r="B20" s="790"/>
      <c r="C20" s="797"/>
      <c r="D20" s="797"/>
      <c r="E20" s="797"/>
      <c r="F20" s="797"/>
      <c r="G20" s="797"/>
      <c r="H20" s="797"/>
      <c r="I20" s="797"/>
      <c r="J20" s="797"/>
      <c r="K20" s="797"/>
      <c r="L20" s="797"/>
      <c r="M20" s="797"/>
      <c r="N20" s="797"/>
      <c r="O20" s="797"/>
      <c r="P20" s="797"/>
      <c r="Q20" s="797"/>
      <c r="R20" s="797"/>
      <c r="S20" s="797"/>
      <c r="T20" s="797"/>
      <c r="U20" s="797"/>
      <c r="V20" s="797"/>
      <c r="W20" s="797"/>
      <c r="X20" s="797"/>
      <c r="Y20" s="797"/>
      <c r="Z20" s="797"/>
      <c r="AA20" s="797"/>
      <c r="AB20" s="797"/>
      <c r="AC20" s="797"/>
      <c r="AD20" s="797"/>
      <c r="AE20" s="797"/>
      <c r="AF20" s="797"/>
      <c r="AG20" s="797"/>
      <c r="AH20" s="797"/>
      <c r="AI20" s="797"/>
      <c r="AJ20" s="797"/>
      <c r="AK20" s="797"/>
      <c r="AL20" s="797"/>
      <c r="AM20" s="797"/>
      <c r="AN20" s="797"/>
      <c r="AO20" s="797"/>
      <c r="AP20" s="797"/>
      <c r="AQ20" s="797"/>
      <c r="AR20" s="797"/>
      <c r="AS20" s="797"/>
      <c r="AT20" s="797"/>
      <c r="AU20" s="797"/>
      <c r="AV20" s="797"/>
      <c r="AW20" s="797"/>
      <c r="AX20" s="797"/>
      <c r="AY20" s="797"/>
      <c r="AZ20" s="797"/>
      <c r="BA20" s="797"/>
      <c r="BB20" s="797"/>
      <c r="BC20" s="797"/>
      <c r="BD20" s="797"/>
      <c r="BE20" s="797"/>
      <c r="BF20" s="797"/>
      <c r="BG20" s="797"/>
      <c r="BH20" s="797"/>
      <c r="BI20" s="797"/>
      <c r="BJ20" s="797"/>
      <c r="BK20" s="797"/>
      <c r="BL20" s="797"/>
      <c r="BM20" s="797"/>
      <c r="BN20" s="797"/>
      <c r="BO20" s="797"/>
      <c r="BP20" s="797"/>
      <c r="BQ20" s="797"/>
      <c r="BR20" s="797"/>
      <c r="BS20" s="797"/>
      <c r="BT20" s="797"/>
      <c r="BU20" s="797"/>
      <c r="BV20" s="797"/>
      <c r="BW20" s="797"/>
      <c r="BX20" s="797"/>
      <c r="BY20" s="797"/>
      <c r="BZ20" s="797"/>
      <c r="CA20" s="797"/>
      <c r="CB20" s="797"/>
      <c r="CF20" s="793"/>
      <c r="CI20" s="794"/>
      <c r="CJ20" s="794"/>
      <c r="CK20" s="794"/>
      <c r="CL20" s="794"/>
      <c r="CM20" s="794"/>
      <c r="CN20" s="794"/>
      <c r="CO20" s="794"/>
      <c r="CP20" s="794"/>
      <c r="CQ20" s="794"/>
      <c r="CR20" s="794"/>
      <c r="CS20" s="794"/>
      <c r="CT20" s="794"/>
      <c r="CU20" s="794"/>
      <c r="CV20" s="794"/>
      <c r="CW20" s="794"/>
      <c r="CX20" s="794"/>
      <c r="CY20" s="794"/>
      <c r="CZ20" s="794"/>
      <c r="DA20" s="794"/>
      <c r="DB20" s="794"/>
      <c r="DC20" s="794"/>
      <c r="DD20" s="794"/>
      <c r="DE20" s="794"/>
      <c r="DF20" s="794"/>
      <c r="DG20" s="794"/>
      <c r="DH20" s="794"/>
      <c r="DI20" s="794"/>
    </row>
    <row r="21" spans="1:113" s="792" customFormat="1" ht="13">
      <c r="A21" s="799" t="s">
        <v>824</v>
      </c>
      <c r="B21" s="790"/>
      <c r="C21" s="797"/>
      <c r="D21" s="797"/>
      <c r="E21" s="797"/>
      <c r="F21" s="797"/>
      <c r="G21" s="797"/>
      <c r="H21" s="797"/>
      <c r="I21" s="797"/>
      <c r="J21" s="797"/>
      <c r="K21" s="797"/>
      <c r="L21" s="797"/>
      <c r="M21" s="797"/>
      <c r="N21" s="797"/>
      <c r="O21" s="797"/>
      <c r="P21" s="797"/>
      <c r="Q21" s="797"/>
      <c r="R21" s="797"/>
      <c r="S21" s="797"/>
      <c r="T21" s="797"/>
      <c r="U21" s="797"/>
      <c r="V21" s="797"/>
      <c r="W21" s="797"/>
      <c r="X21" s="797"/>
      <c r="Y21" s="797"/>
      <c r="Z21" s="797"/>
      <c r="AA21" s="797"/>
      <c r="AB21" s="797"/>
      <c r="AC21" s="797"/>
      <c r="AD21" s="797"/>
      <c r="AE21" s="797"/>
      <c r="AF21" s="797"/>
      <c r="AG21" s="797"/>
      <c r="AH21" s="797"/>
      <c r="AI21" s="797"/>
      <c r="AJ21" s="797"/>
      <c r="AK21" s="797"/>
      <c r="AL21" s="797"/>
      <c r="AM21" s="797"/>
      <c r="AN21" s="797"/>
      <c r="AO21" s="797"/>
      <c r="AP21" s="797"/>
      <c r="AQ21" s="797"/>
      <c r="AR21" s="797"/>
      <c r="AS21" s="797"/>
      <c r="AT21" s="797"/>
      <c r="AU21" s="797"/>
      <c r="AV21" s="797"/>
      <c r="AW21" s="797"/>
      <c r="AX21" s="797"/>
      <c r="AY21" s="797"/>
      <c r="AZ21" s="797"/>
      <c r="BA21" s="797"/>
      <c r="BB21" s="797"/>
      <c r="BC21" s="797"/>
      <c r="BD21" s="797"/>
      <c r="BE21" s="797"/>
      <c r="BF21" s="797"/>
      <c r="BG21" s="797"/>
      <c r="BH21" s="797"/>
      <c r="BI21" s="797"/>
      <c r="BJ21" s="797"/>
      <c r="BK21" s="797"/>
      <c r="BL21" s="797"/>
      <c r="BM21" s="797"/>
      <c r="BN21" s="797"/>
      <c r="BO21" s="797"/>
      <c r="BP21" s="797"/>
      <c r="BQ21" s="797"/>
      <c r="BR21" s="797"/>
      <c r="BS21" s="797"/>
      <c r="BT21" s="797"/>
      <c r="BU21" s="797"/>
      <c r="BV21" s="797"/>
      <c r="BW21" s="797"/>
      <c r="BX21" s="797"/>
      <c r="BY21" s="797"/>
      <c r="BZ21" s="797"/>
      <c r="CA21" s="797"/>
      <c r="CB21" s="797"/>
      <c r="CF21" s="793"/>
      <c r="CI21" s="794"/>
      <c r="CJ21" s="794"/>
      <c r="CK21" s="794"/>
      <c r="CL21" s="794"/>
      <c r="CM21" s="794"/>
      <c r="CN21" s="794"/>
      <c r="CO21" s="794"/>
      <c r="CP21" s="794"/>
      <c r="CQ21" s="794"/>
      <c r="CR21" s="794"/>
      <c r="CS21" s="794"/>
      <c r="CT21" s="794"/>
      <c r="CU21" s="794"/>
      <c r="CV21" s="794"/>
      <c r="CW21" s="794"/>
      <c r="CX21" s="794"/>
      <c r="CY21" s="794"/>
      <c r="CZ21" s="794"/>
      <c r="DA21" s="794"/>
      <c r="DB21" s="794"/>
      <c r="DC21" s="794"/>
      <c r="DD21" s="794"/>
      <c r="DE21" s="794"/>
      <c r="DF21" s="794"/>
      <c r="DG21" s="794"/>
      <c r="DH21" s="794"/>
      <c r="DI21" s="794"/>
    </row>
    <row r="22" spans="1:113" s="792" customFormat="1" ht="13">
      <c r="A22" s="790" t="s">
        <v>2</v>
      </c>
      <c r="B22" s="790"/>
      <c r="C22" s="797"/>
      <c r="D22" s="797"/>
      <c r="E22" s="797"/>
      <c r="F22" s="797"/>
      <c r="G22" s="797">
        <f>G9</f>
        <v>0</v>
      </c>
      <c r="H22" s="797">
        <f t="shared" ref="H22:BS22" si="26">H9</f>
        <v>0</v>
      </c>
      <c r="I22" s="797">
        <f t="shared" si="26"/>
        <v>1185</v>
      </c>
      <c r="J22" s="797">
        <f t="shared" si="26"/>
        <v>1144</v>
      </c>
      <c r="K22" s="797">
        <f t="shared" si="26"/>
        <v>1071</v>
      </c>
      <c r="L22" s="797">
        <f t="shared" si="26"/>
        <v>1075.2475247524753</v>
      </c>
      <c r="M22" s="797">
        <f t="shared" si="26"/>
        <v>1086</v>
      </c>
      <c r="N22" s="797">
        <f t="shared" si="26"/>
        <v>1106</v>
      </c>
      <c r="O22" s="797">
        <f t="shared" si="26"/>
        <v>1082</v>
      </c>
      <c r="P22" s="797">
        <f t="shared" si="26"/>
        <v>1028</v>
      </c>
      <c r="Q22" s="797">
        <f t="shared" si="26"/>
        <v>1140</v>
      </c>
      <c r="R22" s="797">
        <f t="shared" si="26"/>
        <v>1166</v>
      </c>
      <c r="S22" s="797">
        <f t="shared" si="26"/>
        <v>1090</v>
      </c>
      <c r="T22" s="797">
        <f t="shared" si="26"/>
        <v>1106</v>
      </c>
      <c r="U22" s="797">
        <f t="shared" si="26"/>
        <v>1123</v>
      </c>
      <c r="V22" s="797">
        <f t="shared" si="26"/>
        <v>1104</v>
      </c>
      <c r="W22" s="797">
        <f t="shared" si="26"/>
        <v>1133</v>
      </c>
      <c r="X22" s="797">
        <f t="shared" si="26"/>
        <v>1106</v>
      </c>
      <c r="Y22" s="797">
        <f t="shared" si="26"/>
        <v>1055</v>
      </c>
      <c r="Z22" s="797">
        <f t="shared" si="26"/>
        <v>1065</v>
      </c>
      <c r="AA22" s="797">
        <f t="shared" si="26"/>
        <v>1122</v>
      </c>
      <c r="AB22" s="797">
        <f t="shared" si="26"/>
        <v>1165</v>
      </c>
      <c r="AC22" s="797">
        <f t="shared" si="26"/>
        <v>1154</v>
      </c>
      <c r="AD22" s="797">
        <f t="shared" si="26"/>
        <v>1081</v>
      </c>
      <c r="AE22" s="797">
        <f t="shared" si="26"/>
        <v>707.74600000000009</v>
      </c>
      <c r="AF22" s="797">
        <f t="shared" si="26"/>
        <v>651.66600000000005</v>
      </c>
      <c r="AG22" s="797">
        <f t="shared" si="26"/>
        <v>652.54</v>
      </c>
      <c r="AH22" s="797">
        <f t="shared" si="26"/>
        <v>696.34400000000005</v>
      </c>
      <c r="AI22" s="797">
        <f t="shared" si="26"/>
        <v>713.46800000000007</v>
      </c>
      <c r="AJ22" s="797">
        <f t="shared" si="26"/>
        <v>649.88</v>
      </c>
      <c r="AK22" s="797">
        <f t="shared" si="26"/>
        <v>689</v>
      </c>
      <c r="AL22" s="797">
        <f t="shared" si="26"/>
        <v>676</v>
      </c>
      <c r="AM22" s="797">
        <f t="shared" si="26"/>
        <v>1161</v>
      </c>
      <c r="AN22" s="797">
        <f t="shared" si="26"/>
        <v>1010</v>
      </c>
      <c r="AO22" s="797">
        <f t="shared" si="26"/>
        <v>1144</v>
      </c>
      <c r="AP22" s="797">
        <f t="shared" si="26"/>
        <v>1187</v>
      </c>
      <c r="AQ22" s="797">
        <f t="shared" si="26"/>
        <v>1024</v>
      </c>
      <c r="AR22" s="797">
        <f t="shared" si="26"/>
        <v>1006</v>
      </c>
      <c r="AS22" s="797">
        <f t="shared" si="26"/>
        <v>1119</v>
      </c>
      <c r="AT22" s="797">
        <f t="shared" si="26"/>
        <v>1046</v>
      </c>
      <c r="AU22" s="797">
        <f t="shared" si="26"/>
        <v>1020</v>
      </c>
      <c r="AV22" s="797">
        <f t="shared" si="26"/>
        <v>1007</v>
      </c>
      <c r="AW22" s="797">
        <f t="shared" si="26"/>
        <v>1047</v>
      </c>
      <c r="AX22" s="797">
        <f t="shared" si="26"/>
        <v>769</v>
      </c>
      <c r="AY22" s="797">
        <f t="shared" si="26"/>
        <v>991</v>
      </c>
      <c r="AZ22" s="797">
        <f t="shared" si="26"/>
        <v>985</v>
      </c>
      <c r="BA22" s="797">
        <f t="shared" si="26"/>
        <v>1005</v>
      </c>
      <c r="BB22" s="797">
        <f t="shared" si="26"/>
        <v>945</v>
      </c>
      <c r="BC22" s="797">
        <f t="shared" si="26"/>
        <v>962</v>
      </c>
      <c r="BD22" s="797">
        <f t="shared" si="26"/>
        <v>946</v>
      </c>
      <c r="BE22" s="797">
        <f t="shared" si="26"/>
        <v>967</v>
      </c>
      <c r="BF22" s="797">
        <f t="shared" si="26"/>
        <v>939</v>
      </c>
      <c r="BG22" s="797">
        <f t="shared" si="26"/>
        <v>961</v>
      </c>
      <c r="BH22" s="797">
        <f t="shared" si="26"/>
        <v>1006</v>
      </c>
      <c r="BI22" s="797">
        <f t="shared" si="26"/>
        <v>977</v>
      </c>
      <c r="BJ22" s="797">
        <f t="shared" si="26"/>
        <v>932</v>
      </c>
      <c r="BK22" s="797">
        <f t="shared" si="26"/>
        <v>927</v>
      </c>
      <c r="BL22" s="797">
        <f t="shared" si="26"/>
        <v>1012</v>
      </c>
      <c r="BM22" s="797">
        <f t="shared" si="26"/>
        <v>1004</v>
      </c>
      <c r="BN22" s="797">
        <f t="shared" si="26"/>
        <v>986</v>
      </c>
      <c r="BO22" s="797">
        <f t="shared" si="26"/>
        <v>972</v>
      </c>
      <c r="BP22" s="797">
        <f t="shared" si="26"/>
        <v>1002</v>
      </c>
      <c r="BQ22" s="797">
        <f t="shared" si="26"/>
        <v>929</v>
      </c>
      <c r="BR22" s="797">
        <f t="shared" si="26"/>
        <v>1057</v>
      </c>
      <c r="BS22" s="797">
        <f t="shared" si="26"/>
        <v>1044</v>
      </c>
      <c r="BT22" s="797">
        <f t="shared" ref="BT22:BW22" si="27">BT9</f>
        <v>1046</v>
      </c>
      <c r="BU22" s="797">
        <f t="shared" si="27"/>
        <v>1048</v>
      </c>
      <c r="BV22" s="797">
        <f t="shared" si="27"/>
        <v>984</v>
      </c>
      <c r="BW22" s="797">
        <f t="shared" si="27"/>
        <v>1055</v>
      </c>
      <c r="BX22" s="797">
        <f t="shared" ref="BX22:BY22" si="28">BX9</f>
        <v>1094</v>
      </c>
      <c r="BY22" s="797">
        <f t="shared" si="28"/>
        <v>1102</v>
      </c>
      <c r="BZ22" s="797">
        <f t="shared" ref="BZ22:CB22" si="29">BZ9</f>
        <v>1078</v>
      </c>
      <c r="CA22" s="797">
        <f t="shared" si="29"/>
        <v>1099</v>
      </c>
      <c r="CB22" s="797">
        <f t="shared" si="29"/>
        <v>1124</v>
      </c>
      <c r="CF22" s="793"/>
      <c r="CI22" s="794"/>
      <c r="CJ22" s="794"/>
      <c r="CK22" s="794"/>
      <c r="CL22" s="794"/>
      <c r="CM22" s="794"/>
      <c r="CN22" s="794"/>
      <c r="CO22" s="794"/>
      <c r="CP22" s="794"/>
      <c r="CQ22" s="794"/>
      <c r="CR22" s="794"/>
      <c r="CS22" s="794"/>
      <c r="CT22" s="794"/>
      <c r="CU22" s="794"/>
      <c r="CV22" s="794"/>
      <c r="CW22" s="794"/>
      <c r="CX22" s="794"/>
      <c r="CY22" s="794"/>
      <c r="CZ22" s="794"/>
      <c r="DA22" s="794"/>
      <c r="DB22" s="794"/>
      <c r="DC22" s="794"/>
      <c r="DD22" s="794"/>
      <c r="DE22" s="794"/>
      <c r="DF22" s="794"/>
      <c r="DG22" s="794"/>
      <c r="DH22" s="794"/>
      <c r="DI22" s="794"/>
    </row>
    <row r="23" spans="1:113" s="792" customFormat="1" ht="13">
      <c r="A23" s="790" t="s">
        <v>761</v>
      </c>
      <c r="B23" s="790"/>
      <c r="C23" s="795"/>
      <c r="D23" s="795"/>
      <c r="E23" s="795"/>
      <c r="F23" s="795"/>
      <c r="G23" s="797">
        <f>'Income Statement'!C481</f>
        <v>0</v>
      </c>
      <c r="H23" s="797">
        <f>'Income Statement'!D481</f>
        <v>0</v>
      </c>
      <c r="I23" s="797">
        <f>'Income Statement'!E481</f>
        <v>0</v>
      </c>
      <c r="J23" s="797">
        <f>'Income Statement'!F481</f>
        <v>0</v>
      </c>
      <c r="K23" s="797">
        <f>'Income Statement'!H481</f>
        <v>-25</v>
      </c>
      <c r="L23" s="797">
        <f>'Income Statement'!I481</f>
        <v>0</v>
      </c>
      <c r="M23" s="797">
        <f>'Income Statement'!J481</f>
        <v>-192</v>
      </c>
      <c r="N23" s="797">
        <f>'Income Statement'!K481</f>
        <v>-192</v>
      </c>
      <c r="O23" s="797">
        <f>'Income Statement'!M481</f>
        <v>-213</v>
      </c>
      <c r="P23" s="797">
        <f>'Income Statement'!N481</f>
        <v>-188</v>
      </c>
      <c r="Q23" s="797">
        <f>'Income Statement'!O481</f>
        <v>-214</v>
      </c>
      <c r="R23" s="797">
        <f>'Income Statement'!P481</f>
        <v>-222</v>
      </c>
      <c r="S23" s="797">
        <f>'Income Statement'!R481</f>
        <v>-201</v>
      </c>
      <c r="T23" s="797">
        <f>'Income Statement'!S481</f>
        <v>-205</v>
      </c>
      <c r="U23" s="797">
        <f>'Income Statement'!T481</f>
        <v>-208</v>
      </c>
      <c r="V23" s="797">
        <f>'Income Statement'!U481</f>
        <v>141</v>
      </c>
      <c r="W23" s="797">
        <f>'Income Statement'!W481</f>
        <v>-194</v>
      </c>
      <c r="X23" s="797">
        <f>'Income Statement'!X481</f>
        <v>-164</v>
      </c>
      <c r="Y23" s="797">
        <f>'Income Statement'!Y481</f>
        <v>-189</v>
      </c>
      <c r="Z23" s="797">
        <f>'Income Statement'!Z481</f>
        <v>-169</v>
      </c>
      <c r="AA23" s="797">
        <f>'Income Statement'!AB481</f>
        <v>-190</v>
      </c>
      <c r="AB23" s="797">
        <f>'Income Statement'!AC481</f>
        <v>-205</v>
      </c>
      <c r="AC23" s="797">
        <f>'Income Statement'!AD481</f>
        <v>-193</v>
      </c>
      <c r="AD23" s="797">
        <f>'Income Statement'!AE481</f>
        <v>-136</v>
      </c>
      <c r="AE23" s="797">
        <f>'Income Statement'!AG481</f>
        <v>-169</v>
      </c>
      <c r="AF23" s="797">
        <f>'Income Statement'!AH481</f>
        <v>-160.76864535768644</v>
      </c>
      <c r="AG23" s="797">
        <f>'Income Statement'!AI481</f>
        <v>-192</v>
      </c>
      <c r="AH23" s="797">
        <f>'Income Statement'!AJ481</f>
        <v>-167</v>
      </c>
      <c r="AI23" s="797">
        <f>'Income Statement'!AL481</f>
        <v>-178</v>
      </c>
      <c r="AJ23" s="797">
        <f>'Income Statement'!AM481</f>
        <v>-188</v>
      </c>
      <c r="AK23" s="797">
        <f>'Income Statement'!AN481</f>
        <v>-144</v>
      </c>
      <c r="AL23" s="797">
        <f>'Income Statement'!AO481</f>
        <v>-203</v>
      </c>
      <c r="AM23" s="797">
        <f>'Income Statement'!AQ481</f>
        <v>-202</v>
      </c>
      <c r="AN23" s="797">
        <f>'Income Statement'!AR481</f>
        <v>-144</v>
      </c>
      <c r="AO23" s="797">
        <f>'Income Statement'!AS481</f>
        <v>-179</v>
      </c>
      <c r="AP23" s="797">
        <f>'Income Statement'!AT481</f>
        <v>-184</v>
      </c>
      <c r="AQ23" s="797">
        <f>'Income Statement'!AV481</f>
        <v>-174</v>
      </c>
      <c r="AR23" s="797">
        <f>'Income Statement'!AW481</f>
        <v>-176</v>
      </c>
      <c r="AS23" s="797">
        <f>'Income Statement'!AX481</f>
        <v>-175</v>
      </c>
      <c r="AT23" s="797">
        <f>'Income Statement'!AY481</f>
        <v>-151</v>
      </c>
      <c r="AU23" s="797">
        <f>'Income Statement'!BA481</f>
        <v>-166</v>
      </c>
      <c r="AV23" s="797">
        <f>'Income Statement'!BB481</f>
        <v>-157</v>
      </c>
      <c r="AW23" s="797">
        <f>'Income Statement'!BC481</f>
        <v>-166</v>
      </c>
      <c r="AX23" s="797">
        <f>'Income Statement'!BD481</f>
        <v>-96</v>
      </c>
      <c r="AY23" s="797">
        <f>'Income Statement'!BF481</f>
        <v>-134</v>
      </c>
      <c r="AZ23" s="797">
        <f>'Income Statement'!BG481</f>
        <v>-139</v>
      </c>
      <c r="BA23" s="797">
        <f>'Income Statement'!BH481</f>
        <v>-124</v>
      </c>
      <c r="BB23" s="797">
        <f>'Income Statement'!BI481</f>
        <v>-112</v>
      </c>
      <c r="BC23" s="797">
        <f>'Income Statement'!BK481</f>
        <v>-118</v>
      </c>
      <c r="BD23" s="797">
        <f>'Income Statement'!BL481</f>
        <v>-113</v>
      </c>
      <c r="BE23" s="797">
        <f>'Income Statement'!BM481</f>
        <v>-126</v>
      </c>
      <c r="BF23" s="797">
        <f>'Income Statement'!BN481</f>
        <v>-112</v>
      </c>
      <c r="BG23" s="797">
        <f>'Income Statement'!BP481</f>
        <v>-119</v>
      </c>
      <c r="BH23" s="797">
        <f>'Income Statement'!BQ481</f>
        <v>-124</v>
      </c>
      <c r="BI23" s="797">
        <f>'Income Statement'!BR481</f>
        <v>-116</v>
      </c>
      <c r="BJ23" s="797">
        <f>'Income Statement'!BS481</f>
        <v>-95</v>
      </c>
      <c r="BK23" s="797">
        <f>'Income Statement'!BU481</f>
        <v>-140</v>
      </c>
      <c r="BL23" s="797">
        <f>'Income Statement'!BV481</f>
        <v>-176</v>
      </c>
      <c r="BM23" s="797">
        <f>'Income Statement'!BW481</f>
        <v>-160</v>
      </c>
      <c r="BN23" s="797">
        <f>'Income Statement'!BX481</f>
        <v>-175</v>
      </c>
      <c r="BO23" s="797">
        <f>'Income Statement'!BZ481</f>
        <v>-109</v>
      </c>
      <c r="BP23" s="797">
        <f>'Income Statement'!CA481</f>
        <v>-124</v>
      </c>
      <c r="BQ23" s="797">
        <f>'Income Statement'!CB481</f>
        <v>-97</v>
      </c>
      <c r="BR23" s="797">
        <f>'Income Statement'!CC481</f>
        <v>-122</v>
      </c>
      <c r="BS23" s="797">
        <f>'Income Statement'!CE481</f>
        <v>-126</v>
      </c>
      <c r="BT23" s="797">
        <f>'Income Statement'!CF481</f>
        <v>-127</v>
      </c>
      <c r="BU23" s="797">
        <f>'Income Statement'!CG481</f>
        <v>-121</v>
      </c>
      <c r="BV23" s="797">
        <f>'Income Statement'!CH481</f>
        <v>-107</v>
      </c>
      <c r="BW23" s="797">
        <f>'Income Statement'!CJ481</f>
        <v>-129</v>
      </c>
      <c r="BX23" s="797">
        <f>'Income Statement'!CK481</f>
        <v>-139</v>
      </c>
      <c r="BY23" s="797">
        <f>'Income Statement'!CL481</f>
        <v>-132</v>
      </c>
      <c r="BZ23" s="797">
        <f>'Income Statement'!CM481</f>
        <v>-106</v>
      </c>
      <c r="CA23" s="797">
        <f>'Income Statement'!CO481</f>
        <v>-142</v>
      </c>
      <c r="CB23" s="797">
        <f>'Income Statement'!CP481</f>
        <v>-149</v>
      </c>
      <c r="CF23" s="793"/>
      <c r="CI23" s="794"/>
      <c r="CJ23" s="794"/>
      <c r="CK23" s="794"/>
      <c r="CL23" s="794"/>
      <c r="CM23" s="794"/>
      <c r="CN23" s="794"/>
      <c r="CO23" s="794"/>
      <c r="CP23" s="794"/>
      <c r="CQ23" s="794"/>
      <c r="CR23" s="794"/>
      <c r="CS23" s="794"/>
      <c r="CT23" s="794"/>
      <c r="CU23" s="794"/>
      <c r="CV23" s="794"/>
      <c r="CW23" s="794"/>
      <c r="CX23" s="794"/>
      <c r="CY23" s="794"/>
      <c r="CZ23" s="794"/>
      <c r="DA23" s="794"/>
      <c r="DB23" s="794"/>
      <c r="DC23" s="794"/>
      <c r="DD23" s="794"/>
      <c r="DE23" s="794"/>
      <c r="DF23" s="794"/>
      <c r="DG23" s="794"/>
      <c r="DH23" s="794"/>
      <c r="DI23" s="794"/>
    </row>
    <row r="24" spans="1:113" s="792" customFormat="1" ht="13">
      <c r="A24" s="790" t="s">
        <v>733</v>
      </c>
      <c r="B24" s="790"/>
      <c r="C24" s="797"/>
      <c r="D24" s="797"/>
      <c r="E24" s="797"/>
      <c r="F24" s="797"/>
      <c r="G24" s="797">
        <f>-G11</f>
        <v>-129.79999999999995</v>
      </c>
      <c r="H24" s="797">
        <f t="shared" ref="H24:BS24" si="30">-H11</f>
        <v>-171</v>
      </c>
      <c r="I24" s="797">
        <f t="shared" si="30"/>
        <v>-195</v>
      </c>
      <c r="J24" s="797">
        <f t="shared" si="30"/>
        <v>-401</v>
      </c>
      <c r="K24" s="797">
        <f t="shared" si="30"/>
        <v>-158</v>
      </c>
      <c r="L24" s="797">
        <f t="shared" si="30"/>
        <v>-199</v>
      </c>
      <c r="M24" s="797">
        <f t="shared" si="30"/>
        <v>-291</v>
      </c>
      <c r="N24" s="797">
        <f t="shared" si="30"/>
        <v>-596</v>
      </c>
      <c r="O24" s="797">
        <f t="shared" si="30"/>
        <v>-135</v>
      </c>
      <c r="P24" s="797">
        <f t="shared" si="30"/>
        <v>-307</v>
      </c>
      <c r="Q24" s="797">
        <f t="shared" si="30"/>
        <v>-489</v>
      </c>
      <c r="R24" s="797">
        <f t="shared" si="30"/>
        <v>-513</v>
      </c>
      <c r="S24" s="797">
        <f t="shared" si="30"/>
        <v>-257</v>
      </c>
      <c r="T24" s="797">
        <f t="shared" si="30"/>
        <v>-225</v>
      </c>
      <c r="U24" s="797">
        <f t="shared" si="30"/>
        <v>-225</v>
      </c>
      <c r="V24" s="797">
        <f t="shared" si="30"/>
        <v>-282</v>
      </c>
      <c r="W24" s="797">
        <f t="shared" si="30"/>
        <v>-78</v>
      </c>
      <c r="X24" s="797">
        <f t="shared" si="30"/>
        <v>-176</v>
      </c>
      <c r="Y24" s="797">
        <f t="shared" si="30"/>
        <v>-145</v>
      </c>
      <c r="Z24" s="797">
        <f t="shared" si="30"/>
        <v>-591</v>
      </c>
      <c r="AA24" s="797">
        <f t="shared" si="30"/>
        <v>-191</v>
      </c>
      <c r="AB24" s="797">
        <f t="shared" si="30"/>
        <v>-216</v>
      </c>
      <c r="AC24" s="797">
        <f t="shared" si="30"/>
        <v>-141</v>
      </c>
      <c r="AD24" s="797">
        <f t="shared" si="30"/>
        <v>-267</v>
      </c>
      <c r="AE24" s="797">
        <f t="shared" si="30"/>
        <v>-118</v>
      </c>
      <c r="AF24" s="797">
        <f t="shared" si="30"/>
        <v>-155</v>
      </c>
      <c r="AG24" s="797">
        <f t="shared" si="30"/>
        <v>-337</v>
      </c>
      <c r="AH24" s="797">
        <f t="shared" si="30"/>
        <v>-530</v>
      </c>
      <c r="AI24" s="797">
        <f t="shared" si="30"/>
        <v>-146</v>
      </c>
      <c r="AJ24" s="797">
        <f t="shared" si="30"/>
        <v>-260</v>
      </c>
      <c r="AK24" s="797">
        <f t="shared" si="30"/>
        <v>-359</v>
      </c>
      <c r="AL24" s="797">
        <f t="shared" si="30"/>
        <v>-539</v>
      </c>
      <c r="AM24" s="797">
        <f t="shared" si="30"/>
        <v>-159</v>
      </c>
      <c r="AN24" s="797">
        <f t="shared" si="30"/>
        <v>-333</v>
      </c>
      <c r="AO24" s="797">
        <f t="shared" si="30"/>
        <v>-249</v>
      </c>
      <c r="AP24" s="797">
        <f t="shared" si="30"/>
        <v>-448</v>
      </c>
      <c r="AQ24" s="797">
        <f t="shared" si="30"/>
        <v>-162</v>
      </c>
      <c r="AR24" s="797">
        <f t="shared" si="30"/>
        <v>-211</v>
      </c>
      <c r="AS24" s="797">
        <f t="shared" si="30"/>
        <v>-273</v>
      </c>
      <c r="AT24" s="797">
        <f t="shared" si="30"/>
        <v>-382</v>
      </c>
      <c r="AU24" s="797">
        <f t="shared" si="30"/>
        <v>-107</v>
      </c>
      <c r="AV24" s="797">
        <f t="shared" si="30"/>
        <v>-212</v>
      </c>
      <c r="AW24" s="797">
        <f t="shared" si="30"/>
        <v>-195</v>
      </c>
      <c r="AX24" s="797">
        <f t="shared" si="30"/>
        <v>-524</v>
      </c>
      <c r="AY24" s="797">
        <f t="shared" si="30"/>
        <v>-127</v>
      </c>
      <c r="AZ24" s="797">
        <f t="shared" si="30"/>
        <v>-267</v>
      </c>
      <c r="BA24" s="797">
        <f t="shared" si="30"/>
        <v>-242</v>
      </c>
      <c r="BB24" s="797">
        <f t="shared" si="30"/>
        <v>-577</v>
      </c>
      <c r="BC24" s="797">
        <f t="shared" si="30"/>
        <v>-163</v>
      </c>
      <c r="BD24" s="797">
        <f t="shared" si="30"/>
        <v>-259</v>
      </c>
      <c r="BE24" s="797">
        <f t="shared" si="30"/>
        <v>-319</v>
      </c>
      <c r="BF24" s="797">
        <f t="shared" si="30"/>
        <v>-504</v>
      </c>
      <c r="BG24" s="797">
        <f t="shared" si="30"/>
        <v>-136</v>
      </c>
      <c r="BH24" s="797">
        <f t="shared" si="30"/>
        <v>-180</v>
      </c>
      <c r="BI24" s="797">
        <f t="shared" si="30"/>
        <v>-274</v>
      </c>
      <c r="BJ24" s="797">
        <f t="shared" si="30"/>
        <v>-597</v>
      </c>
      <c r="BK24" s="797">
        <f t="shared" si="30"/>
        <v>-171</v>
      </c>
      <c r="BL24" s="797">
        <f t="shared" si="30"/>
        <v>-241</v>
      </c>
      <c r="BM24" s="797">
        <f t="shared" si="30"/>
        <v>-272</v>
      </c>
      <c r="BN24" s="797">
        <f t="shared" si="30"/>
        <v>-430</v>
      </c>
      <c r="BO24" s="797">
        <f t="shared" si="30"/>
        <v>-130</v>
      </c>
      <c r="BP24" s="797">
        <f t="shared" si="30"/>
        <v>-166</v>
      </c>
      <c r="BQ24" s="797">
        <f t="shared" si="30"/>
        <v>-215</v>
      </c>
      <c r="BR24" s="797">
        <f t="shared" si="30"/>
        <v>-302</v>
      </c>
      <c r="BS24" s="797">
        <f t="shared" si="30"/>
        <v>-106</v>
      </c>
      <c r="BT24" s="797">
        <f t="shared" ref="BT24:BW24" si="31">-BT11</f>
        <v>-116</v>
      </c>
      <c r="BU24" s="797">
        <f t="shared" si="31"/>
        <v>-140</v>
      </c>
      <c r="BV24" s="797">
        <f t="shared" si="31"/>
        <v>-312</v>
      </c>
      <c r="BW24" s="797">
        <f t="shared" si="31"/>
        <v>-86</v>
      </c>
      <c r="BX24" s="797">
        <f t="shared" ref="BX24:BY24" si="32">-BX11</f>
        <v>-165</v>
      </c>
      <c r="BY24" s="797">
        <f t="shared" si="32"/>
        <v>-224</v>
      </c>
      <c r="BZ24" s="797">
        <f t="shared" ref="BZ24:CB24" si="33">-BZ11</f>
        <v>-511</v>
      </c>
      <c r="CA24" s="797">
        <f t="shared" si="33"/>
        <v>-142</v>
      </c>
      <c r="CB24" s="797">
        <f t="shared" si="33"/>
        <v>-171</v>
      </c>
      <c r="CF24" s="793"/>
      <c r="CI24" s="794"/>
      <c r="CJ24" s="794"/>
      <c r="CK24" s="794"/>
      <c r="CL24" s="794"/>
      <c r="CM24" s="794"/>
      <c r="CN24" s="794"/>
      <c r="CO24" s="794"/>
      <c r="CP24" s="794"/>
      <c r="CQ24" s="794"/>
      <c r="CR24" s="794"/>
      <c r="CS24" s="794"/>
      <c r="CT24" s="794"/>
      <c r="CU24" s="794"/>
      <c r="CV24" s="794"/>
      <c r="CW24" s="794"/>
      <c r="CX24" s="794"/>
      <c r="CY24" s="794"/>
      <c r="CZ24" s="794"/>
      <c r="DA24" s="794"/>
      <c r="DB24" s="794"/>
      <c r="DC24" s="794"/>
      <c r="DD24" s="794"/>
      <c r="DE24" s="794"/>
      <c r="DF24" s="794"/>
      <c r="DG24" s="794"/>
      <c r="DH24" s="794"/>
      <c r="DI24" s="794"/>
    </row>
    <row r="25" spans="1:113" s="792" customFormat="1" ht="13">
      <c r="A25" s="790" t="s">
        <v>763</v>
      </c>
      <c r="B25" s="790"/>
      <c r="C25" s="795"/>
      <c r="D25" s="795"/>
      <c r="E25" s="795"/>
      <c r="F25" s="795"/>
      <c r="G25" s="797">
        <f>'Income Statement'!C483</f>
        <v>0</v>
      </c>
      <c r="H25" s="797">
        <f>'Income Statement'!D483</f>
        <v>0</v>
      </c>
      <c r="I25" s="797">
        <f>'Income Statement'!E483</f>
        <v>0</v>
      </c>
      <c r="J25" s="797">
        <f>'Income Statement'!F483</f>
        <v>0</v>
      </c>
      <c r="K25" s="797">
        <f>'Income Statement'!H483</f>
        <v>0</v>
      </c>
      <c r="L25" s="797">
        <f>'Income Statement'!I483</f>
        <v>0</v>
      </c>
      <c r="M25" s="797">
        <f>'Income Statement'!J483</f>
        <v>0</v>
      </c>
      <c r="N25" s="797">
        <f>'Income Statement'!K483</f>
        <v>0</v>
      </c>
      <c r="O25" s="797">
        <f>'Income Statement'!M483</f>
        <v>0</v>
      </c>
      <c r="P25" s="797">
        <f>'Income Statement'!N483</f>
        <v>0</v>
      </c>
      <c r="Q25" s="797">
        <f>'Income Statement'!O483</f>
        <v>0</v>
      </c>
      <c r="R25" s="797">
        <f>'Income Statement'!P483</f>
        <v>0</v>
      </c>
      <c r="S25" s="797">
        <f>'Income Statement'!R483</f>
        <v>0</v>
      </c>
      <c r="T25" s="797">
        <f>'Income Statement'!S483</f>
        <v>0</v>
      </c>
      <c r="U25" s="797">
        <f>'Income Statement'!T483</f>
        <v>0</v>
      </c>
      <c r="V25" s="797">
        <f>'Income Statement'!U483</f>
        <v>0</v>
      </c>
      <c r="W25" s="797">
        <f>'Income Statement'!W483</f>
        <v>0</v>
      </c>
      <c r="X25" s="797">
        <f>'Income Statement'!X483</f>
        <v>0</v>
      </c>
      <c r="Y25" s="797">
        <f>'Income Statement'!Y483</f>
        <v>0</v>
      </c>
      <c r="Z25" s="797">
        <f>'Income Statement'!Z483</f>
        <v>0</v>
      </c>
      <c r="AA25" s="797">
        <f>'Income Statement'!AB483</f>
        <v>0</v>
      </c>
      <c r="AB25" s="797">
        <f>'Income Statement'!AC483</f>
        <v>0</v>
      </c>
      <c r="AC25" s="797">
        <f>'Income Statement'!AD483</f>
        <v>0</v>
      </c>
      <c r="AD25" s="797">
        <f>'Income Statement'!AE483</f>
        <v>0</v>
      </c>
      <c r="AE25" s="797">
        <f>'Income Statement'!AG483</f>
        <v>0</v>
      </c>
      <c r="AF25" s="797">
        <f>'Income Statement'!AH483</f>
        <v>0</v>
      </c>
      <c r="AG25" s="797">
        <f>'Income Statement'!AI483</f>
        <v>0</v>
      </c>
      <c r="AH25" s="797">
        <f>'Income Statement'!AJ483</f>
        <v>0</v>
      </c>
      <c r="AI25" s="797">
        <f>'Income Statement'!AL483</f>
        <v>0</v>
      </c>
      <c r="AJ25" s="797">
        <f>'Income Statement'!AM483</f>
        <v>0</v>
      </c>
      <c r="AK25" s="797">
        <f>'Income Statement'!AN483</f>
        <v>0</v>
      </c>
      <c r="AL25" s="797">
        <f>'Income Statement'!AO483</f>
        <v>0</v>
      </c>
      <c r="AM25" s="797">
        <f>'Income Statement'!AQ483</f>
        <v>0</v>
      </c>
      <c r="AN25" s="797">
        <f>'Income Statement'!AR483</f>
        <v>0</v>
      </c>
      <c r="AO25" s="797">
        <f>'Income Statement'!AS483</f>
        <v>0</v>
      </c>
      <c r="AP25" s="797">
        <f>'Income Statement'!AT483</f>
        <v>0</v>
      </c>
      <c r="AQ25" s="797">
        <f>'Income Statement'!AV483</f>
        <v>0</v>
      </c>
      <c r="AR25" s="797">
        <f>'Income Statement'!AW483</f>
        <v>0</v>
      </c>
      <c r="AS25" s="797">
        <f>'Income Statement'!AX483</f>
        <v>0</v>
      </c>
      <c r="AT25" s="797">
        <f>'Income Statement'!AY483</f>
        <v>0</v>
      </c>
      <c r="AU25" s="797">
        <f>'Income Statement'!BA483</f>
        <v>0</v>
      </c>
      <c r="AV25" s="797">
        <f>'Income Statement'!BB483</f>
        <v>0</v>
      </c>
      <c r="AW25" s="797">
        <f>'Income Statement'!BC483</f>
        <v>0</v>
      </c>
      <c r="AX25" s="797">
        <f>'Income Statement'!BD483</f>
        <v>0</v>
      </c>
      <c r="AY25" s="797">
        <f>'Income Statement'!BF483</f>
        <v>0</v>
      </c>
      <c r="AZ25" s="797">
        <f>'Income Statement'!BG483</f>
        <v>0</v>
      </c>
      <c r="BA25" s="797">
        <f>'Income Statement'!BH483</f>
        <v>0</v>
      </c>
      <c r="BB25" s="797">
        <f>'Income Statement'!BI483</f>
        <v>0</v>
      </c>
      <c r="BC25" s="797">
        <f>'Income Statement'!BK483</f>
        <v>0</v>
      </c>
      <c r="BD25" s="797">
        <f>'Income Statement'!BL483</f>
        <v>0</v>
      </c>
      <c r="BE25" s="797">
        <f>'Income Statement'!BM483</f>
        <v>0</v>
      </c>
      <c r="BF25" s="797">
        <f>'Income Statement'!BN483</f>
        <v>0</v>
      </c>
      <c r="BG25" s="797">
        <f>'Income Statement'!BP483</f>
        <v>0</v>
      </c>
      <c r="BH25" s="797">
        <f>'Income Statement'!BQ483</f>
        <v>0</v>
      </c>
      <c r="BI25" s="797">
        <f>'Income Statement'!BR483</f>
        <v>0</v>
      </c>
      <c r="BJ25" s="797">
        <f>'Income Statement'!BS483</f>
        <v>0</v>
      </c>
      <c r="BK25" s="797">
        <f>'Income Statement'!BU483</f>
        <v>0</v>
      </c>
      <c r="BL25" s="797">
        <f>'Income Statement'!BV483</f>
        <v>0</v>
      </c>
      <c r="BM25" s="797">
        <f>'Income Statement'!BW483</f>
        <v>0</v>
      </c>
      <c r="BN25" s="797">
        <f>'Income Statement'!BX483</f>
        <v>0</v>
      </c>
      <c r="BO25" s="797">
        <f>'Income Statement'!BZ483</f>
        <v>0</v>
      </c>
      <c r="BP25" s="797">
        <f>'Income Statement'!CA483</f>
        <v>0</v>
      </c>
      <c r="BQ25" s="797">
        <f>'Income Statement'!CB483</f>
        <v>0</v>
      </c>
      <c r="BR25" s="797">
        <f>'Income Statement'!CC483</f>
        <v>0</v>
      </c>
      <c r="BS25" s="797">
        <f>'Income Statement'!CE483</f>
        <v>0</v>
      </c>
      <c r="BT25" s="797">
        <f>'Income Statement'!CF483</f>
        <v>0</v>
      </c>
      <c r="BU25" s="797">
        <f>'Income Statement'!CG483</f>
        <v>0</v>
      </c>
      <c r="BV25" s="797">
        <f>'Income Statement'!CH483</f>
        <v>0</v>
      </c>
      <c r="BW25" s="797">
        <f>'Income Statement'!CJ483</f>
        <v>0</v>
      </c>
      <c r="BX25" s="797">
        <f>'Income Statement'!CK483</f>
        <v>0</v>
      </c>
      <c r="BY25" s="797">
        <f>'Income Statement'!CL483</f>
        <v>0</v>
      </c>
      <c r="BZ25" s="797">
        <f>'Income Statement'!CM483</f>
        <v>0</v>
      </c>
      <c r="CA25" s="797">
        <f>'Income Statement'!CO483</f>
        <v>0</v>
      </c>
      <c r="CB25" s="797">
        <f>'Income Statement'!CP483</f>
        <v>0</v>
      </c>
      <c r="CF25" s="793"/>
      <c r="CI25" s="794"/>
      <c r="CJ25" s="794"/>
      <c r="CK25" s="794"/>
      <c r="CL25" s="794"/>
      <c r="CM25" s="794"/>
      <c r="CN25" s="794"/>
      <c r="CO25" s="794"/>
      <c r="CP25" s="794"/>
      <c r="CQ25" s="794"/>
      <c r="CR25" s="794"/>
      <c r="CS25" s="794"/>
      <c r="CT25" s="794"/>
      <c r="CU25" s="794"/>
      <c r="CV25" s="794"/>
      <c r="CW25" s="794"/>
      <c r="CX25" s="794"/>
      <c r="CY25" s="794"/>
      <c r="CZ25" s="794"/>
      <c r="DA25" s="794"/>
      <c r="DB25" s="794"/>
      <c r="DC25" s="794"/>
      <c r="DD25" s="794"/>
      <c r="DE25" s="794"/>
      <c r="DF25" s="794"/>
      <c r="DG25" s="794"/>
      <c r="DH25" s="794"/>
      <c r="DI25" s="794"/>
    </row>
    <row r="26" spans="1:113" s="792" customFormat="1" ht="13">
      <c r="A26" s="790" t="s">
        <v>765</v>
      </c>
      <c r="B26" s="790"/>
      <c r="C26" s="795"/>
      <c r="D26" s="795"/>
      <c r="E26" s="795"/>
      <c r="F26" s="795"/>
      <c r="G26" s="797">
        <f>'Income Statement'!C476</f>
        <v>0</v>
      </c>
      <c r="H26" s="797">
        <f>'Income Statement'!D476</f>
        <v>0</v>
      </c>
      <c r="I26" s="797">
        <f>'Income Statement'!E476</f>
        <v>0</v>
      </c>
      <c r="J26" s="797">
        <f>'Income Statement'!F476</f>
        <v>0</v>
      </c>
      <c r="K26" s="797">
        <f>'Income Statement'!H476</f>
        <v>-1</v>
      </c>
      <c r="L26" s="797">
        <f>'Income Statement'!I476</f>
        <v>0</v>
      </c>
      <c r="M26" s="797">
        <f>'Income Statement'!J476</f>
        <v>-1</v>
      </c>
      <c r="N26" s="797">
        <f>'Income Statement'!K476</f>
        <v>-45</v>
      </c>
      <c r="O26" s="797">
        <f>'Income Statement'!M476</f>
        <v>-50</v>
      </c>
      <c r="P26" s="797">
        <f>'Income Statement'!N476</f>
        <v>-55</v>
      </c>
      <c r="Q26" s="797">
        <f>'Income Statement'!O476</f>
        <v>-51</v>
      </c>
      <c r="R26" s="797">
        <f>'Income Statement'!P476</f>
        <v>-55</v>
      </c>
      <c r="S26" s="797">
        <f>'Income Statement'!R476</f>
        <v>-64</v>
      </c>
      <c r="T26" s="797">
        <f>'Income Statement'!S476</f>
        <v>-61</v>
      </c>
      <c r="U26" s="797">
        <f>'Income Statement'!T476</f>
        <v>-68</v>
      </c>
      <c r="V26" s="797">
        <f>'Income Statement'!U476</f>
        <v>-35</v>
      </c>
      <c r="W26" s="797">
        <f>'Income Statement'!W476</f>
        <v>-71</v>
      </c>
      <c r="X26" s="797">
        <f>'Income Statement'!X476</f>
        <v>-64</v>
      </c>
      <c r="Y26" s="797">
        <f>'Income Statement'!Y476</f>
        <v>-76</v>
      </c>
      <c r="Z26" s="797">
        <f>'Income Statement'!Z476</f>
        <v>-77</v>
      </c>
      <c r="AA26" s="797">
        <f>'Income Statement'!AB476</f>
        <v>-79</v>
      </c>
      <c r="AB26" s="797">
        <f>'Income Statement'!AC476</f>
        <v>-81</v>
      </c>
      <c r="AC26" s="797">
        <f>'Income Statement'!AD476</f>
        <v>-82</v>
      </c>
      <c r="AD26" s="797">
        <f>'Income Statement'!AE476</f>
        <v>-87</v>
      </c>
      <c r="AE26" s="797">
        <f>'Income Statement'!AG476</f>
        <v>-90</v>
      </c>
      <c r="AF26" s="797">
        <f>'Income Statement'!AH476</f>
        <v>-100</v>
      </c>
      <c r="AG26" s="797">
        <f>'Income Statement'!AI476</f>
        <v>-101</v>
      </c>
      <c r="AH26" s="797">
        <f>'Income Statement'!AJ476</f>
        <v>-98</v>
      </c>
      <c r="AI26" s="797">
        <f>'Income Statement'!AL476</f>
        <v>-95</v>
      </c>
      <c r="AJ26" s="797">
        <f>'Income Statement'!AM476</f>
        <v>-105</v>
      </c>
      <c r="AK26" s="797">
        <f>'Income Statement'!AN476</f>
        <v>-110</v>
      </c>
      <c r="AL26" s="797">
        <f>'Income Statement'!AO476</f>
        <v>-101</v>
      </c>
      <c r="AM26" s="797">
        <f>'Income Statement'!AQ476</f>
        <v>-124</v>
      </c>
      <c r="AN26" s="797">
        <f>'Income Statement'!AR476</f>
        <v>-102</v>
      </c>
      <c r="AO26" s="797">
        <f>'Income Statement'!AS476</f>
        <v>-98</v>
      </c>
      <c r="AP26" s="797">
        <f>'Income Statement'!AT476</f>
        <v>-109</v>
      </c>
      <c r="AQ26" s="797">
        <f>'Income Statement'!AV476</f>
        <v>-95</v>
      </c>
      <c r="AR26" s="797">
        <f>'Income Statement'!AW476</f>
        <v>-107</v>
      </c>
      <c r="AS26" s="797">
        <f>'Income Statement'!AX476</f>
        <v>-100</v>
      </c>
      <c r="AT26" s="797">
        <f>'Income Statement'!AY476</f>
        <v>-82</v>
      </c>
      <c r="AU26" s="797">
        <f>'Income Statement'!BA476</f>
        <v>-102</v>
      </c>
      <c r="AV26" s="797">
        <f>'Income Statement'!BB476</f>
        <v>-85</v>
      </c>
      <c r="AW26" s="797">
        <f>'Income Statement'!BC476</f>
        <v>-92</v>
      </c>
      <c r="AX26" s="797">
        <f>'Income Statement'!BD476</f>
        <v>-79</v>
      </c>
      <c r="AY26" s="797">
        <f>'Income Statement'!BF476</f>
        <v>-112</v>
      </c>
      <c r="AZ26" s="797">
        <f>'Income Statement'!BG476</f>
        <v>-113</v>
      </c>
      <c r="BA26" s="797">
        <f>'Income Statement'!BH476</f>
        <v>-108</v>
      </c>
      <c r="BB26" s="797">
        <f>'Income Statement'!BI476</f>
        <v>-119</v>
      </c>
      <c r="BC26" s="797">
        <f>'Income Statement'!BK476</f>
        <v>-102</v>
      </c>
      <c r="BD26" s="797">
        <f>'Income Statement'!BL476</f>
        <v>-103</v>
      </c>
      <c r="BE26" s="797">
        <f>'Income Statement'!BM476</f>
        <v>-99</v>
      </c>
      <c r="BF26" s="797">
        <f>'Income Statement'!BN476</f>
        <v>-101</v>
      </c>
      <c r="BG26" s="797">
        <f>'Income Statement'!BP476</f>
        <v>-109</v>
      </c>
      <c r="BH26" s="797">
        <f>'Income Statement'!BQ476</f>
        <v>-110</v>
      </c>
      <c r="BI26" s="797">
        <f>'Income Statement'!BR476</f>
        <v>-99</v>
      </c>
      <c r="BJ26" s="797">
        <f>'Income Statement'!BS476</f>
        <v>-94</v>
      </c>
      <c r="BK26" s="797">
        <f>'Income Statement'!BU476</f>
        <v>-91</v>
      </c>
      <c r="BL26" s="797">
        <f>'Income Statement'!BV476</f>
        <v>-99</v>
      </c>
      <c r="BM26" s="797">
        <f>'Income Statement'!BW476</f>
        <v>-106</v>
      </c>
      <c r="BN26" s="797">
        <f>'Income Statement'!BX476</f>
        <v>-111</v>
      </c>
      <c r="BO26" s="797">
        <f>'Income Statement'!BZ476</f>
        <v>-112</v>
      </c>
      <c r="BP26" s="797">
        <f>'Income Statement'!CA476</f>
        <v>-115</v>
      </c>
      <c r="BQ26" s="797">
        <f>'Income Statement'!CB476</f>
        <v>-108</v>
      </c>
      <c r="BR26" s="797">
        <f>'Income Statement'!CC476</f>
        <v>-111</v>
      </c>
      <c r="BS26" s="797">
        <f>'Income Statement'!CE476</f>
        <v>-116</v>
      </c>
      <c r="BT26" s="797">
        <f>'Income Statement'!CF476</f>
        <v>-112</v>
      </c>
      <c r="BU26" s="797">
        <f>'Income Statement'!CG476</f>
        <v>-110</v>
      </c>
      <c r="BV26" s="797">
        <f>'Income Statement'!CH476</f>
        <v>-109</v>
      </c>
      <c r="BW26" s="797">
        <f>'Income Statement'!CJ476</f>
        <v>-111</v>
      </c>
      <c r="BX26" s="797">
        <f>'Income Statement'!CK476</f>
        <v>-110</v>
      </c>
      <c r="BY26" s="797">
        <f>'Income Statement'!CL476</f>
        <v>-107</v>
      </c>
      <c r="BZ26" s="797">
        <f>'Income Statement'!CM476</f>
        <v>-104</v>
      </c>
      <c r="CA26" s="797">
        <f>'Income Statement'!CO476</f>
        <v>-104</v>
      </c>
      <c r="CB26" s="797">
        <f>'Income Statement'!CP476</f>
        <v>-106</v>
      </c>
      <c r="CF26" s="793"/>
      <c r="CI26" s="794"/>
      <c r="CJ26" s="794"/>
      <c r="CK26" s="794"/>
      <c r="CL26" s="794"/>
      <c r="CM26" s="794"/>
      <c r="CN26" s="794"/>
      <c r="CO26" s="794"/>
      <c r="CP26" s="794"/>
      <c r="CQ26" s="794"/>
      <c r="CR26" s="794"/>
      <c r="CS26" s="794"/>
      <c r="CT26" s="794"/>
      <c r="CU26" s="794"/>
      <c r="CV26" s="794"/>
      <c r="CW26" s="794"/>
      <c r="CX26" s="794"/>
      <c r="CY26" s="794"/>
      <c r="CZ26" s="794"/>
      <c r="DA26" s="794"/>
      <c r="DB26" s="794"/>
      <c r="DC26" s="794"/>
      <c r="DD26" s="794"/>
      <c r="DE26" s="794"/>
      <c r="DF26" s="794"/>
      <c r="DG26" s="794"/>
      <c r="DH26" s="794"/>
      <c r="DI26" s="794"/>
    </row>
    <row r="27" spans="1:113" s="792" customFormat="1" ht="13">
      <c r="A27" s="790" t="s">
        <v>639</v>
      </c>
      <c r="B27" s="790"/>
      <c r="C27" s="797"/>
      <c r="D27" s="797"/>
      <c r="E27" s="797"/>
      <c r="F27" s="797"/>
      <c r="G27" s="797"/>
      <c r="H27" s="797"/>
      <c r="I27" s="797"/>
      <c r="J27" s="797"/>
      <c r="K27" s="797"/>
      <c r="L27" s="797"/>
      <c r="M27" s="797"/>
      <c r="N27" s="797"/>
      <c r="O27" s="797"/>
      <c r="P27" s="797"/>
      <c r="Q27" s="797"/>
      <c r="R27" s="797"/>
      <c r="S27" s="797"/>
      <c r="T27" s="797"/>
      <c r="U27" s="797"/>
      <c r="V27" s="797"/>
      <c r="W27" s="797"/>
      <c r="X27" s="797"/>
      <c r="Y27" s="797"/>
      <c r="Z27" s="797"/>
      <c r="AA27" s="797"/>
      <c r="AB27" s="797"/>
      <c r="AC27" s="797"/>
      <c r="AD27" s="797"/>
      <c r="AE27" s="797"/>
      <c r="AF27" s="797"/>
      <c r="AG27" s="797"/>
      <c r="AH27" s="797"/>
      <c r="AI27" s="797"/>
      <c r="AJ27" s="797"/>
      <c r="AK27" s="797"/>
      <c r="AL27" s="797"/>
      <c r="AM27" s="797"/>
      <c r="AN27" s="797"/>
      <c r="AO27" s="797"/>
      <c r="AP27" s="797"/>
      <c r="AQ27" s="797"/>
      <c r="AR27" s="797"/>
      <c r="AS27" s="797"/>
      <c r="AT27" s="797"/>
      <c r="AU27" s="797"/>
      <c r="AV27" s="797"/>
      <c r="AW27" s="797"/>
      <c r="AX27" s="797"/>
      <c r="AY27" s="797"/>
      <c r="AZ27" s="797"/>
      <c r="BA27" s="797"/>
      <c r="BB27" s="797"/>
      <c r="BC27" s="797"/>
      <c r="BD27" s="797"/>
      <c r="BE27" s="797"/>
      <c r="BF27" s="797"/>
      <c r="BG27" s="797"/>
      <c r="BH27" s="797"/>
      <c r="BI27" s="797"/>
      <c r="BJ27" s="797"/>
      <c r="BK27" s="797"/>
      <c r="BL27" s="797"/>
      <c r="BM27" s="797"/>
      <c r="BN27" s="797"/>
      <c r="BO27" s="797"/>
      <c r="BP27" s="797"/>
      <c r="BQ27" s="797"/>
      <c r="BR27" s="797"/>
      <c r="BS27" s="797"/>
      <c r="BT27" s="797"/>
      <c r="BU27" s="797"/>
      <c r="BV27" s="797"/>
      <c r="BW27" s="797"/>
      <c r="BX27" s="797"/>
      <c r="BY27" s="797"/>
      <c r="BZ27" s="797"/>
      <c r="CA27" s="797"/>
      <c r="CB27" s="797"/>
      <c r="CF27" s="793"/>
      <c r="CI27" s="794"/>
      <c r="CJ27" s="794"/>
      <c r="CK27" s="794"/>
      <c r="CL27" s="794"/>
      <c r="CM27" s="794"/>
      <c r="CN27" s="794"/>
      <c r="CO27" s="794"/>
      <c r="CP27" s="794"/>
      <c r="CQ27" s="794"/>
      <c r="CR27" s="794"/>
      <c r="CS27" s="794"/>
      <c r="CT27" s="794"/>
      <c r="CU27" s="794"/>
      <c r="CV27" s="794"/>
      <c r="CW27" s="794"/>
      <c r="CX27" s="794"/>
      <c r="CY27" s="794"/>
      <c r="CZ27" s="794"/>
      <c r="DA27" s="794"/>
      <c r="DB27" s="794"/>
      <c r="DC27" s="794"/>
      <c r="DD27" s="794"/>
      <c r="DE27" s="794"/>
      <c r="DF27" s="794"/>
      <c r="DG27" s="794"/>
      <c r="DH27" s="794"/>
      <c r="DI27" s="794"/>
    </row>
    <row r="28" spans="1:113" s="792" customFormat="1" ht="13">
      <c r="A28" s="799" t="s">
        <v>825</v>
      </c>
      <c r="B28" s="790"/>
      <c r="C28" s="800"/>
      <c r="D28" s="800"/>
      <c r="E28" s="800"/>
      <c r="F28" s="800"/>
      <c r="G28" s="800">
        <f>SUM(G22:G27)</f>
        <v>-129.79999999999995</v>
      </c>
      <c r="H28" s="800">
        <f t="shared" ref="H28:BS28" si="34">SUM(H22:H27)</f>
        <v>-171</v>
      </c>
      <c r="I28" s="800">
        <f t="shared" si="34"/>
        <v>990</v>
      </c>
      <c r="J28" s="800">
        <f t="shared" si="34"/>
        <v>743</v>
      </c>
      <c r="K28" s="800">
        <f t="shared" si="34"/>
        <v>887</v>
      </c>
      <c r="L28" s="800">
        <f t="shared" si="34"/>
        <v>876.24752475247533</v>
      </c>
      <c r="M28" s="800">
        <f t="shared" si="34"/>
        <v>602</v>
      </c>
      <c r="N28" s="800">
        <f t="shared" si="34"/>
        <v>273</v>
      </c>
      <c r="O28" s="800">
        <f t="shared" si="34"/>
        <v>684</v>
      </c>
      <c r="P28" s="800">
        <f t="shared" si="34"/>
        <v>478</v>
      </c>
      <c r="Q28" s="800">
        <f t="shared" si="34"/>
        <v>386</v>
      </c>
      <c r="R28" s="800">
        <f t="shared" si="34"/>
        <v>376</v>
      </c>
      <c r="S28" s="800">
        <f t="shared" si="34"/>
        <v>568</v>
      </c>
      <c r="T28" s="800">
        <f t="shared" si="34"/>
        <v>615</v>
      </c>
      <c r="U28" s="800">
        <f t="shared" si="34"/>
        <v>622</v>
      </c>
      <c r="V28" s="800">
        <f t="shared" si="34"/>
        <v>928</v>
      </c>
      <c r="W28" s="800">
        <f t="shared" si="34"/>
        <v>790</v>
      </c>
      <c r="X28" s="800">
        <f t="shared" si="34"/>
        <v>702</v>
      </c>
      <c r="Y28" s="800">
        <f t="shared" si="34"/>
        <v>645</v>
      </c>
      <c r="Z28" s="800">
        <f t="shared" si="34"/>
        <v>228</v>
      </c>
      <c r="AA28" s="800">
        <f t="shared" si="34"/>
        <v>662</v>
      </c>
      <c r="AB28" s="800">
        <f t="shared" si="34"/>
        <v>663</v>
      </c>
      <c r="AC28" s="800">
        <f t="shared" si="34"/>
        <v>738</v>
      </c>
      <c r="AD28" s="800">
        <f t="shared" si="34"/>
        <v>591</v>
      </c>
      <c r="AE28" s="800">
        <f t="shared" si="34"/>
        <v>330.74600000000009</v>
      </c>
      <c r="AF28" s="800">
        <f t="shared" si="34"/>
        <v>235.89735464231364</v>
      </c>
      <c r="AG28" s="800">
        <f t="shared" si="34"/>
        <v>22.539999999999964</v>
      </c>
      <c r="AH28" s="800">
        <f t="shared" si="34"/>
        <v>-98.655999999999949</v>
      </c>
      <c r="AI28" s="800">
        <f t="shared" si="34"/>
        <v>294.46800000000007</v>
      </c>
      <c r="AJ28" s="800">
        <f t="shared" si="34"/>
        <v>96.88</v>
      </c>
      <c r="AK28" s="800">
        <f t="shared" si="34"/>
        <v>76</v>
      </c>
      <c r="AL28" s="800">
        <f t="shared" si="34"/>
        <v>-167</v>
      </c>
      <c r="AM28" s="800">
        <f t="shared" si="34"/>
        <v>676</v>
      </c>
      <c r="AN28" s="800">
        <f t="shared" si="34"/>
        <v>431</v>
      </c>
      <c r="AO28" s="800">
        <f t="shared" si="34"/>
        <v>618</v>
      </c>
      <c r="AP28" s="800">
        <f t="shared" si="34"/>
        <v>446</v>
      </c>
      <c r="AQ28" s="800">
        <f t="shared" si="34"/>
        <v>593</v>
      </c>
      <c r="AR28" s="800">
        <f t="shared" si="34"/>
        <v>512</v>
      </c>
      <c r="AS28" s="800">
        <f t="shared" si="34"/>
        <v>571</v>
      </c>
      <c r="AT28" s="800">
        <f t="shared" si="34"/>
        <v>431</v>
      </c>
      <c r="AU28" s="800">
        <f t="shared" si="34"/>
        <v>645</v>
      </c>
      <c r="AV28" s="800">
        <f t="shared" si="34"/>
        <v>553</v>
      </c>
      <c r="AW28" s="800">
        <f t="shared" si="34"/>
        <v>594</v>
      </c>
      <c r="AX28" s="800">
        <f t="shared" si="34"/>
        <v>70</v>
      </c>
      <c r="AY28" s="800">
        <f t="shared" si="34"/>
        <v>618</v>
      </c>
      <c r="AZ28" s="800">
        <f t="shared" si="34"/>
        <v>466</v>
      </c>
      <c r="BA28" s="800">
        <f t="shared" si="34"/>
        <v>531</v>
      </c>
      <c r="BB28" s="800">
        <f t="shared" si="34"/>
        <v>137</v>
      </c>
      <c r="BC28" s="800">
        <f t="shared" si="34"/>
        <v>579</v>
      </c>
      <c r="BD28" s="800">
        <f t="shared" si="34"/>
        <v>471</v>
      </c>
      <c r="BE28" s="800">
        <f t="shared" si="34"/>
        <v>423</v>
      </c>
      <c r="BF28" s="800">
        <f t="shared" si="34"/>
        <v>222</v>
      </c>
      <c r="BG28" s="800">
        <f t="shared" si="34"/>
        <v>597</v>
      </c>
      <c r="BH28" s="800">
        <f t="shared" si="34"/>
        <v>592</v>
      </c>
      <c r="BI28" s="800">
        <f t="shared" si="34"/>
        <v>488</v>
      </c>
      <c r="BJ28" s="800">
        <f t="shared" si="34"/>
        <v>146</v>
      </c>
      <c r="BK28" s="800">
        <f t="shared" si="34"/>
        <v>525</v>
      </c>
      <c r="BL28" s="800">
        <f t="shared" si="34"/>
        <v>496</v>
      </c>
      <c r="BM28" s="800">
        <f t="shared" si="34"/>
        <v>466</v>
      </c>
      <c r="BN28" s="800">
        <f t="shared" si="34"/>
        <v>270</v>
      </c>
      <c r="BO28" s="800">
        <f t="shared" si="34"/>
        <v>621</v>
      </c>
      <c r="BP28" s="800">
        <f t="shared" si="34"/>
        <v>597</v>
      </c>
      <c r="BQ28" s="800">
        <f t="shared" si="34"/>
        <v>509</v>
      </c>
      <c r="BR28" s="800">
        <f t="shared" si="34"/>
        <v>522</v>
      </c>
      <c r="BS28" s="800">
        <f t="shared" si="34"/>
        <v>696</v>
      </c>
      <c r="BT28" s="800">
        <f t="shared" ref="BT28:BW28" si="35">SUM(BT22:BT27)</f>
        <v>691</v>
      </c>
      <c r="BU28" s="800">
        <f t="shared" si="35"/>
        <v>677</v>
      </c>
      <c r="BV28" s="800">
        <f t="shared" si="35"/>
        <v>456</v>
      </c>
      <c r="BW28" s="800">
        <f t="shared" si="35"/>
        <v>729</v>
      </c>
      <c r="BX28" s="800">
        <f t="shared" ref="BX28:BY28" si="36">SUM(BX22:BX27)</f>
        <v>680</v>
      </c>
      <c r="BY28" s="800">
        <f t="shared" si="36"/>
        <v>639</v>
      </c>
      <c r="BZ28" s="800">
        <f t="shared" ref="BZ28:CB28" si="37">SUM(BZ22:BZ27)</f>
        <v>357</v>
      </c>
      <c r="CA28" s="800">
        <f t="shared" si="37"/>
        <v>711</v>
      </c>
      <c r="CB28" s="800">
        <f t="shared" si="37"/>
        <v>698</v>
      </c>
      <c r="CF28" s="793"/>
      <c r="CI28" s="794"/>
      <c r="CJ28" s="794"/>
      <c r="CK28" s="794"/>
      <c r="CL28" s="794"/>
      <c r="CM28" s="794"/>
      <c r="CN28" s="794"/>
      <c r="CO28" s="794"/>
      <c r="CP28" s="794"/>
      <c r="CQ28" s="794"/>
      <c r="CR28" s="794"/>
      <c r="CS28" s="794"/>
      <c r="CT28" s="794"/>
      <c r="CU28" s="794"/>
      <c r="CV28" s="794"/>
      <c r="CW28" s="794"/>
      <c r="CX28" s="794"/>
      <c r="CY28" s="794"/>
      <c r="CZ28" s="794"/>
      <c r="DA28" s="794"/>
      <c r="DB28" s="794"/>
      <c r="DC28" s="794"/>
      <c r="DD28" s="794"/>
      <c r="DE28" s="794"/>
      <c r="DF28" s="794"/>
      <c r="DG28" s="794"/>
      <c r="DH28" s="794"/>
      <c r="DI28" s="794"/>
    </row>
    <row r="29" spans="1:113">
      <c r="A29" s="71" t="s">
        <v>473</v>
      </c>
      <c r="B29" s="71"/>
      <c r="C29" s="99"/>
      <c r="D29" s="99"/>
      <c r="E29" s="99"/>
      <c r="F29" s="99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72"/>
      <c r="BN29" s="72"/>
      <c r="BO29" s="72"/>
      <c r="BP29" s="72"/>
      <c r="BQ29" s="72"/>
      <c r="BR29" s="72"/>
      <c r="BS29" s="72"/>
      <c r="BT29" s="72"/>
      <c r="BU29" s="72"/>
      <c r="BV29" s="72"/>
      <c r="BW29" s="72"/>
      <c r="BX29" s="72"/>
      <c r="BY29" s="72"/>
      <c r="BZ29" s="72"/>
      <c r="CA29" s="72"/>
      <c r="CB29" s="72"/>
      <c r="CG29" s="72"/>
      <c r="CH29" s="72"/>
      <c r="CI29" s="72"/>
      <c r="CJ29" s="72"/>
      <c r="CK29" s="72"/>
      <c r="CL29" s="72"/>
      <c r="CM29" s="72"/>
      <c r="CN29" s="72"/>
      <c r="CO29" s="72"/>
      <c r="CP29" s="72"/>
      <c r="CQ29" s="72"/>
      <c r="CR29" s="72"/>
      <c r="CS29" s="72"/>
      <c r="CT29" s="72"/>
      <c r="CU29" s="72"/>
      <c r="CV29" s="72"/>
      <c r="CW29" s="72"/>
      <c r="CX29" s="72"/>
      <c r="CY29" s="72"/>
    </row>
    <row r="30" spans="1:113">
      <c r="A30" s="100" t="s">
        <v>470</v>
      </c>
      <c r="B30" s="100"/>
      <c r="C30" s="101"/>
      <c r="D30" s="101"/>
      <c r="E30" s="101"/>
      <c r="F30" s="101"/>
      <c r="G30" s="101">
        <f t="shared" ref="G30:AO30" si="38">G7</f>
        <v>0</v>
      </c>
      <c r="H30" s="101">
        <f t="shared" si="38"/>
        <v>0</v>
      </c>
      <c r="I30" s="101">
        <f t="shared" si="38"/>
        <v>0</v>
      </c>
      <c r="J30" s="101">
        <f t="shared" si="38"/>
        <v>2204</v>
      </c>
      <c r="K30" s="101">
        <f t="shared" si="38"/>
        <v>2129</v>
      </c>
      <c r="L30" s="101">
        <f t="shared" si="38"/>
        <v>2116</v>
      </c>
      <c r="M30" s="101">
        <f t="shared" si="38"/>
        <v>2156</v>
      </c>
      <c r="N30" s="101">
        <f t="shared" si="38"/>
        <v>2211</v>
      </c>
      <c r="O30" s="101">
        <f t="shared" si="38"/>
        <v>2152</v>
      </c>
      <c r="P30" s="101">
        <f t="shared" si="38"/>
        <v>2191</v>
      </c>
      <c r="Q30" s="101">
        <f t="shared" si="38"/>
        <v>2216</v>
      </c>
      <c r="R30" s="101">
        <f t="shared" si="38"/>
        <v>2310</v>
      </c>
      <c r="S30" s="101">
        <f t="shared" si="38"/>
        <v>2133</v>
      </c>
      <c r="T30" s="101">
        <f t="shared" si="38"/>
        <v>2158</v>
      </c>
      <c r="U30" s="101">
        <f t="shared" si="38"/>
        <v>2244</v>
      </c>
      <c r="V30" s="101">
        <f t="shared" si="38"/>
        <v>2248</v>
      </c>
      <c r="W30" s="101">
        <f t="shared" si="38"/>
        <v>2135</v>
      </c>
      <c r="X30" s="101">
        <f t="shared" si="38"/>
        <v>2223</v>
      </c>
      <c r="Y30" s="101">
        <f t="shared" si="38"/>
        <v>2216</v>
      </c>
      <c r="Z30" s="101">
        <f t="shared" si="38"/>
        <v>2306</v>
      </c>
      <c r="AA30" s="101">
        <f t="shared" si="38"/>
        <v>2327</v>
      </c>
      <c r="AB30" s="101">
        <f t="shared" si="38"/>
        <v>2295</v>
      </c>
      <c r="AC30" s="101">
        <f t="shared" si="38"/>
        <v>2239</v>
      </c>
      <c r="AD30" s="101">
        <f t="shared" si="38"/>
        <v>2224</v>
      </c>
      <c r="AE30" s="101">
        <f t="shared" si="38"/>
        <v>2119</v>
      </c>
      <c r="AF30" s="101">
        <f t="shared" si="38"/>
        <v>2082</v>
      </c>
      <c r="AG30" s="101">
        <f t="shared" si="38"/>
        <v>2065</v>
      </c>
      <c r="AH30" s="101">
        <f t="shared" si="38"/>
        <v>2123</v>
      </c>
      <c r="AI30" s="101">
        <f t="shared" si="38"/>
        <v>2149</v>
      </c>
      <c r="AJ30" s="101">
        <f t="shared" si="38"/>
        <v>2110</v>
      </c>
      <c r="AK30" s="101">
        <f t="shared" si="38"/>
        <v>2166</v>
      </c>
      <c r="AL30" s="101">
        <f t="shared" si="38"/>
        <v>2176</v>
      </c>
      <c r="AM30" s="101">
        <f t="shared" si="38"/>
        <v>2140</v>
      </c>
      <c r="AN30" s="101">
        <f t="shared" si="38"/>
        <v>2102</v>
      </c>
      <c r="AO30" s="101">
        <f t="shared" si="38"/>
        <v>2156</v>
      </c>
      <c r="AP30" s="101">
        <f>AP7</f>
        <v>2214</v>
      </c>
      <c r="AQ30" s="101">
        <f>'Income Statement'!AV388</f>
        <v>2241</v>
      </c>
      <c r="AR30" s="101">
        <f>'Income Statement'!AW388</f>
        <v>2194</v>
      </c>
      <c r="AS30" s="101">
        <f>'Income Statement'!AX388</f>
        <v>2187</v>
      </c>
      <c r="AT30" s="101">
        <f>'Income Statement'!AY388</f>
        <v>2237</v>
      </c>
      <c r="AU30" s="101">
        <f>'Income Statement'!BA388</f>
        <v>2091</v>
      </c>
      <c r="AV30" s="101">
        <f>'Income Statement'!BB388</f>
        <v>2096</v>
      </c>
      <c r="AW30" s="101">
        <f>'Income Statement'!BC388</f>
        <v>2113</v>
      </c>
      <c r="AX30" s="101">
        <f>'Income Statement'!BD388</f>
        <v>2295</v>
      </c>
      <c r="AY30" s="101">
        <f>'Income Statement'!BF388</f>
        <v>2082</v>
      </c>
      <c r="AZ30" s="101">
        <f>'Income Statement'!BG388</f>
        <v>2051</v>
      </c>
      <c r="BA30" s="101">
        <f>'Income Statement'!BH388</f>
        <v>2118</v>
      </c>
      <c r="BB30" s="101">
        <f>'Income Statement'!BI388</f>
        <v>2370</v>
      </c>
      <c r="BC30" s="101">
        <f>'Income Statement'!BK388</f>
        <v>2099</v>
      </c>
      <c r="BD30" s="101">
        <f>'Income Statement'!BL388</f>
        <v>1911</v>
      </c>
      <c r="BE30" s="101">
        <f>'Income Statement'!BM388</f>
        <v>1946</v>
      </c>
      <c r="BF30" s="101">
        <f>'Income Statement'!BN388</f>
        <v>1979</v>
      </c>
      <c r="BG30" s="101">
        <f>'Income Statement'!BP388</f>
        <v>1933</v>
      </c>
      <c r="BH30" s="101">
        <f>'Income Statement'!BQ388</f>
        <v>1963</v>
      </c>
      <c r="BI30" s="101">
        <f>'Income Statement'!BR388</f>
        <v>1953</v>
      </c>
      <c r="BJ30" s="101">
        <f>'Income Statement'!BS388</f>
        <v>2114</v>
      </c>
      <c r="BK30" s="101">
        <f>'Income Statement'!BU388</f>
        <v>1818</v>
      </c>
      <c r="BL30" s="101">
        <f>'Income Statement'!BV388</f>
        <v>1829</v>
      </c>
      <c r="BM30" s="101">
        <f>'Income Statement'!BW388</f>
        <v>1803</v>
      </c>
      <c r="BN30" s="101">
        <f>'Income Statement'!BX388</f>
        <v>1971</v>
      </c>
      <c r="BO30" s="101">
        <f>'Income Statement'!BZ388</f>
        <v>1939</v>
      </c>
      <c r="BP30" s="101">
        <f>'Income Statement'!CA388</f>
        <v>1879</v>
      </c>
      <c r="BQ30" s="101">
        <f>'Income Statement'!CB388</f>
        <v>1831</v>
      </c>
      <c r="BR30" s="101">
        <f>'Income Statement'!CC388</f>
        <v>2098</v>
      </c>
      <c r="BS30" s="101">
        <f>'Income Statement'!CE388</f>
        <v>1972</v>
      </c>
      <c r="BT30" s="101">
        <f>'Income Statement'!CF388</f>
        <v>1934</v>
      </c>
      <c r="BU30" s="101">
        <f>'Income Statement'!CG388</f>
        <v>1929</v>
      </c>
      <c r="BV30" s="101">
        <f>'Income Statement'!CH388</f>
        <v>2098</v>
      </c>
      <c r="BW30" s="101">
        <f>'Income Statement'!CJ388</f>
        <v>1956</v>
      </c>
      <c r="BX30" s="101">
        <f>'Income Statement'!CK388</f>
        <v>1901</v>
      </c>
      <c r="BY30" s="101">
        <f>'Income Statement'!CL388</f>
        <v>1916</v>
      </c>
      <c r="BZ30" s="101">
        <f>'Income Statement'!CM388</f>
        <v>2180</v>
      </c>
      <c r="CA30" s="101">
        <f>'Income Statement'!CO388</f>
        <v>2061</v>
      </c>
      <c r="CB30" s="101">
        <f>'Income Statement'!CP388</f>
        <v>1988</v>
      </c>
      <c r="CG30" s="101"/>
      <c r="CH30" s="101"/>
      <c r="CI30" s="101"/>
      <c r="CJ30" s="101"/>
      <c r="CK30" s="101"/>
      <c r="CL30" s="101"/>
      <c r="CM30" s="101"/>
      <c r="CN30" s="101"/>
      <c r="CO30" s="101"/>
      <c r="CP30" s="101"/>
      <c r="CQ30" s="101"/>
      <c r="CR30" s="101"/>
      <c r="CS30" s="101"/>
      <c r="CT30" s="101"/>
      <c r="CU30" s="101"/>
      <c r="CV30" s="101"/>
      <c r="CW30" s="101"/>
      <c r="CX30" s="101"/>
      <c r="CY30" s="101"/>
    </row>
    <row r="31" spans="1:113">
      <c r="A31" s="393" t="s">
        <v>695</v>
      </c>
      <c r="B31" s="100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  <c r="AM31" s="101"/>
      <c r="AN31" s="101"/>
      <c r="AO31" s="101"/>
      <c r="AP31" s="101"/>
      <c r="AQ31" s="101"/>
      <c r="AR31" s="101"/>
      <c r="AS31" s="101"/>
      <c r="AT31" s="101"/>
      <c r="AU31" s="101"/>
      <c r="AV31" s="101"/>
      <c r="AW31" s="101"/>
      <c r="AX31" s="101"/>
      <c r="AY31" s="101"/>
      <c r="AZ31" s="101"/>
      <c r="BA31" s="101"/>
      <c r="BB31" s="101"/>
      <c r="BC31" s="101"/>
      <c r="BD31" s="101"/>
      <c r="BE31" s="101"/>
      <c r="BF31" s="101"/>
      <c r="BG31" s="101">
        <f>'Income Statement'!BP409</f>
        <v>690</v>
      </c>
      <c r="BH31" s="101">
        <f>'Income Statement'!BQ409</f>
        <v>685</v>
      </c>
      <c r="BI31" s="101">
        <f>'Income Statement'!BR409</f>
        <v>685</v>
      </c>
      <c r="BJ31" s="101">
        <f>'Income Statement'!BS409</f>
        <v>655</v>
      </c>
      <c r="BK31" s="101">
        <f>'Income Statement'!BU409</f>
        <v>657</v>
      </c>
      <c r="BL31" s="101">
        <f>'Income Statement'!BV409</f>
        <v>679</v>
      </c>
      <c r="BM31" s="101">
        <f>'Income Statement'!BW409</f>
        <v>676</v>
      </c>
      <c r="BN31" s="101">
        <f>'Income Statement'!BX409</f>
        <v>681</v>
      </c>
      <c r="BO31" s="101">
        <f>'Income Statement'!BZ409</f>
        <v>661</v>
      </c>
      <c r="BP31" s="101">
        <f>'Income Statement'!CA409</f>
        <v>651</v>
      </c>
      <c r="BQ31" s="101">
        <f>'Income Statement'!CB409</f>
        <v>652</v>
      </c>
      <c r="BR31" s="101">
        <f>'Income Statement'!CC409</f>
        <v>655</v>
      </c>
      <c r="BS31" s="101">
        <f>'Income Statement'!CE409</f>
        <v>649</v>
      </c>
      <c r="BT31" s="101">
        <f>'Income Statement'!CF409</f>
        <v>648</v>
      </c>
      <c r="BU31" s="101">
        <f>'Income Statement'!CG409</f>
        <v>641</v>
      </c>
      <c r="BV31" s="101">
        <f>'Income Statement'!CH409</f>
        <v>627</v>
      </c>
      <c r="BW31" s="101">
        <f>'Income Statement'!CJ409</f>
        <v>595</v>
      </c>
      <c r="BX31" s="101">
        <f>'Income Statement'!CK409</f>
        <v>610</v>
      </c>
      <c r="BY31" s="101">
        <f>'Income Statement'!CL409</f>
        <v>616</v>
      </c>
      <c r="BZ31" s="101">
        <f>'Income Statement'!CM409</f>
        <v>624</v>
      </c>
      <c r="CA31" s="101">
        <f>'Income Statement'!CO409</f>
        <v>609</v>
      </c>
      <c r="CB31" s="101">
        <f>'Income Statement'!CP409</f>
        <v>612</v>
      </c>
      <c r="CG31" s="101"/>
      <c r="CH31" s="101"/>
      <c r="CI31" s="101"/>
      <c r="CJ31" s="101"/>
      <c r="CK31" s="101"/>
      <c r="CL31" s="101"/>
      <c r="CM31" s="101"/>
      <c r="CN31" s="101"/>
      <c r="CO31" s="101"/>
      <c r="CP31" s="101"/>
      <c r="CQ31" s="101"/>
      <c r="CR31" s="101">
        <f>'Income Statement'!BT409</f>
        <v>2715</v>
      </c>
      <c r="CS31" s="101">
        <f>'Income Statement'!BY409</f>
        <v>2693</v>
      </c>
      <c r="CT31" s="101">
        <f>'Income Statement'!CD409</f>
        <v>2619</v>
      </c>
      <c r="CU31" s="101">
        <f>'Income Statement'!CI409</f>
        <v>2565</v>
      </c>
      <c r="CV31" s="101">
        <f>'Income Statement'!CN409</f>
        <v>2445</v>
      </c>
      <c r="CW31" s="101">
        <f>'Income Statement'!CQ409</f>
        <v>2470.115496680211</v>
      </c>
      <c r="CX31" s="101">
        <f>'Income Statement'!CR409</f>
        <v>2479.0650826091564</v>
      </c>
      <c r="CY31" s="101">
        <f>'Income Statement'!CS409</f>
        <v>2493.714583060676</v>
      </c>
    </row>
    <row r="32" spans="1:113">
      <c r="A32" s="393" t="s">
        <v>696</v>
      </c>
      <c r="B32" s="100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  <c r="AM32" s="101"/>
      <c r="AN32" s="101"/>
      <c r="AO32" s="101"/>
      <c r="AP32" s="101"/>
      <c r="AQ32" s="101"/>
      <c r="AR32" s="101"/>
      <c r="AS32" s="101"/>
      <c r="AT32" s="101"/>
      <c r="AU32" s="101"/>
      <c r="AV32" s="101"/>
      <c r="AW32" s="101"/>
      <c r="AX32" s="101"/>
      <c r="AY32" s="101"/>
      <c r="AZ32" s="101"/>
      <c r="BA32" s="101"/>
      <c r="BB32" s="101"/>
      <c r="BC32" s="101"/>
      <c r="BD32" s="101"/>
      <c r="BE32" s="101"/>
      <c r="BF32" s="101"/>
      <c r="BG32" s="101">
        <f>'Income Statement'!BP408</f>
        <v>748</v>
      </c>
      <c r="BH32" s="101">
        <f>'Income Statement'!BQ408</f>
        <v>766</v>
      </c>
      <c r="BI32" s="101">
        <f>'Income Statement'!BR408</f>
        <v>783</v>
      </c>
      <c r="BJ32" s="101">
        <f>'Income Statement'!BS408</f>
        <v>766</v>
      </c>
      <c r="BK32" s="101">
        <f>'Income Statement'!BU408</f>
        <v>785</v>
      </c>
      <c r="BL32" s="101">
        <f>'Income Statement'!BV408</f>
        <v>810</v>
      </c>
      <c r="BM32" s="101">
        <f>'Income Statement'!BW408</f>
        <v>830</v>
      </c>
      <c r="BN32" s="101">
        <f>'Income Statement'!BX408</f>
        <v>850</v>
      </c>
      <c r="BO32" s="101">
        <f>'Income Statement'!BZ408</f>
        <v>864</v>
      </c>
      <c r="BP32" s="101">
        <f>'Income Statement'!CA408</f>
        <v>871</v>
      </c>
      <c r="BQ32" s="101">
        <f>'Income Statement'!CB408</f>
        <v>882</v>
      </c>
      <c r="BR32" s="101">
        <f>'Income Statement'!CC408</f>
        <v>903</v>
      </c>
      <c r="BS32" s="101">
        <f>'Income Statement'!CE408</f>
        <v>911</v>
      </c>
      <c r="BT32" s="101">
        <f>'Income Statement'!CF408</f>
        <v>916</v>
      </c>
      <c r="BU32" s="101">
        <f>'Income Statement'!CG408</f>
        <v>925</v>
      </c>
      <c r="BV32" s="101">
        <f>'Income Statement'!CH408</f>
        <v>948</v>
      </c>
      <c r="BW32" s="101">
        <f>'Income Statement'!CJ408</f>
        <v>924</v>
      </c>
      <c r="BX32" s="101">
        <f>'Income Statement'!CK408</f>
        <v>933</v>
      </c>
      <c r="BY32" s="101">
        <f>'Income Statement'!CL408</f>
        <v>952</v>
      </c>
      <c r="BZ32" s="101">
        <f>'Income Statement'!CM408</f>
        <v>976</v>
      </c>
      <c r="CA32" s="101">
        <f>'Income Statement'!CO408</f>
        <v>963</v>
      </c>
      <c r="CB32" s="101">
        <f>'Income Statement'!CP408</f>
        <v>972</v>
      </c>
      <c r="CG32" s="101"/>
      <c r="CH32" s="101"/>
      <c r="CI32" s="101"/>
      <c r="CJ32" s="101"/>
      <c r="CK32" s="101"/>
      <c r="CL32" s="101"/>
      <c r="CM32" s="101"/>
      <c r="CN32" s="101"/>
      <c r="CO32" s="101"/>
      <c r="CP32" s="101"/>
      <c r="CQ32" s="101"/>
      <c r="CR32" s="101">
        <f>'Income Statement'!BT408</f>
        <v>3063</v>
      </c>
      <c r="CS32" s="101">
        <f>'Income Statement'!BY408</f>
        <v>3275</v>
      </c>
      <c r="CT32" s="101">
        <f>'Income Statement'!CD408</f>
        <v>3520</v>
      </c>
      <c r="CU32" s="101">
        <f>'Income Statement'!CI408</f>
        <v>3700</v>
      </c>
      <c r="CV32" s="101">
        <f>'Income Statement'!CN408</f>
        <v>3785</v>
      </c>
      <c r="CW32" s="101">
        <f>'Income Statement'!CQ408</f>
        <v>3901.2032301220534</v>
      </c>
      <c r="CX32" s="101">
        <f>'Income Statement'!CR408</f>
        <v>3963.3333912322096</v>
      </c>
      <c r="CY32" s="101">
        <f>'Income Statement'!CS408</f>
        <v>4055.6600080042908</v>
      </c>
    </row>
    <row r="33" spans="1:103">
      <c r="A33" s="100" t="s">
        <v>698</v>
      </c>
      <c r="B33" s="100"/>
      <c r="C33" s="101"/>
      <c r="D33" s="101"/>
      <c r="E33" s="101"/>
      <c r="F33" s="101"/>
      <c r="G33" s="667">
        <f t="shared" ref="G33:AO33" si="39">G8</f>
        <v>0</v>
      </c>
      <c r="H33" s="667">
        <f t="shared" si="39"/>
        <v>0</v>
      </c>
      <c r="I33" s="667">
        <f t="shared" si="39"/>
        <v>0</v>
      </c>
      <c r="J33" s="667">
        <f t="shared" si="39"/>
        <v>2078</v>
      </c>
      <c r="K33" s="667">
        <f t="shared" si="39"/>
        <v>1954</v>
      </c>
      <c r="L33" s="667">
        <f t="shared" si="39"/>
        <v>1962</v>
      </c>
      <c r="M33" s="667">
        <f t="shared" si="39"/>
        <v>2013</v>
      </c>
      <c r="N33" s="667">
        <f t="shared" si="39"/>
        <v>2075</v>
      </c>
      <c r="O33" s="667">
        <f t="shared" si="39"/>
        <v>2023</v>
      </c>
      <c r="P33" s="667">
        <f t="shared" si="39"/>
        <v>2041</v>
      </c>
      <c r="Q33" s="667">
        <f t="shared" si="39"/>
        <v>2063</v>
      </c>
      <c r="R33" s="667">
        <f t="shared" si="39"/>
        <v>2152</v>
      </c>
      <c r="S33" s="667">
        <f t="shared" si="39"/>
        <v>2038</v>
      </c>
      <c r="T33" s="667">
        <f t="shared" si="39"/>
        <v>2075</v>
      </c>
      <c r="U33" s="667">
        <f t="shared" si="39"/>
        <v>2163</v>
      </c>
      <c r="V33" s="667">
        <f t="shared" si="39"/>
        <v>2170</v>
      </c>
      <c r="W33" s="667">
        <f t="shared" si="39"/>
        <v>2036</v>
      </c>
      <c r="X33" s="667">
        <f t="shared" si="39"/>
        <v>2081</v>
      </c>
      <c r="Y33" s="667">
        <f t="shared" si="39"/>
        <v>2066</v>
      </c>
      <c r="Z33" s="667">
        <f t="shared" si="39"/>
        <v>2111</v>
      </c>
      <c r="AA33" s="667">
        <f t="shared" si="39"/>
        <v>2066</v>
      </c>
      <c r="AB33" s="667">
        <f t="shared" si="39"/>
        <v>2063</v>
      </c>
      <c r="AC33" s="667">
        <f t="shared" si="39"/>
        <v>2051</v>
      </c>
      <c r="AD33" s="667">
        <f t="shared" si="39"/>
        <v>2024</v>
      </c>
      <c r="AE33" s="667">
        <f t="shared" si="39"/>
        <v>1953</v>
      </c>
      <c r="AF33" s="667">
        <f t="shared" si="39"/>
        <v>1955</v>
      </c>
      <c r="AG33" s="667">
        <f t="shared" si="39"/>
        <v>1946</v>
      </c>
      <c r="AH33" s="667">
        <f t="shared" si="39"/>
        <v>1988</v>
      </c>
      <c r="AI33" s="667">
        <f t="shared" si="39"/>
        <v>2019</v>
      </c>
      <c r="AJ33" s="667">
        <f t="shared" si="39"/>
        <v>1984</v>
      </c>
      <c r="AK33" s="667">
        <f t="shared" si="39"/>
        <v>2046</v>
      </c>
      <c r="AL33" s="667">
        <f t="shared" si="39"/>
        <v>2047</v>
      </c>
      <c r="AM33" s="667">
        <f t="shared" si="39"/>
        <v>2005</v>
      </c>
      <c r="AN33" s="667">
        <f t="shared" si="39"/>
        <v>1934</v>
      </c>
      <c r="AO33" s="667">
        <f t="shared" si="39"/>
        <v>1982</v>
      </c>
      <c r="AP33" s="667">
        <f>AP8</f>
        <v>2028</v>
      </c>
      <c r="AQ33" s="667">
        <f>'Income Statement'!AV382</f>
        <v>1942</v>
      </c>
      <c r="AR33" s="667">
        <f>'Income Statement'!AW382</f>
        <v>1928</v>
      </c>
      <c r="AS33" s="667">
        <f>'Income Statement'!AX382</f>
        <v>1944</v>
      </c>
      <c r="AT33" s="667">
        <f>'Income Statement'!AY382</f>
        <v>1897</v>
      </c>
      <c r="AU33" s="667">
        <f>'Income Statement'!BA382</f>
        <v>1834</v>
      </c>
      <c r="AV33" s="667">
        <f>'Income Statement'!BB382</f>
        <v>1863</v>
      </c>
      <c r="AW33" s="667">
        <f>'Income Statement'!BC382</f>
        <v>1876</v>
      </c>
      <c r="AX33" s="667">
        <f>'Income Statement'!BD382</f>
        <v>1898</v>
      </c>
      <c r="AY33" s="667">
        <f>'Income Statement'!BF382</f>
        <v>1797</v>
      </c>
      <c r="AZ33" s="667">
        <f>'Income Statement'!BG382</f>
        <v>1763</v>
      </c>
      <c r="BA33" s="667">
        <f>'Income Statement'!BH382</f>
        <v>1773</v>
      </c>
      <c r="BB33" s="667">
        <f>'Income Statement'!BI382</f>
        <v>1772</v>
      </c>
      <c r="BC33" s="667">
        <f>'Income Statement'!BK382</f>
        <v>1698</v>
      </c>
      <c r="BD33" s="667">
        <f>'Income Statement'!BL382</f>
        <v>1660</v>
      </c>
      <c r="BE33" s="667">
        <f>'Income Statement'!BM382</f>
        <v>1673</v>
      </c>
      <c r="BF33" s="667">
        <f>'Income Statement'!BN382</f>
        <v>1663</v>
      </c>
      <c r="BG33" s="101">
        <f>BG31+BG32</f>
        <v>1438</v>
      </c>
      <c r="BH33" s="101">
        <f t="shared" ref="BH33:BV33" si="40">BH31+BH32</f>
        <v>1451</v>
      </c>
      <c r="BI33" s="101">
        <f t="shared" si="40"/>
        <v>1468</v>
      </c>
      <c r="BJ33" s="101">
        <f t="shared" si="40"/>
        <v>1421</v>
      </c>
      <c r="BK33" s="101">
        <f t="shared" si="40"/>
        <v>1442</v>
      </c>
      <c r="BL33" s="101">
        <f t="shared" si="40"/>
        <v>1489</v>
      </c>
      <c r="BM33" s="101">
        <f t="shared" si="40"/>
        <v>1506</v>
      </c>
      <c r="BN33" s="101">
        <f t="shared" si="40"/>
        <v>1531</v>
      </c>
      <c r="BO33" s="101">
        <f t="shared" si="40"/>
        <v>1525</v>
      </c>
      <c r="BP33" s="101">
        <f t="shared" si="40"/>
        <v>1522</v>
      </c>
      <c r="BQ33" s="101">
        <f t="shared" si="40"/>
        <v>1534</v>
      </c>
      <c r="BR33" s="101">
        <f t="shared" si="40"/>
        <v>1558</v>
      </c>
      <c r="BS33" s="101">
        <f t="shared" si="40"/>
        <v>1560</v>
      </c>
      <c r="BT33" s="101">
        <f t="shared" si="40"/>
        <v>1564</v>
      </c>
      <c r="BU33" s="101">
        <f t="shared" si="40"/>
        <v>1566</v>
      </c>
      <c r="BV33" s="101">
        <f t="shared" si="40"/>
        <v>1575</v>
      </c>
      <c r="BW33" s="101">
        <f t="shared" ref="BW33:BX33" si="41">BW31+BW32</f>
        <v>1519</v>
      </c>
      <c r="BX33" s="101">
        <f t="shared" si="41"/>
        <v>1543</v>
      </c>
      <c r="BY33" s="101">
        <f t="shared" ref="BY33:CB33" si="42">BY31+BY32</f>
        <v>1568</v>
      </c>
      <c r="BZ33" s="101">
        <f t="shared" si="42"/>
        <v>1600</v>
      </c>
      <c r="CA33" s="101">
        <f t="shared" si="42"/>
        <v>1572</v>
      </c>
      <c r="CB33" s="101">
        <f t="shared" si="42"/>
        <v>1584</v>
      </c>
      <c r="CD33" t="s">
        <v>620</v>
      </c>
      <c r="CG33" s="101">
        <f>'Income Statement'!Q258</f>
        <v>0</v>
      </c>
      <c r="CH33" s="101">
        <f>'Income Statement'!V258</f>
        <v>0</v>
      </c>
      <c r="CI33" s="101">
        <f>'Income Statement'!AA258</f>
        <v>0</v>
      </c>
      <c r="CJ33" s="101">
        <f>'Income Statement'!AF258</f>
        <v>0</v>
      </c>
      <c r="CK33" s="101">
        <f>'Income Statement'!AK258</f>
        <v>0</v>
      </c>
      <c r="CL33" s="101">
        <f>'Income Statement'!AP258</f>
        <v>0</v>
      </c>
      <c r="CM33" s="101">
        <f>'Income Statement'!AU258</f>
        <v>0</v>
      </c>
      <c r="CN33" s="101">
        <f>'Income Statement'!AZ258</f>
        <v>0</v>
      </c>
      <c r="CO33" s="101">
        <f>'Income Statement'!BE258</f>
        <v>0</v>
      </c>
      <c r="CP33" s="101">
        <f>'Income Statement'!BJ258</f>
        <v>0</v>
      </c>
      <c r="CQ33" s="101">
        <f>'Income Statement'!BO258</f>
        <v>0</v>
      </c>
      <c r="CR33" s="101">
        <f>'Income Statement'!BT258</f>
        <v>5778</v>
      </c>
      <c r="CS33" s="101">
        <f>'Income Statement'!BY258</f>
        <v>5968</v>
      </c>
      <c r="CT33" s="101">
        <f>'Income Statement'!CD258</f>
        <v>6139</v>
      </c>
      <c r="CU33" s="101">
        <f>'Income Statement'!CI258</f>
        <v>6265</v>
      </c>
      <c r="CV33" s="101">
        <f>'Income Statement'!CN258</f>
        <v>6230</v>
      </c>
      <c r="CW33" s="101">
        <f>'Income Statement'!CQ258</f>
        <v>6371.3187268022648</v>
      </c>
      <c r="CX33" s="101">
        <f>'Income Statement'!CR258</f>
        <v>6442.3984738413665</v>
      </c>
      <c r="CY33" s="101">
        <f>'Income Statement'!CS258</f>
        <v>6549.3745910649668</v>
      </c>
    </row>
    <row r="34" spans="1:103">
      <c r="A34" s="100" t="s">
        <v>474</v>
      </c>
      <c r="B34" s="100"/>
      <c r="C34" s="101"/>
      <c r="D34" s="101"/>
      <c r="E34" s="101"/>
      <c r="F34" s="101"/>
      <c r="G34" s="667">
        <f>'Income Statement'!C382</f>
        <v>0</v>
      </c>
      <c r="H34" s="667">
        <f>'Income Statement'!D382</f>
        <v>0</v>
      </c>
      <c r="I34" s="667">
        <f>'Income Statement'!E382</f>
        <v>0</v>
      </c>
      <c r="J34" s="667">
        <f>'Income Statement'!F382</f>
        <v>1978.569</v>
      </c>
      <c r="K34" s="667">
        <f>'Income Statement'!H382</f>
        <v>1890.0083999999999</v>
      </c>
      <c r="L34" s="667">
        <f>'Income Statement'!I382</f>
        <v>1905.8592000000001</v>
      </c>
      <c r="M34" s="667">
        <f>'Income Statement'!J382</f>
        <v>1945.2552000000003</v>
      </c>
      <c r="N34" s="667">
        <f>'Income Statement'!K382</f>
        <v>1982.145</v>
      </c>
      <c r="O34" s="667">
        <f>'Income Statement'!M382</f>
        <v>1948.596</v>
      </c>
      <c r="P34" s="667">
        <f>'Income Statement'!N382</f>
        <v>1963.143</v>
      </c>
      <c r="Q34" s="667">
        <f>'Income Statement'!O382</f>
        <v>1947.4559999999999</v>
      </c>
      <c r="R34" s="667">
        <f>'Income Statement'!P382</f>
        <v>2019.7065</v>
      </c>
      <c r="S34" s="667">
        <f>'Income Statement'!R382</f>
        <v>1962.2294999999999</v>
      </c>
      <c r="T34" s="667">
        <f>'Income Statement'!S382</f>
        <v>1950.6735000000001</v>
      </c>
      <c r="U34" s="667">
        <f>'Income Statement'!T382</f>
        <v>2061.288</v>
      </c>
      <c r="V34" s="667">
        <f>'Income Statement'!U382</f>
        <v>2059.587</v>
      </c>
      <c r="W34" s="667">
        <f>'Income Statement'!W382</f>
        <v>2028</v>
      </c>
      <c r="X34" s="667">
        <f>'Income Statement'!X382</f>
        <v>2096.25</v>
      </c>
      <c r="Y34" s="667">
        <f>'Income Statement'!Y382</f>
        <v>1982.88</v>
      </c>
      <c r="Z34" s="667">
        <f>'Income Statement'!Z382</f>
        <v>2017.5119999999999</v>
      </c>
      <c r="AA34" s="667">
        <f>'Income Statement'!AB382</f>
        <v>1947.663</v>
      </c>
      <c r="AB34" s="667">
        <f>'Income Statement'!AC382</f>
        <v>1932.6210000000001</v>
      </c>
      <c r="AC34" s="667">
        <f>'Income Statement'!AD382</f>
        <v>1950.192</v>
      </c>
      <c r="AD34" s="667">
        <f>'Income Statement'!AE382</f>
        <v>1918.7909999999999</v>
      </c>
      <c r="AE34" s="667">
        <f>'Income Statement'!AG382</f>
        <v>1835.64</v>
      </c>
      <c r="AF34" s="667">
        <f>'Income Statement'!AH382</f>
        <v>1875.2249999999999</v>
      </c>
      <c r="AG34" s="667">
        <f>'Income Statement'!AI382</f>
        <v>1861.2</v>
      </c>
      <c r="AH34" s="667">
        <f>'Income Statement'!AJ382</f>
        <v>1899.6</v>
      </c>
      <c r="AI34" s="667">
        <f>'Income Statement'!AL382</f>
        <v>1884.4559999999999</v>
      </c>
      <c r="AJ34" s="667">
        <f>'Income Statement'!AM382</f>
        <v>1870.2945</v>
      </c>
      <c r="AK34" s="667">
        <f>'Income Statement'!AN382</f>
        <v>1938.8565000000001</v>
      </c>
      <c r="AL34" s="667">
        <f>'Income Statement'!AO382</f>
        <v>1935.3</v>
      </c>
      <c r="AM34" s="667">
        <f>'Income Statement'!AQ382</f>
        <v>1875.3</v>
      </c>
      <c r="AN34" s="667">
        <f>'Income Statement'!AR382</f>
        <v>1805.0864999999999</v>
      </c>
      <c r="AO34" s="667">
        <f>'Income Statement'!AS382</f>
        <v>1822.125</v>
      </c>
      <c r="AP34" s="667">
        <f>'Income Statement'!AT382</f>
        <v>1920.36</v>
      </c>
      <c r="AQ34" s="667">
        <f>'Income Statement'!AV382</f>
        <v>1942</v>
      </c>
      <c r="AR34" s="667">
        <f>'Income Statement'!AW382</f>
        <v>1928</v>
      </c>
      <c r="AS34" s="667">
        <f>'Income Statement'!AX382</f>
        <v>1944</v>
      </c>
      <c r="AT34" s="667">
        <f>'Income Statement'!AY382</f>
        <v>1897</v>
      </c>
      <c r="AU34" s="667">
        <f>'Income Statement'!BA382</f>
        <v>1834</v>
      </c>
      <c r="AV34" s="667">
        <f>'Income Statement'!BB382</f>
        <v>1863</v>
      </c>
      <c r="AW34" s="667">
        <f>'Income Statement'!BC382</f>
        <v>1876</v>
      </c>
      <c r="AX34" s="667">
        <f>'Income Statement'!BD382</f>
        <v>1898</v>
      </c>
      <c r="AY34" s="667">
        <f>'Income Statement'!BF382</f>
        <v>1797</v>
      </c>
      <c r="AZ34" s="667">
        <f>'Income Statement'!BG382</f>
        <v>1763</v>
      </c>
      <c r="BA34" s="667">
        <f>'Income Statement'!BH382</f>
        <v>1773</v>
      </c>
      <c r="BB34" s="667">
        <f>'Income Statement'!BI382</f>
        <v>1772</v>
      </c>
      <c r="BC34" s="667">
        <f>'Income Statement'!BK382</f>
        <v>1698</v>
      </c>
      <c r="BD34" s="667">
        <f>'Income Statement'!BL382</f>
        <v>1660</v>
      </c>
      <c r="BE34" s="667">
        <f>'Income Statement'!BM382</f>
        <v>1673</v>
      </c>
      <c r="BF34" s="667">
        <f>'Income Statement'!BN382</f>
        <v>1663</v>
      </c>
      <c r="BG34" s="101">
        <f>BG33</f>
        <v>1438</v>
      </c>
      <c r="BH34" s="101">
        <f t="shared" ref="BH34:BV34" si="43">BH33</f>
        <v>1451</v>
      </c>
      <c r="BI34" s="101">
        <f t="shared" si="43"/>
        <v>1468</v>
      </c>
      <c r="BJ34" s="101">
        <f t="shared" si="43"/>
        <v>1421</v>
      </c>
      <c r="BK34" s="101">
        <f t="shared" si="43"/>
        <v>1442</v>
      </c>
      <c r="BL34" s="101">
        <f t="shared" si="43"/>
        <v>1489</v>
      </c>
      <c r="BM34" s="101">
        <f t="shared" si="43"/>
        <v>1506</v>
      </c>
      <c r="BN34" s="101">
        <f t="shared" si="43"/>
        <v>1531</v>
      </c>
      <c r="BO34" s="101">
        <f t="shared" si="43"/>
        <v>1525</v>
      </c>
      <c r="BP34" s="101">
        <f t="shared" si="43"/>
        <v>1522</v>
      </c>
      <c r="BQ34" s="101">
        <f t="shared" si="43"/>
        <v>1534</v>
      </c>
      <c r="BR34" s="101">
        <f t="shared" si="43"/>
        <v>1558</v>
      </c>
      <c r="BS34" s="101">
        <f t="shared" si="43"/>
        <v>1560</v>
      </c>
      <c r="BT34" s="101">
        <f t="shared" si="43"/>
        <v>1564</v>
      </c>
      <c r="BU34" s="101">
        <f t="shared" si="43"/>
        <v>1566</v>
      </c>
      <c r="BV34" s="101">
        <f t="shared" si="43"/>
        <v>1575</v>
      </c>
      <c r="BW34" s="101">
        <f t="shared" ref="BW34:BX34" si="44">BW33</f>
        <v>1519</v>
      </c>
      <c r="BX34" s="101">
        <f t="shared" si="44"/>
        <v>1543</v>
      </c>
      <c r="BY34" s="101">
        <f t="shared" ref="BY34:CB34" si="45">BY33</f>
        <v>1568</v>
      </c>
      <c r="BZ34" s="101">
        <f t="shared" si="45"/>
        <v>1600</v>
      </c>
      <c r="CA34" s="101">
        <f t="shared" si="45"/>
        <v>1572</v>
      </c>
      <c r="CB34" s="101">
        <f t="shared" si="45"/>
        <v>1584</v>
      </c>
      <c r="CG34" s="101"/>
      <c r="CH34" s="101"/>
      <c r="CI34" s="101"/>
      <c r="CJ34" s="101"/>
      <c r="CK34" s="101"/>
      <c r="CL34" s="101"/>
      <c r="CM34" s="101"/>
      <c r="CN34" s="101"/>
      <c r="CO34" s="101"/>
      <c r="CP34" s="101"/>
      <c r="CQ34" s="101"/>
      <c r="CR34" s="101"/>
      <c r="CS34" s="101"/>
      <c r="CT34" s="101"/>
      <c r="CU34" s="101"/>
      <c r="CV34" s="101"/>
      <c r="CW34" s="101"/>
      <c r="CX34" s="101"/>
      <c r="CY34" s="101"/>
    </row>
    <row r="35" spans="1:103">
      <c r="A35" s="100" t="s">
        <v>2</v>
      </c>
      <c r="B35" s="100"/>
      <c r="C35" s="101"/>
      <c r="D35" s="101"/>
      <c r="E35" s="101"/>
      <c r="F35" s="101"/>
      <c r="G35" s="101">
        <f t="shared" ref="G35:BG35" si="46">G9</f>
        <v>0</v>
      </c>
      <c r="H35" s="101">
        <f t="shared" si="46"/>
        <v>0</v>
      </c>
      <c r="I35" s="101">
        <f t="shared" si="46"/>
        <v>1185</v>
      </c>
      <c r="J35" s="101">
        <f t="shared" si="46"/>
        <v>1144</v>
      </c>
      <c r="K35" s="101">
        <f t="shared" si="46"/>
        <v>1071</v>
      </c>
      <c r="L35" s="101">
        <f t="shared" si="46"/>
        <v>1075.2475247524753</v>
      </c>
      <c r="M35" s="101">
        <f t="shared" si="46"/>
        <v>1086</v>
      </c>
      <c r="N35" s="101">
        <f t="shared" si="46"/>
        <v>1106</v>
      </c>
      <c r="O35" s="101">
        <f t="shared" si="46"/>
        <v>1082</v>
      </c>
      <c r="P35" s="101">
        <f t="shared" si="46"/>
        <v>1028</v>
      </c>
      <c r="Q35" s="101">
        <f t="shared" si="46"/>
        <v>1140</v>
      </c>
      <c r="R35" s="101">
        <f t="shared" si="46"/>
        <v>1166</v>
      </c>
      <c r="S35" s="101">
        <f t="shared" si="46"/>
        <v>1090</v>
      </c>
      <c r="T35" s="101">
        <f t="shared" si="46"/>
        <v>1106</v>
      </c>
      <c r="U35" s="101">
        <f t="shared" si="46"/>
        <v>1123</v>
      </c>
      <c r="V35" s="101">
        <f t="shared" si="46"/>
        <v>1104</v>
      </c>
      <c r="W35" s="101">
        <f t="shared" si="46"/>
        <v>1133</v>
      </c>
      <c r="X35" s="101">
        <f t="shared" si="46"/>
        <v>1106</v>
      </c>
      <c r="Y35" s="101">
        <f t="shared" si="46"/>
        <v>1055</v>
      </c>
      <c r="Z35" s="101">
        <f t="shared" si="46"/>
        <v>1065</v>
      </c>
      <c r="AA35" s="101">
        <f t="shared" si="46"/>
        <v>1122</v>
      </c>
      <c r="AB35" s="101">
        <f t="shared" si="46"/>
        <v>1165</v>
      </c>
      <c r="AC35" s="101">
        <f t="shared" si="46"/>
        <v>1154</v>
      </c>
      <c r="AD35" s="101">
        <f t="shared" si="46"/>
        <v>1081</v>
      </c>
      <c r="AE35" s="101">
        <f t="shared" si="46"/>
        <v>707.74600000000009</v>
      </c>
      <c r="AF35" s="101">
        <f t="shared" si="46"/>
        <v>651.66600000000005</v>
      </c>
      <c r="AG35" s="101">
        <f t="shared" si="46"/>
        <v>652.54</v>
      </c>
      <c r="AH35" s="101">
        <f t="shared" si="46"/>
        <v>696.34400000000005</v>
      </c>
      <c r="AI35" s="101">
        <f t="shared" si="46"/>
        <v>713.46800000000007</v>
      </c>
      <c r="AJ35" s="101">
        <f t="shared" si="46"/>
        <v>649.88</v>
      </c>
      <c r="AK35" s="101">
        <f t="shared" si="46"/>
        <v>689</v>
      </c>
      <c r="AL35" s="101">
        <f t="shared" si="46"/>
        <v>676</v>
      </c>
      <c r="AM35" s="101">
        <f t="shared" si="46"/>
        <v>1161</v>
      </c>
      <c r="AN35" s="101">
        <f t="shared" si="46"/>
        <v>1010</v>
      </c>
      <c r="AO35" s="101">
        <f t="shared" si="46"/>
        <v>1144</v>
      </c>
      <c r="AP35" s="101">
        <f t="shared" ref="AP35:AT37" si="47">AP9</f>
        <v>1187</v>
      </c>
      <c r="AQ35" s="101">
        <f t="shared" si="47"/>
        <v>1024</v>
      </c>
      <c r="AR35" s="101">
        <f t="shared" si="47"/>
        <v>1006</v>
      </c>
      <c r="AS35" s="101">
        <f t="shared" si="47"/>
        <v>1119</v>
      </c>
      <c r="AT35" s="101">
        <f t="shared" si="47"/>
        <v>1046</v>
      </c>
      <c r="AU35" s="101">
        <f t="shared" si="46"/>
        <v>1020</v>
      </c>
      <c r="AV35" s="101">
        <f t="shared" ref="AV35:AX37" si="48">AV9</f>
        <v>1007</v>
      </c>
      <c r="AW35" s="101">
        <f t="shared" si="48"/>
        <v>1047</v>
      </c>
      <c r="AX35" s="101">
        <f t="shared" si="48"/>
        <v>769</v>
      </c>
      <c r="AY35" s="101">
        <f t="shared" si="46"/>
        <v>991</v>
      </c>
      <c r="AZ35" s="101">
        <f t="shared" ref="AZ35:BF37" si="49">AZ9</f>
        <v>985</v>
      </c>
      <c r="BA35" s="101">
        <f t="shared" si="49"/>
        <v>1005</v>
      </c>
      <c r="BB35" s="101">
        <f t="shared" si="49"/>
        <v>945</v>
      </c>
      <c r="BC35" s="101">
        <f t="shared" si="49"/>
        <v>962</v>
      </c>
      <c r="BD35" s="101">
        <f t="shared" si="49"/>
        <v>946</v>
      </c>
      <c r="BE35" s="101">
        <f t="shared" si="49"/>
        <v>967</v>
      </c>
      <c r="BF35" s="101">
        <f t="shared" si="49"/>
        <v>939</v>
      </c>
      <c r="BG35" s="101">
        <f t="shared" si="46"/>
        <v>961</v>
      </c>
      <c r="BH35" s="101">
        <f t="shared" ref="BH35:BL37" si="50">BH9</f>
        <v>1006</v>
      </c>
      <c r="BI35" s="101">
        <f t="shared" si="50"/>
        <v>977</v>
      </c>
      <c r="BJ35" s="101">
        <f t="shared" si="50"/>
        <v>932</v>
      </c>
      <c r="BK35" s="101">
        <f t="shared" si="50"/>
        <v>927</v>
      </c>
      <c r="BL35" s="101">
        <f t="shared" si="50"/>
        <v>1012</v>
      </c>
      <c r="BM35" s="101">
        <f t="shared" ref="BM35:BN35" si="51">BM9</f>
        <v>1004</v>
      </c>
      <c r="BN35" s="101">
        <f t="shared" si="51"/>
        <v>986</v>
      </c>
      <c r="BO35" s="101">
        <f t="shared" ref="BO35:BP35" si="52">BO9</f>
        <v>972</v>
      </c>
      <c r="BP35" s="101">
        <f t="shared" si="52"/>
        <v>1002</v>
      </c>
      <c r="BQ35" s="101">
        <f t="shared" ref="BQ35:BR35" si="53">BQ9</f>
        <v>929</v>
      </c>
      <c r="BR35" s="101">
        <f t="shared" si="53"/>
        <v>1057</v>
      </c>
      <c r="BS35" s="101">
        <f t="shared" ref="BS35:BT37" si="54">BS9</f>
        <v>1044</v>
      </c>
      <c r="BT35" s="101">
        <f t="shared" si="54"/>
        <v>1046</v>
      </c>
      <c r="BU35" s="101">
        <f t="shared" ref="BU35:BV35" si="55">BU9</f>
        <v>1048</v>
      </c>
      <c r="BV35" s="101">
        <f t="shared" si="55"/>
        <v>984</v>
      </c>
      <c r="BW35" s="101">
        <f t="shared" ref="BW35:BX35" si="56">BW9</f>
        <v>1055</v>
      </c>
      <c r="BX35" s="101">
        <f t="shared" si="56"/>
        <v>1094</v>
      </c>
      <c r="BY35" s="101">
        <f t="shared" ref="BY35:CB35" si="57">BY9</f>
        <v>1102</v>
      </c>
      <c r="BZ35" s="101">
        <f t="shared" si="57"/>
        <v>1078</v>
      </c>
      <c r="CA35" s="101">
        <f t="shared" si="57"/>
        <v>1099</v>
      </c>
      <c r="CB35" s="101">
        <f t="shared" si="57"/>
        <v>1124</v>
      </c>
      <c r="CG35" s="101"/>
      <c r="CH35" s="101"/>
      <c r="CI35" s="101"/>
      <c r="CJ35" s="101"/>
      <c r="CK35" s="101"/>
      <c r="CL35" s="101"/>
      <c r="CM35" s="101"/>
      <c r="CN35" s="101"/>
      <c r="CO35" s="101"/>
      <c r="CP35" s="101"/>
      <c r="CQ35" s="101"/>
      <c r="CR35" s="101"/>
      <c r="CS35" s="101"/>
      <c r="CT35" s="101"/>
      <c r="CU35" s="101"/>
      <c r="CV35" s="101"/>
      <c r="CW35" s="101"/>
      <c r="CX35" s="101"/>
      <c r="CY35" s="101"/>
    </row>
    <row r="36" spans="1:103">
      <c r="A36" s="100" t="s">
        <v>91</v>
      </c>
      <c r="B36" s="100"/>
      <c r="C36" s="101"/>
      <c r="D36" s="101"/>
      <c r="E36" s="101"/>
      <c r="F36" s="101"/>
      <c r="G36" s="73">
        <f t="shared" ref="G36:BG36" si="58">G10</f>
        <v>0</v>
      </c>
      <c r="H36" s="73">
        <f t="shared" si="58"/>
        <v>0</v>
      </c>
      <c r="I36" s="73">
        <f t="shared" si="58"/>
        <v>0</v>
      </c>
      <c r="J36" s="73">
        <f t="shared" si="58"/>
        <v>0</v>
      </c>
      <c r="K36" s="73">
        <f t="shared" si="58"/>
        <v>1045</v>
      </c>
      <c r="L36" s="73">
        <f t="shared" si="58"/>
        <v>1075.2475247524753</v>
      </c>
      <c r="M36" s="73">
        <f t="shared" si="58"/>
        <v>615</v>
      </c>
      <c r="N36" s="73">
        <f t="shared" si="58"/>
        <v>588</v>
      </c>
      <c r="O36" s="73">
        <f t="shared" si="58"/>
        <v>552</v>
      </c>
      <c r="P36" s="73">
        <f t="shared" si="58"/>
        <v>532</v>
      </c>
      <c r="Q36" s="73">
        <f t="shared" si="58"/>
        <v>601</v>
      </c>
      <c r="R36" s="73">
        <f t="shared" si="58"/>
        <v>610</v>
      </c>
      <c r="S36" s="73">
        <f t="shared" si="58"/>
        <v>540</v>
      </c>
      <c r="T36" s="73">
        <f t="shared" si="58"/>
        <v>552</v>
      </c>
      <c r="U36" s="73">
        <f t="shared" si="58"/>
        <v>538</v>
      </c>
      <c r="V36" s="73">
        <f t="shared" si="58"/>
        <v>901</v>
      </c>
      <c r="W36" s="73">
        <f t="shared" si="58"/>
        <v>573</v>
      </c>
      <c r="X36" s="73">
        <f t="shared" si="58"/>
        <v>589</v>
      </c>
      <c r="Y36" s="73">
        <f t="shared" si="58"/>
        <v>501</v>
      </c>
      <c r="Z36" s="73">
        <f t="shared" si="58"/>
        <v>330</v>
      </c>
      <c r="AA36" s="73">
        <f t="shared" si="58"/>
        <v>483</v>
      </c>
      <c r="AB36" s="73">
        <f t="shared" si="58"/>
        <v>539</v>
      </c>
      <c r="AC36" s="73">
        <f t="shared" si="58"/>
        <v>576</v>
      </c>
      <c r="AD36" s="73">
        <f t="shared" si="58"/>
        <v>505</v>
      </c>
      <c r="AE36" s="73">
        <f t="shared" si="58"/>
        <v>116.74600000000009</v>
      </c>
      <c r="AF36" s="73">
        <f t="shared" si="58"/>
        <v>55.897354642313616</v>
      </c>
      <c r="AG36" s="73">
        <f t="shared" si="58"/>
        <v>33.539999999999964</v>
      </c>
      <c r="AH36" s="73">
        <f t="shared" si="58"/>
        <v>-2.6559999999999491</v>
      </c>
      <c r="AI36" s="73">
        <f t="shared" si="58"/>
        <v>135.46800000000007</v>
      </c>
      <c r="AJ36" s="73">
        <f t="shared" si="58"/>
        <v>47.879999999999995</v>
      </c>
      <c r="AK36" s="73">
        <f t="shared" si="58"/>
        <v>117</v>
      </c>
      <c r="AL36" s="73">
        <f t="shared" si="58"/>
        <v>34</v>
      </c>
      <c r="AM36" s="73">
        <f t="shared" si="58"/>
        <v>484</v>
      </c>
      <c r="AN36" s="73">
        <f t="shared" si="58"/>
        <v>424</v>
      </c>
      <c r="AO36" s="73">
        <f t="shared" si="58"/>
        <v>519</v>
      </c>
      <c r="AP36" s="73">
        <f t="shared" si="47"/>
        <v>544</v>
      </c>
      <c r="AQ36" s="73">
        <f t="shared" si="47"/>
        <v>510</v>
      </c>
      <c r="AR36" s="73">
        <f t="shared" si="47"/>
        <v>482</v>
      </c>
      <c r="AS36" s="73">
        <f t="shared" si="47"/>
        <v>561</v>
      </c>
      <c r="AT36" s="73">
        <f t="shared" si="47"/>
        <v>508</v>
      </c>
      <c r="AU36" s="73">
        <f t="shared" si="58"/>
        <v>510</v>
      </c>
      <c r="AV36" s="73">
        <f t="shared" si="48"/>
        <v>478</v>
      </c>
      <c r="AW36" s="73">
        <f t="shared" si="48"/>
        <v>518</v>
      </c>
      <c r="AX36" s="73">
        <f t="shared" si="48"/>
        <v>259</v>
      </c>
      <c r="AY36" s="73">
        <f t="shared" si="58"/>
        <v>402</v>
      </c>
      <c r="AZ36" s="73">
        <f t="shared" si="49"/>
        <v>389</v>
      </c>
      <c r="BA36" s="73">
        <f t="shared" si="49"/>
        <v>360</v>
      </c>
      <c r="BB36" s="73">
        <f t="shared" si="49"/>
        <v>342</v>
      </c>
      <c r="BC36" s="73">
        <f t="shared" si="49"/>
        <v>359</v>
      </c>
      <c r="BD36" s="73">
        <f t="shared" si="49"/>
        <v>337</v>
      </c>
      <c r="BE36" s="73">
        <f t="shared" si="49"/>
        <v>363</v>
      </c>
      <c r="BF36" s="73">
        <f t="shared" si="49"/>
        <v>319</v>
      </c>
      <c r="BG36" s="73">
        <f t="shared" si="58"/>
        <v>334</v>
      </c>
      <c r="BH36" s="73">
        <f t="shared" si="50"/>
        <v>360</v>
      </c>
      <c r="BI36" s="73">
        <f t="shared" si="50"/>
        <v>325</v>
      </c>
      <c r="BJ36" s="73">
        <f t="shared" si="50"/>
        <v>289</v>
      </c>
      <c r="BK36" s="73">
        <f t="shared" si="50"/>
        <v>289</v>
      </c>
      <c r="BL36" s="73">
        <f t="shared" si="50"/>
        <v>322</v>
      </c>
      <c r="BM36" s="73">
        <f t="shared" ref="BM36:BN36" si="59">BM10</f>
        <v>308</v>
      </c>
      <c r="BN36" s="73">
        <f t="shared" si="59"/>
        <v>232</v>
      </c>
      <c r="BO36" s="73">
        <f t="shared" ref="BO36:BP36" si="60">BO10</f>
        <v>320</v>
      </c>
      <c r="BP36" s="73">
        <f t="shared" si="60"/>
        <v>329</v>
      </c>
      <c r="BQ36" s="73">
        <f t="shared" ref="BQ36:BR36" si="61">BQ10</f>
        <v>287</v>
      </c>
      <c r="BR36" s="73">
        <f t="shared" si="61"/>
        <v>56</v>
      </c>
      <c r="BS36" s="73">
        <f t="shared" si="54"/>
        <v>353</v>
      </c>
      <c r="BT36" s="73">
        <f t="shared" si="54"/>
        <v>356</v>
      </c>
      <c r="BU36" s="73">
        <f t="shared" ref="BU36:BV36" si="62">BU10</f>
        <v>366</v>
      </c>
      <c r="BV36" s="73">
        <f t="shared" si="62"/>
        <v>321</v>
      </c>
      <c r="BW36" s="73">
        <f t="shared" ref="BW36:BX36" si="63">BW10</f>
        <v>371</v>
      </c>
      <c r="BX36" s="73">
        <f t="shared" si="63"/>
        <v>398</v>
      </c>
      <c r="BY36" s="73">
        <f t="shared" ref="BY36:CB36" si="64">BY10</f>
        <v>412</v>
      </c>
      <c r="BZ36" s="73">
        <f t="shared" si="64"/>
        <v>380</v>
      </c>
      <c r="CA36" s="73">
        <f t="shared" si="64"/>
        <v>417</v>
      </c>
      <c r="CB36" s="73">
        <f t="shared" si="64"/>
        <v>436</v>
      </c>
      <c r="CG36" s="73"/>
      <c r="CH36" s="73"/>
      <c r="CI36" s="73"/>
      <c r="CJ36" s="73"/>
      <c r="CK36" s="73"/>
      <c r="CL36" s="73"/>
      <c r="CM36" s="73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</row>
    <row r="37" spans="1:103">
      <c r="A37" s="100" t="s">
        <v>240</v>
      </c>
      <c r="B37" s="100"/>
      <c r="C37" s="101"/>
      <c r="D37" s="101"/>
      <c r="E37" s="101"/>
      <c r="F37" s="101"/>
      <c r="G37" s="101">
        <f t="shared" ref="G37:BG37" si="65">G11</f>
        <v>129.79999999999995</v>
      </c>
      <c r="H37" s="101">
        <f t="shared" si="65"/>
        <v>171</v>
      </c>
      <c r="I37" s="101">
        <f t="shared" si="65"/>
        <v>195</v>
      </c>
      <c r="J37" s="101">
        <f t="shared" si="65"/>
        <v>401</v>
      </c>
      <c r="K37" s="101">
        <f t="shared" si="65"/>
        <v>158</v>
      </c>
      <c r="L37" s="101">
        <f t="shared" si="65"/>
        <v>199</v>
      </c>
      <c r="M37" s="101">
        <f t="shared" si="65"/>
        <v>291</v>
      </c>
      <c r="N37" s="101">
        <f t="shared" si="65"/>
        <v>596</v>
      </c>
      <c r="O37" s="101">
        <f t="shared" si="65"/>
        <v>135</v>
      </c>
      <c r="P37" s="101">
        <f t="shared" si="65"/>
        <v>307</v>
      </c>
      <c r="Q37" s="101">
        <f t="shared" si="65"/>
        <v>489</v>
      </c>
      <c r="R37" s="101">
        <f t="shared" si="65"/>
        <v>513</v>
      </c>
      <c r="S37" s="101">
        <f t="shared" si="65"/>
        <v>257</v>
      </c>
      <c r="T37" s="101">
        <f t="shared" si="65"/>
        <v>225</v>
      </c>
      <c r="U37" s="101">
        <f t="shared" si="65"/>
        <v>225</v>
      </c>
      <c r="V37" s="101">
        <f t="shared" si="65"/>
        <v>282</v>
      </c>
      <c r="W37" s="101">
        <f t="shared" si="65"/>
        <v>78</v>
      </c>
      <c r="X37" s="101">
        <f t="shared" si="65"/>
        <v>176</v>
      </c>
      <c r="Y37" s="101">
        <f t="shared" si="65"/>
        <v>145</v>
      </c>
      <c r="Z37" s="101">
        <f t="shared" si="65"/>
        <v>591</v>
      </c>
      <c r="AA37" s="101">
        <f t="shared" si="65"/>
        <v>191</v>
      </c>
      <c r="AB37" s="101">
        <f t="shared" si="65"/>
        <v>216</v>
      </c>
      <c r="AC37" s="101">
        <f t="shared" si="65"/>
        <v>141</v>
      </c>
      <c r="AD37" s="101">
        <f t="shared" si="65"/>
        <v>267</v>
      </c>
      <c r="AE37" s="101">
        <f t="shared" si="65"/>
        <v>118</v>
      </c>
      <c r="AF37" s="101">
        <f t="shared" si="65"/>
        <v>155</v>
      </c>
      <c r="AG37" s="101">
        <f t="shared" si="65"/>
        <v>337</v>
      </c>
      <c r="AH37" s="101">
        <f t="shared" si="65"/>
        <v>530</v>
      </c>
      <c r="AI37" s="101">
        <f t="shared" si="65"/>
        <v>146</v>
      </c>
      <c r="AJ37" s="101">
        <f t="shared" si="65"/>
        <v>260</v>
      </c>
      <c r="AK37" s="101">
        <f t="shared" si="65"/>
        <v>359</v>
      </c>
      <c r="AL37" s="101">
        <f t="shared" si="65"/>
        <v>539</v>
      </c>
      <c r="AM37" s="101">
        <f t="shared" si="65"/>
        <v>159</v>
      </c>
      <c r="AN37" s="101">
        <f t="shared" si="65"/>
        <v>333</v>
      </c>
      <c r="AO37" s="101">
        <f t="shared" si="65"/>
        <v>249</v>
      </c>
      <c r="AP37" s="101">
        <f t="shared" si="47"/>
        <v>448</v>
      </c>
      <c r="AQ37" s="101">
        <f t="shared" si="47"/>
        <v>162</v>
      </c>
      <c r="AR37" s="101">
        <f t="shared" si="47"/>
        <v>211</v>
      </c>
      <c r="AS37" s="101">
        <f t="shared" si="47"/>
        <v>273</v>
      </c>
      <c r="AT37" s="101">
        <f t="shared" si="47"/>
        <v>382</v>
      </c>
      <c r="AU37" s="101">
        <f t="shared" si="65"/>
        <v>107</v>
      </c>
      <c r="AV37" s="101">
        <f t="shared" si="48"/>
        <v>212</v>
      </c>
      <c r="AW37" s="101">
        <f t="shared" si="48"/>
        <v>195</v>
      </c>
      <c r="AX37" s="101">
        <f t="shared" si="48"/>
        <v>524</v>
      </c>
      <c r="AY37" s="101">
        <f t="shared" si="65"/>
        <v>127</v>
      </c>
      <c r="AZ37" s="101">
        <f t="shared" si="49"/>
        <v>267</v>
      </c>
      <c r="BA37" s="101">
        <f t="shared" si="49"/>
        <v>242</v>
      </c>
      <c r="BB37" s="101">
        <f t="shared" si="49"/>
        <v>577</v>
      </c>
      <c r="BC37" s="101">
        <f t="shared" si="49"/>
        <v>163</v>
      </c>
      <c r="BD37" s="101">
        <f t="shared" si="49"/>
        <v>259</v>
      </c>
      <c r="BE37" s="101">
        <f t="shared" si="49"/>
        <v>319</v>
      </c>
      <c r="BF37" s="101">
        <f t="shared" si="49"/>
        <v>504</v>
      </c>
      <c r="BG37" s="101">
        <f t="shared" si="65"/>
        <v>136</v>
      </c>
      <c r="BH37" s="101">
        <f t="shared" si="50"/>
        <v>180</v>
      </c>
      <c r="BI37" s="101">
        <f t="shared" si="50"/>
        <v>274</v>
      </c>
      <c r="BJ37" s="101">
        <f t="shared" si="50"/>
        <v>597</v>
      </c>
      <c r="BK37" s="101">
        <f t="shared" si="50"/>
        <v>171</v>
      </c>
      <c r="BL37" s="101">
        <f t="shared" si="50"/>
        <v>241</v>
      </c>
      <c r="BM37" s="101">
        <f t="shared" ref="BM37:BN37" si="66">BM11</f>
        <v>272</v>
      </c>
      <c r="BN37" s="101">
        <f t="shared" si="66"/>
        <v>430</v>
      </c>
      <c r="BO37" s="101">
        <f t="shared" ref="BO37:BP37" si="67">BO11</f>
        <v>130</v>
      </c>
      <c r="BP37" s="101">
        <f t="shared" si="67"/>
        <v>166</v>
      </c>
      <c r="BQ37" s="101">
        <f t="shared" ref="BQ37:BR37" si="68">BQ11</f>
        <v>215</v>
      </c>
      <c r="BR37" s="101">
        <f t="shared" si="68"/>
        <v>302</v>
      </c>
      <c r="BS37" s="101">
        <f t="shared" si="54"/>
        <v>106</v>
      </c>
      <c r="BT37" s="101">
        <f t="shared" si="54"/>
        <v>116</v>
      </c>
      <c r="BU37" s="101">
        <f t="shared" ref="BU37:BV37" si="69">BU11</f>
        <v>140</v>
      </c>
      <c r="BV37" s="101">
        <f t="shared" si="69"/>
        <v>312</v>
      </c>
      <c r="BW37" s="101">
        <f t="shared" ref="BW37:BX37" si="70">BW11</f>
        <v>86</v>
      </c>
      <c r="BX37" s="101">
        <f t="shared" si="70"/>
        <v>165</v>
      </c>
      <c r="BY37" s="101">
        <f t="shared" ref="BY37:CB37" si="71">BY11</f>
        <v>224</v>
      </c>
      <c r="BZ37" s="101">
        <f t="shared" si="71"/>
        <v>511</v>
      </c>
      <c r="CA37" s="101">
        <f t="shared" si="71"/>
        <v>142</v>
      </c>
      <c r="CB37" s="101">
        <f t="shared" si="71"/>
        <v>171</v>
      </c>
      <c r="CG37" s="101"/>
      <c r="CH37" s="101"/>
      <c r="CI37" s="101"/>
      <c r="CJ37" s="101"/>
      <c r="CK37" s="101"/>
      <c r="CL37" s="101"/>
      <c r="CM37" s="101"/>
      <c r="CN37" s="101"/>
      <c r="CO37" s="101"/>
      <c r="CP37" s="101"/>
      <c r="CQ37" s="101"/>
      <c r="CR37" s="101"/>
      <c r="CS37" s="101"/>
      <c r="CT37" s="101"/>
      <c r="CU37" s="101"/>
      <c r="CV37" s="101"/>
      <c r="CW37" s="101"/>
      <c r="CX37" s="101"/>
      <c r="CY37" s="101"/>
    </row>
    <row r="38" spans="1:103">
      <c r="A38" s="100"/>
      <c r="B38" s="100"/>
      <c r="C38" s="101"/>
      <c r="D38" s="101"/>
      <c r="E38" s="101"/>
      <c r="F38" s="101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3"/>
      <c r="BX38" s="73"/>
      <c r="BY38" s="73"/>
      <c r="BZ38" s="73"/>
      <c r="CA38" s="73"/>
      <c r="CB38" s="73"/>
      <c r="CG38" s="73"/>
      <c r="CH38" s="73"/>
      <c r="CI38" s="73"/>
      <c r="CJ38" s="73"/>
      <c r="CK38" s="73"/>
      <c r="CL38" s="73"/>
      <c r="CM38" s="73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</row>
    <row r="39" spans="1:103">
      <c r="A39" s="90" t="s">
        <v>475</v>
      </c>
      <c r="B39" s="100"/>
      <c r="C39" s="101"/>
      <c r="D39" s="101"/>
      <c r="E39" s="101"/>
      <c r="F39" s="101"/>
      <c r="G39" s="101">
        <f>'Income Statement'!C123</f>
        <v>177</v>
      </c>
      <c r="H39" s="101">
        <f>'Income Statement'!D123</f>
        <v>187</v>
      </c>
      <c r="I39" s="101">
        <f>'Income Statement'!E123</f>
        <v>186</v>
      </c>
      <c r="J39" s="101">
        <f>'Income Statement'!F123</f>
        <v>177</v>
      </c>
      <c r="K39" s="101">
        <f>'Income Statement'!H123</f>
        <v>168</v>
      </c>
      <c r="L39" s="101">
        <f>'Income Statement'!I123</f>
        <v>175</v>
      </c>
      <c r="M39" s="101">
        <f>'Income Statement'!J123</f>
        <v>178</v>
      </c>
      <c r="N39" s="101">
        <f>'Income Statement'!K123</f>
        <v>181</v>
      </c>
      <c r="O39" s="101">
        <f>'Income Statement'!M123</f>
        <v>173</v>
      </c>
      <c r="P39" s="101">
        <f>'Income Statement'!N123</f>
        <v>173</v>
      </c>
      <c r="Q39" s="101">
        <f>'Income Statement'!O123</f>
        <v>172</v>
      </c>
      <c r="R39" s="101">
        <f>'Income Statement'!P123</f>
        <v>171</v>
      </c>
      <c r="S39" s="101">
        <f>'Income Statement'!R123</f>
        <v>180</v>
      </c>
      <c r="T39" s="101">
        <f>'Income Statement'!S123</f>
        <v>186</v>
      </c>
      <c r="U39" s="101">
        <f>'Income Statement'!T123</f>
        <v>185</v>
      </c>
      <c r="V39" s="101">
        <f>'Income Statement'!U123</f>
        <v>181</v>
      </c>
      <c r="W39" s="101">
        <f>'Income Statement'!W123</f>
        <v>175</v>
      </c>
      <c r="X39" s="101">
        <f>'Income Statement'!X123</f>
        <v>175</v>
      </c>
      <c r="Y39" s="101">
        <f>'Income Statement'!Y123</f>
        <v>160</v>
      </c>
      <c r="Z39" s="101">
        <f>'Income Statement'!Z123</f>
        <v>165</v>
      </c>
      <c r="AA39" s="101">
        <f>'Income Statement'!AB123</f>
        <v>160</v>
      </c>
      <c r="AB39" s="101">
        <f>'Income Statement'!AC123</f>
        <v>156</v>
      </c>
      <c r="AC39" s="101">
        <f>'Income Statement'!AD123</f>
        <v>153</v>
      </c>
      <c r="AD39" s="101">
        <f>'Income Statement'!AE123</f>
        <v>155</v>
      </c>
      <c r="AE39" s="101">
        <f>'Income Statement'!AG123</f>
        <v>154</v>
      </c>
      <c r="AF39" s="101">
        <f>'Income Statement'!AH123</f>
        <v>161</v>
      </c>
      <c r="AG39" s="101">
        <f>'Income Statement'!AI123</f>
        <v>165</v>
      </c>
      <c r="AH39" s="101">
        <f>'Income Statement'!AJ123</f>
        <v>168</v>
      </c>
      <c r="AI39" s="101">
        <f>'Income Statement'!AL123</f>
        <v>0</v>
      </c>
      <c r="AJ39" s="101">
        <f>'Income Statement'!AM123</f>
        <v>0</v>
      </c>
      <c r="AK39" s="101">
        <f>'Income Statement'!AN123</f>
        <v>0</v>
      </c>
      <c r="AL39" s="101">
        <f>'Income Statement'!AO123</f>
        <v>0</v>
      </c>
      <c r="AM39" s="101">
        <f>'Income Statement'!AQ123</f>
        <v>0</v>
      </c>
      <c r="AN39" s="101">
        <f>'Income Statement'!AR123</f>
        <v>0</v>
      </c>
      <c r="AO39" s="101">
        <f>'Income Statement'!AS123</f>
        <v>0</v>
      </c>
      <c r="AP39" s="101">
        <f>'Income Statement'!AT123</f>
        <v>0</v>
      </c>
      <c r="AQ39" s="101">
        <f>'Income Statement'!AV123</f>
        <v>0</v>
      </c>
      <c r="AR39" s="101">
        <f>'Income Statement'!AW123</f>
        <v>0</v>
      </c>
      <c r="AS39" s="101">
        <f>'Income Statement'!AX123</f>
        <v>0</v>
      </c>
      <c r="AT39" s="101">
        <f>'Income Statement'!AY123</f>
        <v>0</v>
      </c>
      <c r="AU39" s="101">
        <f>'Income Statement'!BA123</f>
        <v>0</v>
      </c>
      <c r="AV39" s="101">
        <f>'Income Statement'!BB123</f>
        <v>0</v>
      </c>
      <c r="AW39" s="101">
        <f>'Income Statement'!BC123</f>
        <v>0</v>
      </c>
      <c r="AX39" s="101">
        <f>'Income Statement'!BD123</f>
        <v>0</v>
      </c>
      <c r="AY39" s="101">
        <f>'Income Statement'!BF123</f>
        <v>0</v>
      </c>
      <c r="AZ39" s="101">
        <f>'Income Statement'!BG123</f>
        <v>0</v>
      </c>
      <c r="BA39" s="101">
        <f>'Income Statement'!BH123</f>
        <v>0</v>
      </c>
      <c r="BB39" s="101">
        <f>'Income Statement'!BI123</f>
        <v>0</v>
      </c>
      <c r="BC39" s="101">
        <f>'Income Statement'!BK123</f>
        <v>0</v>
      </c>
      <c r="BD39" s="101">
        <f>'Income Statement'!BL123</f>
        <v>0</v>
      </c>
      <c r="BE39" s="101">
        <f>'Income Statement'!BM123</f>
        <v>0</v>
      </c>
      <c r="BF39" s="101">
        <f>'Income Statement'!BN123</f>
        <v>0</v>
      </c>
      <c r="BG39" s="101">
        <f>'Income Statement'!BP123</f>
        <v>0</v>
      </c>
      <c r="BH39" s="101">
        <f>'Income Statement'!BQ123</f>
        <v>0</v>
      </c>
      <c r="BI39" s="101">
        <f>'Income Statement'!BR123</f>
        <v>0</v>
      </c>
      <c r="BJ39" s="101">
        <f>'Income Statement'!BS123</f>
        <v>0</v>
      </c>
      <c r="BK39" s="101">
        <f>'Income Statement'!BU123</f>
        <v>0</v>
      </c>
      <c r="BL39" s="101">
        <f>'Income Statement'!BV123</f>
        <v>0</v>
      </c>
      <c r="BM39" s="101">
        <f>'Income Statement'!BW123</f>
        <v>0</v>
      </c>
      <c r="BN39" s="101">
        <f>'Income Statement'!BX123</f>
        <v>0</v>
      </c>
      <c r="BO39" s="101">
        <f>'Income Statement'!BZ123</f>
        <v>0</v>
      </c>
      <c r="BP39" s="101">
        <f>'Income Statement'!CA123</f>
        <v>0</v>
      </c>
      <c r="BQ39" s="101">
        <f>'Income Statement'!CB123</f>
        <v>0</v>
      </c>
      <c r="BR39" s="101">
        <f>'Income Statement'!CC123</f>
        <v>0</v>
      </c>
      <c r="BS39" s="101">
        <f>'Income Statement'!CE123</f>
        <v>0</v>
      </c>
      <c r="BT39" s="101">
        <f>'Income Statement'!CF123</f>
        <v>0</v>
      </c>
      <c r="BU39" s="101">
        <f>'Income Statement'!CG123</f>
        <v>0</v>
      </c>
      <c r="BV39" s="101">
        <f>'Income Statement'!CH123</f>
        <v>0</v>
      </c>
      <c r="BW39" s="101">
        <f>'Income Statement'!CJ123</f>
        <v>0</v>
      </c>
      <c r="BX39" s="101">
        <f>'Income Statement'!CK123</f>
        <v>0</v>
      </c>
      <c r="BY39" s="101">
        <f>'Income Statement'!CL123</f>
        <v>0</v>
      </c>
      <c r="BZ39" s="101">
        <f>'Income Statement'!CM123</f>
        <v>0</v>
      </c>
      <c r="CA39" s="101">
        <f>'Income Statement'!CO123</f>
        <v>0</v>
      </c>
      <c r="CB39" s="101">
        <f>'Income Statement'!CP123</f>
        <v>0</v>
      </c>
      <c r="CG39" s="101">
        <f>'Income Statement'!Q123</f>
        <v>172.25</v>
      </c>
      <c r="CH39" s="101">
        <f>'Income Statement'!V123</f>
        <v>183</v>
      </c>
      <c r="CI39" s="101">
        <f>'Income Statement'!AA123</f>
        <v>171</v>
      </c>
      <c r="CJ39" s="101">
        <f>'Income Statement'!AF123</f>
        <v>156</v>
      </c>
      <c r="CK39" s="101">
        <f>'Income Statement'!AK123</f>
        <v>160.36799999999999</v>
      </c>
      <c r="CL39" s="101">
        <f>'Income Statement'!AP123</f>
        <v>147.53855999999999</v>
      </c>
      <c r="CM39" s="101">
        <f>'Income Statement'!AU123</f>
        <v>138.68624639999999</v>
      </c>
      <c r="CN39" s="101">
        <f>'Income Statement'!AZ123</f>
        <v>134.52565900799999</v>
      </c>
      <c r="CO39" s="101">
        <f>'Income Statement'!BE123</f>
        <v>127.79937605759999</v>
      </c>
      <c r="CP39" s="101">
        <f>'Income Statement'!BJ123</f>
        <v>123.96539477587199</v>
      </c>
      <c r="CQ39" s="101">
        <f>'Income Statement'!BO123</f>
        <v>120.24643293259582</v>
      </c>
      <c r="CR39" s="101">
        <f>'Income Statement'!BT123</f>
        <v>116.63903994461795</v>
      </c>
      <c r="CS39" s="101">
        <f>'Income Statement'!BY123</f>
        <v>113.1398687462794</v>
      </c>
      <c r="CT39" s="101">
        <f>'Income Statement'!CD123</f>
        <v>109.74567268389102</v>
      </c>
      <c r="CU39" s="101">
        <f>'Income Statement'!CI123</f>
        <v>106.45330250337429</v>
      </c>
      <c r="CV39" s="101">
        <f>'Income Statement'!CN123</f>
        <v>103.25970342827306</v>
      </c>
      <c r="CW39" s="101">
        <f>'Income Statement'!CQ123</f>
        <v>101.1945093597076</v>
      </c>
      <c r="CX39" s="101">
        <f>'Income Statement'!CR123</f>
        <v>99.17061917251344</v>
      </c>
      <c r="CY39" s="101">
        <f>'Income Statement'!CS123</f>
        <v>97.187206789063168</v>
      </c>
    </row>
    <row r="40" spans="1:103" s="675" customFormat="1">
      <c r="A40" s="674" t="s">
        <v>47</v>
      </c>
      <c r="B40" s="674"/>
      <c r="C40" s="105"/>
      <c r="D40" s="105"/>
      <c r="E40" s="105"/>
      <c r="F40" s="105"/>
      <c r="G40" s="105">
        <f>'Income Statement'!C170</f>
        <v>0</v>
      </c>
      <c r="H40" s="105">
        <f>'Income Statement'!D170</f>
        <v>0</v>
      </c>
      <c r="I40" s="105">
        <f>'Income Statement'!E170</f>
        <v>58</v>
      </c>
      <c r="J40" s="105">
        <f>'Income Statement'!F170</f>
        <v>60</v>
      </c>
      <c r="K40" s="105">
        <f>'Income Statement'!H170</f>
        <v>56</v>
      </c>
      <c r="L40" s="105">
        <f>'Income Statement'!I170</f>
        <v>56</v>
      </c>
      <c r="M40" s="105">
        <f>'Income Statement'!J170</f>
        <v>56</v>
      </c>
      <c r="N40" s="105">
        <f>'Income Statement'!K170</f>
        <v>55</v>
      </c>
      <c r="O40" s="105">
        <f>'Income Statement'!M170</f>
        <v>52</v>
      </c>
      <c r="P40" s="105">
        <f>'Income Statement'!N170</f>
        <v>51</v>
      </c>
      <c r="Q40" s="105">
        <f>'Income Statement'!O170</f>
        <v>49</v>
      </c>
      <c r="R40" s="105">
        <f>'Income Statement'!P170</f>
        <v>49</v>
      </c>
      <c r="S40" s="105">
        <f>'Income Statement'!R170</f>
        <v>49</v>
      </c>
      <c r="T40" s="105">
        <f>'Income Statement'!S170</f>
        <v>51</v>
      </c>
      <c r="U40" s="105">
        <f>'Income Statement'!T170</f>
        <v>54</v>
      </c>
      <c r="V40" s="105">
        <f>'Income Statement'!U170</f>
        <v>54</v>
      </c>
      <c r="W40" s="105">
        <f>'Income Statement'!W170</f>
        <v>52</v>
      </c>
      <c r="X40" s="105">
        <f>'Income Statement'!X170</f>
        <v>52</v>
      </c>
      <c r="Y40" s="105">
        <f>'Income Statement'!Y170</f>
        <v>48</v>
      </c>
      <c r="Z40" s="105">
        <f>'Income Statement'!Z170</f>
        <v>48</v>
      </c>
      <c r="AA40" s="105">
        <f>'Income Statement'!AB170</f>
        <v>46</v>
      </c>
      <c r="AB40" s="105">
        <f>'Income Statement'!AC170</f>
        <v>46</v>
      </c>
      <c r="AC40" s="105">
        <f>'Income Statement'!AD170</f>
        <v>48</v>
      </c>
      <c r="AD40" s="105">
        <f>'Income Statement'!AE170</f>
        <v>49</v>
      </c>
      <c r="AE40" s="105">
        <f>'Income Statement'!AG170</f>
        <v>48</v>
      </c>
      <c r="AF40" s="105">
        <f>'Income Statement'!AH170</f>
        <v>50</v>
      </c>
      <c r="AG40" s="105">
        <f>'Income Statement'!AI170</f>
        <v>50</v>
      </c>
      <c r="AH40" s="105">
        <f>'Income Statement'!AJ170</f>
        <v>50</v>
      </c>
      <c r="AI40" s="105">
        <f>'Income Statement'!AL170</f>
        <v>48</v>
      </c>
      <c r="AJ40" s="105">
        <f>'Income Statement'!AM170</f>
        <v>47</v>
      </c>
      <c r="AK40" s="105">
        <f>'Income Statement'!AN170</f>
        <v>49</v>
      </c>
      <c r="AL40" s="105">
        <f>'Income Statement'!AO170</f>
        <v>50</v>
      </c>
      <c r="AM40" s="105">
        <f>'Income Statement'!AQ170</f>
        <v>50</v>
      </c>
      <c r="AN40" s="105">
        <f>'Income Statement'!AR170</f>
        <v>49</v>
      </c>
      <c r="AO40" s="105">
        <f>'Income Statement'!AS170</f>
        <v>50</v>
      </c>
      <c r="AP40" s="105">
        <f>'Income Statement'!AT170</f>
        <v>52</v>
      </c>
      <c r="AQ40" s="105">
        <f>'Income Statement'!AV170</f>
        <v>52</v>
      </c>
      <c r="AR40" s="105">
        <f>'Income Statement'!AW170</f>
        <v>51</v>
      </c>
      <c r="AS40" s="105">
        <f>'Income Statement'!AX170</f>
        <v>51</v>
      </c>
      <c r="AT40" s="105">
        <f>'Income Statement'!AY170</f>
        <v>51</v>
      </c>
      <c r="AU40" s="105">
        <f>'Income Statement'!BA170</f>
        <v>51</v>
      </c>
      <c r="AV40" s="105">
        <f>'Income Statement'!BB170</f>
        <v>53</v>
      </c>
      <c r="AW40" s="105">
        <f>'Income Statement'!BC170</f>
        <v>53</v>
      </c>
      <c r="AX40" s="105">
        <f>'Income Statement'!BD170</f>
        <v>53</v>
      </c>
      <c r="AY40" s="105">
        <f>'Income Statement'!BF170</f>
        <v>51</v>
      </c>
      <c r="AZ40" s="105">
        <f>'Income Statement'!BG170</f>
        <v>51</v>
      </c>
      <c r="BA40" s="105">
        <f>'Income Statement'!BH170</f>
        <v>51</v>
      </c>
      <c r="BB40" s="105">
        <f>'Income Statement'!BI170</f>
        <v>51</v>
      </c>
      <c r="BC40" s="105">
        <f>'Income Statement'!BK170</f>
        <v>49</v>
      </c>
      <c r="BD40" s="105">
        <f>'Income Statement'!BL170</f>
        <v>47</v>
      </c>
      <c r="BE40" s="105">
        <f>'Income Statement'!BM170</f>
        <v>48.7</v>
      </c>
      <c r="BF40" s="105">
        <f>'Income Statement'!BN170</f>
        <v>48.3</v>
      </c>
      <c r="BG40" s="105">
        <f>'Income Statement'!BP170</f>
        <v>47.4</v>
      </c>
      <c r="BH40" s="105">
        <f>'Income Statement'!BQ170</f>
        <v>47</v>
      </c>
      <c r="BI40" s="105">
        <f>'Income Statement'!BR170</f>
        <v>46.6</v>
      </c>
      <c r="BJ40" s="105">
        <f>'Income Statement'!BS170</f>
        <v>45.9</v>
      </c>
      <c r="BK40" s="105">
        <f>'Income Statement'!BU170</f>
        <v>46.2</v>
      </c>
      <c r="BL40" s="105">
        <f>'Income Statement'!BV170</f>
        <v>47.7</v>
      </c>
      <c r="BM40" s="105">
        <f>'Income Statement'!BW170</f>
        <v>47.3</v>
      </c>
      <c r="BN40" s="105">
        <f>'Income Statement'!BX170</f>
        <v>47.8</v>
      </c>
      <c r="BO40" s="105">
        <f>'Income Statement'!BZ170</f>
        <v>46.9</v>
      </c>
      <c r="BP40" s="105">
        <f>'Income Statement'!CA170</f>
        <v>47</v>
      </c>
      <c r="BQ40" s="105">
        <f>'Income Statement'!CB170</f>
        <v>46.7</v>
      </c>
      <c r="BR40" s="105">
        <f>'Income Statement'!CC170</f>
        <v>45.8</v>
      </c>
      <c r="BS40" s="105">
        <f>'Income Statement'!CE170</f>
        <v>44.7</v>
      </c>
      <c r="BT40" s="105">
        <f>'Income Statement'!CF170</f>
        <v>44.7</v>
      </c>
      <c r="BU40" s="105">
        <f>'Income Statement'!CG170</f>
        <v>44.2</v>
      </c>
      <c r="BV40" s="105">
        <f>'Income Statement'!CH170</f>
        <v>44.5</v>
      </c>
      <c r="BW40" s="105">
        <f>'Income Statement'!CJ170</f>
        <v>42.4</v>
      </c>
      <c r="BX40" s="105">
        <f>'Income Statement'!CK170</f>
        <v>42.6</v>
      </c>
      <c r="BY40" s="105">
        <f>'Income Statement'!CL170</f>
        <v>42.4</v>
      </c>
      <c r="BZ40" s="105">
        <f>'Income Statement'!CM170</f>
        <v>42.9</v>
      </c>
      <c r="CA40" s="105">
        <f>'Income Statement'!CO170</f>
        <v>41.6</v>
      </c>
      <c r="CB40" s="105">
        <f>'Income Statement'!CP170</f>
        <v>42.1</v>
      </c>
      <c r="CG40" s="105">
        <f>'Income Statement'!Q170</f>
        <v>51</v>
      </c>
      <c r="CH40" s="105">
        <f>'Income Statement'!V170</f>
        <v>52</v>
      </c>
      <c r="CI40" s="105">
        <f>'Income Statement'!AA170</f>
        <v>50.477409975397009</v>
      </c>
      <c r="CJ40" s="105">
        <f>'Income Statement'!AF170</f>
        <v>47.86334494515269</v>
      </c>
      <c r="CK40" s="105">
        <f>'Income Statement'!AK170</f>
        <v>48.255347593582883</v>
      </c>
      <c r="CL40" s="105">
        <f>'Income Statement'!AP170</f>
        <v>49.653786074120362</v>
      </c>
      <c r="CM40" s="105">
        <f>'Income Statement'!AU170</f>
        <v>50.25</v>
      </c>
      <c r="CN40" s="105">
        <f>'Income Statement'!AZ170</f>
        <v>51.25</v>
      </c>
      <c r="CO40" s="105">
        <f>'Income Statement'!BE170</f>
        <v>52.5</v>
      </c>
      <c r="CP40" s="105">
        <f>'Income Statement'!BJ170</f>
        <v>51</v>
      </c>
      <c r="CQ40" s="105">
        <f>'Income Statement'!BO170</f>
        <v>48.25</v>
      </c>
      <c r="CR40" s="105">
        <f>'Income Statement'!BT170</f>
        <v>46.725000000000001</v>
      </c>
      <c r="CS40" s="105">
        <f>'Income Statement'!BY170</f>
        <v>47.25</v>
      </c>
      <c r="CT40" s="105">
        <f>'Income Statement'!CD170</f>
        <v>46.600000000000009</v>
      </c>
      <c r="CU40" s="105">
        <f>'Income Statement'!CI170</f>
        <v>44.525000000000006</v>
      </c>
      <c r="CV40" s="105">
        <f>'Income Statement'!CN170</f>
        <v>42.575000000000003</v>
      </c>
      <c r="CW40" s="105">
        <f>'Income Statement'!CQ170</f>
        <v>42.430225328511952</v>
      </c>
      <c r="CX40" s="105">
        <f>'Income Statement'!CR170</f>
        <v>42.536639211438199</v>
      </c>
      <c r="CY40" s="105">
        <f>'Income Statement'!CS170</f>
        <v>42.781709151544582</v>
      </c>
    </row>
    <row r="41" spans="1:103" s="675" customFormat="1">
      <c r="A41" s="674" t="s">
        <v>917</v>
      </c>
      <c r="B41" s="674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  <c r="AO41" s="105"/>
      <c r="AP41" s="105"/>
      <c r="AQ41" s="105"/>
      <c r="AR41" s="105"/>
      <c r="AS41" s="105"/>
      <c r="AT41" s="105"/>
      <c r="AU41" s="105"/>
      <c r="AV41" s="105"/>
      <c r="AW41" s="105"/>
      <c r="AX41" s="105"/>
      <c r="AY41" s="105"/>
      <c r="AZ41" s="105"/>
      <c r="BA41" s="105"/>
      <c r="BB41" s="105"/>
      <c r="BC41" s="105"/>
      <c r="BD41" s="105"/>
      <c r="BE41" s="105"/>
      <c r="BF41" s="105"/>
      <c r="BG41" s="105"/>
      <c r="BH41" s="105"/>
      <c r="BI41" s="105"/>
      <c r="BJ41" s="105"/>
      <c r="BK41" s="105">
        <f>'Income Statement'!BU173</f>
        <v>41.735405632253766</v>
      </c>
      <c r="BL41" s="105">
        <f>'Income Statement'!BV173</f>
        <v>43.228962533931394</v>
      </c>
      <c r="BM41" s="105">
        <f>'Income Statement'!BW173</f>
        <v>43.251626243915048</v>
      </c>
      <c r="BN41" s="105">
        <f>'Income Statement'!BX173</f>
        <v>43.610778784253405</v>
      </c>
      <c r="BO41" s="105">
        <f>'Income Statement'!BZ173</f>
        <v>43.212762641504092</v>
      </c>
      <c r="BP41" s="105">
        <f>'Income Statement'!CA173</f>
        <v>43.100274686376117</v>
      </c>
      <c r="BQ41" s="105">
        <f>'Income Statement'!CB173</f>
        <v>43.036092524793446</v>
      </c>
      <c r="BR41" s="105">
        <f>'Income Statement'!CC173</f>
        <v>42.358250751056922</v>
      </c>
      <c r="BS41" s="105">
        <f>'Income Statement'!CE173</f>
        <v>41.698408243454551</v>
      </c>
      <c r="BT41" s="105">
        <f>'Income Statement'!CF173</f>
        <v>41.61345253299276</v>
      </c>
      <c r="BU41" s="105">
        <f>'Income Statement'!CG173</f>
        <v>41.162323069037576</v>
      </c>
      <c r="BV41" s="105">
        <f>'Income Statement'!CH173</f>
        <v>41.074991198216175</v>
      </c>
      <c r="BW41" s="105">
        <f>'Income Statement'!CJ173</f>
        <v>39.03730259691865</v>
      </c>
      <c r="BX41" s="105">
        <f>'Income Statement'!CK173</f>
        <v>39.019332650558233</v>
      </c>
      <c r="BY41" s="105">
        <f>'Income Statement'!CL173</f>
        <v>39.276097438787652</v>
      </c>
      <c r="BZ41" s="105">
        <f>'Income Statement'!CM173</f>
        <v>39.695830697282076</v>
      </c>
      <c r="CA41" s="105">
        <f>'Income Statement'!CO173</f>
        <v>38.621706283397828</v>
      </c>
      <c r="CB41" s="105">
        <f>'Income Statement'!CP173</f>
        <v>38.854956214585329</v>
      </c>
      <c r="CG41" s="105"/>
      <c r="CH41" s="105"/>
      <c r="CI41" s="105"/>
      <c r="CJ41" s="105"/>
      <c r="CK41" s="105"/>
      <c r="CL41" s="105"/>
      <c r="CM41" s="105"/>
      <c r="CN41" s="105"/>
      <c r="CO41" s="105"/>
      <c r="CP41" s="105"/>
      <c r="CQ41" s="105"/>
      <c r="CR41" s="105"/>
      <c r="CS41" s="105"/>
      <c r="CT41" s="105"/>
      <c r="CU41" s="105"/>
      <c r="CV41" s="105"/>
      <c r="CW41" s="105"/>
      <c r="CX41" s="105"/>
      <c r="CY41" s="105"/>
    </row>
    <row r="42" spans="1:103" s="675" customFormat="1">
      <c r="A42" s="676" t="s">
        <v>606</v>
      </c>
      <c r="B42" s="674"/>
      <c r="C42" s="105"/>
      <c r="D42" s="105"/>
      <c r="E42" s="105"/>
      <c r="F42" s="105"/>
      <c r="G42" s="105">
        <f>'Income Statement'!C166</f>
        <v>0</v>
      </c>
      <c r="H42" s="105">
        <f>'Income Statement'!D166</f>
        <v>0</v>
      </c>
      <c r="I42" s="105">
        <f>'Income Statement'!E166</f>
        <v>0</v>
      </c>
      <c r="J42" s="105">
        <f>'Income Statement'!F166</f>
        <v>0</v>
      </c>
      <c r="K42" s="105">
        <f>'Income Statement'!H166</f>
        <v>0</v>
      </c>
      <c r="L42" s="105">
        <f>'Income Statement'!I166</f>
        <v>0</v>
      </c>
      <c r="M42" s="105">
        <f>'Income Statement'!J166</f>
        <v>0</v>
      </c>
      <c r="N42" s="105">
        <f>'Income Statement'!K166</f>
        <v>0</v>
      </c>
      <c r="O42" s="105">
        <f>'Income Statement'!M166</f>
        <v>0</v>
      </c>
      <c r="P42" s="105">
        <f>'Income Statement'!N166</f>
        <v>0</v>
      </c>
      <c r="Q42" s="105">
        <f>'Income Statement'!O166</f>
        <v>0</v>
      </c>
      <c r="R42" s="105">
        <f>'Income Statement'!P166</f>
        <v>0</v>
      </c>
      <c r="S42" s="105">
        <f>'Income Statement'!R166</f>
        <v>0</v>
      </c>
      <c r="T42" s="105">
        <f>'Income Statement'!S166</f>
        <v>0</v>
      </c>
      <c r="U42" s="105">
        <f>'Income Statement'!T166</f>
        <v>0</v>
      </c>
      <c r="V42" s="105">
        <f>'Income Statement'!U166</f>
        <v>0</v>
      </c>
      <c r="W42" s="105">
        <f>'Income Statement'!W166</f>
        <v>0</v>
      </c>
      <c r="X42" s="105">
        <f>'Income Statement'!X166</f>
        <v>0</v>
      </c>
      <c r="Y42" s="105">
        <f>'Income Statement'!Y166</f>
        <v>0</v>
      </c>
      <c r="Z42" s="105">
        <f>'Income Statement'!Z166</f>
        <v>0</v>
      </c>
      <c r="AA42" s="105">
        <f>'Income Statement'!AB166</f>
        <v>0</v>
      </c>
      <c r="AB42" s="105">
        <f>'Income Statement'!AC166</f>
        <v>0</v>
      </c>
      <c r="AC42" s="105">
        <f>'Income Statement'!AD166</f>
        <v>0</v>
      </c>
      <c r="AD42" s="105">
        <f>'Income Statement'!AE166</f>
        <v>0</v>
      </c>
      <c r="AE42" s="105">
        <f>'Income Statement'!AG166</f>
        <v>0</v>
      </c>
      <c r="AF42" s="105">
        <f>'Income Statement'!AH166</f>
        <v>0</v>
      </c>
      <c r="AG42" s="105">
        <f>'Income Statement'!AI166</f>
        <v>0</v>
      </c>
      <c r="AH42" s="105">
        <f>'Income Statement'!AJ166</f>
        <v>0</v>
      </c>
      <c r="AI42" s="105">
        <f>'Income Statement'!AL166</f>
        <v>0</v>
      </c>
      <c r="AJ42" s="105">
        <f>'Income Statement'!AM166</f>
        <v>0</v>
      </c>
      <c r="AK42" s="105">
        <f>'Income Statement'!AN166</f>
        <v>0</v>
      </c>
      <c r="AL42" s="105">
        <f>'Income Statement'!AO166</f>
        <v>0</v>
      </c>
      <c r="AM42" s="105">
        <f>'Income Statement'!AQ166</f>
        <v>0</v>
      </c>
      <c r="AN42" s="105">
        <f>'Income Statement'!AR166</f>
        <v>0</v>
      </c>
      <c r="AO42" s="105">
        <f>'Income Statement'!AS166</f>
        <v>0</v>
      </c>
      <c r="AP42" s="105">
        <f>'Income Statement'!AT166</f>
        <v>0</v>
      </c>
      <c r="AQ42" s="105">
        <f>'Income Statement'!AV166</f>
        <v>36</v>
      </c>
      <c r="AR42" s="105">
        <f>'Income Statement'!AW166</f>
        <v>36</v>
      </c>
      <c r="AS42" s="105">
        <f>'Income Statement'!AX166</f>
        <v>36</v>
      </c>
      <c r="AT42" s="105">
        <f>'Income Statement'!AY166</f>
        <v>36</v>
      </c>
      <c r="AU42" s="105">
        <f>'Income Statement'!BA166</f>
        <v>35</v>
      </c>
      <c r="AV42" s="105">
        <f>'Income Statement'!BB166</f>
        <v>37</v>
      </c>
      <c r="AW42" s="105">
        <f>'Income Statement'!BC166</f>
        <v>36</v>
      </c>
      <c r="AX42" s="105">
        <f>'Income Statement'!BD166</f>
        <v>37</v>
      </c>
      <c r="AY42" s="105">
        <f>'Income Statement'!BF166</f>
        <v>35</v>
      </c>
      <c r="AZ42" s="105">
        <f>'Income Statement'!BG166</f>
        <v>35</v>
      </c>
      <c r="BA42" s="105">
        <f>'Income Statement'!BH166</f>
        <v>35</v>
      </c>
      <c r="BB42" s="105">
        <f>'Income Statement'!BI166</f>
        <v>35</v>
      </c>
      <c r="BC42" s="105">
        <f>'Income Statement'!BK166</f>
        <v>32</v>
      </c>
      <c r="BD42" s="105">
        <f>'Income Statement'!BL166</f>
        <v>30.6</v>
      </c>
      <c r="BE42" s="105">
        <f>'Income Statement'!BM166</f>
        <v>33.1</v>
      </c>
      <c r="BF42" s="105">
        <f>'Income Statement'!BN166</f>
        <v>32.4</v>
      </c>
      <c r="BG42" s="105">
        <f>'Income Statement'!BP166</f>
        <v>31.6</v>
      </c>
      <c r="BH42" s="105">
        <f>'Income Statement'!BQ166</f>
        <v>31</v>
      </c>
      <c r="BI42" s="105">
        <f>'Income Statement'!BR166</f>
        <v>30.5</v>
      </c>
      <c r="BJ42" s="105">
        <f>'Income Statement'!BS166</f>
        <v>29.7</v>
      </c>
      <c r="BK42" s="105">
        <f>'Income Statement'!BU166</f>
        <v>30.2</v>
      </c>
      <c r="BL42" s="105">
        <f>'Income Statement'!BV166</f>
        <v>31.8</v>
      </c>
      <c r="BM42" s="105">
        <f>'Income Statement'!BW166</f>
        <v>31.3</v>
      </c>
      <c r="BN42" s="105">
        <f>'Income Statement'!BX166</f>
        <v>31.8</v>
      </c>
      <c r="BO42" s="105">
        <f>'Income Statement'!BZ166</f>
        <v>30.7</v>
      </c>
      <c r="BP42" s="105">
        <f>'Income Statement'!CA166</f>
        <v>30.8</v>
      </c>
      <c r="BQ42" s="105">
        <f>'Income Statement'!CB166</f>
        <v>30.7</v>
      </c>
      <c r="BR42" s="105">
        <f>'Income Statement'!CC166</f>
        <v>29.6</v>
      </c>
      <c r="BS42" s="105">
        <f>'Income Statement'!CE166</f>
        <v>28.7</v>
      </c>
      <c r="BT42" s="105">
        <f>'Income Statement'!CF166</f>
        <v>28.9</v>
      </c>
      <c r="BU42" s="105">
        <f>'Income Statement'!CG166</f>
        <v>28.4</v>
      </c>
      <c r="BV42" s="105">
        <f>'Income Statement'!CH166</f>
        <v>28.1</v>
      </c>
      <c r="BW42" s="105">
        <f>'Income Statement'!CJ166</f>
        <v>26.3</v>
      </c>
      <c r="BX42" s="105">
        <f>'Income Statement'!CK166</f>
        <v>26.8</v>
      </c>
      <c r="BY42" s="105">
        <f>'Income Statement'!CL166</f>
        <v>27</v>
      </c>
      <c r="BZ42" s="105">
        <f>'Income Statement'!CM166</f>
        <v>27.3</v>
      </c>
      <c r="CA42" s="105">
        <f>'Income Statement'!CO166</f>
        <v>26.4</v>
      </c>
      <c r="CB42" s="105">
        <f>'Income Statement'!CP166</f>
        <v>27</v>
      </c>
      <c r="CG42" s="105">
        <f>'Income Statement'!Q166</f>
        <v>0</v>
      </c>
      <c r="CH42" s="105">
        <f>'Income Statement'!V166</f>
        <v>0</v>
      </c>
      <c r="CI42" s="105">
        <f>'Income Statement'!AA166</f>
        <v>0</v>
      </c>
      <c r="CJ42" s="105">
        <f>'Income Statement'!AF166</f>
        <v>0</v>
      </c>
      <c r="CK42" s="105">
        <f>'Income Statement'!AK166</f>
        <v>0</v>
      </c>
      <c r="CL42" s="105">
        <f>'Income Statement'!AP166</f>
        <v>0</v>
      </c>
      <c r="CM42" s="105">
        <f>'Income Statement'!AU166</f>
        <v>0</v>
      </c>
      <c r="CN42" s="105">
        <f>'Income Statement'!AZ166</f>
        <v>36</v>
      </c>
      <c r="CO42" s="105">
        <f>'Income Statement'!BE166</f>
        <v>36.25</v>
      </c>
      <c r="CP42" s="105">
        <f>'Income Statement'!BJ166</f>
        <v>35</v>
      </c>
      <c r="CQ42" s="105">
        <f>'Income Statement'!BO166</f>
        <v>32.024999999999999</v>
      </c>
      <c r="CR42" s="105">
        <f>'Income Statement'!BT166</f>
        <v>30.7</v>
      </c>
      <c r="CS42" s="105">
        <f>'Income Statement'!BY166</f>
        <v>31.274999999999999</v>
      </c>
      <c r="CT42" s="105">
        <f>'Income Statement'!CD166</f>
        <v>30.450000000000003</v>
      </c>
      <c r="CU42" s="105">
        <f>'Income Statement'!CI166</f>
        <v>28.524999999999999</v>
      </c>
      <c r="CV42" s="105">
        <f>'Income Statement'!CN166</f>
        <v>26.849999999999998</v>
      </c>
      <c r="CW42" s="105">
        <f>'Income Statement'!CQ166</f>
        <v>26.849999999999998</v>
      </c>
      <c r="CX42" s="105">
        <f>'Income Statement'!CR166</f>
        <v>26.849999999999998</v>
      </c>
      <c r="CY42" s="105">
        <f>'Income Statement'!CS166</f>
        <v>26.849999999999998</v>
      </c>
    </row>
    <row r="43" spans="1:103" s="675" customFormat="1">
      <c r="A43" s="676" t="s">
        <v>607</v>
      </c>
      <c r="B43" s="674"/>
      <c r="C43" s="105"/>
      <c r="D43" s="105"/>
      <c r="E43" s="105"/>
      <c r="F43" s="105"/>
      <c r="G43" s="105">
        <f>'Income Statement'!C168</f>
        <v>0</v>
      </c>
      <c r="H43" s="105">
        <f>'Income Statement'!D168</f>
        <v>0</v>
      </c>
      <c r="I43" s="105">
        <f>'Income Statement'!E168</f>
        <v>0</v>
      </c>
      <c r="J43" s="105">
        <f>'Income Statement'!F168</f>
        <v>0</v>
      </c>
      <c r="K43" s="105">
        <f>'Income Statement'!H168</f>
        <v>0</v>
      </c>
      <c r="L43" s="105">
        <f>'Income Statement'!I168</f>
        <v>0</v>
      </c>
      <c r="M43" s="105">
        <f>'Income Statement'!J168</f>
        <v>0</v>
      </c>
      <c r="N43" s="105">
        <f>'Income Statement'!K168</f>
        <v>0</v>
      </c>
      <c r="O43" s="105">
        <f>'Income Statement'!M168</f>
        <v>0</v>
      </c>
      <c r="P43" s="105">
        <f>'Income Statement'!N168</f>
        <v>0</v>
      </c>
      <c r="Q43" s="105">
        <f>'Income Statement'!O168</f>
        <v>0</v>
      </c>
      <c r="R43" s="105">
        <f>'Income Statement'!P168</f>
        <v>0</v>
      </c>
      <c r="S43" s="105">
        <f>'Income Statement'!R168</f>
        <v>0</v>
      </c>
      <c r="T43" s="105">
        <f>'Income Statement'!S168</f>
        <v>0</v>
      </c>
      <c r="U43" s="105">
        <f>'Income Statement'!T168</f>
        <v>0</v>
      </c>
      <c r="V43" s="105">
        <f>'Income Statement'!U168</f>
        <v>0</v>
      </c>
      <c r="W43" s="105">
        <f>'Income Statement'!W168</f>
        <v>0</v>
      </c>
      <c r="X43" s="105">
        <f>'Income Statement'!X168</f>
        <v>0</v>
      </c>
      <c r="Y43" s="105">
        <f>'Income Statement'!Y168</f>
        <v>0</v>
      </c>
      <c r="Z43" s="105">
        <f>'Income Statement'!Z168</f>
        <v>0</v>
      </c>
      <c r="AA43" s="105">
        <f>'Income Statement'!AB168</f>
        <v>0</v>
      </c>
      <c r="AB43" s="105">
        <f>'Income Statement'!AC168</f>
        <v>0</v>
      </c>
      <c r="AC43" s="105">
        <f>'Income Statement'!AD168</f>
        <v>0</v>
      </c>
      <c r="AD43" s="105">
        <f>'Income Statement'!AE168</f>
        <v>0</v>
      </c>
      <c r="AE43" s="105">
        <f>'Income Statement'!AG168</f>
        <v>0</v>
      </c>
      <c r="AF43" s="105">
        <f>'Income Statement'!AH168</f>
        <v>0</v>
      </c>
      <c r="AG43" s="105">
        <f>'Income Statement'!AI168</f>
        <v>0</v>
      </c>
      <c r="AH43" s="105">
        <f>'Income Statement'!AJ168</f>
        <v>0</v>
      </c>
      <c r="AI43" s="105">
        <f>'Income Statement'!AL168</f>
        <v>0</v>
      </c>
      <c r="AJ43" s="105">
        <f>'Income Statement'!AM168</f>
        <v>0</v>
      </c>
      <c r="AK43" s="105">
        <f>'Income Statement'!AN168</f>
        <v>0</v>
      </c>
      <c r="AL43" s="105">
        <f>'Income Statement'!AO168</f>
        <v>0</v>
      </c>
      <c r="AM43" s="105">
        <f>'Income Statement'!AQ168</f>
        <v>0</v>
      </c>
      <c r="AN43" s="105">
        <f>'Income Statement'!AR168</f>
        <v>0</v>
      </c>
      <c r="AO43" s="105">
        <f>'Income Statement'!AS168</f>
        <v>0</v>
      </c>
      <c r="AP43" s="105">
        <f>'Income Statement'!AT168</f>
        <v>0</v>
      </c>
      <c r="AQ43" s="105">
        <f>'Income Statement'!AV168</f>
        <v>96</v>
      </c>
      <c r="AR43" s="105">
        <f>'Income Statement'!AW168</f>
        <v>96</v>
      </c>
      <c r="AS43" s="105">
        <f>'Income Statement'!AX168</f>
        <v>96</v>
      </c>
      <c r="AT43" s="105">
        <f>'Income Statement'!AY168</f>
        <v>96</v>
      </c>
      <c r="AU43" s="105">
        <f>'Income Statement'!BA168</f>
        <v>92</v>
      </c>
      <c r="AV43" s="105">
        <f>'Income Statement'!BB168</f>
        <v>94</v>
      </c>
      <c r="AW43" s="105">
        <f>'Income Statement'!BC168</f>
        <v>93</v>
      </c>
      <c r="AX43" s="105">
        <f>'Income Statement'!BD168</f>
        <v>94</v>
      </c>
      <c r="AY43" s="105">
        <f>'Income Statement'!BF168</f>
        <v>88</v>
      </c>
      <c r="AZ43" s="105">
        <f>'Income Statement'!BG168</f>
        <v>86</v>
      </c>
      <c r="BA43" s="105">
        <f>'Income Statement'!BH168</f>
        <v>85</v>
      </c>
      <c r="BB43" s="105">
        <f>'Income Statement'!BI168</f>
        <v>84</v>
      </c>
      <c r="BC43" s="105">
        <f>'Income Statement'!BK168</f>
        <v>81</v>
      </c>
      <c r="BD43" s="105">
        <f>'Income Statement'!BL168</f>
        <v>79.5</v>
      </c>
      <c r="BE43" s="105">
        <f>'Income Statement'!BM168</f>
        <v>78.400000000000006</v>
      </c>
      <c r="BF43" s="105">
        <f>'Income Statement'!BN168</f>
        <v>77.3</v>
      </c>
      <c r="BG43" s="105">
        <f>'Income Statement'!BP168</f>
        <v>76</v>
      </c>
      <c r="BH43" s="105">
        <f>'Income Statement'!BQ168</f>
        <v>75.400000000000006</v>
      </c>
      <c r="BI43" s="105">
        <f>'Income Statement'!BR168</f>
        <v>75</v>
      </c>
      <c r="BJ43" s="105">
        <f>'Income Statement'!BS168</f>
        <v>73.400000000000006</v>
      </c>
      <c r="BK43" s="105">
        <f>'Income Statement'!BU168</f>
        <v>72.5</v>
      </c>
      <c r="BL43" s="105">
        <f>'Income Statement'!BV168</f>
        <v>72.7</v>
      </c>
      <c r="BM43" s="105">
        <f>'Income Statement'!BW168</f>
        <v>72.8</v>
      </c>
      <c r="BN43" s="105">
        <f>'Income Statement'!BX168</f>
        <v>72.7</v>
      </c>
      <c r="BO43" s="105">
        <f>'Income Statement'!BZ168</f>
        <v>71.3</v>
      </c>
      <c r="BP43" s="105">
        <f>'Income Statement'!CA168</f>
        <v>71</v>
      </c>
      <c r="BQ43" s="105">
        <f>'Income Statement'!CB168</f>
        <v>70.2</v>
      </c>
      <c r="BR43" s="105">
        <f>'Income Statement'!CC168</f>
        <v>69.8</v>
      </c>
      <c r="BS43" s="105">
        <f>'Income Statement'!CE168</f>
        <v>68.3</v>
      </c>
      <c r="BT43" s="105">
        <f>'Income Statement'!CF168</f>
        <v>67.5</v>
      </c>
      <c r="BU43" s="105">
        <f>'Income Statement'!CG168</f>
        <v>67</v>
      </c>
      <c r="BV43" s="105">
        <f>'Income Statement'!CH168</f>
        <v>67.599999999999994</v>
      </c>
      <c r="BW43" s="105">
        <f>'Income Statement'!CJ168</f>
        <v>64.599999999999994</v>
      </c>
      <c r="BX43" s="105">
        <f>'Income Statement'!CK168</f>
        <v>64</v>
      </c>
      <c r="BY43" s="105">
        <f>'Income Statement'!CL168</f>
        <v>63</v>
      </c>
      <c r="BZ43" s="105">
        <f>'Income Statement'!CM168</f>
        <v>63.1</v>
      </c>
      <c r="CA43" s="105">
        <f>'Income Statement'!CO168</f>
        <v>61.1</v>
      </c>
      <c r="CB43" s="105">
        <f>'Income Statement'!CP168</f>
        <v>60.7</v>
      </c>
      <c r="CG43" s="105">
        <f>'Income Statement'!Q168</f>
        <v>0</v>
      </c>
      <c r="CH43" s="105">
        <f>'Income Statement'!V168</f>
        <v>0</v>
      </c>
      <c r="CI43" s="105">
        <f>'Income Statement'!AA168</f>
        <v>0</v>
      </c>
      <c r="CJ43" s="105">
        <f>'Income Statement'!AF168</f>
        <v>0</v>
      </c>
      <c r="CK43" s="105">
        <f>'Income Statement'!AK168</f>
        <v>0</v>
      </c>
      <c r="CL43" s="105">
        <f>'Income Statement'!AP168</f>
        <v>0</v>
      </c>
      <c r="CM43" s="105">
        <f>'Income Statement'!AU168</f>
        <v>0</v>
      </c>
      <c r="CN43" s="105">
        <f>'Income Statement'!AZ168</f>
        <v>96</v>
      </c>
      <c r="CO43" s="105">
        <f>'Income Statement'!BE168</f>
        <v>93.25</v>
      </c>
      <c r="CP43" s="105">
        <f>'Income Statement'!BJ168</f>
        <v>85.75</v>
      </c>
      <c r="CQ43" s="105">
        <f>'Income Statement'!BO168</f>
        <v>79.05</v>
      </c>
      <c r="CR43" s="105">
        <f>'Income Statement'!BT168</f>
        <v>74.95</v>
      </c>
      <c r="CS43" s="105">
        <f>'Income Statement'!BY168</f>
        <v>72.674999999999997</v>
      </c>
      <c r="CT43" s="105">
        <f>'Income Statement'!CD168</f>
        <v>70.575000000000003</v>
      </c>
      <c r="CU43" s="105">
        <f>'Income Statement'!CI168</f>
        <v>67.599999999999994</v>
      </c>
      <c r="CV43" s="105">
        <f>'Income Statement'!CN168</f>
        <v>63.674999999999997</v>
      </c>
      <c r="CW43" s="105">
        <f>'Income Statement'!CQ168</f>
        <v>62.274149999999999</v>
      </c>
      <c r="CX43" s="105">
        <f>'Income Statement'!CR168</f>
        <v>62.274149999999999</v>
      </c>
      <c r="CY43" s="105">
        <f>'Income Statement'!CS168</f>
        <v>62.585520749999993</v>
      </c>
    </row>
    <row r="44" spans="1:103">
      <c r="A44" s="126" t="s">
        <v>476</v>
      </c>
      <c r="B44" s="100"/>
      <c r="C44" s="101"/>
      <c r="D44" s="101"/>
      <c r="E44" s="101"/>
      <c r="F44" s="101"/>
      <c r="G44" s="101">
        <f>'Income Statement'!C125</f>
        <v>0</v>
      </c>
      <c r="H44" s="101">
        <f>'Income Statement'!D125</f>
        <v>0</v>
      </c>
      <c r="I44" s="101">
        <f>'Income Statement'!E125</f>
        <v>0</v>
      </c>
      <c r="J44" s="101">
        <f>'Income Statement'!F125</f>
        <v>0</v>
      </c>
      <c r="K44" s="101">
        <f>'Income Statement'!H125</f>
        <v>5670.0251999999991</v>
      </c>
      <c r="L44" s="101">
        <f>'Income Statement'!I125</f>
        <v>5955.81</v>
      </c>
      <c r="M44" s="101">
        <f>'Income Statement'!J125</f>
        <v>6183.1325999999999</v>
      </c>
      <c r="N44" s="101">
        <f>'Income Statement'!K125</f>
        <v>6523.0590000000002</v>
      </c>
      <c r="O44" s="101">
        <f>'Income Statement'!M125</f>
        <v>6482.8289999999997</v>
      </c>
      <c r="P44" s="101">
        <f>'Income Statement'!N125</f>
        <v>6659.2889999999998</v>
      </c>
      <c r="Q44" s="101">
        <f>'Income Statement'!O125</f>
        <v>6835.9679999999998</v>
      </c>
      <c r="R44" s="101">
        <f>'Income Statement'!P125</f>
        <v>7048.3635000000004</v>
      </c>
      <c r="S44" s="101">
        <f>'Income Statement'!R125</f>
        <v>7208.19</v>
      </c>
      <c r="T44" s="101">
        <f>'Income Statement'!S125</f>
        <v>7114.2209999999995</v>
      </c>
      <c r="U44" s="101">
        <f>'Income Statement'!T125</f>
        <v>7061.82</v>
      </c>
      <c r="V44" s="101">
        <f>'Income Statement'!U125</f>
        <v>6903.4305000000004</v>
      </c>
      <c r="W44" s="101">
        <f>'Income Statement'!W125</f>
        <v>6894.5625</v>
      </c>
      <c r="X44" s="101">
        <f>'Income Statement'!X125</f>
        <v>7054.6875</v>
      </c>
      <c r="Y44" s="101">
        <f>'Income Statement'!Y125</f>
        <v>6609.6</v>
      </c>
      <c r="Z44" s="101">
        <f>'Income Statement'!Z125</f>
        <v>6935.1975000000002</v>
      </c>
      <c r="AA44" s="101">
        <f>'Income Statement'!AB125</f>
        <v>6774.48</v>
      </c>
      <c r="AB44" s="101">
        <f>'Income Statement'!AC125</f>
        <v>6554.1059999999998</v>
      </c>
      <c r="AC44" s="101">
        <f>'Income Statement'!AD125</f>
        <v>6216.2370000000001</v>
      </c>
      <c r="AD44" s="101">
        <f>'Income Statement'!AE125</f>
        <v>6069.6450000000004</v>
      </c>
      <c r="AE44" s="101">
        <f>'Income Statement'!AG125</f>
        <v>5889.3450000000003</v>
      </c>
      <c r="AF44" s="101">
        <f>'Income Statement'!AH125</f>
        <v>6038.2245000000003</v>
      </c>
      <c r="AG44" s="101">
        <f>'Income Statement'!AI125</f>
        <v>6141.96</v>
      </c>
      <c r="AH44" s="101">
        <f>'Income Statement'!AJ125</f>
        <v>6382.6559999999999</v>
      </c>
      <c r="AI44" s="101">
        <f>'Income Statement'!AL125</f>
        <v>0</v>
      </c>
      <c r="AJ44" s="101">
        <f>'Income Statement'!AM125</f>
        <v>0</v>
      </c>
      <c r="AK44" s="101">
        <f>'Income Statement'!AN125</f>
        <v>0</v>
      </c>
      <c r="AL44" s="101">
        <f>'Income Statement'!AO125</f>
        <v>0</v>
      </c>
      <c r="AM44" s="101">
        <f>'Income Statement'!AQ125</f>
        <v>0</v>
      </c>
      <c r="AN44" s="101">
        <f>'Income Statement'!AR125</f>
        <v>0</v>
      </c>
      <c r="AO44" s="101">
        <f>'Income Statement'!AS125</f>
        <v>0</v>
      </c>
      <c r="AP44" s="101">
        <f>'Income Statement'!AT125</f>
        <v>0</v>
      </c>
      <c r="AQ44" s="101">
        <f>'Income Statement'!AV125</f>
        <v>0</v>
      </c>
      <c r="AR44" s="101">
        <f>'Income Statement'!AW125</f>
        <v>0</v>
      </c>
      <c r="AS44" s="101">
        <f>'Income Statement'!AX125</f>
        <v>0</v>
      </c>
      <c r="AT44" s="101">
        <f>'Income Statement'!AY125</f>
        <v>0</v>
      </c>
      <c r="AU44" s="101">
        <f>'Income Statement'!BA125</f>
        <v>0</v>
      </c>
      <c r="AV44" s="101">
        <f>'Income Statement'!BB125</f>
        <v>0</v>
      </c>
      <c r="AW44" s="101">
        <f>'Income Statement'!BC125</f>
        <v>0</v>
      </c>
      <c r="AX44" s="101">
        <f>'Income Statement'!BD125</f>
        <v>0</v>
      </c>
      <c r="AY44" s="101">
        <f>'Income Statement'!BF125</f>
        <v>0</v>
      </c>
      <c r="AZ44" s="101">
        <f>'Income Statement'!BG125</f>
        <v>0</v>
      </c>
      <c r="BA44" s="101">
        <f>'Income Statement'!BH125</f>
        <v>0</v>
      </c>
      <c r="BB44" s="101">
        <f>'Income Statement'!BI125</f>
        <v>0</v>
      </c>
      <c r="BC44" s="101">
        <f>'Income Statement'!BK125</f>
        <v>0</v>
      </c>
      <c r="BD44" s="101">
        <f>'Income Statement'!BL125</f>
        <v>0</v>
      </c>
      <c r="BE44" s="101">
        <f>'Income Statement'!BM125</f>
        <v>0</v>
      </c>
      <c r="BF44" s="101">
        <f>'Income Statement'!BN125</f>
        <v>0</v>
      </c>
      <c r="BG44" s="101">
        <f>'Income Statement'!BP125</f>
        <v>0</v>
      </c>
      <c r="BH44" s="101">
        <f>'Income Statement'!BQ125</f>
        <v>0</v>
      </c>
      <c r="BI44" s="101">
        <f>'Income Statement'!BR125</f>
        <v>0</v>
      </c>
      <c r="BJ44" s="101">
        <f>'Income Statement'!BS125</f>
        <v>0</v>
      </c>
      <c r="BK44" s="101">
        <f>'Income Statement'!BU125</f>
        <v>0</v>
      </c>
      <c r="BL44" s="101">
        <f>'Income Statement'!BV125</f>
        <v>0</v>
      </c>
      <c r="BM44" s="101">
        <f>'Income Statement'!BW125</f>
        <v>0</v>
      </c>
      <c r="BN44" s="101">
        <f>'Income Statement'!BX125</f>
        <v>0</v>
      </c>
      <c r="BO44" s="101">
        <f>'Income Statement'!BZ125</f>
        <v>0</v>
      </c>
      <c r="BP44" s="101">
        <f>'Income Statement'!CA125</f>
        <v>0</v>
      </c>
      <c r="BQ44" s="101">
        <f>'Income Statement'!CB125</f>
        <v>0</v>
      </c>
      <c r="BR44" s="101">
        <f>'Income Statement'!CC125</f>
        <v>0</v>
      </c>
      <c r="BS44" s="101">
        <f>'Income Statement'!CE125</f>
        <v>0</v>
      </c>
      <c r="BT44" s="101">
        <f>'Income Statement'!CF125</f>
        <v>0</v>
      </c>
      <c r="BU44" s="101">
        <f>'Income Statement'!CG125</f>
        <v>0</v>
      </c>
      <c r="BV44" s="101">
        <f>'Income Statement'!CH125</f>
        <v>0</v>
      </c>
      <c r="BW44" s="101">
        <f>'Income Statement'!CJ125</f>
        <v>0</v>
      </c>
      <c r="BX44" s="101">
        <f>'Income Statement'!CK125</f>
        <v>0</v>
      </c>
      <c r="BY44" s="101">
        <f>'Income Statement'!CL125</f>
        <v>0</v>
      </c>
      <c r="BZ44" s="101">
        <f>'Income Statement'!CM125</f>
        <v>0</v>
      </c>
      <c r="CA44" s="101">
        <f>'Income Statement'!CO125</f>
        <v>0</v>
      </c>
      <c r="CB44" s="101">
        <f>'Income Statement'!CP125</f>
        <v>0</v>
      </c>
      <c r="CG44" s="101">
        <f>'Income Statement'!Q125</f>
        <v>27124.2075</v>
      </c>
      <c r="CH44" s="101">
        <f>'Income Statement'!V125</f>
        <v>29304.522000000001</v>
      </c>
      <c r="CI44" s="101">
        <f>'Income Statement'!AA125</f>
        <v>27523.475999999999</v>
      </c>
      <c r="CJ44" s="101">
        <f>'Income Statement'!AF125</f>
        <v>25257.024000000001</v>
      </c>
      <c r="CK44" s="101">
        <f>'Income Statement'!AK125</f>
        <v>24830.739648000002</v>
      </c>
      <c r="CL44" s="101">
        <f>'Income Statement'!AP125</f>
        <v>22668.119435520002</v>
      </c>
      <c r="CM44" s="101">
        <f>'Income Statement'!AU125</f>
        <v>20486.732318207996</v>
      </c>
      <c r="CN44" s="101">
        <f>'Income Statement'!AZ125</f>
        <v>18446.696465812991</v>
      </c>
      <c r="CO44" s="101">
        <f>'Income Statement'!BE125</f>
        <v>16631.044003879717</v>
      </c>
      <c r="CP44" s="101">
        <f>'Income Statement'!BJ125</f>
        <v>16282.358742231681</v>
      </c>
      <c r="CQ44" s="101">
        <f>'Income Statement'!BO125</f>
        <v>16061.556539672689</v>
      </c>
      <c r="CR44" s="101">
        <f>'Income Statement'!BT125</f>
        <v>15921.228952440351</v>
      </c>
      <c r="CS44" s="101">
        <f>'Income Statement'!BY125</f>
        <v>15854.968646628613</v>
      </c>
      <c r="CT44" s="101">
        <f>'Income Statement'!CD125</f>
        <v>15967.336901470038</v>
      </c>
      <c r="CU44" s="101">
        <f>'Income Statement'!CI125</f>
        <v>16183.243953167967</v>
      </c>
      <c r="CV44" s="101">
        <f>'Income Statement'!CN125</f>
        <v>16312.967947598578</v>
      </c>
      <c r="CW44" s="101">
        <f>'Income Statement'!CQ125</f>
        <v>16450.349600834506</v>
      </c>
      <c r="CX44" s="101">
        <f>'Income Statement'!CR125</f>
        <v>16266.984959100071</v>
      </c>
      <c r="CY44" s="101">
        <f>'Income Statement'!CS125</f>
        <v>16122.642670983187</v>
      </c>
    </row>
    <row r="45" spans="1:103">
      <c r="A45" s="126" t="s">
        <v>608</v>
      </c>
      <c r="B45" s="100"/>
      <c r="C45" s="101"/>
      <c r="D45" s="101"/>
      <c r="E45" s="101"/>
      <c r="F45" s="101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>
        <f>'Income Statement'!AV197</f>
        <v>151.51851000000002</v>
      </c>
      <c r="AR45" s="84">
        <f>'Income Statement'!AW197</f>
        <v>174.05595</v>
      </c>
      <c r="AS45" s="84">
        <f>'Income Statement'!AX197</f>
        <v>189.492615</v>
      </c>
      <c r="AT45" s="84">
        <f>'Income Statement'!AY197</f>
        <v>222.08256</v>
      </c>
      <c r="AU45" s="84">
        <f>'Income Statement'!BA197</f>
        <v>248.34195000000005</v>
      </c>
      <c r="AV45" s="84">
        <f>'Income Statement'!BB197</f>
        <v>292.13538</v>
      </c>
      <c r="AW45" s="84">
        <f>'Income Statement'!BC197</f>
        <v>344.79571499999997</v>
      </c>
      <c r="AX45" s="84">
        <f>'Income Statement'!BD197</f>
        <v>353.30021999999997</v>
      </c>
      <c r="AY45" s="84">
        <f>'Income Statement'!BF197</f>
        <v>377.78129999999993</v>
      </c>
      <c r="AZ45" s="84">
        <f>'Income Statement'!BG197</f>
        <v>444.26132999999993</v>
      </c>
      <c r="BA45" s="84">
        <f>'Income Statement'!BH197</f>
        <v>498.98382000000004</v>
      </c>
      <c r="BB45" s="84">
        <f>'Income Statement'!BI197</f>
        <v>498.53742</v>
      </c>
      <c r="BC45" s="84">
        <f>'Income Statement'!BK197</f>
        <v>563.580465</v>
      </c>
      <c r="BD45" s="84">
        <f>'Income Statement'!BL197</f>
        <v>722.23745999999994</v>
      </c>
      <c r="BE45" s="84">
        <f>'Income Statement'!BM197</f>
        <v>661.67575499999998</v>
      </c>
      <c r="BF45" s="84">
        <f>'Income Statement'!BN197</f>
        <v>688.92075</v>
      </c>
      <c r="BG45" s="84">
        <f>'Income Statement'!BP197</f>
        <v>728.42210999999998</v>
      </c>
      <c r="BH45" s="84">
        <f>'Income Statement'!BQ197</f>
        <v>836.8223999999999</v>
      </c>
      <c r="BI45" s="84">
        <f>'Income Statement'!BR197</f>
        <v>858.99297000000001</v>
      </c>
      <c r="BJ45" s="84">
        <f>'Income Statement'!BS197</f>
        <v>843.95939999999996</v>
      </c>
      <c r="BK45" s="84">
        <f>'Income Statement'!BU197</f>
        <v>836.13419999999996</v>
      </c>
      <c r="BL45" s="84">
        <f>'Income Statement'!BV197</f>
        <v>857.66804999999977</v>
      </c>
      <c r="BM45" s="84">
        <f>'Income Statement'!BW197</f>
        <v>915.75285000000008</v>
      </c>
      <c r="BN45" s="84">
        <f>'Income Statement'!BX197</f>
        <v>933.81960000000004</v>
      </c>
      <c r="BO45" s="84">
        <f>'Income Statement'!BZ197</f>
        <v>889.32060000000001</v>
      </c>
      <c r="BP45" s="84">
        <f>'Income Statement'!CA197</f>
        <v>921.66930000000013</v>
      </c>
      <c r="BQ45" s="84">
        <f>'Income Statement'!CB197</f>
        <v>958.83704999999986</v>
      </c>
      <c r="BR45" s="84">
        <f>'Income Statement'!CC197</f>
        <v>1022.5257</v>
      </c>
      <c r="BS45" s="84">
        <f>'Income Statement'!CE197</f>
        <v>1103.6392499999999</v>
      </c>
      <c r="BT45" s="84">
        <f>'Income Statement'!CF197</f>
        <v>1116.2447999999997</v>
      </c>
      <c r="BU45" s="84">
        <f>'Income Statement'!CG197</f>
        <v>1145.1394500000001</v>
      </c>
      <c r="BV45" s="84">
        <f>'Income Statement'!CH197</f>
        <v>1200.1828500000001</v>
      </c>
      <c r="BW45" s="84">
        <f>'Income Statement'!CJ197</f>
        <v>1291.8618000000001</v>
      </c>
      <c r="BX45" s="84">
        <f>'Income Statement'!CK197</f>
        <v>1356.3763499999998</v>
      </c>
      <c r="BY45" s="84">
        <f>'Income Statement'!CL197</f>
        <v>1429.2255</v>
      </c>
      <c r="BZ45" s="84">
        <f>'Income Statement'!CM197</f>
        <v>1575.9841500000002</v>
      </c>
      <c r="CA45" s="84">
        <f>'Income Statement'!CO197</f>
        <v>1632.1702500000001</v>
      </c>
      <c r="CB45" s="84">
        <f>'Income Statement'!CP197</f>
        <v>1663.2936</v>
      </c>
      <c r="CG45" s="84"/>
      <c r="CH45" s="84"/>
      <c r="CI45" s="84"/>
      <c r="CJ45" s="84"/>
      <c r="CK45" s="84"/>
      <c r="CL45" s="84"/>
      <c r="CM45" s="73"/>
      <c r="CN45" s="84">
        <f>'Income Statement'!AZ197</f>
        <v>0</v>
      </c>
      <c r="CO45" s="84">
        <f>'Income Statement'!BE197</f>
        <v>0</v>
      </c>
      <c r="CP45" s="84">
        <f>'Income Statement'!BJ197</f>
        <v>0</v>
      </c>
      <c r="CQ45" s="84">
        <f>'Income Statement'!BO197</f>
        <v>0</v>
      </c>
      <c r="CR45" s="84">
        <f>'Income Statement'!BT197</f>
        <v>0</v>
      </c>
      <c r="CS45" s="84">
        <f>'Income Statement'!BY197</f>
        <v>0</v>
      </c>
      <c r="CT45" s="84">
        <f>'Income Statement'!CD197</f>
        <v>0</v>
      </c>
      <c r="CU45" s="84">
        <f>'Income Statement'!CI197</f>
        <v>0</v>
      </c>
      <c r="CV45" s="84">
        <f>'Income Statement'!CN197</f>
        <v>0</v>
      </c>
      <c r="CW45" s="84">
        <f>'Income Statement'!CQ197</f>
        <v>0</v>
      </c>
      <c r="CX45" s="84">
        <f>'Income Statement'!CR197</f>
        <v>0</v>
      </c>
      <c r="CY45" s="84">
        <f>'Income Statement'!CS197</f>
        <v>0</v>
      </c>
    </row>
    <row r="46" spans="1:103">
      <c r="A46" s="71" t="s">
        <v>445</v>
      </c>
      <c r="B46" s="100"/>
      <c r="C46" s="101"/>
      <c r="D46" s="101"/>
      <c r="E46" s="101"/>
      <c r="F46" s="101"/>
      <c r="G46" s="101">
        <f>'Income Statement'!C117</f>
        <v>9921</v>
      </c>
      <c r="H46" s="101">
        <f>'Income Statement'!D117</f>
        <v>10250</v>
      </c>
      <c r="I46" s="101">
        <f>'Income Statement'!E117</f>
        <v>10750</v>
      </c>
      <c r="J46" s="101">
        <f>'Income Statement'!F117</f>
        <v>11234.1</v>
      </c>
      <c r="K46" s="101">
        <f>'Income Statement'!H117</f>
        <v>11266</v>
      </c>
      <c r="L46" s="101">
        <f>'Income Statement'!I117</f>
        <v>11422.8</v>
      </c>
      <c r="M46" s="101">
        <f>'Income Statement'!J117</f>
        <v>11735</v>
      </c>
      <c r="N46" s="101">
        <f>'Income Statement'!K117</f>
        <v>12291</v>
      </c>
      <c r="O46" s="101">
        <f>'Income Statement'!M117</f>
        <v>12691</v>
      </c>
      <c r="P46" s="101">
        <f>'Income Statement'!N117</f>
        <v>12971</v>
      </c>
      <c r="Q46" s="101">
        <f>'Income Statement'!O117</f>
        <v>13525</v>
      </c>
      <c r="R46" s="101">
        <f>'Income Statement'!P117</f>
        <v>13954</v>
      </c>
      <c r="S46" s="101">
        <f>'Income Statement'!R117</f>
        <v>12743</v>
      </c>
      <c r="T46" s="101">
        <f>'Income Statement'!S117</f>
        <v>12756</v>
      </c>
      <c r="U46" s="101">
        <f>'Income Statement'!T117</f>
        <v>12692</v>
      </c>
      <c r="V46" s="101">
        <f>'Income Statement'!U117</f>
        <v>12735</v>
      </c>
      <c r="W46" s="101">
        <f>'Income Statement'!W117</f>
        <v>13265</v>
      </c>
      <c r="X46" s="101">
        <f>'Income Statement'!X117</f>
        <v>13610</v>
      </c>
      <c r="Y46" s="101">
        <f>'Income Statement'!Y117</f>
        <v>13930</v>
      </c>
      <c r="Z46" s="101">
        <f>'Income Statement'!Z117</f>
        <v>14091</v>
      </c>
      <c r="AA46" s="101">
        <f>'Income Statement'!AB117</f>
        <v>14136</v>
      </c>
      <c r="AB46" s="101">
        <f>'Income Statement'!AC117</f>
        <v>13873</v>
      </c>
      <c r="AC46" s="101">
        <f>'Income Statement'!AD117</f>
        <v>13213</v>
      </c>
      <c r="AD46" s="101">
        <f>'Income Statement'!AE117</f>
        <v>12893</v>
      </c>
      <c r="AE46" s="101">
        <f>'Income Statement'!AG117</f>
        <v>12602</v>
      </c>
      <c r="AF46" s="101">
        <f>'Income Statement'!AH117</f>
        <v>12401</v>
      </c>
      <c r="AG46" s="101">
        <f>'Income Statement'!AI117</f>
        <v>12415</v>
      </c>
      <c r="AH46" s="101">
        <f>'Income Statement'!AJ117</f>
        <v>12913</v>
      </c>
      <c r="AI46" s="101">
        <f>'Income Statement'!AL117</f>
        <v>13260</v>
      </c>
      <c r="AJ46" s="101">
        <f>'Income Statement'!AM117</f>
        <v>13269</v>
      </c>
      <c r="AK46" s="101">
        <f>'Income Statement'!AN117</f>
        <v>13110</v>
      </c>
      <c r="AL46" s="101">
        <f>'Income Statement'!AO117</f>
        <v>12694</v>
      </c>
      <c r="AM46" s="101">
        <f>'Income Statement'!AQ117</f>
        <v>12310</v>
      </c>
      <c r="AN46" s="101">
        <f>'Income Statement'!AR117</f>
        <v>12249</v>
      </c>
      <c r="AO46" s="101">
        <f>'Income Statement'!AS117</f>
        <v>12046</v>
      </c>
      <c r="AP46" s="101">
        <f>'Income Statement'!AT117</f>
        <v>11926</v>
      </c>
      <c r="AQ46" s="101">
        <f>'Income Statement'!AV117</f>
        <v>11620</v>
      </c>
      <c r="AR46" s="101">
        <f>'Income Statement'!AW117</f>
        <v>11495</v>
      </c>
      <c r="AS46" s="101">
        <f>'Income Statement'!AX117</f>
        <v>11104</v>
      </c>
      <c r="AT46" s="101">
        <f>'Income Statement'!AY117</f>
        <v>10928</v>
      </c>
      <c r="AU46" s="101">
        <f>'Income Statement'!BA117</f>
        <v>10714</v>
      </c>
      <c r="AV46" s="101">
        <f>'Income Statement'!BB117</f>
        <v>10735</v>
      </c>
      <c r="AW46" s="101">
        <f>'Income Statement'!BC117</f>
        <v>10808</v>
      </c>
      <c r="AX46" s="101">
        <f>'Income Statement'!BD117</f>
        <v>10761</v>
      </c>
      <c r="AY46" s="101">
        <f>'Income Statement'!BF117</f>
        <v>10765</v>
      </c>
      <c r="AZ46" s="101">
        <f>'Income Statement'!BG117</f>
        <v>10901</v>
      </c>
      <c r="BA46" s="101">
        <f>'Income Statement'!BH117</f>
        <v>11042</v>
      </c>
      <c r="BB46" s="101">
        <f>'Income Statement'!BI117</f>
        <v>11130</v>
      </c>
      <c r="BC46" s="101">
        <f>'Income Statement'!BK117</f>
        <v>11221</v>
      </c>
      <c r="BD46" s="101">
        <f>'Income Statement'!BL117</f>
        <v>11631</v>
      </c>
      <c r="BE46" s="101">
        <f>'Income Statement'!BM117</f>
        <v>11002</v>
      </c>
      <c r="BF46" s="101">
        <f>'Income Statement'!BN117</f>
        <v>11132</v>
      </c>
      <c r="BG46" s="101">
        <f>'Income Statement'!BP117</f>
        <v>11371</v>
      </c>
      <c r="BH46" s="101">
        <f>'Income Statement'!BQ117</f>
        <v>11493</v>
      </c>
      <c r="BI46" s="101">
        <f>'Income Statement'!BR117</f>
        <v>11441</v>
      </c>
      <c r="BJ46" s="101">
        <f>'Income Statement'!BS117</f>
        <v>11618</v>
      </c>
      <c r="BK46" s="101">
        <f>'Income Statement'!BU117</f>
        <v>11416</v>
      </c>
      <c r="BL46" s="101">
        <f>'Income Statement'!BV117</f>
        <v>11547</v>
      </c>
      <c r="BM46" s="101">
        <f>'Income Statement'!BW117</f>
        <v>11666</v>
      </c>
      <c r="BN46" s="101">
        <f>'Income Statement'!BX117</f>
        <v>11738</v>
      </c>
      <c r="BO46" s="101">
        <f>'Income Statement'!BZ117</f>
        <v>11789</v>
      </c>
      <c r="BP46" s="101">
        <f>'Income Statement'!CA117</f>
        <v>11753</v>
      </c>
      <c r="BQ46" s="101">
        <f>'Income Statement'!CB117</f>
        <v>12010</v>
      </c>
      <c r="BR46" s="101">
        <f>'Income Statement'!CC117</f>
        <v>12511</v>
      </c>
      <c r="BS46" s="101">
        <f>'Income Statement'!CE117</f>
        <v>12430</v>
      </c>
      <c r="BT46" s="101">
        <f>'Income Statement'!CF117</f>
        <v>12626</v>
      </c>
      <c r="BU46" s="101">
        <f>'Income Statement'!CG117</f>
        <v>12737</v>
      </c>
      <c r="BV46" s="101">
        <f>'Income Statement'!CH117</f>
        <v>12826</v>
      </c>
      <c r="BW46" s="101">
        <f>'Income Statement'!CJ117</f>
        <v>13115</v>
      </c>
      <c r="BX46" s="101">
        <f>'Income Statement'!CK117</f>
        <v>13248</v>
      </c>
      <c r="BY46" s="101">
        <f>'Income Statement'!CL117</f>
        <v>13367</v>
      </c>
      <c r="BZ46" s="101">
        <f>'Income Statement'!CM117</f>
        <v>13504</v>
      </c>
      <c r="CA46" s="101">
        <f>'Income Statement'!CO117</f>
        <v>13631</v>
      </c>
      <c r="CB46" s="101">
        <f>'Income Statement'!CP117</f>
        <v>13547</v>
      </c>
      <c r="CD46" s="127" t="s">
        <v>616</v>
      </c>
      <c r="CG46" s="101">
        <f>'Income Statement'!Q117</f>
        <v>13954</v>
      </c>
      <c r="CH46" s="101">
        <f>'Income Statement'!V117</f>
        <v>12735</v>
      </c>
      <c r="CI46" s="101">
        <f>'Income Statement'!AA117</f>
        <v>14091</v>
      </c>
      <c r="CJ46" s="101">
        <f>'Income Statement'!AF117</f>
        <v>12893</v>
      </c>
      <c r="CK46" s="101">
        <f>'Income Statement'!AK117</f>
        <v>12913</v>
      </c>
      <c r="CL46" s="101">
        <f>'Income Statement'!AP117</f>
        <v>12694</v>
      </c>
      <c r="CM46" s="101">
        <f>'Income Statement'!AU117</f>
        <v>11926</v>
      </c>
      <c r="CN46" s="101">
        <f>'Income Statement'!AZ117</f>
        <v>10928</v>
      </c>
      <c r="CO46" s="101">
        <f>'Income Statement'!BE117</f>
        <v>10761</v>
      </c>
      <c r="CP46" s="101">
        <f>'Income Statement'!BJ117</f>
        <v>11130</v>
      </c>
      <c r="CQ46" s="101">
        <f>'Income Statement'!BO117</f>
        <v>11132</v>
      </c>
      <c r="CR46" s="101">
        <f>'Income Statement'!BT117</f>
        <v>11618</v>
      </c>
      <c r="CS46" s="101">
        <f>'Income Statement'!BY117</f>
        <v>11738</v>
      </c>
      <c r="CT46" s="101">
        <f>'Income Statement'!CD117</f>
        <v>12511</v>
      </c>
      <c r="CU46" s="101">
        <f>'Income Statement'!CI117</f>
        <v>12826</v>
      </c>
      <c r="CV46" s="101">
        <f>'Income Statement'!CN117</f>
        <v>13504</v>
      </c>
      <c r="CW46" s="101">
        <f>'Income Statement'!CQ117</f>
        <v>13589.613584573439</v>
      </c>
      <c r="CX46" s="101">
        <f>'Income Statement'!CR117</f>
        <v>13748.767303558094</v>
      </c>
      <c r="CY46" s="101">
        <f>'Income Statement'!CS117</f>
        <v>13900.006651461272</v>
      </c>
    </row>
    <row r="47" spans="1:103">
      <c r="A47" s="125" t="s">
        <v>609</v>
      </c>
      <c r="B47" s="100"/>
      <c r="C47" s="101"/>
      <c r="D47" s="101"/>
      <c r="E47" s="101"/>
      <c r="F47" s="101"/>
      <c r="G47" s="101">
        <f>'Income Statement'!C110</f>
        <v>0</v>
      </c>
      <c r="H47" s="101">
        <f>'Income Statement'!D110</f>
        <v>0</v>
      </c>
      <c r="I47" s="101">
        <f>'Income Statement'!E110</f>
        <v>0</v>
      </c>
      <c r="J47" s="101">
        <f>'Income Statement'!F110</f>
        <v>0</v>
      </c>
      <c r="K47" s="101">
        <f>'Income Statement'!H110</f>
        <v>0</v>
      </c>
      <c r="L47" s="101">
        <f>'Income Statement'!I110</f>
        <v>0</v>
      </c>
      <c r="M47" s="101">
        <f>'Income Statement'!J110</f>
        <v>0</v>
      </c>
      <c r="N47" s="101">
        <f>'Income Statement'!K110</f>
        <v>0</v>
      </c>
      <c r="O47" s="101">
        <f>'Income Statement'!M110</f>
        <v>0</v>
      </c>
      <c r="P47" s="101">
        <f>'Income Statement'!N110</f>
        <v>0</v>
      </c>
      <c r="Q47" s="101">
        <f>'Income Statement'!O110</f>
        <v>0</v>
      </c>
      <c r="R47" s="101">
        <f>'Income Statement'!P110</f>
        <v>0</v>
      </c>
      <c r="S47" s="101">
        <f>'Income Statement'!R110</f>
        <v>0</v>
      </c>
      <c r="T47" s="101">
        <f>'Income Statement'!S110</f>
        <v>0</v>
      </c>
      <c r="U47" s="101">
        <f>'Income Statement'!T110</f>
        <v>0</v>
      </c>
      <c r="V47" s="101">
        <f>'Income Statement'!U110</f>
        <v>0</v>
      </c>
      <c r="W47" s="101">
        <f>'Income Statement'!W110</f>
        <v>0</v>
      </c>
      <c r="X47" s="101">
        <f>'Income Statement'!X110</f>
        <v>0</v>
      </c>
      <c r="Y47" s="101">
        <f>'Income Statement'!Y110</f>
        <v>0</v>
      </c>
      <c r="Z47" s="101">
        <f>'Income Statement'!Z110</f>
        <v>0</v>
      </c>
      <c r="AA47" s="101">
        <f>'Income Statement'!AB110</f>
        <v>0</v>
      </c>
      <c r="AB47" s="101">
        <f>'Income Statement'!AC110</f>
        <v>0</v>
      </c>
      <c r="AC47" s="101">
        <f>'Income Statement'!AD110</f>
        <v>0</v>
      </c>
      <c r="AD47" s="101">
        <f>'Income Statement'!AE110</f>
        <v>0</v>
      </c>
      <c r="AE47" s="101">
        <f>'Income Statement'!AG110</f>
        <v>0</v>
      </c>
      <c r="AF47" s="101">
        <f>'Income Statement'!AH110</f>
        <v>0</v>
      </c>
      <c r="AG47" s="101">
        <f>'Income Statement'!AI110</f>
        <v>0</v>
      </c>
      <c r="AH47" s="101">
        <f>'Income Statement'!AJ110</f>
        <v>0</v>
      </c>
      <c r="AI47" s="101">
        <f>'Income Statement'!AL110</f>
        <v>0</v>
      </c>
      <c r="AJ47" s="101">
        <f>'Income Statement'!AM110</f>
        <v>0</v>
      </c>
      <c r="AK47" s="101">
        <f>'Income Statement'!AN110</f>
        <v>0</v>
      </c>
      <c r="AL47" s="101">
        <f>'Income Statement'!AO110</f>
        <v>0</v>
      </c>
      <c r="AM47" s="101">
        <f>'Income Statement'!AQ110</f>
        <v>0</v>
      </c>
      <c r="AN47" s="101">
        <f>'Income Statement'!AR110</f>
        <v>0</v>
      </c>
      <c r="AO47" s="101">
        <f>'Income Statement'!AS110</f>
        <v>0</v>
      </c>
      <c r="AP47" s="101">
        <f>'Income Statement'!AT110</f>
        <v>0</v>
      </c>
      <c r="AQ47" s="101">
        <f>'Income Statement'!AV110</f>
        <v>8820</v>
      </c>
      <c r="AR47" s="101">
        <f>'Income Statement'!AW110</f>
        <v>8653</v>
      </c>
      <c r="AS47" s="101">
        <f>'Income Statement'!AX110</f>
        <v>8255</v>
      </c>
      <c r="AT47" s="101">
        <f>'Income Statement'!AY110</f>
        <v>8034</v>
      </c>
      <c r="AU47" s="101">
        <f>'Income Statement'!BA110</f>
        <v>7756</v>
      </c>
      <c r="AV47" s="101">
        <f>'Income Statement'!BB110</f>
        <v>7716</v>
      </c>
      <c r="AW47" s="101">
        <f>'Income Statement'!BC110</f>
        <v>7703</v>
      </c>
      <c r="AX47" s="101">
        <f>'Income Statement'!BD110</f>
        <v>7571</v>
      </c>
      <c r="AY47" s="101">
        <f>'Income Statement'!BF110</f>
        <v>7444</v>
      </c>
      <c r="AZ47" s="101">
        <f>'Income Statement'!BG110</f>
        <v>7463</v>
      </c>
      <c r="BA47" s="101">
        <f>'Income Statement'!BH110</f>
        <v>7461</v>
      </c>
      <c r="BB47" s="101">
        <f>'Income Statement'!BI110</f>
        <v>7375</v>
      </c>
      <c r="BC47" s="101">
        <f>'Income Statement'!BK110</f>
        <v>7388</v>
      </c>
      <c r="BD47" s="101">
        <f>'Income Statement'!BL110</f>
        <v>7830</v>
      </c>
      <c r="BE47" s="101">
        <f>'Income Statement'!BM110</f>
        <v>7147</v>
      </c>
      <c r="BF47" s="101">
        <f>'Income Statement'!BN110</f>
        <v>7193</v>
      </c>
      <c r="BG47" s="101">
        <f>'Income Statement'!BP110</f>
        <v>7365</v>
      </c>
      <c r="BH47" s="101">
        <f>'Income Statement'!BQ110</f>
        <v>7360</v>
      </c>
      <c r="BI47" s="101">
        <f>'Income Statement'!BR110</f>
        <v>7334</v>
      </c>
      <c r="BJ47" s="101">
        <f>'Income Statement'!BS110</f>
        <v>7359</v>
      </c>
      <c r="BK47" s="101">
        <f>'Income Statement'!BU110</f>
        <v>7092</v>
      </c>
      <c r="BL47" s="101">
        <f>'Income Statement'!BV110</f>
        <v>7149</v>
      </c>
      <c r="BM47" s="101">
        <f>'Income Statement'!BW110</f>
        <v>7188</v>
      </c>
      <c r="BN47" s="101">
        <f>'Income Statement'!BX110</f>
        <v>7147</v>
      </c>
      <c r="BO47" s="101">
        <f>'Income Statement'!BZ110</f>
        <v>7126</v>
      </c>
      <c r="BP47" s="101">
        <f>'Income Statement'!CA110</f>
        <v>7032</v>
      </c>
      <c r="BQ47" s="101">
        <f>'Income Statement'!CB110</f>
        <v>7185</v>
      </c>
      <c r="BR47" s="101">
        <f>'Income Statement'!CC110</f>
        <v>7589</v>
      </c>
      <c r="BS47" s="101">
        <f>'Income Statement'!CE110</f>
        <v>7397</v>
      </c>
      <c r="BT47" s="101">
        <f>'Income Statement'!CF110</f>
        <v>7497</v>
      </c>
      <c r="BU47" s="101">
        <f>'Income Statement'!CG110</f>
        <v>7494</v>
      </c>
      <c r="BV47" s="101">
        <f>'Income Statement'!CH110</f>
        <v>7438</v>
      </c>
      <c r="BW47" s="101">
        <f>'Income Statement'!CJ110</f>
        <v>7566</v>
      </c>
      <c r="BX47" s="101">
        <f>'Income Statement'!CK110</f>
        <v>7601</v>
      </c>
      <c r="BY47" s="101">
        <f>'Income Statement'!CL110</f>
        <v>7573</v>
      </c>
      <c r="BZ47" s="101">
        <f>'Income Statement'!CM110</f>
        <v>7585</v>
      </c>
      <c r="CA47" s="101">
        <f>'Income Statement'!CO110</f>
        <v>7613</v>
      </c>
      <c r="CB47" s="101">
        <f>'Income Statement'!CP110</f>
        <v>7391</v>
      </c>
      <c r="CG47" s="101">
        <f>'Income Statement'!Q110</f>
        <v>0</v>
      </c>
      <c r="CH47" s="101">
        <f>'Income Statement'!V110</f>
        <v>0</v>
      </c>
      <c r="CI47" s="101">
        <f>'Income Statement'!AA110</f>
        <v>0</v>
      </c>
      <c r="CJ47" s="101">
        <f>'Income Statement'!AF110</f>
        <v>0</v>
      </c>
      <c r="CK47" s="101">
        <f>'Income Statement'!AK110</f>
        <v>0</v>
      </c>
      <c r="CL47" s="101">
        <f>'Income Statement'!AP110</f>
        <v>0</v>
      </c>
      <c r="CM47" s="101">
        <f>'Income Statement'!AU110</f>
        <v>12299</v>
      </c>
      <c r="CN47" s="101">
        <f>'Income Statement'!AZ110</f>
        <v>8034</v>
      </c>
      <c r="CO47" s="101">
        <f>'Income Statement'!BE110</f>
        <v>7571</v>
      </c>
      <c r="CP47" s="101">
        <f>'Income Statement'!BJ110</f>
        <v>7375</v>
      </c>
      <c r="CQ47" s="101">
        <f>'Income Statement'!BO110</f>
        <v>7193</v>
      </c>
      <c r="CR47" s="101">
        <f>'Income Statement'!BT110</f>
        <v>7359</v>
      </c>
      <c r="CS47" s="101">
        <f>'Income Statement'!BY110</f>
        <v>7147</v>
      </c>
      <c r="CT47" s="101">
        <f>'Income Statement'!CD110</f>
        <v>7589</v>
      </c>
      <c r="CU47" s="101">
        <f>'Income Statement'!CI110</f>
        <v>7438</v>
      </c>
      <c r="CV47" s="101">
        <f>'Income Statement'!CN110</f>
        <v>7585</v>
      </c>
      <c r="CW47" s="101">
        <f>'Income Statement'!CQ110</f>
        <v>7592.3190620150535</v>
      </c>
      <c r="CX47" s="101">
        <f>'Income Statement'!CR110</f>
        <v>7639.9896234807957</v>
      </c>
      <c r="CY47" s="101">
        <f>'Income Statement'!CS110</f>
        <v>7682.331105075662</v>
      </c>
    </row>
    <row r="48" spans="1:103">
      <c r="A48" s="125" t="s">
        <v>610</v>
      </c>
      <c r="B48" s="100"/>
      <c r="C48" s="101"/>
      <c r="D48" s="101"/>
      <c r="E48" s="101"/>
      <c r="F48" s="101"/>
      <c r="G48" s="101">
        <f>'Income Statement'!C104</f>
        <v>0</v>
      </c>
      <c r="H48" s="101">
        <f>'Income Statement'!D104</f>
        <v>0</v>
      </c>
      <c r="I48" s="101">
        <f>'Income Statement'!E104</f>
        <v>0</v>
      </c>
      <c r="J48" s="101">
        <f>'Income Statement'!F104</f>
        <v>0</v>
      </c>
      <c r="K48" s="101">
        <f>'Income Statement'!H104</f>
        <v>0</v>
      </c>
      <c r="L48" s="101">
        <f>'Income Statement'!I104</f>
        <v>0</v>
      </c>
      <c r="M48" s="101">
        <f>'Income Statement'!J104</f>
        <v>0</v>
      </c>
      <c r="N48" s="101">
        <f>'Income Statement'!K104</f>
        <v>0</v>
      </c>
      <c r="O48" s="101">
        <f>'Income Statement'!M104</f>
        <v>0</v>
      </c>
      <c r="P48" s="101">
        <f>'Income Statement'!N104</f>
        <v>0</v>
      </c>
      <c r="Q48" s="101">
        <f>'Income Statement'!O104</f>
        <v>0</v>
      </c>
      <c r="R48" s="101">
        <f>'Income Statement'!P104</f>
        <v>0</v>
      </c>
      <c r="S48" s="101">
        <f>'Income Statement'!R104</f>
        <v>0</v>
      </c>
      <c r="T48" s="101">
        <f>'Income Statement'!S104</f>
        <v>0</v>
      </c>
      <c r="U48" s="101">
        <f>'Income Statement'!T104</f>
        <v>0</v>
      </c>
      <c r="V48" s="101">
        <f>'Income Statement'!U104</f>
        <v>0</v>
      </c>
      <c r="W48" s="101">
        <f>'Income Statement'!W104</f>
        <v>0</v>
      </c>
      <c r="X48" s="101">
        <f>'Income Statement'!X104</f>
        <v>0</v>
      </c>
      <c r="Y48" s="101">
        <f>'Income Statement'!Y104</f>
        <v>0</v>
      </c>
      <c r="Z48" s="101">
        <f>'Income Statement'!Z104</f>
        <v>0</v>
      </c>
      <c r="AA48" s="101">
        <f>'Income Statement'!AB104</f>
        <v>0</v>
      </c>
      <c r="AB48" s="101">
        <f>'Income Statement'!AC104</f>
        <v>0</v>
      </c>
      <c r="AC48" s="101">
        <f>'Income Statement'!AD104</f>
        <v>0</v>
      </c>
      <c r="AD48" s="101">
        <f>'Income Statement'!AE104</f>
        <v>0</v>
      </c>
      <c r="AE48" s="101">
        <f>'Income Statement'!AG104</f>
        <v>0</v>
      </c>
      <c r="AF48" s="101">
        <f>'Income Statement'!AH104</f>
        <v>0</v>
      </c>
      <c r="AG48" s="101">
        <f>'Income Statement'!AI104</f>
        <v>0</v>
      </c>
      <c r="AH48" s="101">
        <f>'Income Statement'!AJ104</f>
        <v>0</v>
      </c>
      <c r="AI48" s="101">
        <f>'Income Statement'!AL104</f>
        <v>0</v>
      </c>
      <c r="AJ48" s="101">
        <f>'Income Statement'!AM104</f>
        <v>0</v>
      </c>
      <c r="AK48" s="101">
        <f>'Income Statement'!AN104</f>
        <v>0</v>
      </c>
      <c r="AL48" s="101">
        <f>'Income Statement'!AO104</f>
        <v>0</v>
      </c>
      <c r="AM48" s="101">
        <f>'Income Statement'!AQ104</f>
        <v>0</v>
      </c>
      <c r="AN48" s="101">
        <f>'Income Statement'!AR104</f>
        <v>0</v>
      </c>
      <c r="AO48" s="101">
        <f>'Income Statement'!AS104</f>
        <v>0</v>
      </c>
      <c r="AP48" s="101">
        <f>'Income Statement'!AT104</f>
        <v>0</v>
      </c>
      <c r="AQ48" s="101">
        <f>'Income Statement'!AV104</f>
        <v>2800</v>
      </c>
      <c r="AR48" s="101">
        <f>'Income Statement'!AW104</f>
        <v>2842</v>
      </c>
      <c r="AS48" s="101">
        <f>'Income Statement'!AX104</f>
        <v>2849</v>
      </c>
      <c r="AT48" s="101">
        <f>'Income Statement'!AY104</f>
        <v>2894</v>
      </c>
      <c r="AU48" s="101">
        <f>'Income Statement'!BA104</f>
        <v>2958</v>
      </c>
      <c r="AV48" s="101">
        <f>'Income Statement'!BB104</f>
        <v>3019</v>
      </c>
      <c r="AW48" s="101">
        <f>'Income Statement'!BC104</f>
        <v>3105</v>
      </c>
      <c r="AX48" s="101">
        <f>'Income Statement'!BD104</f>
        <v>3190</v>
      </c>
      <c r="AY48" s="101">
        <f>'Income Statement'!BF104</f>
        <v>3321</v>
      </c>
      <c r="AZ48" s="101">
        <f>'Income Statement'!BG104</f>
        <v>3438</v>
      </c>
      <c r="BA48" s="101">
        <f>'Income Statement'!BH104</f>
        <v>3581</v>
      </c>
      <c r="BB48" s="101">
        <f>'Income Statement'!BI104</f>
        <v>3755</v>
      </c>
      <c r="BC48" s="101">
        <f>'Income Statement'!BK104</f>
        <v>3833</v>
      </c>
      <c r="BD48" s="101">
        <f>'Income Statement'!BL104</f>
        <v>3801</v>
      </c>
      <c r="BE48" s="101">
        <f>'Income Statement'!BM104</f>
        <v>3855</v>
      </c>
      <c r="BF48" s="101">
        <f>'Income Statement'!BN104</f>
        <v>3939</v>
      </c>
      <c r="BG48" s="101">
        <f>'Income Statement'!BP104</f>
        <v>4006</v>
      </c>
      <c r="BH48" s="101">
        <f>'Income Statement'!BQ104</f>
        <v>4133</v>
      </c>
      <c r="BI48" s="101">
        <f>'Income Statement'!BR104</f>
        <v>4107</v>
      </c>
      <c r="BJ48" s="101">
        <f>'Income Statement'!BS104</f>
        <v>4259</v>
      </c>
      <c r="BK48" s="101">
        <f>'Income Statement'!BU104</f>
        <v>4324</v>
      </c>
      <c r="BL48" s="101">
        <f>'Income Statement'!BV104</f>
        <v>4398</v>
      </c>
      <c r="BM48" s="101">
        <f>'Income Statement'!BW104</f>
        <v>4478</v>
      </c>
      <c r="BN48" s="101">
        <f>'Income Statement'!BX104</f>
        <v>4591</v>
      </c>
      <c r="BO48" s="101">
        <f>'Income Statement'!BZ104</f>
        <v>4663</v>
      </c>
      <c r="BP48" s="101">
        <f>'Income Statement'!CA104</f>
        <v>4721</v>
      </c>
      <c r="BQ48" s="101">
        <f>'Income Statement'!CB104</f>
        <v>4825</v>
      </c>
      <c r="BR48" s="101">
        <f>'Income Statement'!CC104</f>
        <v>4922</v>
      </c>
      <c r="BS48" s="101">
        <f>'Income Statement'!CE104</f>
        <v>5033</v>
      </c>
      <c r="BT48" s="101">
        <f>'Income Statement'!CF104</f>
        <v>5129</v>
      </c>
      <c r="BU48" s="101">
        <f>'Income Statement'!CG104</f>
        <v>5243</v>
      </c>
      <c r="BV48" s="101">
        <f>'Income Statement'!CH104</f>
        <v>5388</v>
      </c>
      <c r="BW48" s="101">
        <f>'Income Statement'!CJ104</f>
        <v>5549</v>
      </c>
      <c r="BX48" s="101">
        <f>'Income Statement'!CK104</f>
        <v>5647</v>
      </c>
      <c r="BY48" s="101">
        <f>'Income Statement'!CL104</f>
        <v>5794</v>
      </c>
      <c r="BZ48" s="101">
        <f>'Income Statement'!CM104</f>
        <v>5919</v>
      </c>
      <c r="CA48" s="101">
        <f>'Income Statement'!CO104</f>
        <v>6018</v>
      </c>
      <c r="CB48" s="101">
        <f>'Income Statement'!CP104</f>
        <v>6156</v>
      </c>
      <c r="CG48" s="101">
        <f>'Income Statement'!Q104</f>
        <v>0</v>
      </c>
      <c r="CH48" s="101">
        <f>'Income Statement'!V104</f>
        <v>0</v>
      </c>
      <c r="CI48" s="101">
        <f>'Income Statement'!AA104</f>
        <v>0</v>
      </c>
      <c r="CJ48" s="101">
        <f>'Income Statement'!AF104</f>
        <v>0</v>
      </c>
      <c r="CK48" s="101">
        <f>'Income Statement'!AK104</f>
        <v>0</v>
      </c>
      <c r="CL48" s="101">
        <f>'Income Statement'!AP104</f>
        <v>0</v>
      </c>
      <c r="CM48" s="101">
        <f>'Income Statement'!AU104</f>
        <v>0</v>
      </c>
      <c r="CN48" s="101">
        <f>'Income Statement'!AZ104</f>
        <v>2894</v>
      </c>
      <c r="CO48" s="101">
        <f>'Income Statement'!BE104</f>
        <v>3190</v>
      </c>
      <c r="CP48" s="101">
        <f>'Income Statement'!BJ104</f>
        <v>3755</v>
      </c>
      <c r="CQ48" s="101">
        <f>'Income Statement'!BO104</f>
        <v>3939</v>
      </c>
      <c r="CR48" s="101">
        <f>'Income Statement'!BT104</f>
        <v>4259</v>
      </c>
      <c r="CS48" s="101">
        <f>'Income Statement'!BY104</f>
        <v>4591</v>
      </c>
      <c r="CT48" s="101">
        <f>'Income Statement'!CD104</f>
        <v>4922</v>
      </c>
      <c r="CU48" s="101">
        <f>'Income Statement'!CI104</f>
        <v>5388</v>
      </c>
      <c r="CV48" s="101">
        <f>'Income Statement'!CN104</f>
        <v>5919</v>
      </c>
      <c r="CW48" s="101">
        <f>'Income Statement'!CQ104</f>
        <v>5997.2945225583844</v>
      </c>
      <c r="CX48" s="101">
        <f>'Income Statement'!CR104</f>
        <v>6108.777680077299</v>
      </c>
      <c r="CY48" s="101">
        <f>'Income Statement'!CS104</f>
        <v>6217.6755463856089</v>
      </c>
    </row>
    <row r="49" spans="1:103">
      <c r="A49" s="100" t="s">
        <v>477</v>
      </c>
      <c r="B49" s="100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1">
        <f>'Income Statement'!AB200</f>
        <v>0</v>
      </c>
      <c r="AB49" s="101">
        <f>'Income Statement'!AC200</f>
        <v>0</v>
      </c>
      <c r="AC49" s="101">
        <f>'Income Statement'!AD200</f>
        <v>0</v>
      </c>
      <c r="AD49" s="101">
        <f>'Income Statement'!AE200</f>
        <v>0</v>
      </c>
      <c r="AE49" s="101">
        <f>'Income Statement'!AG200</f>
        <v>0</v>
      </c>
      <c r="AF49" s="101">
        <f>'Income Statement'!AH200</f>
        <v>0</v>
      </c>
      <c r="AG49" s="101">
        <f>'Income Statement'!AI200</f>
        <v>0</v>
      </c>
      <c r="AH49" s="101">
        <f>'Income Statement'!AJ200</f>
        <v>8800</v>
      </c>
      <c r="AI49" s="101">
        <f>'Income Statement'!AL200</f>
        <v>9000</v>
      </c>
      <c r="AJ49" s="101">
        <f>'Income Statement'!AM200</f>
        <v>9100</v>
      </c>
      <c r="AK49" s="101">
        <f>'Income Statement'!AN200</f>
        <v>9000</v>
      </c>
      <c r="AL49" s="101">
        <f>'Income Statement'!AO200</f>
        <v>8800</v>
      </c>
      <c r="AM49" s="101">
        <f>'Income Statement'!AQ200</f>
        <v>8500</v>
      </c>
      <c r="AN49" s="101">
        <f>'Income Statement'!AR200</f>
        <v>8400</v>
      </c>
      <c r="AO49" s="101">
        <f>'Income Statement'!AS200</f>
        <v>8500</v>
      </c>
      <c r="AP49" s="101">
        <f>'Income Statement'!AT200</f>
        <v>8700</v>
      </c>
      <c r="AQ49" s="101">
        <f>'Income Statement'!AV200</f>
        <v>8600</v>
      </c>
      <c r="AR49" s="101">
        <f>'Income Statement'!AW200</f>
        <v>8500</v>
      </c>
      <c r="AS49" s="101">
        <f>'Income Statement'!AX200</f>
        <v>8300</v>
      </c>
      <c r="AT49" s="101">
        <f>'Income Statement'!AY200</f>
        <v>8200</v>
      </c>
      <c r="AU49" s="101">
        <f>'Income Statement'!BA200</f>
        <v>8000</v>
      </c>
      <c r="AV49" s="101">
        <f>'Income Statement'!BB200</f>
        <v>8200</v>
      </c>
      <c r="AW49" s="101">
        <f>'Income Statement'!BC200</f>
        <v>8300</v>
      </c>
      <c r="AX49" s="101">
        <f>'Income Statement'!BD200</f>
        <v>8400</v>
      </c>
      <c r="AY49" s="101">
        <f>'Income Statement'!BF200</f>
        <v>8400</v>
      </c>
      <c r="AZ49" s="101">
        <f>'Income Statement'!BG200</f>
        <v>8400</v>
      </c>
      <c r="BA49" s="101">
        <f>'Income Statement'!BH200</f>
        <v>8500</v>
      </c>
      <c r="BB49" s="101">
        <f>'Income Statement'!BI200</f>
        <v>8700</v>
      </c>
      <c r="BC49" s="101">
        <f>'Income Statement'!BK200</f>
        <v>8300</v>
      </c>
      <c r="BD49" s="101">
        <f>'Income Statement'!BL200</f>
        <v>8400</v>
      </c>
      <c r="BE49" s="101">
        <f>'Income Statement'!BM200</f>
        <v>8600</v>
      </c>
      <c r="BF49" s="101">
        <f>'Income Statement'!BN200</f>
        <v>8800</v>
      </c>
      <c r="BG49" s="101">
        <f>'Income Statement'!BP200</f>
        <v>8900</v>
      </c>
      <c r="BH49" s="101">
        <f>'Income Statement'!BQ200</f>
        <v>8500</v>
      </c>
      <c r="BI49" s="101">
        <f>'Income Statement'!BR200</f>
        <v>8800</v>
      </c>
      <c r="BJ49" s="101">
        <f>'Income Statement'!BS200</f>
        <v>8500</v>
      </c>
      <c r="BK49" s="101">
        <f>'Income Statement'!BU200</f>
        <v>8500</v>
      </c>
      <c r="BL49" s="101">
        <f>'Income Statement'!BV200</f>
        <v>0</v>
      </c>
      <c r="BM49" s="101">
        <f>'Income Statement'!BW200</f>
        <v>0</v>
      </c>
      <c r="BN49" s="101">
        <f>'Income Statement'!BX200</f>
        <v>0</v>
      </c>
      <c r="BO49" s="101">
        <f>'Income Statement'!BZ200</f>
        <v>0</v>
      </c>
      <c r="BP49" s="101">
        <f>'Income Statement'!CA200</f>
        <v>0</v>
      </c>
      <c r="BQ49" s="101">
        <f>'Income Statement'!CB200</f>
        <v>0</v>
      </c>
      <c r="BR49" s="101">
        <f>'Income Statement'!CC200</f>
        <v>0</v>
      </c>
      <c r="BS49" s="101">
        <f>'Income Statement'!CE200</f>
        <v>0</v>
      </c>
      <c r="BT49" s="101">
        <f>'Income Statement'!CF200</f>
        <v>0</v>
      </c>
      <c r="BU49" s="101">
        <f>'Income Statement'!CG200</f>
        <v>0</v>
      </c>
      <c r="BV49" s="101">
        <f>'Income Statement'!CH200</f>
        <v>0</v>
      </c>
      <c r="BW49" s="101">
        <f>'Income Statement'!CJ200</f>
        <v>0</v>
      </c>
      <c r="BX49" s="101">
        <f>'Income Statement'!CK200</f>
        <v>0</v>
      </c>
      <c r="BY49" s="101">
        <f>'Income Statement'!CL200</f>
        <v>0</v>
      </c>
      <c r="BZ49" s="101">
        <f>'Income Statement'!CM200</f>
        <v>0</v>
      </c>
      <c r="CA49" s="101">
        <f>'Income Statement'!CO200</f>
        <v>0</v>
      </c>
      <c r="CB49" s="101">
        <f>'Income Statement'!CP200</f>
        <v>0</v>
      </c>
      <c r="CG49" s="101">
        <f>'Income Statement'!Q200</f>
        <v>0</v>
      </c>
      <c r="CH49" s="101">
        <f>'Income Statement'!V200</f>
        <v>0</v>
      </c>
      <c r="CI49" s="101">
        <f>'Income Statement'!AA200</f>
        <v>0</v>
      </c>
      <c r="CJ49" s="101">
        <f>'Income Statement'!AF200</f>
        <v>0</v>
      </c>
      <c r="CK49" s="101">
        <f>'Income Statement'!AK200</f>
        <v>8800</v>
      </c>
      <c r="CL49" s="101">
        <f>'Income Statement'!AP200</f>
        <v>8800</v>
      </c>
      <c r="CM49" s="101">
        <f>'Income Statement'!AU200</f>
        <v>8700</v>
      </c>
      <c r="CN49" s="101">
        <f>'Income Statement'!AZ200</f>
        <v>8200</v>
      </c>
      <c r="CO49" s="101">
        <f>'Income Statement'!BE200</f>
        <v>8400</v>
      </c>
      <c r="CP49" s="101">
        <f>'Income Statement'!BJ200</f>
        <v>8700</v>
      </c>
      <c r="CQ49" s="101">
        <f>'Income Statement'!BO200</f>
        <v>8800</v>
      </c>
      <c r="CR49" s="101">
        <f>'Income Statement'!BT200</f>
        <v>8500</v>
      </c>
      <c r="CS49" s="101">
        <f>'Income Statement'!BY200</f>
        <v>0</v>
      </c>
      <c r="CT49" s="101">
        <f>'Income Statement'!CD200</f>
        <v>0</v>
      </c>
      <c r="CU49" s="101">
        <f>'Income Statement'!CI200</f>
        <v>0</v>
      </c>
      <c r="CV49" s="101">
        <f>'Income Statement'!CN200</f>
        <v>0</v>
      </c>
      <c r="CW49" s="101">
        <f>'Income Statement'!CQ200</f>
        <v>0</v>
      </c>
      <c r="CX49" s="101">
        <f>'Income Statement'!CR200</f>
        <v>0</v>
      </c>
      <c r="CY49" s="101">
        <f>'Income Statement'!CS200</f>
        <v>0</v>
      </c>
    </row>
    <row r="50" spans="1:103">
      <c r="A50" s="100" t="s">
        <v>273</v>
      </c>
      <c r="B50" s="100"/>
      <c r="C50" s="101"/>
      <c r="D50" s="101"/>
      <c r="E50" s="101"/>
      <c r="F50" s="101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>
        <f>'Income Statement'!AB210</f>
        <v>0</v>
      </c>
      <c r="AB50" s="119">
        <f>'Income Statement'!AC210</f>
        <v>0</v>
      </c>
      <c r="AC50" s="119">
        <f>'Income Statement'!AD210</f>
        <v>0</v>
      </c>
      <c r="AD50" s="119">
        <f>'Income Statement'!AE210</f>
        <v>0</v>
      </c>
      <c r="AE50" s="119">
        <f>'Income Statement'!AG210</f>
        <v>0</v>
      </c>
      <c r="AF50" s="119">
        <f>'Income Statement'!AH210</f>
        <v>0</v>
      </c>
      <c r="AG50" s="119">
        <f>'Income Statement'!AI210</f>
        <v>0</v>
      </c>
      <c r="AH50" s="119">
        <f>'Income Statement'!AJ210</f>
        <v>0</v>
      </c>
      <c r="AI50" s="119">
        <f>'Income Statement'!AL210</f>
        <v>0</v>
      </c>
      <c r="AJ50" s="119">
        <f>'Income Statement'!AM210</f>
        <v>0</v>
      </c>
      <c r="AK50" s="119">
        <f>'Income Statement'!AN210</f>
        <v>0</v>
      </c>
      <c r="AL50" s="119">
        <f>'Income Statement'!AO210</f>
        <v>8504.9800000000014</v>
      </c>
      <c r="AM50" s="119">
        <f>'Income Statement'!AQ210</f>
        <v>8247.7000000000007</v>
      </c>
      <c r="AN50" s="119">
        <f>'Income Statement'!AR210</f>
        <v>8329.32</v>
      </c>
      <c r="AO50" s="119">
        <f>'Income Statement'!AS210</f>
        <v>8673.119999999999</v>
      </c>
      <c r="AP50" s="119">
        <f>'Income Statement'!AT210</f>
        <v>8825.24</v>
      </c>
      <c r="AQ50" s="119">
        <f>'Income Statement'!AV210</f>
        <v>9063.6</v>
      </c>
      <c r="AR50" s="119">
        <f>'Income Statement'!AW210</f>
        <v>9006.5557756624657</v>
      </c>
      <c r="AS50" s="119">
        <f>'Income Statement'!AX210</f>
        <v>8730.8143757210055</v>
      </c>
      <c r="AT50" s="119">
        <f>'Income Statement'!AY210</f>
        <v>8785.0045189793527</v>
      </c>
      <c r="AU50" s="119">
        <f>'Income Statement'!BA210</f>
        <v>8785.48</v>
      </c>
      <c r="AV50" s="119">
        <f>'Income Statement'!BB210</f>
        <v>8910.0499999999993</v>
      </c>
      <c r="AW50" s="119">
        <f>'Income Statement'!BC210</f>
        <v>9078.7199999999993</v>
      </c>
      <c r="AX50" s="119">
        <f>'Income Statement'!BD210</f>
        <v>9146.85</v>
      </c>
      <c r="AY50" s="119">
        <f>'Income Statement'!BF210</f>
        <v>9150.25</v>
      </c>
      <c r="AZ50" s="119">
        <f>'Income Statement'!BG210</f>
        <v>9265.85</v>
      </c>
      <c r="BA50" s="119">
        <f>'Income Statement'!BH210</f>
        <v>9385.6999999999989</v>
      </c>
      <c r="BB50" s="119">
        <f>'Income Statement'!BI210</f>
        <v>9460.5</v>
      </c>
      <c r="BC50" s="119">
        <f>'Income Statement'!BK210</f>
        <v>9537.85</v>
      </c>
      <c r="BD50" s="119">
        <f>'Income Statement'!BL210</f>
        <v>9886.35</v>
      </c>
      <c r="BE50" s="119">
        <f>'Income Statement'!BM210</f>
        <v>9351.6999999999989</v>
      </c>
      <c r="BF50" s="119">
        <f>'Income Statement'!BN210</f>
        <v>9462.1999999999989</v>
      </c>
      <c r="BG50" s="119">
        <f>'Income Statement'!BP210</f>
        <v>9665.35</v>
      </c>
      <c r="BH50" s="119">
        <f>'Income Statement'!BQ210</f>
        <v>9769.0499999999993</v>
      </c>
      <c r="BI50" s="119">
        <f>'Income Statement'!BR210</f>
        <v>9724.85</v>
      </c>
      <c r="BJ50" s="119">
        <f>'Income Statement'!BS210</f>
        <v>9875.2999999999993</v>
      </c>
      <c r="BK50" s="119">
        <f>'Income Statement'!BU210</f>
        <v>9703.6</v>
      </c>
      <c r="BL50" s="119">
        <f>'Income Statement'!BV210</f>
        <v>0</v>
      </c>
      <c r="BM50" s="119">
        <f>'Income Statement'!BW210</f>
        <v>0</v>
      </c>
      <c r="BN50" s="119">
        <f>'Income Statement'!BX210</f>
        <v>0</v>
      </c>
      <c r="BO50" s="119">
        <f>'Income Statement'!BZ210</f>
        <v>0</v>
      </c>
      <c r="BP50" s="119">
        <f>'Income Statement'!CA210</f>
        <v>0</v>
      </c>
      <c r="BQ50" s="119">
        <f>'Income Statement'!CB210</f>
        <v>0</v>
      </c>
      <c r="BR50" s="119">
        <f>'Income Statement'!CC210</f>
        <v>0</v>
      </c>
      <c r="BS50" s="119">
        <f>'Income Statement'!CE210</f>
        <v>0</v>
      </c>
      <c r="BT50" s="119">
        <f>'Income Statement'!CF210</f>
        <v>0</v>
      </c>
      <c r="BU50" s="119">
        <f>'Income Statement'!CG210</f>
        <v>0</v>
      </c>
      <c r="BV50" s="119">
        <f>'Income Statement'!CH210</f>
        <v>0</v>
      </c>
      <c r="BW50" s="119">
        <f>'Income Statement'!CJ210</f>
        <v>0</v>
      </c>
      <c r="BX50" s="119">
        <f>'Income Statement'!CK210</f>
        <v>0</v>
      </c>
      <c r="BY50" s="119">
        <f>'Income Statement'!CL210</f>
        <v>0</v>
      </c>
      <c r="BZ50" s="119">
        <f>'Income Statement'!CM210</f>
        <v>0</v>
      </c>
      <c r="CA50" s="119">
        <f>'Income Statement'!CO210</f>
        <v>0</v>
      </c>
      <c r="CB50" s="119">
        <f>'Income Statement'!CP210</f>
        <v>0</v>
      </c>
      <c r="CG50" s="119">
        <f>'Income Statement'!Q210</f>
        <v>0</v>
      </c>
      <c r="CH50" s="119">
        <f>'Income Statement'!V210</f>
        <v>0</v>
      </c>
      <c r="CI50" s="119">
        <f>'Income Statement'!AA210</f>
        <v>0</v>
      </c>
      <c r="CJ50" s="119">
        <f>'Income Statement'!AF210</f>
        <v>0</v>
      </c>
      <c r="CK50" s="119">
        <f>'Income Statement'!AK210</f>
        <v>0</v>
      </c>
      <c r="CL50" s="119">
        <f>'Income Statement'!AP210</f>
        <v>8504.9800000000014</v>
      </c>
      <c r="CM50" s="119">
        <f>'Income Statement'!AU210</f>
        <v>8825.24</v>
      </c>
      <c r="CN50" s="119">
        <f>'Income Statement'!AZ210</f>
        <v>8785.0045189793527</v>
      </c>
      <c r="CO50" s="119">
        <f>'Income Statement'!BE210</f>
        <v>9146.85</v>
      </c>
      <c r="CP50" s="119">
        <f>'Income Statement'!BJ210</f>
        <v>9460.5</v>
      </c>
      <c r="CQ50" s="119">
        <f>'Income Statement'!BO210</f>
        <v>9462.1999999999989</v>
      </c>
      <c r="CR50" s="119">
        <f>'Income Statement'!BT210</f>
        <v>9875.2999999999993</v>
      </c>
      <c r="CS50" s="119">
        <f>'Income Statement'!BY210</f>
        <v>0</v>
      </c>
      <c r="CT50" s="119">
        <f>'Income Statement'!CD210</f>
        <v>0</v>
      </c>
      <c r="CU50" s="119">
        <f>'Income Statement'!CI210</f>
        <v>0</v>
      </c>
      <c r="CV50" s="119">
        <f>'Income Statement'!CN210</f>
        <v>0</v>
      </c>
      <c r="CW50" s="119">
        <f>'Income Statement'!CQ210</f>
        <v>0</v>
      </c>
      <c r="CX50" s="119">
        <f>'Income Statement'!CR210</f>
        <v>0</v>
      </c>
      <c r="CY50" s="119">
        <f>'Income Statement'!CS210</f>
        <v>0</v>
      </c>
    </row>
    <row r="51" spans="1:103" s="83" customFormat="1">
      <c r="A51" s="102" t="s">
        <v>478</v>
      </c>
      <c r="B51" s="102"/>
      <c r="C51" s="103"/>
      <c r="D51" s="103"/>
      <c r="E51" s="103"/>
      <c r="F51" s="103"/>
      <c r="G51" s="120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  <c r="AA51" s="120">
        <f>'Income Statement'!AB211</f>
        <v>0</v>
      </c>
      <c r="AB51" s="120">
        <f>'Income Statement'!AC211</f>
        <v>0</v>
      </c>
      <c r="AC51" s="120">
        <f>'Income Statement'!AD211</f>
        <v>0</v>
      </c>
      <c r="AD51" s="120">
        <f>'Income Statement'!AE211</f>
        <v>0</v>
      </c>
      <c r="AE51" s="120">
        <f>'Income Statement'!AG211</f>
        <v>0</v>
      </c>
      <c r="AF51" s="120">
        <f>'Income Statement'!AH211</f>
        <v>0</v>
      </c>
      <c r="AG51" s="120">
        <f>'Income Statement'!AI211</f>
        <v>0</v>
      </c>
      <c r="AH51" s="120">
        <f>'Income Statement'!AJ211</f>
        <v>0</v>
      </c>
      <c r="AI51" s="120">
        <f>'Income Statement'!AL211</f>
        <v>0</v>
      </c>
      <c r="AJ51" s="120">
        <f>'Income Statement'!AM211</f>
        <v>0</v>
      </c>
      <c r="AK51" s="120">
        <f>'Income Statement'!AN211</f>
        <v>0</v>
      </c>
      <c r="AL51" s="120">
        <f>'Income Statement'!AO211</f>
        <v>0.67</v>
      </c>
      <c r="AM51" s="120">
        <f>'Income Statement'!AQ211</f>
        <v>0.67</v>
      </c>
      <c r="AN51" s="120">
        <f>'Income Statement'!AR211</f>
        <v>0.68</v>
      </c>
      <c r="AO51" s="120">
        <f>'Income Statement'!AS211</f>
        <v>0.72</v>
      </c>
      <c r="AP51" s="120">
        <f>'Income Statement'!AT211</f>
        <v>0.74</v>
      </c>
      <c r="AQ51" s="120">
        <f>'Income Statement'!AV211</f>
        <v>0.78</v>
      </c>
      <c r="AR51" s="120">
        <f>'Income Statement'!AW211</f>
        <v>0.78351942372009264</v>
      </c>
      <c r="AS51" s="120">
        <f>'Income Statement'!AX211</f>
        <v>0.78627651078179084</v>
      </c>
      <c r="AT51" s="120">
        <f>'Income Statement'!AY211</f>
        <v>0.80389865656838877</v>
      </c>
      <c r="AU51" s="120">
        <f>'Income Statement'!BA211</f>
        <v>0.82</v>
      </c>
      <c r="AV51" s="120">
        <f>'Income Statement'!BB211</f>
        <v>0.83</v>
      </c>
      <c r="AW51" s="120">
        <f>'Income Statement'!BC211</f>
        <v>0.84</v>
      </c>
      <c r="AX51" s="120">
        <f>'Income Statement'!BD211</f>
        <v>0.85</v>
      </c>
      <c r="AY51" s="120">
        <f>'Income Statement'!BF211</f>
        <v>0.85</v>
      </c>
      <c r="AZ51" s="120">
        <f>'Income Statement'!BG211</f>
        <v>0.85</v>
      </c>
      <c r="BA51" s="120">
        <f>'Income Statement'!BH211</f>
        <v>0.85</v>
      </c>
      <c r="BB51" s="120">
        <f>'Income Statement'!BI211</f>
        <v>0.85</v>
      </c>
      <c r="BC51" s="120">
        <f>'Income Statement'!BK211</f>
        <v>0.85</v>
      </c>
      <c r="BD51" s="120">
        <f>'Income Statement'!BL211</f>
        <v>0.85</v>
      </c>
      <c r="BE51" s="120">
        <f>'Income Statement'!BM211</f>
        <v>0.85</v>
      </c>
      <c r="BF51" s="120">
        <f>'Income Statement'!BN211</f>
        <v>0.85</v>
      </c>
      <c r="BG51" s="120">
        <f>'Income Statement'!BP211</f>
        <v>0.85</v>
      </c>
      <c r="BH51" s="120">
        <f>'Income Statement'!BQ211</f>
        <v>0.85</v>
      </c>
      <c r="BI51" s="120">
        <f>'Income Statement'!BR211</f>
        <v>0.85</v>
      </c>
      <c r="BJ51" s="120">
        <f>'Income Statement'!BS211</f>
        <v>0.85</v>
      </c>
      <c r="BK51" s="120">
        <f>'Income Statement'!BU211</f>
        <v>0.85</v>
      </c>
      <c r="BL51" s="120">
        <f>'Income Statement'!BV211</f>
        <v>0</v>
      </c>
      <c r="BM51" s="120">
        <f>'Income Statement'!BW211</f>
        <v>0</v>
      </c>
      <c r="BN51" s="120">
        <f>'Income Statement'!BX211</f>
        <v>0</v>
      </c>
      <c r="BO51" s="120">
        <f>'Income Statement'!BZ211</f>
        <v>0</v>
      </c>
      <c r="BP51" s="120">
        <f>'Income Statement'!CA211</f>
        <v>0</v>
      </c>
      <c r="BQ51" s="120">
        <f>'Income Statement'!CB211</f>
        <v>0</v>
      </c>
      <c r="BR51" s="120">
        <f>'Income Statement'!CC211</f>
        <v>0</v>
      </c>
      <c r="BS51" s="120">
        <f>'Income Statement'!CE211</f>
        <v>0</v>
      </c>
      <c r="BT51" s="120">
        <f>'Income Statement'!CF211</f>
        <v>0</v>
      </c>
      <c r="BU51" s="120">
        <f>'Income Statement'!CG211</f>
        <v>0</v>
      </c>
      <c r="BV51" s="120">
        <f>'Income Statement'!CH211</f>
        <v>0</v>
      </c>
      <c r="BW51" s="120">
        <f>'Income Statement'!CJ211</f>
        <v>0</v>
      </c>
      <c r="BX51" s="120">
        <f>'Income Statement'!CK211</f>
        <v>0</v>
      </c>
      <c r="BY51" s="120">
        <f>'Income Statement'!CL211</f>
        <v>0</v>
      </c>
      <c r="BZ51" s="120">
        <f>'Income Statement'!CM211</f>
        <v>0</v>
      </c>
      <c r="CA51" s="120">
        <f>'Income Statement'!CO211</f>
        <v>0</v>
      </c>
      <c r="CB51" s="120">
        <f>'Income Statement'!CP211</f>
        <v>0</v>
      </c>
      <c r="CD51" s="121"/>
      <c r="CE51" s="121"/>
      <c r="CF51" s="121"/>
      <c r="CG51" s="120">
        <f>'Income Statement'!Q211</f>
        <v>0</v>
      </c>
      <c r="CH51" s="120">
        <f>'Income Statement'!V211</f>
        <v>0</v>
      </c>
      <c r="CI51" s="120">
        <f>'Income Statement'!AA211</f>
        <v>0</v>
      </c>
      <c r="CJ51" s="120">
        <f>'Income Statement'!AF211</f>
        <v>0</v>
      </c>
      <c r="CK51" s="120">
        <f>'Income Statement'!AK211</f>
        <v>0</v>
      </c>
      <c r="CL51" s="120">
        <f>'Income Statement'!AP211</f>
        <v>0.67000000000000015</v>
      </c>
      <c r="CM51" s="120">
        <f>'Income Statement'!AU211</f>
        <v>0.74</v>
      </c>
      <c r="CN51" s="120">
        <f>'Income Statement'!AZ211</f>
        <v>0.80389865656838877</v>
      </c>
      <c r="CO51" s="120">
        <f>'Income Statement'!BE211</f>
        <v>0.85000000000000009</v>
      </c>
      <c r="CP51" s="120">
        <f>'Income Statement'!BJ211</f>
        <v>0.85</v>
      </c>
      <c r="CQ51" s="120">
        <f>'Income Statement'!BO211</f>
        <v>0.84999999999999987</v>
      </c>
      <c r="CR51" s="120">
        <f>'Income Statement'!BT211</f>
        <v>0.85</v>
      </c>
      <c r="CS51" s="120">
        <f>'Income Statement'!BY211</f>
        <v>0</v>
      </c>
      <c r="CT51" s="120">
        <f>'Income Statement'!CD211</f>
        <v>0</v>
      </c>
      <c r="CU51" s="120">
        <f>'Income Statement'!CI211</f>
        <v>0</v>
      </c>
      <c r="CV51" s="120">
        <f>'Income Statement'!CN211</f>
        <v>0</v>
      </c>
      <c r="CW51" s="120">
        <f>'Income Statement'!CQ211</f>
        <v>0</v>
      </c>
      <c r="CX51" s="120">
        <f>'Income Statement'!CR211</f>
        <v>0</v>
      </c>
      <c r="CY51" s="120">
        <f>'Income Statement'!CS211</f>
        <v>0</v>
      </c>
    </row>
    <row r="52" spans="1:103">
      <c r="A52" s="100" t="s">
        <v>479</v>
      </c>
      <c r="B52" s="100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104"/>
      <c r="AI52" s="104"/>
      <c r="AJ52" s="104"/>
      <c r="AK52" s="104"/>
      <c r="AL52" s="104"/>
      <c r="AM52" s="104"/>
      <c r="AN52" s="104"/>
      <c r="AO52" s="104"/>
      <c r="AP52" s="104"/>
      <c r="AQ52" s="104"/>
      <c r="AR52" s="104"/>
      <c r="AS52" s="104"/>
      <c r="AT52" s="104"/>
      <c r="AU52" s="104"/>
      <c r="AV52" s="104"/>
      <c r="AW52" s="104"/>
      <c r="AX52" s="104"/>
      <c r="AY52" s="104"/>
      <c r="AZ52" s="104"/>
      <c r="BA52" s="104"/>
      <c r="BB52" s="104"/>
      <c r="BC52" s="104"/>
      <c r="BD52" s="104"/>
      <c r="BE52" s="104"/>
      <c r="BF52" s="104"/>
      <c r="BG52" s="104"/>
      <c r="BH52" s="104"/>
      <c r="BI52" s="104"/>
      <c r="BJ52" s="104"/>
      <c r="BK52" s="104"/>
      <c r="BL52" s="104"/>
      <c r="BM52" s="104"/>
      <c r="BN52" s="104"/>
      <c r="BO52" s="104"/>
      <c r="BP52" s="104"/>
      <c r="BQ52" s="104"/>
      <c r="BR52" s="104"/>
      <c r="BS52" s="104"/>
      <c r="BT52" s="104"/>
      <c r="BU52" s="104"/>
      <c r="BV52" s="104"/>
      <c r="BW52" s="104"/>
      <c r="BX52" s="104"/>
      <c r="BY52" s="104"/>
      <c r="BZ52" s="104"/>
      <c r="CA52" s="104"/>
      <c r="CB52" s="104"/>
      <c r="CG52" s="104"/>
      <c r="CH52" s="104"/>
      <c r="CI52" s="104"/>
      <c r="CJ52" s="104"/>
      <c r="CK52" s="104"/>
      <c r="CL52" s="104"/>
      <c r="CM52" s="104"/>
      <c r="CN52" s="104"/>
      <c r="CO52" s="104"/>
      <c r="CP52" s="104"/>
      <c r="CQ52" s="104"/>
      <c r="CR52" s="104"/>
      <c r="CS52" s="104"/>
      <c r="CT52" s="104"/>
      <c r="CU52" s="104"/>
      <c r="CV52" s="104"/>
      <c r="CW52" s="104"/>
      <c r="CX52" s="104"/>
      <c r="CY52" s="104"/>
    </row>
    <row r="53" spans="1:103">
      <c r="A53" s="100" t="s">
        <v>480</v>
      </c>
      <c r="B53" s="100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>
        <f t="shared" ref="O53:AO53" si="72">O56/O33</f>
        <v>0</v>
      </c>
      <c r="P53" s="104">
        <f t="shared" si="72"/>
        <v>0</v>
      </c>
      <c r="Q53" s="104">
        <f t="shared" si="72"/>
        <v>0</v>
      </c>
      <c r="R53" s="104">
        <f t="shared" si="72"/>
        <v>0</v>
      </c>
      <c r="S53" s="104">
        <f t="shared" si="72"/>
        <v>0</v>
      </c>
      <c r="T53" s="104">
        <f t="shared" si="72"/>
        <v>0</v>
      </c>
      <c r="U53" s="104">
        <f t="shared" si="72"/>
        <v>0</v>
      </c>
      <c r="V53" s="104">
        <f t="shared" si="72"/>
        <v>0</v>
      </c>
      <c r="W53" s="104">
        <f t="shared" si="72"/>
        <v>0.18811394891944991</v>
      </c>
      <c r="X53" s="104">
        <f t="shared" si="72"/>
        <v>0.20230658337337817</v>
      </c>
      <c r="Y53" s="104">
        <f t="shared" si="72"/>
        <v>0.20280735721200388</v>
      </c>
      <c r="Z53" s="104">
        <f t="shared" si="72"/>
        <v>0.21790620558976789</v>
      </c>
      <c r="AA53" s="104">
        <f t="shared" si="72"/>
        <v>0.22555663117134558</v>
      </c>
      <c r="AB53" s="104">
        <f t="shared" si="72"/>
        <v>0.23994183228308288</v>
      </c>
      <c r="AC53" s="104">
        <f t="shared" si="72"/>
        <v>0.24670892247684056</v>
      </c>
      <c r="AD53" s="104">
        <f t="shared" si="72"/>
        <v>0.25889328063241107</v>
      </c>
      <c r="AE53" s="104">
        <f t="shared" si="72"/>
        <v>0.26830517153097799</v>
      </c>
      <c r="AF53" s="104">
        <f t="shared" si="72"/>
        <v>0.28951406649616368</v>
      </c>
      <c r="AG53" s="104">
        <f t="shared" si="72"/>
        <v>0.30267214799588898</v>
      </c>
      <c r="AH53" s="104">
        <f t="shared" si="72"/>
        <v>0.32092555331991951</v>
      </c>
      <c r="AI53" s="104">
        <f t="shared" si="72"/>
        <v>0</v>
      </c>
      <c r="AJ53" s="104">
        <f t="shared" si="72"/>
        <v>0</v>
      </c>
      <c r="AK53" s="104">
        <f t="shared" si="72"/>
        <v>0</v>
      </c>
      <c r="AL53" s="104">
        <f t="shared" si="72"/>
        <v>0</v>
      </c>
      <c r="AM53" s="104">
        <f t="shared" si="72"/>
        <v>0</v>
      </c>
      <c r="AN53" s="104">
        <f t="shared" si="72"/>
        <v>0</v>
      </c>
      <c r="AO53" s="104">
        <f t="shared" si="72"/>
        <v>0</v>
      </c>
      <c r="AP53" s="104">
        <f>AP56/AP33</f>
        <v>0</v>
      </c>
      <c r="AQ53" s="104"/>
      <c r="AR53" s="104"/>
      <c r="AS53" s="104"/>
      <c r="AT53" s="104"/>
      <c r="AU53" s="104"/>
      <c r="AV53" s="104"/>
      <c r="AW53" s="104"/>
      <c r="AX53" s="104"/>
      <c r="AY53" s="104"/>
      <c r="AZ53" s="104"/>
      <c r="BA53" s="104"/>
      <c r="BB53" s="104"/>
      <c r="BC53" s="104"/>
      <c r="BD53" s="104"/>
      <c r="BE53" s="104"/>
      <c r="BF53" s="104"/>
      <c r="BG53" s="104"/>
      <c r="BH53" s="104"/>
      <c r="BI53" s="104"/>
      <c r="BJ53" s="104"/>
      <c r="BK53" s="104"/>
      <c r="BL53" s="104"/>
      <c r="BM53" s="104"/>
      <c r="BN53" s="104"/>
      <c r="BO53" s="104"/>
      <c r="BP53" s="104"/>
      <c r="BQ53" s="104"/>
      <c r="BR53" s="104"/>
      <c r="BS53" s="104"/>
      <c r="BT53" s="104"/>
      <c r="BU53" s="104"/>
      <c r="BV53" s="104"/>
      <c r="BW53" s="104"/>
      <c r="BX53" s="104"/>
      <c r="BY53" s="104"/>
      <c r="BZ53" s="104"/>
      <c r="CA53" s="104"/>
      <c r="CB53" s="104"/>
      <c r="CG53" s="104" t="e">
        <f t="shared" ref="CG53:CK53" si="73">CG56/CG33</f>
        <v>#DIV/0!</v>
      </c>
      <c r="CH53" s="104" t="e">
        <f t="shared" si="73"/>
        <v>#DIV/0!</v>
      </c>
      <c r="CI53" s="104" t="e">
        <f t="shared" si="73"/>
        <v>#DIV/0!</v>
      </c>
      <c r="CJ53" s="104" t="e">
        <f t="shared" si="73"/>
        <v>#DIV/0!</v>
      </c>
      <c r="CK53" s="104" t="e">
        <f t="shared" si="73"/>
        <v>#DIV/0!</v>
      </c>
      <c r="CL53" s="104" t="e">
        <f t="shared" ref="CL53:CR53" si="74">CL56/CL33</f>
        <v>#DIV/0!</v>
      </c>
      <c r="CM53" s="104" t="e">
        <f t="shared" si="74"/>
        <v>#DIV/0!</v>
      </c>
      <c r="CN53" s="104" t="e">
        <f t="shared" si="74"/>
        <v>#DIV/0!</v>
      </c>
      <c r="CO53" s="104" t="e">
        <f t="shared" si="74"/>
        <v>#DIV/0!</v>
      </c>
      <c r="CP53" s="104" t="e">
        <f t="shared" si="74"/>
        <v>#DIV/0!</v>
      </c>
      <c r="CQ53" s="104" t="e">
        <f t="shared" si="74"/>
        <v>#DIV/0!</v>
      </c>
      <c r="CR53" s="104">
        <f t="shared" si="74"/>
        <v>1.6194587027173579</v>
      </c>
      <c r="CS53" s="104">
        <f t="shared" ref="CS53:CY53" si="75">CS56/CS33</f>
        <v>0.69730521904365506</v>
      </c>
      <c r="CT53" s="104">
        <f t="shared" si="75"/>
        <v>0</v>
      </c>
      <c r="CU53" s="104">
        <f t="shared" si="75"/>
        <v>0</v>
      </c>
      <c r="CV53" s="104">
        <f t="shared" si="75"/>
        <v>0</v>
      </c>
      <c r="CW53" s="104">
        <f t="shared" si="75"/>
        <v>0</v>
      </c>
      <c r="CX53" s="104">
        <f t="shared" si="75"/>
        <v>0</v>
      </c>
      <c r="CY53" s="104">
        <f t="shared" si="75"/>
        <v>0</v>
      </c>
    </row>
    <row r="54" spans="1:103">
      <c r="A54" s="100" t="s">
        <v>481</v>
      </c>
      <c r="B54" s="100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>
        <f>'Income Statement'!M220</f>
        <v>0</v>
      </c>
      <c r="P54" s="101">
        <f>'Income Statement'!N220</f>
        <v>0</v>
      </c>
      <c r="Q54" s="101">
        <f>'Income Statement'!O220</f>
        <v>0</v>
      </c>
      <c r="R54" s="101">
        <f>'Income Statement'!P220</f>
        <v>0</v>
      </c>
      <c r="S54" s="101">
        <f>'Income Statement'!R220</f>
        <v>0</v>
      </c>
      <c r="T54" s="101">
        <f>'Income Statement'!S220</f>
        <v>0</v>
      </c>
      <c r="U54" s="101">
        <f>'Income Statement'!T220</f>
        <v>0</v>
      </c>
      <c r="V54" s="101">
        <f>'Income Statement'!U220</f>
        <v>0</v>
      </c>
      <c r="W54" s="101">
        <f>'Income Statement'!W220</f>
        <v>1160</v>
      </c>
      <c r="X54" s="101">
        <f>'Income Statement'!X220</f>
        <v>1162</v>
      </c>
      <c r="Y54" s="101">
        <f>'Income Statement'!Y220</f>
        <v>1167</v>
      </c>
      <c r="Z54" s="101">
        <f>'Income Statement'!Z220</f>
        <v>1182</v>
      </c>
      <c r="AA54" s="101">
        <f>'Income Statement'!AB220</f>
        <v>1147</v>
      </c>
      <c r="AB54" s="101">
        <f>'Income Statement'!AC220</f>
        <v>1134</v>
      </c>
      <c r="AC54" s="101">
        <f>'Income Statement'!AD220</f>
        <v>1148</v>
      </c>
      <c r="AD54" s="101">
        <f>'Income Statement'!AE220</f>
        <v>1126</v>
      </c>
      <c r="AE54" s="101">
        <f>'Income Statement'!AG220</f>
        <v>1096</v>
      </c>
      <c r="AF54" s="101">
        <f>'Income Statement'!AH220</f>
        <v>1088</v>
      </c>
      <c r="AG54" s="101">
        <f>'Income Statement'!AI220</f>
        <v>1090</v>
      </c>
      <c r="AH54" s="101">
        <f>'Income Statement'!AJ220</f>
        <v>1096</v>
      </c>
      <c r="AI54" s="101">
        <f>'Income Statement'!AL220</f>
        <v>0</v>
      </c>
      <c r="AJ54" s="101">
        <f>'Income Statement'!AM220</f>
        <v>0</v>
      </c>
      <c r="AK54" s="101">
        <f>'Income Statement'!AN220</f>
        <v>0</v>
      </c>
      <c r="AL54" s="101">
        <f>'Income Statement'!AO220</f>
        <v>0</v>
      </c>
      <c r="AM54" s="101">
        <f>'Income Statement'!AQ220</f>
        <v>0</v>
      </c>
      <c r="AN54" s="101">
        <f>'Income Statement'!AR220</f>
        <v>0</v>
      </c>
      <c r="AO54" s="101">
        <f>'Income Statement'!AS220</f>
        <v>0</v>
      </c>
      <c r="AP54" s="101">
        <f>'Income Statement'!AT220</f>
        <v>0</v>
      </c>
      <c r="AQ54" s="101"/>
      <c r="AR54" s="101"/>
      <c r="AS54" s="101"/>
      <c r="AT54" s="101"/>
      <c r="AU54" s="101"/>
      <c r="AV54" s="101"/>
      <c r="AW54" s="101"/>
      <c r="AX54" s="101"/>
      <c r="AY54" s="101"/>
      <c r="AZ54" s="101"/>
      <c r="BA54" s="101"/>
      <c r="BB54" s="101"/>
      <c r="BC54" s="101"/>
      <c r="BD54" s="101"/>
      <c r="BE54" s="101"/>
      <c r="BF54" s="101"/>
      <c r="BG54" s="101"/>
      <c r="BH54" s="101"/>
      <c r="BI54" s="101"/>
      <c r="BJ54" s="101"/>
      <c r="BK54" s="101"/>
      <c r="BL54" s="101"/>
      <c r="BM54" s="101"/>
      <c r="BN54" s="101"/>
      <c r="BO54" s="101"/>
      <c r="BP54" s="101"/>
      <c r="BQ54" s="101"/>
      <c r="BR54" s="101"/>
      <c r="BS54" s="101"/>
      <c r="BT54" s="101"/>
      <c r="BU54" s="101"/>
      <c r="BV54" s="101"/>
      <c r="BW54" s="101"/>
      <c r="BX54" s="101"/>
      <c r="BY54" s="101"/>
      <c r="BZ54" s="101"/>
      <c r="CA54" s="101"/>
      <c r="CB54" s="101"/>
      <c r="CG54" s="101">
        <f>'Income Statement'!Q220</f>
        <v>0</v>
      </c>
      <c r="CH54" s="101">
        <f>'Income Statement'!V220</f>
        <v>0</v>
      </c>
      <c r="CI54" s="101">
        <f>'Income Statement'!AA220</f>
        <v>4671</v>
      </c>
      <c r="CJ54" s="101">
        <f>'Income Statement'!AF220</f>
        <v>4555</v>
      </c>
      <c r="CK54" s="101">
        <f>'Income Statement'!AK220</f>
        <v>4370</v>
      </c>
      <c r="CL54" s="101">
        <f>'Income Statement'!AP220</f>
        <v>0</v>
      </c>
      <c r="CM54" s="101">
        <f>'Income Statement'!AU220</f>
        <v>3717.5752921789108</v>
      </c>
      <c r="CN54" s="101">
        <f>'Income Statement'!AZ220</f>
        <v>3246.9635703884701</v>
      </c>
      <c r="CO54" s="101">
        <f>'Income Statement'!BE220</f>
        <v>2781.0060415041285</v>
      </c>
      <c r="CP54" s="101">
        <f>'Income Statement'!BJ220</f>
        <v>2668.2456772461283</v>
      </c>
      <c r="CQ54" s="101">
        <f>'Income Statement'!BO220</f>
        <v>2579.4208256667466</v>
      </c>
      <c r="CR54" s="101">
        <f>'Income Statement'!BT220</f>
        <v>2505.7470887158797</v>
      </c>
      <c r="CS54" s="101">
        <f>'Income Statement'!BY220</f>
        <v>2445.4123996153016</v>
      </c>
      <c r="CT54" s="101">
        <f>'Income Statement'!CD220</f>
        <v>2413.4887950644297</v>
      </c>
      <c r="CU54" s="101">
        <f>'Income Statement'!CI220</f>
        <v>2397.2010251919837</v>
      </c>
      <c r="CV54" s="101">
        <f>'Income Statement'!CN220</f>
        <v>2368.0885197709144</v>
      </c>
      <c r="CW54" s="101">
        <f>'Income Statement'!CQ220</f>
        <v>2340.2710333195459</v>
      </c>
      <c r="CX54" s="101">
        <f>'Income Statement'!CR220</f>
        <v>2267.9013838921405</v>
      </c>
      <c r="CY54" s="101">
        <f>'Income Statement'!CS220</f>
        <v>2202.8220007030241</v>
      </c>
    </row>
    <row r="55" spans="1:103">
      <c r="A55" s="100" t="s">
        <v>482</v>
      </c>
      <c r="B55" s="100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>
        <f>'Income Statement'!M222+'Income Statement'!M224+'Income Statement'!M225</f>
        <v>211</v>
      </c>
      <c r="P55" s="101">
        <f>'Income Statement'!N222+'Income Statement'!N224+'Income Statement'!N225</f>
        <v>203</v>
      </c>
      <c r="Q55" s="101">
        <f>'Income Statement'!O222+'Income Statement'!O224+'Income Statement'!O225</f>
        <v>212</v>
      </c>
      <c r="R55" s="101">
        <f>'Income Statement'!P222+'Income Statement'!P224+'Income Statement'!P225</f>
        <v>222</v>
      </c>
      <c r="S55" s="101">
        <f>'Income Statement'!R222+'Income Statement'!R224+'Income Statement'!R225</f>
        <v>0</v>
      </c>
      <c r="T55" s="101">
        <f>'Income Statement'!S222+'Income Statement'!S224+'Income Statement'!S225</f>
        <v>0</v>
      </c>
      <c r="U55" s="101">
        <f>'Income Statement'!T222+'Income Statement'!T224+'Income Statement'!T225</f>
        <v>0</v>
      </c>
      <c r="V55" s="101">
        <f>'Income Statement'!U222+'Income Statement'!U224+'Income Statement'!U225</f>
        <v>0</v>
      </c>
      <c r="W55" s="101">
        <f>'Income Statement'!W222+'Income Statement'!W224+'Income Statement'!W225</f>
        <v>748</v>
      </c>
      <c r="X55" s="101">
        <f>'Income Statement'!X222+'Income Statement'!X224+'Income Statement'!X225</f>
        <v>776</v>
      </c>
      <c r="Y55" s="101">
        <f>'Income Statement'!Y222+'Income Statement'!Y224+'Income Statement'!Y225</f>
        <v>774</v>
      </c>
      <c r="Z55" s="101">
        <f>'Income Statement'!Z222+'Income Statement'!Z224+'Income Statement'!Z225</f>
        <v>802</v>
      </c>
      <c r="AA55" s="101">
        <f>'Income Statement'!AB222+'Income Statement'!AB224+'Income Statement'!AB225</f>
        <v>786</v>
      </c>
      <c r="AB55" s="101">
        <f>'Income Statement'!AC222+'Income Statement'!AC224+'Income Statement'!AC225</f>
        <v>793</v>
      </c>
      <c r="AC55" s="101">
        <f>'Income Statement'!AD222+'Income Statement'!AD224+'Income Statement'!AD225</f>
        <v>781</v>
      </c>
      <c r="AD55" s="101">
        <f>'Income Statement'!AE222+'Income Statement'!AE224+'Income Statement'!AE225</f>
        <v>781</v>
      </c>
      <c r="AE55" s="101">
        <f>'Income Statement'!AG222+'Income Statement'!AG224+'Income Statement'!AG225</f>
        <v>747</v>
      </c>
      <c r="AF55" s="101">
        <f>'Income Statement'!AH222+'Income Statement'!AH224+'Income Statement'!AH225</f>
        <v>771</v>
      </c>
      <c r="AG55" s="101">
        <f>'Income Statement'!AI222+'Income Statement'!AI224+'Income Statement'!AI225</f>
        <v>773</v>
      </c>
      <c r="AH55" s="101">
        <f>'Income Statement'!AJ222+'Income Statement'!AJ224+'Income Statement'!AJ225</f>
        <v>809</v>
      </c>
      <c r="AI55" s="101">
        <f>'Income Statement'!AL222+'Income Statement'!AL224+'Income Statement'!AL225</f>
        <v>0</v>
      </c>
      <c r="AJ55" s="101">
        <f>'Income Statement'!AM222+'Income Statement'!AM224+'Income Statement'!AM225</f>
        <v>0</v>
      </c>
      <c r="AK55" s="101">
        <f>'Income Statement'!AN222+'Income Statement'!AN224+'Income Statement'!AN225</f>
        <v>0</v>
      </c>
      <c r="AL55" s="101">
        <f>'Income Statement'!AO222+'Income Statement'!AO224+'Income Statement'!AO225</f>
        <v>0</v>
      </c>
      <c r="AM55" s="101">
        <f>'Income Statement'!AQ222+'Income Statement'!AQ224+'Income Statement'!AQ225</f>
        <v>0</v>
      </c>
      <c r="AN55" s="101">
        <f>'Income Statement'!AR222+'Income Statement'!AR224+'Income Statement'!AR225</f>
        <v>0</v>
      </c>
      <c r="AO55" s="101">
        <f>'Income Statement'!AS222+'Income Statement'!AS224+'Income Statement'!AS225</f>
        <v>0</v>
      </c>
      <c r="AP55" s="101">
        <f>'Income Statement'!AT222+'Income Statement'!AT224+'Income Statement'!AT225</f>
        <v>0</v>
      </c>
      <c r="AQ55" s="101"/>
      <c r="AR55" s="101"/>
      <c r="AS55" s="101"/>
      <c r="AT55" s="101"/>
      <c r="AU55" s="101"/>
      <c r="AV55" s="101"/>
      <c r="AW55" s="101"/>
      <c r="AX55" s="101"/>
      <c r="AY55" s="101"/>
      <c r="AZ55" s="101"/>
      <c r="BA55" s="101"/>
      <c r="BB55" s="101"/>
      <c r="BC55" s="101"/>
      <c r="BD55" s="101"/>
      <c r="BE55" s="101"/>
      <c r="BF55" s="101"/>
      <c r="BG55" s="101"/>
      <c r="BH55" s="101"/>
      <c r="BI55" s="101"/>
      <c r="BJ55" s="101"/>
      <c r="BK55" s="101"/>
      <c r="BL55" s="101"/>
      <c r="BM55" s="101"/>
      <c r="BN55" s="101"/>
      <c r="BO55" s="101"/>
      <c r="BP55" s="101"/>
      <c r="BQ55" s="101"/>
      <c r="BR55" s="101"/>
      <c r="BS55" s="101"/>
      <c r="BT55" s="101"/>
      <c r="BU55" s="101"/>
      <c r="BV55" s="101"/>
      <c r="BW55" s="101"/>
      <c r="BX55" s="101"/>
      <c r="BY55" s="101"/>
      <c r="BZ55" s="101"/>
      <c r="CA55" s="101"/>
      <c r="CB55" s="101"/>
      <c r="CG55" s="101">
        <f>'Income Statement'!Q222+'Income Statement'!Q224+'Income Statement'!Q225</f>
        <v>0</v>
      </c>
      <c r="CH55" s="101">
        <f>'Income Statement'!V222+'Income Statement'!V224+'Income Statement'!V225</f>
        <v>0</v>
      </c>
      <c r="CI55" s="101">
        <f>'Income Statement'!AA222+'Income Statement'!AA224+'Income Statement'!AA225</f>
        <v>3100</v>
      </c>
      <c r="CJ55" s="101">
        <f>'Income Statement'!AF222+'Income Statement'!AF224+'Income Statement'!AF225</f>
        <v>3141</v>
      </c>
      <c r="CK55" s="101">
        <f>'Income Statement'!AK222+'Income Statement'!AK224+'Income Statement'!AK225</f>
        <v>3100</v>
      </c>
      <c r="CL55" s="101">
        <f>'Income Statement'!AP222+'Income Statement'!AP224+'Income Statement'!AP225</f>
        <v>0</v>
      </c>
      <c r="CM55" s="101">
        <f>'Income Statement'!AU222+'Income Statement'!AU224+'Income Statement'!AU225</f>
        <v>3705.3547078210891</v>
      </c>
      <c r="CN55" s="101">
        <f>'Income Statement'!AZ222+'Income Statement'!AZ224+'Income Statement'!AZ225</f>
        <v>3780.6414296115299</v>
      </c>
      <c r="CO55" s="101">
        <f>'Income Statement'!BE222+'Income Statement'!BE224+'Income Statement'!BE225</f>
        <v>4051.0289584958709</v>
      </c>
      <c r="CP55" s="101">
        <f>'Income Statement'!BJ222+'Income Statement'!BJ224+'Income Statement'!BJ225</f>
        <v>4456.4148227538717</v>
      </c>
      <c r="CQ55" s="101">
        <f>'Income Statement'!BO222+'Income Statement'!BO224+'Income Statement'!BO225</f>
        <v>4048.6147243332507</v>
      </c>
      <c r="CR55" s="101">
        <f>'Income Statement'!BT222+'Income Statement'!BT224+'Income Statement'!BT225</f>
        <v>4209.6413612841206</v>
      </c>
      <c r="CS55" s="101">
        <f>'Income Statement'!BY222+'Income Statement'!BY224+'Income Statement'!BY225</f>
        <v>3579.7256003846987</v>
      </c>
      <c r="CT55" s="101">
        <f>'Income Statement'!CD222+'Income Statement'!CD224+'Income Statement'!CD225</f>
        <v>3770.2436049355701</v>
      </c>
      <c r="CU55" s="101">
        <f>'Income Statement'!CI222+'Income Statement'!CI224+'Income Statement'!CI225</f>
        <v>3775.2905248080174</v>
      </c>
      <c r="CV55" s="101">
        <f>'Income Statement'!CN222+'Income Statement'!CN224+'Income Statement'!CN225</f>
        <v>3761.6219802290861</v>
      </c>
      <c r="CW55" s="101">
        <f>'Income Statement'!CQ222+'Income Statement'!CQ224+'Income Statement'!CQ225</f>
        <v>3960.9697428229533</v>
      </c>
      <c r="CX55" s="101">
        <f>'Income Statement'!CR222+'Income Statement'!CR224+'Income Statement'!CR225</f>
        <v>4113.1076828878304</v>
      </c>
      <c r="CY55" s="101">
        <f>'Income Statement'!CS222+'Income Statement'!CS224+'Income Statement'!CS225</f>
        <v>4298.0608337396134</v>
      </c>
    </row>
    <row r="56" spans="1:103">
      <c r="A56" s="100" t="s">
        <v>483</v>
      </c>
      <c r="B56" s="100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>
        <f>'Income Statement'!M222</f>
        <v>0</v>
      </c>
      <c r="P56" s="101">
        <f>'Income Statement'!N222</f>
        <v>0</v>
      </c>
      <c r="Q56" s="101">
        <f>'Income Statement'!O222</f>
        <v>0</v>
      </c>
      <c r="R56" s="101">
        <f>'Income Statement'!P222</f>
        <v>0</v>
      </c>
      <c r="S56" s="101">
        <f>'Income Statement'!R222</f>
        <v>0</v>
      </c>
      <c r="T56" s="101">
        <f>'Income Statement'!S222</f>
        <v>0</v>
      </c>
      <c r="U56" s="101">
        <f>'Income Statement'!T222</f>
        <v>0</v>
      </c>
      <c r="V56" s="101">
        <f>'Income Statement'!U222</f>
        <v>0</v>
      </c>
      <c r="W56" s="101">
        <f>'Income Statement'!W222</f>
        <v>383</v>
      </c>
      <c r="X56" s="101">
        <f>'Income Statement'!X222</f>
        <v>421</v>
      </c>
      <c r="Y56" s="101">
        <f>'Income Statement'!Y222</f>
        <v>419</v>
      </c>
      <c r="Z56" s="101">
        <f>'Income Statement'!Z222</f>
        <v>460</v>
      </c>
      <c r="AA56" s="101">
        <f>'Income Statement'!AB222</f>
        <v>466</v>
      </c>
      <c r="AB56" s="101">
        <f>'Income Statement'!AC222</f>
        <v>495</v>
      </c>
      <c r="AC56" s="101">
        <f>'Income Statement'!AD222</f>
        <v>506</v>
      </c>
      <c r="AD56" s="101">
        <f>'Income Statement'!AE222</f>
        <v>524</v>
      </c>
      <c r="AE56" s="101">
        <f>'Income Statement'!AG222</f>
        <v>524</v>
      </c>
      <c r="AF56" s="101">
        <f>'Income Statement'!AH222</f>
        <v>566</v>
      </c>
      <c r="AG56" s="101">
        <f>'Income Statement'!AI222</f>
        <v>589</v>
      </c>
      <c r="AH56" s="101">
        <f>'Income Statement'!AJ222</f>
        <v>638</v>
      </c>
      <c r="AI56" s="101">
        <f>'Income Statement'!AL222</f>
        <v>0</v>
      </c>
      <c r="AJ56" s="101">
        <f>'Income Statement'!AM222</f>
        <v>0</v>
      </c>
      <c r="AK56" s="101">
        <f>'Income Statement'!AN222</f>
        <v>0</v>
      </c>
      <c r="AL56" s="101">
        <f>'Income Statement'!AO222</f>
        <v>0</v>
      </c>
      <c r="AM56" s="101">
        <f>'Income Statement'!AQ222</f>
        <v>0</v>
      </c>
      <c r="AN56" s="101">
        <f>'Income Statement'!AR222</f>
        <v>0</v>
      </c>
      <c r="AO56" s="101">
        <f>'Income Statement'!AS222</f>
        <v>0</v>
      </c>
      <c r="AP56" s="101">
        <f>'Income Statement'!AT222</f>
        <v>0</v>
      </c>
      <c r="AQ56" s="101"/>
      <c r="AR56" s="101"/>
      <c r="AS56" s="101"/>
      <c r="AT56" s="101"/>
      <c r="AU56" s="101"/>
      <c r="AV56" s="101"/>
      <c r="AW56" s="101"/>
      <c r="AX56" s="101"/>
      <c r="AY56" s="101"/>
      <c r="AZ56" s="101"/>
      <c r="BA56" s="101"/>
      <c r="BB56" s="101"/>
      <c r="BC56" s="101"/>
      <c r="BD56" s="101"/>
      <c r="BE56" s="101"/>
      <c r="BF56" s="101"/>
      <c r="BG56" s="101"/>
      <c r="BH56" s="101"/>
      <c r="BI56" s="101"/>
      <c r="BJ56" s="101"/>
      <c r="BK56" s="101"/>
      <c r="BL56" s="101"/>
      <c r="BM56" s="101"/>
      <c r="BN56" s="101"/>
      <c r="BO56" s="101"/>
      <c r="BP56" s="101"/>
      <c r="BQ56" s="101"/>
      <c r="BR56" s="101"/>
      <c r="BS56" s="101"/>
      <c r="BT56" s="101"/>
      <c r="BU56" s="101"/>
      <c r="BV56" s="101"/>
      <c r="BW56" s="101"/>
      <c r="BX56" s="101"/>
      <c r="BY56" s="101"/>
      <c r="BZ56" s="101"/>
      <c r="CA56" s="101"/>
      <c r="CB56" s="101"/>
      <c r="CG56" s="101">
        <f>'Income Statement'!Q222</f>
        <v>0</v>
      </c>
      <c r="CH56" s="101">
        <f>'Income Statement'!V222</f>
        <v>0</v>
      </c>
      <c r="CI56" s="101">
        <f>'Income Statement'!AA222</f>
        <v>1683</v>
      </c>
      <c r="CJ56" s="101">
        <f>'Income Statement'!AF222</f>
        <v>1991</v>
      </c>
      <c r="CK56" s="101">
        <f>'Income Statement'!AK222</f>
        <v>2317</v>
      </c>
      <c r="CL56" s="101">
        <f>'Income Statement'!AP222</f>
        <v>0</v>
      </c>
      <c r="CM56" s="101">
        <f>'Income Statement'!AU222</f>
        <v>3301.8299130434789</v>
      </c>
      <c r="CN56" s="101">
        <f>'Income Statement'!AZ222</f>
        <v>3744.0336417391309</v>
      </c>
      <c r="CO56" s="101">
        <f>'Income Statement'!BE222</f>
        <v>5818.1982809739129</v>
      </c>
      <c r="CP56" s="101">
        <f>'Income Statement'!BJ222</f>
        <v>7800.6342632705246</v>
      </c>
      <c r="CQ56" s="101">
        <f>'Income Statement'!BO222</f>
        <v>9531.4662819493369</v>
      </c>
      <c r="CR56" s="101">
        <f>'Income Statement'!BT222</f>
        <v>9357.2323843008944</v>
      </c>
      <c r="CS56" s="101">
        <f>'Income Statement'!BY222</f>
        <v>4161.5175472525334</v>
      </c>
      <c r="CT56" s="101">
        <f>'Income Statement'!CD222</f>
        <v>0</v>
      </c>
      <c r="CU56" s="101">
        <f>'Income Statement'!CI222</f>
        <v>0</v>
      </c>
      <c r="CV56" s="101">
        <f>'Income Statement'!CN222</f>
        <v>0</v>
      </c>
      <c r="CW56" s="101">
        <f>'Income Statement'!CQ222</f>
        <v>0</v>
      </c>
      <c r="CX56" s="101">
        <f>'Income Statement'!CR222</f>
        <v>0</v>
      </c>
      <c r="CY56" s="101">
        <f>'Income Statement'!CS222</f>
        <v>0</v>
      </c>
    </row>
    <row r="57" spans="1:103">
      <c r="A57" s="100" t="s">
        <v>484</v>
      </c>
      <c r="B57" s="100"/>
      <c r="C57" s="101"/>
      <c r="D57" s="101"/>
      <c r="E57" s="101"/>
      <c r="F57" s="101"/>
      <c r="G57" s="105"/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105"/>
      <c r="S57" s="105">
        <f>'Income Statement'!R177</f>
        <v>0</v>
      </c>
      <c r="T57" s="105">
        <f>'Income Statement'!S177</f>
        <v>0</v>
      </c>
      <c r="U57" s="105">
        <f>'Income Statement'!T177</f>
        <v>0</v>
      </c>
      <c r="V57" s="105">
        <f>'Income Statement'!U177</f>
        <v>0</v>
      </c>
      <c r="W57" s="105">
        <f>'Income Statement'!W177</f>
        <v>42.218074656188605</v>
      </c>
      <c r="X57" s="105">
        <f>'Income Statement'!X177</f>
        <v>41.480057664584336</v>
      </c>
      <c r="Y57" s="105">
        <f>'Income Statement'!Y177</f>
        <v>38.265246853823811</v>
      </c>
      <c r="Z57" s="105">
        <f>'Income Statement'!Z177</f>
        <v>37.540502131691142</v>
      </c>
      <c r="AA57" s="105">
        <f>'Income Statement'!AB177</f>
        <v>28.499515972894482</v>
      </c>
      <c r="AB57" s="105">
        <f>'Income Statement'!AC177</f>
        <v>28.317983519146878</v>
      </c>
      <c r="AC57" s="105">
        <f>'Income Statement'!AD177</f>
        <v>29.7220867869332</v>
      </c>
      <c r="AD57" s="105">
        <f>'Income Statement'!AE177</f>
        <v>30.092391304347828</v>
      </c>
      <c r="AE57" s="105">
        <f>'Income Statement'!AG177</f>
        <v>29.640552995391708</v>
      </c>
      <c r="AF57" s="105">
        <f>'Income Statement'!AH177</f>
        <v>30.28132992327366</v>
      </c>
      <c r="AG57" s="105">
        <f>'Income Statement'!AI177</f>
        <v>30.138746145940392</v>
      </c>
      <c r="AH57" s="105">
        <f>'Income Statement'!AJ177</f>
        <v>29.652917505030185</v>
      </c>
      <c r="AI57" s="105">
        <f>'Income Statement'!AL177</f>
        <v>0</v>
      </c>
      <c r="AJ57" s="105">
        <f>'Income Statement'!AM177</f>
        <v>0</v>
      </c>
      <c r="AK57" s="105">
        <f>'Income Statement'!AN177</f>
        <v>0</v>
      </c>
      <c r="AL57" s="105">
        <f>'Income Statement'!AO177</f>
        <v>0</v>
      </c>
      <c r="AM57" s="105">
        <f>'Income Statement'!AQ177</f>
        <v>0</v>
      </c>
      <c r="AN57" s="105">
        <f>'Income Statement'!AR177</f>
        <v>0</v>
      </c>
      <c r="AO57" s="105">
        <f>'Income Statement'!AS177</f>
        <v>0</v>
      </c>
      <c r="AP57" s="105">
        <f>'Income Statement'!AT177</f>
        <v>0</v>
      </c>
      <c r="AQ57" s="105"/>
      <c r="AR57" s="105"/>
      <c r="AS57" s="105"/>
      <c r="AT57" s="101"/>
      <c r="AU57" s="101"/>
      <c r="AV57" s="101"/>
      <c r="AW57" s="101"/>
      <c r="AX57" s="101"/>
      <c r="AY57" s="101"/>
      <c r="AZ57" s="101"/>
      <c r="BA57" s="101"/>
      <c r="BB57" s="101"/>
      <c r="BC57" s="101"/>
      <c r="BD57" s="101"/>
      <c r="BE57" s="101"/>
      <c r="BF57" s="101"/>
      <c r="BG57" s="101"/>
      <c r="BH57" s="101"/>
      <c r="BI57" s="101"/>
      <c r="BJ57" s="101"/>
      <c r="BK57" s="101"/>
      <c r="BL57" s="101"/>
      <c r="BM57" s="101"/>
      <c r="BN57" s="101"/>
      <c r="BO57" s="101"/>
      <c r="BP57" s="101"/>
      <c r="BQ57" s="101"/>
      <c r="BR57" s="101"/>
      <c r="BS57" s="101"/>
      <c r="BT57" s="101"/>
      <c r="BU57" s="101"/>
      <c r="BV57" s="101"/>
      <c r="BW57" s="101"/>
      <c r="BX57" s="101"/>
      <c r="BY57" s="101"/>
      <c r="BZ57" s="101"/>
      <c r="CA57" s="101"/>
      <c r="CB57" s="101"/>
      <c r="CG57" s="105">
        <f>'Income Statement'!Q177</f>
        <v>0</v>
      </c>
      <c r="CH57" s="105">
        <f>'Income Statement'!V177</f>
        <v>0</v>
      </c>
      <c r="CI57" s="105">
        <f>'Income Statement'!AA177</f>
        <v>40.651193633952253</v>
      </c>
      <c r="CJ57" s="105">
        <f>'Income Statement'!AF177</f>
        <v>28.880414936251835</v>
      </c>
      <c r="CK57" s="105">
        <f>'Income Statement'!AK177</f>
        <v>29.969644902634592</v>
      </c>
      <c r="CL57" s="105">
        <f>'Income Statement'!AP177</f>
        <v>27.600750180092909</v>
      </c>
      <c r="CM57" s="101">
        <f>'Income Statement'!AU177</f>
        <v>25.16636401420871</v>
      </c>
      <c r="CN57" s="101">
        <f>'Income Statement'!AZ177</f>
        <v>23.67903190096898</v>
      </c>
      <c r="CO57" s="101">
        <f>'Income Statement'!BE177</f>
        <v>21.370326290624501</v>
      </c>
      <c r="CP57" s="101">
        <f>'Income Statement'!BJ177</f>
        <v>20.314632171867647</v>
      </c>
      <c r="CQ57" s="101">
        <f>'Income Statement'!BO177</f>
        <v>19.311089342577386</v>
      </c>
      <c r="CR57" s="101">
        <f>'Income Statement'!BT177</f>
        <v>18.357121529054066</v>
      </c>
      <c r="CS57" s="101">
        <f>'Income Statement'!BY177</f>
        <v>17.450279725518794</v>
      </c>
      <c r="CT57" s="101">
        <f>'Income Statement'!CD177</f>
        <v>16.588235907078161</v>
      </c>
      <c r="CU57" s="101">
        <f>'Income Statement'!CI177</f>
        <v>15.768777053268499</v>
      </c>
      <c r="CV57" s="101">
        <f>'Income Statement'!CN177</f>
        <v>14.989799466837033</v>
      </c>
      <c r="CW57" s="101">
        <f>'Income Statement'!CQ177</f>
        <v>14.396203407950287</v>
      </c>
      <c r="CX57" s="101">
        <f>'Income Statement'!CR177</f>
        <v>13.826113752995452</v>
      </c>
      <c r="CY57" s="101">
        <f>'Income Statement'!CS177</f>
        <v>13.278599648376833</v>
      </c>
    </row>
    <row r="58" spans="1:103">
      <c r="A58" s="100" t="s">
        <v>395</v>
      </c>
      <c r="B58" s="100"/>
      <c r="C58" s="101"/>
      <c r="D58" s="101"/>
      <c r="E58" s="101"/>
      <c r="F58" s="101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>
        <f>'Income Statement'!R178+'Income Statement'!R179+'Income Statement'!R180</f>
        <v>0</v>
      </c>
      <c r="T58" s="105">
        <f>'Income Statement'!S178+'Income Statement'!S179+'Income Statement'!S180</f>
        <v>0</v>
      </c>
      <c r="U58" s="105">
        <f>'Income Statement'!T178+'Income Statement'!T179+'Income Statement'!T180</f>
        <v>0</v>
      </c>
      <c r="V58" s="105">
        <f>'Income Statement'!U178+'Income Statement'!U179+'Income Statement'!U180</f>
        <v>0</v>
      </c>
      <c r="W58" s="105">
        <f>'Income Statement'!W178+'Income Statement'!W179+'Income Statement'!W180</f>
        <v>9.7819253438113947</v>
      </c>
      <c r="X58" s="105">
        <f>'Income Statement'!X178+'Income Statement'!X179+'Income Statement'!X180</f>
        <v>10.519942335415665</v>
      </c>
      <c r="Y58" s="105">
        <f>'Income Statement'!Y178+'Income Statement'!Y179+'Income Statement'!Y180</f>
        <v>9.7347531461761854</v>
      </c>
      <c r="Z58" s="105">
        <f>'Income Statement'!Z178+'Income Statement'!Z179+'Income Statement'!Z180</f>
        <v>10.459497868308858</v>
      </c>
      <c r="AA58" s="105">
        <f>'Income Statement'!AB178+'Income Statement'!AB179+'Income Statement'!AB180</f>
        <v>17.500484027105518</v>
      </c>
      <c r="AB58" s="105">
        <f>'Income Statement'!AC178+'Income Statement'!AC179+'Income Statement'!AC180</f>
        <v>17.682016480853125</v>
      </c>
      <c r="AC58" s="105">
        <f>'Income Statement'!AD178+'Income Statement'!AD179+'Income Statement'!AD180</f>
        <v>18.277913213066796</v>
      </c>
      <c r="AD58" s="105">
        <f>'Income Statement'!AE178+'Income Statement'!AE179+'Income Statement'!AE180</f>
        <v>18.907608695652172</v>
      </c>
      <c r="AE58" s="105">
        <f>'Income Statement'!AG178+'Income Statement'!AG179+'Income Statement'!AG180</f>
        <v>18.359447004608295</v>
      </c>
      <c r="AF58" s="105">
        <f>'Income Statement'!AH178+'Income Statement'!AH179+'Income Statement'!AH180</f>
        <v>19.71867007672634</v>
      </c>
      <c r="AG58" s="105">
        <f>'Income Statement'!AI178+'Income Statement'!AI179+'Income Statement'!AI180</f>
        <v>19.861253854059608</v>
      </c>
      <c r="AH58" s="105">
        <f>'Income Statement'!AJ178+'Income Statement'!AJ179+'Income Statement'!AJ180</f>
        <v>20.347082494969818</v>
      </c>
      <c r="AI58" s="105">
        <f>'Income Statement'!AL178+'Income Statement'!AL179+'Income Statement'!AL180</f>
        <v>0</v>
      </c>
      <c r="AJ58" s="105">
        <f>'Income Statement'!AM178+'Income Statement'!AM179+'Income Statement'!AM180</f>
        <v>0</v>
      </c>
      <c r="AK58" s="105">
        <f>'Income Statement'!AN178+'Income Statement'!AN179+'Income Statement'!AN180</f>
        <v>0</v>
      </c>
      <c r="AL58" s="105">
        <f>'Income Statement'!AO178+'Income Statement'!AO179+'Income Statement'!AO180</f>
        <v>0</v>
      </c>
      <c r="AM58" s="105">
        <f>'Income Statement'!AQ178+'Income Statement'!AQ179+'Income Statement'!AQ180</f>
        <v>0</v>
      </c>
      <c r="AN58" s="105">
        <f>'Income Statement'!AR178+'Income Statement'!AR179+'Income Statement'!AR180</f>
        <v>0</v>
      </c>
      <c r="AO58" s="105">
        <f>'Income Statement'!AS178+'Income Statement'!AS179+'Income Statement'!AS180</f>
        <v>0</v>
      </c>
      <c r="AP58" s="105">
        <f>'Income Statement'!AT178+'Income Statement'!AT179+'Income Statement'!AT180</f>
        <v>0</v>
      </c>
      <c r="AQ58" s="105"/>
      <c r="AR58" s="105"/>
      <c r="AS58" s="105"/>
      <c r="AT58" s="101"/>
      <c r="AU58" s="101"/>
      <c r="AV58" s="101"/>
      <c r="AW58" s="101"/>
      <c r="AX58" s="101"/>
      <c r="AY58" s="101"/>
      <c r="AZ58" s="101"/>
      <c r="BA58" s="101"/>
      <c r="BB58" s="101"/>
      <c r="BC58" s="101"/>
      <c r="BD58" s="101"/>
      <c r="BE58" s="101"/>
      <c r="BF58" s="101"/>
      <c r="BG58" s="101"/>
      <c r="BH58" s="101"/>
      <c r="BI58" s="101"/>
      <c r="BJ58" s="101"/>
      <c r="BK58" s="101"/>
      <c r="BL58" s="101"/>
      <c r="BM58" s="101"/>
      <c r="BN58" s="101"/>
      <c r="BO58" s="101"/>
      <c r="BP58" s="101"/>
      <c r="BQ58" s="101"/>
      <c r="BR58" s="101"/>
      <c r="BS58" s="101"/>
      <c r="BT58" s="101"/>
      <c r="BU58" s="101"/>
      <c r="BV58" s="101"/>
      <c r="BW58" s="101"/>
      <c r="BX58" s="101"/>
      <c r="BY58" s="101"/>
      <c r="BZ58" s="101"/>
      <c r="CA58" s="101"/>
      <c r="CB58" s="101"/>
      <c r="CG58" s="105">
        <f>'Income Statement'!Q178+'Income Statement'!Q179+'Income Statement'!Q180</f>
        <v>0</v>
      </c>
      <c r="CH58" s="105">
        <f>'Income Statement'!V178+'Income Statement'!V179+'Income Statement'!V180</f>
        <v>0</v>
      </c>
      <c r="CI58" s="105">
        <f>'Income Statement'!AA178+'Income Statement'!AA179+'Income Statement'!AA180</f>
        <v>9.8262163414447556</v>
      </c>
      <c r="CJ58" s="105">
        <f>'Income Statement'!AF178+'Income Statement'!AF179+'Income Statement'!AF180</f>
        <v>18.982930008900855</v>
      </c>
      <c r="CK58" s="105">
        <f>'Income Statement'!AK178+'Income Statement'!AK179+'Income Statement'!AK180</f>
        <v>18.285702690948291</v>
      </c>
      <c r="CL58" s="105">
        <f>'Income Statement'!AP178+'Income Statement'!AP179+'Income Statement'!AP180</f>
        <v>22.053035894027452</v>
      </c>
      <c r="CM58" s="101">
        <f>'Income Statement'!AU178+'Income Statement'!AU179+'Income Statement'!AU180</f>
        <v>25.08363598579129</v>
      </c>
      <c r="CN58" s="101">
        <f>'Income Statement'!AZ178+'Income Statement'!AZ179+'Income Statement'!AZ180</f>
        <v>27.57096809903102</v>
      </c>
      <c r="CO58" s="101">
        <f>'Income Statement'!BE178+'Income Statement'!BE179+'Income Statement'!BE180</f>
        <v>31.129673709375496</v>
      </c>
      <c r="CP58" s="101">
        <f>'Income Statement'!BJ178+'Income Statement'!BJ179+'Income Statement'!BJ180</f>
        <v>30.685367828132357</v>
      </c>
      <c r="CQ58" s="101">
        <f>'Income Statement'!BO178+'Income Statement'!BO179+'Income Statement'!BO180</f>
        <v>28.938910657422603</v>
      </c>
      <c r="CR58" s="101">
        <f>'Income Statement'!BT178+'Income Statement'!BT179+'Income Statement'!BT180</f>
        <v>28.367878470945932</v>
      </c>
      <c r="CS58" s="101">
        <f>'Income Statement'!BY178+'Income Statement'!BY179+'Income Statement'!BY180</f>
        <v>29.799720274481206</v>
      </c>
      <c r="CT58" s="101">
        <f>'Income Statement'!CD178+'Income Statement'!CD179+'Income Statement'!CD180</f>
        <v>30.011764092921847</v>
      </c>
      <c r="CU58" s="101">
        <f>'Income Statement'!CI178+'Income Statement'!CI179+'Income Statement'!CI180</f>
        <v>28.756222946731505</v>
      </c>
      <c r="CV58" s="101">
        <f>'Income Statement'!CN178+'Income Statement'!CN179+'Income Statement'!CN180</f>
        <v>27.585200533162968</v>
      </c>
      <c r="CW58" s="101">
        <f>'Income Statement'!CQ178+'Income Statement'!CQ179+'Income Statement'!CQ180</f>
        <v>28.034021920561663</v>
      </c>
      <c r="CX58" s="101">
        <f>'Income Statement'!CR178+'Income Statement'!CR179+'Income Statement'!CR180</f>
        <v>28.710525458442746</v>
      </c>
      <c r="CY58" s="101">
        <f>'Income Statement'!CS178+'Income Statement'!CS179+'Income Statement'!CS180</f>
        <v>29.503109503167749</v>
      </c>
    </row>
    <row r="59" spans="1:103">
      <c r="A59" s="100" t="s">
        <v>485</v>
      </c>
      <c r="B59" s="100"/>
      <c r="C59" s="101"/>
      <c r="D59" s="101"/>
      <c r="E59" s="101"/>
      <c r="F59" s="101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>
        <f>'Income Statement'!R178</f>
        <v>0</v>
      </c>
      <c r="T59" s="84">
        <f>'Income Statement'!S178</f>
        <v>0</v>
      </c>
      <c r="U59" s="84">
        <f>'Income Statement'!T178</f>
        <v>0</v>
      </c>
      <c r="V59" s="84">
        <f>'Income Statement'!U178</f>
        <v>0</v>
      </c>
      <c r="W59" s="84">
        <f>'Income Statement'!W178</f>
        <v>9.7819253438113947</v>
      </c>
      <c r="X59" s="84">
        <f>'Income Statement'!X178</f>
        <v>10.519942335415665</v>
      </c>
      <c r="Y59" s="84">
        <f>'Income Statement'!Y178</f>
        <v>9.7347531461761854</v>
      </c>
      <c r="Z59" s="84">
        <f>'Income Statement'!Z178</f>
        <v>10.459497868308858</v>
      </c>
      <c r="AA59" s="84">
        <f>'Income Statement'!AB178</f>
        <v>10.375605033881897</v>
      </c>
      <c r="AB59" s="84">
        <f>'Income Statement'!AC178</f>
        <v>11.037324285021812</v>
      </c>
      <c r="AC59" s="84">
        <f>'Income Statement'!AD178</f>
        <v>11.842028278888346</v>
      </c>
      <c r="AD59" s="84">
        <f>'Income Statement'!AE178</f>
        <v>12.685770750988143</v>
      </c>
      <c r="AE59" s="84">
        <f>'Income Statement'!AG178</f>
        <v>12.878648233486944</v>
      </c>
      <c r="AF59" s="84">
        <f>'Income Statement'!AH178</f>
        <v>14.475703324808183</v>
      </c>
      <c r="AG59" s="84">
        <f>'Income Statement'!AI178</f>
        <v>15.13360739979445</v>
      </c>
      <c r="AH59" s="84">
        <f>'Income Statement'!AJ178</f>
        <v>16.046277665995976</v>
      </c>
      <c r="AI59" s="84">
        <f>'Income Statement'!AL178</f>
        <v>0</v>
      </c>
      <c r="AJ59" s="84">
        <f>'Income Statement'!AM178</f>
        <v>0</v>
      </c>
      <c r="AK59" s="84">
        <f>'Income Statement'!AN178</f>
        <v>0</v>
      </c>
      <c r="AL59" s="84">
        <f>'Income Statement'!AO178</f>
        <v>0</v>
      </c>
      <c r="AM59" s="84">
        <f>'Income Statement'!AQ178</f>
        <v>0</v>
      </c>
      <c r="AN59" s="84">
        <f>'Income Statement'!AR178</f>
        <v>0</v>
      </c>
      <c r="AO59" s="84">
        <f>'Income Statement'!AS178</f>
        <v>0</v>
      </c>
      <c r="AP59" s="84">
        <f>'Income Statement'!AT178</f>
        <v>0</v>
      </c>
      <c r="AQ59" s="84"/>
      <c r="AR59" s="84"/>
      <c r="AS59" s="84"/>
      <c r="AT59" s="73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3"/>
      <c r="BI59" s="73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3"/>
      <c r="BX59" s="73"/>
      <c r="BY59" s="73"/>
      <c r="BZ59" s="73"/>
      <c r="CA59" s="73"/>
      <c r="CB59" s="73"/>
      <c r="CG59" s="84">
        <f>'Income Statement'!Q178</f>
        <v>0</v>
      </c>
      <c r="CH59" s="84">
        <f>'Income Statement'!V178</f>
        <v>0</v>
      </c>
      <c r="CI59" s="84">
        <f>'Income Statement'!AA178</f>
        <v>10.348806366047747</v>
      </c>
      <c r="CJ59" s="84">
        <f>'Income Statement'!AF178</f>
        <v>11.485544050277806</v>
      </c>
      <c r="CK59" s="84">
        <f>'Income Statement'!AK178</f>
        <v>14.597365406643757</v>
      </c>
      <c r="CL59" s="84">
        <f>'Income Statement'!AP178</f>
        <v>17.697469135802468</v>
      </c>
      <c r="CM59" s="73">
        <f>'Income Statement'!AU178</f>
        <v>22.351949045785805</v>
      </c>
      <c r="CN59" s="73">
        <f>'Income Statement'!AZ178</f>
        <v>27.30399960429342</v>
      </c>
      <c r="CO59" s="73">
        <f>'Income Statement'!BE178</f>
        <v>44.709286435319846</v>
      </c>
      <c r="CP59" s="73">
        <f>'Income Statement'!BJ178</f>
        <v>59.389964393818808</v>
      </c>
      <c r="CQ59" s="73">
        <f>'Income Statement'!BO178</f>
        <v>71.358265818804369</v>
      </c>
      <c r="CR59" s="73">
        <f>'Income Statement'!BT178</f>
        <v>68.551152998541355</v>
      </c>
      <c r="CS59" s="73">
        <f>'Income Statement'!BY178</f>
        <v>29.696277525065174</v>
      </c>
      <c r="CT59" s="73">
        <f>'Income Statement'!CD178</f>
        <v>0</v>
      </c>
      <c r="CU59" s="73">
        <f>'Income Statement'!CI178</f>
        <v>0</v>
      </c>
      <c r="CV59" s="73">
        <f>'Income Statement'!CN178</f>
        <v>0</v>
      </c>
      <c r="CW59" s="73">
        <f>'Income Statement'!CQ178</f>
        <v>0</v>
      </c>
      <c r="CX59" s="73">
        <f>'Income Statement'!CR178</f>
        <v>0</v>
      </c>
      <c r="CY59" s="73">
        <f>'Income Statement'!CS178</f>
        <v>0</v>
      </c>
    </row>
    <row r="60" spans="1:103">
      <c r="A60" s="100" t="s">
        <v>486</v>
      </c>
      <c r="B60" s="100"/>
      <c r="C60" s="106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>
        <f>'Income Statement'!R129</f>
        <v>0</v>
      </c>
      <c r="T60" s="106">
        <f>'Income Statement'!S129</f>
        <v>0</v>
      </c>
      <c r="U60" s="106">
        <f>'Income Statement'!T129</f>
        <v>0</v>
      </c>
      <c r="V60" s="106">
        <f>'Income Statement'!U129</f>
        <v>0</v>
      </c>
      <c r="W60" s="106">
        <f>'Income Statement'!W129</f>
        <v>0.24124614089250632</v>
      </c>
      <c r="X60" s="106">
        <f>'Income Statement'!X129</f>
        <v>0.23702890094048193</v>
      </c>
      <c r="Y60" s="106">
        <f>'Income Statement'!Y129</f>
        <v>0.23915779283639882</v>
      </c>
      <c r="Z60" s="106">
        <f>'Income Statement'!Z129</f>
        <v>0.22751819473752208</v>
      </c>
      <c r="AA60" s="106">
        <f>'Income Statement'!AB129</f>
        <v>0.1781219748305905</v>
      </c>
      <c r="AB60" s="106">
        <f>'Income Statement'!AC129</f>
        <v>0.18152553537914665</v>
      </c>
      <c r="AC60" s="106">
        <f>'Income Statement'!AD129</f>
        <v>0.19426200514335426</v>
      </c>
      <c r="AD60" s="106">
        <f>'Income Statement'!AE129</f>
        <v>0.1941444600280505</v>
      </c>
      <c r="AE60" s="106">
        <f>'Income Statement'!AG129</f>
        <v>0.19247112334669941</v>
      </c>
      <c r="AF60" s="106">
        <f>'Income Statement'!AH129</f>
        <v>0.18808279455449478</v>
      </c>
      <c r="AG60" s="106">
        <f>'Income Statement'!AI129</f>
        <v>0.18265906755115388</v>
      </c>
      <c r="AH60" s="106">
        <f>'Income Statement'!AJ129</f>
        <v>0.17650546133946537</v>
      </c>
      <c r="AI60" s="106">
        <f>'Income Statement'!AL129</f>
        <v>0</v>
      </c>
      <c r="AJ60" s="106">
        <f>'Income Statement'!AM129</f>
        <v>0</v>
      </c>
      <c r="AK60" s="106">
        <f>'Income Statement'!AN129</f>
        <v>0</v>
      </c>
      <c r="AL60" s="106">
        <f>'Income Statement'!AO129</f>
        <v>0</v>
      </c>
      <c r="AM60" s="106">
        <f>'Income Statement'!AQ129</f>
        <v>0</v>
      </c>
      <c r="AN60" s="106">
        <f>'Income Statement'!AR129</f>
        <v>0</v>
      </c>
      <c r="AO60" s="106">
        <f>'Income Statement'!AS129</f>
        <v>0</v>
      </c>
      <c r="AP60" s="106">
        <f>'Income Statement'!AT129</f>
        <v>0</v>
      </c>
      <c r="AQ60" s="106"/>
      <c r="AR60" s="106"/>
      <c r="AS60" s="106"/>
      <c r="AT60" s="106"/>
      <c r="AU60" s="106"/>
      <c r="AV60" s="106"/>
      <c r="AW60" s="106"/>
      <c r="AX60" s="106"/>
      <c r="AY60" s="106"/>
      <c r="AZ60" s="106"/>
      <c r="BA60" s="106"/>
      <c r="BB60" s="106"/>
      <c r="BC60" s="106"/>
      <c r="BD60" s="106"/>
      <c r="BE60" s="106"/>
      <c r="BF60" s="106"/>
      <c r="BG60" s="106"/>
      <c r="BH60" s="106"/>
      <c r="BI60" s="106"/>
      <c r="BJ60" s="106"/>
      <c r="BK60" s="106"/>
      <c r="BL60" s="106"/>
      <c r="BM60" s="106"/>
      <c r="BN60" s="106"/>
      <c r="BO60" s="106"/>
      <c r="BP60" s="106"/>
      <c r="BQ60" s="106"/>
      <c r="BR60" s="106"/>
      <c r="BS60" s="106"/>
      <c r="BT60" s="106"/>
      <c r="BU60" s="106"/>
      <c r="BV60" s="106"/>
      <c r="BW60" s="106"/>
      <c r="BX60" s="106"/>
      <c r="BY60" s="106"/>
      <c r="BZ60" s="106"/>
      <c r="CA60" s="106"/>
      <c r="CB60" s="106"/>
      <c r="CG60" s="106">
        <f>'Income Statement'!Q129</f>
        <v>0</v>
      </c>
      <c r="CH60" s="106">
        <f>'Income Statement'!V129</f>
        <v>0</v>
      </c>
      <c r="CI60" s="106">
        <f>'Income Statement'!AA129</f>
        <v>0.2377262785611243</v>
      </c>
      <c r="CJ60" s="106">
        <f>'Income Statement'!AF129</f>
        <v>0.18513086497597331</v>
      </c>
      <c r="CK60" s="106">
        <f>'Income Statement'!AK129</f>
        <v>0.18688045559360092</v>
      </c>
      <c r="CL60" s="106">
        <f>'Income Statement'!AP129</f>
        <v>0.1870748242364092</v>
      </c>
      <c r="CM60" s="106">
        <f>'Income Statement'!AU129</f>
        <v>0.18146257950931691</v>
      </c>
      <c r="CN60" s="106">
        <f>'Income Statement'!AZ129</f>
        <v>0.17601870212403739</v>
      </c>
      <c r="CO60" s="106">
        <f>'Income Statement'!BE129</f>
        <v>0.1672177670178355</v>
      </c>
      <c r="CP60" s="106">
        <f>'Income Statement'!BJ129</f>
        <v>0.16387341167747879</v>
      </c>
      <c r="CQ60" s="106">
        <f>'Income Statement'!BO129</f>
        <v>0.16059594344392922</v>
      </c>
      <c r="CR60" s="106">
        <f>'Income Statement'!BT129</f>
        <v>0.15738402457505063</v>
      </c>
      <c r="CS60" s="106">
        <f>'Income Statement'!BY129</f>
        <v>0.15423634408354961</v>
      </c>
      <c r="CT60" s="106">
        <f>'Income Statement'!CD129</f>
        <v>0.15115161720187861</v>
      </c>
      <c r="CU60" s="106">
        <f>'Income Statement'!CI129</f>
        <v>0.14812858485784103</v>
      </c>
      <c r="CV60" s="106">
        <f>'Income Statement'!CN129</f>
        <v>0.1451660131606842</v>
      </c>
      <c r="CW60" s="106">
        <f>'Income Statement'!CQ129</f>
        <v>0.14226269289747051</v>
      </c>
      <c r="CX60" s="106">
        <f>'Income Statement'!CR129</f>
        <v>0.13941743903952108</v>
      </c>
      <c r="CY60" s="106">
        <f>'Income Statement'!CS129</f>
        <v>0.13662909025873066</v>
      </c>
    </row>
    <row r="61" spans="1:103">
      <c r="A61" s="100" t="s">
        <v>487</v>
      </c>
      <c r="B61" s="100"/>
      <c r="C61" s="101"/>
      <c r="D61" s="101"/>
      <c r="E61" s="101"/>
      <c r="F61" s="101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3"/>
      <c r="AT61" s="73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3"/>
      <c r="BI61" s="73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3"/>
      <c r="BX61" s="73"/>
      <c r="BY61" s="73"/>
      <c r="BZ61" s="73"/>
      <c r="CA61" s="73"/>
      <c r="CB61" s="73"/>
      <c r="CG61" s="73"/>
      <c r="CH61" s="73"/>
      <c r="CI61" s="73"/>
      <c r="CJ61" s="73"/>
      <c r="CK61" s="73"/>
      <c r="CL61" s="73"/>
      <c r="CM61" s="73"/>
      <c r="CN61" s="73"/>
      <c r="CO61" s="73"/>
      <c r="CP61" s="73"/>
      <c r="CQ61" s="73"/>
      <c r="CR61" s="73"/>
      <c r="CS61" s="73"/>
      <c r="CT61" s="73"/>
      <c r="CU61" s="73"/>
      <c r="CV61" s="73"/>
      <c r="CW61" s="73"/>
      <c r="CX61" s="73"/>
      <c r="CY61" s="73"/>
    </row>
    <row r="62" spans="1:103">
      <c r="A62" s="107" t="s">
        <v>488</v>
      </c>
      <c r="B62" s="107"/>
      <c r="C62" s="106"/>
      <c r="D62" s="106"/>
      <c r="E62" s="106"/>
      <c r="F62" s="106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>
        <f>'Income Statement'!AC193</f>
        <v>0</v>
      </c>
      <c r="AC62" s="74">
        <f>'Income Statement'!AD193</f>
        <v>0</v>
      </c>
      <c r="AD62" s="74">
        <f>'Income Statement'!AE193</f>
        <v>0</v>
      </c>
      <c r="AE62" s="74">
        <f>'Income Statement'!AG193</f>
        <v>0</v>
      </c>
      <c r="AF62" s="74">
        <f>'Income Statement'!AH193</f>
        <v>0</v>
      </c>
      <c r="AG62" s="74">
        <f>'Income Statement'!AI193</f>
        <v>0</v>
      </c>
      <c r="AH62" s="74">
        <f>'Income Statement'!AJ193</f>
        <v>0</v>
      </c>
      <c r="AI62" s="74">
        <f>'Income Statement'!AL193</f>
        <v>0</v>
      </c>
      <c r="AJ62" s="74">
        <f>'Income Statement'!AM193</f>
        <v>0</v>
      </c>
      <c r="AK62" s="74">
        <f>'Income Statement'!AN193</f>
        <v>0</v>
      </c>
      <c r="AL62" s="74">
        <f>'Income Statement'!AO193</f>
        <v>0</v>
      </c>
      <c r="AM62" s="74">
        <f>'Income Statement'!AQ193</f>
        <v>0</v>
      </c>
      <c r="AN62" s="74">
        <f>'Income Statement'!AR193</f>
        <v>0</v>
      </c>
      <c r="AO62" s="74">
        <f>'Income Statement'!AS193</f>
        <v>0</v>
      </c>
      <c r="AP62" s="74">
        <f>'Income Statement'!AT193</f>
        <v>0</v>
      </c>
      <c r="AQ62" s="74"/>
      <c r="AR62" s="74"/>
      <c r="AS62" s="74"/>
      <c r="AT62" s="74"/>
      <c r="AU62" s="74"/>
      <c r="AV62" s="74"/>
      <c r="AW62" s="74"/>
      <c r="AX62" s="74"/>
      <c r="AY62" s="74"/>
      <c r="AZ62" s="74"/>
      <c r="BA62" s="74"/>
      <c r="BB62" s="74"/>
      <c r="BC62" s="74"/>
      <c r="BD62" s="74"/>
      <c r="BE62" s="74"/>
      <c r="BF62" s="74"/>
      <c r="BG62" s="74"/>
      <c r="BH62" s="74"/>
      <c r="BI62" s="74"/>
      <c r="BJ62" s="74"/>
      <c r="BK62" s="74"/>
      <c r="BL62" s="74"/>
      <c r="BM62" s="74"/>
      <c r="BN62" s="74"/>
      <c r="BO62" s="74"/>
      <c r="BP62" s="74"/>
      <c r="BQ62" s="74"/>
      <c r="BR62" s="74"/>
      <c r="BS62" s="74"/>
      <c r="BT62" s="74"/>
      <c r="BU62" s="74"/>
      <c r="BV62" s="74"/>
      <c r="BW62" s="74"/>
      <c r="BX62" s="74"/>
      <c r="BY62" s="74"/>
      <c r="BZ62" s="74"/>
      <c r="CA62" s="74"/>
      <c r="CB62" s="74"/>
      <c r="CG62" s="74">
        <f>'Income Statement'!Q193</f>
        <v>0</v>
      </c>
      <c r="CH62" s="74">
        <f>'Income Statement'!V193</f>
        <v>0</v>
      </c>
      <c r="CI62" s="74">
        <f>'Income Statement'!AA193</f>
        <v>0</v>
      </c>
      <c r="CJ62" s="74">
        <f>'Income Statement'!AF193</f>
        <v>0</v>
      </c>
      <c r="CK62" s="74">
        <f>'Income Statement'!AK193</f>
        <v>0</v>
      </c>
      <c r="CL62" s="74">
        <f>'Income Statement'!AP193</f>
        <v>0</v>
      </c>
      <c r="CM62" s="74">
        <f>'Income Statement'!AU193</f>
        <v>11.65217391304348</v>
      </c>
      <c r="CN62" s="74">
        <f>'Income Statement'!AZ193</f>
        <v>7.9234782608695662</v>
      </c>
      <c r="CO62" s="74">
        <f>'Income Statement'!BE193</f>
        <v>6.5764869565217392</v>
      </c>
      <c r="CP62" s="74">
        <f>'Income Statement'!BJ193</f>
        <v>5.5143843130434789</v>
      </c>
      <c r="CQ62" s="74">
        <f>'Income Statement'!BO193</f>
        <v>4.6683398998147831</v>
      </c>
      <c r="CR62" s="74">
        <f>'Income Statement'!BT193</f>
        <v>3.9879118531421542</v>
      </c>
      <c r="CS62" s="74">
        <f>'Income Statement'!BY193</f>
        <v>3.4357214012404818</v>
      </c>
      <c r="CT62" s="74">
        <f>'Income Statement'!CD193</f>
        <v>3.0789232905329174</v>
      </c>
      <c r="CU62" s="74">
        <f>'Income Statement'!CI193</f>
        <v>2.8231274596651352</v>
      </c>
      <c r="CV62" s="74">
        <f>'Income Statement'!CN193</f>
        <v>2.6354919348929151</v>
      </c>
      <c r="CW62" s="74">
        <f>'Income Statement'!CQ193</f>
        <v>2.4953602775584658</v>
      </c>
      <c r="CX62" s="74">
        <f>'Income Statement'!CR193</f>
        <v>2.3892157003852397</v>
      </c>
      <c r="CY62" s="74">
        <f>'Income Statement'!CS193</f>
        <v>2.2875861711450147</v>
      </c>
    </row>
    <row r="63" spans="1:103">
      <c r="A63" s="107" t="s">
        <v>790</v>
      </c>
      <c r="B63" s="107"/>
      <c r="C63" s="106"/>
      <c r="D63" s="106"/>
      <c r="E63" s="106"/>
      <c r="F63" s="106"/>
      <c r="G63" s="105"/>
      <c r="H63" s="105"/>
      <c r="I63" s="105"/>
      <c r="J63" s="105"/>
      <c r="K63" s="105"/>
      <c r="L63" s="105"/>
      <c r="M63" s="105"/>
      <c r="N63" s="105"/>
      <c r="O63" s="105"/>
      <c r="P63" s="105"/>
      <c r="Q63" s="105"/>
      <c r="R63" s="105"/>
      <c r="S63" s="105"/>
      <c r="T63" s="105"/>
      <c r="U63" s="105"/>
      <c r="V63" s="105"/>
      <c r="W63" s="105"/>
      <c r="X63" s="105"/>
      <c r="Y63" s="105"/>
      <c r="Z63" s="105"/>
      <c r="AA63" s="105"/>
      <c r="AB63" s="105"/>
      <c r="AC63" s="105"/>
      <c r="AD63" s="105"/>
      <c r="AE63" s="105"/>
      <c r="AF63" s="105"/>
      <c r="AG63" s="105"/>
      <c r="AH63" s="105"/>
      <c r="AI63" s="105"/>
      <c r="AJ63" s="105"/>
      <c r="AK63" s="105"/>
      <c r="AL63" s="105">
        <f>'Income Statement'!AO203</f>
        <v>0</v>
      </c>
      <c r="AM63" s="105">
        <f>'Income Statement'!AQ203</f>
        <v>1.63</v>
      </c>
      <c r="AN63" s="105">
        <f>'Income Statement'!AR203</f>
        <v>2.21</v>
      </c>
      <c r="AO63" s="105">
        <f>'Income Statement'!AS203</f>
        <v>2.84</v>
      </c>
      <c r="AP63" s="105">
        <f>'Income Statement'!AT203</f>
        <v>3.66</v>
      </c>
      <c r="AQ63" s="105">
        <f>'Income Statement'!AV203</f>
        <v>4.29</v>
      </c>
      <c r="AR63" s="105">
        <f>'Income Statement'!AW203</f>
        <v>5.0199999999999996</v>
      </c>
      <c r="AS63" s="105">
        <f>'Income Statement'!AX203</f>
        <v>5.59</v>
      </c>
      <c r="AT63" s="105">
        <f>'Income Statement'!AY203</f>
        <v>6.72</v>
      </c>
      <c r="AU63" s="105">
        <f>'Income Statement'!BA203</f>
        <v>7.65</v>
      </c>
      <c r="AV63" s="105">
        <f>'Income Statement'!BB203</f>
        <v>9.08</v>
      </c>
      <c r="AW63" s="105">
        <f>'Income Statement'!BC203</f>
        <v>10.67</v>
      </c>
      <c r="AX63" s="105">
        <f>'Income Statement'!BD203</f>
        <v>10.92</v>
      </c>
      <c r="AY63" s="105">
        <f>'Income Statement'!BF203</f>
        <v>11.7</v>
      </c>
      <c r="AZ63" s="105">
        <f>'Income Statement'!BG203</f>
        <v>13.67</v>
      </c>
      <c r="BA63" s="105">
        <f>'Income Statement'!BH203</f>
        <v>15.16</v>
      </c>
      <c r="BB63" s="105">
        <f>'Income Statement'!BI203</f>
        <v>14.99</v>
      </c>
      <c r="BC63" s="105">
        <f>'Income Statement'!BK203</f>
        <v>16.809999999999999</v>
      </c>
      <c r="BD63" s="105">
        <f>'Income Statement'!BL203</f>
        <v>21.07</v>
      </c>
      <c r="BE63" s="105">
        <f>'Income Statement'!BM203</f>
        <v>19.489999999999998</v>
      </c>
      <c r="BF63" s="105">
        <f>'Income Statement'!BN203</f>
        <v>20.75</v>
      </c>
      <c r="BG63" s="105">
        <f>'Income Statement'!BP203</f>
        <v>21.58</v>
      </c>
      <c r="BH63" s="105">
        <f>'Income Statement'!BQ203</f>
        <v>24.4</v>
      </c>
      <c r="BI63" s="105">
        <f>'Income Statement'!BR203</f>
        <v>24.97</v>
      </c>
      <c r="BJ63" s="105">
        <f>'Income Statement'!BS203</f>
        <v>24.4</v>
      </c>
      <c r="BK63" s="105">
        <f>'Income Statement'!BU203</f>
        <v>24.2</v>
      </c>
      <c r="BL63" s="105">
        <f>'Income Statement'!BV203</f>
        <v>24.9</v>
      </c>
      <c r="BM63" s="105">
        <f>'Income Statement'!BW203</f>
        <v>26.3</v>
      </c>
      <c r="BN63" s="105">
        <f>'Income Statement'!BX203</f>
        <v>26.6</v>
      </c>
      <c r="BO63" s="105">
        <f>'Income Statement'!BZ203</f>
        <v>25.2</v>
      </c>
      <c r="BP63" s="105">
        <f>'Income Statement'!CA203</f>
        <v>26.1</v>
      </c>
      <c r="BQ63" s="105">
        <f>'Income Statement'!CB203</f>
        <v>26.9</v>
      </c>
      <c r="BR63" s="105">
        <f>'Income Statement'!CC203</f>
        <v>27.8</v>
      </c>
      <c r="BS63" s="105">
        <f>'Income Statement'!CE203</f>
        <v>29.5</v>
      </c>
      <c r="BT63" s="105">
        <f>'Income Statement'!CF203</f>
        <v>29.7</v>
      </c>
      <c r="BU63" s="105">
        <f>'Income Statement'!CG203</f>
        <v>30.1</v>
      </c>
      <c r="BV63" s="105">
        <f>'Income Statement'!CH203</f>
        <v>31.3</v>
      </c>
      <c r="BW63" s="105">
        <f>'Income Statement'!CJ203</f>
        <v>33.200000000000003</v>
      </c>
      <c r="BX63" s="105">
        <f>'Income Statement'!CK203</f>
        <v>34.299999999999997</v>
      </c>
      <c r="BY63" s="105">
        <f>'Income Statement'!CL203</f>
        <v>35.799999999999997</v>
      </c>
      <c r="BZ63" s="105">
        <f>'Income Statement'!CM203</f>
        <v>39.1</v>
      </c>
      <c r="CA63" s="105">
        <f>'Income Statement'!CO203</f>
        <v>40.1</v>
      </c>
      <c r="CB63" s="105">
        <f>'Income Statement'!CP203</f>
        <v>40.799999999999997</v>
      </c>
      <c r="CG63" s="74"/>
      <c r="CH63" s="74"/>
      <c r="CI63" s="74"/>
      <c r="CJ63" s="74"/>
      <c r="CK63" s="74"/>
      <c r="CL63" s="74"/>
      <c r="CM63" s="74"/>
      <c r="CN63" s="74"/>
      <c r="CO63" s="74"/>
      <c r="CP63" s="74"/>
      <c r="CQ63" s="74"/>
      <c r="CR63" s="74"/>
      <c r="CS63" s="74"/>
      <c r="CT63" s="74"/>
      <c r="CU63" s="74"/>
      <c r="CV63" s="74"/>
      <c r="CW63" s="74"/>
      <c r="CX63" s="74"/>
      <c r="CY63" s="74"/>
    </row>
    <row r="64" spans="1:103">
      <c r="A64" s="107" t="s">
        <v>791</v>
      </c>
      <c r="B64" s="107"/>
      <c r="C64" s="106"/>
      <c r="D64" s="106"/>
      <c r="E64" s="106"/>
      <c r="F64" s="106"/>
      <c r="G64" s="105"/>
      <c r="H64" s="105"/>
      <c r="I64" s="105"/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  <c r="V64" s="105"/>
      <c r="W64" s="105"/>
      <c r="X64" s="105"/>
      <c r="Y64" s="105"/>
      <c r="Z64" s="105"/>
      <c r="AA64" s="105"/>
      <c r="AB64" s="105"/>
      <c r="AC64" s="105"/>
      <c r="AD64" s="105"/>
      <c r="AE64" s="105"/>
      <c r="AF64" s="105"/>
      <c r="AG64" s="105"/>
      <c r="AH64" s="105"/>
      <c r="AI64" s="105"/>
      <c r="AJ64" s="105"/>
      <c r="AK64" s="105"/>
      <c r="AL64" s="105">
        <f>'Income Statement'!AO207</f>
        <v>1.44</v>
      </c>
      <c r="AM64" s="105">
        <f>'Income Statement'!AQ207</f>
        <v>1.55</v>
      </c>
      <c r="AN64" s="105">
        <f>'Income Statement'!AR207</f>
        <v>2</v>
      </c>
      <c r="AO64" s="105">
        <f>'Income Statement'!AS207</f>
        <v>2.6</v>
      </c>
      <c r="AP64" s="105">
        <f>'Income Statement'!AT207</f>
        <v>3.27</v>
      </c>
      <c r="AQ64" s="105">
        <f>'Income Statement'!AV207</f>
        <v>3.7</v>
      </c>
      <c r="AR64" s="105">
        <f>'Income Statement'!AW207</f>
        <v>4.29</v>
      </c>
      <c r="AS64" s="105">
        <f>'Income Statement'!AX207</f>
        <v>4.78</v>
      </c>
      <c r="AT64" s="105">
        <f>'Income Statement'!AY207</f>
        <v>5.87</v>
      </c>
      <c r="AU64" s="105">
        <f>'Income Statement'!BA207</f>
        <v>6.73</v>
      </c>
      <c r="AV64" s="105">
        <f>'Income Statement'!BB207</f>
        <v>8.1999999999999993</v>
      </c>
      <c r="AW64" s="105">
        <f>'Income Statement'!BC207</f>
        <v>10.24</v>
      </c>
      <c r="AX64" s="105">
        <f>'Income Statement'!BD207</f>
        <v>10.36</v>
      </c>
      <c r="AY64" s="105">
        <f>'Income Statement'!BF207</f>
        <v>11.47</v>
      </c>
      <c r="AZ64" s="105">
        <f>'Income Statement'!BG207</f>
        <v>13.72</v>
      </c>
      <c r="BA64" s="105">
        <f>'Income Statement'!BH207</f>
        <v>15.21</v>
      </c>
      <c r="BB64" s="105">
        <f>'Income Statement'!BI207</f>
        <v>14.75</v>
      </c>
      <c r="BC64" s="105">
        <f>'Income Statement'!BK207</f>
        <v>16.89</v>
      </c>
      <c r="BD64" s="105">
        <f>'Income Statement'!BL207</f>
        <v>22.53</v>
      </c>
      <c r="BE64" s="105">
        <f>'Income Statement'!BM207</f>
        <v>19.07</v>
      </c>
      <c r="BF64" s="105">
        <f>'Income Statement'!BN207</f>
        <v>19.29</v>
      </c>
      <c r="BG64" s="105">
        <f>'Income Statement'!BP207</f>
        <v>20.89</v>
      </c>
      <c r="BH64" s="105">
        <f>'Income Statement'!BQ207</f>
        <v>23.72</v>
      </c>
      <c r="BI64" s="105">
        <f>'Income Statement'!BR207</f>
        <v>23.21</v>
      </c>
      <c r="BJ64" s="105">
        <f>'Income Statement'!BS207</f>
        <v>22.6</v>
      </c>
      <c r="BK64" s="105">
        <f>'Income Statement'!BU207</f>
        <v>22.3</v>
      </c>
      <c r="BL64" s="105">
        <f>'Income Statement'!BV207</f>
        <v>23.2</v>
      </c>
      <c r="BM64" s="105">
        <f>'Income Statement'!BW207</f>
        <v>24.6</v>
      </c>
      <c r="BN64" s="105">
        <f>'Income Statement'!BX207</f>
        <v>24.9</v>
      </c>
      <c r="BO64" s="105">
        <f>'Income Statement'!BZ207</f>
        <v>23.7</v>
      </c>
      <c r="BP64" s="105">
        <f>'Income Statement'!CA207</f>
        <v>24.7</v>
      </c>
      <c r="BQ64" s="105">
        <f>'Income Statement'!CB207</f>
        <v>25.2</v>
      </c>
      <c r="BR64" s="105">
        <f>'Income Statement'!CC207</f>
        <v>26.2</v>
      </c>
      <c r="BS64" s="105">
        <f>'Income Statement'!CE207</f>
        <v>27.9</v>
      </c>
      <c r="BT64" s="105">
        <f>'Income Statement'!CF207</f>
        <v>27.9</v>
      </c>
      <c r="BU64" s="105">
        <f>'Income Statement'!CG207</f>
        <v>28.2</v>
      </c>
      <c r="BV64" s="105">
        <f>'Income Statement'!CH207</f>
        <v>29.5</v>
      </c>
      <c r="BW64" s="105">
        <f>'Income Statement'!CJ207</f>
        <v>31.9</v>
      </c>
      <c r="BX64" s="105">
        <f>'Income Statement'!CK207</f>
        <v>32.700000000000003</v>
      </c>
      <c r="BY64" s="105">
        <f>'Income Statement'!CL207</f>
        <v>34</v>
      </c>
      <c r="BZ64" s="105">
        <f>'Income Statement'!CM207</f>
        <v>37.1</v>
      </c>
      <c r="CA64" s="105">
        <f>'Income Statement'!CO207</f>
        <v>38.299999999999997</v>
      </c>
      <c r="CB64" s="105">
        <f>'Income Statement'!CP207</f>
        <v>37.9</v>
      </c>
      <c r="CG64" s="74"/>
      <c r="CH64" s="74"/>
      <c r="CI64" s="74"/>
      <c r="CJ64" s="74"/>
      <c r="CK64" s="74"/>
      <c r="CL64" s="74"/>
      <c r="CM64" s="74"/>
      <c r="CN64" s="74"/>
      <c r="CO64" s="74"/>
      <c r="CP64" s="74"/>
      <c r="CQ64" s="74"/>
      <c r="CR64" s="74"/>
      <c r="CS64" s="74"/>
      <c r="CT64" s="74"/>
      <c r="CU64" s="74"/>
      <c r="CV64" s="74"/>
      <c r="CW64" s="74"/>
      <c r="CX64" s="74"/>
      <c r="CY64" s="74"/>
    </row>
    <row r="65" spans="1:103">
      <c r="A65" s="107" t="s">
        <v>792</v>
      </c>
      <c r="B65" s="100"/>
      <c r="C65" s="101"/>
      <c r="D65" s="101"/>
      <c r="E65" s="101"/>
      <c r="F65" s="101"/>
      <c r="G65" s="105"/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5"/>
      <c r="Z65" s="105"/>
      <c r="AA65" s="105"/>
      <c r="AB65" s="105"/>
      <c r="AC65" s="105"/>
      <c r="AD65" s="105"/>
      <c r="AE65" s="105"/>
      <c r="AF65" s="105"/>
      <c r="AG65" s="105"/>
      <c r="AH65" s="105"/>
      <c r="AI65" s="105"/>
      <c r="AJ65" s="105"/>
      <c r="AK65" s="105"/>
      <c r="AL65" s="105">
        <f>'Income Statement'!AO205</f>
        <v>1.88</v>
      </c>
      <c r="AM65" s="105">
        <f>'Income Statement'!AQ205</f>
        <v>1.93</v>
      </c>
      <c r="AN65" s="105">
        <f>'Income Statement'!AR205</f>
        <v>2.95</v>
      </c>
      <c r="AO65" s="105">
        <f>'Income Statement'!AS205</f>
        <v>3.67</v>
      </c>
      <c r="AP65" s="105">
        <f>'Income Statement'!AT205</f>
        <v>4.93</v>
      </c>
      <c r="AQ65" s="105">
        <f>'Income Statement'!AV205</f>
        <v>6.2</v>
      </c>
      <c r="AR65" s="105">
        <f>'Income Statement'!AW205</f>
        <v>7.13</v>
      </c>
      <c r="AS65" s="105">
        <f>'Income Statement'!AX205</f>
        <v>7.75</v>
      </c>
      <c r="AT65" s="105">
        <f>'Income Statement'!AY205</f>
        <v>8.8800000000000008</v>
      </c>
      <c r="AU65" s="105">
        <f>'Income Statement'!BA205</f>
        <v>9.8800000000000008</v>
      </c>
      <c r="AV65" s="105">
        <f>'Income Statement'!BB205</f>
        <v>11.17</v>
      </c>
      <c r="AW65" s="105">
        <f>'Income Statement'!BC205</f>
        <v>11.66</v>
      </c>
      <c r="AX65" s="105">
        <f>'Income Statement'!BD205</f>
        <v>12.16</v>
      </c>
      <c r="AY65" s="105">
        <f>'Income Statement'!BF205</f>
        <v>12.17</v>
      </c>
      <c r="AZ65" s="105">
        <f>'Income Statement'!BG205</f>
        <v>13.59</v>
      </c>
      <c r="BA65" s="105">
        <f>'Income Statement'!BH205</f>
        <v>15.06</v>
      </c>
      <c r="BB65" s="105">
        <f>'Income Statement'!BI205</f>
        <v>15.42</v>
      </c>
      <c r="BC65" s="105">
        <f>'Income Statement'!BK205</f>
        <v>16.68</v>
      </c>
      <c r="BD65" s="105">
        <f>'Income Statement'!BL205</f>
        <v>18.62</v>
      </c>
      <c r="BE65" s="105">
        <f>'Income Statement'!BM205</f>
        <v>20.21</v>
      </c>
      <c r="BF65" s="105">
        <f>'Income Statement'!BN205</f>
        <v>23.33</v>
      </c>
      <c r="BG65" s="105">
        <f>'Income Statement'!BP205</f>
        <v>22.81</v>
      </c>
      <c r="BH65" s="105">
        <f>'Income Statement'!BQ205</f>
        <v>25.59</v>
      </c>
      <c r="BI65" s="105">
        <f>'Income Statement'!BR205</f>
        <v>28.04</v>
      </c>
      <c r="BJ65" s="105">
        <f>'Income Statement'!BS205</f>
        <v>27.4</v>
      </c>
      <c r="BK65" s="105">
        <f>'Income Statement'!BU205</f>
        <v>27.2</v>
      </c>
      <c r="BL65" s="105">
        <f>'Income Statement'!BV205</f>
        <v>27.9</v>
      </c>
      <c r="BM65" s="105">
        <f>'Income Statement'!BW205</f>
        <v>29.1</v>
      </c>
      <c r="BN65" s="105">
        <f>'Income Statement'!BX205</f>
        <v>29.3</v>
      </c>
      <c r="BO65" s="105">
        <f>'Income Statement'!BZ205</f>
        <v>27.5</v>
      </c>
      <c r="BP65" s="105">
        <f>'Income Statement'!CA205</f>
        <v>28.4</v>
      </c>
      <c r="BQ65" s="105">
        <f>'Income Statement'!CB205</f>
        <v>29.5</v>
      </c>
      <c r="BR65" s="105">
        <f>'Income Statement'!CC205</f>
        <v>30.4</v>
      </c>
      <c r="BS65" s="105">
        <f>'Income Statement'!CE205</f>
        <v>32</v>
      </c>
      <c r="BT65" s="105">
        <f>'Income Statement'!CF205</f>
        <v>32.5</v>
      </c>
      <c r="BU65" s="105">
        <f>'Income Statement'!CG205</f>
        <v>32.799999999999997</v>
      </c>
      <c r="BV65" s="105">
        <f>'Income Statement'!CH205</f>
        <v>33.799999999999997</v>
      </c>
      <c r="BW65" s="105">
        <f>'Income Statement'!CJ205</f>
        <v>35</v>
      </c>
      <c r="BX65" s="105">
        <f>'Income Statement'!CK205</f>
        <v>36.6</v>
      </c>
      <c r="BY65" s="105">
        <f>'Income Statement'!CL205</f>
        <v>38.4</v>
      </c>
      <c r="BZ65" s="105">
        <f>'Income Statement'!CM205</f>
        <v>42</v>
      </c>
      <c r="CA65" s="105">
        <f>'Income Statement'!CO205</f>
        <v>42.6</v>
      </c>
      <c r="CB65" s="105">
        <f>'Income Statement'!CP205</f>
        <v>44.8</v>
      </c>
      <c r="CG65" s="73"/>
      <c r="CH65" s="73"/>
      <c r="CI65" s="73"/>
      <c r="CJ65" s="73"/>
      <c r="CK65" s="73"/>
      <c r="CL65" s="73"/>
      <c r="CM65" s="73"/>
      <c r="CN65" s="73"/>
      <c r="CO65" s="73"/>
      <c r="CP65" s="73"/>
      <c r="CQ65" s="73"/>
      <c r="CR65" s="73"/>
      <c r="CS65" s="73"/>
      <c r="CT65" s="73"/>
      <c r="CU65" s="73"/>
      <c r="CV65" s="73"/>
      <c r="CW65" s="73"/>
      <c r="CX65" s="73"/>
      <c r="CY65" s="73"/>
    </row>
    <row r="66" spans="1:103">
      <c r="A66" s="107"/>
      <c r="B66" s="100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  <c r="AA66" s="101"/>
      <c r="AB66" s="101"/>
      <c r="AC66" s="101"/>
      <c r="AD66" s="101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3"/>
      <c r="AT66" s="73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3"/>
      <c r="BI66" s="73"/>
      <c r="BJ66" s="73"/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3"/>
      <c r="BX66" s="73"/>
      <c r="BY66" s="73"/>
      <c r="BZ66" s="73"/>
      <c r="CA66" s="73"/>
      <c r="CB66" s="73"/>
      <c r="CG66" s="73"/>
      <c r="CH66" s="73"/>
      <c r="CI66" s="73"/>
      <c r="CJ66" s="73"/>
      <c r="CK66" s="73"/>
      <c r="CL66" s="73"/>
      <c r="CM66" s="73"/>
      <c r="CN66" s="73"/>
      <c r="CO66" s="73"/>
      <c r="CP66" s="73"/>
      <c r="CQ66" s="73"/>
      <c r="CR66" s="73"/>
      <c r="CS66" s="73"/>
      <c r="CT66" s="73"/>
      <c r="CU66" s="73"/>
      <c r="CV66" s="73"/>
      <c r="CW66" s="73"/>
      <c r="CX66" s="73"/>
      <c r="CY66" s="73"/>
    </row>
    <row r="67" spans="1:103">
      <c r="A67" s="100" t="s">
        <v>489</v>
      </c>
      <c r="B67" s="100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1"/>
      <c r="AA67" s="101"/>
      <c r="AB67" s="101"/>
      <c r="AC67" s="101"/>
      <c r="AD67" s="101"/>
      <c r="AE67" s="73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3"/>
      <c r="AT67" s="73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3"/>
      <c r="BI67" s="73"/>
      <c r="BJ67" s="73"/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3"/>
      <c r="CG67" s="73"/>
      <c r="CH67" s="73"/>
      <c r="CI67" s="73"/>
      <c r="CJ67" s="73"/>
      <c r="CK67" s="73"/>
      <c r="CL67" s="73"/>
      <c r="CM67" s="73"/>
      <c r="CN67" s="73"/>
      <c r="CO67" s="73"/>
      <c r="CP67" s="73"/>
      <c r="CQ67" s="73"/>
      <c r="CR67" s="73"/>
      <c r="CS67" s="73"/>
      <c r="CT67" s="73"/>
      <c r="CU67" s="73"/>
      <c r="CV67" s="73"/>
      <c r="CW67" s="73"/>
      <c r="CX67" s="73"/>
      <c r="CY67" s="73"/>
    </row>
    <row r="68" spans="1:103">
      <c r="A68" s="100" t="s">
        <v>490</v>
      </c>
      <c r="B68" s="100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  <c r="AA68" s="101"/>
      <c r="AB68" s="101"/>
      <c r="AC68" s="101"/>
      <c r="AD68" s="101"/>
      <c r="AE68" s="73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3"/>
      <c r="AT68" s="73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3"/>
      <c r="BI68" s="73"/>
      <c r="BJ68" s="73"/>
      <c r="BK68" s="73"/>
      <c r="BL68" s="73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3"/>
      <c r="BX68" s="73"/>
      <c r="BY68" s="73"/>
      <c r="BZ68" s="73"/>
      <c r="CA68" s="73"/>
      <c r="CB68" s="73"/>
      <c r="CG68" s="73"/>
      <c r="CH68" s="73"/>
      <c r="CI68" s="73"/>
      <c r="CJ68" s="73"/>
      <c r="CK68" s="73"/>
      <c r="CL68" s="73"/>
      <c r="CM68" s="73"/>
      <c r="CN68" s="73"/>
      <c r="CO68" s="73"/>
      <c r="CP68" s="73"/>
      <c r="CQ68" s="73"/>
      <c r="CR68" s="73"/>
      <c r="CS68" s="73"/>
      <c r="CT68" s="73"/>
      <c r="CU68" s="73"/>
      <c r="CV68" s="73"/>
      <c r="CW68" s="73"/>
      <c r="CX68" s="73"/>
      <c r="CY68" s="73"/>
    </row>
    <row r="69" spans="1:103">
      <c r="A69" s="100" t="s">
        <v>491</v>
      </c>
      <c r="B69" s="100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  <c r="W69" s="101"/>
      <c r="X69" s="101"/>
      <c r="Y69" s="101"/>
      <c r="Z69" s="101"/>
      <c r="AA69" s="101"/>
      <c r="AB69" s="101"/>
      <c r="AC69" s="101"/>
      <c r="AD69" s="101"/>
      <c r="AE69" s="73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3"/>
      <c r="AT69" s="73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3"/>
      <c r="BI69" s="73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3"/>
      <c r="BX69" s="73"/>
      <c r="BY69" s="73"/>
      <c r="BZ69" s="73"/>
      <c r="CA69" s="73"/>
      <c r="CB69" s="73"/>
      <c r="CG69" s="73"/>
      <c r="CH69" s="73"/>
      <c r="CI69" s="73"/>
      <c r="CJ69" s="73"/>
      <c r="CK69" s="73"/>
      <c r="CL69" s="73"/>
      <c r="CM69" s="73"/>
      <c r="CN69" s="73"/>
      <c r="CO69" s="73"/>
      <c r="CP69" s="73"/>
      <c r="CQ69" s="73"/>
      <c r="CR69" s="73"/>
      <c r="CS69" s="73"/>
      <c r="CT69" s="73"/>
      <c r="CU69" s="73"/>
      <c r="CV69" s="73"/>
      <c r="CW69" s="73"/>
      <c r="CX69" s="73"/>
      <c r="CY69" s="73"/>
    </row>
    <row r="70" spans="1:103">
      <c r="A70" s="100" t="s">
        <v>492</v>
      </c>
      <c r="B70" s="100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1"/>
      <c r="Z70" s="101"/>
      <c r="AA70" s="101"/>
      <c r="AB70" s="101"/>
      <c r="AC70" s="101"/>
      <c r="AD70" s="101"/>
      <c r="AE70" s="73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3"/>
      <c r="AT70" s="73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3"/>
      <c r="BI70" s="73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3"/>
      <c r="BX70" s="73"/>
      <c r="BY70" s="73"/>
      <c r="BZ70" s="73"/>
      <c r="CA70" s="73"/>
      <c r="CB70" s="73"/>
      <c r="CG70" s="73"/>
      <c r="CH70" s="73"/>
      <c r="CI70" s="73"/>
      <c r="CJ70" s="73"/>
      <c r="CK70" s="73"/>
      <c r="CL70" s="73"/>
      <c r="CM70" s="73"/>
      <c r="CN70" s="73"/>
      <c r="CO70" s="73"/>
      <c r="CP70" s="73"/>
      <c r="CQ70" s="73"/>
      <c r="CR70" s="73"/>
      <c r="CS70" s="73"/>
      <c r="CT70" s="73"/>
      <c r="CU70" s="73"/>
      <c r="CV70" s="73"/>
      <c r="CW70" s="73"/>
      <c r="CX70" s="73"/>
      <c r="CY70" s="73"/>
    </row>
    <row r="71" spans="1:103">
      <c r="A71" s="100" t="s">
        <v>493</v>
      </c>
      <c r="B71" s="100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  <c r="W71" s="101"/>
      <c r="X71" s="101"/>
      <c r="Y71" s="101"/>
      <c r="Z71" s="101"/>
      <c r="AA71" s="101"/>
      <c r="AB71" s="101"/>
      <c r="AC71" s="101"/>
      <c r="AD71" s="101"/>
      <c r="AE71" s="73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3"/>
      <c r="AT71" s="73"/>
      <c r="AU71" s="73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3"/>
      <c r="BI71" s="73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3"/>
      <c r="BX71" s="73"/>
      <c r="BY71" s="73"/>
      <c r="BZ71" s="73"/>
      <c r="CA71" s="73"/>
      <c r="CB71" s="73"/>
      <c r="CG71" s="73"/>
      <c r="CH71" s="73"/>
      <c r="CI71" s="73"/>
      <c r="CJ71" s="73"/>
      <c r="CK71" s="73"/>
      <c r="CL71" s="73"/>
      <c r="CM71" s="73"/>
      <c r="CN71" s="73"/>
      <c r="CO71" s="73"/>
      <c r="CP71" s="73"/>
      <c r="CQ71" s="73"/>
      <c r="CR71" s="73"/>
      <c r="CS71" s="73"/>
      <c r="CT71" s="73"/>
      <c r="CU71" s="73"/>
      <c r="CV71" s="73"/>
      <c r="CW71" s="73"/>
      <c r="CX71" s="73"/>
      <c r="CY71" s="73"/>
    </row>
    <row r="72" spans="1:103">
      <c r="A72" s="75" t="s">
        <v>494</v>
      </c>
      <c r="B72" s="75"/>
      <c r="C72" s="108"/>
      <c r="D72" s="108"/>
      <c r="E72" s="108"/>
      <c r="F72" s="108"/>
      <c r="G72" s="108"/>
      <c r="H72" s="108"/>
      <c r="I72" s="108"/>
      <c r="J72" s="108"/>
      <c r="K72" s="108"/>
      <c r="L72" s="108"/>
      <c r="M72" s="108"/>
      <c r="N72" s="108"/>
      <c r="O72" s="108"/>
      <c r="P72" s="108"/>
      <c r="Q72" s="108"/>
      <c r="R72" s="108"/>
      <c r="S72" s="108"/>
      <c r="T72" s="108"/>
      <c r="U72" s="108"/>
      <c r="V72" s="108"/>
      <c r="W72" s="108"/>
      <c r="X72" s="108"/>
      <c r="Y72" s="108"/>
      <c r="Z72" s="108"/>
      <c r="AA72" s="108"/>
      <c r="AB72" s="108"/>
      <c r="AC72" s="108"/>
      <c r="AD72" s="108"/>
      <c r="AE72" s="77"/>
      <c r="AF72" s="77"/>
      <c r="AG72" s="77"/>
      <c r="AH72" s="77"/>
      <c r="AI72" s="76"/>
      <c r="AJ72" s="76"/>
      <c r="AK72" s="76"/>
      <c r="AL72" s="76"/>
      <c r="AM72" s="76"/>
      <c r="AN72" s="76"/>
      <c r="AO72" s="76"/>
      <c r="AP72" s="76"/>
      <c r="AQ72" s="76"/>
      <c r="AR72" s="76"/>
      <c r="AS72" s="76"/>
      <c r="AT72" s="76"/>
      <c r="AU72" s="76"/>
      <c r="AV72" s="76"/>
      <c r="AW72" s="76"/>
      <c r="AX72" s="76"/>
      <c r="AY72" s="76"/>
      <c r="AZ72" s="76"/>
      <c r="BA72" s="76"/>
      <c r="BB72" s="76"/>
      <c r="BC72" s="76"/>
      <c r="BD72" s="76"/>
      <c r="BE72" s="76"/>
      <c r="BF72" s="77" t="s">
        <v>638</v>
      </c>
      <c r="BG72" s="76"/>
      <c r="BH72" s="76"/>
      <c r="BI72" s="76"/>
      <c r="BJ72" s="76"/>
      <c r="BK72" s="76"/>
      <c r="BL72" s="76"/>
      <c r="BM72" s="76"/>
      <c r="BN72" s="76"/>
      <c r="BO72" s="76"/>
      <c r="BP72" s="76"/>
      <c r="BQ72" s="76"/>
      <c r="BR72" s="76"/>
      <c r="BS72" s="76"/>
      <c r="BT72" s="76"/>
      <c r="BU72" s="76"/>
      <c r="BV72" s="76"/>
      <c r="BW72" s="76"/>
      <c r="BX72" s="76"/>
      <c r="BY72" s="76"/>
      <c r="BZ72" s="76"/>
      <c r="CA72" s="76"/>
      <c r="CB72" s="76"/>
      <c r="CG72" s="76"/>
      <c r="CH72" s="76"/>
      <c r="CI72" s="76"/>
      <c r="CJ72" s="76"/>
      <c r="CK72" s="76"/>
      <c r="CL72" s="76"/>
      <c r="CM72" s="76"/>
      <c r="CN72" s="76"/>
      <c r="CO72" s="76"/>
      <c r="CP72" s="76"/>
      <c r="CQ72" s="76"/>
      <c r="CR72" s="76"/>
      <c r="CS72" s="76"/>
      <c r="CT72" s="76"/>
      <c r="CU72" s="76"/>
      <c r="CV72" s="76"/>
      <c r="CW72" s="76"/>
      <c r="CX72" s="76"/>
      <c r="CY72" s="76"/>
    </row>
    <row r="73" spans="1:103">
      <c r="A73" s="109" t="s">
        <v>471</v>
      </c>
      <c r="B73" s="109"/>
      <c r="C73" s="110"/>
      <c r="D73" s="110"/>
      <c r="E73" s="110"/>
      <c r="F73" s="110"/>
      <c r="G73" s="110"/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35">
        <v>8</v>
      </c>
      <c r="X73" s="135">
        <v>13</v>
      </c>
      <c r="Y73" s="135">
        <v>9</v>
      </c>
      <c r="Z73" s="135">
        <v>11</v>
      </c>
      <c r="AA73" s="135">
        <v>14</v>
      </c>
      <c r="AB73" s="135">
        <v>16</v>
      </c>
      <c r="AC73" s="135">
        <v>18</v>
      </c>
      <c r="AD73" s="135">
        <v>23</v>
      </c>
      <c r="AE73" s="135">
        <v>25</v>
      </c>
      <c r="AF73" s="135">
        <v>29</v>
      </c>
      <c r="AG73" s="135">
        <v>31</v>
      </c>
      <c r="AH73" s="135">
        <v>34</v>
      </c>
      <c r="AI73" s="135">
        <v>38</v>
      </c>
      <c r="AJ73" s="135">
        <v>41</v>
      </c>
      <c r="AK73" s="135">
        <v>45</v>
      </c>
      <c r="AL73" s="135">
        <v>47</v>
      </c>
      <c r="AM73" s="135">
        <v>50</v>
      </c>
      <c r="AN73" s="135">
        <v>54</v>
      </c>
      <c r="AO73" s="135">
        <v>57</v>
      </c>
      <c r="AP73" s="135">
        <v>59</v>
      </c>
      <c r="AQ73" s="135">
        <v>62</v>
      </c>
      <c r="AR73" s="135">
        <v>65</v>
      </c>
      <c r="AS73" s="135">
        <v>71</v>
      </c>
      <c r="AT73" s="135">
        <v>70</v>
      </c>
      <c r="AU73" s="135">
        <v>75</v>
      </c>
      <c r="AV73" s="135">
        <v>79</v>
      </c>
      <c r="AW73" s="135">
        <v>80</v>
      </c>
      <c r="AX73" s="135">
        <v>80</v>
      </c>
      <c r="AY73" s="135">
        <v>80</v>
      </c>
      <c r="AZ73" s="135">
        <v>86</v>
      </c>
      <c r="BA73" s="136">
        <v>95</v>
      </c>
      <c r="BB73" s="136">
        <v>104</v>
      </c>
      <c r="BC73" s="135">
        <v>113</v>
      </c>
      <c r="BD73" s="135">
        <v>113</v>
      </c>
      <c r="BE73" s="135">
        <v>120</v>
      </c>
      <c r="BF73" s="135">
        <v>127</v>
      </c>
      <c r="BG73" s="801">
        <v>134</v>
      </c>
      <c r="BH73" s="801">
        <v>141</v>
      </c>
      <c r="BI73" s="801">
        <v>148</v>
      </c>
      <c r="BJ73" s="801">
        <v>157</v>
      </c>
      <c r="BK73" s="110">
        <f>'Income Statement'!BP411</f>
        <v>165</v>
      </c>
      <c r="BL73" s="110">
        <f>'Income Statement'!BQ411</f>
        <v>175</v>
      </c>
      <c r="BM73" s="110">
        <f>'Income Statement'!BR411</f>
        <v>185</v>
      </c>
      <c r="BN73" s="110">
        <f>'Income Statement'!BS411</f>
        <v>196</v>
      </c>
      <c r="BO73" s="110">
        <f>'Income Statement'!BZ411</f>
        <v>222</v>
      </c>
      <c r="BP73" s="110">
        <f>'Income Statement'!CA411</f>
        <v>229</v>
      </c>
      <c r="BQ73" s="110">
        <f>'Income Statement'!CB411</f>
        <v>231</v>
      </c>
      <c r="BR73" s="110">
        <f>'Income Statement'!CC411</f>
        <v>243</v>
      </c>
      <c r="BS73" s="110">
        <f>'Income Statement'!CE411</f>
        <v>244</v>
      </c>
      <c r="BT73" s="110">
        <f>'Income Statement'!CF411</f>
        <v>251</v>
      </c>
      <c r="BU73" s="110">
        <f>'Income Statement'!CG411</f>
        <v>251</v>
      </c>
      <c r="BV73" s="110">
        <f>'Income Statement'!CH411</f>
        <v>247</v>
      </c>
      <c r="BW73" s="110">
        <f>'Income Statement'!CJ411</f>
        <v>254</v>
      </c>
      <c r="BX73" s="110">
        <f>'Income Statement'!CK411</f>
        <v>254</v>
      </c>
      <c r="BY73" s="110">
        <f>'Income Statement'!CL411</f>
        <v>255</v>
      </c>
      <c r="BZ73" s="110">
        <f>'Income Statement'!CM411</f>
        <v>254</v>
      </c>
      <c r="CA73" s="110">
        <f>'Income Statement'!CO411</f>
        <v>251</v>
      </c>
      <c r="CB73" s="110">
        <f>'Income Statement'!CP411</f>
        <v>252</v>
      </c>
      <c r="CD73" t="s">
        <v>643</v>
      </c>
      <c r="CG73" s="110">
        <f>'Income Statement'!Q412</f>
        <v>0</v>
      </c>
      <c r="CH73" s="110">
        <f>'Income Statement'!V412</f>
        <v>0</v>
      </c>
      <c r="CI73" s="110">
        <f>'Income Statement'!AA412</f>
        <v>0</v>
      </c>
      <c r="CJ73" s="110">
        <f>'Income Statement'!AF412</f>
        <v>0</v>
      </c>
      <c r="CK73" s="110">
        <f>'Income Statement'!AK412</f>
        <v>0</v>
      </c>
      <c r="CL73" s="110">
        <f>'Income Statement'!AP412</f>
        <v>0</v>
      </c>
      <c r="CM73" s="110">
        <f>'Income Statement'!AU412</f>
        <v>0</v>
      </c>
      <c r="CN73" s="110">
        <f>'Income Statement'!AZ412</f>
        <v>0</v>
      </c>
      <c r="CO73" s="394">
        <f>'Income Statement'!BE412</f>
        <v>0</v>
      </c>
      <c r="CP73" s="394">
        <f>'Income Statement'!BJ412</f>
        <v>0</v>
      </c>
      <c r="CQ73" s="394">
        <f>'Income Statement'!BO412</f>
        <v>0</v>
      </c>
      <c r="CR73" s="394">
        <f>'Income Statement'!BT412</f>
        <v>580</v>
      </c>
      <c r="CS73" s="394">
        <f>'Income Statement'!BY412</f>
        <v>703</v>
      </c>
      <c r="CT73" s="394">
        <f>'Income Statement'!CD412</f>
        <v>809</v>
      </c>
      <c r="CU73" s="394">
        <f>'Income Statement'!CI412</f>
        <v>887</v>
      </c>
      <c r="CV73" s="394">
        <f>'Income Statement'!CN412</f>
        <v>920</v>
      </c>
      <c r="CW73" s="394">
        <f>'Income Statement'!CQ412</f>
        <v>918.93771588644347</v>
      </c>
      <c r="CX73" s="394">
        <f>'Income Statement'!CR412</f>
        <v>969.59272017778278</v>
      </c>
      <c r="CY73" s="394">
        <f>'Income Statement'!CS412</f>
        <v>994.45407197721283</v>
      </c>
    </row>
    <row r="74" spans="1:103">
      <c r="A74" s="109" t="s">
        <v>2</v>
      </c>
      <c r="B74" s="109"/>
      <c r="C74" s="110"/>
      <c r="D74" s="110"/>
      <c r="E74" s="110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10"/>
      <c r="Z74" s="110"/>
      <c r="AA74" s="110"/>
      <c r="AB74" s="110"/>
      <c r="AC74" s="110"/>
      <c r="AD74" s="110"/>
      <c r="AE74" s="110"/>
      <c r="AF74" s="110"/>
      <c r="AG74" s="110"/>
      <c r="AH74" s="110"/>
      <c r="AI74" s="110"/>
      <c r="AJ74" s="110"/>
      <c r="AK74" s="110"/>
      <c r="AL74" s="110"/>
      <c r="AM74" s="110"/>
      <c r="AN74" s="110"/>
      <c r="AO74" s="110"/>
      <c r="AP74" s="110"/>
      <c r="AQ74" s="110"/>
      <c r="AR74" s="110"/>
      <c r="AS74" s="110"/>
      <c r="AT74" s="110"/>
      <c r="AU74" s="110"/>
      <c r="AV74" s="110"/>
      <c r="AW74" s="110"/>
      <c r="AX74" s="110"/>
      <c r="AY74" s="110"/>
      <c r="AZ74" s="110"/>
      <c r="BA74" s="78"/>
      <c r="BB74" s="78"/>
      <c r="BC74" s="110"/>
      <c r="BD74" s="110"/>
      <c r="BE74" s="110"/>
      <c r="BF74" s="110"/>
      <c r="BG74" s="110"/>
      <c r="BH74" s="110"/>
      <c r="BI74" s="110"/>
      <c r="BJ74" s="110"/>
      <c r="BK74" s="110"/>
      <c r="BL74" s="110"/>
      <c r="BM74" s="110"/>
      <c r="BN74" s="110"/>
      <c r="BO74" s="110"/>
      <c r="BP74" s="110"/>
      <c r="BQ74" s="110"/>
      <c r="BR74" s="110"/>
      <c r="BS74" s="110"/>
      <c r="BT74" s="110"/>
      <c r="BU74" s="110"/>
      <c r="BV74" s="110"/>
      <c r="BW74" s="110"/>
      <c r="BX74" s="110"/>
      <c r="BY74" s="110"/>
      <c r="BZ74" s="110"/>
      <c r="CA74" s="110"/>
      <c r="CB74" s="110"/>
      <c r="CG74" s="110"/>
      <c r="CH74" s="110"/>
      <c r="CI74" s="110"/>
      <c r="CJ74" s="110"/>
      <c r="CK74" s="110"/>
      <c r="CL74" s="110"/>
      <c r="CM74" s="110"/>
      <c r="CN74" s="110"/>
      <c r="CO74" s="78"/>
      <c r="CP74" s="78"/>
      <c r="CQ74" s="78"/>
      <c r="CR74" s="78"/>
      <c r="CS74" s="78"/>
      <c r="CT74" s="78"/>
      <c r="CU74" s="78"/>
      <c r="CV74" s="78"/>
      <c r="CW74" s="78"/>
      <c r="CX74" s="78"/>
      <c r="CY74" s="78"/>
    </row>
    <row r="75" spans="1:103">
      <c r="A75" s="79" t="s">
        <v>91</v>
      </c>
      <c r="B75" s="79"/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1"/>
      <c r="S75" s="111"/>
      <c r="T75" s="111"/>
      <c r="U75" s="111"/>
      <c r="V75" s="111"/>
      <c r="W75" s="111"/>
      <c r="X75" s="111"/>
      <c r="Y75" s="111"/>
      <c r="Z75" s="111"/>
      <c r="AA75" s="111"/>
      <c r="AB75" s="111"/>
      <c r="AC75" s="111"/>
      <c r="AD75" s="111"/>
      <c r="AE75" s="111"/>
      <c r="AF75" s="111"/>
      <c r="AG75" s="111"/>
      <c r="AH75" s="111"/>
      <c r="AI75" s="111"/>
      <c r="AJ75" s="111"/>
      <c r="AK75" s="111"/>
      <c r="AL75" s="111"/>
      <c r="AM75" s="111"/>
      <c r="AN75" s="111"/>
      <c r="AO75" s="111"/>
      <c r="AP75" s="111"/>
      <c r="AQ75" s="111"/>
      <c r="AR75" s="111"/>
      <c r="AS75" s="111"/>
      <c r="AT75" s="111"/>
      <c r="AU75" s="111"/>
      <c r="AV75" s="111"/>
      <c r="AW75" s="111"/>
      <c r="AX75" s="111"/>
      <c r="AY75" s="111"/>
      <c r="AZ75" s="111"/>
      <c r="BA75" s="112"/>
      <c r="BB75" s="112"/>
      <c r="BC75" s="111"/>
      <c r="BD75" s="111"/>
      <c r="BE75" s="111"/>
      <c r="BF75" s="111"/>
      <c r="BG75" s="111"/>
      <c r="BH75" s="111"/>
      <c r="BI75" s="111"/>
      <c r="BJ75" s="111"/>
      <c r="BK75" s="111"/>
      <c r="BL75" s="111"/>
      <c r="BM75" s="111"/>
      <c r="BN75" s="111"/>
      <c r="BO75" s="111"/>
      <c r="BP75" s="111"/>
      <c r="BQ75" s="111"/>
      <c r="BR75" s="111"/>
      <c r="BS75" s="111"/>
      <c r="BT75" s="111"/>
      <c r="BU75" s="111"/>
      <c r="BV75" s="111"/>
      <c r="BW75" s="111"/>
      <c r="BX75" s="111"/>
      <c r="BY75" s="111"/>
      <c r="BZ75" s="111"/>
      <c r="CA75" s="111"/>
      <c r="CB75" s="111"/>
      <c r="CG75" s="111"/>
      <c r="CH75" s="111"/>
      <c r="CI75" s="111"/>
      <c r="CJ75" s="111"/>
      <c r="CK75" s="111"/>
      <c r="CL75" s="111"/>
      <c r="CM75" s="111"/>
      <c r="CN75" s="111"/>
      <c r="CO75" s="112"/>
      <c r="CP75" s="112"/>
      <c r="CQ75" s="112"/>
      <c r="CR75" s="112"/>
      <c r="CS75" s="112"/>
      <c r="CT75" s="112"/>
      <c r="CU75" s="112"/>
      <c r="CV75" s="112"/>
      <c r="CW75" s="112"/>
      <c r="CX75" s="112"/>
      <c r="CY75" s="112"/>
    </row>
    <row r="76" spans="1:103">
      <c r="A76" s="113" t="s">
        <v>240</v>
      </c>
      <c r="B76" s="113"/>
      <c r="C76" s="111"/>
      <c r="D76" s="111"/>
      <c r="E76" s="111"/>
      <c r="F76" s="111"/>
      <c r="G76" s="111"/>
      <c r="H76" s="111"/>
      <c r="I76" s="111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  <c r="V76" s="110"/>
      <c r="W76" s="110"/>
      <c r="X76" s="110"/>
      <c r="Y76" s="110"/>
      <c r="Z76" s="110"/>
      <c r="AA76" s="110"/>
      <c r="AB76" s="110"/>
      <c r="AC76" s="110"/>
      <c r="AD76" s="110"/>
      <c r="AE76" s="110"/>
      <c r="AF76" s="110"/>
      <c r="AG76" s="110"/>
      <c r="AH76" s="110"/>
      <c r="AI76" s="110"/>
      <c r="AJ76" s="110"/>
      <c r="AK76" s="110"/>
      <c r="AL76" s="110"/>
      <c r="AM76" s="110"/>
      <c r="AN76" s="110"/>
      <c r="AO76" s="110"/>
      <c r="AP76" s="110"/>
      <c r="AQ76" s="110"/>
      <c r="AR76" s="110"/>
      <c r="AS76" s="110"/>
      <c r="AT76" s="110"/>
      <c r="AU76" s="110"/>
      <c r="AV76" s="110"/>
      <c r="AW76" s="110"/>
      <c r="AX76" s="11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0"/>
      <c r="BQ76" s="80"/>
      <c r="BR76" s="80"/>
      <c r="BS76" s="80"/>
      <c r="BT76" s="80"/>
      <c r="BU76" s="80"/>
      <c r="BV76" s="80"/>
      <c r="BW76" s="80"/>
      <c r="BX76" s="80"/>
      <c r="BY76" s="80"/>
      <c r="BZ76" s="80"/>
      <c r="CA76" s="80"/>
      <c r="CB76" s="80"/>
      <c r="CG76" s="110"/>
      <c r="CH76" s="110"/>
      <c r="CI76" s="110"/>
      <c r="CJ76" s="110"/>
      <c r="CK76" s="110"/>
      <c r="CL76" s="110"/>
      <c r="CM76" s="110"/>
      <c r="CN76" s="110"/>
      <c r="CO76" s="80"/>
      <c r="CP76" s="80"/>
      <c r="CQ76" s="80"/>
      <c r="CR76" s="80"/>
      <c r="CS76" s="80"/>
      <c r="CT76" s="80"/>
      <c r="CU76" s="80"/>
      <c r="CV76" s="80"/>
      <c r="CW76" s="80"/>
      <c r="CX76" s="80"/>
      <c r="CY76" s="80"/>
    </row>
    <row r="77" spans="1:103">
      <c r="A77" s="81"/>
      <c r="B77" s="81"/>
      <c r="C77" s="111"/>
      <c r="D77" s="111"/>
      <c r="E77" s="111"/>
      <c r="F77" s="111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114"/>
      <c r="T77" s="114"/>
      <c r="U77" s="114"/>
      <c r="V77" s="114"/>
      <c r="W77" s="114"/>
      <c r="X77" s="114"/>
      <c r="Y77" s="114"/>
      <c r="Z77" s="114"/>
      <c r="AA77" s="114"/>
      <c r="AB77" s="114"/>
      <c r="AC77" s="114"/>
      <c r="AD77" s="114"/>
      <c r="AE77" s="114"/>
      <c r="AF77" s="114"/>
      <c r="AG77" s="114"/>
      <c r="AH77" s="114"/>
      <c r="AI77" s="82"/>
      <c r="AJ77" s="82"/>
      <c r="AK77" s="82"/>
      <c r="AL77" s="82"/>
      <c r="AM77" s="82"/>
      <c r="AN77" s="82"/>
      <c r="AO77" s="82"/>
      <c r="AP77" s="82"/>
      <c r="AQ77" s="82"/>
      <c r="AR77" s="82"/>
      <c r="AS77" s="82"/>
      <c r="AT77" s="82"/>
      <c r="AU77" s="82"/>
      <c r="AV77" s="82"/>
      <c r="AW77" s="82"/>
      <c r="AX77" s="82"/>
      <c r="AY77" s="82"/>
      <c r="AZ77" s="82"/>
      <c r="BA77" s="82"/>
      <c r="BB77" s="82"/>
      <c r="BC77" s="82"/>
      <c r="BD77" s="82"/>
      <c r="BE77" s="82"/>
      <c r="BF77" s="82"/>
      <c r="BG77" s="82"/>
      <c r="BH77" s="82"/>
      <c r="BI77" s="82"/>
      <c r="BJ77" s="82"/>
      <c r="BK77" s="82"/>
      <c r="BL77" s="82"/>
      <c r="BM77" s="82"/>
      <c r="BN77" s="82"/>
      <c r="BO77" s="82"/>
      <c r="BP77" s="82"/>
      <c r="BQ77" s="82"/>
      <c r="BR77" s="82"/>
      <c r="BS77" s="82"/>
      <c r="BT77" s="82"/>
      <c r="BU77" s="82"/>
      <c r="BV77" s="82"/>
      <c r="BW77" s="82"/>
      <c r="BX77" s="82"/>
      <c r="BY77" s="82"/>
      <c r="BZ77" s="82"/>
      <c r="CA77" s="82"/>
      <c r="CB77" s="82"/>
      <c r="CG77" s="82"/>
      <c r="CH77" s="82"/>
      <c r="CI77" s="82"/>
      <c r="CJ77" s="82"/>
      <c r="CK77" s="82"/>
      <c r="CL77" s="82"/>
      <c r="CM77" s="82"/>
      <c r="CN77" s="82"/>
      <c r="CO77" s="82"/>
      <c r="CP77" s="82"/>
      <c r="CQ77" s="82"/>
      <c r="CR77" s="82"/>
      <c r="CS77" s="82"/>
      <c r="CT77" s="82"/>
      <c r="CU77" s="82"/>
      <c r="CV77" s="82"/>
      <c r="CW77" s="82"/>
      <c r="CX77" s="82"/>
      <c r="CY77" s="82"/>
    </row>
    <row r="78" spans="1:103">
      <c r="A78" s="81" t="s">
        <v>495</v>
      </c>
      <c r="B78" s="81"/>
      <c r="C78" s="111"/>
      <c r="D78" s="111"/>
      <c r="E78" s="111"/>
      <c r="F78" s="111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  <c r="AA78" s="114"/>
      <c r="AB78" s="114"/>
      <c r="AC78" s="114"/>
      <c r="AD78" s="114"/>
      <c r="AE78" s="114"/>
      <c r="AF78" s="114"/>
      <c r="AG78" s="114"/>
      <c r="AH78" s="114"/>
      <c r="AI78" s="82"/>
      <c r="AJ78" s="82"/>
      <c r="AK78" s="82"/>
      <c r="AL78" s="82"/>
      <c r="AM78" s="82"/>
      <c r="AN78" s="82"/>
      <c r="AO78" s="82"/>
      <c r="AP78" s="82"/>
      <c r="AQ78" s="82"/>
      <c r="AR78" s="82"/>
      <c r="AS78" s="82"/>
      <c r="AT78" s="82"/>
      <c r="AU78" s="82"/>
      <c r="AV78" s="82"/>
      <c r="AW78" s="82"/>
      <c r="AX78" s="82"/>
      <c r="AY78" s="82"/>
      <c r="AZ78" s="82"/>
      <c r="BA78" s="82"/>
      <c r="BB78" s="82"/>
      <c r="BC78" s="82"/>
      <c r="BD78" s="82"/>
      <c r="BE78" s="82"/>
      <c r="BF78" s="82"/>
      <c r="BG78" s="82"/>
      <c r="BH78" s="82"/>
      <c r="BI78" s="82"/>
      <c r="BJ78" s="82"/>
      <c r="BK78" s="82"/>
      <c r="BL78" s="82"/>
      <c r="BM78" s="82"/>
      <c r="BN78" s="82"/>
      <c r="BO78" s="82"/>
      <c r="BP78" s="82"/>
      <c r="BQ78" s="82"/>
      <c r="BR78" s="82"/>
      <c r="BS78" s="82"/>
      <c r="BT78" s="82"/>
      <c r="BU78" s="82"/>
      <c r="BV78" s="82"/>
      <c r="BW78" s="82"/>
      <c r="BX78" s="82"/>
      <c r="BY78" s="82"/>
      <c r="BZ78" s="82"/>
      <c r="CA78" s="82"/>
      <c r="CB78" s="82"/>
      <c r="CG78" s="82"/>
      <c r="CH78" s="82"/>
      <c r="CI78" s="82"/>
      <c r="CJ78" s="82"/>
      <c r="CK78" s="82"/>
      <c r="CL78" s="82"/>
      <c r="CM78" s="82"/>
      <c r="CN78" s="82"/>
      <c r="CO78" s="82"/>
      <c r="CP78" s="82"/>
      <c r="CQ78" s="82"/>
      <c r="CR78" s="82"/>
      <c r="CS78" s="82"/>
      <c r="CT78" s="82"/>
      <c r="CU78" s="82"/>
      <c r="CV78" s="82"/>
      <c r="CW78" s="82"/>
      <c r="CX78" s="82"/>
      <c r="CY78" s="82"/>
    </row>
    <row r="79" spans="1:103">
      <c r="A79" s="81" t="s">
        <v>496</v>
      </c>
      <c r="B79" s="81"/>
      <c r="C79" s="111"/>
      <c r="D79" s="111"/>
      <c r="E79" s="111"/>
      <c r="F79" s="111"/>
      <c r="G79" s="114"/>
      <c r="H79" s="114"/>
      <c r="I79" s="114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5"/>
      <c r="Z79" s="115"/>
      <c r="AA79" s="115"/>
      <c r="AB79" s="115"/>
      <c r="AC79" s="115"/>
      <c r="AD79" s="115"/>
      <c r="AE79" s="115"/>
      <c r="AF79" s="115"/>
      <c r="AG79" s="115"/>
      <c r="AH79" s="115"/>
      <c r="AI79" s="115"/>
      <c r="AJ79" s="115"/>
      <c r="AK79" s="115"/>
      <c r="AL79" s="115"/>
      <c r="AM79" s="115"/>
      <c r="AN79" s="115"/>
      <c r="AO79" s="115"/>
      <c r="AP79" s="115"/>
      <c r="AQ79" s="115"/>
      <c r="AR79" s="115"/>
      <c r="AS79" s="115"/>
      <c r="AT79" s="115"/>
      <c r="AU79" s="115"/>
      <c r="AV79" s="115"/>
      <c r="AW79" s="115"/>
      <c r="AX79" s="115"/>
      <c r="AY79" s="82"/>
      <c r="AZ79" s="82"/>
      <c r="BA79" s="82"/>
      <c r="BB79" s="82"/>
      <c r="BC79" s="82"/>
      <c r="BD79" s="82"/>
      <c r="BE79" s="82"/>
      <c r="BF79" s="82"/>
      <c r="BG79" s="82"/>
      <c r="BH79" s="82"/>
      <c r="BI79" s="82"/>
      <c r="BJ79" s="82"/>
      <c r="BK79" s="82"/>
      <c r="BL79" s="82"/>
      <c r="BM79" s="82"/>
      <c r="BN79" s="82"/>
      <c r="BO79" s="82"/>
      <c r="BP79" s="82"/>
      <c r="BQ79" s="82"/>
      <c r="BR79" s="82"/>
      <c r="BS79" s="82"/>
      <c r="BT79" s="82"/>
      <c r="BU79" s="82"/>
      <c r="BV79" s="82"/>
      <c r="BW79" s="82"/>
      <c r="BX79" s="82"/>
      <c r="BY79" s="82"/>
      <c r="BZ79" s="82"/>
      <c r="CA79" s="82"/>
      <c r="CB79" s="82"/>
      <c r="CG79" s="115"/>
      <c r="CH79" s="115"/>
      <c r="CI79" s="115"/>
      <c r="CJ79" s="115"/>
      <c r="CK79" s="115"/>
      <c r="CL79" s="115"/>
      <c r="CM79" s="115"/>
      <c r="CN79" s="115"/>
      <c r="CO79" s="82"/>
      <c r="CP79" s="82"/>
      <c r="CQ79" s="82"/>
      <c r="CR79" s="82"/>
      <c r="CS79" s="82"/>
      <c r="CT79" s="82"/>
      <c r="CU79" s="82"/>
      <c r="CV79" s="82"/>
      <c r="CW79" s="82"/>
      <c r="CX79" s="82"/>
      <c r="CY79" s="82"/>
    </row>
    <row r="80" spans="1:103">
      <c r="A80" s="81" t="s">
        <v>497</v>
      </c>
      <c r="B80" s="81"/>
      <c r="C80" s="111"/>
      <c r="D80" s="111"/>
      <c r="E80" s="111"/>
      <c r="F80" s="111"/>
      <c r="G80" s="114"/>
      <c r="H80" s="114"/>
      <c r="I80" s="114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  <c r="AA80" s="133"/>
      <c r="AB80" s="133"/>
      <c r="AC80" s="133"/>
      <c r="AD80" s="133"/>
      <c r="AE80" s="133"/>
      <c r="AF80" s="133"/>
      <c r="AG80" s="133"/>
      <c r="AH80" s="133"/>
      <c r="AI80" s="133"/>
      <c r="AJ80" s="133"/>
      <c r="AK80" s="133"/>
      <c r="AL80" s="133"/>
      <c r="AM80" s="133"/>
      <c r="AN80" s="133"/>
      <c r="AO80" s="133"/>
      <c r="AP80" s="133"/>
      <c r="AQ80" s="133"/>
      <c r="AR80" s="133"/>
      <c r="AS80" s="133"/>
      <c r="AT80" s="133"/>
      <c r="AU80" s="133"/>
      <c r="AV80" s="133"/>
      <c r="AW80" s="133"/>
      <c r="AX80" s="133"/>
      <c r="AY80" s="134"/>
      <c r="AZ80" s="134"/>
      <c r="BA80" s="134"/>
      <c r="BB80" s="134"/>
      <c r="BC80" s="134"/>
      <c r="BD80" s="134">
        <v>105</v>
      </c>
      <c r="BE80" s="134">
        <v>102</v>
      </c>
      <c r="BF80" s="134">
        <v>107</v>
      </c>
      <c r="BG80" s="134">
        <v>108.1</v>
      </c>
      <c r="BH80" s="134">
        <v>108.9</v>
      </c>
      <c r="BI80" s="134">
        <v>108.4</v>
      </c>
      <c r="BJ80" s="134">
        <v>109.5</v>
      </c>
      <c r="BK80" s="134">
        <v>107.8</v>
      </c>
      <c r="BL80" s="134">
        <v>108.3</v>
      </c>
      <c r="BM80" s="134">
        <v>108</v>
      </c>
      <c r="BN80" s="134">
        <v>108.5</v>
      </c>
      <c r="BO80" s="134">
        <v>107.1</v>
      </c>
      <c r="BP80" s="134">
        <f>'Income Statement'!CA264</f>
        <v>107.4</v>
      </c>
      <c r="BQ80" s="134">
        <f>'Income Statement'!CB264</f>
        <v>108.9</v>
      </c>
      <c r="BR80" s="134">
        <f>'Income Statement'!CC264</f>
        <v>108.3</v>
      </c>
      <c r="BS80" s="134">
        <f>'Income Statement'!CE264</f>
        <v>109.6</v>
      </c>
      <c r="BT80" s="134">
        <f>'Income Statement'!CF264</f>
        <v>109.9</v>
      </c>
      <c r="BU80" s="134">
        <f>'Income Statement'!CG264</f>
        <v>108.6</v>
      </c>
      <c r="BV80" s="134">
        <f>'Income Statement'!CH264</f>
        <v>109.4</v>
      </c>
      <c r="BW80" s="134">
        <f>'Income Statement'!CJ264</f>
        <v>110.5</v>
      </c>
      <c r="BX80" s="134">
        <f>'Income Statement'!CK264</f>
        <v>110.9</v>
      </c>
      <c r="BY80" s="134">
        <f>'Income Statement'!CL264</f>
        <v>110.5</v>
      </c>
      <c r="BZ80" s="134">
        <f>'Income Statement'!CM264</f>
        <v>109.6</v>
      </c>
      <c r="CA80" s="134">
        <f>'Income Statement'!CO264</f>
        <v>110</v>
      </c>
      <c r="CB80" s="134">
        <f>'Income Statement'!CP264</f>
        <v>110.5</v>
      </c>
      <c r="CD80" t="s">
        <v>637</v>
      </c>
      <c r="CG80" s="110">
        <f>'Income Statement'!Q264</f>
        <v>0</v>
      </c>
      <c r="CH80" s="110">
        <f>'Income Statement'!V264</f>
        <v>0</v>
      </c>
      <c r="CI80" s="110">
        <f>'Income Statement'!AA264</f>
        <v>0</v>
      </c>
      <c r="CJ80" s="110">
        <f>'Income Statement'!AF264</f>
        <v>0</v>
      </c>
      <c r="CK80" s="110">
        <f>'Income Statement'!AK264</f>
        <v>0</v>
      </c>
      <c r="CL80" s="110">
        <f>'Income Statement'!AP264</f>
        <v>0</v>
      </c>
      <c r="CM80" s="110">
        <f>'Income Statement'!AU264</f>
        <v>0</v>
      </c>
      <c r="CN80" s="110">
        <f>'Income Statement'!AZ264</f>
        <v>0</v>
      </c>
      <c r="CO80" s="394">
        <f>'Income Statement'!BE264</f>
        <v>0</v>
      </c>
      <c r="CP80" s="394">
        <f>'Income Statement'!BJ264</f>
        <v>0</v>
      </c>
      <c r="CQ80" s="394">
        <f>'Income Statement'!BO264</f>
        <v>104.66666666666667</v>
      </c>
      <c r="CR80" s="394">
        <f>'Income Statement'!BT264</f>
        <v>107.88690476190476</v>
      </c>
      <c r="CS80" s="394">
        <f>'Income Statement'!BY264</f>
        <v>108.38729571384521</v>
      </c>
      <c r="CT80" s="394">
        <f>'Income Statement'!CD264</f>
        <v>106.58761528326745</v>
      </c>
      <c r="CU80" s="394">
        <f>'Income Statement'!CI264</f>
        <v>105.51986676183678</v>
      </c>
      <c r="CV80" s="394">
        <f>'Income Statement'!CN264</f>
        <v>106.03964960811435</v>
      </c>
      <c r="CW80" s="394">
        <f>'Income Statement'!CQ264</f>
        <v>108.16044260027664</v>
      </c>
      <c r="CX80" s="394">
        <f>'Income Statement'!CR264</f>
        <v>108.16044260027664</v>
      </c>
      <c r="CY80" s="394">
        <f>'Income Statement'!CS264</f>
        <v>108.16044260027664</v>
      </c>
    </row>
    <row r="81" spans="1:103">
      <c r="A81" s="81" t="s">
        <v>498</v>
      </c>
      <c r="B81" s="81"/>
      <c r="C81" s="111"/>
      <c r="D81" s="111"/>
      <c r="E81" s="111"/>
      <c r="F81" s="111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  <c r="AA81" s="134">
        <v>31</v>
      </c>
      <c r="AB81" s="134">
        <v>36</v>
      </c>
      <c r="AC81" s="134">
        <v>43</v>
      </c>
      <c r="AD81" s="134">
        <v>52</v>
      </c>
      <c r="AE81" s="134">
        <v>59</v>
      </c>
      <c r="AF81" s="134">
        <v>66</v>
      </c>
      <c r="AG81" s="134">
        <v>72</v>
      </c>
      <c r="AH81" s="134">
        <v>80</v>
      </c>
      <c r="AI81" s="134">
        <v>89</v>
      </c>
      <c r="AJ81" s="134">
        <v>99</v>
      </c>
      <c r="AK81" s="134">
        <v>107</v>
      </c>
      <c r="AL81" s="134">
        <v>118</v>
      </c>
      <c r="AM81" s="134">
        <v>126</v>
      </c>
      <c r="AN81" s="134">
        <v>133</v>
      </c>
      <c r="AO81" s="134">
        <v>139</v>
      </c>
      <c r="AP81" s="134">
        <v>146</v>
      </c>
      <c r="AQ81" s="134">
        <v>153</v>
      </c>
      <c r="AR81" s="134">
        <v>159</v>
      </c>
      <c r="AS81" s="134">
        <v>163</v>
      </c>
      <c r="AT81" s="134">
        <v>172</v>
      </c>
      <c r="AU81" s="134">
        <v>184</v>
      </c>
      <c r="AV81" s="134">
        <v>194</v>
      </c>
      <c r="AW81" s="134">
        <v>202</v>
      </c>
      <c r="AX81" s="134">
        <v>226</v>
      </c>
      <c r="AY81" s="134">
        <v>253</v>
      </c>
      <c r="AZ81" s="134">
        <v>279</v>
      </c>
      <c r="BA81" s="134">
        <v>308</v>
      </c>
      <c r="BB81" s="134">
        <v>331</v>
      </c>
      <c r="BC81" s="134">
        <v>353</v>
      </c>
      <c r="BD81" s="134">
        <v>371</v>
      </c>
      <c r="BE81" s="134">
        <v>383</v>
      </c>
      <c r="BF81" s="134">
        <v>402</v>
      </c>
      <c r="BG81" s="134">
        <v>423</v>
      </c>
      <c r="BH81" s="134">
        <v>444</v>
      </c>
      <c r="BI81" s="134">
        <v>470</v>
      </c>
      <c r="BJ81" s="134">
        <v>494</v>
      </c>
      <c r="BK81" s="134">
        <v>520</v>
      </c>
      <c r="BL81" s="134">
        <v>545</v>
      </c>
      <c r="BM81" s="134">
        <v>564</v>
      </c>
      <c r="BN81" s="134">
        <v>587</v>
      </c>
      <c r="BO81" s="134">
        <v>612</v>
      </c>
      <c r="BP81" s="134">
        <f>'Income Statement'!CA269</f>
        <v>634</v>
      </c>
      <c r="BQ81" s="134">
        <f>'Income Statement'!CB269</f>
        <v>658</v>
      </c>
      <c r="BR81" s="134">
        <f>'Income Statement'!CC269</f>
        <v>678</v>
      </c>
      <c r="BS81" s="134">
        <f>'Income Statement'!CE269</f>
        <v>692</v>
      </c>
      <c r="BT81" s="134">
        <f>'Income Statement'!CF269</f>
        <v>707</v>
      </c>
      <c r="BU81" s="134">
        <f>'Income Statement'!CG269</f>
        <v>716</v>
      </c>
      <c r="BV81" s="134">
        <f>'Income Statement'!CH269</f>
        <v>723</v>
      </c>
      <c r="BW81" s="134">
        <f>'Income Statement'!CJ269</f>
        <v>727</v>
      </c>
      <c r="BX81" s="134">
        <f>'Income Statement'!CK269</f>
        <v>727</v>
      </c>
      <c r="BY81" s="134">
        <f>'Income Statement'!CL269</f>
        <v>724</v>
      </c>
      <c r="BZ81" s="134">
        <f>'Income Statement'!CM269</f>
        <v>723</v>
      </c>
      <c r="CA81" s="134">
        <f>'Income Statement'!CO269</f>
        <v>725</v>
      </c>
      <c r="CB81" s="134">
        <f>'Income Statement'!CP269</f>
        <v>729</v>
      </c>
      <c r="CD81" t="s">
        <v>636</v>
      </c>
      <c r="CG81" s="110">
        <f>'Income Statement'!Q269</f>
        <v>0</v>
      </c>
      <c r="CH81" s="110">
        <f>'Income Statement'!V269</f>
        <v>0</v>
      </c>
      <c r="CI81" s="110">
        <f>'Income Statement'!AA269</f>
        <v>0</v>
      </c>
      <c r="CJ81" s="110">
        <f>'Income Statement'!AF269</f>
        <v>0</v>
      </c>
      <c r="CK81" s="110">
        <f>'Income Statement'!AK269</f>
        <v>0</v>
      </c>
      <c r="CL81" s="110">
        <f>'Income Statement'!AP269</f>
        <v>0</v>
      </c>
      <c r="CM81" s="110">
        <f>'Income Statement'!AU269</f>
        <v>0</v>
      </c>
      <c r="CN81" s="110">
        <f>'Income Statement'!AZ269</f>
        <v>0</v>
      </c>
      <c r="CO81" s="394">
        <f>'Income Statement'!BE269</f>
        <v>0</v>
      </c>
      <c r="CP81" s="394">
        <f>'Income Statement'!BJ269</f>
        <v>0</v>
      </c>
      <c r="CQ81" s="394">
        <f>'Income Statement'!BO269</f>
        <v>402</v>
      </c>
      <c r="CR81" s="394">
        <f>'Income Statement'!BT269</f>
        <v>494</v>
      </c>
      <c r="CS81" s="394">
        <f>'Income Statement'!BY269</f>
        <v>587</v>
      </c>
      <c r="CT81" s="394">
        <f>'Income Statement'!CD269</f>
        <v>678</v>
      </c>
      <c r="CU81" s="394">
        <f>'Income Statement'!CI269</f>
        <v>723</v>
      </c>
      <c r="CV81" s="394">
        <f>'Income Statement'!CN269</f>
        <v>723</v>
      </c>
      <c r="CW81" s="394">
        <f>'Income Statement'!CQ269</f>
        <v>780</v>
      </c>
      <c r="CX81" s="394">
        <f>'Income Statement'!CR269</f>
        <v>780</v>
      </c>
      <c r="CY81" s="394">
        <f>'Income Statement'!CS269</f>
        <v>820</v>
      </c>
    </row>
    <row r="82" spans="1:103">
      <c r="A82" s="81" t="s">
        <v>499</v>
      </c>
      <c r="B82" s="81"/>
      <c r="C82" s="111"/>
      <c r="D82" s="111"/>
      <c r="E82" s="111"/>
      <c r="F82" s="111"/>
      <c r="G82" s="114"/>
      <c r="H82" s="114"/>
      <c r="I82" s="114"/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5"/>
      <c r="Z82" s="115"/>
      <c r="AA82" s="115"/>
      <c r="AB82" s="115"/>
      <c r="AC82" s="115"/>
      <c r="AD82" s="115"/>
      <c r="AE82" s="115"/>
      <c r="AF82" s="115"/>
      <c r="AG82" s="115"/>
      <c r="AH82" s="115"/>
      <c r="AI82" s="115"/>
      <c r="AJ82" s="115"/>
      <c r="AK82" s="115"/>
      <c r="AL82" s="115"/>
      <c r="AM82" s="115"/>
      <c r="AN82" s="115"/>
      <c r="AO82" s="115"/>
      <c r="AP82" s="115"/>
      <c r="AQ82" s="115"/>
      <c r="AR82" s="115"/>
      <c r="AS82" s="115"/>
      <c r="AT82" s="115"/>
      <c r="AU82" s="115"/>
      <c r="AV82" s="115"/>
      <c r="AW82" s="115"/>
      <c r="AX82" s="115"/>
      <c r="AY82" s="82"/>
      <c r="AZ82" s="82"/>
      <c r="BA82" s="82"/>
      <c r="BB82" s="82"/>
      <c r="BC82" s="82"/>
      <c r="BD82" s="82"/>
      <c r="BE82" s="82"/>
      <c r="BF82" s="82"/>
      <c r="BG82" s="82"/>
      <c r="BH82" s="82"/>
      <c r="BI82" s="82"/>
      <c r="BJ82" s="82"/>
      <c r="BK82" s="82"/>
      <c r="BL82" s="82"/>
      <c r="BM82" s="82"/>
      <c r="BN82" s="82"/>
      <c r="BO82" s="82"/>
      <c r="BP82" s="82"/>
      <c r="BQ82" s="82"/>
      <c r="BR82" s="82"/>
      <c r="BS82" s="82"/>
      <c r="BT82" s="82"/>
      <c r="BU82" s="82"/>
      <c r="BV82" s="82"/>
      <c r="BW82" s="82"/>
      <c r="BX82" s="82"/>
      <c r="BY82" s="82"/>
      <c r="BZ82" s="82"/>
      <c r="CA82" s="82"/>
      <c r="CB82" s="82"/>
      <c r="CG82" s="115"/>
      <c r="CH82" s="115"/>
      <c r="CI82" s="115"/>
      <c r="CJ82" s="115"/>
      <c r="CK82" s="115"/>
      <c r="CL82" s="115"/>
      <c r="CM82" s="115"/>
      <c r="CN82" s="115"/>
      <c r="CO82" s="82"/>
      <c r="CP82" s="82"/>
      <c r="CQ82" s="82"/>
      <c r="CR82" s="82"/>
      <c r="CS82" s="82"/>
      <c r="CT82" s="82"/>
      <c r="CU82" s="82"/>
      <c r="CV82" s="82"/>
      <c r="CW82" s="82"/>
      <c r="CX82" s="82"/>
      <c r="CY82" s="82"/>
    </row>
    <row r="83" spans="1:103">
      <c r="A83" s="81" t="s">
        <v>484</v>
      </c>
      <c r="B83" s="81"/>
      <c r="C83" s="111"/>
      <c r="D83" s="111"/>
      <c r="E83" s="111"/>
      <c r="F83" s="111"/>
      <c r="G83" s="114"/>
      <c r="H83" s="114"/>
      <c r="I83" s="114"/>
      <c r="J83" s="115"/>
      <c r="K83" s="115"/>
      <c r="L83" s="115"/>
      <c r="M83" s="115"/>
      <c r="N83" s="115"/>
      <c r="O83" s="115"/>
      <c r="P83" s="115"/>
      <c r="Q83" s="115"/>
      <c r="R83" s="115"/>
      <c r="S83" s="115"/>
      <c r="T83" s="115"/>
      <c r="U83" s="115"/>
      <c r="V83" s="115"/>
      <c r="W83" s="115"/>
      <c r="X83" s="115"/>
      <c r="Y83" s="115"/>
      <c r="Z83" s="115"/>
      <c r="AA83" s="115"/>
      <c r="AB83" s="115"/>
      <c r="AC83" s="115"/>
      <c r="AD83" s="115"/>
      <c r="AE83" s="115"/>
      <c r="AF83" s="115"/>
      <c r="AG83" s="115"/>
      <c r="AH83" s="115"/>
      <c r="AI83" s="115"/>
      <c r="AJ83" s="115"/>
      <c r="AK83" s="115"/>
      <c r="AL83" s="115"/>
      <c r="AM83" s="115"/>
      <c r="AN83" s="115"/>
      <c r="AO83" s="115"/>
      <c r="AP83" s="115"/>
      <c r="AQ83" s="115"/>
      <c r="AR83" s="115"/>
      <c r="AS83" s="115"/>
      <c r="AT83" s="115"/>
      <c r="AU83" s="115"/>
      <c r="AV83" s="115"/>
      <c r="AW83" s="115"/>
      <c r="AX83" s="115"/>
      <c r="AY83" s="82"/>
      <c r="AZ83" s="82"/>
      <c r="BA83" s="82"/>
      <c r="BB83" s="82"/>
      <c r="BC83" s="82"/>
      <c r="BD83" s="82"/>
      <c r="BE83" s="82"/>
      <c r="BF83" s="82"/>
      <c r="BG83" s="82"/>
      <c r="BH83" s="82"/>
      <c r="BI83" s="82"/>
      <c r="BJ83" s="82"/>
      <c r="BK83" s="82"/>
      <c r="BL83" s="82"/>
      <c r="BM83" s="82"/>
      <c r="BN83" s="82"/>
      <c r="BO83" s="82"/>
      <c r="BP83" s="82"/>
      <c r="BQ83" s="82"/>
      <c r="BR83" s="82"/>
      <c r="BS83" s="82"/>
      <c r="BT83" s="82"/>
      <c r="BU83" s="82"/>
      <c r="BV83" s="82"/>
      <c r="BW83" s="82"/>
      <c r="BX83" s="82"/>
      <c r="BY83" s="82"/>
      <c r="BZ83" s="82"/>
      <c r="CA83" s="82"/>
      <c r="CB83" s="82"/>
      <c r="CG83" s="115"/>
      <c r="CH83" s="115"/>
      <c r="CI83" s="115"/>
      <c r="CJ83" s="115"/>
      <c r="CK83" s="115"/>
      <c r="CL83" s="115"/>
      <c r="CM83" s="115"/>
      <c r="CN83" s="115"/>
      <c r="CO83" s="82"/>
      <c r="CP83" s="82"/>
      <c r="CQ83" s="82"/>
      <c r="CR83" s="82"/>
      <c r="CS83" s="82"/>
      <c r="CT83" s="82"/>
      <c r="CU83" s="82"/>
      <c r="CV83" s="82"/>
      <c r="CW83" s="82"/>
      <c r="CX83" s="82"/>
      <c r="CY83" s="82"/>
    </row>
    <row r="84" spans="1:103">
      <c r="A84" s="81" t="s">
        <v>500</v>
      </c>
      <c r="B84" s="81"/>
      <c r="C84" s="111"/>
      <c r="D84" s="111"/>
      <c r="E84" s="111"/>
      <c r="F84" s="111"/>
      <c r="G84" s="114"/>
      <c r="H84" s="114"/>
      <c r="I84" s="114"/>
      <c r="J84" s="115"/>
      <c r="K84" s="115"/>
      <c r="L84" s="115"/>
      <c r="M84" s="115"/>
      <c r="N84" s="115"/>
      <c r="O84" s="115"/>
      <c r="P84" s="115"/>
      <c r="Q84" s="115"/>
      <c r="R84" s="115"/>
      <c r="S84" s="115"/>
      <c r="T84" s="115"/>
      <c r="U84" s="115"/>
      <c r="V84" s="115"/>
      <c r="W84" s="115"/>
      <c r="X84" s="115"/>
      <c r="Y84" s="115"/>
      <c r="Z84" s="115"/>
      <c r="AA84" s="115"/>
      <c r="AB84" s="115"/>
      <c r="AC84" s="115"/>
      <c r="AD84" s="115"/>
      <c r="AE84" s="115"/>
      <c r="AF84" s="115"/>
      <c r="AG84" s="115"/>
      <c r="AH84" s="115"/>
      <c r="AI84" s="115"/>
      <c r="AJ84" s="115"/>
      <c r="AK84" s="115"/>
      <c r="AL84" s="115"/>
      <c r="AM84" s="115"/>
      <c r="AN84" s="115"/>
      <c r="AO84" s="115"/>
      <c r="AP84" s="115"/>
      <c r="AQ84" s="115"/>
      <c r="AR84" s="115"/>
      <c r="AS84" s="115"/>
      <c r="AT84" s="115"/>
      <c r="AU84" s="115"/>
      <c r="AV84" s="115"/>
      <c r="AW84" s="115"/>
      <c r="AX84" s="115"/>
      <c r="AY84" s="82"/>
      <c r="AZ84" s="82"/>
      <c r="BA84" s="82"/>
      <c r="BB84" s="82"/>
      <c r="BC84" s="82"/>
      <c r="BD84" s="82"/>
      <c r="BE84" s="82"/>
      <c r="BF84" s="82"/>
      <c r="BG84" s="82"/>
      <c r="BH84" s="82"/>
      <c r="BI84" s="82"/>
      <c r="BJ84" s="82"/>
      <c r="BK84" s="82"/>
      <c r="BL84" s="82"/>
      <c r="BM84" s="82"/>
      <c r="BN84" s="82"/>
      <c r="BO84" s="82"/>
      <c r="BP84" s="82"/>
      <c r="BQ84" s="82"/>
      <c r="BR84" s="82"/>
      <c r="BS84" s="82"/>
      <c r="BT84" s="82"/>
      <c r="BU84" s="82"/>
      <c r="BV84" s="82"/>
      <c r="BW84" s="82"/>
      <c r="BX84" s="82"/>
      <c r="BY84" s="82"/>
      <c r="BZ84" s="82"/>
      <c r="CA84" s="82"/>
      <c r="CB84" s="82"/>
      <c r="CG84" s="115"/>
      <c r="CH84" s="115"/>
      <c r="CI84" s="115"/>
      <c r="CJ84" s="115"/>
      <c r="CK84" s="115"/>
      <c r="CL84" s="115"/>
      <c r="CM84" s="115"/>
      <c r="CN84" s="115"/>
      <c r="CO84" s="82"/>
      <c r="CP84" s="82"/>
      <c r="CQ84" s="82"/>
      <c r="CR84" s="82"/>
      <c r="CS84" s="82"/>
      <c r="CT84" s="82"/>
      <c r="CU84" s="82"/>
      <c r="CV84" s="82"/>
      <c r="CW84" s="82"/>
      <c r="CX84" s="82"/>
      <c r="CY84" s="82"/>
    </row>
    <row r="85" spans="1:103">
      <c r="A85" s="81" t="s">
        <v>501</v>
      </c>
      <c r="B85" s="81"/>
      <c r="C85" s="111"/>
      <c r="D85" s="111"/>
      <c r="E85" s="111"/>
      <c r="F85" s="111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  <c r="AA85" s="114"/>
      <c r="AB85" s="114"/>
      <c r="AC85" s="114"/>
      <c r="AD85" s="114"/>
      <c r="AE85" s="114"/>
      <c r="AF85" s="114"/>
      <c r="AG85" s="114"/>
      <c r="AH85" s="114"/>
      <c r="AI85" s="82"/>
      <c r="AJ85" s="82"/>
      <c r="AK85" s="82"/>
      <c r="AL85" s="82"/>
      <c r="AM85" s="82"/>
      <c r="AN85" s="82"/>
      <c r="AO85" s="82"/>
      <c r="AP85" s="82"/>
      <c r="AQ85" s="82"/>
      <c r="AR85" s="82"/>
      <c r="AS85" s="82"/>
      <c r="AT85" s="82"/>
      <c r="AU85" s="82"/>
      <c r="AV85" s="82"/>
      <c r="AW85" s="82"/>
      <c r="AX85" s="82"/>
      <c r="AY85" s="82"/>
      <c r="AZ85" s="82"/>
      <c r="BA85" s="82"/>
      <c r="BB85" s="82"/>
      <c r="BC85" s="82"/>
      <c r="BD85" s="82"/>
      <c r="BE85" s="82"/>
      <c r="BF85" s="82"/>
      <c r="BG85" s="82"/>
      <c r="BH85" s="82"/>
      <c r="BI85" s="82"/>
      <c r="BJ85" s="82"/>
      <c r="BK85" s="82"/>
      <c r="BL85" s="82"/>
      <c r="BM85" s="82"/>
      <c r="BN85" s="82"/>
      <c r="BO85" s="82"/>
      <c r="BP85" s="82"/>
      <c r="BQ85" s="82"/>
      <c r="BR85" s="82"/>
      <c r="BS85" s="82"/>
      <c r="BT85" s="82"/>
      <c r="BU85" s="82"/>
      <c r="BV85" s="82"/>
      <c r="BW85" s="82"/>
      <c r="BX85" s="82"/>
      <c r="BY85" s="82"/>
      <c r="BZ85" s="82"/>
      <c r="CA85" s="82"/>
      <c r="CB85" s="82"/>
      <c r="CG85" s="82"/>
      <c r="CH85" s="82"/>
      <c r="CI85" s="82"/>
      <c r="CJ85" s="82"/>
      <c r="CK85" s="82"/>
      <c r="CL85" s="82"/>
      <c r="CM85" s="82"/>
      <c r="CN85" s="82"/>
      <c r="CO85" s="82"/>
      <c r="CP85" s="82"/>
      <c r="CQ85" s="82"/>
      <c r="CR85" s="82"/>
      <c r="CS85" s="82"/>
      <c r="CT85" s="82"/>
      <c r="CU85" s="82"/>
      <c r="CV85" s="82"/>
      <c r="CW85" s="82"/>
      <c r="CX85" s="82"/>
      <c r="CY85" s="82"/>
    </row>
    <row r="86" spans="1:103">
      <c r="A86" s="81" t="s">
        <v>502</v>
      </c>
      <c r="B86" s="81"/>
      <c r="C86" s="111"/>
      <c r="D86" s="111"/>
      <c r="E86" s="111"/>
      <c r="F86" s="111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  <c r="AA86" s="114"/>
      <c r="AB86" s="114"/>
      <c r="AC86" s="114"/>
      <c r="AD86" s="114"/>
      <c r="AE86" s="114"/>
      <c r="AF86" s="114"/>
      <c r="AG86" s="114"/>
      <c r="AH86" s="114"/>
      <c r="AI86" s="82"/>
      <c r="AJ86" s="82"/>
      <c r="AK86" s="82"/>
      <c r="AL86" s="82"/>
      <c r="AM86" s="82"/>
      <c r="AN86" s="82"/>
      <c r="AO86" s="82"/>
      <c r="AP86" s="82"/>
      <c r="AQ86" s="82"/>
      <c r="AR86" s="82"/>
      <c r="AS86" s="82"/>
      <c r="AT86" s="82"/>
      <c r="AU86" s="82"/>
      <c r="AV86" s="82"/>
      <c r="AW86" s="82"/>
      <c r="AX86" s="82"/>
      <c r="AY86" s="82"/>
      <c r="AZ86" s="82"/>
      <c r="BA86" s="82"/>
      <c r="BB86" s="82"/>
      <c r="BC86" s="82"/>
      <c r="BD86" s="82"/>
      <c r="BE86" s="82"/>
      <c r="BF86" s="82"/>
      <c r="BG86" s="82"/>
      <c r="BH86" s="82"/>
      <c r="BI86" s="82"/>
      <c r="BJ86" s="82"/>
      <c r="BK86" s="82"/>
      <c r="BL86" s="82"/>
      <c r="BM86" s="82"/>
      <c r="BN86" s="82"/>
      <c r="BO86" s="82"/>
      <c r="BP86" s="82"/>
      <c r="BQ86" s="82"/>
      <c r="BR86" s="82"/>
      <c r="BS86" s="82"/>
      <c r="BT86" s="82"/>
      <c r="BU86" s="82"/>
      <c r="BV86" s="82"/>
      <c r="BW86" s="82"/>
      <c r="BX86" s="82"/>
      <c r="BY86" s="82"/>
      <c r="BZ86" s="82"/>
      <c r="CA86" s="82"/>
      <c r="CB86" s="82"/>
      <c r="CG86" s="82"/>
      <c r="CH86" s="82"/>
      <c r="CI86" s="82"/>
      <c r="CJ86" s="82"/>
      <c r="CK86" s="82"/>
      <c r="CL86" s="82"/>
      <c r="CM86" s="82"/>
      <c r="CN86" s="82"/>
      <c r="CO86" s="82"/>
      <c r="CP86" s="82"/>
      <c r="CQ86" s="82"/>
      <c r="CR86" s="82"/>
      <c r="CS86" s="82"/>
      <c r="CT86" s="82"/>
      <c r="CU86" s="82"/>
      <c r="CV86" s="82"/>
      <c r="CW86" s="82"/>
      <c r="CX86" s="82"/>
      <c r="CY86" s="82"/>
    </row>
    <row r="87" spans="1:103">
      <c r="A87" s="81" t="s">
        <v>250</v>
      </c>
      <c r="B87" s="81"/>
      <c r="C87" s="111"/>
      <c r="D87" s="111"/>
      <c r="E87" s="111"/>
      <c r="F87" s="111"/>
      <c r="G87" s="114"/>
      <c r="H87" s="114"/>
      <c r="I87" s="114"/>
      <c r="J87" s="115"/>
      <c r="K87" s="115"/>
      <c r="L87" s="115"/>
      <c r="M87" s="115"/>
      <c r="N87" s="115"/>
      <c r="O87" s="115"/>
      <c r="P87" s="115"/>
      <c r="Q87" s="115"/>
      <c r="R87" s="115"/>
      <c r="S87" s="115"/>
      <c r="T87" s="115"/>
      <c r="U87" s="115"/>
      <c r="V87" s="115"/>
      <c r="W87" s="115"/>
      <c r="X87" s="115"/>
      <c r="Y87" s="115"/>
      <c r="Z87" s="115"/>
      <c r="AA87" s="115"/>
      <c r="AB87" s="115"/>
      <c r="AC87" s="115"/>
      <c r="AD87" s="115"/>
      <c r="AE87" s="115"/>
      <c r="AF87" s="115"/>
      <c r="AG87" s="115"/>
      <c r="AH87" s="115"/>
      <c r="AI87" s="115"/>
      <c r="AJ87" s="115"/>
      <c r="AK87" s="115"/>
      <c r="AL87" s="115"/>
      <c r="AM87" s="115"/>
      <c r="AN87" s="115"/>
      <c r="AO87" s="115"/>
      <c r="AP87" s="115"/>
      <c r="AQ87" s="115"/>
      <c r="AR87" s="115"/>
      <c r="AS87" s="115"/>
      <c r="AT87" s="115"/>
      <c r="AU87" s="115"/>
      <c r="AV87" s="115"/>
      <c r="AW87" s="115"/>
      <c r="AX87" s="115"/>
      <c r="AY87" s="82"/>
      <c r="AZ87" s="82"/>
      <c r="BA87" s="82"/>
      <c r="BB87" s="82"/>
      <c r="BC87" s="82"/>
      <c r="BD87" s="82"/>
      <c r="BE87" s="82"/>
      <c r="BF87" s="82"/>
      <c r="BG87" s="82"/>
      <c r="BH87" s="82"/>
      <c r="BI87" s="82"/>
      <c r="BJ87" s="82"/>
      <c r="BK87" s="82"/>
      <c r="BL87" s="82"/>
      <c r="BM87" s="82"/>
      <c r="BN87" s="82"/>
      <c r="BO87" s="82"/>
      <c r="BP87" s="82"/>
      <c r="BQ87" s="82"/>
      <c r="BR87" s="82"/>
      <c r="BS87" s="82"/>
      <c r="BT87" s="82"/>
      <c r="BU87" s="82"/>
      <c r="BV87" s="82"/>
      <c r="BW87" s="82"/>
      <c r="BX87" s="82"/>
      <c r="BY87" s="82"/>
      <c r="BZ87" s="82"/>
      <c r="CA87" s="82"/>
      <c r="CB87" s="82"/>
      <c r="CG87" s="115"/>
      <c r="CH87" s="115"/>
      <c r="CI87" s="115"/>
      <c r="CJ87" s="115"/>
      <c r="CK87" s="115"/>
      <c r="CL87" s="115"/>
      <c r="CM87" s="115"/>
      <c r="CN87" s="115"/>
      <c r="CO87" s="82"/>
      <c r="CP87" s="82"/>
      <c r="CQ87" s="82"/>
      <c r="CR87" s="82"/>
      <c r="CS87" s="82"/>
      <c r="CT87" s="82"/>
      <c r="CU87" s="82"/>
      <c r="CV87" s="82"/>
      <c r="CW87" s="82"/>
      <c r="CX87" s="82"/>
      <c r="CY87" s="82"/>
    </row>
    <row r="88" spans="1:103">
      <c r="A88" s="81" t="s">
        <v>503</v>
      </c>
      <c r="B88" s="81"/>
      <c r="C88" s="111"/>
      <c r="D88" s="111"/>
      <c r="E88" s="111"/>
      <c r="F88" s="111"/>
      <c r="G88" s="114"/>
      <c r="H88" s="114"/>
      <c r="I88" s="114"/>
      <c r="J88" s="115"/>
      <c r="K88" s="115"/>
      <c r="L88" s="115"/>
      <c r="M88" s="115"/>
      <c r="N88" s="115"/>
      <c r="O88" s="115"/>
      <c r="P88" s="115"/>
      <c r="Q88" s="115"/>
      <c r="R88" s="115"/>
      <c r="S88" s="115"/>
      <c r="T88" s="115"/>
      <c r="U88" s="115"/>
      <c r="V88" s="115"/>
      <c r="W88" s="115"/>
      <c r="X88" s="115"/>
      <c r="Y88" s="115"/>
      <c r="Z88" s="115"/>
      <c r="AA88" s="115"/>
      <c r="AB88" s="115"/>
      <c r="AC88" s="115"/>
      <c r="AD88" s="115"/>
      <c r="AE88" s="115"/>
      <c r="AF88" s="115"/>
      <c r="AG88" s="115"/>
      <c r="AH88" s="115"/>
      <c r="AI88" s="115"/>
      <c r="AJ88" s="115"/>
      <c r="AK88" s="115"/>
      <c r="AL88" s="115"/>
      <c r="AM88" s="115"/>
      <c r="AN88" s="115"/>
      <c r="AO88" s="115"/>
      <c r="AP88" s="115"/>
      <c r="AQ88" s="115"/>
      <c r="AR88" s="115"/>
      <c r="AS88" s="115"/>
      <c r="AT88" s="115"/>
      <c r="AU88" s="115"/>
      <c r="AV88" s="115"/>
      <c r="AW88" s="115"/>
      <c r="AX88" s="115"/>
      <c r="AY88" s="82"/>
      <c r="AZ88" s="82"/>
      <c r="BA88" s="82"/>
      <c r="BB88" s="82"/>
      <c r="BC88" s="82"/>
      <c r="BD88" s="82"/>
      <c r="BE88" s="82"/>
      <c r="BF88" s="82"/>
      <c r="BG88" s="82"/>
      <c r="BH88" s="82"/>
      <c r="BI88" s="82"/>
      <c r="BJ88" s="82"/>
      <c r="BK88" s="82"/>
      <c r="BL88" s="82"/>
      <c r="BM88" s="82"/>
      <c r="BN88" s="82"/>
      <c r="BO88" s="82"/>
      <c r="BP88" s="82"/>
      <c r="BQ88" s="82"/>
      <c r="BR88" s="82"/>
      <c r="BS88" s="82"/>
      <c r="BT88" s="82"/>
      <c r="BU88" s="82"/>
      <c r="BV88" s="82"/>
      <c r="BW88" s="82"/>
      <c r="BX88" s="82"/>
      <c r="BY88" s="82"/>
      <c r="BZ88" s="82"/>
      <c r="CA88" s="82"/>
      <c r="CB88" s="82"/>
      <c r="CG88" s="115"/>
      <c r="CH88" s="115"/>
      <c r="CI88" s="115"/>
      <c r="CJ88" s="115"/>
      <c r="CK88" s="115"/>
      <c r="CL88" s="115"/>
      <c r="CM88" s="115"/>
      <c r="CN88" s="115"/>
      <c r="CO88" s="82"/>
      <c r="CP88" s="82"/>
      <c r="CQ88" s="82"/>
      <c r="CR88" s="82"/>
      <c r="CS88" s="82"/>
      <c r="CT88" s="82"/>
      <c r="CU88" s="82"/>
      <c r="CV88" s="82"/>
      <c r="CW88" s="82"/>
      <c r="CX88" s="82"/>
      <c r="CY88" s="82"/>
    </row>
    <row r="89" spans="1:103">
      <c r="A89" s="81" t="s">
        <v>504</v>
      </c>
      <c r="B89" s="81"/>
      <c r="C89" s="111"/>
      <c r="D89" s="111"/>
      <c r="E89" s="111"/>
      <c r="F89" s="111"/>
      <c r="G89" s="114"/>
      <c r="H89" s="114"/>
      <c r="I89" s="114"/>
      <c r="J89" s="115"/>
      <c r="K89" s="115"/>
      <c r="L89" s="115"/>
      <c r="M89" s="115"/>
      <c r="N89" s="115"/>
      <c r="O89" s="115"/>
      <c r="P89" s="115"/>
      <c r="Q89" s="115"/>
      <c r="R89" s="115"/>
      <c r="S89" s="115"/>
      <c r="T89" s="115"/>
      <c r="U89" s="115"/>
      <c r="V89" s="115"/>
      <c r="W89" s="115"/>
      <c r="X89" s="115"/>
      <c r="Y89" s="115"/>
      <c r="Z89" s="115"/>
      <c r="AA89" s="115"/>
      <c r="AB89" s="115"/>
      <c r="AC89" s="115"/>
      <c r="AD89" s="115"/>
      <c r="AE89" s="115"/>
      <c r="AF89" s="115"/>
      <c r="AG89" s="115"/>
      <c r="AH89" s="115"/>
      <c r="AI89" s="115"/>
      <c r="AJ89" s="115"/>
      <c r="AK89" s="115"/>
      <c r="AL89" s="115"/>
      <c r="AM89" s="115"/>
      <c r="AN89" s="115"/>
      <c r="AO89" s="115"/>
      <c r="AP89" s="115"/>
      <c r="AQ89" s="115"/>
      <c r="AR89" s="115"/>
      <c r="AS89" s="115"/>
      <c r="AT89" s="115"/>
      <c r="AU89" s="115"/>
      <c r="AV89" s="115"/>
      <c r="AW89" s="115"/>
      <c r="AX89" s="115"/>
      <c r="AY89" s="82"/>
      <c r="AZ89" s="82"/>
      <c r="BA89" s="82"/>
      <c r="BB89" s="82"/>
      <c r="BC89" s="82"/>
      <c r="BD89" s="82"/>
      <c r="BE89" s="82"/>
      <c r="BF89" s="82"/>
      <c r="BG89" s="82"/>
      <c r="BH89" s="82"/>
      <c r="BI89" s="82"/>
      <c r="BJ89" s="82"/>
      <c r="BK89" s="82"/>
      <c r="BL89" s="82"/>
      <c r="BM89" s="82"/>
      <c r="BN89" s="82"/>
      <c r="BO89" s="82"/>
      <c r="BP89" s="82"/>
      <c r="BQ89" s="82"/>
      <c r="BR89" s="82"/>
      <c r="BS89" s="82"/>
      <c r="BT89" s="82"/>
      <c r="BU89" s="82"/>
      <c r="BV89" s="82"/>
      <c r="BW89" s="82"/>
      <c r="BX89" s="82"/>
      <c r="BY89" s="82"/>
      <c r="BZ89" s="82"/>
      <c r="CA89" s="82"/>
      <c r="CB89" s="82"/>
      <c r="CG89" s="115"/>
      <c r="CH89" s="115"/>
      <c r="CI89" s="115"/>
      <c r="CJ89" s="115"/>
      <c r="CK89" s="115"/>
      <c r="CL89" s="115"/>
      <c r="CM89" s="115"/>
      <c r="CN89" s="115"/>
      <c r="CO89" s="82"/>
      <c r="CP89" s="82"/>
      <c r="CQ89" s="82"/>
      <c r="CR89" s="82"/>
      <c r="CS89" s="82"/>
      <c r="CT89" s="82"/>
      <c r="CU89" s="82"/>
      <c r="CV89" s="82"/>
      <c r="CW89" s="82"/>
      <c r="CX89" s="82"/>
      <c r="CY89" s="82"/>
    </row>
    <row r="90" spans="1:103">
      <c r="A90" s="81" t="s">
        <v>821</v>
      </c>
      <c r="B90" s="81"/>
      <c r="C90" s="111"/>
      <c r="D90" s="111"/>
      <c r="E90" s="111"/>
      <c r="F90" s="111"/>
      <c r="G90" s="114"/>
      <c r="H90" s="114"/>
      <c r="I90" s="114"/>
      <c r="J90" s="115"/>
      <c r="K90" s="115"/>
      <c r="L90" s="115"/>
      <c r="M90" s="115"/>
      <c r="N90" s="115"/>
      <c r="O90" s="115"/>
      <c r="P90" s="115"/>
      <c r="Q90" s="115"/>
      <c r="R90" s="115"/>
      <c r="S90" s="115"/>
      <c r="T90" s="115"/>
      <c r="U90" s="115"/>
      <c r="V90" s="115"/>
      <c r="W90" s="115"/>
      <c r="X90" s="115"/>
      <c r="Y90" s="115"/>
      <c r="Z90" s="115"/>
      <c r="AA90" s="115"/>
      <c r="AB90" s="115"/>
      <c r="AC90" s="115"/>
      <c r="AD90" s="115"/>
      <c r="AE90" s="115"/>
      <c r="AF90" s="115"/>
      <c r="AG90" s="115"/>
      <c r="AH90" s="115"/>
      <c r="AI90" s="115"/>
      <c r="AJ90" s="115"/>
      <c r="AK90" s="115"/>
      <c r="AL90" s="115"/>
      <c r="AM90" s="115"/>
      <c r="AN90" s="115"/>
      <c r="AO90" s="115"/>
      <c r="AP90" s="115"/>
      <c r="AQ90" s="115"/>
      <c r="AR90" s="115"/>
      <c r="AS90" s="115"/>
      <c r="AT90" s="115"/>
      <c r="AU90" s="115"/>
      <c r="AV90" s="115"/>
      <c r="AW90" s="115"/>
      <c r="AX90" s="115"/>
      <c r="AY90" s="82"/>
      <c r="AZ90" s="82"/>
      <c r="BA90" s="82"/>
      <c r="BB90" s="82"/>
      <c r="BC90" s="82"/>
      <c r="BD90" s="82"/>
      <c r="BE90" s="82"/>
      <c r="BF90" s="82"/>
      <c r="BG90" s="82"/>
      <c r="BH90" s="82"/>
      <c r="BI90" s="82"/>
      <c r="BJ90" s="82"/>
      <c r="BK90" s="82"/>
      <c r="BL90" s="82"/>
      <c r="BM90" s="82"/>
      <c r="BN90" s="82"/>
      <c r="BO90" s="82"/>
      <c r="BP90" s="82"/>
      <c r="BQ90" s="82"/>
      <c r="BR90" s="82"/>
      <c r="BS90" s="82"/>
      <c r="BT90" s="82"/>
      <c r="BU90" s="82"/>
      <c r="BV90" s="82"/>
      <c r="BW90" s="82"/>
      <c r="BX90" s="82"/>
      <c r="BY90" s="82"/>
      <c r="BZ90" s="82"/>
      <c r="CA90" s="82"/>
      <c r="CB90" s="82"/>
      <c r="CG90" s="115"/>
      <c r="CH90" s="115"/>
      <c r="CI90" s="115"/>
      <c r="CJ90" s="115"/>
      <c r="CK90" s="115"/>
      <c r="CL90" s="115"/>
      <c r="CM90" s="115"/>
      <c r="CN90" s="115"/>
      <c r="CO90" s="82"/>
      <c r="CP90" s="82"/>
      <c r="CQ90" s="82"/>
      <c r="CR90" s="82"/>
      <c r="CS90" s="82"/>
      <c r="CT90" s="82"/>
      <c r="CU90" s="82"/>
      <c r="CV90" s="82"/>
      <c r="CW90" s="82"/>
      <c r="CX90" s="82"/>
      <c r="CY90" s="82"/>
    </row>
    <row r="91" spans="1:103">
      <c r="A91" s="81" t="s">
        <v>822</v>
      </c>
      <c r="B91" s="81"/>
      <c r="C91" s="111"/>
      <c r="D91" s="111"/>
      <c r="E91" s="111"/>
      <c r="F91" s="111"/>
      <c r="G91" s="114"/>
      <c r="H91" s="114"/>
      <c r="I91" s="114"/>
      <c r="J91" s="115"/>
      <c r="K91" s="115"/>
      <c r="L91" s="115"/>
      <c r="M91" s="115"/>
      <c r="N91" s="115"/>
      <c r="O91" s="115"/>
      <c r="P91" s="115"/>
      <c r="Q91" s="115"/>
      <c r="R91" s="115"/>
      <c r="S91" s="115"/>
      <c r="T91" s="115"/>
      <c r="U91" s="115"/>
      <c r="V91" s="115"/>
      <c r="W91" s="115"/>
      <c r="X91" s="115"/>
      <c r="Y91" s="115"/>
      <c r="Z91" s="115"/>
      <c r="AA91" s="115"/>
      <c r="AB91" s="115"/>
      <c r="AC91" s="115"/>
      <c r="AD91" s="115"/>
      <c r="AE91" s="115"/>
      <c r="AF91" s="115"/>
      <c r="AG91" s="115"/>
      <c r="AH91" s="115"/>
      <c r="AI91" s="115"/>
      <c r="AJ91" s="115"/>
      <c r="AK91" s="115"/>
      <c r="AL91" s="115"/>
      <c r="AM91" s="115"/>
      <c r="AN91" s="115"/>
      <c r="AO91" s="115"/>
      <c r="AP91" s="115"/>
      <c r="AQ91" s="115"/>
      <c r="AR91" s="115"/>
      <c r="AS91" s="115"/>
      <c r="AT91" s="115"/>
      <c r="AU91" s="115"/>
      <c r="AV91" s="115"/>
      <c r="AW91" s="115"/>
      <c r="AX91" s="115"/>
      <c r="AY91" s="82"/>
      <c r="AZ91" s="82"/>
      <c r="BA91" s="82"/>
      <c r="BB91" s="82"/>
      <c r="BC91" s="82"/>
      <c r="BD91" s="82"/>
      <c r="BE91" s="82"/>
      <c r="BF91" s="82"/>
      <c r="BG91" s="82"/>
      <c r="BH91" s="82"/>
      <c r="BI91" s="82"/>
      <c r="BJ91" s="82"/>
      <c r="BK91" s="82"/>
      <c r="BL91" s="82"/>
      <c r="BM91" s="82"/>
      <c r="BN91" s="82"/>
      <c r="BO91" s="82"/>
      <c r="BP91" s="82"/>
      <c r="BQ91" s="82"/>
      <c r="BR91" s="82"/>
      <c r="BS91" s="82"/>
      <c r="BT91" s="82"/>
      <c r="BU91" s="82"/>
      <c r="BV91" s="82"/>
      <c r="BW91" s="82"/>
      <c r="BX91" s="82"/>
      <c r="BY91" s="82"/>
      <c r="BZ91" s="82"/>
      <c r="CA91" s="82"/>
      <c r="CB91" s="82"/>
      <c r="CG91" s="115"/>
      <c r="CH91" s="115"/>
      <c r="CI91" s="115"/>
      <c r="CJ91" s="115"/>
      <c r="CK91" s="115"/>
      <c r="CL91" s="115"/>
      <c r="CM91" s="115"/>
      <c r="CN91" s="115"/>
      <c r="CO91" s="82"/>
      <c r="CP91" s="82"/>
      <c r="CQ91" s="82"/>
      <c r="CR91" s="82"/>
      <c r="CS91" s="82"/>
      <c r="CT91" s="82"/>
      <c r="CU91" s="82"/>
      <c r="CV91" s="82"/>
      <c r="CW91" s="82"/>
      <c r="CX91" s="82"/>
      <c r="CY91" s="82"/>
    </row>
    <row r="92" spans="1:103">
      <c r="A92" s="788" t="s">
        <v>584</v>
      </c>
    </row>
    <row r="93" spans="1:103">
      <c r="A93" s="786" t="s">
        <v>697</v>
      </c>
      <c r="B93" s="786"/>
      <c r="C93" s="786"/>
      <c r="D93" s="786"/>
      <c r="E93" s="786"/>
      <c r="F93" s="786"/>
      <c r="G93" s="787"/>
      <c r="H93" s="787"/>
      <c r="I93" s="787"/>
      <c r="J93" s="787"/>
      <c r="K93" s="787"/>
      <c r="L93" s="787"/>
      <c r="M93" s="787"/>
      <c r="N93" s="787"/>
      <c r="O93" s="787"/>
      <c r="P93" s="787"/>
      <c r="Q93" s="787"/>
      <c r="R93" s="787"/>
      <c r="S93" s="787"/>
      <c r="T93" s="787"/>
      <c r="U93" s="787"/>
      <c r="V93" s="787"/>
      <c r="W93" s="787"/>
      <c r="X93" s="787"/>
      <c r="Y93" s="787"/>
      <c r="Z93" s="787"/>
      <c r="AA93" s="787"/>
      <c r="AB93" s="787"/>
      <c r="AC93" s="787"/>
      <c r="AD93" s="787"/>
      <c r="AE93" s="787"/>
      <c r="AF93" s="787"/>
      <c r="AG93" s="787"/>
      <c r="AH93" s="787"/>
      <c r="AI93" s="787"/>
      <c r="AJ93" s="787"/>
      <c r="AK93" s="787"/>
      <c r="AL93" s="787"/>
      <c r="AM93" s="787"/>
      <c r="AN93" s="787"/>
      <c r="AO93" s="787"/>
      <c r="AP93" s="787"/>
      <c r="AQ93" s="787"/>
      <c r="AR93" s="787"/>
      <c r="AS93" s="787"/>
      <c r="AT93" s="787"/>
      <c r="AU93" s="787"/>
      <c r="AV93" s="787"/>
      <c r="AW93" s="787"/>
      <c r="AX93" s="787"/>
      <c r="AY93" s="787"/>
      <c r="AZ93" s="787"/>
      <c r="BA93" s="787"/>
      <c r="BB93" s="787"/>
      <c r="BC93" s="787"/>
      <c r="BD93" s="787"/>
      <c r="BE93" s="787"/>
      <c r="BF93" s="787"/>
      <c r="BG93" s="787">
        <f>'Income Statement'!BP426</f>
        <v>368</v>
      </c>
      <c r="BH93" s="787">
        <f>'Income Statement'!BQ426</f>
        <v>371</v>
      </c>
      <c r="BI93" s="787">
        <f>'Income Statement'!BR426</f>
        <v>380</v>
      </c>
      <c r="BJ93" s="787">
        <f>'Income Statement'!BS426</f>
        <v>399</v>
      </c>
      <c r="BK93" s="787">
        <f>'Income Statement'!BU426</f>
        <v>388</v>
      </c>
      <c r="BL93" s="787">
        <f>'Income Statement'!BV426</f>
        <v>386</v>
      </c>
      <c r="BM93" s="787">
        <f>'Income Statement'!BW426</f>
        <v>387</v>
      </c>
      <c r="BN93" s="787">
        <f>'Income Statement'!BX426</f>
        <v>364</v>
      </c>
      <c r="BO93" s="787">
        <f>'Income Statement'!BZ426</f>
        <v>365</v>
      </c>
      <c r="BP93" s="787">
        <f>'Income Statement'!CA426</f>
        <v>362</v>
      </c>
      <c r="BQ93" s="787">
        <f>'Income Statement'!CB426</f>
        <v>380</v>
      </c>
      <c r="BR93" s="787">
        <f>'Income Statement'!CC426</f>
        <v>401</v>
      </c>
      <c r="BS93" s="787">
        <f>'Income Statement'!CE426</f>
        <v>387</v>
      </c>
      <c r="BT93" s="787">
        <f>'Income Statement'!CF426</f>
        <v>401</v>
      </c>
      <c r="BU93" s="787">
        <f>'Income Statement'!CG426</f>
        <v>396</v>
      </c>
      <c r="BV93" s="787">
        <f>'Income Statement'!CH426</f>
        <v>426</v>
      </c>
      <c r="BW93" s="787">
        <f>'Income Statement'!CJ426</f>
        <v>398</v>
      </c>
      <c r="BX93" s="787">
        <f>'Income Statement'!CK426</f>
        <v>407</v>
      </c>
      <c r="BY93" s="787">
        <f>'Income Statement'!CL426</f>
        <v>418</v>
      </c>
      <c r="BZ93" s="787">
        <f>'Income Statement'!CM426</f>
        <v>442</v>
      </c>
      <c r="CA93" s="787">
        <f>'Income Statement'!CO426</f>
        <v>419</v>
      </c>
      <c r="CB93" s="787">
        <f>'Income Statement'!CP426</f>
        <v>416</v>
      </c>
      <c r="CD93" t="s">
        <v>789</v>
      </c>
      <c r="CR93" s="146">
        <f>'Income Statement'!BT426</f>
        <v>1518</v>
      </c>
      <c r="CS93" s="146">
        <f>'Income Statement'!BY426</f>
        <v>1525</v>
      </c>
      <c r="CT93" s="146">
        <f>'Income Statement'!CD426</f>
        <v>1508</v>
      </c>
      <c r="CU93" s="146">
        <f>'Income Statement'!CI426</f>
        <v>1610</v>
      </c>
      <c r="CV93" s="146">
        <f>'Income Statement'!CN426</f>
        <v>1665</v>
      </c>
      <c r="CW93" s="146">
        <f>'Income Statement'!CQ426</f>
        <v>1669.1624999999999</v>
      </c>
      <c r="CX93" s="146">
        <f>'Income Statement'!CR426</f>
        <v>1752.620625</v>
      </c>
      <c r="CY93" s="146">
        <f>'Income Statement'!CS426</f>
        <v>1840.25165625</v>
      </c>
    </row>
    <row r="96" spans="1:103">
      <c r="A96" s="124" t="s">
        <v>782</v>
      </c>
    </row>
    <row r="97" spans="1:82">
      <c r="A97" s="124" t="s">
        <v>255</v>
      </c>
    </row>
    <row r="98" spans="1:82">
      <c r="A98" t="s">
        <v>534</v>
      </c>
      <c r="C98" s="146"/>
      <c r="D98" s="146"/>
      <c r="E98" s="146"/>
      <c r="F98" s="146"/>
      <c r="G98" s="146"/>
      <c r="H98" s="146"/>
      <c r="I98" s="146"/>
      <c r="J98" s="146"/>
      <c r="K98" s="146"/>
      <c r="L98" s="146"/>
      <c r="M98" s="146"/>
      <c r="N98" s="146"/>
      <c r="O98" s="146"/>
      <c r="P98" s="146"/>
      <c r="Q98" s="146"/>
      <c r="R98" s="146"/>
      <c r="S98" s="146"/>
      <c r="T98" s="146"/>
      <c r="U98" s="146"/>
      <c r="V98" s="146"/>
      <c r="W98" s="146"/>
      <c r="X98" s="146"/>
      <c r="Y98" s="146"/>
      <c r="Z98" s="146"/>
      <c r="AA98" s="146"/>
      <c r="AB98" s="146"/>
      <c r="AC98" s="146"/>
      <c r="AD98" s="146"/>
      <c r="AE98" s="146"/>
      <c r="AF98" s="146"/>
      <c r="AG98" s="146"/>
      <c r="AH98" s="146"/>
      <c r="AI98" s="146"/>
      <c r="AJ98" s="146"/>
      <c r="AK98" s="146"/>
      <c r="AL98" s="146"/>
      <c r="AM98" s="146"/>
      <c r="AN98" s="146"/>
      <c r="AO98" s="146"/>
      <c r="AP98" s="146"/>
      <c r="AQ98" s="146"/>
      <c r="AR98" s="146"/>
      <c r="AS98" s="146"/>
      <c r="AT98" s="146"/>
      <c r="AU98" s="146"/>
      <c r="AV98" s="146"/>
      <c r="AW98" s="146"/>
      <c r="AX98" s="146"/>
      <c r="AY98" s="146"/>
      <c r="AZ98" s="146"/>
      <c r="BA98" s="146"/>
      <c r="BB98" s="146"/>
      <c r="BC98" s="146"/>
      <c r="BD98" s="146"/>
      <c r="BE98" s="146"/>
      <c r="BF98" s="146"/>
      <c r="BG98" s="146">
        <f t="shared" ref="BG98:BV98" si="76">BG31</f>
        <v>690</v>
      </c>
      <c r="BH98" s="146">
        <f t="shared" si="76"/>
        <v>685</v>
      </c>
      <c r="BI98" s="146">
        <f t="shared" si="76"/>
        <v>685</v>
      </c>
      <c r="BJ98" s="146">
        <f t="shared" si="76"/>
        <v>655</v>
      </c>
      <c r="BK98" s="146">
        <f t="shared" si="76"/>
        <v>657</v>
      </c>
      <c r="BL98" s="146">
        <f t="shared" si="76"/>
        <v>679</v>
      </c>
      <c r="BM98" s="146">
        <f t="shared" si="76"/>
        <v>676</v>
      </c>
      <c r="BN98" s="146">
        <f t="shared" si="76"/>
        <v>681</v>
      </c>
      <c r="BO98" s="146">
        <f t="shared" si="76"/>
        <v>661</v>
      </c>
      <c r="BP98" s="146">
        <f t="shared" si="76"/>
        <v>651</v>
      </c>
      <c r="BQ98" s="146">
        <f t="shared" si="76"/>
        <v>652</v>
      </c>
      <c r="BR98" s="146">
        <f t="shared" si="76"/>
        <v>655</v>
      </c>
      <c r="BS98" s="146">
        <f t="shared" si="76"/>
        <v>649</v>
      </c>
      <c r="BT98" s="146">
        <f t="shared" si="76"/>
        <v>648</v>
      </c>
      <c r="BU98" s="146">
        <f t="shared" si="76"/>
        <v>641</v>
      </c>
      <c r="BV98" s="146">
        <f t="shared" si="76"/>
        <v>627</v>
      </c>
      <c r="BW98" s="146">
        <f t="shared" ref="BW98:BX98" si="77">BW31</f>
        <v>595</v>
      </c>
      <c r="BX98" s="146">
        <f t="shared" si="77"/>
        <v>610</v>
      </c>
      <c r="BY98" s="146">
        <f t="shared" ref="BY98:CB98" si="78">BY31</f>
        <v>616</v>
      </c>
      <c r="BZ98" s="146">
        <f t="shared" si="78"/>
        <v>624</v>
      </c>
      <c r="CA98" s="146">
        <f t="shared" si="78"/>
        <v>609</v>
      </c>
      <c r="CB98" s="146">
        <f t="shared" si="78"/>
        <v>612</v>
      </c>
      <c r="CD98" t="s">
        <v>787</v>
      </c>
    </row>
    <row r="99" spans="1:82">
      <c r="A99" t="s">
        <v>642</v>
      </c>
      <c r="C99" s="146"/>
      <c r="D99" s="146"/>
      <c r="E99" s="146"/>
      <c r="F99" s="146"/>
      <c r="G99" s="146"/>
      <c r="H99" s="146"/>
      <c r="I99" s="146"/>
      <c r="J99" s="146"/>
      <c r="K99" s="146"/>
      <c r="L99" s="146"/>
      <c r="M99" s="146"/>
      <c r="N99" s="146"/>
      <c r="O99" s="146"/>
      <c r="P99" s="146"/>
      <c r="Q99" s="146"/>
      <c r="R99" s="146"/>
      <c r="S99" s="146"/>
      <c r="T99" s="146"/>
      <c r="U99" s="146"/>
      <c r="V99" s="146"/>
      <c r="W99" s="146"/>
      <c r="X99" s="146"/>
      <c r="Y99" s="146"/>
      <c r="Z99" s="146"/>
      <c r="AA99" s="146"/>
      <c r="AB99" s="146"/>
      <c r="AC99" s="146"/>
      <c r="AD99" s="146"/>
      <c r="AE99" s="146"/>
      <c r="AF99" s="146"/>
      <c r="AG99" s="146"/>
      <c r="AH99" s="146"/>
      <c r="AI99" s="146"/>
      <c r="AJ99" s="146"/>
      <c r="AK99" s="146"/>
      <c r="AL99" s="146"/>
      <c r="AM99" s="146"/>
      <c r="AN99" s="146"/>
      <c r="AO99" s="146"/>
      <c r="AP99" s="146"/>
      <c r="AQ99" s="146"/>
      <c r="AR99" s="146"/>
      <c r="AS99" s="146"/>
      <c r="AT99" s="146"/>
      <c r="AU99" s="146"/>
      <c r="AV99" s="146"/>
      <c r="AW99" s="146"/>
      <c r="AX99" s="146"/>
      <c r="AY99" s="146"/>
      <c r="AZ99" s="146"/>
      <c r="BA99" s="146"/>
      <c r="BB99" s="146"/>
      <c r="BC99" s="146"/>
      <c r="BD99" s="146"/>
      <c r="BE99" s="146"/>
      <c r="BF99" s="146"/>
      <c r="BG99" s="146">
        <f t="shared" ref="BG99:BV99" si="79">BG32</f>
        <v>748</v>
      </c>
      <c r="BH99" s="146">
        <f t="shared" si="79"/>
        <v>766</v>
      </c>
      <c r="BI99" s="146">
        <f t="shared" si="79"/>
        <v>783</v>
      </c>
      <c r="BJ99" s="146">
        <f t="shared" si="79"/>
        <v>766</v>
      </c>
      <c r="BK99" s="146">
        <f t="shared" si="79"/>
        <v>785</v>
      </c>
      <c r="BL99" s="146">
        <f t="shared" si="79"/>
        <v>810</v>
      </c>
      <c r="BM99" s="146">
        <f t="shared" si="79"/>
        <v>830</v>
      </c>
      <c r="BN99" s="146">
        <f t="shared" si="79"/>
        <v>850</v>
      </c>
      <c r="BO99" s="146">
        <f t="shared" si="79"/>
        <v>864</v>
      </c>
      <c r="BP99" s="146">
        <f t="shared" si="79"/>
        <v>871</v>
      </c>
      <c r="BQ99" s="146">
        <f t="shared" si="79"/>
        <v>882</v>
      </c>
      <c r="BR99" s="146">
        <f t="shared" si="79"/>
        <v>903</v>
      </c>
      <c r="BS99" s="146">
        <f t="shared" si="79"/>
        <v>911</v>
      </c>
      <c r="BT99" s="146">
        <f t="shared" si="79"/>
        <v>916</v>
      </c>
      <c r="BU99" s="146">
        <f t="shared" si="79"/>
        <v>925</v>
      </c>
      <c r="BV99" s="146">
        <f t="shared" si="79"/>
        <v>948</v>
      </c>
      <c r="BW99" s="146">
        <f t="shared" ref="BW99:BX99" si="80">BW32</f>
        <v>924</v>
      </c>
      <c r="BX99" s="146">
        <f t="shared" si="80"/>
        <v>933</v>
      </c>
      <c r="BY99" s="146">
        <f t="shared" ref="BY99:CB99" si="81">BY32</f>
        <v>952</v>
      </c>
      <c r="BZ99" s="146">
        <f t="shared" si="81"/>
        <v>976</v>
      </c>
      <c r="CA99" s="146">
        <f t="shared" si="81"/>
        <v>963</v>
      </c>
      <c r="CB99" s="146">
        <f t="shared" si="81"/>
        <v>972</v>
      </c>
      <c r="CD99" t="s">
        <v>787</v>
      </c>
    </row>
    <row r="100" spans="1:82">
      <c r="A100" t="s">
        <v>619</v>
      </c>
      <c r="C100" s="146"/>
      <c r="D100" s="146"/>
      <c r="E100" s="146"/>
      <c r="F100" s="146"/>
      <c r="G100" s="146"/>
      <c r="H100" s="146"/>
      <c r="I100" s="146"/>
      <c r="J100" s="146"/>
      <c r="K100" s="146"/>
      <c r="L100" s="146"/>
      <c r="M100" s="146"/>
      <c r="N100" s="146"/>
      <c r="O100" s="146"/>
      <c r="P100" s="146"/>
      <c r="Q100" s="146"/>
      <c r="R100" s="146"/>
      <c r="S100" s="146"/>
      <c r="T100" s="146"/>
      <c r="U100" s="146"/>
      <c r="V100" s="146"/>
      <c r="W100" s="146"/>
      <c r="X100" s="146"/>
      <c r="Y100" s="146"/>
      <c r="Z100" s="146"/>
      <c r="AA100" s="146"/>
      <c r="AB100" s="146"/>
      <c r="AC100" s="146"/>
      <c r="AD100" s="146"/>
      <c r="AE100" s="146"/>
      <c r="AF100" s="146"/>
      <c r="AG100" s="146"/>
      <c r="AH100" s="146"/>
      <c r="AI100" s="146"/>
      <c r="AJ100" s="146"/>
      <c r="AK100" s="146"/>
      <c r="AL100" s="146"/>
      <c r="AM100" s="146"/>
      <c r="AN100" s="146"/>
      <c r="AO100" s="146"/>
      <c r="AP100" s="146"/>
      <c r="AQ100" s="146"/>
      <c r="AR100" s="146"/>
      <c r="AS100" s="146"/>
      <c r="AT100" s="146"/>
      <c r="AU100" s="146"/>
      <c r="AV100" s="146"/>
      <c r="AW100" s="146"/>
      <c r="AX100" s="146"/>
      <c r="AY100" s="146"/>
      <c r="AZ100" s="146"/>
      <c r="BA100" s="146"/>
      <c r="BB100" s="146"/>
      <c r="BC100" s="146"/>
      <c r="BD100" s="146"/>
      <c r="BE100" s="146"/>
      <c r="BF100" s="146"/>
      <c r="BG100" s="146">
        <f t="shared" ref="BG100:BV100" si="82">BG73</f>
        <v>134</v>
      </c>
      <c r="BH100" s="146">
        <f t="shared" si="82"/>
        <v>141</v>
      </c>
      <c r="BI100" s="146">
        <f t="shared" si="82"/>
        <v>148</v>
      </c>
      <c r="BJ100" s="146">
        <f t="shared" si="82"/>
        <v>157</v>
      </c>
      <c r="BK100" s="146">
        <f t="shared" si="82"/>
        <v>165</v>
      </c>
      <c r="BL100" s="146">
        <f t="shared" si="82"/>
        <v>175</v>
      </c>
      <c r="BM100" s="146">
        <f t="shared" si="82"/>
        <v>185</v>
      </c>
      <c r="BN100" s="146">
        <f t="shared" si="82"/>
        <v>196</v>
      </c>
      <c r="BO100" s="146">
        <f t="shared" si="82"/>
        <v>222</v>
      </c>
      <c r="BP100" s="146">
        <f t="shared" si="82"/>
        <v>229</v>
      </c>
      <c r="BQ100" s="146">
        <f t="shared" si="82"/>
        <v>231</v>
      </c>
      <c r="BR100" s="146">
        <f t="shared" si="82"/>
        <v>243</v>
      </c>
      <c r="BS100" s="146">
        <f t="shared" si="82"/>
        <v>244</v>
      </c>
      <c r="BT100" s="146">
        <f t="shared" si="82"/>
        <v>251</v>
      </c>
      <c r="BU100" s="146">
        <f t="shared" si="82"/>
        <v>251</v>
      </c>
      <c r="BV100" s="146">
        <f t="shared" si="82"/>
        <v>247</v>
      </c>
      <c r="BW100" s="146">
        <f t="shared" ref="BW100:BX100" si="83">BW73</f>
        <v>254</v>
      </c>
      <c r="BX100" s="146">
        <f t="shared" si="83"/>
        <v>254</v>
      </c>
      <c r="BY100" s="146">
        <f t="shared" ref="BY100:CB100" si="84">BY73</f>
        <v>255</v>
      </c>
      <c r="BZ100" s="146">
        <f t="shared" si="84"/>
        <v>254</v>
      </c>
      <c r="CA100" s="146">
        <f t="shared" si="84"/>
        <v>251</v>
      </c>
      <c r="CB100" s="146">
        <f t="shared" si="84"/>
        <v>252</v>
      </c>
      <c r="CD100" t="s">
        <v>788</v>
      </c>
    </row>
    <row r="101" spans="1:82">
      <c r="A101" t="s">
        <v>786</v>
      </c>
      <c r="C101" s="146"/>
      <c r="D101" s="146"/>
      <c r="E101" s="146"/>
      <c r="F101" s="146"/>
      <c r="G101" s="146"/>
      <c r="H101" s="146"/>
      <c r="I101" s="146"/>
      <c r="J101" s="146"/>
      <c r="K101" s="146"/>
      <c r="L101" s="146"/>
      <c r="M101" s="146"/>
      <c r="N101" s="146"/>
      <c r="O101" s="146"/>
      <c r="P101" s="146"/>
      <c r="Q101" s="146"/>
      <c r="R101" s="146"/>
      <c r="S101" s="146"/>
      <c r="T101" s="146"/>
      <c r="U101" s="146"/>
      <c r="V101" s="146"/>
      <c r="W101" s="146"/>
      <c r="X101" s="146"/>
      <c r="Y101" s="146"/>
      <c r="Z101" s="146"/>
      <c r="AA101" s="146"/>
      <c r="AB101" s="146"/>
      <c r="AC101" s="146"/>
      <c r="AD101" s="146"/>
      <c r="AE101" s="146"/>
      <c r="AF101" s="146"/>
      <c r="AG101" s="146"/>
      <c r="AH101" s="146"/>
      <c r="AI101" s="146"/>
      <c r="AJ101" s="146"/>
      <c r="AK101" s="146"/>
      <c r="AL101" s="146"/>
      <c r="AM101" s="146"/>
      <c r="AN101" s="146"/>
      <c r="AO101" s="146"/>
      <c r="AP101" s="146"/>
      <c r="AQ101" s="146"/>
      <c r="AR101" s="146"/>
      <c r="AS101" s="146"/>
      <c r="AT101" s="146"/>
      <c r="AU101" s="146"/>
      <c r="AV101" s="146"/>
      <c r="AW101" s="146"/>
      <c r="AX101" s="146"/>
      <c r="AY101" s="146"/>
      <c r="AZ101" s="146"/>
      <c r="BA101" s="146"/>
      <c r="BB101" s="146"/>
      <c r="BC101" s="146"/>
      <c r="BD101" s="146"/>
      <c r="BE101" s="146"/>
      <c r="BF101" s="146"/>
      <c r="BG101" s="673">
        <f>'Income Statement'!BP413</f>
        <v>31</v>
      </c>
      <c r="BH101" s="673">
        <f>'Income Statement'!BQ413</f>
        <v>34</v>
      </c>
      <c r="BI101" s="673">
        <f>'Income Statement'!BR413</f>
        <v>37</v>
      </c>
      <c r="BJ101" s="673">
        <f>'Income Statement'!BS413</f>
        <v>39</v>
      </c>
      <c r="BK101" s="673">
        <f>'Income Statement'!BU413</f>
        <v>37</v>
      </c>
      <c r="BL101" s="673">
        <f>'Income Statement'!BV413</f>
        <v>36</v>
      </c>
      <c r="BM101" s="673">
        <f>'Income Statement'!BW413</f>
        <v>35</v>
      </c>
      <c r="BN101" s="673">
        <f>'Income Statement'!BX413</f>
        <v>32</v>
      </c>
      <c r="BO101" s="673">
        <f>'Income Statement'!BZ413</f>
        <v>30</v>
      </c>
      <c r="BP101" s="673">
        <f>'Income Statement'!CA413</f>
        <v>28</v>
      </c>
      <c r="BQ101" s="673">
        <f>'Income Statement'!CB413</f>
        <v>28</v>
      </c>
      <c r="BR101" s="673">
        <f>'Income Statement'!CC413</f>
        <v>28</v>
      </c>
      <c r="BS101" s="673">
        <f>'Income Statement'!CE413</f>
        <v>28</v>
      </c>
      <c r="BT101" s="673">
        <f>'Income Statement'!CF413</f>
        <v>27</v>
      </c>
      <c r="BU101" s="673">
        <f>'Income Statement'!CG413</f>
        <v>26</v>
      </c>
      <c r="BV101" s="673">
        <f>'Income Statement'!CH413</f>
        <v>25</v>
      </c>
      <c r="BW101" s="673">
        <f>'Income Statement'!CJ413</f>
        <v>24</v>
      </c>
      <c r="BX101" s="673">
        <f>'Income Statement'!CK413</f>
        <v>0</v>
      </c>
      <c r="BY101" s="673">
        <f>'Income Statement'!CL413</f>
        <v>0</v>
      </c>
      <c r="BZ101" s="673">
        <f>'Income Statement'!CM413</f>
        <v>0</v>
      </c>
      <c r="CA101" s="673">
        <f>'Income Statement'!CO413</f>
        <v>0</v>
      </c>
      <c r="CB101" s="673">
        <f>'Income Statement'!CP413</f>
        <v>0</v>
      </c>
      <c r="CD101" t="s">
        <v>788</v>
      </c>
    </row>
    <row r="102" spans="1:82">
      <c r="A102" t="s">
        <v>584</v>
      </c>
      <c r="C102" s="146"/>
      <c r="D102" s="146"/>
      <c r="E102" s="146"/>
      <c r="F102" s="146"/>
      <c r="G102" s="146"/>
      <c r="H102" s="146"/>
      <c r="I102" s="146"/>
      <c r="J102" s="146"/>
      <c r="K102" s="146"/>
      <c r="L102" s="146"/>
      <c r="M102" s="146"/>
      <c r="N102" s="146"/>
      <c r="O102" s="146"/>
      <c r="P102" s="146"/>
      <c r="Q102" s="146"/>
      <c r="R102" s="146"/>
      <c r="S102" s="146"/>
      <c r="T102" s="146"/>
      <c r="U102" s="146"/>
      <c r="V102" s="146"/>
      <c r="W102" s="146"/>
      <c r="X102" s="146"/>
      <c r="Y102" s="146"/>
      <c r="Z102" s="146"/>
      <c r="AA102" s="146"/>
      <c r="AB102" s="146"/>
      <c r="AC102" s="146"/>
      <c r="AD102" s="146"/>
      <c r="AE102" s="146"/>
      <c r="AF102" s="146"/>
      <c r="AG102" s="146"/>
      <c r="AH102" s="146"/>
      <c r="AI102" s="146"/>
      <c r="AJ102" s="146"/>
      <c r="AK102" s="146"/>
      <c r="AL102" s="146"/>
      <c r="AM102" s="146"/>
      <c r="AN102" s="146"/>
      <c r="AO102" s="146"/>
      <c r="AP102" s="146"/>
      <c r="AQ102" s="146"/>
      <c r="AR102" s="146"/>
      <c r="AS102" s="146"/>
      <c r="AT102" s="146"/>
      <c r="AU102" s="146"/>
      <c r="AV102" s="146"/>
      <c r="AW102" s="146"/>
      <c r="AX102" s="146"/>
      <c r="AY102" s="146"/>
      <c r="AZ102" s="146"/>
      <c r="BA102" s="146"/>
      <c r="BB102" s="146"/>
      <c r="BC102" s="146"/>
      <c r="BD102" s="146"/>
      <c r="BE102" s="146"/>
      <c r="BF102" s="146"/>
      <c r="BG102" s="146">
        <f>BG93</f>
        <v>368</v>
      </c>
      <c r="BH102" s="146">
        <f t="shared" ref="BH102:BV102" si="85">BH93</f>
        <v>371</v>
      </c>
      <c r="BI102" s="146">
        <f t="shared" si="85"/>
        <v>380</v>
      </c>
      <c r="BJ102" s="146">
        <f t="shared" si="85"/>
        <v>399</v>
      </c>
      <c r="BK102" s="146">
        <f t="shared" si="85"/>
        <v>388</v>
      </c>
      <c r="BL102" s="146">
        <f t="shared" si="85"/>
        <v>386</v>
      </c>
      <c r="BM102" s="146">
        <f t="shared" si="85"/>
        <v>387</v>
      </c>
      <c r="BN102" s="146">
        <f t="shared" si="85"/>
        <v>364</v>
      </c>
      <c r="BO102" s="146">
        <f t="shared" si="85"/>
        <v>365</v>
      </c>
      <c r="BP102" s="146">
        <f t="shared" si="85"/>
        <v>362</v>
      </c>
      <c r="BQ102" s="146">
        <f t="shared" si="85"/>
        <v>380</v>
      </c>
      <c r="BR102" s="146">
        <f t="shared" si="85"/>
        <v>401</v>
      </c>
      <c r="BS102" s="146">
        <f t="shared" si="85"/>
        <v>387</v>
      </c>
      <c r="BT102" s="146">
        <f t="shared" si="85"/>
        <v>401</v>
      </c>
      <c r="BU102" s="146">
        <f t="shared" si="85"/>
        <v>396</v>
      </c>
      <c r="BV102" s="146">
        <f t="shared" si="85"/>
        <v>426</v>
      </c>
      <c r="BW102" s="146">
        <f t="shared" ref="BW102:BX102" si="86">BW93</f>
        <v>398</v>
      </c>
      <c r="BX102" s="146">
        <f t="shared" si="86"/>
        <v>407</v>
      </c>
      <c r="BY102" s="146">
        <f t="shared" ref="BY102:CB102" si="87">BY93</f>
        <v>418</v>
      </c>
      <c r="BZ102" s="146">
        <f t="shared" si="87"/>
        <v>442</v>
      </c>
      <c r="CA102" s="146">
        <f t="shared" si="87"/>
        <v>419</v>
      </c>
      <c r="CB102" s="146">
        <f t="shared" si="87"/>
        <v>416</v>
      </c>
      <c r="CD102" t="s">
        <v>789</v>
      </c>
    </row>
    <row r="103" spans="1:82" s="124" customFormat="1">
      <c r="A103" s="671" t="s">
        <v>783</v>
      </c>
      <c r="B103" s="671"/>
      <c r="C103" s="672"/>
      <c r="D103" s="672"/>
      <c r="E103" s="672"/>
      <c r="F103" s="672"/>
      <c r="G103" s="672"/>
      <c r="H103" s="672"/>
      <c r="I103" s="672"/>
      <c r="J103" s="672"/>
      <c r="K103" s="672"/>
      <c r="L103" s="672"/>
      <c r="M103" s="672"/>
      <c r="N103" s="672"/>
      <c r="O103" s="672"/>
      <c r="P103" s="672"/>
      <c r="Q103" s="672"/>
      <c r="R103" s="672"/>
      <c r="S103" s="672"/>
      <c r="T103" s="672"/>
      <c r="U103" s="672"/>
      <c r="V103" s="672"/>
      <c r="W103" s="672"/>
      <c r="X103" s="672"/>
      <c r="Y103" s="672"/>
      <c r="Z103" s="672"/>
      <c r="AA103" s="672"/>
      <c r="AB103" s="672"/>
      <c r="AC103" s="672"/>
      <c r="AD103" s="672"/>
      <c r="AE103" s="672"/>
      <c r="AF103" s="672"/>
      <c r="AG103" s="672"/>
      <c r="AH103" s="672"/>
      <c r="AI103" s="672"/>
      <c r="AJ103" s="672"/>
      <c r="AK103" s="672"/>
      <c r="AL103" s="672"/>
      <c r="AM103" s="672"/>
      <c r="AN103" s="672"/>
      <c r="AO103" s="672"/>
      <c r="AP103" s="672"/>
      <c r="AQ103" s="672"/>
      <c r="AR103" s="672"/>
      <c r="AS103" s="672"/>
      <c r="AT103" s="672"/>
      <c r="AU103" s="672"/>
      <c r="AV103" s="672"/>
      <c r="AW103" s="672"/>
      <c r="AX103" s="672"/>
      <c r="AY103" s="672"/>
      <c r="AZ103" s="672"/>
      <c r="BA103" s="672"/>
      <c r="BB103" s="672"/>
      <c r="BC103" s="672"/>
      <c r="BD103" s="672"/>
      <c r="BE103" s="672"/>
      <c r="BF103" s="672"/>
      <c r="BG103" s="672">
        <f>SUM(BG98:BG102)</f>
        <v>1971</v>
      </c>
      <c r="BH103" s="672">
        <f t="shared" ref="BH103:BV103" si="88">SUM(BH98:BH102)</f>
        <v>1997</v>
      </c>
      <c r="BI103" s="672">
        <f t="shared" si="88"/>
        <v>2033</v>
      </c>
      <c r="BJ103" s="672">
        <f t="shared" si="88"/>
        <v>2016</v>
      </c>
      <c r="BK103" s="672">
        <f t="shared" si="88"/>
        <v>2032</v>
      </c>
      <c r="BL103" s="672">
        <f t="shared" si="88"/>
        <v>2086</v>
      </c>
      <c r="BM103" s="672">
        <f t="shared" si="88"/>
        <v>2113</v>
      </c>
      <c r="BN103" s="672">
        <f t="shared" si="88"/>
        <v>2123</v>
      </c>
      <c r="BO103" s="672">
        <f t="shared" si="88"/>
        <v>2142</v>
      </c>
      <c r="BP103" s="672">
        <f t="shared" si="88"/>
        <v>2141</v>
      </c>
      <c r="BQ103" s="672">
        <f t="shared" si="88"/>
        <v>2173</v>
      </c>
      <c r="BR103" s="672">
        <f t="shared" si="88"/>
        <v>2230</v>
      </c>
      <c r="BS103" s="672">
        <f t="shared" si="88"/>
        <v>2219</v>
      </c>
      <c r="BT103" s="672">
        <f t="shared" si="88"/>
        <v>2243</v>
      </c>
      <c r="BU103" s="672">
        <f t="shared" si="88"/>
        <v>2239</v>
      </c>
      <c r="BV103" s="672">
        <f t="shared" si="88"/>
        <v>2273</v>
      </c>
      <c r="BW103" s="672">
        <f t="shared" ref="BW103:BX103" si="89">SUM(BW98:BW102)</f>
        <v>2195</v>
      </c>
      <c r="BX103" s="672">
        <f t="shared" si="89"/>
        <v>2204</v>
      </c>
      <c r="BY103" s="672">
        <f t="shared" ref="BY103:CB103" si="90">SUM(BY98:BY102)</f>
        <v>2241</v>
      </c>
      <c r="BZ103" s="672">
        <f t="shared" si="90"/>
        <v>2296</v>
      </c>
      <c r="CA103" s="672">
        <f t="shared" si="90"/>
        <v>2242</v>
      </c>
      <c r="CB103" s="672">
        <f t="shared" si="90"/>
        <v>2252</v>
      </c>
    </row>
    <row r="104" spans="1:82">
      <c r="A104" s="124" t="s">
        <v>784</v>
      </c>
      <c r="B104" s="124"/>
      <c r="C104" s="670"/>
      <c r="D104" s="670"/>
      <c r="E104" s="670"/>
      <c r="F104" s="670"/>
      <c r="G104" s="670"/>
      <c r="H104" s="670"/>
      <c r="I104" s="670"/>
      <c r="J104" s="670"/>
      <c r="K104" s="670"/>
      <c r="L104" s="670"/>
      <c r="M104" s="670"/>
      <c r="N104" s="670"/>
      <c r="O104" s="670"/>
      <c r="P104" s="670"/>
      <c r="Q104" s="670"/>
      <c r="R104" s="670"/>
      <c r="S104" s="670"/>
      <c r="T104" s="670"/>
      <c r="U104" s="670"/>
      <c r="V104" s="670"/>
      <c r="W104" s="670"/>
      <c r="X104" s="670"/>
      <c r="Y104" s="670"/>
      <c r="Z104" s="670"/>
      <c r="AA104" s="670"/>
      <c r="AB104" s="670"/>
      <c r="AC104" s="670"/>
      <c r="AD104" s="670"/>
      <c r="AE104" s="670"/>
      <c r="AF104" s="670"/>
      <c r="AG104" s="670"/>
      <c r="AH104" s="670"/>
      <c r="AI104" s="670"/>
      <c r="AJ104" s="670"/>
      <c r="AK104" s="670"/>
      <c r="AL104" s="670"/>
      <c r="AM104" s="670"/>
      <c r="AN104" s="670"/>
      <c r="AO104" s="670"/>
      <c r="AP104" s="670"/>
      <c r="AQ104" s="670"/>
      <c r="AR104" s="670"/>
      <c r="AS104" s="670"/>
      <c r="AT104" s="670"/>
      <c r="AU104" s="670"/>
      <c r="AV104" s="670"/>
      <c r="AW104" s="670"/>
      <c r="AX104" s="670"/>
      <c r="AY104" s="670"/>
      <c r="AZ104" s="670"/>
      <c r="BA104" s="670"/>
      <c r="BB104" s="670"/>
      <c r="BC104" s="670"/>
      <c r="BD104" s="670"/>
      <c r="BE104" s="670"/>
      <c r="BF104" s="670"/>
      <c r="BG104" s="670">
        <f>BG8</f>
        <v>1971</v>
      </c>
      <c r="BH104" s="670">
        <f t="shared" ref="BH104:BV104" si="91">BH8</f>
        <v>1997</v>
      </c>
      <c r="BI104" s="670">
        <f t="shared" si="91"/>
        <v>2033</v>
      </c>
      <c r="BJ104" s="670">
        <f t="shared" si="91"/>
        <v>2016</v>
      </c>
      <c r="BK104" s="670">
        <f t="shared" si="91"/>
        <v>2030</v>
      </c>
      <c r="BL104" s="670">
        <f t="shared" si="91"/>
        <v>2084</v>
      </c>
      <c r="BM104" s="670">
        <f t="shared" si="91"/>
        <v>2108</v>
      </c>
      <c r="BN104" s="670">
        <f t="shared" si="91"/>
        <v>2114</v>
      </c>
      <c r="BO104" s="670">
        <f t="shared" si="91"/>
        <v>2112</v>
      </c>
      <c r="BP104" s="670">
        <f t="shared" si="91"/>
        <v>2113</v>
      </c>
      <c r="BQ104" s="670">
        <f t="shared" si="91"/>
        <v>2145</v>
      </c>
      <c r="BR104" s="670">
        <f t="shared" si="91"/>
        <v>2202</v>
      </c>
      <c r="BS104" s="670">
        <f t="shared" si="91"/>
        <v>2191</v>
      </c>
      <c r="BT104" s="670">
        <f t="shared" si="91"/>
        <v>2216</v>
      </c>
      <c r="BU104" s="670">
        <f t="shared" si="91"/>
        <v>2213</v>
      </c>
      <c r="BV104" s="670">
        <f t="shared" si="91"/>
        <v>2248</v>
      </c>
      <c r="BW104" s="670">
        <f t="shared" ref="BW104:BX104" si="92">BW8</f>
        <v>2171</v>
      </c>
      <c r="BX104" s="670">
        <f t="shared" si="92"/>
        <v>2204</v>
      </c>
      <c r="BY104" s="670">
        <f t="shared" ref="BY104:CB104" si="93">BY8</f>
        <v>2241</v>
      </c>
      <c r="BZ104" s="670">
        <f t="shared" si="93"/>
        <v>2296</v>
      </c>
      <c r="CA104" s="670">
        <f t="shared" si="93"/>
        <v>2242</v>
      </c>
      <c r="CB104" s="670">
        <f t="shared" si="93"/>
        <v>2252</v>
      </c>
    </row>
    <row r="105" spans="1:82">
      <c r="A105" t="s">
        <v>785</v>
      </c>
      <c r="C105" s="146"/>
      <c r="D105" s="146"/>
      <c r="E105" s="146"/>
      <c r="F105" s="146"/>
      <c r="G105" s="146"/>
      <c r="H105" s="146"/>
      <c r="I105" s="146"/>
      <c r="J105" s="146"/>
      <c r="K105" s="146"/>
      <c r="L105" s="146"/>
      <c r="M105" s="146"/>
      <c r="N105" s="146"/>
      <c r="O105" s="146"/>
      <c r="P105" s="146"/>
      <c r="Q105" s="146"/>
      <c r="R105" s="146"/>
      <c r="S105" s="146"/>
      <c r="T105" s="146"/>
      <c r="U105" s="146"/>
      <c r="V105" s="146"/>
      <c r="W105" s="146"/>
      <c r="X105" s="146"/>
      <c r="Y105" s="146"/>
      <c r="Z105" s="146"/>
      <c r="AA105" s="146"/>
      <c r="AB105" s="146"/>
      <c r="AC105" s="146"/>
      <c r="AD105" s="146"/>
      <c r="AE105" s="146"/>
      <c r="AF105" s="146"/>
      <c r="AG105" s="146"/>
      <c r="AH105" s="146"/>
      <c r="AI105" s="146"/>
      <c r="AJ105" s="146"/>
      <c r="AK105" s="146"/>
      <c r="AL105" s="146"/>
      <c r="AM105" s="146"/>
      <c r="AN105" s="146"/>
      <c r="AO105" s="146"/>
      <c r="AP105" s="146"/>
      <c r="AQ105" s="146"/>
      <c r="AR105" s="146"/>
      <c r="AS105" s="146"/>
      <c r="AT105" s="146"/>
      <c r="AU105" s="146"/>
      <c r="AV105" s="146"/>
      <c r="AW105" s="146"/>
      <c r="AX105" s="146"/>
      <c r="AY105" s="146"/>
      <c r="AZ105" s="146"/>
      <c r="BA105" s="146"/>
      <c r="BB105" s="146"/>
      <c r="BC105" s="146"/>
      <c r="BD105" s="146"/>
      <c r="BE105" s="146"/>
      <c r="BF105" s="146"/>
      <c r="BG105" s="146">
        <f>BG103-BG104</f>
        <v>0</v>
      </c>
      <c r="BH105" s="146">
        <f t="shared" ref="BH105:BV105" si="94">BH103-BH104</f>
        <v>0</v>
      </c>
      <c r="BI105" s="146">
        <f t="shared" si="94"/>
        <v>0</v>
      </c>
      <c r="BJ105" s="146">
        <f t="shared" si="94"/>
        <v>0</v>
      </c>
      <c r="BK105" s="146">
        <f t="shared" si="94"/>
        <v>2</v>
      </c>
      <c r="BL105" s="146">
        <f t="shared" si="94"/>
        <v>2</v>
      </c>
      <c r="BM105" s="146">
        <f t="shared" si="94"/>
        <v>5</v>
      </c>
      <c r="BN105" s="146">
        <f t="shared" si="94"/>
        <v>9</v>
      </c>
      <c r="BO105" s="146">
        <f t="shared" si="94"/>
        <v>30</v>
      </c>
      <c r="BP105" s="146">
        <f t="shared" si="94"/>
        <v>28</v>
      </c>
      <c r="BQ105" s="146">
        <f t="shared" si="94"/>
        <v>28</v>
      </c>
      <c r="BR105" s="146">
        <f t="shared" si="94"/>
        <v>28</v>
      </c>
      <c r="BS105" s="146">
        <f t="shared" si="94"/>
        <v>28</v>
      </c>
      <c r="BT105" s="146">
        <f t="shared" si="94"/>
        <v>27</v>
      </c>
      <c r="BU105" s="146">
        <f t="shared" si="94"/>
        <v>26</v>
      </c>
      <c r="BV105" s="146">
        <f t="shared" si="94"/>
        <v>25</v>
      </c>
      <c r="BW105" s="146">
        <f t="shared" ref="BW105:BX105" si="95">BW103-BW104</f>
        <v>24</v>
      </c>
      <c r="BX105" s="146">
        <f t="shared" si="95"/>
        <v>0</v>
      </c>
      <c r="BY105" s="146">
        <f t="shared" ref="BY105:CB105" si="96">BY103-BY104</f>
        <v>0</v>
      </c>
      <c r="BZ105" s="146">
        <f t="shared" si="96"/>
        <v>0</v>
      </c>
      <c r="CA105" s="146">
        <f t="shared" si="96"/>
        <v>0</v>
      </c>
      <c r="CB105" s="146">
        <f t="shared" si="96"/>
        <v>0</v>
      </c>
    </row>
    <row r="107" spans="1:82">
      <c r="A107" s="124" t="s">
        <v>793</v>
      </c>
    </row>
    <row r="108" spans="1:82">
      <c r="A108" t="str">
        <f>A98</f>
        <v>Prepaid</v>
      </c>
      <c r="BS108" s="121">
        <f>IFERROR(BS98/BO98-1,"")</f>
        <v>-1.8154311649016597E-2</v>
      </c>
      <c r="BT108" s="121">
        <f t="shared" ref="BT108:CB113" si="97">IFERROR(BT98/BP98-1,"")</f>
        <v>-4.6082949308755561E-3</v>
      </c>
      <c r="BU108" s="121">
        <f t="shared" si="97"/>
        <v>-1.6871165644171793E-2</v>
      </c>
      <c r="BV108" s="121">
        <f t="shared" si="97"/>
        <v>-4.2748091603053484E-2</v>
      </c>
      <c r="BW108" s="121">
        <f t="shared" si="97"/>
        <v>-8.3204930662557741E-2</v>
      </c>
      <c r="BX108" s="121">
        <f t="shared" si="97"/>
        <v>-5.8641975308642014E-2</v>
      </c>
      <c r="BY108" s="121">
        <f t="shared" si="97"/>
        <v>-3.9001560062402518E-2</v>
      </c>
      <c r="BZ108" s="121">
        <f t="shared" si="97"/>
        <v>-4.784688995215336E-3</v>
      </c>
      <c r="CA108" s="121">
        <f t="shared" si="97"/>
        <v>2.3529411764705799E-2</v>
      </c>
      <c r="CB108" s="121">
        <f t="shared" si="97"/>
        <v>3.2786885245901232E-3</v>
      </c>
    </row>
    <row r="109" spans="1:82">
      <c r="A109" t="str">
        <f t="shared" ref="A109:A113" si="98">A99</f>
        <v>Postpaid</v>
      </c>
      <c r="BS109" s="121">
        <f t="shared" ref="BS109:BS113" si="99">IFERROR(BS99/BO99-1,"")</f>
        <v>5.439814814814814E-2</v>
      </c>
      <c r="BT109" s="121">
        <f t="shared" si="97"/>
        <v>5.1664753157290466E-2</v>
      </c>
      <c r="BU109" s="121">
        <f t="shared" si="97"/>
        <v>4.8752834467120199E-2</v>
      </c>
      <c r="BV109" s="121">
        <f t="shared" si="97"/>
        <v>4.9833887043189362E-2</v>
      </c>
      <c r="BW109" s="121">
        <f t="shared" si="97"/>
        <v>1.4270032930845167E-2</v>
      </c>
      <c r="BX109" s="121">
        <f t="shared" si="97"/>
        <v>1.8558951965065518E-2</v>
      </c>
      <c r="BY109" s="121">
        <f t="shared" si="97"/>
        <v>2.9189189189189113E-2</v>
      </c>
      <c r="BZ109" s="121">
        <f t="shared" si="97"/>
        <v>2.9535864978903037E-2</v>
      </c>
      <c r="CA109" s="121">
        <f t="shared" si="97"/>
        <v>4.2207792207792139E-2</v>
      </c>
      <c r="CB109" s="121">
        <f t="shared" si="97"/>
        <v>4.1800643086816747E-2</v>
      </c>
    </row>
    <row r="110" spans="1:82">
      <c r="A110" t="str">
        <f t="shared" si="98"/>
        <v>Fibre</v>
      </c>
      <c r="BS110" s="121">
        <f t="shared" si="99"/>
        <v>9.9099099099099197E-2</v>
      </c>
      <c r="BT110" s="121">
        <f t="shared" si="97"/>
        <v>9.606986899563319E-2</v>
      </c>
      <c r="BU110" s="121">
        <f t="shared" si="97"/>
        <v>8.6580086580086535E-2</v>
      </c>
      <c r="BV110" s="121">
        <f t="shared" si="97"/>
        <v>1.6460905349794164E-2</v>
      </c>
      <c r="BW110" s="121">
        <f t="shared" si="97"/>
        <v>4.0983606557376984E-2</v>
      </c>
      <c r="BX110" s="121">
        <f t="shared" si="97"/>
        <v>1.195219123505975E-2</v>
      </c>
      <c r="BY110" s="121">
        <f t="shared" si="97"/>
        <v>1.5936254980079667E-2</v>
      </c>
      <c r="BZ110" s="121">
        <f t="shared" si="97"/>
        <v>2.8340080971659853E-2</v>
      </c>
      <c r="CA110" s="121">
        <f t="shared" si="97"/>
        <v>-1.1811023622047223E-2</v>
      </c>
      <c r="CB110" s="121">
        <f t="shared" si="97"/>
        <v>-7.8740157480314821E-3</v>
      </c>
    </row>
    <row r="111" spans="1:82">
      <c r="A111" t="str">
        <f t="shared" si="98"/>
        <v>WBB</v>
      </c>
      <c r="BS111" s="121">
        <f t="shared" si="99"/>
        <v>-6.6666666666666652E-2</v>
      </c>
      <c r="BT111" s="121">
        <f t="shared" si="97"/>
        <v>-3.5714285714285698E-2</v>
      </c>
      <c r="BU111" s="121">
        <f t="shared" si="97"/>
        <v>-7.1428571428571397E-2</v>
      </c>
      <c r="BV111" s="121">
        <f t="shared" si="97"/>
        <v>-0.1071428571428571</v>
      </c>
      <c r="BW111" s="121">
        <f t="shared" si="97"/>
        <v>-0.1428571428571429</v>
      </c>
      <c r="BX111" s="121">
        <f t="shared" si="97"/>
        <v>-1</v>
      </c>
      <c r="BY111" s="121">
        <f t="shared" si="97"/>
        <v>-1</v>
      </c>
      <c r="BZ111" s="121">
        <f t="shared" si="97"/>
        <v>-1</v>
      </c>
      <c r="CA111" s="121">
        <f t="shared" si="97"/>
        <v>-1</v>
      </c>
      <c r="CB111" s="121" t="str">
        <f t="shared" si="97"/>
        <v/>
      </c>
    </row>
    <row r="112" spans="1:82">
      <c r="A112" t="str">
        <f t="shared" si="98"/>
        <v>Enterprise</v>
      </c>
      <c r="BS112" s="121">
        <f t="shared" si="99"/>
        <v>6.02739726027397E-2</v>
      </c>
      <c r="BT112" s="121">
        <f t="shared" si="97"/>
        <v>0.10773480662983426</v>
      </c>
      <c r="BU112" s="121">
        <f t="shared" si="97"/>
        <v>4.2105263157894646E-2</v>
      </c>
      <c r="BV112" s="121">
        <f t="shared" si="97"/>
        <v>6.2344139650872821E-2</v>
      </c>
      <c r="BW112" s="121">
        <f t="shared" si="97"/>
        <v>2.8423772609819098E-2</v>
      </c>
      <c r="BX112" s="121">
        <f t="shared" si="97"/>
        <v>1.4962593516209433E-2</v>
      </c>
      <c r="BY112" s="121">
        <f t="shared" si="97"/>
        <v>5.555555555555558E-2</v>
      </c>
      <c r="BZ112" s="121">
        <f t="shared" si="97"/>
        <v>3.7558685446009488E-2</v>
      </c>
      <c r="CA112" s="121">
        <f t="shared" si="97"/>
        <v>5.2763819095477338E-2</v>
      </c>
      <c r="CB112" s="121">
        <f t="shared" si="97"/>
        <v>2.2113022113022129E-2</v>
      </c>
    </row>
    <row r="113" spans="1:80">
      <c r="A113" t="str">
        <f t="shared" si="98"/>
        <v>Calculated Service revenue</v>
      </c>
      <c r="BS113" s="677">
        <f t="shared" si="99"/>
        <v>3.5947712418300748E-2</v>
      </c>
      <c r="BT113" s="677">
        <f t="shared" si="97"/>
        <v>4.7641289117234864E-2</v>
      </c>
      <c r="BU113" s="677">
        <f t="shared" si="97"/>
        <v>3.0372756557754288E-2</v>
      </c>
      <c r="BV113" s="677">
        <f t="shared" si="97"/>
        <v>1.928251121076241E-2</v>
      </c>
      <c r="BW113" s="677">
        <f t="shared" si="97"/>
        <v>-1.0815682739972909E-2</v>
      </c>
      <c r="BX113" s="677">
        <f t="shared" si="97"/>
        <v>-1.7387427552385204E-2</v>
      </c>
      <c r="BY113" s="677">
        <f t="shared" si="97"/>
        <v>8.9325591782052349E-4</v>
      </c>
      <c r="BZ113" s="677">
        <f t="shared" si="97"/>
        <v>1.0118785745710568E-2</v>
      </c>
      <c r="CA113" s="677">
        <f t="shared" si="97"/>
        <v>2.1412300683371299E-2</v>
      </c>
      <c r="CB113" s="677">
        <f t="shared" si="97"/>
        <v>2.1778584392014411E-2</v>
      </c>
    </row>
    <row r="115" spans="1:80">
      <c r="A115" s="124" t="s">
        <v>689</v>
      </c>
    </row>
    <row r="116" spans="1:80">
      <c r="A116" t="str">
        <f>A98</f>
        <v>Prepaid</v>
      </c>
      <c r="BS116" s="83">
        <f>IFERROR(BS98/BS$103,"")</f>
        <v>0.29247408742676884</v>
      </c>
      <c r="BT116" s="83">
        <f t="shared" ref="BT116:BV116" si="100">IFERROR(BT98/BT$103,"")</f>
        <v>0.28889879625501558</v>
      </c>
      <c r="BU116" s="83">
        <f t="shared" si="100"/>
        <v>0.28628852166145602</v>
      </c>
      <c r="BV116" s="83">
        <f t="shared" si="100"/>
        <v>0.27584689837219534</v>
      </c>
      <c r="BW116" s="83">
        <f t="shared" ref="BW116:BX116" si="101">IFERROR(BW98/BW$103,"")</f>
        <v>0.27107061503416857</v>
      </c>
      <c r="BX116" s="83">
        <f t="shared" si="101"/>
        <v>0.27676950998185118</v>
      </c>
      <c r="BY116" s="83">
        <f t="shared" ref="BY116:CB116" si="102">IFERROR(BY98/BY$103,"")</f>
        <v>0.27487728692547969</v>
      </c>
      <c r="BZ116" s="83">
        <f t="shared" si="102"/>
        <v>0.27177700348432055</v>
      </c>
      <c r="CA116" s="83">
        <f t="shared" si="102"/>
        <v>0.27163247100802856</v>
      </c>
      <c r="CB116" s="83">
        <f t="shared" si="102"/>
        <v>0.27175843694493784</v>
      </c>
    </row>
    <row r="117" spans="1:80">
      <c r="A117" t="str">
        <f t="shared" ref="A117:A121" si="103">A99</f>
        <v>Postpaid</v>
      </c>
      <c r="BS117" s="83">
        <f t="shared" ref="BS117:BV121" si="104">IFERROR(BS99/BS$103,"")</f>
        <v>0.41054529067147366</v>
      </c>
      <c r="BT117" s="83">
        <f t="shared" si="104"/>
        <v>0.40838163174320108</v>
      </c>
      <c r="BU117" s="83">
        <f t="shared" si="104"/>
        <v>0.4131308619919607</v>
      </c>
      <c r="BV117" s="83">
        <f t="shared" si="104"/>
        <v>0.41706995160580729</v>
      </c>
      <c r="BW117" s="83">
        <f t="shared" ref="BW117:BX117" si="105">IFERROR(BW99/BW$103,"")</f>
        <v>0.42095671981776767</v>
      </c>
      <c r="BX117" s="83">
        <f t="shared" si="105"/>
        <v>0.42332123411978223</v>
      </c>
      <c r="BY117" s="83">
        <f t="shared" ref="BY117:CB117" si="106">IFERROR(BY99/BY$103,"")</f>
        <v>0.42481035252119592</v>
      </c>
      <c r="BZ117" s="83">
        <f t="shared" si="106"/>
        <v>0.42508710801393729</v>
      </c>
      <c r="CA117" s="83">
        <f t="shared" si="106"/>
        <v>0.42952720785013382</v>
      </c>
      <c r="CB117" s="83">
        <f t="shared" si="106"/>
        <v>0.43161634103019536</v>
      </c>
    </row>
    <row r="118" spans="1:80">
      <c r="A118" t="str">
        <f t="shared" si="103"/>
        <v>Fibre</v>
      </c>
      <c r="BS118" s="83">
        <f t="shared" si="104"/>
        <v>0.1099594411897251</v>
      </c>
      <c r="BT118" s="83">
        <f t="shared" si="104"/>
        <v>0.11190370040124833</v>
      </c>
      <c r="BU118" s="83">
        <f t="shared" si="104"/>
        <v>0.11210361768646718</v>
      </c>
      <c r="BV118" s="83">
        <f t="shared" si="104"/>
        <v>0.10866695996480423</v>
      </c>
      <c r="BW118" s="83">
        <f t="shared" ref="BW118:BX118" si="107">IFERROR(BW100/BW$103,"")</f>
        <v>0.11571753986332574</v>
      </c>
      <c r="BX118" s="83">
        <f t="shared" si="107"/>
        <v>0.11524500907441017</v>
      </c>
      <c r="BY118" s="83">
        <f t="shared" ref="BY118:CB118" si="108">IFERROR(BY100/BY$103,"")</f>
        <v>0.11378848728246319</v>
      </c>
      <c r="BZ118" s="83">
        <f t="shared" si="108"/>
        <v>0.11062717770034843</v>
      </c>
      <c r="CA118" s="83">
        <f t="shared" si="108"/>
        <v>0.11195361284567351</v>
      </c>
      <c r="CB118" s="83">
        <f t="shared" si="108"/>
        <v>0.11190053285968028</v>
      </c>
    </row>
    <row r="119" spans="1:80">
      <c r="A119" t="str">
        <f t="shared" si="103"/>
        <v>WBB</v>
      </c>
      <c r="BS119" s="83">
        <f t="shared" si="104"/>
        <v>1.2618296529968454E-2</v>
      </c>
      <c r="BT119" s="83">
        <f t="shared" si="104"/>
        <v>1.2037449843958983E-2</v>
      </c>
      <c r="BU119" s="83">
        <f t="shared" si="104"/>
        <v>1.1612326931665922E-2</v>
      </c>
      <c r="BV119" s="83">
        <f t="shared" si="104"/>
        <v>1.0998680158380994E-2</v>
      </c>
      <c r="BW119" s="83">
        <f t="shared" ref="BW119:BX119" si="109">IFERROR(BW101/BW$103,"")</f>
        <v>1.0933940774487472E-2</v>
      </c>
      <c r="BX119" s="83">
        <f t="shared" si="109"/>
        <v>0</v>
      </c>
      <c r="BY119" s="83">
        <f t="shared" ref="BY119:CB119" si="110">IFERROR(BY101/BY$103,"")</f>
        <v>0</v>
      </c>
      <c r="BZ119" s="83">
        <f t="shared" si="110"/>
        <v>0</v>
      </c>
      <c r="CA119" s="83">
        <f t="shared" si="110"/>
        <v>0</v>
      </c>
      <c r="CB119" s="83">
        <f t="shared" si="110"/>
        <v>0</v>
      </c>
    </row>
    <row r="120" spans="1:80">
      <c r="A120" t="str">
        <f t="shared" si="103"/>
        <v>Enterprise</v>
      </c>
      <c r="BS120" s="83">
        <f t="shared" si="104"/>
        <v>0.17440288418206398</v>
      </c>
      <c r="BT120" s="83">
        <f t="shared" si="104"/>
        <v>0.17877842175657602</v>
      </c>
      <c r="BU120" s="83">
        <f t="shared" si="104"/>
        <v>0.17686467172845019</v>
      </c>
      <c r="BV120" s="83">
        <f t="shared" si="104"/>
        <v>0.18741750989881215</v>
      </c>
      <c r="BW120" s="83">
        <f t="shared" ref="BW120:BX120" si="111">IFERROR(BW102/BW$103,"")</f>
        <v>0.18132118451025056</v>
      </c>
      <c r="BX120" s="83">
        <f t="shared" si="111"/>
        <v>0.18466424682395643</v>
      </c>
      <c r="BY120" s="83">
        <f t="shared" ref="BY120:CB120" si="112">IFERROR(BY102/BY$103,"")</f>
        <v>0.18652387327086123</v>
      </c>
      <c r="BZ120" s="83">
        <f t="shared" si="112"/>
        <v>0.19250871080139373</v>
      </c>
      <c r="CA120" s="83">
        <f t="shared" si="112"/>
        <v>0.18688670829616413</v>
      </c>
      <c r="CB120" s="83">
        <f t="shared" si="112"/>
        <v>0.1847246891651865</v>
      </c>
    </row>
    <row r="121" spans="1:80">
      <c r="A121" t="str">
        <f t="shared" si="103"/>
        <v>Calculated Service revenue</v>
      </c>
      <c r="BS121" s="83">
        <f t="shared" si="104"/>
        <v>1</v>
      </c>
      <c r="BT121" s="83">
        <f t="shared" si="104"/>
        <v>1</v>
      </c>
      <c r="BU121" s="83">
        <f t="shared" si="104"/>
        <v>1</v>
      </c>
      <c r="BV121" s="83">
        <f t="shared" si="104"/>
        <v>1</v>
      </c>
      <c r="BW121" s="83">
        <f t="shared" ref="BW121:BX121" si="113">IFERROR(BW103/BW$103,"")</f>
        <v>1</v>
      </c>
      <c r="BX121" s="83">
        <f t="shared" si="113"/>
        <v>1</v>
      </c>
      <c r="BY121" s="83">
        <f t="shared" ref="BY121:CB121" si="114">IFERROR(BY103/BY$103,"")</f>
        <v>1</v>
      </c>
      <c r="BZ121" s="83">
        <f t="shared" si="114"/>
        <v>1</v>
      </c>
      <c r="CA121" s="83">
        <f t="shared" si="114"/>
        <v>1</v>
      </c>
      <c r="CB121" s="83">
        <f t="shared" si="114"/>
        <v>1</v>
      </c>
    </row>
    <row r="123" spans="1:80">
      <c r="A123" s="124" t="s">
        <v>794</v>
      </c>
    </row>
    <row r="124" spans="1:80">
      <c r="A124" t="str">
        <f>A98</f>
        <v>Prepaid</v>
      </c>
      <c r="BS124" s="146">
        <f>BS98-BO98</f>
        <v>-12</v>
      </c>
      <c r="BT124" s="146">
        <f t="shared" ref="BT124:CB128" si="115">BT98-BP98</f>
        <v>-3</v>
      </c>
      <c r="BU124" s="146">
        <f t="shared" si="115"/>
        <v>-11</v>
      </c>
      <c r="BV124" s="146">
        <f t="shared" si="115"/>
        <v>-28</v>
      </c>
      <c r="BW124" s="146">
        <f t="shared" si="115"/>
        <v>-54</v>
      </c>
      <c r="BX124" s="146">
        <f t="shared" si="115"/>
        <v>-38</v>
      </c>
      <c r="BY124" s="146">
        <f t="shared" si="115"/>
        <v>-25</v>
      </c>
      <c r="BZ124" s="146">
        <f t="shared" si="115"/>
        <v>-3</v>
      </c>
      <c r="CA124" s="146">
        <f t="shared" si="115"/>
        <v>14</v>
      </c>
      <c r="CB124" s="146">
        <f t="shared" si="115"/>
        <v>2</v>
      </c>
    </row>
    <row r="125" spans="1:80">
      <c r="A125" t="str">
        <f t="shared" ref="A125:A128" si="116">A99</f>
        <v>Postpaid</v>
      </c>
      <c r="BS125" s="146">
        <f t="shared" ref="BS125:BS128" si="117">BS99-BO99</f>
        <v>47</v>
      </c>
      <c r="BT125" s="146">
        <f t="shared" si="115"/>
        <v>45</v>
      </c>
      <c r="BU125" s="146">
        <f t="shared" si="115"/>
        <v>43</v>
      </c>
      <c r="BV125" s="146">
        <f t="shared" si="115"/>
        <v>45</v>
      </c>
      <c r="BW125" s="146">
        <f t="shared" si="115"/>
        <v>13</v>
      </c>
      <c r="BX125" s="146">
        <f t="shared" si="115"/>
        <v>17</v>
      </c>
      <c r="BY125" s="146">
        <f t="shared" si="115"/>
        <v>27</v>
      </c>
      <c r="BZ125" s="146">
        <f t="shared" si="115"/>
        <v>28</v>
      </c>
      <c r="CA125" s="146">
        <f t="shared" si="115"/>
        <v>39</v>
      </c>
      <c r="CB125" s="146">
        <f t="shared" si="115"/>
        <v>39</v>
      </c>
    </row>
    <row r="126" spans="1:80">
      <c r="A126" t="str">
        <f t="shared" si="116"/>
        <v>Fibre</v>
      </c>
      <c r="BS126" s="146">
        <f t="shared" si="117"/>
        <v>22</v>
      </c>
      <c r="BT126" s="146">
        <f t="shared" si="115"/>
        <v>22</v>
      </c>
      <c r="BU126" s="146">
        <f t="shared" si="115"/>
        <v>20</v>
      </c>
      <c r="BV126" s="146">
        <f t="shared" si="115"/>
        <v>4</v>
      </c>
      <c r="BW126" s="146">
        <f t="shared" si="115"/>
        <v>10</v>
      </c>
      <c r="BX126" s="146">
        <f t="shared" si="115"/>
        <v>3</v>
      </c>
      <c r="BY126" s="146">
        <f t="shared" si="115"/>
        <v>4</v>
      </c>
      <c r="BZ126" s="146">
        <f t="shared" si="115"/>
        <v>7</v>
      </c>
      <c r="CA126" s="146">
        <f t="shared" si="115"/>
        <v>-3</v>
      </c>
      <c r="CB126" s="146">
        <f t="shared" si="115"/>
        <v>-2</v>
      </c>
    </row>
    <row r="127" spans="1:80">
      <c r="A127" t="str">
        <f t="shared" si="116"/>
        <v>WBB</v>
      </c>
      <c r="BS127" s="146">
        <f t="shared" si="117"/>
        <v>-2</v>
      </c>
      <c r="BT127" s="146">
        <f t="shared" si="115"/>
        <v>-1</v>
      </c>
      <c r="BU127" s="146">
        <f t="shared" si="115"/>
        <v>-2</v>
      </c>
      <c r="BV127" s="146">
        <f t="shared" si="115"/>
        <v>-3</v>
      </c>
      <c r="BW127" s="146">
        <f t="shared" si="115"/>
        <v>-4</v>
      </c>
      <c r="BX127" s="146">
        <f t="shared" si="115"/>
        <v>-27</v>
      </c>
      <c r="BY127" s="146">
        <f t="shared" si="115"/>
        <v>-26</v>
      </c>
      <c r="BZ127" s="146">
        <f t="shared" si="115"/>
        <v>-25</v>
      </c>
      <c r="CA127" s="146">
        <f t="shared" si="115"/>
        <v>-24</v>
      </c>
      <c r="CB127" s="146">
        <f t="shared" si="115"/>
        <v>0</v>
      </c>
    </row>
    <row r="128" spans="1:80">
      <c r="A128" t="str">
        <f t="shared" si="116"/>
        <v>Enterprise</v>
      </c>
      <c r="BS128" s="146">
        <f t="shared" si="117"/>
        <v>22</v>
      </c>
      <c r="BT128" s="146">
        <f t="shared" si="115"/>
        <v>39</v>
      </c>
      <c r="BU128" s="146">
        <f t="shared" si="115"/>
        <v>16</v>
      </c>
      <c r="BV128" s="146">
        <f t="shared" si="115"/>
        <v>25</v>
      </c>
      <c r="BW128" s="146">
        <f t="shared" si="115"/>
        <v>11</v>
      </c>
      <c r="BX128" s="146">
        <f t="shared" si="115"/>
        <v>6</v>
      </c>
      <c r="BY128" s="146">
        <f t="shared" si="115"/>
        <v>22</v>
      </c>
      <c r="BZ128" s="146">
        <f t="shared" si="115"/>
        <v>16</v>
      </c>
      <c r="CA128" s="146">
        <f t="shared" si="115"/>
        <v>21</v>
      </c>
      <c r="CB128" s="146">
        <f t="shared" si="115"/>
        <v>9</v>
      </c>
    </row>
    <row r="129" spans="74:80">
      <c r="BV129" s="146"/>
      <c r="BW129" s="146"/>
      <c r="BX129" s="146"/>
      <c r="BY129" s="146"/>
      <c r="BZ129" s="146"/>
      <c r="CA129" s="146"/>
      <c r="CB129" s="146"/>
    </row>
  </sheetData>
  <conditionalFormatting sqref="C2:CB2">
    <cfRule type="cellIs" dxfId="0" priority="1" stopIfTrue="1" operator="equal">
      <formula>"error"</formula>
    </cfRule>
  </conditionalFormatting>
  <pageMargins left="0.7" right="0.7" top="0.75" bottom="0.75" header="0.3" footer="0.3"/>
  <pageSetup orientation="portrait" horizontalDpi="300" verticalDpi="300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tabColor rgb="FF263238"/>
  </sheetPr>
  <dimension ref="A2:AO290"/>
  <sheetViews>
    <sheetView zoomScale="85" zoomScaleNormal="85" workbookViewId="0">
      <pane xSplit="2" ySplit="2" topLeftCell="S3" activePane="bottomRight" state="frozen"/>
      <selection activeCell="A5" sqref="A5"/>
      <selection pane="topRight" activeCell="A5" sqref="A5"/>
      <selection pane="bottomLeft" activeCell="A5" sqref="A5"/>
      <selection pane="bottomRight" activeCell="AB3" sqref="AB3:AK271"/>
    </sheetView>
  </sheetViews>
  <sheetFormatPr defaultRowHeight="13.5"/>
  <cols>
    <col min="1" max="1" width="3.36328125" style="7" customWidth="1"/>
    <col min="2" max="2" width="38.36328125" style="7" customWidth="1"/>
    <col min="3" max="5" width="9.36328125" style="7" customWidth="1"/>
    <col min="6" max="6" width="9" style="7" customWidth="1"/>
    <col min="7" max="7" width="8.36328125" style="7" customWidth="1"/>
    <col min="8" max="8" width="8" style="7" customWidth="1"/>
    <col min="9" max="32" width="9.6328125" style="7" customWidth="1"/>
    <col min="33" max="33" width="9.36328125" style="7"/>
    <col min="34" max="37" width="8.6328125" style="7"/>
    <col min="38" max="256" width="9.36328125" style="7"/>
    <col min="257" max="257" width="8" style="7" customWidth="1"/>
    <col min="258" max="258" width="38.36328125" style="7" customWidth="1"/>
    <col min="259" max="263" width="0" style="7" hidden="1" customWidth="1"/>
    <col min="264" max="270" width="8" style="7" customWidth="1"/>
    <col min="271" max="512" width="9.36328125" style="7"/>
    <col min="513" max="513" width="8" style="7" customWidth="1"/>
    <col min="514" max="514" width="38.36328125" style="7" customWidth="1"/>
    <col min="515" max="519" width="0" style="7" hidden="1" customWidth="1"/>
    <col min="520" max="526" width="8" style="7" customWidth="1"/>
    <col min="527" max="768" width="9.36328125" style="7"/>
    <col min="769" max="769" width="8" style="7" customWidth="1"/>
    <col min="770" max="770" width="38.36328125" style="7" customWidth="1"/>
    <col min="771" max="775" width="0" style="7" hidden="1" customWidth="1"/>
    <col min="776" max="782" width="8" style="7" customWidth="1"/>
    <col min="783" max="1024" width="9.36328125" style="7"/>
    <col min="1025" max="1025" width="8" style="7" customWidth="1"/>
    <col min="1026" max="1026" width="38.36328125" style="7" customWidth="1"/>
    <col min="1027" max="1031" width="0" style="7" hidden="1" customWidth="1"/>
    <col min="1032" max="1038" width="8" style="7" customWidth="1"/>
    <col min="1039" max="1280" width="9.36328125" style="7"/>
    <col min="1281" max="1281" width="8" style="7" customWidth="1"/>
    <col min="1282" max="1282" width="38.36328125" style="7" customWidth="1"/>
    <col min="1283" max="1287" width="0" style="7" hidden="1" customWidth="1"/>
    <col min="1288" max="1294" width="8" style="7" customWidth="1"/>
    <col min="1295" max="1536" width="9.36328125" style="7"/>
    <col min="1537" max="1537" width="8" style="7" customWidth="1"/>
    <col min="1538" max="1538" width="38.36328125" style="7" customWidth="1"/>
    <col min="1539" max="1543" width="0" style="7" hidden="1" customWidth="1"/>
    <col min="1544" max="1550" width="8" style="7" customWidth="1"/>
    <col min="1551" max="1792" width="9.36328125" style="7"/>
    <col min="1793" max="1793" width="8" style="7" customWidth="1"/>
    <col min="1794" max="1794" width="38.36328125" style="7" customWidth="1"/>
    <col min="1795" max="1799" width="0" style="7" hidden="1" customWidth="1"/>
    <col min="1800" max="1806" width="8" style="7" customWidth="1"/>
    <col min="1807" max="2048" width="9.36328125" style="7"/>
    <col min="2049" max="2049" width="8" style="7" customWidth="1"/>
    <col min="2050" max="2050" width="38.36328125" style="7" customWidth="1"/>
    <col min="2051" max="2055" width="0" style="7" hidden="1" customWidth="1"/>
    <col min="2056" max="2062" width="8" style="7" customWidth="1"/>
    <col min="2063" max="2304" width="9.36328125" style="7"/>
    <col min="2305" max="2305" width="8" style="7" customWidth="1"/>
    <col min="2306" max="2306" width="38.36328125" style="7" customWidth="1"/>
    <col min="2307" max="2311" width="0" style="7" hidden="1" customWidth="1"/>
    <col min="2312" max="2318" width="8" style="7" customWidth="1"/>
    <col min="2319" max="2560" width="9.36328125" style="7"/>
    <col min="2561" max="2561" width="8" style="7" customWidth="1"/>
    <col min="2562" max="2562" width="38.36328125" style="7" customWidth="1"/>
    <col min="2563" max="2567" width="0" style="7" hidden="1" customWidth="1"/>
    <col min="2568" max="2574" width="8" style="7" customWidth="1"/>
    <col min="2575" max="2816" width="9.36328125" style="7"/>
    <col min="2817" max="2817" width="8" style="7" customWidth="1"/>
    <col min="2818" max="2818" width="38.36328125" style="7" customWidth="1"/>
    <col min="2819" max="2823" width="0" style="7" hidden="1" customWidth="1"/>
    <col min="2824" max="2830" width="8" style="7" customWidth="1"/>
    <col min="2831" max="3072" width="9.36328125" style="7"/>
    <col min="3073" max="3073" width="8" style="7" customWidth="1"/>
    <col min="3074" max="3074" width="38.36328125" style="7" customWidth="1"/>
    <col min="3075" max="3079" width="0" style="7" hidden="1" customWidth="1"/>
    <col min="3080" max="3086" width="8" style="7" customWidth="1"/>
    <col min="3087" max="3328" width="9.36328125" style="7"/>
    <col min="3329" max="3329" width="8" style="7" customWidth="1"/>
    <col min="3330" max="3330" width="38.36328125" style="7" customWidth="1"/>
    <col min="3331" max="3335" width="0" style="7" hidden="1" customWidth="1"/>
    <col min="3336" max="3342" width="8" style="7" customWidth="1"/>
    <col min="3343" max="3584" width="9.36328125" style="7"/>
    <col min="3585" max="3585" width="8" style="7" customWidth="1"/>
    <col min="3586" max="3586" width="38.36328125" style="7" customWidth="1"/>
    <col min="3587" max="3591" width="0" style="7" hidden="1" customWidth="1"/>
    <col min="3592" max="3598" width="8" style="7" customWidth="1"/>
    <col min="3599" max="3840" width="9.36328125" style="7"/>
    <col min="3841" max="3841" width="8" style="7" customWidth="1"/>
    <col min="3842" max="3842" width="38.36328125" style="7" customWidth="1"/>
    <col min="3843" max="3847" width="0" style="7" hidden="1" customWidth="1"/>
    <col min="3848" max="3854" width="8" style="7" customWidth="1"/>
    <col min="3855" max="4096" width="9.36328125" style="7"/>
    <col min="4097" max="4097" width="8" style="7" customWidth="1"/>
    <col min="4098" max="4098" width="38.36328125" style="7" customWidth="1"/>
    <col min="4099" max="4103" width="0" style="7" hidden="1" customWidth="1"/>
    <col min="4104" max="4110" width="8" style="7" customWidth="1"/>
    <col min="4111" max="4352" width="9.36328125" style="7"/>
    <col min="4353" max="4353" width="8" style="7" customWidth="1"/>
    <col min="4354" max="4354" width="38.36328125" style="7" customWidth="1"/>
    <col min="4355" max="4359" width="0" style="7" hidden="1" customWidth="1"/>
    <col min="4360" max="4366" width="8" style="7" customWidth="1"/>
    <col min="4367" max="4608" width="9.36328125" style="7"/>
    <col min="4609" max="4609" width="8" style="7" customWidth="1"/>
    <col min="4610" max="4610" width="38.36328125" style="7" customWidth="1"/>
    <col min="4611" max="4615" width="0" style="7" hidden="1" customWidth="1"/>
    <col min="4616" max="4622" width="8" style="7" customWidth="1"/>
    <col min="4623" max="4864" width="9.36328125" style="7"/>
    <col min="4865" max="4865" width="8" style="7" customWidth="1"/>
    <col min="4866" max="4866" width="38.36328125" style="7" customWidth="1"/>
    <col min="4867" max="4871" width="0" style="7" hidden="1" customWidth="1"/>
    <col min="4872" max="4878" width="8" style="7" customWidth="1"/>
    <col min="4879" max="5120" width="9.36328125" style="7"/>
    <col min="5121" max="5121" width="8" style="7" customWidth="1"/>
    <col min="5122" max="5122" width="38.36328125" style="7" customWidth="1"/>
    <col min="5123" max="5127" width="0" style="7" hidden="1" customWidth="1"/>
    <col min="5128" max="5134" width="8" style="7" customWidth="1"/>
    <col min="5135" max="5376" width="9.36328125" style="7"/>
    <col min="5377" max="5377" width="8" style="7" customWidth="1"/>
    <col min="5378" max="5378" width="38.36328125" style="7" customWidth="1"/>
    <col min="5379" max="5383" width="0" style="7" hidden="1" customWidth="1"/>
    <col min="5384" max="5390" width="8" style="7" customWidth="1"/>
    <col min="5391" max="5632" width="9.36328125" style="7"/>
    <col min="5633" max="5633" width="8" style="7" customWidth="1"/>
    <col min="5634" max="5634" width="38.36328125" style="7" customWidth="1"/>
    <col min="5635" max="5639" width="0" style="7" hidden="1" customWidth="1"/>
    <col min="5640" max="5646" width="8" style="7" customWidth="1"/>
    <col min="5647" max="5888" width="9.36328125" style="7"/>
    <col min="5889" max="5889" width="8" style="7" customWidth="1"/>
    <col min="5890" max="5890" width="38.36328125" style="7" customWidth="1"/>
    <col min="5891" max="5895" width="0" style="7" hidden="1" customWidth="1"/>
    <col min="5896" max="5902" width="8" style="7" customWidth="1"/>
    <col min="5903" max="6144" width="9.36328125" style="7"/>
    <col min="6145" max="6145" width="8" style="7" customWidth="1"/>
    <col min="6146" max="6146" width="38.36328125" style="7" customWidth="1"/>
    <col min="6147" max="6151" width="0" style="7" hidden="1" customWidth="1"/>
    <col min="6152" max="6158" width="8" style="7" customWidth="1"/>
    <col min="6159" max="6400" width="9.36328125" style="7"/>
    <col min="6401" max="6401" width="8" style="7" customWidth="1"/>
    <col min="6402" max="6402" width="38.36328125" style="7" customWidth="1"/>
    <col min="6403" max="6407" width="0" style="7" hidden="1" customWidth="1"/>
    <col min="6408" max="6414" width="8" style="7" customWidth="1"/>
    <col min="6415" max="6656" width="9.36328125" style="7"/>
    <col min="6657" max="6657" width="8" style="7" customWidth="1"/>
    <col min="6658" max="6658" width="38.36328125" style="7" customWidth="1"/>
    <col min="6659" max="6663" width="0" style="7" hidden="1" customWidth="1"/>
    <col min="6664" max="6670" width="8" style="7" customWidth="1"/>
    <col min="6671" max="6912" width="9.36328125" style="7"/>
    <col min="6913" max="6913" width="8" style="7" customWidth="1"/>
    <col min="6914" max="6914" width="38.36328125" style="7" customWidth="1"/>
    <col min="6915" max="6919" width="0" style="7" hidden="1" customWidth="1"/>
    <col min="6920" max="6926" width="8" style="7" customWidth="1"/>
    <col min="6927" max="7168" width="9.36328125" style="7"/>
    <col min="7169" max="7169" width="8" style="7" customWidth="1"/>
    <col min="7170" max="7170" width="38.36328125" style="7" customWidth="1"/>
    <col min="7171" max="7175" width="0" style="7" hidden="1" customWidth="1"/>
    <col min="7176" max="7182" width="8" style="7" customWidth="1"/>
    <col min="7183" max="7424" width="9.36328125" style="7"/>
    <col min="7425" max="7425" width="8" style="7" customWidth="1"/>
    <col min="7426" max="7426" width="38.36328125" style="7" customWidth="1"/>
    <col min="7427" max="7431" width="0" style="7" hidden="1" customWidth="1"/>
    <col min="7432" max="7438" width="8" style="7" customWidth="1"/>
    <col min="7439" max="7680" width="9.36328125" style="7"/>
    <col min="7681" max="7681" width="8" style="7" customWidth="1"/>
    <col min="7682" max="7682" width="38.36328125" style="7" customWidth="1"/>
    <col min="7683" max="7687" width="0" style="7" hidden="1" customWidth="1"/>
    <col min="7688" max="7694" width="8" style="7" customWidth="1"/>
    <col min="7695" max="7936" width="9.36328125" style="7"/>
    <col min="7937" max="7937" width="8" style="7" customWidth="1"/>
    <col min="7938" max="7938" width="38.36328125" style="7" customWidth="1"/>
    <col min="7939" max="7943" width="0" style="7" hidden="1" customWidth="1"/>
    <col min="7944" max="7950" width="8" style="7" customWidth="1"/>
    <col min="7951" max="8192" width="9.36328125" style="7"/>
    <col min="8193" max="8193" width="8" style="7" customWidth="1"/>
    <col min="8194" max="8194" width="38.36328125" style="7" customWidth="1"/>
    <col min="8195" max="8199" width="0" style="7" hidden="1" customWidth="1"/>
    <col min="8200" max="8206" width="8" style="7" customWidth="1"/>
    <col min="8207" max="8448" width="9.36328125" style="7"/>
    <col min="8449" max="8449" width="8" style="7" customWidth="1"/>
    <col min="8450" max="8450" width="38.36328125" style="7" customWidth="1"/>
    <col min="8451" max="8455" width="0" style="7" hidden="1" customWidth="1"/>
    <col min="8456" max="8462" width="8" style="7" customWidth="1"/>
    <col min="8463" max="8704" width="9.36328125" style="7"/>
    <col min="8705" max="8705" width="8" style="7" customWidth="1"/>
    <col min="8706" max="8706" width="38.36328125" style="7" customWidth="1"/>
    <col min="8707" max="8711" width="0" style="7" hidden="1" customWidth="1"/>
    <col min="8712" max="8718" width="8" style="7" customWidth="1"/>
    <col min="8719" max="8960" width="9.36328125" style="7"/>
    <col min="8961" max="8961" width="8" style="7" customWidth="1"/>
    <col min="8962" max="8962" width="38.36328125" style="7" customWidth="1"/>
    <col min="8963" max="8967" width="0" style="7" hidden="1" customWidth="1"/>
    <col min="8968" max="8974" width="8" style="7" customWidth="1"/>
    <col min="8975" max="9216" width="9.36328125" style="7"/>
    <col min="9217" max="9217" width="8" style="7" customWidth="1"/>
    <col min="9218" max="9218" width="38.36328125" style="7" customWidth="1"/>
    <col min="9219" max="9223" width="0" style="7" hidden="1" customWidth="1"/>
    <col min="9224" max="9230" width="8" style="7" customWidth="1"/>
    <col min="9231" max="9472" width="9.36328125" style="7"/>
    <col min="9473" max="9473" width="8" style="7" customWidth="1"/>
    <col min="9474" max="9474" width="38.36328125" style="7" customWidth="1"/>
    <col min="9475" max="9479" width="0" style="7" hidden="1" customWidth="1"/>
    <col min="9480" max="9486" width="8" style="7" customWidth="1"/>
    <col min="9487" max="9728" width="9.36328125" style="7"/>
    <col min="9729" max="9729" width="8" style="7" customWidth="1"/>
    <col min="9730" max="9730" width="38.36328125" style="7" customWidth="1"/>
    <col min="9731" max="9735" width="0" style="7" hidden="1" customWidth="1"/>
    <col min="9736" max="9742" width="8" style="7" customWidth="1"/>
    <col min="9743" max="9984" width="9.36328125" style="7"/>
    <col min="9985" max="9985" width="8" style="7" customWidth="1"/>
    <col min="9986" max="9986" width="38.36328125" style="7" customWidth="1"/>
    <col min="9987" max="9991" width="0" style="7" hidden="1" customWidth="1"/>
    <col min="9992" max="9998" width="8" style="7" customWidth="1"/>
    <col min="9999" max="10240" width="9.36328125" style="7"/>
    <col min="10241" max="10241" width="8" style="7" customWidth="1"/>
    <col min="10242" max="10242" width="38.36328125" style="7" customWidth="1"/>
    <col min="10243" max="10247" width="0" style="7" hidden="1" customWidth="1"/>
    <col min="10248" max="10254" width="8" style="7" customWidth="1"/>
    <col min="10255" max="10496" width="9.36328125" style="7"/>
    <col min="10497" max="10497" width="8" style="7" customWidth="1"/>
    <col min="10498" max="10498" width="38.36328125" style="7" customWidth="1"/>
    <col min="10499" max="10503" width="0" style="7" hidden="1" customWidth="1"/>
    <col min="10504" max="10510" width="8" style="7" customWidth="1"/>
    <col min="10511" max="10752" width="9.36328125" style="7"/>
    <col min="10753" max="10753" width="8" style="7" customWidth="1"/>
    <col min="10754" max="10754" width="38.36328125" style="7" customWidth="1"/>
    <col min="10755" max="10759" width="0" style="7" hidden="1" customWidth="1"/>
    <col min="10760" max="10766" width="8" style="7" customWidth="1"/>
    <col min="10767" max="11008" width="9.36328125" style="7"/>
    <col min="11009" max="11009" width="8" style="7" customWidth="1"/>
    <col min="11010" max="11010" width="38.36328125" style="7" customWidth="1"/>
    <col min="11011" max="11015" width="0" style="7" hidden="1" customWidth="1"/>
    <col min="11016" max="11022" width="8" style="7" customWidth="1"/>
    <col min="11023" max="11264" width="9.36328125" style="7"/>
    <col min="11265" max="11265" width="8" style="7" customWidth="1"/>
    <col min="11266" max="11266" width="38.36328125" style="7" customWidth="1"/>
    <col min="11267" max="11271" width="0" style="7" hidden="1" customWidth="1"/>
    <col min="11272" max="11278" width="8" style="7" customWidth="1"/>
    <col min="11279" max="11520" width="9.36328125" style="7"/>
    <col min="11521" max="11521" width="8" style="7" customWidth="1"/>
    <col min="11522" max="11522" width="38.36328125" style="7" customWidth="1"/>
    <col min="11523" max="11527" width="0" style="7" hidden="1" customWidth="1"/>
    <col min="11528" max="11534" width="8" style="7" customWidth="1"/>
    <col min="11535" max="11776" width="9.36328125" style="7"/>
    <col min="11777" max="11777" width="8" style="7" customWidth="1"/>
    <col min="11778" max="11778" width="38.36328125" style="7" customWidth="1"/>
    <col min="11779" max="11783" width="0" style="7" hidden="1" customWidth="1"/>
    <col min="11784" max="11790" width="8" style="7" customWidth="1"/>
    <col min="11791" max="12032" width="9.36328125" style="7"/>
    <col min="12033" max="12033" width="8" style="7" customWidth="1"/>
    <col min="12034" max="12034" width="38.36328125" style="7" customWidth="1"/>
    <col min="12035" max="12039" width="0" style="7" hidden="1" customWidth="1"/>
    <col min="12040" max="12046" width="8" style="7" customWidth="1"/>
    <col min="12047" max="12288" width="9.36328125" style="7"/>
    <col min="12289" max="12289" width="8" style="7" customWidth="1"/>
    <col min="12290" max="12290" width="38.36328125" style="7" customWidth="1"/>
    <col min="12291" max="12295" width="0" style="7" hidden="1" customWidth="1"/>
    <col min="12296" max="12302" width="8" style="7" customWidth="1"/>
    <col min="12303" max="12544" width="9.36328125" style="7"/>
    <col min="12545" max="12545" width="8" style="7" customWidth="1"/>
    <col min="12546" max="12546" width="38.36328125" style="7" customWidth="1"/>
    <col min="12547" max="12551" width="0" style="7" hidden="1" customWidth="1"/>
    <col min="12552" max="12558" width="8" style="7" customWidth="1"/>
    <col min="12559" max="12800" width="9.36328125" style="7"/>
    <col min="12801" max="12801" width="8" style="7" customWidth="1"/>
    <col min="12802" max="12802" width="38.36328125" style="7" customWidth="1"/>
    <col min="12803" max="12807" width="0" style="7" hidden="1" customWidth="1"/>
    <col min="12808" max="12814" width="8" style="7" customWidth="1"/>
    <col min="12815" max="13056" width="9.36328125" style="7"/>
    <col min="13057" max="13057" width="8" style="7" customWidth="1"/>
    <col min="13058" max="13058" width="38.36328125" style="7" customWidth="1"/>
    <col min="13059" max="13063" width="0" style="7" hidden="1" customWidth="1"/>
    <col min="13064" max="13070" width="8" style="7" customWidth="1"/>
    <col min="13071" max="13312" width="9.36328125" style="7"/>
    <col min="13313" max="13313" width="8" style="7" customWidth="1"/>
    <col min="13314" max="13314" width="38.36328125" style="7" customWidth="1"/>
    <col min="13315" max="13319" width="0" style="7" hidden="1" customWidth="1"/>
    <col min="13320" max="13326" width="8" style="7" customWidth="1"/>
    <col min="13327" max="13568" width="9.36328125" style="7"/>
    <col min="13569" max="13569" width="8" style="7" customWidth="1"/>
    <col min="13570" max="13570" width="38.36328125" style="7" customWidth="1"/>
    <col min="13571" max="13575" width="0" style="7" hidden="1" customWidth="1"/>
    <col min="13576" max="13582" width="8" style="7" customWidth="1"/>
    <col min="13583" max="13824" width="9.36328125" style="7"/>
    <col min="13825" max="13825" width="8" style="7" customWidth="1"/>
    <col min="13826" max="13826" width="38.36328125" style="7" customWidth="1"/>
    <col min="13827" max="13831" width="0" style="7" hidden="1" customWidth="1"/>
    <col min="13832" max="13838" width="8" style="7" customWidth="1"/>
    <col min="13839" max="14080" width="9.36328125" style="7"/>
    <col min="14081" max="14081" width="8" style="7" customWidth="1"/>
    <col min="14082" max="14082" width="38.36328125" style="7" customWidth="1"/>
    <col min="14083" max="14087" width="0" style="7" hidden="1" customWidth="1"/>
    <col min="14088" max="14094" width="8" style="7" customWidth="1"/>
    <col min="14095" max="14336" width="9.36328125" style="7"/>
    <col min="14337" max="14337" width="8" style="7" customWidth="1"/>
    <col min="14338" max="14338" width="38.36328125" style="7" customWidth="1"/>
    <col min="14339" max="14343" width="0" style="7" hidden="1" customWidth="1"/>
    <col min="14344" max="14350" width="8" style="7" customWidth="1"/>
    <col min="14351" max="14592" width="9.36328125" style="7"/>
    <col min="14593" max="14593" width="8" style="7" customWidth="1"/>
    <col min="14594" max="14594" width="38.36328125" style="7" customWidth="1"/>
    <col min="14595" max="14599" width="0" style="7" hidden="1" customWidth="1"/>
    <col min="14600" max="14606" width="8" style="7" customWidth="1"/>
    <col min="14607" max="14848" width="9.36328125" style="7"/>
    <col min="14849" max="14849" width="8" style="7" customWidth="1"/>
    <col min="14850" max="14850" width="38.36328125" style="7" customWidth="1"/>
    <col min="14851" max="14855" width="0" style="7" hidden="1" customWidth="1"/>
    <col min="14856" max="14862" width="8" style="7" customWidth="1"/>
    <col min="14863" max="15104" width="9.36328125" style="7"/>
    <col min="15105" max="15105" width="8" style="7" customWidth="1"/>
    <col min="15106" max="15106" width="38.36328125" style="7" customWidth="1"/>
    <col min="15107" max="15111" width="0" style="7" hidden="1" customWidth="1"/>
    <col min="15112" max="15118" width="8" style="7" customWidth="1"/>
    <col min="15119" max="15360" width="9.36328125" style="7"/>
    <col min="15361" max="15361" width="8" style="7" customWidth="1"/>
    <col min="15362" max="15362" width="38.36328125" style="7" customWidth="1"/>
    <col min="15363" max="15367" width="0" style="7" hidden="1" customWidth="1"/>
    <col min="15368" max="15374" width="8" style="7" customWidth="1"/>
    <col min="15375" max="15616" width="9.36328125" style="7"/>
    <col min="15617" max="15617" width="8" style="7" customWidth="1"/>
    <col min="15618" max="15618" width="38.36328125" style="7" customWidth="1"/>
    <col min="15619" max="15623" width="0" style="7" hidden="1" customWidth="1"/>
    <col min="15624" max="15630" width="8" style="7" customWidth="1"/>
    <col min="15631" max="15872" width="9.36328125" style="7"/>
    <col min="15873" max="15873" width="8" style="7" customWidth="1"/>
    <col min="15874" max="15874" width="38.36328125" style="7" customWidth="1"/>
    <col min="15875" max="15879" width="0" style="7" hidden="1" customWidth="1"/>
    <col min="15880" max="15886" width="8" style="7" customWidth="1"/>
    <col min="15887" max="16128" width="9.36328125" style="7"/>
    <col min="16129" max="16129" width="8" style="7" customWidth="1"/>
    <col min="16130" max="16130" width="38.36328125" style="7" customWidth="1"/>
    <col min="16131" max="16135" width="0" style="7" hidden="1" customWidth="1"/>
    <col min="16136" max="16142" width="8" style="7" customWidth="1"/>
    <col min="16143" max="16384" width="9.36328125" style="7"/>
  </cols>
  <sheetData>
    <row r="2" spans="2:40">
      <c r="B2" s="5" t="s">
        <v>279</v>
      </c>
      <c r="C2" s="6">
        <v>1998</v>
      </c>
      <c r="D2" s="6">
        <v>1999</v>
      </c>
      <c r="E2" s="6">
        <v>2000</v>
      </c>
      <c r="F2" s="6">
        <f t="shared" ref="F2:AN2" si="0">E2+1</f>
        <v>2001</v>
      </c>
      <c r="G2" s="6">
        <f t="shared" si="0"/>
        <v>2002</v>
      </c>
      <c r="H2" s="6">
        <f t="shared" si="0"/>
        <v>2003</v>
      </c>
      <c r="I2" s="6">
        <f t="shared" si="0"/>
        <v>2004</v>
      </c>
      <c r="J2" s="6">
        <f>I2+1</f>
        <v>2005</v>
      </c>
      <c r="K2" s="6">
        <f>J2+1</f>
        <v>2006</v>
      </c>
      <c r="L2" s="6">
        <f>K2+1</f>
        <v>2007</v>
      </c>
      <c r="M2" s="6">
        <f>L2+1</f>
        <v>2008</v>
      </c>
      <c r="N2" s="6">
        <f>M2+1</f>
        <v>2009</v>
      </c>
      <c r="O2" s="6">
        <f t="shared" si="0"/>
        <v>2010</v>
      </c>
      <c r="P2" s="6">
        <f t="shared" si="0"/>
        <v>2011</v>
      </c>
      <c r="Q2" s="6">
        <f t="shared" si="0"/>
        <v>2012</v>
      </c>
      <c r="R2" s="6">
        <f t="shared" si="0"/>
        <v>2013</v>
      </c>
      <c r="S2" s="6">
        <f t="shared" si="0"/>
        <v>2014</v>
      </c>
      <c r="T2" s="6">
        <f t="shared" si="0"/>
        <v>2015</v>
      </c>
      <c r="U2" s="6">
        <f t="shared" si="0"/>
        <v>2016</v>
      </c>
      <c r="V2" s="6">
        <f t="shared" si="0"/>
        <v>2017</v>
      </c>
      <c r="W2" s="6">
        <f t="shared" si="0"/>
        <v>2018</v>
      </c>
      <c r="X2" s="6">
        <f t="shared" si="0"/>
        <v>2019</v>
      </c>
      <c r="Y2" s="6">
        <f t="shared" si="0"/>
        <v>2020</v>
      </c>
      <c r="Z2" s="6">
        <f t="shared" si="0"/>
        <v>2021</v>
      </c>
      <c r="AA2" s="6">
        <f t="shared" si="0"/>
        <v>2022</v>
      </c>
      <c r="AB2" s="6">
        <f t="shared" si="0"/>
        <v>2023</v>
      </c>
      <c r="AC2" s="5">
        <f t="shared" si="0"/>
        <v>2024</v>
      </c>
      <c r="AD2" s="5">
        <f t="shared" si="0"/>
        <v>2025</v>
      </c>
      <c r="AE2" s="5">
        <f t="shared" si="0"/>
        <v>2026</v>
      </c>
      <c r="AF2" s="5">
        <f t="shared" si="0"/>
        <v>2027</v>
      </c>
      <c r="AG2" s="5">
        <f t="shared" si="0"/>
        <v>2028</v>
      </c>
      <c r="AH2" s="5">
        <f t="shared" ref="AH2" si="1">AG2+1</f>
        <v>2029</v>
      </c>
      <c r="AI2" s="5">
        <f t="shared" ref="AI2" si="2">AH2+1</f>
        <v>2030</v>
      </c>
      <c r="AJ2" s="5">
        <f t="shared" ref="AJ2" si="3">AI2+1</f>
        <v>2031</v>
      </c>
      <c r="AK2" s="5">
        <f t="shared" ref="AK2" si="4">AJ2+1</f>
        <v>2032</v>
      </c>
      <c r="AL2" s="5">
        <f t="shared" si="0"/>
        <v>2033</v>
      </c>
      <c r="AM2" s="5">
        <f t="shared" si="0"/>
        <v>2034</v>
      </c>
      <c r="AN2" s="5">
        <f t="shared" si="0"/>
        <v>2035</v>
      </c>
    </row>
    <row r="3" spans="2:40">
      <c r="B3" s="8" t="s">
        <v>280</v>
      </c>
      <c r="C3" s="9"/>
      <c r="D3" s="10"/>
      <c r="E3" s="10"/>
      <c r="F3" s="10"/>
      <c r="G3" s="10"/>
      <c r="H3" s="10"/>
      <c r="I3" s="10"/>
      <c r="J3" s="10"/>
      <c r="K3" s="10"/>
      <c r="L3" s="647">
        <f>L4</f>
        <v>0</v>
      </c>
      <c r="M3" s="647">
        <f t="shared" ref="M3:AK3" si="5">M4</f>
        <v>0</v>
      </c>
      <c r="N3" s="647">
        <f t="shared" si="5"/>
        <v>7500</v>
      </c>
      <c r="O3" s="647">
        <f t="shared" si="5"/>
        <v>7500</v>
      </c>
      <c r="P3" s="647">
        <f t="shared" si="5"/>
        <v>7500</v>
      </c>
      <c r="Q3" s="647">
        <f t="shared" si="5"/>
        <v>7500</v>
      </c>
      <c r="R3" s="647">
        <f t="shared" si="5"/>
        <v>7500</v>
      </c>
      <c r="S3" s="647">
        <f t="shared" si="5"/>
        <v>7500</v>
      </c>
      <c r="T3" s="647">
        <f t="shared" si="5"/>
        <v>7500</v>
      </c>
      <c r="U3" s="647">
        <f t="shared" si="5"/>
        <v>7500</v>
      </c>
      <c r="V3" s="647">
        <f t="shared" si="5"/>
        <v>7500</v>
      </c>
      <c r="W3" s="647">
        <f t="shared" si="5"/>
        <v>7800</v>
      </c>
      <c r="X3" s="647">
        <f t="shared" si="5"/>
        <v>7810</v>
      </c>
      <c r="Y3" s="647">
        <f t="shared" si="5"/>
        <v>7820</v>
      </c>
      <c r="Z3" s="647">
        <f t="shared" si="5"/>
        <v>7825</v>
      </c>
      <c r="AA3" s="647">
        <f t="shared" si="5"/>
        <v>7825</v>
      </c>
      <c r="AB3" s="647">
        <f t="shared" si="5"/>
        <v>7828</v>
      </c>
      <c r="AC3" s="647">
        <f t="shared" si="5"/>
        <v>7832</v>
      </c>
      <c r="AD3" s="647">
        <f t="shared" si="5"/>
        <v>7832</v>
      </c>
      <c r="AE3" s="647">
        <f t="shared" si="5"/>
        <v>7833</v>
      </c>
      <c r="AF3" s="647">
        <f t="shared" si="5"/>
        <v>7835</v>
      </c>
      <c r="AG3" s="647">
        <f t="shared" si="5"/>
        <v>7835</v>
      </c>
      <c r="AH3" s="647">
        <f t="shared" si="5"/>
        <v>7835</v>
      </c>
      <c r="AI3" s="647">
        <f t="shared" si="5"/>
        <v>7835</v>
      </c>
      <c r="AJ3" s="647">
        <f t="shared" si="5"/>
        <v>7835</v>
      </c>
      <c r="AK3" s="647">
        <f t="shared" si="5"/>
        <v>7835</v>
      </c>
      <c r="AL3" s="11"/>
      <c r="AM3" s="11"/>
      <c r="AN3" s="11"/>
    </row>
    <row r="4" spans="2:40">
      <c r="B4" s="8" t="s">
        <v>281</v>
      </c>
      <c r="C4" s="9"/>
      <c r="D4" s="10"/>
      <c r="E4" s="10"/>
      <c r="F4" s="10"/>
      <c r="G4" s="10"/>
      <c r="H4" s="10"/>
      <c r="I4" s="10"/>
      <c r="J4" s="10"/>
      <c r="K4" s="10"/>
      <c r="L4" s="647">
        <f>'Balance Sheet and Cflow'!B212</f>
        <v>0</v>
      </c>
      <c r="M4" s="647">
        <f>'Balance Sheet and Cflow'!C212</f>
        <v>0</v>
      </c>
      <c r="N4" s="647">
        <f>'Balance Sheet and Cflow'!C214</f>
        <v>7500</v>
      </c>
      <c r="O4" s="647">
        <f>'Balance Sheet and Cflow'!D214</f>
        <v>7500</v>
      </c>
      <c r="P4" s="647">
        <f>'Balance Sheet and Cflow'!E214</f>
        <v>7500</v>
      </c>
      <c r="Q4" s="647">
        <f>'Balance Sheet and Cflow'!F214</f>
        <v>7500</v>
      </c>
      <c r="R4" s="647">
        <f>'Balance Sheet and Cflow'!G214</f>
        <v>7500</v>
      </c>
      <c r="S4" s="647">
        <f>'Balance Sheet and Cflow'!H214</f>
        <v>7500</v>
      </c>
      <c r="T4" s="647">
        <f>'Balance Sheet and Cflow'!I214</f>
        <v>7500</v>
      </c>
      <c r="U4" s="647">
        <f>'Balance Sheet and Cflow'!J214</f>
        <v>7500</v>
      </c>
      <c r="V4" s="647">
        <f>'Balance Sheet and Cflow'!K214</f>
        <v>7500</v>
      </c>
      <c r="W4" s="647">
        <f>'Balance Sheet and Cflow'!L214</f>
        <v>7800</v>
      </c>
      <c r="X4" s="647">
        <f>'Balance Sheet and Cflow'!M214</f>
        <v>7810</v>
      </c>
      <c r="Y4" s="647">
        <f>'Balance Sheet and Cflow'!N214</f>
        <v>7820</v>
      </c>
      <c r="Z4" s="647">
        <f>'Balance Sheet and Cflow'!O214</f>
        <v>7825</v>
      </c>
      <c r="AA4" s="647">
        <f>'Balance Sheet and Cflow'!P214</f>
        <v>7825</v>
      </c>
      <c r="AB4" s="647">
        <f>'Balance Sheet and Cflow'!Q214</f>
        <v>7828</v>
      </c>
      <c r="AC4" s="647">
        <f>'Balance Sheet and Cflow'!R214</f>
        <v>7832</v>
      </c>
      <c r="AD4" s="647">
        <f>'Balance Sheet and Cflow'!S214</f>
        <v>7832</v>
      </c>
      <c r="AE4" s="647">
        <f>'Balance Sheet and Cflow'!T214</f>
        <v>7833</v>
      </c>
      <c r="AF4" s="647">
        <f>'Balance Sheet and Cflow'!U214</f>
        <v>7835</v>
      </c>
      <c r="AG4" s="647">
        <f>'Balance Sheet and Cflow'!V214</f>
        <v>7835</v>
      </c>
      <c r="AH4" s="647">
        <f>'Balance Sheet and Cflow'!W214</f>
        <v>7835</v>
      </c>
      <c r="AI4" s="647">
        <f>'Balance Sheet and Cflow'!X214</f>
        <v>7835</v>
      </c>
      <c r="AJ4" s="647">
        <f>'Balance Sheet and Cflow'!Y214</f>
        <v>7835</v>
      </c>
      <c r="AK4" s="647">
        <f>'Balance Sheet and Cflow'!Z214</f>
        <v>7835</v>
      </c>
      <c r="AL4" s="11"/>
      <c r="AM4" s="11"/>
      <c r="AN4" s="11"/>
    </row>
    <row r="5" spans="2:40">
      <c r="B5" s="8" t="s">
        <v>282</v>
      </c>
      <c r="C5" s="9"/>
      <c r="D5" s="10"/>
      <c r="E5" s="10"/>
      <c r="F5" s="10"/>
      <c r="G5" s="10"/>
      <c r="H5" s="10"/>
      <c r="I5" s="10"/>
      <c r="J5" s="10"/>
      <c r="K5" s="10"/>
      <c r="L5" s="647"/>
      <c r="M5" s="647"/>
      <c r="N5" s="647"/>
      <c r="O5" s="647"/>
      <c r="P5" s="647"/>
      <c r="Q5" s="647"/>
      <c r="R5" s="647"/>
      <c r="S5" s="647"/>
      <c r="T5" s="647"/>
      <c r="U5" s="647"/>
      <c r="V5" s="647"/>
      <c r="W5" s="647"/>
      <c r="X5" s="647"/>
      <c r="Y5" s="647"/>
      <c r="Z5" s="647"/>
      <c r="AA5" s="647"/>
      <c r="AB5" s="647"/>
      <c r="AC5" s="647"/>
      <c r="AD5" s="647"/>
      <c r="AE5" s="647"/>
      <c r="AF5" s="647"/>
      <c r="AG5" s="647"/>
      <c r="AH5" s="647"/>
      <c r="AI5" s="647"/>
      <c r="AJ5" s="647"/>
      <c r="AK5" s="647"/>
      <c r="AL5" s="11"/>
      <c r="AM5" s="11"/>
      <c r="AN5" s="11"/>
    </row>
    <row r="6" spans="2:40">
      <c r="B6" s="8" t="s">
        <v>283</v>
      </c>
      <c r="C6" s="9"/>
      <c r="D6" s="10"/>
      <c r="E6" s="10"/>
      <c r="F6" s="10"/>
      <c r="G6" s="10"/>
      <c r="H6" s="10"/>
      <c r="I6" s="10"/>
      <c r="J6" s="10"/>
      <c r="K6" s="10"/>
      <c r="L6" s="647"/>
      <c r="M6" s="647"/>
      <c r="N6" s="647"/>
      <c r="O6" s="647"/>
      <c r="P6" s="647"/>
      <c r="Q6" s="647"/>
      <c r="R6" s="647"/>
      <c r="S6" s="647"/>
      <c r="T6" s="647"/>
      <c r="U6" s="647"/>
      <c r="V6" s="647"/>
      <c r="W6" s="647"/>
      <c r="X6" s="647"/>
      <c r="Y6" s="647"/>
      <c r="Z6" s="647"/>
      <c r="AA6" s="647"/>
      <c r="AB6" s="647"/>
      <c r="AC6" s="647"/>
      <c r="AD6" s="647"/>
      <c r="AE6" s="647"/>
      <c r="AF6" s="647"/>
      <c r="AG6" s="647"/>
      <c r="AH6" s="647"/>
      <c r="AI6" s="647"/>
      <c r="AJ6" s="647"/>
      <c r="AK6" s="647"/>
      <c r="AL6" s="11"/>
      <c r="AM6" s="11"/>
      <c r="AN6" s="11"/>
    </row>
    <row r="7" spans="2:40">
      <c r="B7" s="8" t="s">
        <v>284</v>
      </c>
      <c r="C7" s="9"/>
      <c r="D7" s="10"/>
      <c r="E7" s="10"/>
      <c r="F7" s="10"/>
      <c r="G7" s="10"/>
      <c r="H7" s="10"/>
      <c r="I7" s="10"/>
      <c r="J7" s="10"/>
      <c r="K7" s="10"/>
      <c r="L7" s="647">
        <f>'Balance Sheet and Cflow'!B135</f>
        <v>0</v>
      </c>
      <c r="M7" s="647">
        <f>'Balance Sheet and Cflow'!C135</f>
        <v>0</v>
      </c>
      <c r="N7" s="647">
        <f>'Balance Sheet and Cflow'!D135</f>
        <v>3874</v>
      </c>
      <c r="O7" s="647">
        <f>'Balance Sheet and Cflow'!E135</f>
        <v>4557</v>
      </c>
      <c r="P7" s="647">
        <f>'Balance Sheet and Cflow'!F135</f>
        <v>5437</v>
      </c>
      <c r="Q7" s="647">
        <f>'Balance Sheet and Cflow'!G135</f>
        <v>6035.8657954545452</v>
      </c>
      <c r="R7" s="647">
        <f>'Balance Sheet and Cflow'!H135</f>
        <v>6715</v>
      </c>
      <c r="S7" s="647">
        <f>'Balance Sheet and Cflow'!I135</f>
        <v>7467</v>
      </c>
      <c r="T7" s="647">
        <f>'Balance Sheet and Cflow'!J135</f>
        <v>8582</v>
      </c>
      <c r="U7" s="647">
        <f>'Balance Sheet and Cflow'!K135</f>
        <v>9182.1881259346228</v>
      </c>
      <c r="V7" s="647">
        <f>'Balance Sheet and Cflow'!L135</f>
        <v>7044.1881259346228</v>
      </c>
      <c r="W7" s="647">
        <f>'Balance Sheet and Cflow'!M135</f>
        <v>7079.9491259346223</v>
      </c>
      <c r="X7" s="647">
        <f>'Balance Sheet and Cflow'!N135</f>
        <v>8365.1881259346228</v>
      </c>
      <c r="Y7" s="647">
        <f>'Balance Sheet and Cflow'!O135</f>
        <v>9028.1881259346228</v>
      </c>
      <c r="Z7" s="647">
        <f>'Balance Sheet and Cflow'!P135</f>
        <v>8899.1881259346228</v>
      </c>
      <c r="AA7" s="647">
        <f>'Balance Sheet and Cflow'!Q135</f>
        <v>9237.1881259346228</v>
      </c>
      <c r="AB7" s="647">
        <f>'Balance Sheet and Cflow'!R135</f>
        <v>9203.1881259346228</v>
      </c>
      <c r="AC7" s="647">
        <f>'Balance Sheet and Cflow'!S135</f>
        <v>8825.1881259346228</v>
      </c>
      <c r="AD7" s="647">
        <f>'Balance Sheet and Cflow'!T135</f>
        <v>8522.1881259346228</v>
      </c>
      <c r="AE7" s="647">
        <f>'Balance Sheet and Cflow'!U135</f>
        <v>7994.3728880745612</v>
      </c>
      <c r="AF7" s="647">
        <f>'Balance Sheet and Cflow'!V135</f>
        <v>7371.538076757045</v>
      </c>
      <c r="AG7" s="647">
        <f>'Balance Sheet and Cflow'!W135</f>
        <v>6750.5267779453279</v>
      </c>
      <c r="AH7" s="647">
        <f>'Balance Sheet and Cflow'!X135</f>
        <v>6134.7882294221918</v>
      </c>
      <c r="AI7" s="647">
        <f>'Balance Sheet and Cflow'!Y135</f>
        <v>5544.1796376897373</v>
      </c>
      <c r="AJ7" s="647">
        <f>'Balance Sheet and Cflow'!Z135</f>
        <v>4966.0278012041254</v>
      </c>
      <c r="AK7" s="647">
        <f>'Balance Sheet and Cflow'!AA135</f>
        <v>4805.1774673003956</v>
      </c>
      <c r="AL7" s="11"/>
      <c r="AM7" s="11"/>
      <c r="AN7" s="11"/>
    </row>
    <row r="8" spans="2:40">
      <c r="B8" s="8" t="s">
        <v>285</v>
      </c>
      <c r="C8" s="9"/>
      <c r="D8" s="10"/>
      <c r="E8" s="10"/>
      <c r="F8" s="10"/>
      <c r="G8" s="10"/>
      <c r="H8" s="10"/>
      <c r="I8" s="10"/>
      <c r="J8" s="10"/>
      <c r="K8" s="10"/>
      <c r="L8" s="647"/>
      <c r="M8" s="647"/>
      <c r="N8" s="647"/>
      <c r="O8" s="647"/>
      <c r="P8" s="647"/>
      <c r="Q8" s="647"/>
      <c r="R8" s="647"/>
      <c r="S8" s="647"/>
      <c r="T8" s="647"/>
      <c r="U8" s="647"/>
      <c r="V8" s="647"/>
      <c r="W8" s="647"/>
      <c r="X8" s="647"/>
      <c r="Y8" s="647"/>
      <c r="Z8" s="647"/>
      <c r="AA8" s="647"/>
      <c r="AB8" s="647"/>
      <c r="AC8" s="647"/>
      <c r="AD8" s="647"/>
      <c r="AE8" s="647"/>
      <c r="AF8" s="647"/>
      <c r="AG8" s="647"/>
      <c r="AH8" s="647"/>
      <c r="AI8" s="647"/>
      <c r="AJ8" s="647"/>
      <c r="AK8" s="647"/>
      <c r="AL8" s="11"/>
      <c r="AM8" s="11"/>
      <c r="AN8" s="11"/>
    </row>
    <row r="9" spans="2:40">
      <c r="B9" s="8" t="s">
        <v>286</v>
      </c>
      <c r="C9" s="9"/>
      <c r="D9" s="12"/>
      <c r="E9" s="12"/>
      <c r="F9" s="12"/>
      <c r="G9" s="12"/>
      <c r="H9" s="12"/>
      <c r="I9" s="12"/>
      <c r="J9" s="12"/>
      <c r="K9" s="12"/>
      <c r="L9" s="648"/>
      <c r="M9" s="648"/>
      <c r="N9" s="648"/>
      <c r="O9" s="648"/>
      <c r="P9" s="648"/>
      <c r="Q9" s="648"/>
      <c r="R9" s="648"/>
      <c r="S9" s="648"/>
      <c r="T9" s="648"/>
      <c r="U9" s="648"/>
      <c r="V9" s="648"/>
      <c r="W9" s="648"/>
      <c r="X9" s="648"/>
      <c r="Y9" s="648"/>
      <c r="Z9" s="648"/>
      <c r="AA9" s="648"/>
      <c r="AB9" s="648"/>
      <c r="AC9" s="648"/>
      <c r="AD9" s="648"/>
      <c r="AE9" s="648"/>
      <c r="AF9" s="648"/>
      <c r="AG9" s="648"/>
      <c r="AH9" s="648"/>
      <c r="AI9" s="648"/>
      <c r="AJ9" s="648"/>
      <c r="AK9" s="648"/>
      <c r="AL9" s="11"/>
      <c r="AM9" s="11"/>
      <c r="AN9" s="11"/>
    </row>
    <row r="10" spans="2:40">
      <c r="B10" s="8" t="s">
        <v>287</v>
      </c>
      <c r="C10" s="9"/>
      <c r="D10" s="12"/>
      <c r="E10" s="12"/>
      <c r="F10" s="12"/>
      <c r="G10" s="12"/>
      <c r="H10" s="12"/>
      <c r="I10" s="12"/>
      <c r="J10" s="12"/>
      <c r="K10" s="12"/>
      <c r="L10" s="648"/>
      <c r="M10" s="648"/>
      <c r="N10" s="648"/>
      <c r="O10" s="648"/>
      <c r="P10" s="648"/>
      <c r="Q10" s="648"/>
      <c r="R10" s="648"/>
      <c r="S10" s="648"/>
      <c r="T10" s="648"/>
      <c r="U10" s="648"/>
      <c r="V10" s="648"/>
      <c r="W10" s="648"/>
      <c r="X10" s="648"/>
      <c r="Y10" s="648"/>
      <c r="Z10" s="648"/>
      <c r="AA10" s="648"/>
      <c r="AB10" s="648"/>
      <c r="AC10" s="648"/>
      <c r="AD10" s="648"/>
      <c r="AE10" s="648"/>
      <c r="AF10" s="648"/>
      <c r="AG10" s="648"/>
      <c r="AH10" s="648"/>
      <c r="AI10" s="648"/>
      <c r="AJ10" s="648"/>
      <c r="AK10" s="648"/>
      <c r="AL10" s="11"/>
      <c r="AM10" s="11"/>
      <c r="AN10" s="11"/>
    </row>
    <row r="11" spans="2:40">
      <c r="B11" s="8" t="s">
        <v>288</v>
      </c>
      <c r="C11" s="9"/>
      <c r="D11" s="12"/>
      <c r="E11" s="12"/>
      <c r="F11" s="12"/>
      <c r="G11" s="12"/>
      <c r="H11" s="12"/>
      <c r="I11" s="12"/>
      <c r="J11" s="12"/>
      <c r="K11" s="12"/>
      <c r="L11" s="648"/>
      <c r="M11" s="648"/>
      <c r="N11" s="648"/>
      <c r="O11" s="648"/>
      <c r="P11" s="648"/>
      <c r="Q11" s="648"/>
      <c r="R11" s="648"/>
      <c r="S11" s="648"/>
      <c r="T11" s="648"/>
      <c r="U11" s="648"/>
      <c r="V11" s="648">
        <v>0</v>
      </c>
      <c r="W11" s="648">
        <v>0</v>
      </c>
      <c r="X11" s="648">
        <v>0</v>
      </c>
      <c r="Y11" s="648">
        <v>0</v>
      </c>
      <c r="Z11" s="648">
        <f>-DCF!H62</f>
        <v>0</v>
      </c>
      <c r="AA11" s="648">
        <f>-DCF!I62</f>
        <v>0</v>
      </c>
      <c r="AB11" s="648">
        <f>-DCF!J62</f>
        <v>0</v>
      </c>
      <c r="AC11" s="648">
        <f>-DCF!K62</f>
        <v>0</v>
      </c>
      <c r="AD11" s="648">
        <f>-DCF!L62</f>
        <v>0</v>
      </c>
      <c r="AE11" s="648">
        <f>-DCF!M62</f>
        <v>1614.9853056527602</v>
      </c>
      <c r="AF11" s="648">
        <f>-DCF!N62</f>
        <v>3347.0997444732875</v>
      </c>
      <c r="AG11" s="648">
        <f>-DCF!O62</f>
        <v>5183.7118778167405</v>
      </c>
      <c r="AH11" s="648">
        <f>-DCF!P62</f>
        <v>7133.6223456015859</v>
      </c>
      <c r="AI11" s="648">
        <f>-DCF!Q62</f>
        <v>9206.8186758487864</v>
      </c>
      <c r="AJ11" s="648">
        <f>-DCF!R62</f>
        <v>11396.844711024816</v>
      </c>
      <c r="AK11" s="648">
        <f>-DCF!S62</f>
        <v>13724.911990776705</v>
      </c>
      <c r="AL11" s="11"/>
      <c r="AM11" s="11"/>
      <c r="AN11" s="11"/>
    </row>
    <row r="12" spans="2:40">
      <c r="B12" s="8" t="s">
        <v>289</v>
      </c>
      <c r="C12" s="9"/>
      <c r="D12" s="10"/>
      <c r="E12" s="12"/>
      <c r="F12" s="12"/>
      <c r="G12" s="12"/>
      <c r="H12" s="12"/>
      <c r="I12" s="12"/>
      <c r="J12" s="12"/>
      <c r="K12" s="12"/>
      <c r="L12" s="648"/>
      <c r="M12" s="648"/>
      <c r="N12" s="648"/>
      <c r="O12" s="648"/>
      <c r="P12" s="648"/>
      <c r="Q12" s="648"/>
      <c r="R12" s="648"/>
      <c r="S12" s="648"/>
      <c r="T12" s="648"/>
      <c r="U12" s="648"/>
      <c r="V12" s="648"/>
      <c r="W12" s="648"/>
      <c r="X12" s="648"/>
      <c r="Y12" s="648"/>
      <c r="Z12" s="648"/>
      <c r="AA12" s="648"/>
      <c r="AB12" s="648"/>
      <c r="AC12" s="648"/>
      <c r="AD12" s="648"/>
      <c r="AE12" s="648"/>
      <c r="AF12" s="648"/>
      <c r="AG12" s="648"/>
      <c r="AH12" s="648"/>
      <c r="AI12" s="648"/>
      <c r="AJ12" s="648"/>
      <c r="AK12" s="648"/>
      <c r="AL12" s="11"/>
      <c r="AM12" s="11"/>
      <c r="AN12" s="11"/>
    </row>
    <row r="13" spans="2:40">
      <c r="B13" s="8" t="s">
        <v>290</v>
      </c>
      <c r="C13" s="9"/>
      <c r="D13" s="13"/>
      <c r="E13" s="13"/>
      <c r="F13" s="13"/>
      <c r="G13" s="13"/>
      <c r="H13" s="13"/>
      <c r="I13" s="13"/>
      <c r="J13" s="13"/>
      <c r="K13" s="13"/>
      <c r="L13" s="647">
        <f>'Income Statement'!B501</f>
        <v>0</v>
      </c>
      <c r="M13" s="647">
        <f>'Income Statement'!G501</f>
        <v>0</v>
      </c>
      <c r="N13" s="647">
        <f>'Income Statement'!L501</f>
        <v>0.09</v>
      </c>
      <c r="O13" s="647">
        <f>'Income Statement'!Q501</f>
        <v>0.4</v>
      </c>
      <c r="P13" s="647">
        <f>'Income Statement'!V501</f>
        <v>0.4</v>
      </c>
      <c r="Q13" s="647">
        <f>'Income Statement'!AA501</f>
        <v>0.4</v>
      </c>
      <c r="R13" s="647">
        <f>'Income Statement'!AF501</f>
        <v>0.4</v>
      </c>
      <c r="S13" s="647">
        <f>'Income Statement'!AK501</f>
        <v>0.4</v>
      </c>
      <c r="T13" s="647">
        <f>'Income Statement'!AP501</f>
        <v>0.2</v>
      </c>
      <c r="U13" s="647">
        <f>'Income Statement'!AU501</f>
        <v>0.2</v>
      </c>
      <c r="V13" s="647">
        <f>'Income Statement'!AZ501</f>
        <v>0.2</v>
      </c>
      <c r="W13" s="647">
        <f>'Income Statement'!BE501</f>
        <v>0.2</v>
      </c>
      <c r="X13" s="647">
        <f>'Income Statement'!BJ501</f>
        <v>0.2</v>
      </c>
      <c r="Y13" s="647">
        <f>'Income Statement'!BO501</f>
        <v>0.16999999999999998</v>
      </c>
      <c r="Z13" s="647">
        <f>'Income Statement'!BT501</f>
        <v>0.16999999999999998</v>
      </c>
      <c r="AA13" s="647">
        <f>'Income Statement'!BY501</f>
        <v>0.2</v>
      </c>
      <c r="AB13" s="647">
        <f>'Income Statement'!CD501</f>
        <v>0.16</v>
      </c>
      <c r="AC13" s="647">
        <f>'Income Statement'!CI501</f>
        <v>0.16999999999999998</v>
      </c>
      <c r="AD13" s="647">
        <f>'Income Statement'!CN501</f>
        <v>0.17499999999999999</v>
      </c>
      <c r="AE13" s="647">
        <f>'Income Statement'!CQ501</f>
        <v>0.20612448061936953</v>
      </c>
      <c r="AF13" s="647">
        <f>'Income Statement'!CR501</f>
        <v>0.22107395517811454</v>
      </c>
      <c r="AG13" s="647">
        <f>'Income Statement'!CS501</f>
        <v>0.23441124867178731</v>
      </c>
      <c r="AH13" s="647">
        <f>'Income Statement'!CT501</f>
        <v>0.24887178912378374</v>
      </c>
      <c r="AI13" s="647">
        <f>'Income Statement'!CU501</f>
        <v>0.26460706193327382</v>
      </c>
      <c r="AJ13" s="647">
        <f>'Income Statement'!CV501</f>
        <v>0.27951831974167568</v>
      </c>
      <c r="AK13" s="647">
        <f>'Income Statement'!CW501</f>
        <v>0.29713685765818609</v>
      </c>
      <c r="AL13" s="11"/>
      <c r="AM13" s="11"/>
      <c r="AN13" s="11"/>
    </row>
    <row r="14" spans="2:40">
      <c r="B14" s="8" t="s">
        <v>92</v>
      </c>
      <c r="C14" s="9"/>
      <c r="D14" s="13"/>
      <c r="E14" s="13"/>
      <c r="F14" s="13"/>
      <c r="G14" s="13"/>
      <c r="H14" s="13"/>
      <c r="I14" s="13"/>
      <c r="J14" s="13"/>
      <c r="K14" s="13"/>
      <c r="L14" s="647">
        <f>'Income Statement'!B499</f>
        <v>0</v>
      </c>
      <c r="M14" s="647">
        <f>'Income Statement'!G499</f>
        <v>0</v>
      </c>
      <c r="N14" s="647">
        <f>'Income Statement'!L499</f>
        <v>0.29759999999999998</v>
      </c>
      <c r="O14" s="647">
        <f>'Income Statement'!Q499</f>
        <v>0.30599999999999999</v>
      </c>
      <c r="P14" s="647">
        <f>'Income Statement'!V499</f>
        <v>0.33693333333333331</v>
      </c>
      <c r="Q14" s="647">
        <f>'Income Statement'!AA499</f>
        <v>0.248</v>
      </c>
      <c r="R14" s="647">
        <f>'Income Statement'!AF499</f>
        <v>0.26453333333333334</v>
      </c>
      <c r="S14" s="647">
        <f>'Income Statement'!AK499</f>
        <v>0.23</v>
      </c>
      <c r="T14" s="647">
        <f>'Income Statement'!AP499</f>
        <v>0.23293333333333333</v>
      </c>
      <c r="U14" s="647">
        <f>'Income Statement'!AU499</f>
        <v>0.26840000000000003</v>
      </c>
      <c r="V14" s="647">
        <f>'Income Statement'!AZ499</f>
        <v>0.28000000000000003</v>
      </c>
      <c r="W14" s="647">
        <f>'Income Statement'!BE499</f>
        <v>0.23533333333333334</v>
      </c>
      <c r="X14" s="647">
        <f>'Income Statement'!BJ499</f>
        <v>0.19424552429667519</v>
      </c>
      <c r="Y14" s="647">
        <f>'Income Statement'!BO499</f>
        <v>0.17699680511182109</v>
      </c>
      <c r="Z14" s="647">
        <f>'Income Statement'!BT499</f>
        <v>0.15539936102236421</v>
      </c>
      <c r="AA14" s="647">
        <f>'Income Statement'!BY499</f>
        <v>0.14715836711911176</v>
      </c>
      <c r="AB14" s="647">
        <f>'Income Statement'!CD499</f>
        <v>0.1268542199488491</v>
      </c>
      <c r="AC14" s="647">
        <f>'Income Statement'!CI499</f>
        <v>0.1784484979444628</v>
      </c>
      <c r="AD14" s="647">
        <f>'Income Statement'!CN499</f>
        <v>0.19952333698385988</v>
      </c>
      <c r="AE14" s="647">
        <f>'Income Statement'!CQ499</f>
        <v>0.22902720068818835</v>
      </c>
      <c r="AF14" s="647">
        <f>'Income Statement'!CR499</f>
        <v>0.24563772797568281</v>
      </c>
      <c r="AG14" s="647">
        <f>'Income Statement'!CS499</f>
        <v>0.26045694296865257</v>
      </c>
      <c r="AH14" s="647">
        <f>'Income Statement'!CT499</f>
        <v>0.27652421013753747</v>
      </c>
      <c r="AI14" s="647">
        <f>'Income Statement'!CU499</f>
        <v>0.29400784659252643</v>
      </c>
      <c r="AJ14" s="647">
        <f>'Income Statement'!CV499</f>
        <v>0.31057591082408409</v>
      </c>
      <c r="AK14" s="647">
        <f>'Income Statement'!CW499</f>
        <v>0.3301520640646512</v>
      </c>
      <c r="AL14" s="11"/>
      <c r="AM14" s="11"/>
      <c r="AN14" s="11"/>
    </row>
    <row r="15" spans="2:40">
      <c r="B15" s="8" t="s">
        <v>291</v>
      </c>
      <c r="C15" s="9"/>
      <c r="D15" s="13"/>
      <c r="E15" s="13"/>
      <c r="F15" s="13"/>
      <c r="G15" s="13"/>
      <c r="H15" s="13"/>
      <c r="I15" s="13"/>
      <c r="J15" s="13"/>
      <c r="K15" s="13"/>
      <c r="L15" s="647">
        <f>'Income Statement'!B498</f>
        <v>0</v>
      </c>
      <c r="M15" s="647">
        <f>'Income Statement'!G498</f>
        <v>0</v>
      </c>
      <c r="N15" s="647">
        <f>'Income Statement'!L498</f>
        <v>0.29759999999999998</v>
      </c>
      <c r="O15" s="647">
        <f>'Income Statement'!Q498</f>
        <v>0.30599999999999999</v>
      </c>
      <c r="P15" s="647">
        <f>'Income Statement'!V498</f>
        <v>0.33746666666666669</v>
      </c>
      <c r="Q15" s="647">
        <f>'Income Statement'!AA498</f>
        <v>0.26573333333333332</v>
      </c>
      <c r="R15" s="647">
        <f>'Income Statement'!AF498</f>
        <v>0.28039999999999998</v>
      </c>
      <c r="S15" s="647">
        <f>'Income Statement'!AK498</f>
        <v>0.21434158320871693</v>
      </c>
      <c r="T15" s="647">
        <f>'Income Statement'!AP498</f>
        <v>0.27522389501719724</v>
      </c>
      <c r="U15" s="647">
        <f>'Income Statement'!AU498</f>
        <v>0.26279999999999998</v>
      </c>
      <c r="V15" s="647">
        <f>'Income Statement'!AZ498</f>
        <v>0.26338658146964855</v>
      </c>
      <c r="W15" s="647">
        <f>'Income Statement'!BE498</f>
        <v>0.23533333333333334</v>
      </c>
      <c r="X15" s="647">
        <f>'Income Statement'!BJ498</f>
        <v>0.19092071611253197</v>
      </c>
      <c r="Y15" s="647">
        <f>'Income Statement'!BO498</f>
        <v>0.17621483375959077</v>
      </c>
      <c r="Z15" s="647">
        <f>'Income Statement'!BT498</f>
        <v>0.16726342710997444</v>
      </c>
      <c r="AA15" s="647">
        <f>'Income Statement'!BY498</f>
        <v>0.14715836711911176</v>
      </c>
      <c r="AB15" s="647">
        <f>'Income Statement'!CD498</f>
        <v>0.1268542199488491</v>
      </c>
      <c r="AC15" s="647">
        <f>'Income Statement'!CI498</f>
        <v>0.1784484979444628</v>
      </c>
      <c r="AD15" s="647">
        <f>'Income Statement'!CN498</f>
        <v>0.19952333698385988</v>
      </c>
      <c r="AE15" s="647">
        <f>'Income Statement'!CQ498</f>
        <v>0.22902720068818835</v>
      </c>
      <c r="AF15" s="647">
        <f>'Income Statement'!CR498</f>
        <v>0.24563772797568281</v>
      </c>
      <c r="AG15" s="647">
        <f>'Income Statement'!CS498</f>
        <v>0.26045694296865257</v>
      </c>
      <c r="AH15" s="647">
        <f>'Income Statement'!CT498</f>
        <v>0.27652421013753747</v>
      </c>
      <c r="AI15" s="647">
        <f>'Income Statement'!CU498</f>
        <v>0.29400784659252643</v>
      </c>
      <c r="AJ15" s="647">
        <f>'Income Statement'!CV498</f>
        <v>0.31057591082408409</v>
      </c>
      <c r="AK15" s="647">
        <f>'Income Statement'!CW498</f>
        <v>0.3301520640646512</v>
      </c>
      <c r="AL15" s="11"/>
      <c r="AM15" s="11"/>
      <c r="AN15" s="11"/>
    </row>
    <row r="16" spans="2:40">
      <c r="C16" s="14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</row>
    <row r="17" spans="2:40">
      <c r="B17" s="5" t="s">
        <v>292</v>
      </c>
      <c r="C17" s="6">
        <v>1998</v>
      </c>
      <c r="D17" s="16">
        <v>1999</v>
      </c>
      <c r="E17" s="16">
        <v>2000</v>
      </c>
      <c r="F17" s="16">
        <f t="shared" ref="F17:AN17" si="6">E17+1</f>
        <v>2001</v>
      </c>
      <c r="G17" s="16">
        <f t="shared" si="6"/>
        <v>2002</v>
      </c>
      <c r="H17" s="16">
        <f t="shared" si="6"/>
        <v>2003</v>
      </c>
      <c r="I17" s="16">
        <v>2004</v>
      </c>
      <c r="J17" s="16">
        <f>I17+1</f>
        <v>2005</v>
      </c>
      <c r="K17" s="16">
        <f>J17+1</f>
        <v>2006</v>
      </c>
      <c r="L17" s="16">
        <f>K17+1</f>
        <v>2007</v>
      </c>
      <c r="M17" s="16">
        <f>L17+1</f>
        <v>2008</v>
      </c>
      <c r="N17" s="16">
        <f>M17+1</f>
        <v>2009</v>
      </c>
      <c r="O17" s="16">
        <f t="shared" si="6"/>
        <v>2010</v>
      </c>
      <c r="P17" s="16">
        <f t="shared" si="6"/>
        <v>2011</v>
      </c>
      <c r="Q17" s="16">
        <f t="shared" si="6"/>
        <v>2012</v>
      </c>
      <c r="R17" s="16">
        <f t="shared" si="6"/>
        <v>2013</v>
      </c>
      <c r="S17" s="16">
        <f t="shared" si="6"/>
        <v>2014</v>
      </c>
      <c r="T17" s="16">
        <f t="shared" si="6"/>
        <v>2015</v>
      </c>
      <c r="U17" s="16">
        <f t="shared" si="6"/>
        <v>2016</v>
      </c>
      <c r="V17" s="16">
        <f t="shared" si="6"/>
        <v>2017</v>
      </c>
      <c r="W17" s="16">
        <f t="shared" si="6"/>
        <v>2018</v>
      </c>
      <c r="X17" s="6">
        <f t="shared" si="6"/>
        <v>2019</v>
      </c>
      <c r="Y17" s="6">
        <f t="shared" si="6"/>
        <v>2020</v>
      </c>
      <c r="Z17" s="6">
        <f t="shared" si="6"/>
        <v>2021</v>
      </c>
      <c r="AA17" s="6">
        <f t="shared" si="6"/>
        <v>2022</v>
      </c>
      <c r="AB17" s="6">
        <f t="shared" si="6"/>
        <v>2023</v>
      </c>
      <c r="AC17" s="6">
        <f t="shared" si="6"/>
        <v>2024</v>
      </c>
      <c r="AD17" s="6">
        <f t="shared" si="6"/>
        <v>2025</v>
      </c>
      <c r="AE17" s="6">
        <f t="shared" si="6"/>
        <v>2026</v>
      </c>
      <c r="AF17" s="6">
        <f t="shared" si="6"/>
        <v>2027</v>
      </c>
      <c r="AG17" s="6">
        <f t="shared" si="6"/>
        <v>2028</v>
      </c>
      <c r="AH17" s="6">
        <f t="shared" ref="AH17" si="7">AG17+1</f>
        <v>2029</v>
      </c>
      <c r="AI17" s="6">
        <f t="shared" ref="AI17" si="8">AH17+1</f>
        <v>2030</v>
      </c>
      <c r="AJ17" s="6">
        <f t="shared" ref="AJ17" si="9">AI17+1</f>
        <v>2031</v>
      </c>
      <c r="AK17" s="6">
        <f t="shared" ref="AK17" si="10">AJ17+1</f>
        <v>2032</v>
      </c>
      <c r="AL17" s="5">
        <f t="shared" si="6"/>
        <v>2033</v>
      </c>
      <c r="AM17" s="5">
        <f t="shared" si="6"/>
        <v>2034</v>
      </c>
      <c r="AN17" s="5">
        <f t="shared" si="6"/>
        <v>2035</v>
      </c>
    </row>
    <row r="18" spans="2:40">
      <c r="B18" s="8" t="s">
        <v>293</v>
      </c>
      <c r="C18" s="9"/>
      <c r="D18" s="10"/>
      <c r="E18" s="10"/>
      <c r="F18" s="10"/>
      <c r="G18" s="10"/>
      <c r="H18" s="10"/>
      <c r="I18" s="10"/>
      <c r="J18" s="10"/>
      <c r="K18" s="10"/>
      <c r="L18" s="647">
        <f>'Income Statement'!B30</f>
        <v>7690</v>
      </c>
      <c r="M18" s="647">
        <f>'Income Statement'!G30</f>
        <v>8449.9</v>
      </c>
      <c r="N18" s="647">
        <f>'Income Statement'!L30</f>
        <v>8612</v>
      </c>
      <c r="O18" s="647">
        <f>'Income Statement'!Q30</f>
        <v>8869</v>
      </c>
      <c r="P18" s="647">
        <f>'Income Statement'!V30</f>
        <v>8783</v>
      </c>
      <c r="Q18" s="647">
        <f>'Income Statement'!AA30</f>
        <v>8880</v>
      </c>
      <c r="R18" s="647">
        <f>'Income Statement'!AF30</f>
        <v>9028.3719999999994</v>
      </c>
      <c r="S18" s="647">
        <f>'Income Statement'!AK30</f>
        <v>8404</v>
      </c>
      <c r="T18" s="647">
        <f>'Income Statement'!AP30</f>
        <v>8601</v>
      </c>
      <c r="U18" s="647">
        <f>'Income Statement'!AU30</f>
        <v>8612</v>
      </c>
      <c r="V18" s="647">
        <f>'Income Statement'!AZ30</f>
        <v>9419</v>
      </c>
      <c r="W18" s="647">
        <f>'Income Statement'!BE30</f>
        <v>9192</v>
      </c>
      <c r="X18" s="647">
        <f>'Income Statement'!BJ30</f>
        <v>9313</v>
      </c>
      <c r="Y18" s="647">
        <f>'Income Statement'!BO30</f>
        <v>8966</v>
      </c>
      <c r="Z18" s="647">
        <f>'Income Statement'!BT30</f>
        <v>9241</v>
      </c>
      <c r="AA18" s="647">
        <f>'Income Statement'!BY30</f>
        <v>9789</v>
      </c>
      <c r="AB18" s="647">
        <f>'Income Statement'!CD30</f>
        <v>10180</v>
      </c>
      <c r="AC18" s="647">
        <f>'Income Statement'!CI30</f>
        <v>10536</v>
      </c>
      <c r="AD18" s="647">
        <f>'Income Statement'!CN30</f>
        <v>10635</v>
      </c>
      <c r="AE18" s="647">
        <f>'Income Statement'!CQ30</f>
        <v>10945.588579795789</v>
      </c>
      <c r="AF18" s="647">
        <f>'Income Statement'!CR30</f>
        <v>11217.050358444878</v>
      </c>
      <c r="AG18" s="647">
        <f>'Income Statement'!CS30</f>
        <v>11491.634183527703</v>
      </c>
      <c r="AH18" s="647">
        <f>'Income Statement'!CT30</f>
        <v>11781.507149435985</v>
      </c>
      <c r="AI18" s="647">
        <f>'Income Statement'!CU30</f>
        <v>12062.40587606502</v>
      </c>
      <c r="AJ18" s="647">
        <f>'Income Statement'!CV30</f>
        <v>12347.340609898634</v>
      </c>
      <c r="AK18" s="647">
        <f>'Income Statement'!CW30</f>
        <v>12636.875847746611</v>
      </c>
      <c r="AL18" s="11"/>
      <c r="AM18" s="11"/>
      <c r="AN18" s="11"/>
    </row>
    <row r="19" spans="2:40">
      <c r="B19" s="8" t="s">
        <v>294</v>
      </c>
      <c r="C19" s="9"/>
      <c r="D19" s="10"/>
      <c r="E19" s="10"/>
      <c r="F19" s="10"/>
      <c r="G19" s="10"/>
      <c r="H19" s="10"/>
      <c r="I19" s="10"/>
      <c r="J19" s="10"/>
      <c r="K19" s="10"/>
      <c r="L19" s="647">
        <f>'Income Statement'!B37</f>
        <v>0</v>
      </c>
      <c r="M19" s="647">
        <f>'Income Statement'!G37</f>
        <v>4402.2000000000007</v>
      </c>
      <c r="N19" s="647">
        <f>'Income Statement'!L37</f>
        <v>4220</v>
      </c>
      <c r="O19" s="647">
        <f>'Income Statement'!Q37</f>
        <v>4416</v>
      </c>
      <c r="P19" s="647">
        <f>'Income Statement'!V37</f>
        <v>4423</v>
      </c>
      <c r="Q19" s="647">
        <f>'Income Statement'!AA37</f>
        <v>4359</v>
      </c>
      <c r="R19" s="647">
        <f>'Income Statement'!AF37</f>
        <v>4364</v>
      </c>
      <c r="S19" s="647">
        <f>'Income Statement'!AK37</f>
        <v>4272</v>
      </c>
      <c r="T19" s="647">
        <f>'Income Statement'!AP37</f>
        <v>4331</v>
      </c>
      <c r="U19" s="647">
        <f>'Income Statement'!AU37</f>
        <v>4551</v>
      </c>
      <c r="V19" s="647">
        <f>'Income Statement'!AZ37</f>
        <v>4308</v>
      </c>
      <c r="W19" s="647">
        <f>'Income Statement'!BE37</f>
        <v>3817</v>
      </c>
      <c r="X19" s="647">
        <f>'Income Statement'!BJ37</f>
        <v>3891</v>
      </c>
      <c r="Y19" s="647">
        <f>'Income Statement'!BO37</f>
        <v>3759</v>
      </c>
      <c r="Z19" s="647">
        <f>'Income Statement'!BT37</f>
        <v>3858</v>
      </c>
      <c r="AA19" s="647">
        <f>'Income Statement'!BY37</f>
        <v>3929</v>
      </c>
      <c r="AB19" s="647">
        <f>'Income Statement'!CD37</f>
        <v>3960</v>
      </c>
      <c r="AC19" s="647">
        <f>'Income Statement'!CI37</f>
        <v>4122</v>
      </c>
      <c r="AD19" s="647">
        <f>'Income Statement'!CN37</f>
        <v>4329</v>
      </c>
      <c r="AE19" s="647">
        <f>'Income Statement'!CQ37</f>
        <v>4521.5932718038575</v>
      </c>
      <c r="AF19" s="647">
        <f>'Income Statement'!CR37</f>
        <v>4652.7746464653283</v>
      </c>
      <c r="AG19" s="647">
        <f>'Income Statement'!CS37</f>
        <v>4782.7277825729407</v>
      </c>
      <c r="AH19" s="647">
        <f>'Income Statement'!CT37</f>
        <v>4920.6127220270864</v>
      </c>
      <c r="AI19" s="647">
        <f>'Income Statement'!CU37</f>
        <v>5055.0552341969897</v>
      </c>
      <c r="AJ19" s="647">
        <f>'Income Statement'!CV37</f>
        <v>5192.1232583166502</v>
      </c>
      <c r="AK19" s="647">
        <f>'Income Statement'!CW37</f>
        <v>5332.0710765879776</v>
      </c>
      <c r="AL19" s="11"/>
      <c r="AM19" s="11"/>
      <c r="AN19" s="11"/>
    </row>
    <row r="20" spans="2:40">
      <c r="B20" s="7" t="s">
        <v>295</v>
      </c>
      <c r="C20" s="9"/>
      <c r="D20" s="10"/>
      <c r="E20" s="10"/>
      <c r="F20" s="10"/>
      <c r="G20" s="10"/>
      <c r="H20" s="10"/>
      <c r="I20" s="10"/>
      <c r="J20" s="10"/>
      <c r="K20" s="10"/>
      <c r="L20" s="647">
        <f>-'Balance Sheet and Cflow'!B93</f>
        <v>894</v>
      </c>
      <c r="M20" s="647">
        <f>-'Balance Sheet and Cflow'!C93</f>
        <v>1192.2</v>
      </c>
      <c r="N20" s="647">
        <f>-'Balance Sheet and Cflow'!D93</f>
        <v>1165</v>
      </c>
      <c r="O20" s="647">
        <f>-'Balance Sheet and Cflow'!E93</f>
        <v>1073</v>
      </c>
      <c r="P20" s="647">
        <f>-'Balance Sheet and Cflow'!F93</f>
        <v>1191</v>
      </c>
      <c r="Q20" s="647">
        <f>-'Balance Sheet and Cflow'!G93</f>
        <v>1362</v>
      </c>
      <c r="R20" s="647">
        <f>-'Balance Sheet and Cflow'!H93</f>
        <v>1366</v>
      </c>
      <c r="S20" s="647">
        <f>-'Balance Sheet and Cflow'!I93</f>
        <v>1427</v>
      </c>
      <c r="T20" s="647">
        <f>-'Balance Sheet and Cflow'!J93</f>
        <v>991</v>
      </c>
      <c r="U20" s="647">
        <f>-'Balance Sheet and Cflow'!K93</f>
        <v>1052</v>
      </c>
      <c r="V20" s="647">
        <f>-'Balance Sheet and Cflow'!L93</f>
        <v>1021</v>
      </c>
      <c r="W20" s="647">
        <f>-'Balance Sheet and Cflow'!M93</f>
        <v>1068</v>
      </c>
      <c r="X20" s="647">
        <f>-'Balance Sheet and Cflow'!N93</f>
        <v>1075</v>
      </c>
      <c r="Y20" s="647">
        <f>-'Balance Sheet and Cflow'!O93</f>
        <v>1413</v>
      </c>
      <c r="Z20" s="647">
        <f>-'Balance Sheet and Cflow'!P93</f>
        <v>1520</v>
      </c>
      <c r="AA20" s="647">
        <f>-'Balance Sheet and Cflow'!Q93</f>
        <v>1408</v>
      </c>
      <c r="AB20" s="647">
        <f>-'Balance Sheet and Cflow'!R93</f>
        <v>1525</v>
      </c>
      <c r="AC20" s="647">
        <f>-'Balance Sheet and Cflow'!S93</f>
        <v>1463</v>
      </c>
      <c r="AD20" s="647">
        <f>-'Balance Sheet and Cflow'!T93</f>
        <v>1494</v>
      </c>
      <c r="AE20" s="647">
        <f>-'Balance Sheet and Cflow'!U93</f>
        <v>1406.16</v>
      </c>
      <c r="AF20" s="647">
        <f>-'Balance Sheet and Cflow'!V93</f>
        <v>1401.3436602489246</v>
      </c>
      <c r="AG20" s="647">
        <f>-'Balance Sheet and Cflow'!W93</f>
        <v>1403.5416622469752</v>
      </c>
      <c r="AH20" s="647">
        <f>-'Balance Sheet and Cflow'!X93</f>
        <v>1411.8730140733828</v>
      </c>
      <c r="AI20" s="647">
        <f>-'Balance Sheet and Cflow'!Y93</f>
        <v>1349.1591651138999</v>
      </c>
      <c r="AJ20" s="647">
        <f>-'Balance Sheet and Cflow'!Z93</f>
        <v>1300.3439035739173</v>
      </c>
      <c r="AK20" s="647">
        <f>-'Balance Sheet and Cflow'!AA93</f>
        <v>1226.6014365875315</v>
      </c>
      <c r="AL20" s="11"/>
      <c r="AM20" s="11"/>
      <c r="AN20" s="11"/>
    </row>
    <row r="21" spans="2:40">
      <c r="B21" s="7" t="s">
        <v>296</v>
      </c>
      <c r="C21" s="9"/>
      <c r="D21" s="10"/>
      <c r="E21" s="10"/>
      <c r="F21" s="10"/>
      <c r="G21" s="10"/>
      <c r="H21" s="10"/>
      <c r="I21" s="10"/>
      <c r="J21" s="10"/>
      <c r="K21" s="10"/>
      <c r="L21" s="647">
        <f>-'Balance Sheet and Cflow'!B105</f>
        <v>0</v>
      </c>
      <c r="M21" s="647">
        <f>-'Balance Sheet and Cflow'!C105</f>
        <v>0</v>
      </c>
      <c r="N21" s="647">
        <f>-'Balance Sheet and Cflow'!D105</f>
        <v>0</v>
      </c>
      <c r="O21" s="647">
        <f>-'Balance Sheet and Cflow'!E105</f>
        <v>0</v>
      </c>
      <c r="P21" s="647">
        <f>-'Balance Sheet and Cflow'!F105</f>
        <v>0</v>
      </c>
      <c r="Q21" s="647">
        <f>-'Balance Sheet and Cflow'!G105</f>
        <v>0</v>
      </c>
      <c r="R21" s="647">
        <f>-'Balance Sheet and Cflow'!H105</f>
        <v>0</v>
      </c>
      <c r="S21" s="647">
        <f>-'Balance Sheet and Cflow'!I105</f>
        <v>0</v>
      </c>
      <c r="T21" s="647">
        <f>-'Balance Sheet and Cflow'!J105</f>
        <v>279</v>
      </c>
      <c r="U21" s="647">
        <f>-'Balance Sheet and Cflow'!K105</f>
        <v>341</v>
      </c>
      <c r="V21" s="647">
        <f>-'Balance Sheet and Cflow'!L105</f>
        <v>399</v>
      </c>
      <c r="W21" s="647">
        <f>-'Balance Sheet and Cflow'!M105</f>
        <v>0</v>
      </c>
      <c r="X21" s="647">
        <f>-'Balance Sheet and Cflow'!N105</f>
        <v>190</v>
      </c>
      <c r="Y21" s="647">
        <f>-'Balance Sheet and Cflow'!O105</f>
        <v>62</v>
      </c>
      <c r="Z21" s="647">
        <f>-'Balance Sheet and Cflow'!P105</f>
        <v>181</v>
      </c>
      <c r="AA21" s="647">
        <f>-'Balance Sheet and Cflow'!Q105</f>
        <v>313</v>
      </c>
      <c r="AB21" s="647">
        <f>-'Balance Sheet and Cflow'!R105</f>
        <v>378</v>
      </c>
      <c r="AC21" s="647">
        <f>-'Balance Sheet and Cflow'!S105</f>
        <v>317</v>
      </c>
      <c r="AD21" s="647">
        <f>-'Balance Sheet and Cflow'!T105</f>
        <v>318</v>
      </c>
      <c r="AE21" s="647">
        <f>-'Balance Sheet and Cflow'!U105</f>
        <v>306.45999999999998</v>
      </c>
      <c r="AF21" s="647">
        <f>-'Balance Sheet and Cflow'!V105</f>
        <v>314.87035923926828</v>
      </c>
      <c r="AG21" s="647">
        <f>-'Balance Sheet and Cflow'!W105</f>
        <v>322.80112605321978</v>
      </c>
      <c r="AH21" s="647">
        <f>-'Balance Sheet and Cflow'!X105</f>
        <v>319.57779222251634</v>
      </c>
      <c r="AI21" s="647">
        <f>-'Balance Sheet and Cflow'!Y105</f>
        <v>369.11775252753114</v>
      </c>
      <c r="AJ21" s="647">
        <f>-'Balance Sheet and Cflow'!Z105</f>
        <v>415.52723977522379</v>
      </c>
      <c r="AK21" s="647">
        <f>-'Balance Sheet and Cflow'!AA105</f>
        <v>458.12555552571791</v>
      </c>
      <c r="AL21" s="11"/>
      <c r="AM21" s="11"/>
      <c r="AN21" s="11"/>
    </row>
    <row r="22" spans="2:40">
      <c r="B22" s="8" t="s">
        <v>297</v>
      </c>
      <c r="C22" s="9"/>
      <c r="D22" s="10"/>
      <c r="E22" s="10"/>
      <c r="F22" s="10"/>
      <c r="G22" s="10"/>
      <c r="H22" s="10"/>
      <c r="I22" s="10"/>
      <c r="J22" s="10"/>
      <c r="K22" s="10"/>
      <c r="L22" s="647">
        <f>'Income Statement'!B508</f>
        <v>1124</v>
      </c>
      <c r="M22" s="647">
        <f>'Income Statement'!G508</f>
        <v>802.8</v>
      </c>
      <c r="N22" s="647">
        <f>'Income Statement'!L508</f>
        <v>590</v>
      </c>
      <c r="O22" s="647">
        <f>'Income Statement'!Q508</f>
        <v>1444</v>
      </c>
      <c r="P22" s="647">
        <f>'Income Statement'!V508</f>
        <v>989</v>
      </c>
      <c r="Q22" s="647">
        <f>'Income Statement'!AA508</f>
        <v>990</v>
      </c>
      <c r="R22" s="647">
        <f>'Income Statement'!AF508</f>
        <v>815</v>
      </c>
      <c r="S22" s="647">
        <f>'Income Statement'!AK508</f>
        <v>1140</v>
      </c>
      <c r="T22" s="647">
        <f>'Income Statement'!AP508</f>
        <v>1304</v>
      </c>
      <c r="U22" s="647">
        <f>'Income Statement'!AU508</f>
        <v>1189</v>
      </c>
      <c r="V22" s="647">
        <f>'Income Statement'!AZ508</f>
        <v>1028</v>
      </c>
      <c r="W22" s="647">
        <f>'Income Statement'!BE508</f>
        <v>1038</v>
      </c>
      <c r="X22" s="647">
        <f>'Income Statement'!BJ508</f>
        <v>1213</v>
      </c>
      <c r="Y22" s="647">
        <f>'Income Statement'!BO508</f>
        <v>1245</v>
      </c>
      <c r="Z22" s="647">
        <f>'Income Statement'!BT508</f>
        <v>1187</v>
      </c>
      <c r="AA22" s="647">
        <f>'Income Statement'!BY508</f>
        <v>1114</v>
      </c>
      <c r="AB22" s="647">
        <f>'Income Statement'!CD508</f>
        <v>813</v>
      </c>
      <c r="AC22" s="647">
        <f>'Income Statement'!CI508</f>
        <v>674</v>
      </c>
      <c r="AD22" s="647">
        <f>'Income Statement'!CN508</f>
        <v>986</v>
      </c>
      <c r="AE22" s="647">
        <f>'Income Statement'!CQ508</f>
        <v>1094.558857979579</v>
      </c>
      <c r="AF22" s="647">
        <f>'Income Statement'!CR508</f>
        <v>1009.534532260039</v>
      </c>
      <c r="AG22" s="647">
        <f>'Income Statement'!CS508</f>
        <v>1034.2470765174933</v>
      </c>
      <c r="AH22" s="647">
        <f>'Income Statement'!CT508</f>
        <v>1060.3356434492387</v>
      </c>
      <c r="AI22" s="647">
        <f>'Income Statement'!CU508</f>
        <v>1085.6165288458519</v>
      </c>
      <c r="AJ22" s="647">
        <f>'Income Statement'!CV508</f>
        <v>1111.260654890877</v>
      </c>
      <c r="AK22" s="647">
        <f>'Income Statement'!CW508</f>
        <v>1516.4251017295933</v>
      </c>
      <c r="AL22" s="11"/>
      <c r="AM22" s="11"/>
      <c r="AN22" s="11"/>
    </row>
    <row r="23" spans="2:40">
      <c r="B23" s="8" t="s">
        <v>298</v>
      </c>
      <c r="C23" s="9"/>
      <c r="D23" s="10"/>
      <c r="E23" s="10"/>
      <c r="F23" s="10"/>
      <c r="G23" s="10"/>
      <c r="H23" s="10"/>
      <c r="I23" s="10"/>
      <c r="J23" s="10">
        <f>J19-J22</f>
        <v>0</v>
      </c>
      <c r="K23" s="10">
        <f>K19-K22</f>
        <v>0</v>
      </c>
      <c r="L23" s="647">
        <f>L19-L22</f>
        <v>-1124</v>
      </c>
      <c r="M23" s="647">
        <f>M19-M22</f>
        <v>3599.4000000000005</v>
      </c>
      <c r="N23" s="647">
        <f t="shared" ref="N23:Y23" si="11">N19-N22</f>
        <v>3630</v>
      </c>
      <c r="O23" s="647">
        <f t="shared" si="11"/>
        <v>2972</v>
      </c>
      <c r="P23" s="647">
        <f t="shared" si="11"/>
        <v>3434</v>
      </c>
      <c r="Q23" s="647">
        <f t="shared" si="11"/>
        <v>3369</v>
      </c>
      <c r="R23" s="647">
        <f t="shared" si="11"/>
        <v>3549</v>
      </c>
      <c r="S23" s="647">
        <f t="shared" si="11"/>
        <v>3132</v>
      </c>
      <c r="T23" s="647">
        <f t="shared" si="11"/>
        <v>3027</v>
      </c>
      <c r="U23" s="647">
        <f t="shared" si="11"/>
        <v>3362</v>
      </c>
      <c r="V23" s="647">
        <f t="shared" si="11"/>
        <v>3280</v>
      </c>
      <c r="W23" s="647">
        <f t="shared" si="11"/>
        <v>2779</v>
      </c>
      <c r="X23" s="647">
        <f t="shared" si="11"/>
        <v>2678</v>
      </c>
      <c r="Y23" s="647">
        <f t="shared" si="11"/>
        <v>2514</v>
      </c>
      <c r="Z23" s="647">
        <f t="shared" ref="Z23:AG23" si="12">Z19-Z22</f>
        <v>2671</v>
      </c>
      <c r="AA23" s="647">
        <f t="shared" si="12"/>
        <v>2815</v>
      </c>
      <c r="AB23" s="647">
        <f t="shared" si="12"/>
        <v>3147</v>
      </c>
      <c r="AC23" s="647">
        <f t="shared" si="12"/>
        <v>3448</v>
      </c>
      <c r="AD23" s="647">
        <f t="shared" si="12"/>
        <v>3343</v>
      </c>
      <c r="AE23" s="647">
        <f t="shared" si="12"/>
        <v>3427.0344138242785</v>
      </c>
      <c r="AF23" s="647">
        <f t="shared" si="12"/>
        <v>3643.2401142052895</v>
      </c>
      <c r="AG23" s="647">
        <f t="shared" si="12"/>
        <v>3748.4807060554476</v>
      </c>
      <c r="AH23" s="647">
        <f t="shared" ref="AH23:AK23" si="13">AH19-AH22</f>
        <v>3860.2770785778475</v>
      </c>
      <c r="AI23" s="647">
        <f t="shared" si="13"/>
        <v>3969.4387053511377</v>
      </c>
      <c r="AJ23" s="647">
        <f t="shared" si="13"/>
        <v>4080.8626034257732</v>
      </c>
      <c r="AK23" s="647">
        <f t="shared" si="13"/>
        <v>3815.6459748583843</v>
      </c>
      <c r="AL23" s="11"/>
      <c r="AM23" s="11"/>
      <c r="AN23" s="11"/>
    </row>
    <row r="24" spans="2:40">
      <c r="B24" s="8" t="s">
        <v>299</v>
      </c>
      <c r="C24" s="9"/>
      <c r="D24" s="10"/>
      <c r="E24" s="10"/>
      <c r="F24" s="10"/>
      <c r="G24" s="10"/>
      <c r="H24" s="10"/>
      <c r="I24" s="10"/>
      <c r="J24" s="10"/>
      <c r="K24" s="10"/>
      <c r="L24" s="647">
        <f>L23*(1-DCF!$C47)</f>
        <v>-843</v>
      </c>
      <c r="M24" s="647">
        <f>M23*(1-DCF!$C47)</f>
        <v>2699.55</v>
      </c>
      <c r="N24" s="647">
        <f>N23*(1-DCF!$C47)</f>
        <v>2722.5</v>
      </c>
      <c r="O24" s="647">
        <f>O23*(1-DCF!$C47)</f>
        <v>2229</v>
      </c>
      <c r="P24" s="647">
        <f>P23*(1-DCF!$C47)</f>
        <v>2575.5</v>
      </c>
      <c r="Q24" s="647">
        <f>Q23*(1-DCF!$C47)</f>
        <v>2526.75</v>
      </c>
      <c r="R24" s="647">
        <f>R23*(1-DCF!$C47)</f>
        <v>2661.75</v>
      </c>
      <c r="S24" s="647">
        <f>S23*(1-DCF!$C47)</f>
        <v>2349</v>
      </c>
      <c r="T24" s="647">
        <f>T23*(1-DCF!$C47)</f>
        <v>2270.25</v>
      </c>
      <c r="U24" s="647">
        <f>U23*(1-DCF!$C47)</f>
        <v>2521.5</v>
      </c>
      <c r="V24" s="647">
        <f>V23*(1-DCF!$C47)</f>
        <v>2460</v>
      </c>
      <c r="W24" s="647">
        <f>W23*(1-DCF!$C47)</f>
        <v>2084.25</v>
      </c>
      <c r="X24" s="647">
        <f>X23*(1-DCF!$C47)</f>
        <v>2008.5</v>
      </c>
      <c r="Y24" s="647">
        <f>Y23*(1-DCF!$C47)</f>
        <v>1885.5</v>
      </c>
      <c r="Z24" s="647">
        <f>Z23*(1-DCF!$C47)</f>
        <v>2003.25</v>
      </c>
      <c r="AA24" s="647">
        <f>AA23*(1-DCF!$C47)</f>
        <v>2111.25</v>
      </c>
      <c r="AB24" s="647">
        <f>AB23*(1-DCF!$C47)</f>
        <v>2360.25</v>
      </c>
      <c r="AC24" s="647">
        <f>AC23*(1-DCF!$C47)</f>
        <v>2586</v>
      </c>
      <c r="AD24" s="647">
        <f>AD23*(1-DCF!$C47)</f>
        <v>2507.25</v>
      </c>
      <c r="AE24" s="647">
        <f>AE23*(1-DCF!$C47)</f>
        <v>2570.275810368209</v>
      </c>
      <c r="AF24" s="647">
        <f>AF23*(1-DCF!$C47)</f>
        <v>2732.4300856539671</v>
      </c>
      <c r="AG24" s="647">
        <f>AG23*(1-DCF!$C47)</f>
        <v>2811.3605295415855</v>
      </c>
      <c r="AH24" s="647">
        <f>AH23*(1-DCF!$C47)</f>
        <v>2895.2078089333854</v>
      </c>
      <c r="AI24" s="647">
        <f>AI23*(1-DCF!$C47)</f>
        <v>2977.0790290133532</v>
      </c>
      <c r="AJ24" s="647">
        <f>AJ23*(1-DCF!$C47)</f>
        <v>3060.6469525693301</v>
      </c>
      <c r="AK24" s="647">
        <f>AK23*(1-DCF!$C47)</f>
        <v>2861.7344811437883</v>
      </c>
      <c r="AL24" s="11"/>
      <c r="AM24" s="11"/>
      <c r="AN24" s="11"/>
    </row>
    <row r="25" spans="2:40">
      <c r="B25" s="8" t="s">
        <v>284</v>
      </c>
      <c r="C25" s="9"/>
      <c r="D25" s="10"/>
      <c r="E25" s="10"/>
      <c r="F25" s="10"/>
      <c r="G25" s="10"/>
      <c r="H25" s="10"/>
      <c r="I25" s="10"/>
      <c r="J25" s="10">
        <f>J7</f>
        <v>0</v>
      </c>
      <c r="K25" s="10">
        <f>K7</f>
        <v>0</v>
      </c>
      <c r="L25" s="647">
        <f>L7</f>
        <v>0</v>
      </c>
      <c r="M25" s="647">
        <f>M7</f>
        <v>0</v>
      </c>
      <c r="N25" s="647">
        <f t="shared" ref="N25:Y25" si="14">N7</f>
        <v>3874</v>
      </c>
      <c r="O25" s="647">
        <f t="shared" si="14"/>
        <v>4557</v>
      </c>
      <c r="P25" s="647">
        <f t="shared" si="14"/>
        <v>5437</v>
      </c>
      <c r="Q25" s="647">
        <f t="shared" si="14"/>
        <v>6035.8657954545452</v>
      </c>
      <c r="R25" s="647">
        <f t="shared" si="14"/>
        <v>6715</v>
      </c>
      <c r="S25" s="647">
        <f t="shared" si="14"/>
        <v>7467</v>
      </c>
      <c r="T25" s="647">
        <f t="shared" si="14"/>
        <v>8582</v>
      </c>
      <c r="U25" s="647">
        <f t="shared" si="14"/>
        <v>9182.1881259346228</v>
      </c>
      <c r="V25" s="647">
        <f t="shared" si="14"/>
        <v>7044.1881259346228</v>
      </c>
      <c r="W25" s="647">
        <f t="shared" si="14"/>
        <v>7079.9491259346223</v>
      </c>
      <c r="X25" s="647">
        <f t="shared" si="14"/>
        <v>8365.1881259346228</v>
      </c>
      <c r="Y25" s="647">
        <f t="shared" si="14"/>
        <v>9028.1881259346228</v>
      </c>
      <c r="Z25" s="647">
        <f t="shared" ref="Z25:AG25" si="15">Z7</f>
        <v>8899.1881259346228</v>
      </c>
      <c r="AA25" s="647">
        <f t="shared" si="15"/>
        <v>9237.1881259346228</v>
      </c>
      <c r="AB25" s="647">
        <f t="shared" si="15"/>
        <v>9203.1881259346228</v>
      </c>
      <c r="AC25" s="647">
        <f t="shared" si="15"/>
        <v>8825.1881259346228</v>
      </c>
      <c r="AD25" s="647">
        <f t="shared" si="15"/>
        <v>8522.1881259346228</v>
      </c>
      <c r="AE25" s="647">
        <f t="shared" si="15"/>
        <v>7994.3728880745612</v>
      </c>
      <c r="AF25" s="647">
        <f t="shared" si="15"/>
        <v>7371.538076757045</v>
      </c>
      <c r="AG25" s="647">
        <f t="shared" si="15"/>
        <v>6750.5267779453279</v>
      </c>
      <c r="AH25" s="647">
        <f t="shared" ref="AH25:AK25" si="16">AH7</f>
        <v>6134.7882294221918</v>
      </c>
      <c r="AI25" s="647">
        <f t="shared" si="16"/>
        <v>5544.1796376897373</v>
      </c>
      <c r="AJ25" s="647">
        <f t="shared" si="16"/>
        <v>4966.0278012041254</v>
      </c>
      <c r="AK25" s="647">
        <f t="shared" si="16"/>
        <v>4805.1774673003956</v>
      </c>
      <c r="AL25" s="11"/>
      <c r="AM25" s="11"/>
      <c r="AN25" s="11"/>
    </row>
    <row r="26" spans="2:40">
      <c r="B26" s="8" t="s">
        <v>300</v>
      </c>
      <c r="C26" s="9"/>
      <c r="D26" s="10"/>
      <c r="E26" s="10"/>
      <c r="F26" s="10"/>
      <c r="G26" s="10"/>
      <c r="H26" s="10"/>
      <c r="I26" s="10"/>
      <c r="J26" s="10"/>
      <c r="K26" s="10"/>
      <c r="L26" s="647">
        <v>0</v>
      </c>
      <c r="M26" s="647">
        <v>0</v>
      </c>
      <c r="N26" s="647">
        <v>0</v>
      </c>
      <c r="O26" s="647">
        <v>0</v>
      </c>
      <c r="P26" s="647">
        <v>0</v>
      </c>
      <c r="Q26" s="647">
        <v>0</v>
      </c>
      <c r="R26" s="647">
        <v>0</v>
      </c>
      <c r="S26" s="647">
        <v>0</v>
      </c>
      <c r="T26" s="647">
        <v>0</v>
      </c>
      <c r="U26" s="647">
        <v>0</v>
      </c>
      <c r="V26" s="647">
        <v>0</v>
      </c>
      <c r="W26" s="647">
        <v>0</v>
      </c>
      <c r="X26" s="647">
        <v>0</v>
      </c>
      <c r="Y26" s="647">
        <v>0</v>
      </c>
      <c r="Z26" s="647">
        <v>0</v>
      </c>
      <c r="AA26" s="647">
        <v>0</v>
      </c>
      <c r="AB26" s="647">
        <v>0</v>
      </c>
      <c r="AC26" s="647">
        <v>0</v>
      </c>
      <c r="AD26" s="647">
        <v>0</v>
      </c>
      <c r="AE26" s="647">
        <v>0</v>
      </c>
      <c r="AF26" s="647">
        <v>0</v>
      </c>
      <c r="AG26" s="647">
        <v>0</v>
      </c>
      <c r="AH26" s="647">
        <v>0</v>
      </c>
      <c r="AI26" s="647">
        <v>0</v>
      </c>
      <c r="AJ26" s="647">
        <v>0</v>
      </c>
      <c r="AK26" s="647">
        <v>0</v>
      </c>
      <c r="AL26" s="11"/>
      <c r="AM26" s="11"/>
      <c r="AN26" s="11"/>
    </row>
    <row r="27" spans="2:40">
      <c r="B27" s="8" t="s">
        <v>301</v>
      </c>
      <c r="C27" s="9"/>
      <c r="D27" s="10"/>
      <c r="E27" s="10"/>
      <c r="F27" s="10"/>
      <c r="G27" s="10"/>
      <c r="H27" s="10"/>
      <c r="I27" s="10"/>
      <c r="J27" s="10"/>
      <c r="K27" s="10"/>
      <c r="L27" s="647">
        <f>'Balance Sheet and Cflow'!B37</f>
        <v>0</v>
      </c>
      <c r="M27" s="647">
        <f>'Balance Sheet and Cflow'!C37</f>
        <v>0</v>
      </c>
      <c r="N27" s="647">
        <f>'Balance Sheet and Cflow'!D37</f>
        <v>8945</v>
      </c>
      <c r="O27" s="647">
        <f>'Balance Sheet and Cflow'!E37</f>
        <v>8667</v>
      </c>
      <c r="P27" s="647">
        <f>'Balance Sheet and Cflow'!F37</f>
        <v>8088</v>
      </c>
      <c r="Q27" s="647">
        <f>'Balance Sheet and Cflow'!G37</f>
        <v>7081</v>
      </c>
      <c r="R27" s="647">
        <f>'Balance Sheet and Cflow'!H37</f>
        <v>6016</v>
      </c>
      <c r="S27" s="647">
        <f>'Balance Sheet and Cflow'!I37</f>
        <v>4739</v>
      </c>
      <c r="T27" s="647">
        <f>'Balance Sheet and Cflow'!J37</f>
        <v>4220</v>
      </c>
      <c r="U27" s="647">
        <f>'Balance Sheet and Cflow'!K37</f>
        <v>4721</v>
      </c>
      <c r="V27" s="647">
        <f>'Balance Sheet and Cflow'!L37</f>
        <v>7041</v>
      </c>
      <c r="W27" s="647">
        <f>'Balance Sheet and Cflow'!M37</f>
        <v>7149</v>
      </c>
      <c r="X27" s="647">
        <f>'Balance Sheet and Cflow'!N37</f>
        <v>7070</v>
      </c>
      <c r="Y27" s="647">
        <f>'Balance Sheet and Cflow'!O37</f>
        <v>7050</v>
      </c>
      <c r="Z27" s="647">
        <f>'Balance Sheet and Cflow'!P37</f>
        <v>6725</v>
      </c>
      <c r="AA27" s="647">
        <f>'Balance Sheet and Cflow'!Q37</f>
        <v>6371</v>
      </c>
      <c r="AB27" s="647">
        <f>'Balance Sheet and Cflow'!R37</f>
        <v>5744</v>
      </c>
      <c r="AC27" s="647">
        <f>'Balance Sheet and Cflow'!S37</f>
        <v>5906</v>
      </c>
      <c r="AD27" s="647">
        <f>'Balance Sheet and Cflow'!T37</f>
        <v>6147</v>
      </c>
      <c r="AE27" s="647">
        <f>'Balance Sheet and Cflow'!U37</f>
        <v>6326.4428117391953</v>
      </c>
      <c r="AF27" s="647">
        <f>'Balance Sheet and Cflow'!V37</f>
        <v>6518.8999716081426</v>
      </c>
      <c r="AG27" s="647">
        <f>'Balance Sheet and Cflow'!W37</f>
        <v>6722.9679864240825</v>
      </c>
      <c r="AH27" s="647">
        <f>'Balance Sheet and Cflow'!X37</f>
        <v>6939.6247050668435</v>
      </c>
      <c r="AI27" s="647">
        <f>'Balance Sheet and Cflow'!Y37</f>
        <v>7169.9798528720876</v>
      </c>
      <c r="AJ27" s="647">
        <f>'Balance Sheet and Cflow'!Z37</f>
        <v>7413.3160790027569</v>
      </c>
      <c r="AK27" s="647">
        <f>'Balance Sheet and Cflow'!AA37</f>
        <v>7671.9902211974104</v>
      </c>
      <c r="AL27" s="11"/>
      <c r="AM27" s="11"/>
      <c r="AN27" s="11"/>
    </row>
    <row r="28" spans="2:40">
      <c r="B28" s="8" t="s">
        <v>302</v>
      </c>
      <c r="C28" s="9"/>
      <c r="D28" s="10"/>
      <c r="E28" s="10"/>
      <c r="F28" s="10"/>
      <c r="G28" s="10"/>
      <c r="H28" s="10"/>
      <c r="I28" s="10"/>
      <c r="J28" s="10"/>
      <c r="K28" s="10"/>
      <c r="L28" s="647">
        <f>'Balance Sheet and Cflow'!B126</f>
        <v>-8.6000000000000014</v>
      </c>
      <c r="M28" s="647">
        <f>'Balance Sheet and Cflow'!C126</f>
        <v>17.899999999999999</v>
      </c>
      <c r="N28" s="647">
        <f>'Balance Sheet and Cflow'!D126</f>
        <v>-48</v>
      </c>
      <c r="O28" s="647">
        <f>'Balance Sheet and Cflow'!E126</f>
        <v>-211</v>
      </c>
      <c r="P28" s="647">
        <f>'Balance Sheet and Cflow'!F126</f>
        <v>-228</v>
      </c>
      <c r="Q28" s="647">
        <f>'Balance Sheet and Cflow'!G126</f>
        <v>-288</v>
      </c>
      <c r="R28" s="647">
        <f>'Balance Sheet and Cflow'!H126</f>
        <v>-329</v>
      </c>
      <c r="S28" s="647">
        <f>'Balance Sheet and Cflow'!I126</f>
        <v>-389</v>
      </c>
      <c r="T28" s="647">
        <f>'Balance Sheet and Cflow'!J126</f>
        <v>-412</v>
      </c>
      <c r="U28" s="647">
        <f>'Balance Sheet and Cflow'!K126</f>
        <v>-669</v>
      </c>
      <c r="V28" s="647">
        <f>'Balance Sheet and Cflow'!L126</f>
        <v>-384</v>
      </c>
      <c r="W28" s="647">
        <f>'Balance Sheet and Cflow'!M126</f>
        <v>-344.279</v>
      </c>
      <c r="X28" s="647">
        <f>'Balance Sheet and Cflow'!N126</f>
        <v>-399</v>
      </c>
      <c r="Y28" s="647">
        <f>'Balance Sheet and Cflow'!O126</f>
        <v>-405</v>
      </c>
      <c r="Z28" s="647">
        <f>'Balance Sheet and Cflow'!P126</f>
        <v>-413</v>
      </c>
      <c r="AA28" s="647">
        <f>'Balance Sheet and Cflow'!Q126</f>
        <v>-407</v>
      </c>
      <c r="AB28" s="647">
        <f>'Balance Sheet and Cflow'!R126</f>
        <v>-446</v>
      </c>
      <c r="AC28" s="647">
        <f>'Balance Sheet and Cflow'!S126</f>
        <v>-447</v>
      </c>
      <c r="AD28" s="647">
        <f>'Balance Sheet and Cflow'!T126</f>
        <v>-432</v>
      </c>
      <c r="AE28" s="647">
        <f>'Balance Sheet and Cflow'!U126</f>
        <v>-432.2472885032538</v>
      </c>
      <c r="AF28" s="647">
        <f>'Balance Sheet and Cflow'!V126</f>
        <v>-404.22957606993174</v>
      </c>
      <c r="AG28" s="647">
        <f>'Balance Sheet and Cflow'!W126</f>
        <v>-371.2795361682812</v>
      </c>
      <c r="AH28" s="647">
        <f>'Balance Sheet and Cflow'!X126</f>
        <v>-338.42089043880958</v>
      </c>
      <c r="AI28" s="647">
        <f>'Balance Sheet and Cflow'!Y126</f>
        <v>-305.81839984445975</v>
      </c>
      <c r="AJ28" s="647">
        <f>'Balance Sheet and Cflow'!Z126</f>
        <v>-274.54280377027874</v>
      </c>
      <c r="AK28" s="647">
        <f>'Balance Sheet and Cflow'!AA126</f>
        <v>-243.91394578134179</v>
      </c>
      <c r="AL28" s="11"/>
      <c r="AM28" s="11"/>
      <c r="AN28" s="11"/>
    </row>
    <row r="29" spans="2:40">
      <c r="B29" s="8" t="s">
        <v>303</v>
      </c>
      <c r="C29" s="9"/>
      <c r="D29" s="10"/>
      <c r="E29" s="10"/>
      <c r="F29" s="10"/>
      <c r="G29" s="10"/>
      <c r="H29" s="10"/>
      <c r="I29" s="10"/>
      <c r="J29" s="10"/>
      <c r="K29" s="10"/>
      <c r="L29" s="647">
        <f>'Income Statement'!B484</f>
        <v>1979.9</v>
      </c>
      <c r="M29" s="647">
        <f>'Income Statement'!G484</f>
        <v>2400.6000000000013</v>
      </c>
      <c r="N29" s="647">
        <f>'Income Statement'!L484</f>
        <v>2232</v>
      </c>
      <c r="O29" s="647">
        <f>'Income Statement'!Q484</f>
        <v>2295</v>
      </c>
      <c r="P29" s="647">
        <f>'Income Statement'!V484</f>
        <v>2531</v>
      </c>
      <c r="Q29" s="647">
        <f>'Income Statement'!AA484</f>
        <v>1993</v>
      </c>
      <c r="R29" s="647">
        <f>'Income Statement'!AF484</f>
        <v>2103</v>
      </c>
      <c r="S29" s="647">
        <f>'Income Statement'!AK484</f>
        <v>1607.561874065377</v>
      </c>
      <c r="T29" s="647">
        <f>'Income Statement'!AP484</f>
        <v>2064.1792126289793</v>
      </c>
      <c r="U29" s="647">
        <f>'Income Statement'!AU484</f>
        <v>1971</v>
      </c>
      <c r="V29" s="647">
        <f>'Income Statement'!AZ484</f>
        <v>2061</v>
      </c>
      <c r="W29" s="647">
        <f>'Income Statement'!BE484</f>
        <v>1765</v>
      </c>
      <c r="X29" s="647">
        <f>'Income Statement'!BJ484</f>
        <v>1527</v>
      </c>
      <c r="Y29" s="647">
        <f>'Income Statement'!BO484</f>
        <v>1410</v>
      </c>
      <c r="Z29" s="647">
        <f>'Income Statement'!BT484</f>
        <v>1216</v>
      </c>
      <c r="AA29" s="647">
        <f>'Income Statement'!BY484</f>
        <v>1151</v>
      </c>
      <c r="AB29" s="647">
        <f>'Income Statement'!CD484</f>
        <v>992</v>
      </c>
      <c r="AC29" s="647">
        <f>'Income Statement'!CI484</f>
        <v>1396</v>
      </c>
      <c r="AD29" s="647">
        <f>'Income Statement'!CN484</f>
        <v>1583</v>
      </c>
      <c r="AE29" s="647">
        <f>'Income Statement'!CQ484</f>
        <v>1794.4281173919558</v>
      </c>
      <c r="AF29" s="647">
        <f>'Income Statement'!CR484</f>
        <v>1924.5715986894747</v>
      </c>
      <c r="AG29" s="647">
        <f>'Income Statement'!CS484</f>
        <v>2040.680148159393</v>
      </c>
      <c r="AH29" s="647">
        <f>'Income Statement'!CT484</f>
        <v>2166.567186427606</v>
      </c>
      <c r="AI29" s="647">
        <f>'Income Statement'!CU484</f>
        <v>2303.5514780524445</v>
      </c>
      <c r="AJ29" s="647">
        <f>'Income Statement'!CV484</f>
        <v>2433.3622613066987</v>
      </c>
      <c r="AK29" s="647">
        <f>'Income Statement'!CW484</f>
        <v>2586.7414219465422</v>
      </c>
      <c r="AL29" s="11"/>
      <c r="AM29" s="11"/>
      <c r="AN29" s="11"/>
    </row>
    <row r="30" spans="2:40">
      <c r="B30" s="8" t="s">
        <v>220</v>
      </c>
      <c r="C30" s="9"/>
      <c r="D30" s="10"/>
      <c r="E30" s="10"/>
      <c r="F30" s="10"/>
      <c r="G30" s="10"/>
      <c r="H30" s="10"/>
      <c r="I30" s="10"/>
      <c r="J30" s="10"/>
      <c r="K30" s="10"/>
      <c r="L30" s="647">
        <f>'Balance Sheet and Cflow'!B271</f>
        <v>2015.5500000000002</v>
      </c>
      <c r="M30" s="647">
        <f>'Balance Sheet and Cflow'!C271</f>
        <v>2646.8780000000006</v>
      </c>
      <c r="N30" s="647">
        <f>'Balance Sheet and Cflow'!D271</f>
        <v>2232</v>
      </c>
      <c r="O30" s="647">
        <f>'Balance Sheet and Cflow'!E271</f>
        <v>2295</v>
      </c>
      <c r="P30" s="647">
        <f>'Balance Sheet and Cflow'!F271</f>
        <v>2531</v>
      </c>
      <c r="Q30" s="647">
        <f>'Balance Sheet and Cflow'!G271</f>
        <v>1993</v>
      </c>
      <c r="R30" s="647">
        <f>'Balance Sheet and Cflow'!H271</f>
        <v>2103</v>
      </c>
      <c r="S30" s="647">
        <f>'Balance Sheet and Cflow'!I271</f>
        <v>1607.561874065377</v>
      </c>
      <c r="T30" s="647">
        <f>'Balance Sheet and Cflow'!J271</f>
        <v>2064.1792126289793</v>
      </c>
      <c r="U30" s="647">
        <f>'Balance Sheet and Cflow'!K271</f>
        <v>1970.9999999999998</v>
      </c>
      <c r="V30" s="647">
        <f>'Balance Sheet and Cflow'!L271</f>
        <v>1975.399361022364</v>
      </c>
      <c r="W30" s="647">
        <f>'Balance Sheet and Cflow'!M271</f>
        <v>1835.6000000000001</v>
      </c>
      <c r="X30" s="647">
        <f>'Balance Sheet and Cflow'!N271</f>
        <v>1491.0907928388747</v>
      </c>
      <c r="Y30" s="647">
        <f>'Balance Sheet and Cflow'!O271</f>
        <v>1377.9999999999998</v>
      </c>
      <c r="Z30" s="647">
        <f>'Balance Sheet and Cflow'!P271</f>
        <v>1308.83631713555</v>
      </c>
      <c r="AA30" s="647">
        <f>'Balance Sheet and Cflow'!Q271</f>
        <v>1151.5142227070496</v>
      </c>
      <c r="AB30" s="647">
        <f>'Balance Sheet and Cflow'!R271</f>
        <v>993.01483375959072</v>
      </c>
      <c r="AC30" s="647">
        <f>'Balance Sheet and Cflow'!S271</f>
        <v>1397.6086359010326</v>
      </c>
      <c r="AD30" s="647">
        <f>'Balance Sheet and Cflow'!T271</f>
        <v>1562.6667752575906</v>
      </c>
      <c r="AE30" s="647">
        <f>'Balance Sheet and Cflow'!U271</f>
        <v>1793.9700629905794</v>
      </c>
      <c r="AF30" s="647">
        <f>'Balance Sheet and Cflow'!V271</f>
        <v>1924.5715986894747</v>
      </c>
      <c r="AG30" s="647">
        <f>'Balance Sheet and Cflow'!W271</f>
        <v>2040.680148159393</v>
      </c>
      <c r="AH30" s="647">
        <f>'Balance Sheet and Cflow'!X271</f>
        <v>2166.567186427606</v>
      </c>
      <c r="AI30" s="647">
        <f>'Balance Sheet and Cflow'!Y271</f>
        <v>2303.5514780524445</v>
      </c>
      <c r="AJ30" s="647">
        <f>'Balance Sheet and Cflow'!Z271</f>
        <v>2433.3622613066987</v>
      </c>
      <c r="AK30" s="647">
        <f>'Balance Sheet and Cflow'!AA271</f>
        <v>2586.7414219465422</v>
      </c>
      <c r="AL30" s="11"/>
      <c r="AM30" s="11"/>
      <c r="AN30" s="11"/>
    </row>
    <row r="31" spans="2:40">
      <c r="B31" s="8" t="s">
        <v>304</v>
      </c>
      <c r="C31" s="9"/>
      <c r="D31" s="10"/>
      <c r="E31" s="10"/>
      <c r="F31" s="10"/>
      <c r="G31" s="10"/>
      <c r="H31" s="10"/>
      <c r="I31" s="10"/>
      <c r="J31" s="10">
        <f>J30+J20-J22</f>
        <v>0</v>
      </c>
      <c r="K31" s="10"/>
      <c r="L31" s="647">
        <f>'Balance Sheet and Cflow'!B303</f>
        <v>2269.6</v>
      </c>
      <c r="M31" s="647">
        <f>'Balance Sheet and Cflow'!C303</f>
        <v>2906.8000000000006</v>
      </c>
      <c r="N31" s="647">
        <f>'Balance Sheet and Cflow'!D303</f>
        <v>2975</v>
      </c>
      <c r="O31" s="647">
        <f>'Balance Sheet and Cflow'!E303</f>
        <v>1699</v>
      </c>
      <c r="P31" s="647">
        <f>'Balance Sheet and Cflow'!F303</f>
        <v>2564</v>
      </c>
      <c r="Q31" s="647">
        <f>'Balance Sheet and Cflow'!G303</f>
        <v>2401.5122727272728</v>
      </c>
      <c r="R31" s="647">
        <f>'Balance Sheet and Cflow'!H303</f>
        <v>2400.4877272727272</v>
      </c>
      <c r="S31" s="647">
        <f>'Balance Sheet and Cflow'!I303</f>
        <v>2442.5618740653772</v>
      </c>
      <c r="T31" s="647">
        <f>'Balance Sheet and Cflow'!J303</f>
        <v>2007</v>
      </c>
      <c r="U31" s="647">
        <f>'Balance Sheet and Cflow'!K303</f>
        <v>1715</v>
      </c>
      <c r="V31" s="647">
        <f>'Balance Sheet and Cflow'!L303</f>
        <v>1774</v>
      </c>
      <c r="W31" s="647">
        <f>'Balance Sheet and Cflow'!M303</f>
        <v>2232.721</v>
      </c>
      <c r="X31" s="647">
        <f>'Balance Sheet and Cflow'!N303</f>
        <v>1818</v>
      </c>
      <c r="Y31" s="647">
        <f>'Balance Sheet and Cflow'!O303</f>
        <v>1681</v>
      </c>
      <c r="Z31" s="647">
        <f>'Balance Sheet and Cflow'!P303</f>
        <v>2154</v>
      </c>
      <c r="AA31" s="647">
        <f>'Balance Sheet and Cflow'!Q303</f>
        <v>1196</v>
      </c>
      <c r="AB31" s="647">
        <f>'Balance Sheet and Cflow'!R303</f>
        <v>1928</v>
      </c>
      <c r="AC31" s="647">
        <f>'Balance Sheet and Cflow'!S303</f>
        <v>2313</v>
      </c>
      <c r="AD31" s="647">
        <f>'Balance Sheet and Cflow'!T303</f>
        <v>2067</v>
      </c>
      <c r="AE31" s="647">
        <f>'Balance Sheet and Cflow'!U303</f>
        <v>2053.001041182044</v>
      </c>
      <c r="AF31" s="647">
        <f>'Balance Sheet and Cflow'!V303</f>
        <v>2256.4010553029411</v>
      </c>
      <c r="AG31" s="647">
        <f>'Balance Sheet and Cflow'!W303</f>
        <v>2349.636244282694</v>
      </c>
      <c r="AH31" s="647">
        <f>'Balance Sheet and Cflow'!X303</f>
        <v>2447.5348808458639</v>
      </c>
      <c r="AI31" s="647">
        <f>'Balance Sheet and Cflow'!Y303</f>
        <v>2535.9248355726963</v>
      </c>
      <c r="AJ31" s="647">
        <f>'Balance Sheet and Cflow'!Z303</f>
        <v>2629.3954004957914</v>
      </c>
      <c r="AK31" s="647">
        <f>'Balance Sheet and Cflow'!AA303</f>
        <v>2338.1209542491965</v>
      </c>
      <c r="AL31" s="11"/>
      <c r="AM31" s="11"/>
      <c r="AN31" s="11"/>
    </row>
    <row r="32" spans="2:40">
      <c r="B32" s="7" t="s">
        <v>305</v>
      </c>
      <c r="C32" s="9"/>
      <c r="D32" s="10"/>
      <c r="E32" s="12"/>
      <c r="F32" s="12"/>
      <c r="G32" s="12"/>
      <c r="H32" s="12"/>
      <c r="I32" s="12"/>
      <c r="J32" s="12"/>
      <c r="K32" s="12"/>
      <c r="L32" s="648"/>
      <c r="M32" s="648"/>
      <c r="N32" s="648"/>
      <c r="O32" s="648"/>
      <c r="P32" s="648"/>
      <c r="Q32" s="648"/>
      <c r="R32" s="648"/>
      <c r="S32" s="648"/>
      <c r="T32" s="648"/>
      <c r="U32" s="648"/>
      <c r="V32" s="648"/>
      <c r="W32" s="648"/>
      <c r="X32" s="648"/>
      <c r="Y32" s="648"/>
      <c r="Z32" s="648"/>
      <c r="AA32" s="648"/>
      <c r="AB32" s="648"/>
      <c r="AC32" s="648"/>
      <c r="AD32" s="648"/>
      <c r="AE32" s="648"/>
      <c r="AF32" s="648"/>
      <c r="AG32" s="648"/>
      <c r="AH32" s="648"/>
      <c r="AI32" s="648"/>
      <c r="AJ32" s="648"/>
      <c r="AK32" s="648"/>
      <c r="AL32" s="11"/>
      <c r="AM32" s="11"/>
      <c r="AN32" s="11"/>
    </row>
    <row r="33" spans="2:40">
      <c r="B33" s="8" t="s">
        <v>306</v>
      </c>
      <c r="C33" s="9"/>
      <c r="D33" s="10"/>
      <c r="E33" s="10"/>
      <c r="F33" s="10"/>
      <c r="G33" s="10"/>
      <c r="H33" s="10"/>
      <c r="I33" s="10"/>
      <c r="J33" s="10"/>
      <c r="K33" s="10">
        <f>K30+K20-K22</f>
        <v>0</v>
      </c>
      <c r="L33" s="647">
        <f>'Balance Sheet and Cflow'!B95</f>
        <v>0</v>
      </c>
      <c r="M33" s="647">
        <f>'Balance Sheet and Cflow'!C95</f>
        <v>0</v>
      </c>
      <c r="N33" s="647">
        <f>'Balance Sheet and Cflow'!D95</f>
        <v>4555</v>
      </c>
      <c r="O33" s="647">
        <f>'Balance Sheet and Cflow'!E95</f>
        <v>5007</v>
      </c>
      <c r="P33" s="647">
        <f>'Balance Sheet and Cflow'!F95</f>
        <v>4971</v>
      </c>
      <c r="Q33" s="647">
        <f>'Balance Sheet and Cflow'!G95</f>
        <v>4849</v>
      </c>
      <c r="R33" s="647">
        <f>'Balance Sheet and Cflow'!H95</f>
        <v>4038</v>
      </c>
      <c r="S33" s="647">
        <f>'Balance Sheet and Cflow'!I95</f>
        <v>4008</v>
      </c>
      <c r="T33" s="647">
        <f>'Balance Sheet and Cflow'!J95</f>
        <v>4227</v>
      </c>
      <c r="U33" s="647">
        <f>'Balance Sheet and Cflow'!K95</f>
        <v>4502</v>
      </c>
      <c r="V33" s="647">
        <f>'Balance Sheet and Cflow'!L95</f>
        <v>4841</v>
      </c>
      <c r="W33" s="647">
        <f>'Balance Sheet and Cflow'!M95</f>
        <v>5190</v>
      </c>
      <c r="X33" s="647">
        <f>'Balance Sheet and Cflow'!N95</f>
        <v>4922</v>
      </c>
      <c r="Y33" s="647">
        <f>'Balance Sheet and Cflow'!O95</f>
        <v>4931</v>
      </c>
      <c r="Z33" s="647">
        <f>'Balance Sheet and Cflow'!P95</f>
        <v>5193</v>
      </c>
      <c r="AA33" s="647">
        <f>'Balance Sheet and Cflow'!Q95</f>
        <v>5639</v>
      </c>
      <c r="AB33" s="647">
        <f>'Balance Sheet and Cflow'!R95</f>
        <v>5384</v>
      </c>
      <c r="AC33" s="647">
        <f>'Balance Sheet and Cflow'!S95</f>
        <v>5091</v>
      </c>
      <c r="AD33" s="647">
        <f>'Balance Sheet and Cflow'!T95</f>
        <v>5022</v>
      </c>
      <c r="AE33" s="647">
        <f>'Balance Sheet and Cflow'!U95</f>
        <v>4710.3988579795787</v>
      </c>
      <c r="AF33" s="647">
        <f>'Balance Sheet and Cflow'!V95</f>
        <v>4318.5897299906928</v>
      </c>
      <c r="AG33" s="647">
        <f>'Balance Sheet and Cflow'!W95</f>
        <v>3949.2951442612107</v>
      </c>
      <c r="AH33" s="647">
        <f>'Balance Sheet and Cflow'!X95</f>
        <v>3597.7577736370663</v>
      </c>
      <c r="AI33" s="647">
        <f>'Balance Sheet and Cflow'!Y95</f>
        <v>3334.2151373690185</v>
      </c>
      <c r="AJ33" s="647">
        <f>'Balance Sheet and Cflow'!Z95</f>
        <v>3145.1318886859781</v>
      </c>
      <c r="AK33" s="647">
        <f>'Balance Sheet and Cflow'!AA95</f>
        <v>3434.9555538280392</v>
      </c>
      <c r="AL33" s="11"/>
      <c r="AM33" s="11"/>
      <c r="AN33" s="11"/>
    </row>
    <row r="34" spans="2:40">
      <c r="B34" s="7" t="s">
        <v>307</v>
      </c>
      <c r="C34" s="9"/>
      <c r="D34" s="9"/>
      <c r="E34" s="17"/>
      <c r="F34" s="17"/>
      <c r="G34" s="17"/>
      <c r="H34" s="17"/>
      <c r="I34" s="17"/>
      <c r="J34" s="17"/>
      <c r="K34" s="17"/>
      <c r="L34" s="648"/>
      <c r="M34" s="648"/>
      <c r="N34" s="648"/>
      <c r="O34" s="647"/>
      <c r="P34" s="647"/>
      <c r="Q34" s="647"/>
      <c r="R34" s="647"/>
      <c r="S34" s="647"/>
      <c r="T34" s="647"/>
      <c r="U34" s="647"/>
      <c r="V34" s="647"/>
      <c r="W34" s="647"/>
      <c r="X34" s="647"/>
      <c r="Y34" s="647"/>
      <c r="Z34" s="647"/>
      <c r="AA34" s="647"/>
      <c r="AB34" s="647"/>
      <c r="AC34" s="647"/>
      <c r="AD34" s="647"/>
      <c r="AE34" s="647"/>
      <c r="AF34" s="647"/>
      <c r="AG34" s="647"/>
      <c r="AH34" s="647"/>
      <c r="AI34" s="647"/>
      <c r="AJ34" s="647"/>
      <c r="AK34" s="647"/>
      <c r="AL34" s="11"/>
      <c r="AM34" s="11"/>
      <c r="AN34" s="11"/>
    </row>
    <row r="35" spans="2:40">
      <c r="B35" s="7" t="s">
        <v>308</v>
      </c>
      <c r="C35" s="9"/>
      <c r="D35" s="9"/>
      <c r="E35" s="17"/>
      <c r="F35" s="17"/>
      <c r="G35" s="17"/>
      <c r="H35" s="17"/>
      <c r="I35" s="17"/>
      <c r="J35" s="17"/>
      <c r="K35" s="17"/>
      <c r="L35" s="648"/>
      <c r="M35" s="648"/>
      <c r="N35" s="648"/>
      <c r="O35" s="647"/>
      <c r="P35" s="647"/>
      <c r="Q35" s="647"/>
      <c r="R35" s="647"/>
      <c r="S35" s="647"/>
      <c r="T35" s="647"/>
      <c r="U35" s="647"/>
      <c r="V35" s="647"/>
      <c r="W35" s="647"/>
      <c r="X35" s="647"/>
      <c r="Y35" s="647"/>
      <c r="Z35" s="647"/>
      <c r="AA35" s="647"/>
      <c r="AB35" s="647"/>
      <c r="AC35" s="647"/>
      <c r="AD35" s="647"/>
      <c r="AE35" s="647"/>
      <c r="AF35" s="647"/>
      <c r="AG35" s="647"/>
      <c r="AH35" s="647"/>
      <c r="AI35" s="647"/>
      <c r="AJ35" s="647"/>
      <c r="AK35" s="647"/>
      <c r="AL35" s="11"/>
      <c r="AM35" s="11"/>
      <c r="AN35" s="11"/>
    </row>
    <row r="36" spans="2:40">
      <c r="B36" s="7" t="s">
        <v>309</v>
      </c>
      <c r="C36" s="9"/>
      <c r="D36" s="9"/>
      <c r="E36" s="17"/>
      <c r="F36" s="17"/>
      <c r="G36" s="17"/>
      <c r="H36" s="17"/>
      <c r="I36" s="17"/>
      <c r="J36" s="17"/>
      <c r="K36" s="17"/>
      <c r="L36" s="648"/>
      <c r="M36" s="648"/>
      <c r="N36" s="648"/>
      <c r="O36" s="647"/>
      <c r="P36" s="647"/>
      <c r="Q36" s="647"/>
      <c r="R36" s="647"/>
      <c r="S36" s="647"/>
      <c r="T36" s="647"/>
      <c r="U36" s="647"/>
      <c r="V36" s="647"/>
      <c r="W36" s="647"/>
      <c r="X36" s="647"/>
      <c r="Y36" s="647"/>
      <c r="Z36" s="647"/>
      <c r="AA36" s="647"/>
      <c r="AB36" s="647"/>
      <c r="AC36" s="647"/>
      <c r="AD36" s="647"/>
      <c r="AE36" s="647"/>
      <c r="AF36" s="647"/>
      <c r="AG36" s="647"/>
      <c r="AH36" s="647"/>
      <c r="AI36" s="647"/>
      <c r="AJ36" s="647"/>
      <c r="AK36" s="647"/>
      <c r="AL36" s="11"/>
      <c r="AM36" s="11"/>
      <c r="AN36" s="11"/>
    </row>
    <row r="37" spans="2:40">
      <c r="B37" s="7" t="s">
        <v>310</v>
      </c>
      <c r="C37" s="9"/>
      <c r="D37" s="9"/>
      <c r="E37" s="17"/>
      <c r="F37" s="17"/>
      <c r="G37" s="17"/>
      <c r="H37" s="17"/>
      <c r="I37" s="17"/>
      <c r="J37" s="17"/>
      <c r="K37" s="17"/>
      <c r="L37" s="648"/>
      <c r="M37" s="648"/>
      <c r="N37" s="648"/>
      <c r="O37" s="647"/>
      <c r="P37" s="647"/>
      <c r="Q37" s="647"/>
      <c r="R37" s="647"/>
      <c r="S37" s="647"/>
      <c r="T37" s="647"/>
      <c r="U37" s="647"/>
      <c r="V37" s="647"/>
      <c r="W37" s="647"/>
      <c r="X37" s="647"/>
      <c r="Y37" s="647"/>
      <c r="Z37" s="647"/>
      <c r="AA37" s="647"/>
      <c r="AB37" s="647"/>
      <c r="AC37" s="647"/>
      <c r="AD37" s="647"/>
      <c r="AE37" s="647"/>
      <c r="AF37" s="647"/>
      <c r="AG37" s="647"/>
      <c r="AH37" s="647"/>
      <c r="AI37" s="647"/>
      <c r="AJ37" s="647"/>
      <c r="AK37" s="647"/>
      <c r="AL37" s="11"/>
      <c r="AM37" s="11"/>
      <c r="AN37" s="11"/>
    </row>
    <row r="38" spans="2:40">
      <c r="B38" s="7" t="s">
        <v>311</v>
      </c>
      <c r="C38" s="9"/>
      <c r="D38" s="9"/>
      <c r="E38" s="17"/>
      <c r="F38" s="17"/>
      <c r="G38" s="17"/>
      <c r="H38" s="17"/>
      <c r="I38" s="17"/>
      <c r="J38" s="17"/>
      <c r="K38" s="17"/>
      <c r="L38" s="648"/>
      <c r="M38" s="648"/>
      <c r="N38" s="648"/>
      <c r="O38" s="647"/>
      <c r="P38" s="647"/>
      <c r="Q38" s="647"/>
      <c r="R38" s="647"/>
      <c r="S38" s="647"/>
      <c r="T38" s="647"/>
      <c r="U38" s="647"/>
      <c r="V38" s="647"/>
      <c r="W38" s="647"/>
      <c r="X38" s="647"/>
      <c r="Y38" s="647"/>
      <c r="Z38" s="647"/>
      <c r="AA38" s="647"/>
      <c r="AB38" s="647"/>
      <c r="AC38" s="647"/>
      <c r="AD38" s="647"/>
      <c r="AE38" s="647"/>
      <c r="AF38" s="647"/>
      <c r="AG38" s="647"/>
      <c r="AH38" s="647"/>
      <c r="AI38" s="647"/>
      <c r="AJ38" s="647"/>
      <c r="AK38" s="647"/>
      <c r="AL38" s="11"/>
      <c r="AM38" s="11"/>
      <c r="AN38" s="11"/>
    </row>
    <row r="39" spans="2:40">
      <c r="B39" s="7" t="s">
        <v>312</v>
      </c>
      <c r="C39" s="9"/>
      <c r="D39" s="9"/>
      <c r="E39" s="17"/>
      <c r="F39" s="17"/>
      <c r="G39" s="17"/>
      <c r="H39" s="17"/>
      <c r="I39" s="17"/>
      <c r="J39" s="17"/>
      <c r="K39" s="17"/>
      <c r="L39" s="648"/>
      <c r="M39" s="648"/>
      <c r="N39" s="648"/>
      <c r="O39" s="647"/>
      <c r="P39" s="647"/>
      <c r="Q39" s="647"/>
      <c r="R39" s="647"/>
      <c r="S39" s="647"/>
      <c r="T39" s="647"/>
      <c r="U39" s="647"/>
      <c r="V39" s="647"/>
      <c r="W39" s="647"/>
      <c r="X39" s="647"/>
      <c r="Y39" s="647"/>
      <c r="Z39" s="647"/>
      <c r="AA39" s="647"/>
      <c r="AB39" s="647"/>
      <c r="AC39" s="647"/>
      <c r="AD39" s="647"/>
      <c r="AE39" s="647"/>
      <c r="AF39" s="647"/>
      <c r="AG39" s="647"/>
      <c r="AH39" s="647"/>
      <c r="AI39" s="647"/>
      <c r="AJ39" s="647"/>
      <c r="AK39" s="647"/>
      <c r="AL39" s="11"/>
      <c r="AM39" s="11"/>
      <c r="AN39" s="11"/>
    </row>
    <row r="40" spans="2:40">
      <c r="B40" s="7" t="s">
        <v>313</v>
      </c>
      <c r="C40" s="9"/>
      <c r="D40" s="9"/>
      <c r="E40" s="17"/>
      <c r="F40" s="17"/>
      <c r="G40" s="17"/>
      <c r="H40" s="17"/>
      <c r="I40" s="17"/>
      <c r="J40" s="17"/>
      <c r="K40" s="17"/>
      <c r="L40" s="648"/>
      <c r="M40" s="648"/>
      <c r="N40" s="648"/>
      <c r="O40" s="647"/>
      <c r="P40" s="647"/>
      <c r="Q40" s="647"/>
      <c r="R40" s="647"/>
      <c r="S40" s="647"/>
      <c r="T40" s="647"/>
      <c r="U40" s="647"/>
      <c r="V40" s="647"/>
      <c r="W40" s="647"/>
      <c r="X40" s="647"/>
      <c r="Y40" s="647"/>
      <c r="Z40" s="647"/>
      <c r="AA40" s="647"/>
      <c r="AB40" s="647"/>
      <c r="AC40" s="647"/>
      <c r="AD40" s="647"/>
      <c r="AE40" s="647"/>
      <c r="AF40" s="647"/>
      <c r="AG40" s="647"/>
      <c r="AH40" s="647"/>
      <c r="AI40" s="647"/>
      <c r="AJ40" s="647"/>
      <c r="AK40" s="647"/>
      <c r="AL40" s="11"/>
      <c r="AM40" s="11"/>
      <c r="AN40" s="11"/>
    </row>
    <row r="41" spans="2:40">
      <c r="B41" s="7" t="s">
        <v>314</v>
      </c>
      <c r="C41" s="9"/>
      <c r="D41" s="9"/>
      <c r="E41" s="17"/>
      <c r="F41" s="17"/>
      <c r="G41" s="17"/>
      <c r="H41" s="17"/>
      <c r="I41" s="17"/>
      <c r="J41" s="17"/>
      <c r="K41" s="17"/>
      <c r="L41" s="648"/>
      <c r="M41" s="648"/>
      <c r="N41" s="648"/>
      <c r="O41" s="647"/>
      <c r="P41" s="647"/>
      <c r="Q41" s="647"/>
      <c r="R41" s="647"/>
      <c r="S41" s="647"/>
      <c r="T41" s="647"/>
      <c r="U41" s="647"/>
      <c r="V41" s="647"/>
      <c r="W41" s="647"/>
      <c r="X41" s="647"/>
      <c r="Y41" s="647"/>
      <c r="Z41" s="647"/>
      <c r="AA41" s="647"/>
      <c r="AB41" s="647"/>
      <c r="AC41" s="647"/>
      <c r="AD41" s="647"/>
      <c r="AE41" s="647"/>
      <c r="AF41" s="647"/>
      <c r="AG41" s="647"/>
      <c r="AH41" s="647"/>
      <c r="AI41" s="647"/>
      <c r="AJ41" s="647"/>
      <c r="AK41" s="647"/>
      <c r="AL41" s="11"/>
      <c r="AM41" s="11"/>
      <c r="AN41" s="11"/>
    </row>
    <row r="42" spans="2:40">
      <c r="B42" s="7" t="s">
        <v>315</v>
      </c>
      <c r="C42" s="9"/>
      <c r="D42" s="9"/>
      <c r="E42" s="17"/>
      <c r="F42" s="17"/>
      <c r="G42" s="17"/>
      <c r="H42" s="17"/>
      <c r="I42" s="17"/>
      <c r="J42" s="17"/>
      <c r="K42" s="17"/>
      <c r="L42" s="648"/>
      <c r="M42" s="648"/>
      <c r="N42" s="648"/>
      <c r="O42" s="647"/>
      <c r="P42" s="647"/>
      <c r="Q42" s="647"/>
      <c r="R42" s="647"/>
      <c r="S42" s="647"/>
      <c r="T42" s="647"/>
      <c r="U42" s="647"/>
      <c r="V42" s="647"/>
      <c r="W42" s="647"/>
      <c r="X42" s="647"/>
      <c r="Y42" s="647"/>
      <c r="Z42" s="647"/>
      <c r="AA42" s="647"/>
      <c r="AB42" s="647"/>
      <c r="AC42" s="647"/>
      <c r="AD42" s="647"/>
      <c r="AE42" s="647"/>
      <c r="AF42" s="647"/>
      <c r="AG42" s="647"/>
      <c r="AH42" s="647"/>
      <c r="AI42" s="647"/>
      <c r="AJ42" s="647"/>
      <c r="AK42" s="647"/>
      <c r="AL42" s="11"/>
      <c r="AM42" s="11"/>
      <c r="AN42" s="11"/>
    </row>
    <row r="43" spans="2:40">
      <c r="B43" s="7" t="s">
        <v>316</v>
      </c>
      <c r="C43" s="9"/>
      <c r="D43" s="9"/>
      <c r="E43" s="17"/>
      <c r="F43" s="17"/>
      <c r="G43" s="17"/>
      <c r="H43" s="17"/>
      <c r="I43" s="17"/>
      <c r="J43" s="17"/>
      <c r="K43" s="17"/>
      <c r="L43" s="648"/>
      <c r="M43" s="648"/>
      <c r="N43" s="648"/>
      <c r="O43" s="647"/>
      <c r="P43" s="647"/>
      <c r="Q43" s="647"/>
      <c r="R43" s="647"/>
      <c r="S43" s="647"/>
      <c r="T43" s="647"/>
      <c r="U43" s="647"/>
      <c r="V43" s="647"/>
      <c r="W43" s="647"/>
      <c r="X43" s="647"/>
      <c r="Y43" s="647"/>
      <c r="Z43" s="647"/>
      <c r="AA43" s="647"/>
      <c r="AB43" s="647"/>
      <c r="AC43" s="647"/>
      <c r="AD43" s="647"/>
      <c r="AE43" s="647"/>
      <c r="AF43" s="647"/>
      <c r="AG43" s="647"/>
      <c r="AH43" s="647"/>
      <c r="AI43" s="647"/>
      <c r="AJ43" s="647"/>
      <c r="AK43" s="647"/>
      <c r="AL43" s="11"/>
      <c r="AM43" s="11"/>
      <c r="AN43" s="11"/>
    </row>
    <row r="44" spans="2:40">
      <c r="B44" s="7" t="s">
        <v>317</v>
      </c>
      <c r="C44" s="9"/>
      <c r="D44" s="9"/>
      <c r="E44" s="17"/>
      <c r="F44" s="17"/>
      <c r="G44" s="17"/>
      <c r="H44" s="17"/>
      <c r="I44" s="17"/>
      <c r="J44" s="17"/>
      <c r="K44" s="17"/>
      <c r="L44" s="648"/>
      <c r="M44" s="648"/>
      <c r="N44" s="648"/>
      <c r="O44" s="647"/>
      <c r="P44" s="647"/>
      <c r="Q44" s="647"/>
      <c r="R44" s="647"/>
      <c r="S44" s="647"/>
      <c r="T44" s="647"/>
      <c r="U44" s="647"/>
      <c r="V44" s="647"/>
      <c r="W44" s="647"/>
      <c r="X44" s="647"/>
      <c r="Y44" s="647"/>
      <c r="Z44" s="647"/>
      <c r="AA44" s="647"/>
      <c r="AB44" s="647"/>
      <c r="AC44" s="647"/>
      <c r="AD44" s="647"/>
      <c r="AE44" s="647"/>
      <c r="AF44" s="647"/>
      <c r="AG44" s="647"/>
      <c r="AH44" s="647"/>
      <c r="AI44" s="647"/>
      <c r="AJ44" s="647"/>
      <c r="AK44" s="647"/>
      <c r="AL44" s="11"/>
      <c r="AM44" s="11"/>
      <c r="AN44" s="11"/>
    </row>
    <row r="45" spans="2:40">
      <c r="B45" s="7" t="s">
        <v>318</v>
      </c>
      <c r="C45" s="9"/>
      <c r="D45" s="9"/>
      <c r="E45" s="17"/>
      <c r="F45" s="17"/>
      <c r="G45" s="17"/>
      <c r="H45" s="17"/>
      <c r="I45" s="17"/>
      <c r="J45" s="17"/>
      <c r="K45" s="17"/>
      <c r="L45" s="648"/>
      <c r="M45" s="648"/>
      <c r="N45" s="648"/>
      <c r="O45" s="647"/>
      <c r="P45" s="647"/>
      <c r="Q45" s="647"/>
      <c r="R45" s="647"/>
      <c r="S45" s="647"/>
      <c r="T45" s="647"/>
      <c r="U45" s="647"/>
      <c r="V45" s="647"/>
      <c r="W45" s="647"/>
      <c r="X45" s="647"/>
      <c r="Y45" s="647"/>
      <c r="Z45" s="647"/>
      <c r="AA45" s="647"/>
      <c r="AB45" s="647"/>
      <c r="AC45" s="647"/>
      <c r="AD45" s="647"/>
      <c r="AE45" s="647"/>
      <c r="AF45" s="647"/>
      <c r="AG45" s="647"/>
      <c r="AH45" s="647"/>
      <c r="AI45" s="647"/>
      <c r="AJ45" s="647"/>
      <c r="AK45" s="647"/>
      <c r="AL45" s="11"/>
      <c r="AM45" s="11"/>
      <c r="AN45" s="11"/>
    </row>
    <row r="46" spans="2:40">
      <c r="B46" s="7" t="s">
        <v>319</v>
      </c>
      <c r="C46" s="9"/>
      <c r="D46" s="9"/>
      <c r="E46" s="17"/>
      <c r="F46" s="17"/>
      <c r="G46" s="17"/>
      <c r="H46" s="17"/>
      <c r="I46" s="17"/>
      <c r="J46" s="17"/>
      <c r="K46" s="17"/>
      <c r="L46" s="648"/>
      <c r="M46" s="648"/>
      <c r="N46" s="648"/>
      <c r="O46" s="647"/>
      <c r="P46" s="647"/>
      <c r="Q46" s="647"/>
      <c r="R46" s="647"/>
      <c r="S46" s="647"/>
      <c r="T46" s="647"/>
      <c r="U46" s="647"/>
      <c r="V46" s="647"/>
      <c r="W46" s="647"/>
      <c r="X46" s="647"/>
      <c r="Y46" s="647"/>
      <c r="Z46" s="647"/>
      <c r="AA46" s="647"/>
      <c r="AB46" s="647"/>
      <c r="AC46" s="647"/>
      <c r="AD46" s="647"/>
      <c r="AE46" s="647"/>
      <c r="AF46" s="647"/>
      <c r="AG46" s="647"/>
      <c r="AH46" s="647"/>
      <c r="AI46" s="647"/>
      <c r="AJ46" s="647"/>
      <c r="AK46" s="647"/>
      <c r="AL46" s="11"/>
      <c r="AM46" s="11"/>
      <c r="AN46" s="11"/>
    </row>
    <row r="47" spans="2:40">
      <c r="B47" s="7" t="s">
        <v>320</v>
      </c>
      <c r="C47" s="9"/>
      <c r="D47" s="9"/>
      <c r="E47" s="17"/>
      <c r="F47" s="17"/>
      <c r="G47" s="17"/>
      <c r="H47" s="17"/>
      <c r="I47" s="17"/>
      <c r="J47" s="17"/>
      <c r="K47" s="17"/>
      <c r="L47" s="648"/>
      <c r="M47" s="648"/>
      <c r="N47" s="648"/>
      <c r="O47" s="647"/>
      <c r="P47" s="647"/>
      <c r="Q47" s="647"/>
      <c r="R47" s="647"/>
      <c r="S47" s="647"/>
      <c r="T47" s="647"/>
      <c r="U47" s="647"/>
      <c r="V47" s="647"/>
      <c r="W47" s="647"/>
      <c r="X47" s="647"/>
      <c r="Y47" s="647"/>
      <c r="Z47" s="647"/>
      <c r="AA47" s="647"/>
      <c r="AB47" s="647"/>
      <c r="AC47" s="647"/>
      <c r="AD47" s="647"/>
      <c r="AE47" s="647"/>
      <c r="AF47" s="647"/>
      <c r="AG47" s="647"/>
      <c r="AH47" s="647"/>
      <c r="AI47" s="647"/>
      <c r="AJ47" s="647"/>
      <c r="AK47" s="647"/>
      <c r="AL47" s="11"/>
      <c r="AM47" s="11"/>
      <c r="AN47" s="11"/>
    </row>
    <row r="48" spans="2:40">
      <c r="B48" s="7" t="s">
        <v>321</v>
      </c>
      <c r="C48" s="9"/>
      <c r="D48" s="9"/>
      <c r="E48" s="17"/>
      <c r="F48" s="17"/>
      <c r="G48" s="17"/>
      <c r="H48" s="17"/>
      <c r="I48" s="17"/>
      <c r="J48" s="17"/>
      <c r="K48" s="17"/>
      <c r="L48" s="648"/>
      <c r="M48" s="648"/>
      <c r="N48" s="648"/>
      <c r="O48" s="647"/>
      <c r="P48" s="647"/>
      <c r="Q48" s="647"/>
      <c r="R48" s="647"/>
      <c r="S48" s="647"/>
      <c r="T48" s="647"/>
      <c r="U48" s="647"/>
      <c r="V48" s="647"/>
      <c r="W48" s="647"/>
      <c r="X48" s="647"/>
      <c r="Y48" s="647"/>
      <c r="Z48" s="647"/>
      <c r="AA48" s="647"/>
      <c r="AB48" s="647"/>
      <c r="AC48" s="647"/>
      <c r="AD48" s="647"/>
      <c r="AE48" s="647"/>
      <c r="AF48" s="647"/>
      <c r="AG48" s="647"/>
      <c r="AH48" s="647"/>
      <c r="AI48" s="647"/>
      <c r="AJ48" s="647"/>
      <c r="AK48" s="647"/>
      <c r="AL48" s="11"/>
      <c r="AM48" s="11"/>
      <c r="AN48" s="11"/>
    </row>
    <row r="49" spans="2:40">
      <c r="B49" s="7" t="s">
        <v>322</v>
      </c>
      <c r="C49" s="9"/>
      <c r="D49" s="9"/>
      <c r="E49" s="17"/>
      <c r="F49" s="17"/>
      <c r="G49" s="17"/>
      <c r="H49" s="17"/>
      <c r="I49" s="17"/>
      <c r="J49" s="17"/>
      <c r="K49" s="17"/>
      <c r="L49" s="648"/>
      <c r="M49" s="648"/>
      <c r="N49" s="648"/>
      <c r="O49" s="647"/>
      <c r="P49" s="647"/>
      <c r="Q49" s="647"/>
      <c r="R49" s="647"/>
      <c r="S49" s="647"/>
      <c r="T49" s="647"/>
      <c r="U49" s="647"/>
      <c r="V49" s="647"/>
      <c r="W49" s="647"/>
      <c r="X49" s="647"/>
      <c r="Y49" s="647"/>
      <c r="Z49" s="647"/>
      <c r="AA49" s="647"/>
      <c r="AB49" s="647"/>
      <c r="AC49" s="647"/>
      <c r="AD49" s="647"/>
      <c r="AE49" s="647"/>
      <c r="AF49" s="647"/>
      <c r="AG49" s="647"/>
      <c r="AH49" s="647"/>
      <c r="AI49" s="647"/>
      <c r="AJ49" s="647"/>
      <c r="AK49" s="647"/>
      <c r="AL49" s="11"/>
      <c r="AM49" s="11"/>
      <c r="AN49" s="11"/>
    </row>
    <row r="50" spans="2:40">
      <c r="B50" s="7" t="s">
        <v>323</v>
      </c>
      <c r="C50" s="9"/>
      <c r="D50" s="9"/>
      <c r="E50" s="17"/>
      <c r="F50" s="17"/>
      <c r="G50" s="17"/>
      <c r="H50" s="17"/>
      <c r="I50" s="17"/>
      <c r="J50" s="17"/>
      <c r="K50" s="17"/>
      <c r="L50" s="648"/>
      <c r="M50" s="648"/>
      <c r="N50" s="648"/>
      <c r="O50" s="647"/>
      <c r="P50" s="647"/>
      <c r="Q50" s="647"/>
      <c r="R50" s="647"/>
      <c r="S50" s="647"/>
      <c r="T50" s="647"/>
      <c r="U50" s="647"/>
      <c r="V50" s="647"/>
      <c r="W50" s="647"/>
      <c r="X50" s="647"/>
      <c r="Y50" s="647"/>
      <c r="Z50" s="647"/>
      <c r="AA50" s="647"/>
      <c r="AB50" s="647"/>
      <c r="AC50" s="647"/>
      <c r="AD50" s="647"/>
      <c r="AE50" s="647"/>
      <c r="AF50" s="647"/>
      <c r="AG50" s="647"/>
      <c r="AH50" s="647"/>
      <c r="AI50" s="647"/>
      <c r="AJ50" s="647"/>
      <c r="AK50" s="647"/>
      <c r="AL50" s="11"/>
      <c r="AM50" s="11"/>
      <c r="AN50" s="11"/>
    </row>
    <row r="51" spans="2:40">
      <c r="B51" s="8" t="s">
        <v>324</v>
      </c>
      <c r="C51" s="9"/>
      <c r="D51" s="10"/>
      <c r="E51" s="10"/>
      <c r="F51" s="10"/>
      <c r="G51" s="10"/>
      <c r="H51" s="10"/>
      <c r="I51" s="10"/>
      <c r="J51" s="10"/>
      <c r="K51" s="10"/>
      <c r="L51" s="647">
        <f>'Income Statement'!B117</f>
        <v>9765</v>
      </c>
      <c r="M51" s="647">
        <f>'Income Statement'!G117</f>
        <v>11234.1</v>
      </c>
      <c r="N51" s="647">
        <f>'Income Statement'!L117</f>
        <v>12291</v>
      </c>
      <c r="O51" s="647">
        <f>'Income Statement'!Q117</f>
        <v>13954</v>
      </c>
      <c r="P51" s="647">
        <f>'Income Statement'!V117</f>
        <v>12735</v>
      </c>
      <c r="Q51" s="647">
        <f>'Income Statement'!AA117</f>
        <v>14091</v>
      </c>
      <c r="R51" s="647">
        <f>'Income Statement'!AF117</f>
        <v>12893</v>
      </c>
      <c r="S51" s="647">
        <f>'Income Statement'!AK117</f>
        <v>12913</v>
      </c>
      <c r="T51" s="647">
        <f>'Income Statement'!AP117</f>
        <v>12694</v>
      </c>
      <c r="U51" s="647">
        <f>'Income Statement'!AU117</f>
        <v>11926</v>
      </c>
      <c r="V51" s="647">
        <f>'Income Statement'!AZ117</f>
        <v>10928</v>
      </c>
      <c r="W51" s="647">
        <f>'Income Statement'!BE117</f>
        <v>10761</v>
      </c>
      <c r="X51" s="647">
        <f>'Income Statement'!BJ117</f>
        <v>11130</v>
      </c>
      <c r="Y51" s="647">
        <f>'Income Statement'!BO117</f>
        <v>11132</v>
      </c>
      <c r="Z51" s="647">
        <f>'Income Statement'!BT117</f>
        <v>11618</v>
      </c>
      <c r="AA51" s="647">
        <f>'Income Statement'!BY117</f>
        <v>11738</v>
      </c>
      <c r="AB51" s="647">
        <f>'Income Statement'!CD117</f>
        <v>12511</v>
      </c>
      <c r="AC51" s="647">
        <f>'Income Statement'!CI117</f>
        <v>12826</v>
      </c>
      <c r="AD51" s="647">
        <f>'Income Statement'!CN117</f>
        <v>13504</v>
      </c>
      <c r="AE51" s="647">
        <f>'Income Statement'!CQ117</f>
        <v>13589.613584573439</v>
      </c>
      <c r="AF51" s="647">
        <f>'Income Statement'!CR117</f>
        <v>13748.767303558094</v>
      </c>
      <c r="AG51" s="647">
        <f>'Income Statement'!CS117</f>
        <v>13900.006651461272</v>
      </c>
      <c r="AH51" s="647">
        <f>'Income Statement'!CT117</f>
        <v>14044.123874766659</v>
      </c>
      <c r="AI51" s="647">
        <f>'Income Statement'!CU117</f>
        <v>14181.835742538982</v>
      </c>
      <c r="AJ51" s="647">
        <f>'Income Statement'!CV117</f>
        <v>14313.790755428116</v>
      </c>
      <c r="AK51" s="647">
        <f>'Income Statement'!CW117</f>
        <v>14440.575666217841</v>
      </c>
      <c r="AL51" s="11"/>
      <c r="AM51" s="11"/>
      <c r="AN51" s="11"/>
    </row>
    <row r="52" spans="2:40">
      <c r="B52" s="7" t="s">
        <v>325</v>
      </c>
      <c r="C52" s="9"/>
      <c r="D52" s="9"/>
      <c r="E52" s="17"/>
      <c r="F52" s="17"/>
      <c r="G52" s="17"/>
      <c r="H52" s="17"/>
      <c r="I52" s="17"/>
      <c r="J52" s="17"/>
      <c r="K52" s="17"/>
      <c r="L52" s="648"/>
      <c r="M52" s="648"/>
      <c r="N52" s="648"/>
      <c r="O52" s="648"/>
      <c r="P52" s="648"/>
      <c r="Q52" s="648"/>
      <c r="R52" s="648"/>
      <c r="S52" s="648"/>
      <c r="T52" s="648"/>
      <c r="U52" s="648"/>
      <c r="V52" s="648"/>
      <c r="W52" s="648"/>
      <c r="X52" s="648"/>
      <c r="Y52" s="648"/>
      <c r="Z52" s="648"/>
      <c r="AA52" s="648"/>
      <c r="AB52" s="648"/>
      <c r="AC52" s="648"/>
      <c r="AD52" s="648"/>
      <c r="AE52" s="648"/>
      <c r="AF52" s="648"/>
      <c r="AG52" s="648"/>
      <c r="AH52" s="648"/>
      <c r="AI52" s="648"/>
      <c r="AJ52" s="648"/>
      <c r="AK52" s="648"/>
      <c r="AL52" s="11"/>
      <c r="AM52" s="11"/>
      <c r="AN52" s="11"/>
    </row>
    <row r="53" spans="2:40">
      <c r="B53" s="7" t="s">
        <v>326</v>
      </c>
      <c r="C53" s="9"/>
      <c r="D53" s="9"/>
      <c r="E53" s="17"/>
      <c r="F53" s="17"/>
      <c r="G53" s="17"/>
      <c r="H53" s="17"/>
      <c r="I53" s="17"/>
      <c r="J53" s="17"/>
      <c r="K53" s="17"/>
      <c r="L53" s="648"/>
      <c r="M53" s="648"/>
      <c r="N53" s="648"/>
      <c r="O53" s="648"/>
      <c r="P53" s="648"/>
      <c r="Q53" s="648"/>
      <c r="R53" s="648"/>
      <c r="S53" s="648"/>
      <c r="T53" s="648"/>
      <c r="U53" s="648"/>
      <c r="V53" s="648"/>
      <c r="W53" s="648"/>
      <c r="X53" s="648"/>
      <c r="Y53" s="648"/>
      <c r="Z53" s="648"/>
      <c r="AA53" s="648"/>
      <c r="AB53" s="648"/>
      <c r="AC53" s="648"/>
      <c r="AD53" s="648"/>
      <c r="AE53" s="648"/>
      <c r="AF53" s="648"/>
      <c r="AG53" s="648"/>
      <c r="AH53" s="648"/>
      <c r="AI53" s="648"/>
      <c r="AJ53" s="648"/>
      <c r="AK53" s="648"/>
      <c r="AL53" s="11"/>
      <c r="AM53" s="11"/>
      <c r="AN53" s="11"/>
    </row>
    <row r="54" spans="2:40">
      <c r="B54" s="7" t="s">
        <v>327</v>
      </c>
      <c r="C54" s="9"/>
      <c r="D54" s="9"/>
      <c r="E54" s="17"/>
      <c r="F54" s="17"/>
      <c r="G54" s="17"/>
      <c r="H54" s="17"/>
      <c r="I54" s="17"/>
      <c r="J54" s="17"/>
      <c r="K54" s="17"/>
      <c r="L54" s="648"/>
      <c r="M54" s="648"/>
      <c r="N54" s="648"/>
      <c r="O54" s="648"/>
      <c r="P54" s="648"/>
      <c r="Q54" s="648"/>
      <c r="R54" s="648"/>
      <c r="S54" s="648"/>
      <c r="T54" s="648"/>
      <c r="U54" s="648"/>
      <c r="V54" s="648"/>
      <c r="W54" s="648"/>
      <c r="X54" s="648"/>
      <c r="Y54" s="648"/>
      <c r="Z54" s="648"/>
      <c r="AA54" s="648"/>
      <c r="AB54" s="648"/>
      <c r="AC54" s="648"/>
      <c r="AD54" s="648"/>
      <c r="AE54" s="648"/>
      <c r="AF54" s="648"/>
      <c r="AG54" s="648"/>
      <c r="AH54" s="648"/>
      <c r="AI54" s="648"/>
      <c r="AJ54" s="648"/>
      <c r="AK54" s="648"/>
      <c r="AL54" s="11"/>
      <c r="AM54" s="11"/>
      <c r="AN54" s="11"/>
    </row>
    <row r="55" spans="2:40">
      <c r="B55" s="8" t="s">
        <v>328</v>
      </c>
      <c r="C55" s="9"/>
      <c r="D55" s="10"/>
      <c r="E55" s="10"/>
      <c r="F55" s="10"/>
      <c r="G55" s="10"/>
      <c r="H55" s="10"/>
      <c r="I55" s="10"/>
      <c r="J55" s="10"/>
      <c r="K55" s="10"/>
      <c r="L55" s="647">
        <f>'Income Statement'!B69</f>
        <v>27174</v>
      </c>
      <c r="M55" s="647">
        <f>'Income Statement'!G69</f>
        <v>27728</v>
      </c>
      <c r="N55" s="647">
        <f>'Income Statement'!L69</f>
        <v>28231.504111999999</v>
      </c>
      <c r="O55" s="647">
        <f>'Income Statement'!Q69</f>
        <v>28725.555433960002</v>
      </c>
      <c r="P55" s="647">
        <f>'Income Statement'!V69</f>
        <v>29228.252654054304</v>
      </c>
      <c r="Q55" s="647">
        <f>'Income Statement'!AA69</f>
        <v>29739.747075500258</v>
      </c>
      <c r="R55" s="647">
        <f>'Income Statement'!AF69</f>
        <v>30260.192649321514</v>
      </c>
      <c r="S55" s="647">
        <f>'Income Statement'!AK69</f>
        <v>30789.746020684644</v>
      </c>
      <c r="T55" s="647">
        <f>'Income Statement'!AP69</f>
        <v>31328.566576046629</v>
      </c>
      <c r="U55" s="647">
        <f>'Income Statement'!AU69</f>
        <v>31876.816491127447</v>
      </c>
      <c r="V55" s="647">
        <f>'Income Statement'!AZ69</f>
        <v>32022.6</v>
      </c>
      <c r="W55" s="647">
        <f>'Income Statement'!BE69</f>
        <v>32382.3</v>
      </c>
      <c r="X55" s="647">
        <f>'Income Statement'!BJ69</f>
        <v>32523</v>
      </c>
      <c r="Y55" s="647">
        <f>'Income Statement'!BO69</f>
        <v>32657</v>
      </c>
      <c r="Z55" s="647">
        <f>'Income Statement'!BT69</f>
        <v>33573.874000000003</v>
      </c>
      <c r="AA55" s="647">
        <f>'Income Statement'!BY69</f>
        <v>33938.22</v>
      </c>
      <c r="AB55" s="647">
        <f>'Income Statement'!CD69</f>
        <v>34306.519907961767</v>
      </c>
      <c r="AC55" s="647">
        <f>'Income Statement'!CI69</f>
        <v>35557.673000000003</v>
      </c>
      <c r="AD55" s="647">
        <f>'Income Statement'!CN69</f>
        <v>35977.838000000003</v>
      </c>
      <c r="AE55" s="647">
        <f>'Income Statement'!CQ69</f>
        <v>0</v>
      </c>
      <c r="AF55" s="647">
        <f>'Income Statement'!CR69</f>
        <v>0</v>
      </c>
      <c r="AG55" s="647">
        <f>'Income Statement'!CS69</f>
        <v>0</v>
      </c>
      <c r="AH55" s="647">
        <f>'Income Statement'!CT69</f>
        <v>35977.838000000003</v>
      </c>
      <c r="AI55" s="647">
        <f>'Income Statement'!CU69</f>
        <v>36157.727189999998</v>
      </c>
      <c r="AJ55" s="647">
        <f>'Income Statement'!CV69</f>
        <v>36338.515825949995</v>
      </c>
      <c r="AK55" s="647">
        <f>'Income Statement'!CW69</f>
        <v>36520.208405079742</v>
      </c>
      <c r="AL55" s="11"/>
      <c r="AM55" s="11"/>
      <c r="AN55" s="11"/>
    </row>
    <row r="56" spans="2:40">
      <c r="B56" s="7" t="s">
        <v>329</v>
      </c>
      <c r="C56" s="9"/>
      <c r="D56" s="9"/>
      <c r="E56" s="17"/>
      <c r="F56" s="17"/>
      <c r="G56" s="17"/>
      <c r="H56" s="17"/>
      <c r="I56" s="17"/>
      <c r="J56" s="17"/>
      <c r="K56" s="17"/>
      <c r="L56" s="648"/>
      <c r="M56" s="648"/>
      <c r="N56" s="648"/>
      <c r="O56" s="647"/>
      <c r="P56" s="647"/>
      <c r="Q56" s="647"/>
      <c r="R56" s="647"/>
      <c r="S56" s="647"/>
      <c r="T56" s="647"/>
      <c r="U56" s="647"/>
      <c r="V56" s="647"/>
      <c r="W56" s="647"/>
      <c r="X56" s="647"/>
      <c r="Y56" s="647"/>
      <c r="Z56" s="647"/>
      <c r="AA56" s="647"/>
      <c r="AB56" s="647"/>
      <c r="AC56" s="647"/>
      <c r="AD56" s="647"/>
      <c r="AE56" s="647"/>
      <c r="AF56" s="647"/>
      <c r="AG56" s="647"/>
      <c r="AH56" s="647"/>
      <c r="AI56" s="647"/>
      <c r="AJ56" s="647"/>
      <c r="AK56" s="647"/>
      <c r="AL56" s="11"/>
      <c r="AM56" s="11"/>
      <c r="AN56" s="11"/>
    </row>
    <row r="57" spans="2:40">
      <c r="B57" s="7" t="s">
        <v>330</v>
      </c>
      <c r="C57" s="9"/>
      <c r="D57" s="9"/>
      <c r="E57" s="17"/>
      <c r="F57" s="17"/>
      <c r="G57" s="17"/>
      <c r="H57" s="17"/>
      <c r="I57" s="17"/>
      <c r="J57" s="17"/>
      <c r="K57" s="17"/>
      <c r="L57" s="648"/>
      <c r="M57" s="648"/>
      <c r="N57" s="648"/>
      <c r="O57" s="647"/>
      <c r="P57" s="647"/>
      <c r="Q57" s="647"/>
      <c r="R57" s="647"/>
      <c r="S57" s="647"/>
      <c r="T57" s="647"/>
      <c r="U57" s="647"/>
      <c r="V57" s="647"/>
      <c r="W57" s="647"/>
      <c r="X57" s="647"/>
      <c r="Y57" s="647"/>
      <c r="Z57" s="647"/>
      <c r="AA57" s="647"/>
      <c r="AB57" s="647"/>
      <c r="AC57" s="647"/>
      <c r="AD57" s="647"/>
      <c r="AE57" s="647"/>
      <c r="AF57" s="647"/>
      <c r="AG57" s="647"/>
      <c r="AH57" s="647"/>
      <c r="AI57" s="647"/>
      <c r="AJ57" s="647"/>
      <c r="AK57" s="647"/>
      <c r="AL57" s="11"/>
      <c r="AM57" s="11"/>
      <c r="AN57" s="11"/>
    </row>
    <row r="58" spans="2:40">
      <c r="B58" s="7" t="s">
        <v>331</v>
      </c>
      <c r="C58" s="9"/>
      <c r="D58" s="9"/>
      <c r="E58" s="17"/>
      <c r="F58" s="17"/>
      <c r="G58" s="17"/>
      <c r="H58" s="17"/>
      <c r="I58" s="17"/>
      <c r="J58" s="17"/>
      <c r="K58" s="17"/>
      <c r="L58" s="648"/>
      <c r="M58" s="648"/>
      <c r="N58" s="648"/>
      <c r="O58" s="647"/>
      <c r="P58" s="647"/>
      <c r="Q58" s="647"/>
      <c r="R58" s="647"/>
      <c r="S58" s="647"/>
      <c r="T58" s="647"/>
      <c r="U58" s="647"/>
      <c r="V58" s="647"/>
      <c r="W58" s="647"/>
      <c r="X58" s="647"/>
      <c r="Y58" s="647"/>
      <c r="Z58" s="647"/>
      <c r="AA58" s="647"/>
      <c r="AB58" s="647"/>
      <c r="AC58" s="647"/>
      <c r="AD58" s="647"/>
      <c r="AE58" s="647"/>
      <c r="AF58" s="647"/>
      <c r="AG58" s="647"/>
      <c r="AH58" s="647"/>
      <c r="AI58" s="647"/>
      <c r="AJ58" s="647"/>
      <c r="AK58" s="647"/>
      <c r="AL58" s="11"/>
      <c r="AM58" s="11"/>
      <c r="AN58" s="11"/>
    </row>
    <row r="59" spans="2:40">
      <c r="B59" s="7" t="s">
        <v>332</v>
      </c>
      <c r="C59" s="9"/>
      <c r="D59" s="9"/>
      <c r="E59" s="17"/>
      <c r="F59" s="17"/>
      <c r="G59" s="17"/>
      <c r="H59" s="17"/>
      <c r="I59" s="17"/>
      <c r="J59" s="17"/>
      <c r="K59" s="17"/>
      <c r="L59" s="648"/>
      <c r="M59" s="648"/>
      <c r="N59" s="648"/>
      <c r="O59" s="647"/>
      <c r="P59" s="647"/>
      <c r="Q59" s="647"/>
      <c r="R59" s="647"/>
      <c r="S59" s="647"/>
      <c r="T59" s="647"/>
      <c r="U59" s="647"/>
      <c r="V59" s="647"/>
      <c r="W59" s="647"/>
      <c r="X59" s="647"/>
      <c r="Y59" s="647"/>
      <c r="Z59" s="647"/>
      <c r="AA59" s="647"/>
      <c r="AB59" s="647"/>
      <c r="AC59" s="647"/>
      <c r="AD59" s="647"/>
      <c r="AE59" s="647"/>
      <c r="AF59" s="647"/>
      <c r="AG59" s="647"/>
      <c r="AH59" s="647"/>
      <c r="AI59" s="647"/>
      <c r="AJ59" s="647"/>
      <c r="AK59" s="647"/>
      <c r="AL59" s="11"/>
      <c r="AM59" s="11"/>
      <c r="AN59" s="11"/>
    </row>
    <row r="60" spans="2:40">
      <c r="B60" s="7" t="s">
        <v>333</v>
      </c>
      <c r="C60" s="9"/>
      <c r="D60" s="9"/>
      <c r="E60" s="17"/>
      <c r="F60" s="17"/>
      <c r="G60" s="17"/>
      <c r="H60" s="17"/>
      <c r="I60" s="17"/>
      <c r="J60" s="17"/>
      <c r="K60" s="17"/>
      <c r="L60" s="648"/>
      <c r="M60" s="648"/>
      <c r="N60" s="648"/>
      <c r="O60" s="647"/>
      <c r="P60" s="647"/>
      <c r="Q60" s="647"/>
      <c r="R60" s="647"/>
      <c r="S60" s="647"/>
      <c r="T60" s="647"/>
      <c r="U60" s="647"/>
      <c r="V60" s="647"/>
      <c r="W60" s="647"/>
      <c r="X60" s="647"/>
      <c r="Y60" s="647"/>
      <c r="Z60" s="647"/>
      <c r="AA60" s="647"/>
      <c r="AB60" s="647"/>
      <c r="AC60" s="647"/>
      <c r="AD60" s="647"/>
      <c r="AE60" s="647"/>
      <c r="AF60" s="647"/>
      <c r="AG60" s="647"/>
      <c r="AH60" s="647"/>
      <c r="AI60" s="647"/>
      <c r="AJ60" s="647"/>
      <c r="AK60" s="647"/>
      <c r="AL60" s="11"/>
      <c r="AM60" s="11"/>
      <c r="AN60" s="11"/>
    </row>
    <row r="61" spans="2:40">
      <c r="B61" s="7" t="s">
        <v>334</v>
      </c>
      <c r="C61" s="9"/>
      <c r="D61" s="9"/>
      <c r="E61" s="17"/>
      <c r="F61" s="17"/>
      <c r="G61" s="17"/>
      <c r="H61" s="17"/>
      <c r="I61" s="17"/>
      <c r="J61" s="17"/>
      <c r="K61" s="17"/>
      <c r="L61" s="648"/>
      <c r="M61" s="648"/>
      <c r="N61" s="648"/>
      <c r="O61" s="647"/>
      <c r="P61" s="647"/>
      <c r="Q61" s="647"/>
      <c r="R61" s="647"/>
      <c r="S61" s="647"/>
      <c r="T61" s="647"/>
      <c r="U61" s="647"/>
      <c r="V61" s="647"/>
      <c r="W61" s="647"/>
      <c r="X61" s="647"/>
      <c r="Y61" s="647"/>
      <c r="Z61" s="647"/>
      <c r="AA61" s="647"/>
      <c r="AB61" s="647"/>
      <c r="AC61" s="647"/>
      <c r="AD61" s="647"/>
      <c r="AE61" s="647"/>
      <c r="AF61" s="647"/>
      <c r="AG61" s="647"/>
      <c r="AH61" s="647"/>
      <c r="AI61" s="647"/>
      <c r="AJ61" s="647"/>
      <c r="AK61" s="647"/>
      <c r="AL61" s="11"/>
      <c r="AM61" s="11"/>
      <c r="AN61" s="11"/>
    </row>
    <row r="62" spans="2:40">
      <c r="B62" s="7" t="s">
        <v>335</v>
      </c>
      <c r="C62" s="9"/>
      <c r="D62" s="9"/>
      <c r="E62" s="17"/>
      <c r="F62" s="17"/>
      <c r="G62" s="17"/>
      <c r="H62" s="17"/>
      <c r="I62" s="17"/>
      <c r="J62" s="17"/>
      <c r="K62" s="17"/>
      <c r="L62" s="648"/>
      <c r="M62" s="648"/>
      <c r="N62" s="648"/>
      <c r="O62" s="647"/>
      <c r="P62" s="647"/>
      <c r="Q62" s="647"/>
      <c r="R62" s="647"/>
      <c r="S62" s="647"/>
      <c r="T62" s="647"/>
      <c r="U62" s="647"/>
      <c r="V62" s="647"/>
      <c r="W62" s="647"/>
      <c r="X62" s="647"/>
      <c r="Y62" s="647"/>
      <c r="Z62" s="647"/>
      <c r="AA62" s="647"/>
      <c r="AB62" s="647"/>
      <c r="AC62" s="647"/>
      <c r="AD62" s="647"/>
      <c r="AE62" s="647"/>
      <c r="AF62" s="647"/>
      <c r="AG62" s="647"/>
      <c r="AH62" s="647"/>
      <c r="AI62" s="647"/>
      <c r="AJ62" s="647"/>
      <c r="AK62" s="647"/>
      <c r="AL62" s="11"/>
      <c r="AM62" s="11"/>
      <c r="AN62" s="11"/>
    </row>
    <row r="63" spans="2:40">
      <c r="B63" s="7" t="s">
        <v>336</v>
      </c>
      <c r="C63" s="9"/>
      <c r="D63" s="9"/>
      <c r="E63" s="17"/>
      <c r="F63" s="17"/>
      <c r="G63" s="17"/>
      <c r="H63" s="17"/>
      <c r="I63" s="17"/>
      <c r="J63" s="17"/>
      <c r="K63" s="17"/>
      <c r="L63" s="648"/>
      <c r="M63" s="648"/>
      <c r="N63" s="648"/>
      <c r="O63" s="647"/>
      <c r="P63" s="647"/>
      <c r="Q63" s="647"/>
      <c r="R63" s="647"/>
      <c r="S63" s="647"/>
      <c r="T63" s="647"/>
      <c r="U63" s="647"/>
      <c r="V63" s="647"/>
      <c r="W63" s="647"/>
      <c r="X63" s="647"/>
      <c r="Y63" s="647"/>
      <c r="Z63" s="647"/>
      <c r="AA63" s="647"/>
      <c r="AB63" s="647"/>
      <c r="AC63" s="647"/>
      <c r="AD63" s="647"/>
      <c r="AE63" s="647"/>
      <c r="AF63" s="647"/>
      <c r="AG63" s="647"/>
      <c r="AH63" s="647"/>
      <c r="AI63" s="647"/>
      <c r="AJ63" s="647"/>
      <c r="AK63" s="647"/>
      <c r="AL63" s="11"/>
      <c r="AM63" s="11"/>
      <c r="AN63" s="11"/>
    </row>
    <row r="64" spans="2:40">
      <c r="B64" s="7" t="s">
        <v>337</v>
      </c>
      <c r="C64" s="9"/>
      <c r="D64" s="9"/>
      <c r="E64" s="17"/>
      <c r="F64" s="17"/>
      <c r="G64" s="17"/>
      <c r="H64" s="17"/>
      <c r="I64" s="17"/>
      <c r="J64" s="17"/>
      <c r="K64" s="17"/>
      <c r="L64" s="648"/>
      <c r="M64" s="648"/>
      <c r="N64" s="648"/>
      <c r="O64" s="647"/>
      <c r="P64" s="647"/>
      <c r="Q64" s="647"/>
      <c r="R64" s="647"/>
      <c r="S64" s="647"/>
      <c r="T64" s="647"/>
      <c r="U64" s="647"/>
      <c r="V64" s="647"/>
      <c r="W64" s="647"/>
      <c r="X64" s="647"/>
      <c r="Y64" s="647"/>
      <c r="Z64" s="647"/>
      <c r="AA64" s="647"/>
      <c r="AB64" s="647"/>
      <c r="AC64" s="647"/>
      <c r="AD64" s="647"/>
      <c r="AE64" s="647"/>
      <c r="AF64" s="647"/>
      <c r="AG64" s="647"/>
      <c r="AH64" s="647"/>
      <c r="AI64" s="647"/>
      <c r="AJ64" s="647"/>
      <c r="AK64" s="647"/>
      <c r="AL64" s="11"/>
      <c r="AM64" s="11"/>
      <c r="AN64" s="11"/>
    </row>
    <row r="65" spans="1:40">
      <c r="B65" s="7" t="s">
        <v>338</v>
      </c>
      <c r="C65" s="9"/>
      <c r="D65" s="9"/>
      <c r="E65" s="17"/>
      <c r="F65" s="17"/>
      <c r="G65" s="17"/>
      <c r="H65" s="17"/>
      <c r="I65" s="17"/>
      <c r="J65" s="17"/>
      <c r="K65" s="17"/>
      <c r="L65" s="648"/>
      <c r="M65" s="648"/>
      <c r="N65" s="648"/>
      <c r="O65" s="647"/>
      <c r="P65" s="647"/>
      <c r="Q65" s="647"/>
      <c r="R65" s="647"/>
      <c r="S65" s="647"/>
      <c r="T65" s="647"/>
      <c r="U65" s="647"/>
      <c r="V65" s="647"/>
      <c r="W65" s="647"/>
      <c r="X65" s="647"/>
      <c r="Y65" s="647"/>
      <c r="Z65" s="647"/>
      <c r="AA65" s="647"/>
      <c r="AB65" s="647"/>
      <c r="AC65" s="647"/>
      <c r="AD65" s="647"/>
      <c r="AE65" s="647"/>
      <c r="AF65" s="647"/>
      <c r="AG65" s="647"/>
      <c r="AH65" s="647"/>
      <c r="AI65" s="647"/>
      <c r="AJ65" s="647"/>
      <c r="AK65" s="647"/>
      <c r="AL65" s="11"/>
      <c r="AM65" s="11"/>
      <c r="AN65" s="11"/>
    </row>
    <row r="66" spans="1:40">
      <c r="B66" s="7" t="s">
        <v>339</v>
      </c>
      <c r="C66" s="9"/>
      <c r="D66" s="9"/>
      <c r="E66" s="17"/>
      <c r="F66" s="17"/>
      <c r="G66" s="17"/>
      <c r="H66" s="17"/>
      <c r="I66" s="17"/>
      <c r="J66" s="17"/>
      <c r="K66" s="17"/>
      <c r="L66" s="648"/>
      <c r="M66" s="648"/>
      <c r="N66" s="648"/>
      <c r="O66" s="647"/>
      <c r="P66" s="647"/>
      <c r="Q66" s="647"/>
      <c r="R66" s="647"/>
      <c r="S66" s="647"/>
      <c r="T66" s="647"/>
      <c r="U66" s="647"/>
      <c r="V66" s="647"/>
      <c r="W66" s="647"/>
      <c r="X66" s="647"/>
      <c r="Y66" s="647"/>
      <c r="Z66" s="647"/>
      <c r="AA66" s="647"/>
      <c r="AB66" s="647"/>
      <c r="AC66" s="647"/>
      <c r="AD66" s="647"/>
      <c r="AE66" s="647"/>
      <c r="AF66" s="647"/>
      <c r="AG66" s="647"/>
      <c r="AH66" s="647"/>
      <c r="AI66" s="647"/>
      <c r="AJ66" s="647"/>
      <c r="AK66" s="647"/>
      <c r="AL66" s="11"/>
      <c r="AM66" s="11"/>
      <c r="AN66" s="11"/>
    </row>
    <row r="67" spans="1:40">
      <c r="B67" s="7" t="s">
        <v>340</v>
      </c>
      <c r="C67" s="9"/>
      <c r="D67" s="9"/>
      <c r="E67" s="17"/>
      <c r="F67" s="17"/>
      <c r="G67" s="17"/>
      <c r="H67" s="17"/>
      <c r="I67" s="17"/>
      <c r="J67" s="17"/>
      <c r="K67" s="17"/>
      <c r="L67" s="648"/>
      <c r="M67" s="648"/>
      <c r="N67" s="648"/>
      <c r="O67" s="647"/>
      <c r="P67" s="647"/>
      <c r="Q67" s="647"/>
      <c r="R67" s="647"/>
      <c r="S67" s="647"/>
      <c r="T67" s="647"/>
      <c r="U67" s="647"/>
      <c r="V67" s="647"/>
      <c r="W67" s="647"/>
      <c r="X67" s="647"/>
      <c r="Y67" s="647"/>
      <c r="Z67" s="647"/>
      <c r="AA67" s="647"/>
      <c r="AB67" s="647"/>
      <c r="AC67" s="647"/>
      <c r="AD67" s="647"/>
      <c r="AE67" s="647"/>
      <c r="AF67" s="647"/>
      <c r="AG67" s="647"/>
      <c r="AH67" s="647"/>
      <c r="AI67" s="647"/>
      <c r="AJ67" s="647"/>
      <c r="AK67" s="647"/>
      <c r="AL67" s="11"/>
      <c r="AM67" s="11"/>
      <c r="AN67" s="11"/>
    </row>
    <row r="68" spans="1:40">
      <c r="B68" s="7" t="s">
        <v>341</v>
      </c>
      <c r="C68" s="9"/>
      <c r="D68" s="9"/>
      <c r="E68" s="17"/>
      <c r="F68" s="17"/>
      <c r="G68" s="17"/>
      <c r="H68" s="17"/>
      <c r="I68" s="17"/>
      <c r="J68" s="17"/>
      <c r="K68" s="17"/>
      <c r="L68" s="648"/>
      <c r="M68" s="648"/>
      <c r="N68" s="648"/>
      <c r="O68" s="647"/>
      <c r="P68" s="647"/>
      <c r="Q68" s="647"/>
      <c r="R68" s="647"/>
      <c r="S68" s="647"/>
      <c r="T68" s="647"/>
      <c r="U68" s="647"/>
      <c r="V68" s="647"/>
      <c r="W68" s="647"/>
      <c r="X68" s="647"/>
      <c r="Y68" s="647"/>
      <c r="Z68" s="647"/>
      <c r="AA68" s="647"/>
      <c r="AB68" s="647"/>
      <c r="AC68" s="647"/>
      <c r="AD68" s="647"/>
      <c r="AE68" s="647"/>
      <c r="AF68" s="647"/>
      <c r="AG68" s="647"/>
      <c r="AH68" s="647"/>
      <c r="AI68" s="647"/>
      <c r="AJ68" s="647"/>
      <c r="AK68" s="647"/>
      <c r="AL68" s="11"/>
      <c r="AM68" s="11"/>
      <c r="AN68" s="11"/>
    </row>
    <row r="69" spans="1:40">
      <c r="B69" s="7" t="s">
        <v>342</v>
      </c>
      <c r="C69" s="9"/>
      <c r="D69" s="9"/>
      <c r="E69" s="17"/>
      <c r="F69" s="17"/>
      <c r="G69" s="17"/>
      <c r="H69" s="17"/>
      <c r="I69" s="17"/>
      <c r="J69" s="17"/>
      <c r="K69" s="17"/>
      <c r="L69" s="648"/>
      <c r="M69" s="648"/>
      <c r="N69" s="648"/>
      <c r="O69" s="647"/>
      <c r="P69" s="647"/>
      <c r="Q69" s="647"/>
      <c r="R69" s="647"/>
      <c r="S69" s="647"/>
      <c r="T69" s="647"/>
      <c r="U69" s="647"/>
      <c r="V69" s="647"/>
      <c r="W69" s="647"/>
      <c r="X69" s="647"/>
      <c r="Y69" s="647"/>
      <c r="Z69" s="647"/>
      <c r="AA69" s="647"/>
      <c r="AB69" s="647"/>
      <c r="AC69" s="647"/>
      <c r="AD69" s="647"/>
      <c r="AE69" s="647"/>
      <c r="AF69" s="647"/>
      <c r="AG69" s="647"/>
      <c r="AH69" s="647"/>
      <c r="AI69" s="647"/>
      <c r="AJ69" s="647"/>
      <c r="AK69" s="647"/>
      <c r="AL69" s="11"/>
      <c r="AM69" s="11"/>
      <c r="AN69" s="11"/>
    </row>
    <row r="70" spans="1:40">
      <c r="C70" s="14"/>
      <c r="D70" s="14"/>
      <c r="E70" s="646"/>
      <c r="F70" s="646"/>
      <c r="G70" s="646"/>
      <c r="H70" s="646"/>
      <c r="I70" s="646"/>
      <c r="J70" s="646"/>
      <c r="K70" s="646"/>
      <c r="L70" s="646"/>
      <c r="M70" s="646"/>
      <c r="N70" s="646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</row>
    <row r="71" spans="1:40" s="634" customFormat="1">
      <c r="B71" s="635" t="s">
        <v>776</v>
      </c>
      <c r="C71" s="636">
        <v>1998</v>
      </c>
      <c r="D71" s="636">
        <v>1999</v>
      </c>
      <c r="E71" s="636">
        <v>2000</v>
      </c>
      <c r="F71" s="636">
        <f t="shared" ref="F71:AN71" si="17">E71+1</f>
        <v>2001</v>
      </c>
      <c r="G71" s="636">
        <f t="shared" si="17"/>
        <v>2002</v>
      </c>
      <c r="H71" s="636">
        <f t="shared" si="17"/>
        <v>2003</v>
      </c>
      <c r="I71" s="636">
        <f t="shared" si="17"/>
        <v>2004</v>
      </c>
      <c r="J71" s="637">
        <f t="shared" si="17"/>
        <v>2005</v>
      </c>
      <c r="K71" s="637">
        <f t="shared" si="17"/>
        <v>2006</v>
      </c>
      <c r="L71" s="637">
        <f t="shared" si="17"/>
        <v>2007</v>
      </c>
      <c r="M71" s="637">
        <f t="shared" si="17"/>
        <v>2008</v>
      </c>
      <c r="N71" s="637">
        <f t="shared" si="17"/>
        <v>2009</v>
      </c>
      <c r="O71" s="637">
        <f t="shared" si="17"/>
        <v>2010</v>
      </c>
      <c r="P71" s="637">
        <f t="shared" si="17"/>
        <v>2011</v>
      </c>
      <c r="Q71" s="637">
        <f t="shared" si="17"/>
        <v>2012</v>
      </c>
      <c r="R71" s="637">
        <f t="shared" si="17"/>
        <v>2013</v>
      </c>
      <c r="S71" s="637">
        <f t="shared" si="17"/>
        <v>2014</v>
      </c>
      <c r="T71" s="637">
        <f t="shared" si="17"/>
        <v>2015</v>
      </c>
      <c r="U71" s="637">
        <f t="shared" si="17"/>
        <v>2016</v>
      </c>
      <c r="V71" s="637">
        <f t="shared" si="17"/>
        <v>2017</v>
      </c>
      <c r="W71" s="637">
        <f t="shared" si="17"/>
        <v>2018</v>
      </c>
      <c r="X71" s="637">
        <f t="shared" si="17"/>
        <v>2019</v>
      </c>
      <c r="Y71" s="637">
        <f t="shared" si="17"/>
        <v>2020</v>
      </c>
      <c r="Z71" s="637">
        <f t="shared" si="17"/>
        <v>2021</v>
      </c>
      <c r="AA71" s="637">
        <f t="shared" si="17"/>
        <v>2022</v>
      </c>
      <c r="AB71" s="637">
        <f t="shared" si="17"/>
        <v>2023</v>
      </c>
      <c r="AC71" s="637">
        <f t="shared" si="17"/>
        <v>2024</v>
      </c>
      <c r="AD71" s="637">
        <f t="shared" si="17"/>
        <v>2025</v>
      </c>
      <c r="AE71" s="637">
        <f t="shared" si="17"/>
        <v>2026</v>
      </c>
      <c r="AF71" s="637">
        <f t="shared" si="17"/>
        <v>2027</v>
      </c>
      <c r="AG71" s="637">
        <f t="shared" si="17"/>
        <v>2028</v>
      </c>
      <c r="AH71" s="637">
        <f t="shared" si="17"/>
        <v>2029</v>
      </c>
      <c r="AI71" s="637">
        <f t="shared" si="17"/>
        <v>2030</v>
      </c>
      <c r="AJ71" s="636">
        <f t="shared" si="17"/>
        <v>2031</v>
      </c>
      <c r="AK71" s="636">
        <f t="shared" si="17"/>
        <v>2032</v>
      </c>
      <c r="AL71" s="636">
        <f t="shared" si="17"/>
        <v>2033</v>
      </c>
      <c r="AM71" s="636">
        <f t="shared" si="17"/>
        <v>2034</v>
      </c>
      <c r="AN71" s="636">
        <f t="shared" si="17"/>
        <v>2035</v>
      </c>
    </row>
    <row r="72" spans="1:40" s="640" customFormat="1">
      <c r="A72" s="634"/>
      <c r="B72" s="408" t="s">
        <v>2</v>
      </c>
      <c r="C72" s="649"/>
      <c r="D72" s="649"/>
      <c r="E72" s="649"/>
      <c r="F72" s="649"/>
      <c r="G72" s="649"/>
      <c r="H72" s="649"/>
      <c r="I72" s="649"/>
      <c r="J72" s="650"/>
      <c r="K72" s="650"/>
      <c r="L72" s="653">
        <f>'Balance Sheet and Cflow'!B291</f>
        <v>3590</v>
      </c>
      <c r="M72" s="653">
        <f>'Balance Sheet and Cflow'!C291</f>
        <v>4402.2000000000007</v>
      </c>
      <c r="N72" s="653">
        <f>'Balance Sheet and Cflow'!D291</f>
        <v>4220</v>
      </c>
      <c r="O72" s="653">
        <f>'Balance Sheet and Cflow'!E291</f>
        <v>4416</v>
      </c>
      <c r="P72" s="653">
        <f>'Balance Sheet and Cflow'!F291</f>
        <v>4423</v>
      </c>
      <c r="Q72" s="653">
        <f>'Balance Sheet and Cflow'!G291</f>
        <v>4359</v>
      </c>
      <c r="R72" s="653">
        <f>'Balance Sheet and Cflow'!H291</f>
        <v>4522</v>
      </c>
      <c r="S72" s="653">
        <f>'Balance Sheet and Cflow'!I291</f>
        <v>4112.3305194230634</v>
      </c>
      <c r="T72" s="653">
        <f>'Balance Sheet and Cflow'!J291</f>
        <v>4426</v>
      </c>
      <c r="U72" s="653">
        <f>'Balance Sheet and Cflow'!K291</f>
        <v>4502</v>
      </c>
      <c r="V72" s="653">
        <f>'Balance Sheet and Cflow'!L291</f>
        <v>4195</v>
      </c>
      <c r="W72" s="653">
        <f>'Balance Sheet and Cflow'!M291</f>
        <v>3843</v>
      </c>
      <c r="X72" s="653">
        <f>'Balance Sheet and Cflow'!N291</f>
        <v>3926</v>
      </c>
      <c r="Y72" s="653">
        <f>'Balance Sheet and Cflow'!O291</f>
        <v>3814</v>
      </c>
      <c r="Z72" s="653">
        <f>'Balance Sheet and Cflow'!P291</f>
        <v>3876</v>
      </c>
      <c r="AA72" s="653">
        <f>'Balance Sheet and Cflow'!Q291</f>
        <v>3929</v>
      </c>
      <c r="AB72" s="653">
        <f>'Balance Sheet and Cflow'!R291</f>
        <v>3960</v>
      </c>
      <c r="AC72" s="653">
        <f>'Balance Sheet and Cflow'!S291</f>
        <v>4122</v>
      </c>
      <c r="AD72" s="653">
        <f>'Balance Sheet and Cflow'!T291</f>
        <v>4329</v>
      </c>
      <c r="AE72" s="653">
        <f>'Balance Sheet and Cflow'!U291</f>
        <v>4521.5932718038575</v>
      </c>
      <c r="AF72" s="653">
        <f>'Balance Sheet and Cflow'!V291</f>
        <v>4652.7746464653283</v>
      </c>
      <c r="AG72" s="653">
        <f>'Balance Sheet and Cflow'!W291</f>
        <v>4782.7277825729407</v>
      </c>
      <c r="AH72" s="653">
        <f>'Balance Sheet and Cflow'!X291</f>
        <v>4920.6127220270864</v>
      </c>
      <c r="AI72" s="653">
        <f>'Balance Sheet and Cflow'!Y291</f>
        <v>5055.0552341969897</v>
      </c>
      <c r="AJ72" s="653">
        <f>'Balance Sheet and Cflow'!Z291</f>
        <v>5192.1232583166502</v>
      </c>
      <c r="AK72" s="653">
        <f>'Balance Sheet and Cflow'!AA291</f>
        <v>5332.0710765879776</v>
      </c>
      <c r="AL72" s="639"/>
      <c r="AM72" s="639"/>
      <c r="AN72" s="639"/>
    </row>
    <row r="73" spans="1:40" s="640" customFormat="1">
      <c r="A73" s="634"/>
      <c r="B73" s="408" t="s">
        <v>760</v>
      </c>
      <c r="C73" s="649"/>
      <c r="D73" s="649"/>
      <c r="E73" s="649"/>
      <c r="F73" s="649"/>
      <c r="G73" s="649"/>
      <c r="H73" s="649"/>
      <c r="I73" s="649"/>
      <c r="J73" s="649"/>
      <c r="K73" s="649"/>
      <c r="L73" s="654">
        <f>'Balance Sheet and Cflow'!B292</f>
        <v>0</v>
      </c>
      <c r="M73" s="654">
        <f>'Balance Sheet and Cflow'!C292</f>
        <v>-496.50000000000006</v>
      </c>
      <c r="N73" s="654">
        <f>'Balance Sheet and Cflow'!D292</f>
        <v>-385</v>
      </c>
      <c r="O73" s="654">
        <f>'Balance Sheet and Cflow'!E292</f>
        <v>-225</v>
      </c>
      <c r="P73" s="654">
        <f>'Balance Sheet and Cflow'!F292</f>
        <v>-169</v>
      </c>
      <c r="Q73" s="654">
        <f>'Balance Sheet and Cflow'!G292</f>
        <v>36.512272727272801</v>
      </c>
      <c r="R73" s="654">
        <f>'Balance Sheet and Cflow'!H292</f>
        <v>-253.5122727272728</v>
      </c>
      <c r="S73" s="654">
        <f>'Balance Sheet and Cflow'!I292</f>
        <v>548</v>
      </c>
      <c r="T73" s="654">
        <f>'Balance Sheet and Cflow'!J292</f>
        <v>10</v>
      </c>
      <c r="U73" s="654">
        <f>'Balance Sheet and Cflow'!K292</f>
        <v>-220</v>
      </c>
      <c r="V73" s="654">
        <f>'Balance Sheet and Cflow'!L292</f>
        <v>-333</v>
      </c>
      <c r="W73" s="654">
        <f>'Balance Sheet and Cflow'!M292</f>
        <v>357</v>
      </c>
      <c r="X73" s="654">
        <f>'Balance Sheet and Cflow'!N292</f>
        <v>13</v>
      </c>
      <c r="Y73" s="654">
        <f>'Balance Sheet and Cflow'!O292</f>
        <v>-14</v>
      </c>
      <c r="Z73" s="654">
        <f>'Balance Sheet and Cflow'!P292</f>
        <v>332</v>
      </c>
      <c r="AA73" s="654">
        <f>'Balance Sheet and Cflow'!Q292</f>
        <v>-561</v>
      </c>
      <c r="AB73" s="654">
        <f>'Balance Sheet and Cflow'!R292</f>
        <v>1</v>
      </c>
      <c r="AC73" s="654">
        <f>'Balance Sheet and Cflow'!S292</f>
        <v>80</v>
      </c>
      <c r="AD73" s="654">
        <f>'Balance Sheet and Cflow'!T292</f>
        <v>-34</v>
      </c>
      <c r="AE73" s="654">
        <f>'Balance Sheet and Cflow'!U292</f>
        <v>-50.630121442028454</v>
      </c>
      <c r="AF73" s="654">
        <f>'Balance Sheet and Cflow'!V292</f>
        <v>-58.992535890515299</v>
      </c>
      <c r="AG73" s="654">
        <f>'Balance Sheet and Cflow'!W292</f>
        <v>-59.79576275715408</v>
      </c>
      <c r="AH73" s="654">
        <f>'Balance Sheet and Cflow'!X292</f>
        <v>-58.821841402358487</v>
      </c>
      <c r="AI73" s="654">
        <f>'Balance Sheet and Cflow'!Y292</f>
        <v>-61.300828546835376</v>
      </c>
      <c r="AJ73" s="654">
        <f>'Balance Sheet and Cflow'!Z292</f>
        <v>-61.797594246651329</v>
      </c>
      <c r="AK73" s="654">
        <f>'Balance Sheet and Cflow'!AA292</f>
        <v>-62.189827478250677</v>
      </c>
      <c r="AL73" s="638"/>
      <c r="AM73" s="638"/>
      <c r="AN73" s="638"/>
    </row>
    <row r="74" spans="1:40" s="640" customFormat="1">
      <c r="A74" s="634"/>
      <c r="B74" s="408" t="s">
        <v>761</v>
      </c>
      <c r="C74" s="649"/>
      <c r="D74" s="649"/>
      <c r="E74" s="649"/>
      <c r="F74" s="649"/>
      <c r="G74" s="649"/>
      <c r="H74" s="649"/>
      <c r="I74" s="649"/>
      <c r="J74" s="649"/>
      <c r="K74" s="649"/>
      <c r="L74" s="654">
        <f>'Balance Sheet and Cflow'!B293</f>
        <v>-188</v>
      </c>
      <c r="M74" s="654">
        <f>'Balance Sheet and Cflow'!C293</f>
        <v>-214</v>
      </c>
      <c r="N74" s="654">
        <f>'Balance Sheet and Cflow'!D293</f>
        <v>-222</v>
      </c>
      <c r="O74" s="654">
        <f>'Balance Sheet and Cflow'!E293</f>
        <v>-837</v>
      </c>
      <c r="P74" s="654">
        <f>'Balance Sheet and Cflow'!F293</f>
        <v>-473</v>
      </c>
      <c r="Q74" s="654">
        <f>'Balance Sheet and Cflow'!G293</f>
        <v>-716</v>
      </c>
      <c r="R74" s="654">
        <f>'Balance Sheet and Cflow'!H293</f>
        <v>-724</v>
      </c>
      <c r="S74" s="654">
        <f>'Balance Sheet and Cflow'!I293</f>
        <v>-688.76864535768641</v>
      </c>
      <c r="T74" s="654">
        <f>'Balance Sheet and Cflow'!J293</f>
        <v>-713</v>
      </c>
      <c r="U74" s="654">
        <f>'Balance Sheet and Cflow'!K293</f>
        <v>-709</v>
      </c>
      <c r="V74" s="654">
        <f>'Balance Sheet and Cflow'!L293</f>
        <v>-676</v>
      </c>
      <c r="W74" s="654">
        <f>'Balance Sheet and Cflow'!M293</f>
        <v>-585</v>
      </c>
      <c r="X74" s="654">
        <f>'Balance Sheet and Cflow'!N293</f>
        <v>-509</v>
      </c>
      <c r="Y74" s="654">
        <f>'Balance Sheet and Cflow'!O293</f>
        <v>-469</v>
      </c>
      <c r="Z74" s="654">
        <f>'Balance Sheet and Cflow'!P293</f>
        <v>-454</v>
      </c>
      <c r="AA74" s="654">
        <f>'Balance Sheet and Cflow'!Q293</f>
        <v>-651</v>
      </c>
      <c r="AB74" s="654">
        <f>'Balance Sheet and Cflow'!R293</f>
        <v>-452</v>
      </c>
      <c r="AC74" s="654">
        <f>'Balance Sheet and Cflow'!S293</f>
        <v>-481</v>
      </c>
      <c r="AD74" s="654">
        <f>'Balance Sheet and Cflow'!T293</f>
        <v>-506</v>
      </c>
      <c r="AE74" s="654">
        <f>'Balance Sheet and Cflow'!U293</f>
        <v>-582.29786590864785</v>
      </c>
      <c r="AF74" s="654">
        <f>'Balance Sheet and Cflow'!V293</f>
        <v>-607.75945221772884</v>
      </c>
      <c r="AG74" s="654">
        <f>'Balance Sheet and Cflow'!W293</f>
        <v>-644.42530994507149</v>
      </c>
      <c r="AH74" s="654">
        <f>'Balance Sheet and Cflow'!X293</f>
        <v>-684.17911150345446</v>
      </c>
      <c r="AI74" s="654">
        <f>'Balance Sheet and Cflow'!Y293</f>
        <v>-727.43730885866671</v>
      </c>
      <c r="AJ74" s="654">
        <f>'Balance Sheet and Cflow'!Z293</f>
        <v>-768.43018778106273</v>
      </c>
      <c r="AK74" s="654">
        <f>'Balance Sheet and Cflow'!AA293</f>
        <v>-816.86571219364487</v>
      </c>
      <c r="AL74" s="638"/>
      <c r="AM74" s="638"/>
      <c r="AN74" s="638"/>
    </row>
    <row r="75" spans="1:40" s="640" customFormat="1">
      <c r="A75" s="634"/>
      <c r="B75" s="408" t="s">
        <v>733</v>
      </c>
      <c r="C75" s="649"/>
      <c r="D75" s="649"/>
      <c r="E75" s="649"/>
      <c r="F75" s="649"/>
      <c r="G75" s="649"/>
      <c r="H75" s="649"/>
      <c r="I75" s="649"/>
      <c r="J75" s="649"/>
      <c r="K75" s="649"/>
      <c r="L75" s="654">
        <f>'Balance Sheet and Cflow'!B294</f>
        <v>-1123.8</v>
      </c>
      <c r="M75" s="654">
        <f>'Balance Sheet and Cflow'!C294</f>
        <v>-802.8</v>
      </c>
      <c r="N75" s="654">
        <f>'Balance Sheet and Cflow'!D294</f>
        <v>-590</v>
      </c>
      <c r="O75" s="654">
        <f>'Balance Sheet and Cflow'!E294</f>
        <v>-1444</v>
      </c>
      <c r="P75" s="654">
        <f>'Balance Sheet and Cflow'!F294</f>
        <v>-989</v>
      </c>
      <c r="Q75" s="654">
        <f>'Balance Sheet and Cflow'!G294</f>
        <v>-990</v>
      </c>
      <c r="R75" s="654">
        <f>'Balance Sheet and Cflow'!H294</f>
        <v>-815</v>
      </c>
      <c r="S75" s="654">
        <f>'Balance Sheet and Cflow'!I294</f>
        <v>-1140</v>
      </c>
      <c r="T75" s="654">
        <f>'Balance Sheet and Cflow'!J294</f>
        <v>-1304</v>
      </c>
      <c r="U75" s="654">
        <f>'Balance Sheet and Cflow'!K294</f>
        <v>-1189</v>
      </c>
      <c r="V75" s="654">
        <f>'Balance Sheet and Cflow'!L294</f>
        <v>-1028</v>
      </c>
      <c r="W75" s="654">
        <f>'Balance Sheet and Cflow'!M294</f>
        <v>-1038</v>
      </c>
      <c r="X75" s="654">
        <f>'Balance Sheet and Cflow'!N294</f>
        <v>-1213</v>
      </c>
      <c r="Y75" s="654">
        <f>'Balance Sheet and Cflow'!O294</f>
        <v>-1245</v>
      </c>
      <c r="Z75" s="654">
        <f>'Balance Sheet and Cflow'!P294</f>
        <v>-1187</v>
      </c>
      <c r="AA75" s="654">
        <f>'Balance Sheet and Cflow'!Q294</f>
        <v>-1114</v>
      </c>
      <c r="AB75" s="654">
        <f>'Balance Sheet and Cflow'!R294</f>
        <v>-813</v>
      </c>
      <c r="AC75" s="654">
        <f>'Balance Sheet and Cflow'!S294</f>
        <v>-674</v>
      </c>
      <c r="AD75" s="654">
        <f>'Balance Sheet and Cflow'!T294</f>
        <v>-986</v>
      </c>
      <c r="AE75" s="654">
        <f>'Balance Sheet and Cflow'!U294</f>
        <v>-1094.558857979579</v>
      </c>
      <c r="AF75" s="654">
        <f>'Balance Sheet and Cflow'!V294</f>
        <v>-1009.534532260039</v>
      </c>
      <c r="AG75" s="654">
        <f>'Balance Sheet and Cflow'!W294</f>
        <v>-1034.2470765174933</v>
      </c>
      <c r="AH75" s="654">
        <f>'Balance Sheet and Cflow'!X294</f>
        <v>-1060.3356434492387</v>
      </c>
      <c r="AI75" s="654">
        <f>'Balance Sheet and Cflow'!Y294</f>
        <v>-1085.6165288458519</v>
      </c>
      <c r="AJ75" s="654">
        <f>'Balance Sheet and Cflow'!Z294</f>
        <v>-1111.260654890877</v>
      </c>
      <c r="AK75" s="654">
        <f>'Balance Sheet and Cflow'!AA294</f>
        <v>-1516.4251017295933</v>
      </c>
      <c r="AL75" s="638"/>
      <c r="AM75" s="638"/>
      <c r="AN75" s="638"/>
    </row>
    <row r="76" spans="1:40" s="640" customFormat="1">
      <c r="A76" s="634"/>
      <c r="B76" s="408" t="s">
        <v>762</v>
      </c>
      <c r="C76" s="649"/>
      <c r="D76" s="649"/>
      <c r="E76" s="649"/>
      <c r="F76" s="649"/>
      <c r="G76" s="649"/>
      <c r="H76" s="649"/>
      <c r="I76" s="649"/>
      <c r="J76" s="649"/>
      <c r="K76" s="649"/>
      <c r="L76" s="654">
        <f>'Balance Sheet and Cflow'!B295</f>
        <v>0</v>
      </c>
      <c r="M76" s="654">
        <f>'Balance Sheet and Cflow'!C295</f>
        <v>0</v>
      </c>
      <c r="N76" s="654">
        <f>'Balance Sheet and Cflow'!D295</f>
        <v>0</v>
      </c>
      <c r="O76" s="654">
        <f>'Balance Sheet and Cflow'!E295</f>
        <v>0</v>
      </c>
      <c r="P76" s="654">
        <f>'Balance Sheet and Cflow'!F295</f>
        <v>0</v>
      </c>
      <c r="Q76" s="654">
        <f>'Balance Sheet and Cflow'!G295</f>
        <v>0</v>
      </c>
      <c r="R76" s="654">
        <f>'Balance Sheet and Cflow'!H295</f>
        <v>0</v>
      </c>
      <c r="S76" s="654">
        <f>'Balance Sheet and Cflow'!I295</f>
        <v>0</v>
      </c>
      <c r="T76" s="654">
        <f>'Balance Sheet and Cflow'!J295</f>
        <v>0</v>
      </c>
      <c r="U76" s="654">
        <f>'Balance Sheet and Cflow'!K295</f>
        <v>0</v>
      </c>
      <c r="V76" s="654">
        <f>'Balance Sheet and Cflow'!L295</f>
        <v>0</v>
      </c>
      <c r="W76" s="654">
        <f>'Balance Sheet and Cflow'!M295</f>
        <v>0</v>
      </c>
      <c r="X76" s="654">
        <f>'Balance Sheet and Cflow'!N295</f>
        <v>0</v>
      </c>
      <c r="Y76" s="654">
        <f>'Balance Sheet and Cflow'!O295</f>
        <v>0</v>
      </c>
      <c r="Z76" s="654">
        <f>'Balance Sheet and Cflow'!P295</f>
        <v>0</v>
      </c>
      <c r="AA76" s="654">
        <f>'Balance Sheet and Cflow'!Q295</f>
        <v>0</v>
      </c>
      <c r="AB76" s="654">
        <f>'Balance Sheet and Cflow'!R295</f>
        <v>0</v>
      </c>
      <c r="AC76" s="654">
        <f>'Balance Sheet and Cflow'!S295</f>
        <v>0</v>
      </c>
      <c r="AD76" s="654">
        <f>'Balance Sheet and Cflow'!T295</f>
        <v>0</v>
      </c>
      <c r="AE76" s="654">
        <f>'Balance Sheet and Cflow'!U295</f>
        <v>0</v>
      </c>
      <c r="AF76" s="654">
        <f>'Balance Sheet and Cflow'!V295</f>
        <v>0</v>
      </c>
      <c r="AG76" s="654">
        <f>'Balance Sheet and Cflow'!W295</f>
        <v>0</v>
      </c>
      <c r="AH76" s="654">
        <f>'Balance Sheet and Cflow'!X295</f>
        <v>0</v>
      </c>
      <c r="AI76" s="654">
        <f>'Balance Sheet and Cflow'!Y295</f>
        <v>0</v>
      </c>
      <c r="AJ76" s="654">
        <f>'Balance Sheet and Cflow'!Z295</f>
        <v>0</v>
      </c>
      <c r="AK76" s="654">
        <f>'Balance Sheet and Cflow'!AA295</f>
        <v>0</v>
      </c>
      <c r="AL76" s="638"/>
      <c r="AM76" s="638"/>
      <c r="AN76" s="638"/>
    </row>
    <row r="77" spans="1:40" s="640" customFormat="1">
      <c r="A77" s="634"/>
      <c r="B77" s="408" t="s">
        <v>763</v>
      </c>
      <c r="C77" s="649"/>
      <c r="D77" s="649"/>
      <c r="E77" s="649"/>
      <c r="F77" s="649"/>
      <c r="G77" s="649"/>
      <c r="H77" s="649"/>
      <c r="I77" s="649"/>
      <c r="J77" s="649"/>
      <c r="K77" s="649"/>
      <c r="L77" s="654">
        <f>'Balance Sheet and Cflow'!B296</f>
        <v>0</v>
      </c>
      <c r="M77" s="654">
        <f>'Balance Sheet and Cflow'!C296</f>
        <v>0</v>
      </c>
      <c r="N77" s="654">
        <f>'Balance Sheet and Cflow'!D296</f>
        <v>0</v>
      </c>
      <c r="O77" s="654">
        <f>'Balance Sheet and Cflow'!E296</f>
        <v>0</v>
      </c>
      <c r="P77" s="654">
        <f>'Balance Sheet and Cflow'!F296</f>
        <v>0</v>
      </c>
      <c r="Q77" s="654">
        <f>'Balance Sheet and Cflow'!G296</f>
        <v>0</v>
      </c>
      <c r="R77" s="654">
        <f>'Balance Sheet and Cflow'!H296</f>
        <v>0</v>
      </c>
      <c r="S77" s="654">
        <f>'Balance Sheet and Cflow'!I296</f>
        <v>0</v>
      </c>
      <c r="T77" s="654">
        <f>'Balance Sheet and Cflow'!J296</f>
        <v>0</v>
      </c>
      <c r="U77" s="654">
        <f>'Balance Sheet and Cflow'!K296</f>
        <v>0</v>
      </c>
      <c r="V77" s="654">
        <f>'Balance Sheet and Cflow'!L296</f>
        <v>0</v>
      </c>
      <c r="W77" s="654">
        <f>'Balance Sheet and Cflow'!M296</f>
        <v>0</v>
      </c>
      <c r="X77" s="654">
        <f>'Balance Sheet and Cflow'!N296</f>
        <v>0</v>
      </c>
      <c r="Y77" s="654">
        <f>'Balance Sheet and Cflow'!O296</f>
        <v>0</v>
      </c>
      <c r="Z77" s="654">
        <f>'Balance Sheet and Cflow'!P296</f>
        <v>0</v>
      </c>
      <c r="AA77" s="654">
        <f>'Balance Sheet and Cflow'!Q296</f>
        <v>0</v>
      </c>
      <c r="AB77" s="654">
        <f>'Balance Sheet and Cflow'!R296</f>
        <v>0</v>
      </c>
      <c r="AC77" s="654">
        <f>'Balance Sheet and Cflow'!S296</f>
        <v>0</v>
      </c>
      <c r="AD77" s="654">
        <f>'Balance Sheet and Cflow'!T296</f>
        <v>0</v>
      </c>
      <c r="AE77" s="654">
        <f>'Balance Sheet and Cflow'!U296</f>
        <v>0</v>
      </c>
      <c r="AF77" s="654">
        <f>'Balance Sheet and Cflow'!V296</f>
        <v>0</v>
      </c>
      <c r="AG77" s="654">
        <f>'Balance Sheet and Cflow'!W296</f>
        <v>0</v>
      </c>
      <c r="AH77" s="654">
        <f>'Balance Sheet and Cflow'!X296</f>
        <v>0</v>
      </c>
      <c r="AI77" s="654">
        <f>'Balance Sheet and Cflow'!Y296</f>
        <v>0</v>
      </c>
      <c r="AJ77" s="654">
        <f>'Balance Sheet and Cflow'!Z296</f>
        <v>0</v>
      </c>
      <c r="AK77" s="654">
        <f>'Balance Sheet and Cflow'!AA296</f>
        <v>0</v>
      </c>
      <c r="AL77" s="638"/>
      <c r="AM77" s="638"/>
      <c r="AN77" s="638"/>
    </row>
    <row r="78" spans="1:40" s="640" customFormat="1">
      <c r="A78" s="634"/>
      <c r="B78" s="408" t="s">
        <v>639</v>
      </c>
      <c r="C78" s="649"/>
      <c r="D78" s="649"/>
      <c r="E78" s="649"/>
      <c r="F78" s="649"/>
      <c r="G78" s="649"/>
      <c r="H78" s="649"/>
      <c r="I78" s="649"/>
      <c r="J78" s="649"/>
      <c r="K78" s="649"/>
      <c r="L78" s="654">
        <f>'Balance Sheet and Cflow'!B297</f>
        <v>0</v>
      </c>
      <c r="M78" s="654">
        <f>'Balance Sheet and Cflow'!C297</f>
        <v>0</v>
      </c>
      <c r="N78" s="654">
        <f>'Balance Sheet and Cflow'!D297</f>
        <v>0</v>
      </c>
      <c r="O78" s="654">
        <f>'Balance Sheet and Cflow'!E297</f>
        <v>0</v>
      </c>
      <c r="P78" s="654">
        <f>'Balance Sheet and Cflow'!F297</f>
        <v>0</v>
      </c>
      <c r="Q78" s="654">
        <f>'Balance Sheet and Cflow'!G297</f>
        <v>0</v>
      </c>
      <c r="R78" s="654">
        <f>'Balance Sheet and Cflow'!H297</f>
        <v>0</v>
      </c>
      <c r="S78" s="654">
        <f>'Balance Sheet and Cflow'!I297</f>
        <v>0</v>
      </c>
      <c r="T78" s="654">
        <f>'Balance Sheet and Cflow'!J297</f>
        <v>0</v>
      </c>
      <c r="U78" s="654">
        <f>'Balance Sheet and Cflow'!K297</f>
        <v>0</v>
      </c>
      <c r="V78" s="654">
        <f>'Balance Sheet and Cflow'!L297</f>
        <v>0</v>
      </c>
      <c r="W78" s="654">
        <f>'Balance Sheet and Cflow'!M297</f>
        <v>0</v>
      </c>
      <c r="X78" s="654">
        <f>'Balance Sheet and Cflow'!N297</f>
        <v>0</v>
      </c>
      <c r="Y78" s="654">
        <f>'Balance Sheet and Cflow'!O297</f>
        <v>0</v>
      </c>
      <c r="Z78" s="654">
        <f>'Balance Sheet and Cflow'!P297</f>
        <v>0</v>
      </c>
      <c r="AA78" s="654">
        <f>'Balance Sheet and Cflow'!Q297</f>
        <v>0</v>
      </c>
      <c r="AB78" s="654">
        <f>'Balance Sheet and Cflow'!R297</f>
        <v>0</v>
      </c>
      <c r="AC78" s="654">
        <f>'Balance Sheet and Cflow'!S297</f>
        <v>0</v>
      </c>
      <c r="AD78" s="654">
        <f>'Balance Sheet and Cflow'!T297</f>
        <v>0</v>
      </c>
      <c r="AE78" s="654">
        <f>'Balance Sheet and Cflow'!U297</f>
        <v>0</v>
      </c>
      <c r="AF78" s="654">
        <f>'Balance Sheet and Cflow'!V297</f>
        <v>0</v>
      </c>
      <c r="AG78" s="654">
        <f>'Balance Sheet and Cflow'!W297</f>
        <v>0</v>
      </c>
      <c r="AH78" s="654">
        <f>'Balance Sheet and Cflow'!X297</f>
        <v>0</v>
      </c>
      <c r="AI78" s="654">
        <f>'Balance Sheet and Cflow'!Y297</f>
        <v>0</v>
      </c>
      <c r="AJ78" s="654">
        <f>'Balance Sheet and Cflow'!Z297</f>
        <v>0</v>
      </c>
      <c r="AK78" s="654">
        <f>'Balance Sheet and Cflow'!AA297</f>
        <v>0</v>
      </c>
      <c r="AL78" s="638"/>
      <c r="AM78" s="638"/>
      <c r="AN78" s="638"/>
    </row>
    <row r="79" spans="1:40" s="640" customFormat="1">
      <c r="A79" s="634"/>
      <c r="B79" s="641" t="s">
        <v>764</v>
      </c>
      <c r="C79" s="651"/>
      <c r="D79" s="651"/>
      <c r="E79" s="651"/>
      <c r="F79" s="651"/>
      <c r="G79" s="651"/>
      <c r="H79" s="651"/>
      <c r="I79" s="651"/>
      <c r="J79" s="651"/>
      <c r="K79" s="651"/>
      <c r="L79" s="655">
        <f>'Balance Sheet and Cflow'!B298</f>
        <v>2278.1999999999998</v>
      </c>
      <c r="M79" s="655">
        <f>'Balance Sheet and Cflow'!C298</f>
        <v>2888.9000000000005</v>
      </c>
      <c r="N79" s="655">
        <f>'Balance Sheet and Cflow'!D298</f>
        <v>3023</v>
      </c>
      <c r="O79" s="655">
        <f>'Balance Sheet and Cflow'!E298</f>
        <v>1910</v>
      </c>
      <c r="P79" s="655">
        <f>'Balance Sheet and Cflow'!F298</f>
        <v>2792</v>
      </c>
      <c r="Q79" s="655">
        <f>'Balance Sheet and Cflow'!G298</f>
        <v>2689.5122727272728</v>
      </c>
      <c r="R79" s="655">
        <f>'Balance Sheet and Cflow'!H298</f>
        <v>2729.4877272727272</v>
      </c>
      <c r="S79" s="655">
        <f>'Balance Sheet and Cflow'!I298</f>
        <v>2831.5618740653772</v>
      </c>
      <c r="T79" s="655">
        <f>'Balance Sheet and Cflow'!J298</f>
        <v>2419</v>
      </c>
      <c r="U79" s="655">
        <f>'Balance Sheet and Cflow'!K298</f>
        <v>2384</v>
      </c>
      <c r="V79" s="655">
        <f>'Balance Sheet and Cflow'!L298</f>
        <v>2158</v>
      </c>
      <c r="W79" s="655">
        <f>'Balance Sheet and Cflow'!M298</f>
        <v>2577</v>
      </c>
      <c r="X79" s="655">
        <f>'Balance Sheet and Cflow'!N298</f>
        <v>2217</v>
      </c>
      <c r="Y79" s="655">
        <f>'Balance Sheet and Cflow'!O298</f>
        <v>2086</v>
      </c>
      <c r="Z79" s="655">
        <f>'Balance Sheet and Cflow'!P298</f>
        <v>2567</v>
      </c>
      <c r="AA79" s="655">
        <f>'Balance Sheet and Cflow'!Q298</f>
        <v>1603</v>
      </c>
      <c r="AB79" s="655">
        <f>'Balance Sheet and Cflow'!R298</f>
        <v>2696</v>
      </c>
      <c r="AC79" s="655">
        <f>'Balance Sheet and Cflow'!S298</f>
        <v>3047</v>
      </c>
      <c r="AD79" s="655">
        <f>'Balance Sheet and Cflow'!T298</f>
        <v>2803</v>
      </c>
      <c r="AE79" s="655">
        <f>'Balance Sheet and Cflow'!U298</f>
        <v>2794.1064264736024</v>
      </c>
      <c r="AF79" s="655">
        <f>'Balance Sheet and Cflow'!V298</f>
        <v>2976.4881260970451</v>
      </c>
      <c r="AG79" s="655">
        <f>'Balance Sheet and Cflow'!W298</f>
        <v>3044.2596333532219</v>
      </c>
      <c r="AH79" s="655">
        <f>'Balance Sheet and Cflow'!X298</f>
        <v>3117.2761256720341</v>
      </c>
      <c r="AI79" s="655">
        <f>'Balance Sheet and Cflow'!Y298</f>
        <v>3180.7005679456365</v>
      </c>
      <c r="AJ79" s="655">
        <f>'Balance Sheet and Cflow'!Z298</f>
        <v>3250.6348213980591</v>
      </c>
      <c r="AK79" s="655">
        <f>'Balance Sheet and Cflow'!AA298</f>
        <v>2936.5904351864888</v>
      </c>
      <c r="AL79" s="642"/>
      <c r="AM79" s="642"/>
      <c r="AN79" s="642"/>
    </row>
    <row r="80" spans="1:40" s="640" customFormat="1">
      <c r="A80" s="634"/>
      <c r="B80" s="408" t="s">
        <v>765</v>
      </c>
      <c r="C80" s="649"/>
      <c r="D80" s="649"/>
      <c r="E80" s="649"/>
      <c r="F80" s="649"/>
      <c r="G80" s="649"/>
      <c r="H80" s="649"/>
      <c r="I80" s="649"/>
      <c r="J80" s="649"/>
      <c r="K80" s="649"/>
      <c r="L80" s="654">
        <f>'Balance Sheet and Cflow'!B299</f>
        <v>-8.6000000000000014</v>
      </c>
      <c r="M80" s="654">
        <f>'Balance Sheet and Cflow'!C299</f>
        <v>17.899999999999999</v>
      </c>
      <c r="N80" s="654">
        <f>'Balance Sheet and Cflow'!D299</f>
        <v>-48</v>
      </c>
      <c r="O80" s="654">
        <f>'Balance Sheet and Cflow'!E299</f>
        <v>-211</v>
      </c>
      <c r="P80" s="654">
        <f>'Balance Sheet and Cflow'!F299</f>
        <v>-228</v>
      </c>
      <c r="Q80" s="654">
        <f>'Balance Sheet and Cflow'!G299</f>
        <v>-288</v>
      </c>
      <c r="R80" s="654">
        <f>'Balance Sheet and Cflow'!H299</f>
        <v>-329</v>
      </c>
      <c r="S80" s="654">
        <f>'Balance Sheet and Cflow'!I299</f>
        <v>-389</v>
      </c>
      <c r="T80" s="654">
        <f>'Balance Sheet and Cflow'!J299</f>
        <v>-412</v>
      </c>
      <c r="U80" s="654">
        <f>'Balance Sheet and Cflow'!K299</f>
        <v>-669</v>
      </c>
      <c r="V80" s="654">
        <f>'Balance Sheet and Cflow'!L299</f>
        <v>-384</v>
      </c>
      <c r="W80" s="654">
        <f>'Balance Sheet and Cflow'!M299</f>
        <v>-344.279</v>
      </c>
      <c r="X80" s="654">
        <f>'Balance Sheet and Cflow'!N299</f>
        <v>-399</v>
      </c>
      <c r="Y80" s="654">
        <f>'Balance Sheet and Cflow'!O299</f>
        <v>-405</v>
      </c>
      <c r="Z80" s="654">
        <f>'Balance Sheet and Cflow'!P299</f>
        <v>-413</v>
      </c>
      <c r="AA80" s="654">
        <f>'Balance Sheet and Cflow'!Q299</f>
        <v>-407</v>
      </c>
      <c r="AB80" s="654">
        <f>'Balance Sheet and Cflow'!R299</f>
        <v>-446</v>
      </c>
      <c r="AC80" s="654">
        <f>'Balance Sheet and Cflow'!S299</f>
        <v>-447</v>
      </c>
      <c r="AD80" s="654">
        <f>'Balance Sheet and Cflow'!T299</f>
        <v>-432</v>
      </c>
      <c r="AE80" s="654">
        <f>'Balance Sheet and Cflow'!U299</f>
        <v>-432.2472885032538</v>
      </c>
      <c r="AF80" s="654">
        <f>'Balance Sheet and Cflow'!V299</f>
        <v>-404.22957606993174</v>
      </c>
      <c r="AG80" s="654">
        <f>'Balance Sheet and Cflow'!W299</f>
        <v>-371.2795361682812</v>
      </c>
      <c r="AH80" s="654">
        <f>'Balance Sheet and Cflow'!X299</f>
        <v>-338.42089043880958</v>
      </c>
      <c r="AI80" s="654">
        <f>'Balance Sheet and Cflow'!Y299</f>
        <v>-305.81839984445975</v>
      </c>
      <c r="AJ80" s="654">
        <f>'Balance Sheet and Cflow'!Z299</f>
        <v>-274.54280377027874</v>
      </c>
      <c r="AK80" s="654">
        <f>'Balance Sheet and Cflow'!AA299</f>
        <v>-243.91394578134179</v>
      </c>
      <c r="AL80" s="638"/>
      <c r="AM80" s="638"/>
      <c r="AN80" s="638"/>
    </row>
    <row r="81" spans="1:40" s="640" customFormat="1">
      <c r="A81" s="634"/>
      <c r="B81" s="643" t="s">
        <v>766</v>
      </c>
      <c r="C81" s="652"/>
      <c r="D81" s="652"/>
      <c r="E81" s="652"/>
      <c r="F81" s="652"/>
      <c r="G81" s="652"/>
      <c r="H81" s="652"/>
      <c r="I81" s="652"/>
      <c r="J81" s="652"/>
      <c r="K81" s="652"/>
      <c r="L81" s="656">
        <f>'Balance Sheet and Cflow'!B300</f>
        <v>0</v>
      </c>
      <c r="M81" s="656">
        <f>'Balance Sheet and Cflow'!C300</f>
        <v>0</v>
      </c>
      <c r="N81" s="656">
        <f>'Balance Sheet and Cflow'!D300</f>
        <v>0</v>
      </c>
      <c r="O81" s="656">
        <f>'Balance Sheet and Cflow'!E300</f>
        <v>0</v>
      </c>
      <c r="P81" s="656">
        <f>'Balance Sheet and Cflow'!F300</f>
        <v>0</v>
      </c>
      <c r="Q81" s="656">
        <f>'Balance Sheet and Cflow'!G300</f>
        <v>0</v>
      </c>
      <c r="R81" s="656">
        <f>'Balance Sheet and Cflow'!H300</f>
        <v>0</v>
      </c>
      <c r="S81" s="656">
        <f>'Balance Sheet and Cflow'!I300</f>
        <v>0</v>
      </c>
      <c r="T81" s="656">
        <f>'Balance Sheet and Cflow'!J300</f>
        <v>0</v>
      </c>
      <c r="U81" s="656">
        <f>'Balance Sheet and Cflow'!K300</f>
        <v>0</v>
      </c>
      <c r="V81" s="656">
        <f>'Balance Sheet and Cflow'!L300</f>
        <v>0</v>
      </c>
      <c r="W81" s="656">
        <f>'Balance Sheet and Cflow'!M300</f>
        <v>0</v>
      </c>
      <c r="X81" s="656">
        <f>'Balance Sheet and Cflow'!N300</f>
        <v>0</v>
      </c>
      <c r="Y81" s="656">
        <f>'Balance Sheet and Cflow'!O300</f>
        <v>0</v>
      </c>
      <c r="Z81" s="656">
        <f>'Balance Sheet and Cflow'!P300</f>
        <v>0</v>
      </c>
      <c r="AA81" s="656">
        <f>'Balance Sheet and Cflow'!Q300</f>
        <v>0</v>
      </c>
      <c r="AB81" s="656">
        <f>'Balance Sheet and Cflow'!R300</f>
        <v>-322</v>
      </c>
      <c r="AC81" s="656">
        <f>'Balance Sheet and Cflow'!S300</f>
        <v>-287</v>
      </c>
      <c r="AD81" s="656">
        <f>'Balance Sheet and Cflow'!T300</f>
        <v>-304</v>
      </c>
      <c r="AE81" s="656">
        <f>'Balance Sheet and Cflow'!U300</f>
        <v>-308.85809678830424</v>
      </c>
      <c r="AF81" s="656">
        <f>'Balance Sheet and Cflow'!V300</f>
        <v>-315.85749472417206</v>
      </c>
      <c r="AG81" s="656">
        <f>'Balance Sheet and Cflow'!W300</f>
        <v>-323.34385290224674</v>
      </c>
      <c r="AH81" s="656">
        <f>'Balance Sheet and Cflow'!X300</f>
        <v>-331.32035438736074</v>
      </c>
      <c r="AI81" s="656">
        <f>'Balance Sheet and Cflow'!Y300</f>
        <v>-338.95733252848066</v>
      </c>
      <c r="AJ81" s="656">
        <f>'Balance Sheet and Cflow'!Z300</f>
        <v>-346.69661713198917</v>
      </c>
      <c r="AK81" s="656">
        <f>'Balance Sheet and Cflow'!AA300</f>
        <v>-354.55553515595051</v>
      </c>
      <c r="AL81" s="644"/>
      <c r="AM81" s="644"/>
      <c r="AN81" s="644"/>
    </row>
    <row r="82" spans="1:40" s="640" customFormat="1">
      <c r="A82" s="634"/>
      <c r="B82" s="645" t="s">
        <v>767</v>
      </c>
      <c r="C82" s="649"/>
      <c r="D82" s="649"/>
      <c r="E82" s="649"/>
      <c r="F82" s="649"/>
      <c r="G82" s="649"/>
      <c r="H82" s="649"/>
      <c r="I82" s="649"/>
      <c r="J82" s="649"/>
      <c r="K82" s="649"/>
      <c r="L82" s="654">
        <f>'Balance Sheet and Cflow'!B301</f>
        <v>2269.6</v>
      </c>
      <c r="M82" s="654">
        <f>'Balance Sheet and Cflow'!C301</f>
        <v>2906.8000000000006</v>
      </c>
      <c r="N82" s="654">
        <f>'Balance Sheet and Cflow'!D301</f>
        <v>2975</v>
      </c>
      <c r="O82" s="654">
        <f>'Balance Sheet and Cflow'!E301</f>
        <v>1699</v>
      </c>
      <c r="P82" s="654">
        <f>'Balance Sheet and Cflow'!F301</f>
        <v>2564</v>
      </c>
      <c r="Q82" s="654">
        <f>'Balance Sheet and Cflow'!G301</f>
        <v>2401.5122727272728</v>
      </c>
      <c r="R82" s="654">
        <f>'Balance Sheet and Cflow'!H301</f>
        <v>2400.4877272727272</v>
      </c>
      <c r="S82" s="654">
        <f>'Balance Sheet and Cflow'!I301</f>
        <v>2442.5618740653772</v>
      </c>
      <c r="T82" s="654">
        <f>'Balance Sheet and Cflow'!J301</f>
        <v>2007</v>
      </c>
      <c r="U82" s="654">
        <f>'Balance Sheet and Cflow'!K301</f>
        <v>1715</v>
      </c>
      <c r="V82" s="654">
        <f>'Balance Sheet and Cflow'!L301</f>
        <v>1774</v>
      </c>
      <c r="W82" s="654">
        <f>'Balance Sheet and Cflow'!M301</f>
        <v>2232.721</v>
      </c>
      <c r="X82" s="654">
        <f>'Balance Sheet and Cflow'!N301</f>
        <v>1818</v>
      </c>
      <c r="Y82" s="654">
        <f>'Balance Sheet and Cflow'!O301</f>
        <v>1681</v>
      </c>
      <c r="Z82" s="654">
        <f>'Balance Sheet and Cflow'!P301</f>
        <v>2154</v>
      </c>
      <c r="AA82" s="654">
        <f>'Balance Sheet and Cflow'!Q301</f>
        <v>1196</v>
      </c>
      <c r="AB82" s="654">
        <f>'Balance Sheet and Cflow'!R301</f>
        <v>1928</v>
      </c>
      <c r="AC82" s="654">
        <f>'Balance Sheet and Cflow'!S301</f>
        <v>2313</v>
      </c>
      <c r="AD82" s="654">
        <f>'Balance Sheet and Cflow'!T301</f>
        <v>2067</v>
      </c>
      <c r="AE82" s="654">
        <f>'Balance Sheet and Cflow'!U301</f>
        <v>2053.001041182044</v>
      </c>
      <c r="AF82" s="654">
        <f>'Balance Sheet and Cflow'!V301</f>
        <v>2256.4010553029411</v>
      </c>
      <c r="AG82" s="654">
        <f>'Balance Sheet and Cflow'!W301</f>
        <v>2349.636244282694</v>
      </c>
      <c r="AH82" s="654">
        <f>'Balance Sheet and Cflow'!X301</f>
        <v>2447.5348808458639</v>
      </c>
      <c r="AI82" s="654">
        <f>'Balance Sheet and Cflow'!Y301</f>
        <v>2535.9248355726963</v>
      </c>
      <c r="AJ82" s="654">
        <f>'Balance Sheet and Cflow'!Z301</f>
        <v>2629.3954004957914</v>
      </c>
      <c r="AK82" s="654">
        <f>'Balance Sheet and Cflow'!AA301</f>
        <v>2338.1209542491965</v>
      </c>
      <c r="AL82" s="638"/>
      <c r="AM82" s="638"/>
      <c r="AN82" s="638"/>
    </row>
    <row r="83" spans="1:40" s="640" customFormat="1">
      <c r="A83" s="634"/>
      <c r="B83" s="408" t="s">
        <v>768</v>
      </c>
      <c r="C83" s="649"/>
      <c r="D83" s="649"/>
      <c r="E83" s="649"/>
      <c r="F83" s="649"/>
      <c r="G83" s="649"/>
      <c r="H83" s="649"/>
      <c r="I83" s="649"/>
      <c r="J83" s="649"/>
      <c r="K83" s="649"/>
      <c r="L83" s="654">
        <f>'Balance Sheet and Cflow'!B302</f>
        <v>0</v>
      </c>
      <c r="M83" s="654">
        <f>'Balance Sheet and Cflow'!C302</f>
        <v>0</v>
      </c>
      <c r="N83" s="654">
        <f>'Balance Sheet and Cflow'!D302</f>
        <v>0</v>
      </c>
      <c r="O83" s="654">
        <f>'Balance Sheet and Cflow'!E302</f>
        <v>0</v>
      </c>
      <c r="P83" s="654">
        <f>'Balance Sheet and Cflow'!F302</f>
        <v>0</v>
      </c>
      <c r="Q83" s="654">
        <f>'Balance Sheet and Cflow'!G302</f>
        <v>0</v>
      </c>
      <c r="R83" s="654">
        <f>'Balance Sheet and Cflow'!H302</f>
        <v>0</v>
      </c>
      <c r="S83" s="654">
        <f>'Balance Sheet and Cflow'!I302</f>
        <v>0</v>
      </c>
      <c r="T83" s="654">
        <f>'Balance Sheet and Cflow'!J302</f>
        <v>0</v>
      </c>
      <c r="U83" s="654">
        <f>'Balance Sheet and Cflow'!K302</f>
        <v>0</v>
      </c>
      <c r="V83" s="654">
        <f>'Balance Sheet and Cflow'!L302</f>
        <v>0</v>
      </c>
      <c r="W83" s="654">
        <f>'Balance Sheet and Cflow'!M302</f>
        <v>0</v>
      </c>
      <c r="X83" s="654">
        <f>'Balance Sheet and Cflow'!N302</f>
        <v>0</v>
      </c>
      <c r="Y83" s="654">
        <f>'Balance Sheet and Cflow'!O302</f>
        <v>0</v>
      </c>
      <c r="Z83" s="654">
        <f>'Balance Sheet and Cflow'!P302</f>
        <v>0</v>
      </c>
      <c r="AA83" s="654">
        <f>'Balance Sheet and Cflow'!Q302</f>
        <v>0</v>
      </c>
      <c r="AB83" s="654">
        <f>'Balance Sheet and Cflow'!R302</f>
        <v>0</v>
      </c>
      <c r="AC83" s="654">
        <f>'Balance Sheet and Cflow'!S302</f>
        <v>0</v>
      </c>
      <c r="AD83" s="654">
        <f>'Balance Sheet and Cflow'!T302</f>
        <v>0</v>
      </c>
      <c r="AE83" s="654">
        <f>'Balance Sheet and Cflow'!U302</f>
        <v>0</v>
      </c>
      <c r="AF83" s="654">
        <f>'Balance Sheet and Cflow'!V302</f>
        <v>0</v>
      </c>
      <c r="AG83" s="654">
        <f>'Balance Sheet and Cflow'!W302</f>
        <v>0</v>
      </c>
      <c r="AH83" s="654">
        <f>'Balance Sheet and Cflow'!X302</f>
        <v>0</v>
      </c>
      <c r="AI83" s="654">
        <f>'Balance Sheet and Cflow'!Y302</f>
        <v>0</v>
      </c>
      <c r="AJ83" s="654">
        <f>'Balance Sheet and Cflow'!Z302</f>
        <v>0</v>
      </c>
      <c r="AK83" s="654">
        <f>'Balance Sheet and Cflow'!AA302</f>
        <v>0</v>
      </c>
      <c r="AL83" s="638"/>
      <c r="AM83" s="638"/>
      <c r="AN83" s="638"/>
    </row>
    <row r="84" spans="1:40" s="640" customFormat="1">
      <c r="A84" s="634"/>
      <c r="B84" s="641" t="s">
        <v>769</v>
      </c>
      <c r="C84" s="651"/>
      <c r="D84" s="651"/>
      <c r="E84" s="651"/>
      <c r="F84" s="651"/>
      <c r="G84" s="651"/>
      <c r="H84" s="651"/>
      <c r="I84" s="651"/>
      <c r="J84" s="651"/>
      <c r="K84" s="651"/>
      <c r="L84" s="655">
        <f>'Balance Sheet and Cflow'!B303</f>
        <v>2269.6</v>
      </c>
      <c r="M84" s="655">
        <f>'Balance Sheet and Cflow'!C303</f>
        <v>2906.8000000000006</v>
      </c>
      <c r="N84" s="655">
        <f>'Balance Sheet and Cflow'!D303</f>
        <v>2975</v>
      </c>
      <c r="O84" s="655">
        <f>'Balance Sheet and Cflow'!E303</f>
        <v>1699</v>
      </c>
      <c r="P84" s="655">
        <f>'Balance Sheet and Cflow'!F303</f>
        <v>2564</v>
      </c>
      <c r="Q84" s="655">
        <f>'Balance Sheet and Cflow'!G303</f>
        <v>2401.5122727272728</v>
      </c>
      <c r="R84" s="655">
        <f>'Balance Sheet and Cflow'!H303</f>
        <v>2400.4877272727272</v>
      </c>
      <c r="S84" s="655">
        <f>'Balance Sheet and Cflow'!I303</f>
        <v>2442.5618740653772</v>
      </c>
      <c r="T84" s="655">
        <f>'Balance Sheet and Cflow'!J303</f>
        <v>2007</v>
      </c>
      <c r="U84" s="655">
        <f>'Balance Sheet and Cflow'!K303</f>
        <v>1715</v>
      </c>
      <c r="V84" s="655">
        <f>'Balance Sheet and Cflow'!L303</f>
        <v>1774</v>
      </c>
      <c r="W84" s="655">
        <f>'Balance Sheet and Cflow'!M303</f>
        <v>2232.721</v>
      </c>
      <c r="X84" s="655">
        <f>'Balance Sheet and Cflow'!N303</f>
        <v>1818</v>
      </c>
      <c r="Y84" s="655">
        <f>'Balance Sheet and Cflow'!O303</f>
        <v>1681</v>
      </c>
      <c r="Z84" s="655">
        <f>'Balance Sheet and Cflow'!P303</f>
        <v>2154</v>
      </c>
      <c r="AA84" s="655">
        <f>'Balance Sheet and Cflow'!Q303</f>
        <v>1196</v>
      </c>
      <c r="AB84" s="655">
        <f>'Balance Sheet and Cflow'!R303</f>
        <v>1928</v>
      </c>
      <c r="AC84" s="655">
        <f>'Balance Sheet and Cflow'!S303</f>
        <v>2313</v>
      </c>
      <c r="AD84" s="655">
        <f>'Balance Sheet and Cflow'!T303</f>
        <v>2067</v>
      </c>
      <c r="AE84" s="655">
        <f>'Balance Sheet and Cflow'!U303</f>
        <v>2053.001041182044</v>
      </c>
      <c r="AF84" s="655">
        <f>'Balance Sheet and Cflow'!V303</f>
        <v>2256.4010553029411</v>
      </c>
      <c r="AG84" s="655">
        <f>'Balance Sheet and Cflow'!W303</f>
        <v>2349.636244282694</v>
      </c>
      <c r="AH84" s="655">
        <f>'Balance Sheet and Cflow'!X303</f>
        <v>2447.5348808458639</v>
      </c>
      <c r="AI84" s="655">
        <f>'Balance Sheet and Cflow'!Y303</f>
        <v>2535.9248355726963</v>
      </c>
      <c r="AJ84" s="655">
        <f>'Balance Sheet and Cflow'!Z303</f>
        <v>2629.3954004957914</v>
      </c>
      <c r="AK84" s="655">
        <f>'Balance Sheet and Cflow'!AA303</f>
        <v>2338.1209542491965</v>
      </c>
      <c r="AL84" s="642"/>
      <c r="AM84" s="642"/>
      <c r="AN84" s="642"/>
    </row>
    <row r="85" spans="1:40" s="640" customFormat="1">
      <c r="A85" s="634"/>
      <c r="B85" s="408"/>
      <c r="C85" s="649"/>
      <c r="D85" s="649"/>
      <c r="E85" s="649"/>
      <c r="F85" s="649"/>
      <c r="G85" s="649"/>
      <c r="H85" s="649"/>
      <c r="I85" s="649"/>
      <c r="J85" s="649"/>
      <c r="K85" s="649"/>
      <c r="L85" s="654"/>
      <c r="M85" s="654"/>
      <c r="N85" s="654"/>
      <c r="O85" s="654"/>
      <c r="P85" s="654"/>
      <c r="Q85" s="654"/>
      <c r="R85" s="654"/>
      <c r="S85" s="654"/>
      <c r="T85" s="654"/>
      <c r="U85" s="654"/>
      <c r="V85" s="654"/>
      <c r="W85" s="654"/>
      <c r="X85" s="654"/>
      <c r="Y85" s="654"/>
      <c r="Z85" s="654"/>
      <c r="AA85" s="654"/>
      <c r="AB85" s="654"/>
      <c r="AC85" s="654"/>
      <c r="AD85" s="654"/>
      <c r="AE85" s="654"/>
      <c r="AF85" s="654"/>
      <c r="AG85" s="654"/>
      <c r="AH85" s="654"/>
      <c r="AI85" s="654"/>
      <c r="AJ85" s="654"/>
      <c r="AK85" s="654"/>
      <c r="AL85" s="638"/>
      <c r="AM85" s="638"/>
      <c r="AN85" s="638"/>
    </row>
    <row r="86" spans="1:40" s="640" customFormat="1">
      <c r="A86" s="634"/>
      <c r="B86" s="408" t="s">
        <v>197</v>
      </c>
      <c r="C86" s="649"/>
      <c r="D86" s="649"/>
      <c r="E86" s="649"/>
      <c r="F86" s="649"/>
      <c r="G86" s="649"/>
      <c r="H86" s="649"/>
      <c r="I86" s="649"/>
      <c r="J86" s="650"/>
      <c r="K86" s="650"/>
      <c r="L86" s="654">
        <f>'Balance Sheet and Cflow'!B306</f>
        <v>0</v>
      </c>
      <c r="M86" s="654">
        <f>'Balance Sheet and Cflow'!C306</f>
        <v>0</v>
      </c>
      <c r="N86" s="654">
        <f>'Balance Sheet and Cflow'!D306</f>
        <v>2555</v>
      </c>
      <c r="O86" s="654">
        <f>'Balance Sheet and Cflow'!E306</f>
        <v>3000</v>
      </c>
      <c r="P86" s="654">
        <f>'Balance Sheet and Cflow'!F306</f>
        <v>3000</v>
      </c>
      <c r="Q86" s="654">
        <f>'Balance Sheet and Cflow'!G306</f>
        <v>3000</v>
      </c>
      <c r="R86" s="654">
        <f>'Balance Sheet and Cflow'!H306</f>
        <v>3000</v>
      </c>
      <c r="S86" s="654">
        <f>'Balance Sheet and Cflow'!I306</f>
        <v>3000</v>
      </c>
      <c r="T86" s="654">
        <f>'Balance Sheet and Cflow'!J306</f>
        <v>2325.0000000000005</v>
      </c>
      <c r="U86" s="654">
        <f>'Balance Sheet and Cflow'!K306</f>
        <v>1500</v>
      </c>
      <c r="V86" s="654">
        <f>'Balance Sheet and Cflow'!L306</f>
        <v>1532.096</v>
      </c>
      <c r="W86" s="654">
        <f>'Balance Sheet and Cflow'!M306</f>
        <v>1563.0229999999999</v>
      </c>
      <c r="X86" s="654">
        <f>'Balance Sheet and Cflow'!N306</f>
        <v>1564</v>
      </c>
      <c r="Y86" s="654">
        <f>'Balance Sheet and Cflow'!O306</f>
        <v>1330</v>
      </c>
      <c r="Z86" s="654">
        <f>'Balance Sheet and Cflow'!P306</f>
        <v>1330</v>
      </c>
      <c r="AA86" s="654">
        <f>'Balance Sheet and Cflow'!Q306</f>
        <v>1566</v>
      </c>
      <c r="AB86" s="654">
        <f>'Balance Sheet and Cflow'!R306</f>
        <v>1331</v>
      </c>
      <c r="AC86" s="654">
        <f>'Balance Sheet and Cflow'!S306</f>
        <v>1253</v>
      </c>
      <c r="AD86" s="654">
        <f>'Balance Sheet and Cflow'!T306</f>
        <v>1332</v>
      </c>
      <c r="AE86" s="654">
        <f>'Balance Sheet and Cflow'!U306</f>
        <v>1614.9853056527602</v>
      </c>
      <c r="AF86" s="654">
        <f>'Balance Sheet and Cflow'!V306</f>
        <v>1732.1144388205273</v>
      </c>
      <c r="AG86" s="654">
        <f>'Balance Sheet and Cflow'!W306</f>
        <v>1836.6121333434535</v>
      </c>
      <c r="AH86" s="654">
        <f>'Balance Sheet and Cflow'!X306</f>
        <v>1949.9104677848457</v>
      </c>
      <c r="AI86" s="654">
        <f>'Balance Sheet and Cflow'!Y306</f>
        <v>2073.1963302472004</v>
      </c>
      <c r="AJ86" s="654">
        <f>'Balance Sheet and Cflow'!Z306</f>
        <v>2190.0260351760289</v>
      </c>
      <c r="AK86" s="654">
        <f>'Balance Sheet and Cflow'!AA306</f>
        <v>2328.0672797518882</v>
      </c>
      <c r="AL86" s="639"/>
      <c r="AM86" s="639"/>
      <c r="AN86" s="639"/>
    </row>
    <row r="87" spans="1:40" s="640" customFormat="1">
      <c r="A87" s="634"/>
      <c r="B87" s="408" t="s">
        <v>772</v>
      </c>
      <c r="C87" s="649"/>
      <c r="D87" s="649"/>
      <c r="E87" s="649"/>
      <c r="F87" s="649"/>
      <c r="G87" s="649"/>
      <c r="H87" s="649"/>
      <c r="I87" s="649"/>
      <c r="J87" s="650"/>
      <c r="K87" s="650"/>
      <c r="L87" s="654">
        <f>'Balance Sheet and Cflow'!B307</f>
        <v>0</v>
      </c>
      <c r="M87" s="654">
        <f>'Balance Sheet and Cflow'!C307</f>
        <v>0</v>
      </c>
      <c r="N87" s="654">
        <f>'Balance Sheet and Cflow'!D307</f>
        <v>0</v>
      </c>
      <c r="O87" s="654">
        <f>'Balance Sheet and Cflow'!E307</f>
        <v>0</v>
      </c>
      <c r="P87" s="654">
        <f>'Balance Sheet and Cflow'!F307</f>
        <v>0</v>
      </c>
      <c r="Q87" s="654">
        <f>'Balance Sheet and Cflow'!G307</f>
        <v>0</v>
      </c>
      <c r="R87" s="654">
        <f>'Balance Sheet and Cflow'!H307</f>
        <v>0</v>
      </c>
      <c r="S87" s="654">
        <f>'Balance Sheet and Cflow'!I307</f>
        <v>0</v>
      </c>
      <c r="T87" s="654">
        <f>'Balance Sheet and Cflow'!J307</f>
        <v>0</v>
      </c>
      <c r="U87" s="654">
        <f>'Balance Sheet and Cflow'!K307</f>
        <v>0</v>
      </c>
      <c r="V87" s="654">
        <f>'Balance Sheet and Cflow'!L307</f>
        <v>0</v>
      </c>
      <c r="W87" s="654">
        <f>'Balance Sheet and Cflow'!M307</f>
        <v>0</v>
      </c>
      <c r="X87" s="654">
        <f>'Balance Sheet and Cflow'!N307</f>
        <v>0</v>
      </c>
      <c r="Y87" s="654">
        <f>'Balance Sheet and Cflow'!O307</f>
        <v>0</v>
      </c>
      <c r="Z87" s="654">
        <f>'Balance Sheet and Cflow'!P307</f>
        <v>0</v>
      </c>
      <c r="AA87" s="654">
        <f>'Balance Sheet and Cflow'!Q307</f>
        <v>0</v>
      </c>
      <c r="AB87" s="654">
        <f>'Balance Sheet and Cflow'!R307</f>
        <v>0</v>
      </c>
      <c r="AC87" s="654">
        <f>'Balance Sheet and Cflow'!S307</f>
        <v>0</v>
      </c>
      <c r="AD87" s="654">
        <f>'Balance Sheet and Cflow'!T307</f>
        <v>0</v>
      </c>
      <c r="AE87" s="654">
        <f>'Balance Sheet and Cflow'!U307</f>
        <v>0</v>
      </c>
      <c r="AF87" s="654">
        <f>'Balance Sheet and Cflow'!V307</f>
        <v>0</v>
      </c>
      <c r="AG87" s="654">
        <f>'Balance Sheet and Cflow'!W307</f>
        <v>0</v>
      </c>
      <c r="AH87" s="654">
        <f>'Balance Sheet and Cflow'!X307</f>
        <v>0</v>
      </c>
      <c r="AI87" s="654">
        <f>'Balance Sheet and Cflow'!Y307</f>
        <v>0</v>
      </c>
      <c r="AJ87" s="654">
        <f>'Balance Sheet and Cflow'!Z307</f>
        <v>0</v>
      </c>
      <c r="AK87" s="654">
        <f>'Balance Sheet and Cflow'!AA307</f>
        <v>0</v>
      </c>
      <c r="AL87" s="639"/>
      <c r="AM87" s="639"/>
      <c r="AN87" s="639"/>
    </row>
    <row r="88" spans="1:40"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</row>
    <row r="89" spans="1:40">
      <c r="B89" s="5" t="s">
        <v>343</v>
      </c>
      <c r="C89" s="6">
        <v>1998</v>
      </c>
      <c r="D89" s="6">
        <v>1999</v>
      </c>
      <c r="E89" s="6">
        <v>2000</v>
      </c>
      <c r="F89" s="6">
        <f t="shared" ref="F89:AN89" si="18">E89+1</f>
        <v>2001</v>
      </c>
      <c r="G89" s="6">
        <f t="shared" si="18"/>
        <v>2002</v>
      </c>
      <c r="H89" s="6">
        <f t="shared" si="18"/>
        <v>2003</v>
      </c>
      <c r="I89" s="6">
        <f t="shared" si="18"/>
        <v>2004</v>
      </c>
      <c r="J89" s="6">
        <f>I89+1</f>
        <v>2005</v>
      </c>
      <c r="K89" s="6">
        <f>J89+1</f>
        <v>2006</v>
      </c>
      <c r="L89" s="6">
        <f>K89+1</f>
        <v>2007</v>
      </c>
      <c r="M89" s="6">
        <f>L89+1</f>
        <v>2008</v>
      </c>
      <c r="N89" s="6">
        <f>M89+1</f>
        <v>2009</v>
      </c>
      <c r="O89" s="6">
        <f t="shared" si="18"/>
        <v>2010</v>
      </c>
      <c r="P89" s="6">
        <f t="shared" si="18"/>
        <v>2011</v>
      </c>
      <c r="Q89" s="6">
        <f t="shared" si="18"/>
        <v>2012</v>
      </c>
      <c r="R89" s="6">
        <f>Q89+1</f>
        <v>2013</v>
      </c>
      <c r="S89" s="6">
        <f>R89+1</f>
        <v>2014</v>
      </c>
      <c r="T89" s="6">
        <f t="shared" si="18"/>
        <v>2015</v>
      </c>
      <c r="U89" s="6">
        <f t="shared" si="18"/>
        <v>2016</v>
      </c>
      <c r="V89" s="6">
        <f t="shared" si="18"/>
        <v>2017</v>
      </c>
      <c r="W89" s="6">
        <f t="shared" si="18"/>
        <v>2018</v>
      </c>
      <c r="X89" s="6">
        <f t="shared" si="18"/>
        <v>2019</v>
      </c>
      <c r="Y89" s="6">
        <f t="shared" si="18"/>
        <v>2020</v>
      </c>
      <c r="Z89" s="6">
        <f t="shared" si="18"/>
        <v>2021</v>
      </c>
      <c r="AA89" s="6">
        <f t="shared" si="18"/>
        <v>2022</v>
      </c>
      <c r="AB89" s="6">
        <f t="shared" si="18"/>
        <v>2023</v>
      </c>
      <c r="AC89" s="6">
        <f t="shared" si="18"/>
        <v>2024</v>
      </c>
      <c r="AD89" s="6">
        <f t="shared" si="18"/>
        <v>2025</v>
      </c>
      <c r="AE89" s="6">
        <f t="shared" si="18"/>
        <v>2026</v>
      </c>
      <c r="AF89" s="6">
        <f t="shared" si="18"/>
        <v>2027</v>
      </c>
      <c r="AG89" s="6">
        <f t="shared" si="18"/>
        <v>2028</v>
      </c>
      <c r="AH89" s="6">
        <f t="shared" ref="AH89" si="19">AG89+1</f>
        <v>2029</v>
      </c>
      <c r="AI89" s="6">
        <f t="shared" ref="AI89" si="20">AH89+1</f>
        <v>2030</v>
      </c>
      <c r="AJ89" s="6">
        <f t="shared" ref="AJ89" si="21">AI89+1</f>
        <v>2031</v>
      </c>
      <c r="AK89" s="6">
        <f t="shared" ref="AK89" si="22">AJ89+1</f>
        <v>2032</v>
      </c>
      <c r="AL89" s="5">
        <f t="shared" si="18"/>
        <v>2033</v>
      </c>
      <c r="AM89" s="5">
        <f t="shared" si="18"/>
        <v>2034</v>
      </c>
      <c r="AN89" s="5">
        <f t="shared" si="18"/>
        <v>2035</v>
      </c>
    </row>
    <row r="90" spans="1:40">
      <c r="B90" s="18" t="s">
        <v>344</v>
      </c>
      <c r="C90" s="19"/>
      <c r="D90" s="19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11"/>
      <c r="AM90" s="11"/>
      <c r="AN90" s="11"/>
    </row>
    <row r="91" spans="1:40">
      <c r="B91" s="18" t="s">
        <v>345</v>
      </c>
      <c r="C91" s="19"/>
      <c r="D91" s="19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11"/>
      <c r="AM91" s="11"/>
      <c r="AN91" s="11"/>
    </row>
    <row r="92" spans="1:40">
      <c r="B92" s="18" t="s">
        <v>346</v>
      </c>
      <c r="C92" s="19"/>
      <c r="D92" s="19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11"/>
      <c r="AM92" s="11"/>
      <c r="AN92" s="11"/>
    </row>
    <row r="93" spans="1:40">
      <c r="B93" s="18" t="s">
        <v>347</v>
      </c>
      <c r="C93" s="19"/>
      <c r="D93" s="19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11"/>
      <c r="AM93" s="11"/>
      <c r="AN93" s="11"/>
    </row>
    <row r="94" spans="1:40">
      <c r="B94" s="18" t="s">
        <v>348</v>
      </c>
      <c r="C94" s="19"/>
      <c r="D94" s="19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11"/>
      <c r="AM94" s="11"/>
      <c r="AN94" s="11"/>
    </row>
    <row r="95" spans="1:40">
      <c r="B95" s="18" t="s">
        <v>349</v>
      </c>
      <c r="C95" s="19"/>
      <c r="D95" s="19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11"/>
      <c r="AM95" s="11"/>
      <c r="AN95" s="11"/>
    </row>
    <row r="96" spans="1:40">
      <c r="B96" s="18" t="s">
        <v>350</v>
      </c>
      <c r="C96" s="19"/>
      <c r="D96" s="19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11"/>
      <c r="AM96" s="11"/>
      <c r="AN96" s="11"/>
    </row>
    <row r="97" spans="2:40">
      <c r="B97" s="18" t="s">
        <v>351</v>
      </c>
      <c r="C97" s="19"/>
      <c r="D97" s="19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11"/>
      <c r="AM97" s="11"/>
      <c r="AN97" s="11"/>
    </row>
    <row r="98" spans="2:40">
      <c r="B98" s="18" t="s">
        <v>352</v>
      </c>
      <c r="C98" s="19"/>
      <c r="D98" s="19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11"/>
      <c r="AM98" s="11"/>
      <c r="AN98" s="11"/>
    </row>
    <row r="99" spans="2:40">
      <c r="B99" s="18" t="s">
        <v>353</v>
      </c>
      <c r="C99" s="19"/>
      <c r="D99" s="19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11"/>
      <c r="AM99" s="11"/>
      <c r="AN99" s="11"/>
    </row>
    <row r="100" spans="2:40">
      <c r="B100" s="18" t="s">
        <v>354</v>
      </c>
      <c r="C100" s="19"/>
      <c r="D100" s="19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11"/>
      <c r="AM100" s="11"/>
      <c r="AN100" s="11"/>
    </row>
    <row r="101" spans="2:40">
      <c r="B101" s="18" t="s">
        <v>162</v>
      </c>
      <c r="C101" s="19"/>
      <c r="D101" s="19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11"/>
      <c r="AM101" s="11"/>
      <c r="AN101" s="11"/>
    </row>
    <row r="102" spans="2:40">
      <c r="B102" s="18" t="s">
        <v>355</v>
      </c>
      <c r="C102" s="19"/>
      <c r="D102" s="19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11"/>
      <c r="AM102" s="11"/>
      <c r="AN102" s="11"/>
    </row>
    <row r="103" spans="2:40">
      <c r="B103" s="18" t="s">
        <v>142</v>
      </c>
      <c r="C103" s="19"/>
      <c r="D103" s="19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11"/>
      <c r="AM103" s="11"/>
      <c r="AN103" s="11"/>
    </row>
    <row r="104" spans="2:40">
      <c r="B104" s="18" t="s">
        <v>356</v>
      </c>
      <c r="C104" s="19"/>
      <c r="D104" s="19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11"/>
      <c r="AM104" s="11"/>
      <c r="AN104" s="11"/>
    </row>
    <row r="105" spans="2:40">
      <c r="B105" s="18" t="s">
        <v>357</v>
      </c>
      <c r="C105" s="19"/>
      <c r="D105" s="19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11"/>
      <c r="AM105" s="11"/>
      <c r="AN105" s="11"/>
    </row>
    <row r="106" spans="2:40">
      <c r="B106" s="18" t="s">
        <v>2</v>
      </c>
      <c r="C106" s="19"/>
      <c r="D106" s="19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11"/>
      <c r="AM106" s="11"/>
      <c r="AN106" s="11"/>
    </row>
    <row r="107" spans="2:40">
      <c r="B107" s="18" t="s">
        <v>358</v>
      </c>
      <c r="C107" s="19"/>
      <c r="D107" s="19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11"/>
      <c r="AM107" s="11"/>
      <c r="AN107" s="11"/>
    </row>
    <row r="108" spans="2:40">
      <c r="B108" s="18" t="s">
        <v>359</v>
      </c>
      <c r="C108" s="19"/>
      <c r="D108" s="19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11"/>
      <c r="AM108" s="11"/>
      <c r="AN108" s="11"/>
    </row>
    <row r="109" spans="2:40">
      <c r="B109" s="18" t="s">
        <v>360</v>
      </c>
      <c r="C109" s="19"/>
      <c r="D109" s="19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11"/>
      <c r="AM109" s="11"/>
      <c r="AN109" s="11"/>
    </row>
    <row r="110" spans="2:40">
      <c r="B110" s="18" t="s">
        <v>361</v>
      </c>
      <c r="C110" s="19"/>
      <c r="D110" s="19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11"/>
      <c r="AM110" s="11"/>
      <c r="AN110" s="11"/>
    </row>
    <row r="111" spans="2:40">
      <c r="B111" s="18" t="s">
        <v>362</v>
      </c>
      <c r="C111" s="19"/>
      <c r="D111" s="19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11"/>
      <c r="AM111" s="11"/>
      <c r="AN111" s="11"/>
    </row>
    <row r="112" spans="2:40">
      <c r="B112" s="18" t="s">
        <v>363</v>
      </c>
      <c r="C112" s="19"/>
      <c r="D112" s="19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11"/>
      <c r="AM112" s="11"/>
      <c r="AN112" s="11"/>
    </row>
    <row r="113" spans="2:40">
      <c r="B113" s="18" t="s">
        <v>364</v>
      </c>
      <c r="C113" s="19"/>
      <c r="D113" s="19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11"/>
      <c r="AM113" s="11"/>
      <c r="AN113" s="11"/>
    </row>
    <row r="114" spans="2:40">
      <c r="B114" s="18" t="s">
        <v>365</v>
      </c>
      <c r="C114" s="19"/>
      <c r="D114" s="19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11"/>
      <c r="AM114" s="11"/>
      <c r="AN114" s="11"/>
    </row>
    <row r="115" spans="2:40">
      <c r="B115" s="18" t="s">
        <v>366</v>
      </c>
      <c r="C115" s="19"/>
      <c r="D115" s="19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11"/>
      <c r="AM115" s="11"/>
      <c r="AN115" s="11"/>
    </row>
    <row r="116" spans="2:40">
      <c r="B116" s="18" t="s">
        <v>367</v>
      </c>
      <c r="C116" s="19"/>
      <c r="D116" s="19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11"/>
      <c r="AM116" s="11"/>
      <c r="AN116" s="11"/>
    </row>
    <row r="117" spans="2:40">
      <c r="B117" s="18" t="s">
        <v>368</v>
      </c>
      <c r="C117" s="19"/>
      <c r="D117" s="19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11"/>
      <c r="AM117" s="11"/>
      <c r="AN117" s="11"/>
    </row>
    <row r="118" spans="2:40">
      <c r="B118" s="18" t="s">
        <v>369</v>
      </c>
      <c r="C118" s="19"/>
      <c r="D118" s="19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11"/>
      <c r="AM118" s="11"/>
      <c r="AN118" s="11"/>
    </row>
    <row r="119" spans="2:40">
      <c r="B119" s="18" t="s">
        <v>370</v>
      </c>
      <c r="C119" s="19"/>
      <c r="D119" s="19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11"/>
      <c r="AM119" s="11"/>
      <c r="AN119" s="11"/>
    </row>
    <row r="120" spans="2:40">
      <c r="B120" s="18" t="s">
        <v>371</v>
      </c>
      <c r="C120" s="19"/>
      <c r="D120" s="19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11"/>
      <c r="AM120" s="11"/>
      <c r="AN120" s="11"/>
    </row>
    <row r="121" spans="2:40">
      <c r="B121" s="18" t="s">
        <v>372</v>
      </c>
      <c r="C121" s="19"/>
      <c r="D121" s="19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11"/>
      <c r="AM121" s="11"/>
      <c r="AN121" s="11"/>
    </row>
    <row r="122" spans="2:40">
      <c r="B122" s="18" t="s">
        <v>373</v>
      </c>
      <c r="C122" s="19"/>
      <c r="D122" s="19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11"/>
      <c r="AM122" s="11"/>
      <c r="AN122" s="11"/>
    </row>
    <row r="123" spans="2:40">
      <c r="B123" s="18" t="s">
        <v>374</v>
      </c>
      <c r="C123" s="19"/>
      <c r="D123" s="19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11"/>
      <c r="AM123" s="11"/>
      <c r="AN123" s="11"/>
    </row>
    <row r="124" spans="2:40">
      <c r="B124" s="18" t="s">
        <v>5</v>
      </c>
      <c r="C124" s="19"/>
      <c r="D124" s="19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11"/>
      <c r="AM124" s="11"/>
      <c r="AN124" s="11"/>
    </row>
    <row r="125" spans="2:40">
      <c r="B125" s="20"/>
      <c r="C125" s="21"/>
      <c r="D125" s="21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</row>
    <row r="126" spans="2:40">
      <c r="B126" s="5" t="s">
        <v>375</v>
      </c>
      <c r="C126" s="6">
        <v>1998</v>
      </c>
      <c r="D126" s="6">
        <v>1999</v>
      </c>
      <c r="E126" s="6">
        <v>2000</v>
      </c>
      <c r="F126" s="6">
        <f t="shared" ref="F126:AN126" si="23">E126+1</f>
        <v>2001</v>
      </c>
      <c r="G126" s="6">
        <f t="shared" si="23"/>
        <v>2002</v>
      </c>
      <c r="H126" s="6">
        <f t="shared" si="23"/>
        <v>2003</v>
      </c>
      <c r="I126" s="6">
        <f t="shared" si="23"/>
        <v>2004</v>
      </c>
      <c r="J126" s="6">
        <f>I126+1</f>
        <v>2005</v>
      </c>
      <c r="K126" s="6">
        <f>J126+1</f>
        <v>2006</v>
      </c>
      <c r="L126" s="6">
        <f>K126+1</f>
        <v>2007</v>
      </c>
      <c r="M126" s="6">
        <f>L126+1</f>
        <v>2008</v>
      </c>
      <c r="N126" s="6">
        <f>M126+1</f>
        <v>2009</v>
      </c>
      <c r="O126" s="6">
        <f t="shared" si="23"/>
        <v>2010</v>
      </c>
      <c r="P126" s="6">
        <f t="shared" si="23"/>
        <v>2011</v>
      </c>
      <c r="Q126" s="6">
        <f t="shared" si="23"/>
        <v>2012</v>
      </c>
      <c r="R126" s="6">
        <f>Q126+1</f>
        <v>2013</v>
      </c>
      <c r="S126" s="6">
        <f>R126+1</f>
        <v>2014</v>
      </c>
      <c r="T126" s="6">
        <f t="shared" si="23"/>
        <v>2015</v>
      </c>
      <c r="U126" s="6">
        <f t="shared" si="23"/>
        <v>2016</v>
      </c>
      <c r="V126" s="6">
        <f t="shared" si="23"/>
        <v>2017</v>
      </c>
      <c r="W126" s="6">
        <f t="shared" si="23"/>
        <v>2018</v>
      </c>
      <c r="X126" s="6">
        <f t="shared" si="23"/>
        <v>2019</v>
      </c>
      <c r="Y126" s="6">
        <f t="shared" si="23"/>
        <v>2020</v>
      </c>
      <c r="Z126" s="6">
        <f t="shared" si="23"/>
        <v>2021</v>
      </c>
      <c r="AA126" s="6">
        <f t="shared" si="23"/>
        <v>2022</v>
      </c>
      <c r="AB126" s="6">
        <f t="shared" si="23"/>
        <v>2023</v>
      </c>
      <c r="AC126" s="6">
        <f t="shared" si="23"/>
        <v>2024</v>
      </c>
      <c r="AD126" s="6">
        <f t="shared" si="23"/>
        <v>2025</v>
      </c>
      <c r="AE126" s="6">
        <f t="shared" si="23"/>
        <v>2026</v>
      </c>
      <c r="AF126" s="6">
        <f t="shared" si="23"/>
        <v>2027</v>
      </c>
      <c r="AG126" s="6">
        <f t="shared" si="23"/>
        <v>2028</v>
      </c>
      <c r="AH126" s="6">
        <f t="shared" ref="AH126" si="24">AG126+1</f>
        <v>2029</v>
      </c>
      <c r="AI126" s="6">
        <f t="shared" ref="AI126" si="25">AH126+1</f>
        <v>2030</v>
      </c>
      <c r="AJ126" s="6">
        <f t="shared" ref="AJ126" si="26">AI126+1</f>
        <v>2031</v>
      </c>
      <c r="AK126" s="6">
        <f t="shared" ref="AK126" si="27">AJ126+1</f>
        <v>2032</v>
      </c>
      <c r="AL126" s="5">
        <f t="shared" si="23"/>
        <v>2033</v>
      </c>
      <c r="AM126" s="5">
        <f t="shared" si="23"/>
        <v>2034</v>
      </c>
      <c r="AN126" s="5">
        <f t="shared" si="23"/>
        <v>2035</v>
      </c>
    </row>
    <row r="127" spans="2:40">
      <c r="B127" s="8" t="s">
        <v>133</v>
      </c>
      <c r="C127" s="647"/>
      <c r="D127" s="647"/>
      <c r="E127" s="647"/>
      <c r="F127" s="647"/>
      <c r="G127" s="647"/>
      <c r="H127" s="647"/>
      <c r="I127" s="647"/>
      <c r="J127" s="653">
        <f>J23</f>
        <v>0</v>
      </c>
      <c r="K127" s="653">
        <f>K23</f>
        <v>0</v>
      </c>
      <c r="L127" s="653">
        <f>L23</f>
        <v>-1124</v>
      </c>
      <c r="M127" s="653">
        <f>M23</f>
        <v>3599.4000000000005</v>
      </c>
      <c r="N127" s="653">
        <f t="shared" ref="N127:AA127" si="28">N23</f>
        <v>3630</v>
      </c>
      <c r="O127" s="653">
        <f t="shared" si="28"/>
        <v>2972</v>
      </c>
      <c r="P127" s="653">
        <f t="shared" si="28"/>
        <v>3434</v>
      </c>
      <c r="Q127" s="653">
        <f t="shared" si="28"/>
        <v>3369</v>
      </c>
      <c r="R127" s="653">
        <f t="shared" si="28"/>
        <v>3549</v>
      </c>
      <c r="S127" s="653">
        <f t="shared" si="28"/>
        <v>3132</v>
      </c>
      <c r="T127" s="653">
        <f t="shared" si="28"/>
        <v>3027</v>
      </c>
      <c r="U127" s="653">
        <f t="shared" si="28"/>
        <v>3362</v>
      </c>
      <c r="V127" s="653">
        <f t="shared" si="28"/>
        <v>3280</v>
      </c>
      <c r="W127" s="653">
        <f t="shared" si="28"/>
        <v>2779</v>
      </c>
      <c r="X127" s="653">
        <f t="shared" si="28"/>
        <v>2678</v>
      </c>
      <c r="Y127" s="653">
        <f t="shared" si="28"/>
        <v>2514</v>
      </c>
      <c r="Z127" s="653">
        <f t="shared" si="28"/>
        <v>2671</v>
      </c>
      <c r="AA127" s="653">
        <f t="shared" si="28"/>
        <v>2815</v>
      </c>
      <c r="AB127" s="653">
        <f t="shared" ref="AB127:AG127" si="29">AB23</f>
        <v>3147</v>
      </c>
      <c r="AC127" s="653">
        <f t="shared" si="29"/>
        <v>3448</v>
      </c>
      <c r="AD127" s="653">
        <f t="shared" si="29"/>
        <v>3343</v>
      </c>
      <c r="AE127" s="653">
        <f t="shared" si="29"/>
        <v>3427.0344138242785</v>
      </c>
      <c r="AF127" s="653">
        <f t="shared" si="29"/>
        <v>3643.2401142052895</v>
      </c>
      <c r="AG127" s="653">
        <f t="shared" si="29"/>
        <v>3748.4807060554476</v>
      </c>
      <c r="AH127" s="653">
        <f t="shared" ref="AH127:AK127" si="30">AH23</f>
        <v>3860.2770785778475</v>
      </c>
      <c r="AI127" s="653">
        <f t="shared" si="30"/>
        <v>3969.4387053511377</v>
      </c>
      <c r="AJ127" s="653">
        <f t="shared" si="30"/>
        <v>4080.8626034257732</v>
      </c>
      <c r="AK127" s="653">
        <f t="shared" si="30"/>
        <v>3815.6459748583843</v>
      </c>
      <c r="AL127" s="11"/>
      <c r="AM127" s="11"/>
      <c r="AN127" s="11"/>
    </row>
    <row r="128" spans="2:40">
      <c r="B128" s="8" t="s">
        <v>134</v>
      </c>
      <c r="C128" s="647"/>
      <c r="D128" s="647"/>
      <c r="E128" s="647"/>
      <c r="F128" s="647"/>
      <c r="G128" s="647"/>
      <c r="H128" s="647"/>
      <c r="I128" s="647"/>
      <c r="J128" s="653"/>
      <c r="K128" s="653"/>
      <c r="L128" s="653">
        <f>L28</f>
        <v>-8.6000000000000014</v>
      </c>
      <c r="M128" s="653">
        <f t="shared" ref="M128:AA128" si="31">M28</f>
        <v>17.899999999999999</v>
      </c>
      <c r="N128" s="653">
        <f t="shared" si="31"/>
        <v>-48</v>
      </c>
      <c r="O128" s="653">
        <f t="shared" si="31"/>
        <v>-211</v>
      </c>
      <c r="P128" s="653">
        <f t="shared" si="31"/>
        <v>-228</v>
      </c>
      <c r="Q128" s="653">
        <f t="shared" si="31"/>
        <v>-288</v>
      </c>
      <c r="R128" s="653">
        <f t="shared" si="31"/>
        <v>-329</v>
      </c>
      <c r="S128" s="653">
        <f t="shared" si="31"/>
        <v>-389</v>
      </c>
      <c r="T128" s="653">
        <f t="shared" si="31"/>
        <v>-412</v>
      </c>
      <c r="U128" s="653">
        <f t="shared" si="31"/>
        <v>-669</v>
      </c>
      <c r="V128" s="653">
        <f t="shared" si="31"/>
        <v>-384</v>
      </c>
      <c r="W128" s="653">
        <f t="shared" si="31"/>
        <v>-344.279</v>
      </c>
      <c r="X128" s="653">
        <f t="shared" si="31"/>
        <v>-399</v>
      </c>
      <c r="Y128" s="653">
        <f t="shared" si="31"/>
        <v>-405</v>
      </c>
      <c r="Z128" s="653">
        <f t="shared" si="31"/>
        <v>-413</v>
      </c>
      <c r="AA128" s="653">
        <f t="shared" si="31"/>
        <v>-407</v>
      </c>
      <c r="AB128" s="653">
        <f t="shared" ref="AB128:AG128" si="32">AB28</f>
        <v>-446</v>
      </c>
      <c r="AC128" s="653">
        <f t="shared" si="32"/>
        <v>-447</v>
      </c>
      <c r="AD128" s="653">
        <f t="shared" si="32"/>
        <v>-432</v>
      </c>
      <c r="AE128" s="653">
        <f t="shared" si="32"/>
        <v>-432.2472885032538</v>
      </c>
      <c r="AF128" s="653">
        <f t="shared" si="32"/>
        <v>-404.22957606993174</v>
      </c>
      <c r="AG128" s="653">
        <f t="shared" si="32"/>
        <v>-371.2795361682812</v>
      </c>
      <c r="AH128" s="653">
        <f t="shared" ref="AH128:AK128" si="33">AH28</f>
        <v>-338.42089043880958</v>
      </c>
      <c r="AI128" s="653">
        <f t="shared" si="33"/>
        <v>-305.81839984445975</v>
      </c>
      <c r="AJ128" s="653">
        <f t="shared" si="33"/>
        <v>-274.54280377027874</v>
      </c>
      <c r="AK128" s="653">
        <f t="shared" si="33"/>
        <v>-243.91394578134179</v>
      </c>
      <c r="AL128" s="11"/>
      <c r="AM128" s="11"/>
      <c r="AN128" s="11"/>
    </row>
    <row r="129" spans="2:40">
      <c r="B129" s="8" t="s">
        <v>376</v>
      </c>
      <c r="C129" s="647"/>
      <c r="D129" s="647"/>
      <c r="E129" s="647"/>
      <c r="F129" s="647"/>
      <c r="G129" s="647"/>
      <c r="H129" s="647"/>
      <c r="I129" s="647"/>
      <c r="J129" s="653"/>
      <c r="K129" s="653"/>
      <c r="L129" s="653">
        <f>-'Balance Sheet and Cflow'!B194</f>
        <v>-188</v>
      </c>
      <c r="M129" s="653">
        <f>-'Balance Sheet and Cflow'!C194</f>
        <v>-214</v>
      </c>
      <c r="N129" s="653">
        <f>-'Balance Sheet and Cflow'!D194</f>
        <v>-222</v>
      </c>
      <c r="O129" s="653">
        <f>-'Balance Sheet and Cflow'!E194</f>
        <v>-837</v>
      </c>
      <c r="P129" s="653">
        <f>-'Balance Sheet and Cflow'!F194</f>
        <v>-473</v>
      </c>
      <c r="Q129" s="653">
        <f>-'Balance Sheet and Cflow'!G194</f>
        <v>-716</v>
      </c>
      <c r="R129" s="653">
        <f>-'Balance Sheet and Cflow'!H194</f>
        <v>-724</v>
      </c>
      <c r="S129" s="653">
        <f>-'Balance Sheet and Cflow'!I194</f>
        <v>-688.76864535768641</v>
      </c>
      <c r="T129" s="653">
        <f>-'Balance Sheet and Cflow'!J194</f>
        <v>-713</v>
      </c>
      <c r="U129" s="653">
        <f>-'Balance Sheet and Cflow'!K194</f>
        <v>-709</v>
      </c>
      <c r="V129" s="653">
        <f>-'Balance Sheet and Cflow'!L194</f>
        <v>-676</v>
      </c>
      <c r="W129" s="653">
        <f>-'Balance Sheet and Cflow'!M194</f>
        <v>-585</v>
      </c>
      <c r="X129" s="653">
        <f>-'Balance Sheet and Cflow'!N194</f>
        <v>-509</v>
      </c>
      <c r="Y129" s="653">
        <f>-'Balance Sheet and Cflow'!O194</f>
        <v>-469</v>
      </c>
      <c r="Z129" s="653">
        <f>-'Balance Sheet and Cflow'!P194</f>
        <v>-454</v>
      </c>
      <c r="AA129" s="653">
        <f>-'Balance Sheet and Cflow'!Q194</f>
        <v>-651</v>
      </c>
      <c r="AB129" s="653">
        <f>-'Balance Sheet and Cflow'!R194</f>
        <v>-452</v>
      </c>
      <c r="AC129" s="653">
        <f>-'Balance Sheet and Cflow'!S194</f>
        <v>-481</v>
      </c>
      <c r="AD129" s="653">
        <f>-'Balance Sheet and Cflow'!T194</f>
        <v>-506</v>
      </c>
      <c r="AE129" s="653">
        <f>-'Balance Sheet and Cflow'!U194</f>
        <v>-582.29786590864785</v>
      </c>
      <c r="AF129" s="653">
        <f>-'Balance Sheet and Cflow'!V194</f>
        <v>-607.75945221772884</v>
      </c>
      <c r="AG129" s="653">
        <f>-'Balance Sheet and Cflow'!W194</f>
        <v>-644.42530994507149</v>
      </c>
      <c r="AH129" s="653">
        <f>-'Balance Sheet and Cflow'!X194</f>
        <v>-684.17911150345446</v>
      </c>
      <c r="AI129" s="653">
        <f>-'Balance Sheet and Cflow'!Y194</f>
        <v>-727.43730885866671</v>
      </c>
      <c r="AJ129" s="653">
        <f>-'Balance Sheet and Cflow'!Z194</f>
        <v>-768.43018778106273</v>
      </c>
      <c r="AK129" s="653">
        <f>-'Balance Sheet and Cflow'!AA194</f>
        <v>-816.86571219364487</v>
      </c>
      <c r="AL129" s="11"/>
      <c r="AM129" s="11"/>
      <c r="AN129" s="11"/>
    </row>
    <row r="130" spans="2:40">
      <c r="B130" s="8" t="s">
        <v>377</v>
      </c>
      <c r="C130" s="647"/>
      <c r="D130" s="647"/>
      <c r="E130" s="647"/>
      <c r="F130" s="647"/>
      <c r="G130" s="647"/>
      <c r="H130" s="647"/>
      <c r="I130" s="647"/>
      <c r="J130" s="653"/>
      <c r="K130" s="653"/>
      <c r="L130" s="653">
        <v>-211</v>
      </c>
      <c r="M130" s="653">
        <f>'Balance Sheet and Cflow'!C169</f>
        <v>0</v>
      </c>
      <c r="N130" s="653">
        <f>'Balance Sheet and Cflow'!D169</f>
        <v>2318</v>
      </c>
      <c r="O130" s="653">
        <f>'Balance Sheet and Cflow'!E169</f>
        <v>-225</v>
      </c>
      <c r="P130" s="653">
        <f>'Balance Sheet and Cflow'!F169</f>
        <v>-169</v>
      </c>
      <c r="Q130" s="653">
        <f>'Balance Sheet and Cflow'!G169</f>
        <v>36.512272727272801</v>
      </c>
      <c r="R130" s="653">
        <f>'Balance Sheet and Cflow'!H169</f>
        <v>-253.5122727272728</v>
      </c>
      <c r="S130" s="653">
        <f>'Balance Sheet and Cflow'!I169</f>
        <v>548</v>
      </c>
      <c r="T130" s="653">
        <f>'Balance Sheet and Cflow'!J169</f>
        <v>10</v>
      </c>
      <c r="U130" s="653">
        <f>'Balance Sheet and Cflow'!K169</f>
        <v>-220</v>
      </c>
      <c r="V130" s="653">
        <f>'Balance Sheet and Cflow'!L169</f>
        <v>-333</v>
      </c>
      <c r="W130" s="653">
        <f>'Balance Sheet and Cflow'!M169</f>
        <v>357</v>
      </c>
      <c r="X130" s="653">
        <f>'Balance Sheet and Cflow'!N169</f>
        <v>13</v>
      </c>
      <c r="Y130" s="653">
        <f>'Balance Sheet and Cflow'!O169</f>
        <v>-14</v>
      </c>
      <c r="Z130" s="653">
        <f>'Balance Sheet and Cflow'!P169</f>
        <v>332</v>
      </c>
      <c r="AA130" s="653">
        <f>'Balance Sheet and Cflow'!Q169</f>
        <v>-561</v>
      </c>
      <c r="AB130" s="653">
        <f>'Balance Sheet and Cflow'!R169</f>
        <v>1</v>
      </c>
      <c r="AC130" s="653">
        <f>'Balance Sheet and Cflow'!S169</f>
        <v>80</v>
      </c>
      <c r="AD130" s="653">
        <f>'Balance Sheet and Cflow'!T169</f>
        <v>-34</v>
      </c>
      <c r="AE130" s="653">
        <f>'Balance Sheet and Cflow'!U169</f>
        <v>-50.630121442028454</v>
      </c>
      <c r="AF130" s="653">
        <f>'Balance Sheet and Cflow'!V169</f>
        <v>-58.992535890515299</v>
      </c>
      <c r="AG130" s="653">
        <f>'Balance Sheet and Cflow'!W169</f>
        <v>-59.79576275715408</v>
      </c>
      <c r="AH130" s="653">
        <f>'Balance Sheet and Cflow'!X169</f>
        <v>-58.821841402358487</v>
      </c>
      <c r="AI130" s="653">
        <f>'Balance Sheet and Cflow'!Y169</f>
        <v>-61.300828546835376</v>
      </c>
      <c r="AJ130" s="653">
        <f>'Balance Sheet and Cflow'!Z169</f>
        <v>-61.797594246651329</v>
      </c>
      <c r="AK130" s="653">
        <f>'Balance Sheet and Cflow'!AA169</f>
        <v>-62.189827478250677</v>
      </c>
      <c r="AL130" s="11"/>
      <c r="AM130" s="11"/>
      <c r="AN130" s="11"/>
    </row>
    <row r="131" spans="2:40">
      <c r="B131" s="8" t="s">
        <v>137</v>
      </c>
      <c r="C131" s="647"/>
      <c r="D131" s="647"/>
      <c r="E131" s="647"/>
      <c r="F131" s="647"/>
      <c r="G131" s="647"/>
      <c r="H131" s="647"/>
      <c r="I131" s="647"/>
      <c r="J131" s="653"/>
      <c r="K131" s="653"/>
      <c r="L131" s="653">
        <v>0</v>
      </c>
      <c r="M131" s="653">
        <v>0</v>
      </c>
      <c r="N131" s="653">
        <v>0</v>
      </c>
      <c r="O131" s="653">
        <v>0</v>
      </c>
      <c r="P131" s="653">
        <v>0</v>
      </c>
      <c r="Q131" s="653">
        <v>0</v>
      </c>
      <c r="R131" s="653">
        <v>0</v>
      </c>
      <c r="S131" s="653">
        <v>0</v>
      </c>
      <c r="T131" s="653">
        <v>0</v>
      </c>
      <c r="U131" s="653">
        <v>0</v>
      </c>
      <c r="V131" s="653">
        <v>0</v>
      </c>
      <c r="W131" s="653">
        <v>0</v>
      </c>
      <c r="X131" s="653">
        <v>0</v>
      </c>
      <c r="Y131" s="653">
        <v>0</v>
      </c>
      <c r="Z131" s="653">
        <v>0</v>
      </c>
      <c r="AA131" s="653">
        <v>0</v>
      </c>
      <c r="AB131" s="653">
        <v>0</v>
      </c>
      <c r="AC131" s="653">
        <v>0</v>
      </c>
      <c r="AD131" s="653">
        <v>0</v>
      </c>
      <c r="AE131" s="653">
        <v>0</v>
      </c>
      <c r="AF131" s="653">
        <v>0</v>
      </c>
      <c r="AG131" s="653">
        <v>0</v>
      </c>
      <c r="AH131" s="653">
        <v>0</v>
      </c>
      <c r="AI131" s="653">
        <v>0</v>
      </c>
      <c r="AJ131" s="653">
        <v>0</v>
      </c>
      <c r="AK131" s="653">
        <v>0</v>
      </c>
      <c r="AL131" s="11"/>
      <c r="AM131" s="11"/>
      <c r="AN131" s="11"/>
    </row>
    <row r="132" spans="2:40">
      <c r="B132" s="8" t="s">
        <v>207</v>
      </c>
      <c r="C132" s="647"/>
      <c r="D132" s="647"/>
      <c r="E132" s="648"/>
      <c r="F132" s="648"/>
      <c r="G132" s="648"/>
      <c r="H132" s="647"/>
      <c r="I132" s="647"/>
      <c r="J132" s="653">
        <f>-(J137-I137)-(SUM(J127:J131)+SUM(J133:J135))</f>
        <v>0</v>
      </c>
      <c r="K132" s="653">
        <f>-(K137-J137)-(SUM(K127:K131)+SUM(K133:K135))</f>
        <v>0</v>
      </c>
      <c r="L132" s="653">
        <f t="shared" ref="L132:T132" si="34">-(K137-L137)-(SUM(L127:L131)+SUM(L133:L135))</f>
        <v>1531.6</v>
      </c>
      <c r="M132" s="653">
        <f t="shared" si="34"/>
        <v>-3403.3000000000006</v>
      </c>
      <c r="N132" s="653">
        <f t="shared" si="34"/>
        <v>-6997</v>
      </c>
      <c r="O132" s="653">
        <f t="shared" si="34"/>
        <v>618</v>
      </c>
      <c r="P132" s="653">
        <f t="shared" si="34"/>
        <v>-444</v>
      </c>
      <c r="Q132" s="653">
        <f t="shared" si="34"/>
        <v>0</v>
      </c>
      <c r="R132" s="653">
        <f t="shared" si="34"/>
        <v>78</v>
      </c>
      <c r="S132" s="653">
        <f t="shared" si="34"/>
        <v>-354.66948057693662</v>
      </c>
      <c r="T132" s="653">
        <f t="shared" si="34"/>
        <v>-701.99999999999955</v>
      </c>
      <c r="U132" s="653">
        <f>-(T137-U137)-(SUM(U127:U131)+SUM(U133:U135))</f>
        <v>-47</v>
      </c>
      <c r="V132" s="653">
        <f t="shared" ref="V132:AG132" si="35">-(U137-V137)-(SUM(V127:V131)+SUM(V133:V135))</f>
        <v>1783.096</v>
      </c>
      <c r="W132" s="653">
        <f t="shared" si="35"/>
        <v>85.561000000000149</v>
      </c>
      <c r="X132" s="653">
        <f t="shared" si="35"/>
        <v>-1504.2390000000005</v>
      </c>
      <c r="Y132" s="653">
        <f t="shared" si="35"/>
        <v>116.65000000000009</v>
      </c>
      <c r="Z132" s="653">
        <f t="shared" si="35"/>
        <v>-677</v>
      </c>
      <c r="AA132" s="653">
        <f t="shared" si="35"/>
        <v>32</v>
      </c>
      <c r="AB132" s="653">
        <f t="shared" si="35"/>
        <v>-885</v>
      </c>
      <c r="AC132" s="653">
        <f t="shared" si="35"/>
        <v>-969</v>
      </c>
      <c r="AD132" s="653">
        <f t="shared" si="35"/>
        <v>-736</v>
      </c>
      <c r="AE132" s="653">
        <f t="shared" si="35"/>
        <v>-219.05859445752617</v>
      </c>
      <c r="AF132" s="653">
        <f t="shared" si="35"/>
        <v>-217.30929988907042</v>
      </c>
      <c r="AG132" s="653">
        <f t="shared" si="35"/>
        <v>-215.35666502977028</v>
      </c>
      <c r="AH132" s="653">
        <f t="shared" ref="AH132" si="36">-(AG137-AH137)-(SUM(AH127:AH131)+SUM(AH133:AH135))</f>
        <v>-213.20621892524309</v>
      </c>
      <c r="AI132" s="653">
        <f t="shared" ref="AI132" si="37">-(AH137-AI137)-(SUM(AI127:AI131)+SUM(AI133:AI135))</f>
        <v>-211.07724612152106</v>
      </c>
      <c r="AJ132" s="653">
        <f t="shared" ref="AJ132" si="38">-(AI137-AJ137)-(SUM(AJ127:AJ131)+SUM(AJ133:AJ135))</f>
        <v>-207.91414596613959</v>
      </c>
      <c r="AK132" s="653">
        <f t="shared" ref="AK132" si="39">-(AJ137-AK137)-(SUM(AK127:AK131)+SUM(AK133:AK135))</f>
        <v>-203.75887574952912</v>
      </c>
      <c r="AL132" s="11"/>
      <c r="AM132" s="11"/>
      <c r="AN132" s="11"/>
    </row>
    <row r="133" spans="2:40">
      <c r="B133" s="8" t="s">
        <v>378</v>
      </c>
      <c r="C133" s="647"/>
      <c r="D133" s="648"/>
      <c r="E133" s="648"/>
      <c r="F133" s="648"/>
      <c r="G133" s="648"/>
      <c r="H133" s="647"/>
      <c r="I133" s="647"/>
      <c r="J133" s="653"/>
      <c r="K133" s="653"/>
      <c r="L133" s="653">
        <f>'Balance Sheet and Cflow'!B63</f>
        <v>0</v>
      </c>
      <c r="M133" s="653">
        <f>'Balance Sheet and Cflow'!C63</f>
        <v>0</v>
      </c>
      <c r="N133" s="653">
        <f>'Balance Sheet and Cflow'!D63</f>
        <v>0</v>
      </c>
      <c r="O133" s="653">
        <f>'Balance Sheet and Cflow'!E63</f>
        <v>0</v>
      </c>
      <c r="P133" s="653">
        <f>'Balance Sheet and Cflow'!F63</f>
        <v>0</v>
      </c>
      <c r="Q133" s="653">
        <f>'Balance Sheet and Cflow'!G63</f>
        <v>0</v>
      </c>
      <c r="R133" s="653">
        <f>'Balance Sheet and Cflow'!H63</f>
        <v>0</v>
      </c>
      <c r="S133" s="653">
        <f>'Balance Sheet and Cflow'!I63</f>
        <v>0</v>
      </c>
      <c r="T133" s="653">
        <f>'Balance Sheet and Cflow'!J63</f>
        <v>0</v>
      </c>
      <c r="U133" s="653">
        <f>'Balance Sheet and Cflow'!K63</f>
        <v>-816.75</v>
      </c>
      <c r="V133" s="653">
        <f>'Balance Sheet and Cflow'!L63</f>
        <v>0</v>
      </c>
      <c r="W133" s="653">
        <f>'Balance Sheet and Cflow'!M63</f>
        <v>-765.02</v>
      </c>
      <c r="X133" s="653">
        <f>'Balance Sheet and Cflow'!N63</f>
        <v>0</v>
      </c>
      <c r="Y133" s="653">
        <f>'Balance Sheet and Cflow'!O63</f>
        <v>-1075.6500000000001</v>
      </c>
      <c r="Z133" s="653">
        <f>'Balance Sheet and Cflow'!P63</f>
        <v>0</v>
      </c>
      <c r="AA133" s="653">
        <f>'Balance Sheet and Cflow'!Q63</f>
        <v>0</v>
      </c>
      <c r="AB133" s="653">
        <f>'Balance Sheet and Cflow'!R63</f>
        <v>0</v>
      </c>
      <c r="AC133" s="653">
        <f>'Balance Sheet and Cflow'!S63</f>
        <v>0</v>
      </c>
      <c r="AD133" s="653">
        <f>'Balance Sheet and Cflow'!T63</f>
        <v>0</v>
      </c>
      <c r="AE133" s="653">
        <f>'Balance Sheet and Cflow'!U63</f>
        <v>0</v>
      </c>
      <c r="AF133" s="653">
        <f>'Balance Sheet and Cflow'!V63</f>
        <v>0</v>
      </c>
      <c r="AG133" s="653">
        <f>'Balance Sheet and Cflow'!W63</f>
        <v>0</v>
      </c>
      <c r="AH133" s="653">
        <f>'Balance Sheet and Cflow'!X63</f>
        <v>0</v>
      </c>
      <c r="AI133" s="653">
        <f>'Balance Sheet and Cflow'!Y63</f>
        <v>0</v>
      </c>
      <c r="AJ133" s="653">
        <f>'Balance Sheet and Cflow'!Z63</f>
        <v>0</v>
      </c>
      <c r="AK133" s="653">
        <f>'Balance Sheet and Cflow'!AA63</f>
        <v>0</v>
      </c>
      <c r="AL133" s="11"/>
      <c r="AM133" s="11"/>
      <c r="AN133" s="11"/>
    </row>
    <row r="134" spans="2:40">
      <c r="B134" s="8" t="s">
        <v>139</v>
      </c>
      <c r="C134" s="647"/>
      <c r="D134" s="647"/>
      <c r="E134" s="647"/>
      <c r="F134" s="647"/>
      <c r="G134" s="647"/>
      <c r="H134" s="647"/>
      <c r="I134" s="647"/>
      <c r="J134" s="653"/>
      <c r="K134" s="653"/>
      <c r="L134" s="653">
        <f>'Balance Sheet and Cflow'!B61</f>
        <v>0</v>
      </c>
      <c r="M134" s="653">
        <f>'Balance Sheet and Cflow'!C61</f>
        <v>0</v>
      </c>
      <c r="N134" s="653">
        <f>'Balance Sheet and Cflow'!D61</f>
        <v>-2555</v>
      </c>
      <c r="O134" s="653">
        <f>'Balance Sheet and Cflow'!E61</f>
        <v>-3000</v>
      </c>
      <c r="P134" s="653">
        <f>'Balance Sheet and Cflow'!F61</f>
        <v>-3000</v>
      </c>
      <c r="Q134" s="653">
        <f>'Balance Sheet and Cflow'!G61</f>
        <v>-3000</v>
      </c>
      <c r="R134" s="653">
        <f>'Balance Sheet and Cflow'!H61</f>
        <v>-3000</v>
      </c>
      <c r="S134" s="653">
        <f>'Balance Sheet and Cflow'!I61</f>
        <v>-3000</v>
      </c>
      <c r="T134" s="653">
        <f>'Balance Sheet and Cflow'!J61</f>
        <v>-2325.0000000000005</v>
      </c>
      <c r="U134" s="653">
        <f>'Balance Sheet and Cflow'!K61</f>
        <v>-1500</v>
      </c>
      <c r="V134" s="653">
        <f>'Balance Sheet and Cflow'!L61</f>
        <v>-1532.096</v>
      </c>
      <c r="W134" s="653">
        <f>'Balance Sheet and Cflow'!M61</f>
        <v>-1563.0229999999999</v>
      </c>
      <c r="X134" s="653">
        <f>'Balance Sheet and Cflow'!N61</f>
        <v>-1564</v>
      </c>
      <c r="Y134" s="653">
        <f>'Balance Sheet and Cflow'!O61</f>
        <v>-1330</v>
      </c>
      <c r="Z134" s="653">
        <f>'Balance Sheet and Cflow'!P61</f>
        <v>-1330</v>
      </c>
      <c r="AA134" s="653">
        <f>'Balance Sheet and Cflow'!Q61</f>
        <v>-1566</v>
      </c>
      <c r="AB134" s="653">
        <f>'Balance Sheet and Cflow'!R61</f>
        <v>-1331</v>
      </c>
      <c r="AC134" s="653">
        <f>'Balance Sheet and Cflow'!S61</f>
        <v>-1253</v>
      </c>
      <c r="AD134" s="653">
        <f>'Balance Sheet and Cflow'!T61</f>
        <v>-1332</v>
      </c>
      <c r="AE134" s="653">
        <f>'Balance Sheet and Cflow'!U61</f>
        <v>-1614.9853056527602</v>
      </c>
      <c r="AF134" s="653">
        <f>'Balance Sheet and Cflow'!V61</f>
        <v>-1732.1144388205273</v>
      </c>
      <c r="AG134" s="653">
        <f>'Balance Sheet and Cflow'!W61</f>
        <v>-1836.6121333434535</v>
      </c>
      <c r="AH134" s="653">
        <f>'Balance Sheet and Cflow'!X61</f>
        <v>-1949.9104677848457</v>
      </c>
      <c r="AI134" s="653">
        <f>'Balance Sheet and Cflow'!Y61</f>
        <v>-2073.1963302472004</v>
      </c>
      <c r="AJ134" s="653">
        <f>'Balance Sheet and Cflow'!Z61</f>
        <v>-2190.0260351760289</v>
      </c>
      <c r="AK134" s="653">
        <f>'Balance Sheet and Cflow'!AA61</f>
        <v>-2328.0672797518882</v>
      </c>
      <c r="AL134" s="11"/>
      <c r="AM134" s="11"/>
      <c r="AN134" s="11"/>
    </row>
    <row r="135" spans="2:40">
      <c r="B135" s="8" t="s">
        <v>140</v>
      </c>
      <c r="C135" s="647"/>
      <c r="D135" s="647"/>
      <c r="E135" s="647"/>
      <c r="F135" s="647"/>
      <c r="G135" s="647"/>
      <c r="H135" s="647"/>
      <c r="I135" s="647"/>
      <c r="J135" s="653"/>
      <c r="K135" s="653"/>
      <c r="L135" s="653">
        <v>0</v>
      </c>
      <c r="M135" s="653">
        <v>0</v>
      </c>
      <c r="N135" s="653">
        <v>0</v>
      </c>
      <c r="O135" s="653">
        <v>0</v>
      </c>
      <c r="P135" s="653">
        <v>0</v>
      </c>
      <c r="Q135" s="653">
        <v>0</v>
      </c>
      <c r="R135" s="653">
        <v>0</v>
      </c>
      <c r="S135" s="653">
        <v>0</v>
      </c>
      <c r="T135" s="653">
        <v>0</v>
      </c>
      <c r="U135" s="653">
        <v>0</v>
      </c>
      <c r="V135" s="653">
        <v>0</v>
      </c>
      <c r="W135" s="653">
        <v>0</v>
      </c>
      <c r="X135" s="653">
        <v>0</v>
      </c>
      <c r="Y135" s="653">
        <v>0</v>
      </c>
      <c r="Z135" s="653">
        <v>0</v>
      </c>
      <c r="AA135" s="653">
        <v>0</v>
      </c>
      <c r="AB135" s="653">
        <v>0</v>
      </c>
      <c r="AC135" s="653">
        <v>0</v>
      </c>
      <c r="AD135" s="653">
        <v>0</v>
      </c>
      <c r="AE135" s="653">
        <v>0</v>
      </c>
      <c r="AF135" s="653">
        <v>0</v>
      </c>
      <c r="AG135" s="653">
        <v>0</v>
      </c>
      <c r="AH135" s="653">
        <v>0</v>
      </c>
      <c r="AI135" s="653">
        <v>0</v>
      </c>
      <c r="AJ135" s="653">
        <v>0</v>
      </c>
      <c r="AK135" s="653">
        <v>0</v>
      </c>
      <c r="AL135" s="11"/>
      <c r="AM135" s="11"/>
      <c r="AN135" s="11"/>
    </row>
    <row r="136" spans="2:40">
      <c r="B136" s="8" t="s">
        <v>131</v>
      </c>
      <c r="C136" s="647"/>
      <c r="D136" s="647"/>
      <c r="E136" s="648"/>
      <c r="F136" s="648"/>
      <c r="G136" s="648"/>
      <c r="H136" s="647"/>
      <c r="I136" s="647"/>
      <c r="J136" s="653">
        <f>SUM(J127:J135)</f>
        <v>0</v>
      </c>
      <c r="K136" s="653">
        <f>SUM(K127:K135)</f>
        <v>0</v>
      </c>
      <c r="L136" s="653">
        <f>SUM(L127:L135)</f>
        <v>0</v>
      </c>
      <c r="M136" s="653">
        <f>SUM(M127:M135)</f>
        <v>0</v>
      </c>
      <c r="N136" s="653">
        <f t="shared" ref="N136:Y136" si="40">SUM(N127:N135)</f>
        <v>-3874</v>
      </c>
      <c r="O136" s="653">
        <f t="shared" si="40"/>
        <v>-683</v>
      </c>
      <c r="P136" s="653">
        <f t="shared" si="40"/>
        <v>-880</v>
      </c>
      <c r="Q136" s="653">
        <f t="shared" si="40"/>
        <v>-598.48772727272717</v>
      </c>
      <c r="R136" s="653">
        <f t="shared" si="40"/>
        <v>-679.51227272727283</v>
      </c>
      <c r="S136" s="653">
        <f t="shared" si="40"/>
        <v>-752.4381259346228</v>
      </c>
      <c r="T136" s="653">
        <f t="shared" si="40"/>
        <v>-1115</v>
      </c>
      <c r="U136" s="653">
        <f t="shared" si="40"/>
        <v>-599.75</v>
      </c>
      <c r="V136" s="653">
        <f t="shared" si="40"/>
        <v>2138</v>
      </c>
      <c r="W136" s="653">
        <f t="shared" si="40"/>
        <v>-35.76099999999974</v>
      </c>
      <c r="X136" s="653">
        <f t="shared" si="40"/>
        <v>-1285.2390000000005</v>
      </c>
      <c r="Y136" s="653">
        <f t="shared" si="40"/>
        <v>-663</v>
      </c>
      <c r="Z136" s="653">
        <f t="shared" ref="Z136:AG136" si="41">SUM(Z127:Z135)</f>
        <v>129</v>
      </c>
      <c r="AA136" s="653">
        <f t="shared" si="41"/>
        <v>-338</v>
      </c>
      <c r="AB136" s="653">
        <f t="shared" si="41"/>
        <v>34</v>
      </c>
      <c r="AC136" s="653">
        <f t="shared" si="41"/>
        <v>378</v>
      </c>
      <c r="AD136" s="653">
        <f t="shared" si="41"/>
        <v>303</v>
      </c>
      <c r="AE136" s="653">
        <f t="shared" si="41"/>
        <v>527.81523786006142</v>
      </c>
      <c r="AF136" s="653">
        <f t="shared" si="41"/>
        <v>622.83481131751637</v>
      </c>
      <c r="AG136" s="653">
        <f t="shared" si="41"/>
        <v>621.0112988117171</v>
      </c>
      <c r="AH136" s="653">
        <f t="shared" ref="AH136:AK136" si="42">SUM(AH127:AH135)</f>
        <v>615.73854852313593</v>
      </c>
      <c r="AI136" s="653">
        <f t="shared" si="42"/>
        <v>590.60859173245444</v>
      </c>
      <c r="AJ136" s="653">
        <f t="shared" si="42"/>
        <v>578.15183648561197</v>
      </c>
      <c r="AK136" s="653">
        <f t="shared" si="42"/>
        <v>160.85033390372973</v>
      </c>
      <c r="AL136" s="11"/>
      <c r="AM136" s="11"/>
      <c r="AN136" s="11"/>
    </row>
    <row r="137" spans="2:40">
      <c r="B137" s="8" t="s">
        <v>164</v>
      </c>
      <c r="C137" s="647"/>
      <c r="D137" s="647"/>
      <c r="E137" s="647"/>
      <c r="F137" s="647"/>
      <c r="G137" s="647"/>
      <c r="H137" s="647"/>
      <c r="I137" s="647"/>
      <c r="J137" s="653"/>
      <c r="K137" s="653"/>
      <c r="L137" s="653">
        <f>-'Balance Sheet and Cflow'!B66</f>
        <v>0</v>
      </c>
      <c r="M137" s="653">
        <f>-'Balance Sheet and Cflow'!C66</f>
        <v>0</v>
      </c>
      <c r="N137" s="653">
        <f>-'Balance Sheet and Cflow'!D66</f>
        <v>-3874</v>
      </c>
      <c r="O137" s="653">
        <f>-'Balance Sheet and Cflow'!E66</f>
        <v>-4557</v>
      </c>
      <c r="P137" s="653">
        <f>-'Balance Sheet and Cflow'!F66</f>
        <v>-5437</v>
      </c>
      <c r="Q137" s="653">
        <f>-'Balance Sheet and Cflow'!G66</f>
        <v>-6035.4877272727272</v>
      </c>
      <c r="R137" s="653">
        <f>-'Balance Sheet and Cflow'!H66</f>
        <v>-6715</v>
      </c>
      <c r="S137" s="653">
        <f>-'Balance Sheet and Cflow'!I66</f>
        <v>-7467.4381259346228</v>
      </c>
      <c r="T137" s="653">
        <f>-'Balance Sheet and Cflow'!J66</f>
        <v>-8582.4381259346228</v>
      </c>
      <c r="U137" s="653">
        <f>-'Balance Sheet and Cflow'!K66</f>
        <v>-9182.1881259346228</v>
      </c>
      <c r="V137" s="653">
        <f>-'Balance Sheet and Cflow'!L66</f>
        <v>-7044.1881259346228</v>
      </c>
      <c r="W137" s="653">
        <f>-'Balance Sheet and Cflow'!M66</f>
        <v>-7079.9491259346223</v>
      </c>
      <c r="X137" s="653">
        <f>-'Balance Sheet and Cflow'!N66</f>
        <v>-8365.1881259346228</v>
      </c>
      <c r="Y137" s="653">
        <f>-'Balance Sheet and Cflow'!O66</f>
        <v>-9028.1881259346228</v>
      </c>
      <c r="Z137" s="653">
        <f>-'Balance Sheet and Cflow'!P66</f>
        <v>-8899.1881259346228</v>
      </c>
      <c r="AA137" s="653">
        <f>-'Balance Sheet and Cflow'!Q66</f>
        <v>-9237.1881259346228</v>
      </c>
      <c r="AB137" s="653">
        <f>-'Balance Sheet and Cflow'!R66</f>
        <v>-9203.1881259346228</v>
      </c>
      <c r="AC137" s="653">
        <f>-'Balance Sheet and Cflow'!S66</f>
        <v>-8825.1881259346228</v>
      </c>
      <c r="AD137" s="653">
        <f>-'Balance Sheet and Cflow'!T66</f>
        <v>-8522.1881259346228</v>
      </c>
      <c r="AE137" s="653">
        <f>-'Balance Sheet and Cflow'!U66</f>
        <v>-7994.3728880745612</v>
      </c>
      <c r="AF137" s="653">
        <f>-'Balance Sheet and Cflow'!V66</f>
        <v>-7371.538076757045</v>
      </c>
      <c r="AG137" s="653">
        <f>-'Balance Sheet and Cflow'!W66</f>
        <v>-6750.5267779453279</v>
      </c>
      <c r="AH137" s="653">
        <f>-'Balance Sheet and Cflow'!X66</f>
        <v>-6134.7882294221918</v>
      </c>
      <c r="AI137" s="653">
        <f>-'Balance Sheet and Cflow'!Y66</f>
        <v>-5544.1796376897373</v>
      </c>
      <c r="AJ137" s="653">
        <f>-'Balance Sheet and Cflow'!Z66</f>
        <v>-4966.0278012041254</v>
      </c>
      <c r="AK137" s="653">
        <f>-'Balance Sheet and Cflow'!AA66</f>
        <v>-4805.1774673003956</v>
      </c>
      <c r="AL137" s="11"/>
      <c r="AM137" s="11"/>
      <c r="AN137" s="11"/>
    </row>
    <row r="138" spans="2:40">
      <c r="C138" s="657"/>
      <c r="D138" s="657"/>
      <c r="E138" s="657"/>
      <c r="F138" s="657"/>
      <c r="G138" s="657"/>
      <c r="H138" s="657"/>
      <c r="I138" s="657"/>
      <c r="J138" s="657">
        <f t="shared" ref="J138:S138" si="43">J137-I137</f>
        <v>0</v>
      </c>
      <c r="K138" s="657">
        <f t="shared" si="43"/>
        <v>0</v>
      </c>
      <c r="L138" s="657">
        <f t="shared" si="43"/>
        <v>0</v>
      </c>
      <c r="M138" s="657">
        <f t="shared" si="43"/>
        <v>0</v>
      </c>
      <c r="N138" s="657">
        <f t="shared" si="43"/>
        <v>-3874</v>
      </c>
      <c r="O138" s="657">
        <f t="shared" si="43"/>
        <v>-683</v>
      </c>
      <c r="P138" s="657">
        <f t="shared" si="43"/>
        <v>-880</v>
      </c>
      <c r="Q138" s="657">
        <f t="shared" si="43"/>
        <v>-598.48772727272717</v>
      </c>
      <c r="R138" s="657">
        <f t="shared" si="43"/>
        <v>-679.51227272727283</v>
      </c>
      <c r="S138" s="657">
        <f t="shared" si="43"/>
        <v>-752.4381259346228</v>
      </c>
      <c r="T138" s="657">
        <f>T137-S137</f>
        <v>-1115</v>
      </c>
      <c r="U138" s="657">
        <f t="shared" ref="U138:AG138" si="44">U137-T137</f>
        <v>-599.75</v>
      </c>
      <c r="V138" s="657">
        <f t="shared" si="44"/>
        <v>2138</v>
      </c>
      <c r="W138" s="657">
        <f t="shared" si="44"/>
        <v>-35.760999999999513</v>
      </c>
      <c r="X138" s="657">
        <f t="shared" si="44"/>
        <v>-1285.2390000000005</v>
      </c>
      <c r="Y138" s="657">
        <f t="shared" si="44"/>
        <v>-663</v>
      </c>
      <c r="Z138" s="657">
        <f t="shared" si="44"/>
        <v>129</v>
      </c>
      <c r="AA138" s="657">
        <f t="shared" si="44"/>
        <v>-338</v>
      </c>
      <c r="AB138" s="657">
        <f t="shared" si="44"/>
        <v>34</v>
      </c>
      <c r="AC138" s="657">
        <f t="shared" si="44"/>
        <v>378</v>
      </c>
      <c r="AD138" s="657">
        <f t="shared" si="44"/>
        <v>303</v>
      </c>
      <c r="AE138" s="657">
        <f t="shared" si="44"/>
        <v>527.81523786006164</v>
      </c>
      <c r="AF138" s="657">
        <f t="shared" si="44"/>
        <v>622.83481131751614</v>
      </c>
      <c r="AG138" s="657">
        <f t="shared" si="44"/>
        <v>621.0112988117171</v>
      </c>
      <c r="AH138" s="657">
        <f t="shared" ref="AH138" si="45">AH137-AG137</f>
        <v>615.73854852313616</v>
      </c>
      <c r="AI138" s="657">
        <f t="shared" ref="AI138" si="46">AI137-AH137</f>
        <v>590.60859173245444</v>
      </c>
      <c r="AJ138" s="657">
        <f t="shared" ref="AJ138" si="47">AJ137-AI137</f>
        <v>578.15183648561197</v>
      </c>
      <c r="AK138" s="657">
        <f t="shared" ref="AK138" si="48">AK137-AJ137</f>
        <v>160.85033390372973</v>
      </c>
    </row>
    <row r="139" spans="2:40">
      <c r="B139" s="5" t="s">
        <v>379</v>
      </c>
      <c r="C139" s="6">
        <v>1998</v>
      </c>
      <c r="D139" s="6">
        <v>1999</v>
      </c>
      <c r="E139" s="6">
        <v>2000</v>
      </c>
      <c r="F139" s="6">
        <f t="shared" ref="F139:AN139" si="49">E139+1</f>
        <v>2001</v>
      </c>
      <c r="G139" s="6">
        <f t="shared" si="49"/>
        <v>2002</v>
      </c>
      <c r="H139" s="6">
        <f t="shared" si="49"/>
        <v>2003</v>
      </c>
      <c r="I139" s="6">
        <f t="shared" si="49"/>
        <v>2004</v>
      </c>
      <c r="J139" s="6">
        <f>I139+1</f>
        <v>2005</v>
      </c>
      <c r="K139" s="6">
        <f>J139+1</f>
        <v>2006</v>
      </c>
      <c r="L139" s="6">
        <f>K139+1</f>
        <v>2007</v>
      </c>
      <c r="M139" s="6">
        <f>L139+1</f>
        <v>2008</v>
      </c>
      <c r="N139" s="6">
        <f>M139+1</f>
        <v>2009</v>
      </c>
      <c r="O139" s="6">
        <f t="shared" si="49"/>
        <v>2010</v>
      </c>
      <c r="P139" s="6">
        <f t="shared" si="49"/>
        <v>2011</v>
      </c>
      <c r="Q139" s="6">
        <f t="shared" si="49"/>
        <v>2012</v>
      </c>
      <c r="R139" s="6">
        <f>Q139+1</f>
        <v>2013</v>
      </c>
      <c r="S139" s="6">
        <f>R139+1</f>
        <v>2014</v>
      </c>
      <c r="T139" s="6">
        <f t="shared" si="49"/>
        <v>2015</v>
      </c>
      <c r="U139" s="6">
        <f t="shared" si="49"/>
        <v>2016</v>
      </c>
      <c r="V139" s="6">
        <f t="shared" si="49"/>
        <v>2017</v>
      </c>
      <c r="W139" s="6">
        <f t="shared" si="49"/>
        <v>2018</v>
      </c>
      <c r="X139" s="6">
        <f t="shared" si="49"/>
        <v>2019</v>
      </c>
      <c r="Y139" s="6">
        <f t="shared" si="49"/>
        <v>2020</v>
      </c>
      <c r="Z139" s="6">
        <f t="shared" si="49"/>
        <v>2021</v>
      </c>
      <c r="AA139" s="6">
        <f t="shared" si="49"/>
        <v>2022</v>
      </c>
      <c r="AB139" s="6">
        <f t="shared" si="49"/>
        <v>2023</v>
      </c>
      <c r="AC139" s="6">
        <f t="shared" si="49"/>
        <v>2024</v>
      </c>
      <c r="AD139" s="6">
        <f t="shared" si="49"/>
        <v>2025</v>
      </c>
      <c r="AE139" s="6">
        <f t="shared" si="49"/>
        <v>2026</v>
      </c>
      <c r="AF139" s="6">
        <f t="shared" si="49"/>
        <v>2027</v>
      </c>
      <c r="AG139" s="6">
        <f t="shared" si="49"/>
        <v>2028</v>
      </c>
      <c r="AH139" s="6">
        <f t="shared" ref="AH139" si="50">AG139+1</f>
        <v>2029</v>
      </c>
      <c r="AI139" s="6">
        <f t="shared" ref="AI139" si="51">AH139+1</f>
        <v>2030</v>
      </c>
      <c r="AJ139" s="6">
        <f t="shared" ref="AJ139" si="52">AI139+1</f>
        <v>2031</v>
      </c>
      <c r="AK139" s="6">
        <f t="shared" ref="AK139" si="53">AJ139+1</f>
        <v>2032</v>
      </c>
      <c r="AL139" s="5">
        <f t="shared" si="49"/>
        <v>2033</v>
      </c>
      <c r="AM139" s="5">
        <f t="shared" si="49"/>
        <v>2034</v>
      </c>
      <c r="AN139" s="5">
        <f t="shared" si="49"/>
        <v>2035</v>
      </c>
    </row>
    <row r="140" spans="2:40">
      <c r="B140" s="8" t="s">
        <v>380</v>
      </c>
      <c r="C140" s="9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11"/>
      <c r="AM140" s="11"/>
      <c r="AN140" s="11"/>
    </row>
    <row r="141" spans="2:40">
      <c r="B141" s="8" t="s">
        <v>381</v>
      </c>
      <c r="C141" s="9"/>
      <c r="D141" s="9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11"/>
      <c r="AM141" s="11"/>
      <c r="AN141" s="11"/>
    </row>
    <row r="142" spans="2:40">
      <c r="B142" s="8" t="s">
        <v>382</v>
      </c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11"/>
      <c r="AM142" s="11"/>
      <c r="AN142" s="11"/>
    </row>
    <row r="143" spans="2:40">
      <c r="B143" s="8" t="s">
        <v>383</v>
      </c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11"/>
      <c r="AM143" s="11"/>
      <c r="AN143" s="11"/>
    </row>
    <row r="144" spans="2:40">
      <c r="B144" s="8" t="s">
        <v>384</v>
      </c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11"/>
      <c r="AM144" s="11"/>
      <c r="AN144" s="11"/>
    </row>
    <row r="145" spans="2:40">
      <c r="B145" s="8" t="s">
        <v>385</v>
      </c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11"/>
      <c r="AM145" s="11"/>
      <c r="AN145" s="11"/>
    </row>
    <row r="146" spans="2:40"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</row>
    <row r="147" spans="2:40">
      <c r="B147" s="5" t="s">
        <v>386</v>
      </c>
      <c r="C147" s="6">
        <v>1998</v>
      </c>
      <c r="D147" s="6">
        <v>1999</v>
      </c>
      <c r="E147" s="6">
        <v>2000</v>
      </c>
      <c r="F147" s="6">
        <f t="shared" ref="F147:AN147" si="54">E147+1</f>
        <v>2001</v>
      </c>
      <c r="G147" s="6">
        <f t="shared" si="54"/>
        <v>2002</v>
      </c>
      <c r="H147" s="6">
        <f t="shared" si="54"/>
        <v>2003</v>
      </c>
      <c r="I147" s="6">
        <f t="shared" si="54"/>
        <v>2004</v>
      </c>
      <c r="J147" s="6">
        <f>I147+1</f>
        <v>2005</v>
      </c>
      <c r="K147" s="6">
        <f>J147+1</f>
        <v>2006</v>
      </c>
      <c r="L147" s="6">
        <f>K147+1</f>
        <v>2007</v>
      </c>
      <c r="M147" s="6">
        <f>L147+1</f>
        <v>2008</v>
      </c>
      <c r="N147" s="6">
        <f>M147+1</f>
        <v>2009</v>
      </c>
      <c r="O147" s="6">
        <f t="shared" si="54"/>
        <v>2010</v>
      </c>
      <c r="P147" s="6">
        <f t="shared" si="54"/>
        <v>2011</v>
      </c>
      <c r="Q147" s="6">
        <f t="shared" si="54"/>
        <v>2012</v>
      </c>
      <c r="R147" s="6">
        <f>Q147+1</f>
        <v>2013</v>
      </c>
      <c r="S147" s="6">
        <f>R147+1</f>
        <v>2014</v>
      </c>
      <c r="T147" s="6">
        <f t="shared" si="54"/>
        <v>2015</v>
      </c>
      <c r="U147" s="6">
        <f t="shared" si="54"/>
        <v>2016</v>
      </c>
      <c r="V147" s="6">
        <f t="shared" si="54"/>
        <v>2017</v>
      </c>
      <c r="W147" s="6">
        <f t="shared" si="54"/>
        <v>2018</v>
      </c>
      <c r="X147" s="6">
        <f t="shared" si="54"/>
        <v>2019</v>
      </c>
      <c r="Y147" s="6">
        <f t="shared" si="54"/>
        <v>2020</v>
      </c>
      <c r="Z147" s="6">
        <f t="shared" si="54"/>
        <v>2021</v>
      </c>
      <c r="AA147" s="6">
        <f t="shared" si="54"/>
        <v>2022</v>
      </c>
      <c r="AB147" s="6">
        <f t="shared" si="54"/>
        <v>2023</v>
      </c>
      <c r="AC147" s="6">
        <f t="shared" si="54"/>
        <v>2024</v>
      </c>
      <c r="AD147" s="6">
        <f t="shared" si="54"/>
        <v>2025</v>
      </c>
      <c r="AE147" s="6">
        <f t="shared" si="54"/>
        <v>2026</v>
      </c>
      <c r="AF147" s="6">
        <f t="shared" si="54"/>
        <v>2027</v>
      </c>
      <c r="AG147" s="6">
        <f t="shared" si="54"/>
        <v>2028</v>
      </c>
      <c r="AH147" s="6">
        <f t="shared" ref="AH147" si="55">AG147+1</f>
        <v>2029</v>
      </c>
      <c r="AI147" s="6">
        <f t="shared" ref="AI147" si="56">AH147+1</f>
        <v>2030</v>
      </c>
      <c r="AJ147" s="6">
        <f t="shared" ref="AJ147" si="57">AI147+1</f>
        <v>2031</v>
      </c>
      <c r="AK147" s="6">
        <f t="shared" ref="AK147" si="58">AJ147+1</f>
        <v>2032</v>
      </c>
      <c r="AL147" s="5">
        <f t="shared" si="54"/>
        <v>2033</v>
      </c>
      <c r="AM147" s="5">
        <f t="shared" si="54"/>
        <v>2034</v>
      </c>
      <c r="AN147" s="5">
        <f t="shared" si="54"/>
        <v>2035</v>
      </c>
    </row>
    <row r="148" spans="2:40">
      <c r="B148" s="22" t="s">
        <v>893</v>
      </c>
      <c r="C148" s="23"/>
      <c r="D148" s="23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11"/>
      <c r="AM148" s="11"/>
      <c r="AN148" s="11"/>
    </row>
    <row r="149" spans="2:40">
      <c r="B149" s="8" t="str">
        <f>'Income Statement'!A408</f>
        <v>Postpaid</v>
      </c>
      <c r="C149" s="9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9"/>
      <c r="Y149" s="9"/>
      <c r="Z149" s="9"/>
      <c r="AA149" s="647">
        <f>'Income Statement'!BY408</f>
        <v>3275</v>
      </c>
      <c r="AB149" s="647">
        <f>'Income Statement'!CD408</f>
        <v>3520</v>
      </c>
      <c r="AC149" s="647">
        <f>'Income Statement'!CI408</f>
        <v>3700</v>
      </c>
      <c r="AD149" s="647">
        <f>'Income Statement'!CN408</f>
        <v>3785</v>
      </c>
      <c r="AE149" s="647">
        <f>'Income Statement'!CQ408</f>
        <v>3901.2032301220534</v>
      </c>
      <c r="AF149" s="647">
        <f>'Income Statement'!CR408</f>
        <v>3963.3333912322096</v>
      </c>
      <c r="AG149" s="647">
        <f>'Income Statement'!CS408</f>
        <v>4055.6600080042908</v>
      </c>
      <c r="AH149" s="647">
        <f>'Income Statement'!CT408</f>
        <v>4147.1954873964769</v>
      </c>
      <c r="AI149" s="647">
        <f>'Income Statement'!CU408</f>
        <v>4238.1030970804968</v>
      </c>
      <c r="AJ149" s="647">
        <f>'Income Statement'!CV408</f>
        <v>4328.5337489365411</v>
      </c>
      <c r="AK149" s="647">
        <f>'Income Statement'!CW408</f>
        <v>4418.6270337668184</v>
      </c>
      <c r="AL149" s="11"/>
      <c r="AM149" s="11"/>
      <c r="AN149" s="11"/>
    </row>
    <row r="150" spans="2:40">
      <c r="B150" s="8" t="str">
        <f>'Income Statement'!A409</f>
        <v>Prepaid</v>
      </c>
      <c r="C150" s="9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9"/>
      <c r="Y150" s="9"/>
      <c r="Z150" s="9"/>
      <c r="AA150" s="647">
        <f>'Income Statement'!BY409</f>
        <v>2693</v>
      </c>
      <c r="AB150" s="647">
        <f>'Income Statement'!CD409</f>
        <v>2619</v>
      </c>
      <c r="AC150" s="647">
        <f>'Income Statement'!CI409</f>
        <v>2565</v>
      </c>
      <c r="AD150" s="647">
        <f>'Income Statement'!CN409</f>
        <v>2445</v>
      </c>
      <c r="AE150" s="647">
        <f>'Income Statement'!CQ409</f>
        <v>2470.115496680211</v>
      </c>
      <c r="AF150" s="647">
        <f>'Income Statement'!CR409</f>
        <v>2479.0650826091564</v>
      </c>
      <c r="AG150" s="647">
        <f>'Income Statement'!CS409</f>
        <v>2493.714583060676</v>
      </c>
      <c r="AH150" s="647">
        <f>'Income Statement'!CT409</f>
        <v>2506.7119314309753</v>
      </c>
      <c r="AI150" s="647">
        <f>'Income Statement'!CU409</f>
        <v>2518.2138013946014</v>
      </c>
      <c r="AJ150" s="647">
        <f>'Income Statement'!CV409</f>
        <v>2528.3611633017244</v>
      </c>
      <c r="AK150" s="647">
        <f>'Income Statement'!CW409</f>
        <v>2537.2808467750901</v>
      </c>
      <c r="AL150" s="11"/>
      <c r="AM150" s="11"/>
      <c r="AN150" s="11"/>
    </row>
    <row r="151" spans="2:40">
      <c r="B151" s="8" t="str">
        <f>'Income Statement'!A411</f>
        <v>Home Connectivity</v>
      </c>
      <c r="C151" s="9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9"/>
      <c r="Y151" s="9"/>
      <c r="Z151" s="9"/>
      <c r="AA151" s="647">
        <f>'Income Statement'!BY411</f>
        <v>843</v>
      </c>
      <c r="AB151" s="647">
        <f>'Income Statement'!CD411</f>
        <v>925</v>
      </c>
      <c r="AC151" s="647">
        <f>'Income Statement'!CI411</f>
        <v>993</v>
      </c>
      <c r="AD151" s="647">
        <f>'Income Statement'!CN411</f>
        <v>1017</v>
      </c>
      <c r="AE151" s="647">
        <f>'Income Statement'!CQ411</f>
        <v>1013.9377158864435</v>
      </c>
      <c r="AF151" s="647">
        <f>'Income Statement'!CR411</f>
        <v>1064.5927201777827</v>
      </c>
      <c r="AG151" s="647">
        <f>'Income Statement'!CS411</f>
        <v>1089.4540719772128</v>
      </c>
      <c r="AH151" s="647">
        <f>'Income Statement'!CT411</f>
        <v>1126.7460996763584</v>
      </c>
      <c r="AI151" s="647">
        <f>'Income Statement'!CU411</f>
        <v>1151.6074514757888</v>
      </c>
      <c r="AJ151" s="647">
        <f>'Income Statement'!CV411</f>
        <v>1176.4688032752192</v>
      </c>
      <c r="AK151" s="647">
        <f>'Income Statement'!CW411</f>
        <v>1201.3301550746496</v>
      </c>
      <c r="AL151" s="11"/>
      <c r="AM151" s="11"/>
      <c r="AN151" s="11"/>
    </row>
    <row r="152" spans="2:40">
      <c r="B152" s="8" t="str">
        <f>'Income Statement'!A426</f>
        <v>Enterprise Revenue</v>
      </c>
      <c r="C152" s="9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9"/>
      <c r="Y152" s="9"/>
      <c r="Z152" s="9"/>
      <c r="AA152" s="647">
        <f>'Income Statement'!BY426</f>
        <v>1525</v>
      </c>
      <c r="AB152" s="647">
        <f>'Income Statement'!CD426</f>
        <v>1508</v>
      </c>
      <c r="AC152" s="647">
        <f>'Income Statement'!CI426</f>
        <v>1610</v>
      </c>
      <c r="AD152" s="647">
        <f>'Income Statement'!CN426</f>
        <v>1665</v>
      </c>
      <c r="AE152" s="647">
        <f>'Income Statement'!CQ426</f>
        <v>1669.1624999999999</v>
      </c>
      <c r="AF152" s="647">
        <f>'Income Statement'!CR426</f>
        <v>1752.620625</v>
      </c>
      <c r="AG152" s="647">
        <f>'Income Statement'!CS426</f>
        <v>1840.25165625</v>
      </c>
      <c r="AH152" s="647">
        <f>'Income Statement'!CT426</f>
        <v>1932.2642390625001</v>
      </c>
      <c r="AI152" s="647">
        <f>'Income Statement'!CU426</f>
        <v>2028.8774510156252</v>
      </c>
      <c r="AJ152" s="647">
        <f>'Income Statement'!CV426</f>
        <v>2130.3213235664066</v>
      </c>
      <c r="AK152" s="647">
        <f>'Income Statement'!CW426</f>
        <v>2236.8373897447268</v>
      </c>
      <c r="AL152" s="11"/>
      <c r="AM152" s="11"/>
      <c r="AN152" s="11"/>
    </row>
    <row r="153" spans="2:40">
      <c r="B153" s="8" t="s">
        <v>639</v>
      </c>
      <c r="C153" s="9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9"/>
      <c r="Y153" s="9"/>
      <c r="Z153" s="9"/>
      <c r="AA153" s="647">
        <f>AA154-AA152-AA151-AA150-AA149</f>
        <v>0</v>
      </c>
      <c r="AB153" s="647">
        <f t="shared" ref="AB153:AK153" si="59">AB154-AB152-AB151-AB150-AB149</f>
        <v>0</v>
      </c>
      <c r="AC153" s="647">
        <f t="shared" si="59"/>
        <v>0</v>
      </c>
      <c r="AD153" s="647">
        <f t="shared" si="59"/>
        <v>0</v>
      </c>
      <c r="AE153" s="647">
        <f t="shared" si="59"/>
        <v>0</v>
      </c>
      <c r="AF153" s="647">
        <f t="shared" si="59"/>
        <v>0</v>
      </c>
      <c r="AG153" s="647">
        <f t="shared" si="59"/>
        <v>0</v>
      </c>
      <c r="AH153" s="647">
        <f t="shared" si="59"/>
        <v>0</v>
      </c>
      <c r="AI153" s="647">
        <f t="shared" si="59"/>
        <v>0</v>
      </c>
      <c r="AJ153" s="647">
        <f t="shared" si="59"/>
        <v>0</v>
      </c>
      <c r="AK153" s="647">
        <f t="shared" si="59"/>
        <v>0</v>
      </c>
      <c r="AL153" s="11"/>
      <c r="AM153" s="11"/>
      <c r="AN153" s="11"/>
    </row>
    <row r="154" spans="2:40">
      <c r="B154" s="1004" t="s">
        <v>255</v>
      </c>
      <c r="C154" s="1005"/>
      <c r="D154" s="1006"/>
      <c r="E154" s="1006"/>
      <c r="F154" s="1006"/>
      <c r="G154" s="1006"/>
      <c r="H154" s="1006"/>
      <c r="I154" s="1006"/>
      <c r="J154" s="1006"/>
      <c r="K154" s="1006"/>
      <c r="L154" s="1006"/>
      <c r="M154" s="1006"/>
      <c r="N154" s="1006"/>
      <c r="O154" s="1006"/>
      <c r="P154" s="1006"/>
      <c r="Q154" s="1006"/>
      <c r="R154" s="1006"/>
      <c r="S154" s="1006"/>
      <c r="T154" s="1006"/>
      <c r="U154" s="1006"/>
      <c r="V154" s="1006"/>
      <c r="W154" s="1006"/>
      <c r="X154" s="1005"/>
      <c r="Y154" s="1005"/>
      <c r="Z154" s="1005"/>
      <c r="AA154" s="1007">
        <f>'Income Statement'!BY429</f>
        <v>8336</v>
      </c>
      <c r="AB154" s="1007">
        <f>'Income Statement'!CD429</f>
        <v>8572</v>
      </c>
      <c r="AC154" s="1007">
        <f>'Income Statement'!CI429</f>
        <v>8868</v>
      </c>
      <c r="AD154" s="1007">
        <f>'Income Statement'!CN429</f>
        <v>8912</v>
      </c>
      <c r="AE154" s="1007">
        <f>'Income Statement'!CQ429</f>
        <v>9054.4189426887078</v>
      </c>
      <c r="AF154" s="1007">
        <f>'Income Statement'!CR429</f>
        <v>9259.6118190191482</v>
      </c>
      <c r="AG154" s="1007">
        <f>'Income Statement'!CS429</f>
        <v>9479.0803192921794</v>
      </c>
      <c r="AH154" s="1007">
        <f>'Income Statement'!CT429</f>
        <v>9712.9177575663107</v>
      </c>
      <c r="AI154" s="1007">
        <f>'Income Statement'!CU429</f>
        <v>9936.801800966512</v>
      </c>
      <c r="AJ154" s="1007">
        <f>'Income Statement'!CV429</f>
        <v>10163.685039079892</v>
      </c>
      <c r="AK154" s="1007">
        <f>'Income Statement'!CW429</f>
        <v>10394.075425361285</v>
      </c>
      <c r="AL154" s="11"/>
      <c r="AM154" s="11"/>
      <c r="AN154" s="11"/>
    </row>
    <row r="155" spans="2:40" ht="14.5">
      <c r="B155" s="25" t="s">
        <v>640</v>
      </c>
      <c r="C155" s="9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9"/>
      <c r="Y155" s="9"/>
      <c r="Z155" s="9"/>
      <c r="AA155" s="647">
        <f>AA156-AA154</f>
        <v>1453</v>
      </c>
      <c r="AB155" s="647">
        <f t="shared" ref="AB155:AK155" si="60">AB156-AB154</f>
        <v>1608</v>
      </c>
      <c r="AC155" s="647">
        <f t="shared" si="60"/>
        <v>1668</v>
      </c>
      <c r="AD155" s="647">
        <f t="shared" si="60"/>
        <v>1723</v>
      </c>
      <c r="AE155" s="647">
        <f t="shared" si="60"/>
        <v>1891.1696371070811</v>
      </c>
      <c r="AF155" s="647">
        <f t="shared" si="60"/>
        <v>1957.4385394257297</v>
      </c>
      <c r="AG155" s="647">
        <f t="shared" si="60"/>
        <v>2012.5538642355241</v>
      </c>
      <c r="AH155" s="647">
        <f t="shared" si="60"/>
        <v>2068.5893918696747</v>
      </c>
      <c r="AI155" s="647">
        <f t="shared" si="60"/>
        <v>2125.6040750985085</v>
      </c>
      <c r="AJ155" s="647">
        <f t="shared" si="60"/>
        <v>2183.6555708187425</v>
      </c>
      <c r="AK155" s="647">
        <f t="shared" si="60"/>
        <v>2242.8004223853259</v>
      </c>
      <c r="AL155" s="11"/>
      <c r="AM155" s="11"/>
      <c r="AN155" s="11"/>
    </row>
    <row r="156" spans="2:40">
      <c r="B156" s="1008" t="s">
        <v>893</v>
      </c>
      <c r="C156" s="9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9"/>
      <c r="U156" s="9"/>
      <c r="V156" s="9"/>
      <c r="W156" s="9"/>
      <c r="X156" s="9"/>
      <c r="Y156" s="9"/>
      <c r="Z156" s="9"/>
      <c r="AA156" s="1003">
        <f>'Income Statement'!BY432</f>
        <v>9789</v>
      </c>
      <c r="AB156" s="1003">
        <f>'Income Statement'!CD432</f>
        <v>10180</v>
      </c>
      <c r="AC156" s="1003">
        <f>'Income Statement'!CI432</f>
        <v>10536</v>
      </c>
      <c r="AD156" s="1003">
        <f>'Income Statement'!CN432</f>
        <v>10635</v>
      </c>
      <c r="AE156" s="1003">
        <f>'Income Statement'!CQ432</f>
        <v>10945.588579795789</v>
      </c>
      <c r="AF156" s="1003">
        <f>'Income Statement'!CR432</f>
        <v>11217.050358444878</v>
      </c>
      <c r="AG156" s="1003">
        <f>'Income Statement'!CS432</f>
        <v>11491.634183527703</v>
      </c>
      <c r="AH156" s="1003">
        <f>'Income Statement'!CT432</f>
        <v>11781.507149435985</v>
      </c>
      <c r="AI156" s="1003">
        <f>'Income Statement'!CU432</f>
        <v>12062.40587606502</v>
      </c>
      <c r="AJ156" s="1003">
        <f>'Income Statement'!CV432</f>
        <v>12347.340609898634</v>
      </c>
      <c r="AK156" s="1003">
        <f>'Income Statement'!CW432</f>
        <v>12636.875847746611</v>
      </c>
      <c r="AL156" s="11"/>
      <c r="AM156" s="11"/>
      <c r="AN156" s="11"/>
    </row>
    <row r="157" spans="2:40">
      <c r="B157" s="1008"/>
      <c r="C157" s="9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11"/>
      <c r="AM157" s="11"/>
      <c r="AN157" s="11"/>
    </row>
    <row r="158" spans="2:40">
      <c r="B158" s="24"/>
      <c r="C158" s="9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11"/>
      <c r="AM158" s="11"/>
      <c r="AN158" s="11"/>
    </row>
    <row r="159" spans="2:40" ht="14.5">
      <c r="B159" s="25"/>
      <c r="C159" s="9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11"/>
      <c r="AM159" s="11"/>
      <c r="AN159" s="11"/>
    </row>
    <row r="160" spans="2:40" ht="14.5">
      <c r="B160" s="25"/>
      <c r="C160" s="9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11"/>
      <c r="AM160" s="11"/>
      <c r="AN160" s="11"/>
    </row>
    <row r="161" spans="2:40">
      <c r="B161" s="22" t="s">
        <v>2</v>
      </c>
      <c r="C161" s="23"/>
      <c r="D161" s="23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11"/>
      <c r="AM161" s="11"/>
      <c r="AN161" s="11"/>
    </row>
    <row r="162" spans="2:40">
      <c r="B162" s="8"/>
      <c r="C162" s="9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11"/>
      <c r="AM162" s="11"/>
      <c r="AN162" s="11"/>
    </row>
    <row r="163" spans="2:40">
      <c r="B163" s="8"/>
      <c r="C163" s="9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11"/>
      <c r="AM163" s="11"/>
      <c r="AN163" s="11"/>
    </row>
    <row r="164" spans="2:40">
      <c r="B164" s="8"/>
      <c r="C164" s="9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11"/>
      <c r="AM164" s="11"/>
      <c r="AN164" s="11"/>
    </row>
    <row r="165" spans="2:40">
      <c r="B165" s="8"/>
      <c r="C165" s="9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11"/>
      <c r="AM165" s="11"/>
      <c r="AN165" s="11"/>
    </row>
    <row r="166" spans="2:40">
      <c r="B166" s="8"/>
      <c r="C166" s="9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11"/>
      <c r="AM166" s="11"/>
      <c r="AN166" s="11"/>
    </row>
    <row r="167" spans="2:40">
      <c r="B167" s="8"/>
      <c r="C167" s="9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11"/>
      <c r="AM167" s="11"/>
      <c r="AN167" s="11"/>
    </row>
    <row r="168" spans="2:40">
      <c r="B168" s="8"/>
      <c r="C168" s="9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11"/>
      <c r="AM168" s="11"/>
      <c r="AN168" s="11"/>
    </row>
    <row r="169" spans="2:40">
      <c r="B169" s="24"/>
      <c r="C169" s="9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11"/>
      <c r="AM169" s="11"/>
      <c r="AN169" s="11"/>
    </row>
    <row r="170" spans="2:40">
      <c r="B170" s="24"/>
      <c r="C170" s="9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11"/>
      <c r="AM170" s="11"/>
      <c r="AN170" s="11"/>
    </row>
    <row r="171" spans="2:40">
      <c r="B171" s="24"/>
      <c r="C171" s="9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11"/>
      <c r="AM171" s="11"/>
      <c r="AN171" s="11"/>
    </row>
    <row r="172" spans="2:40" ht="14.5">
      <c r="B172" s="25"/>
      <c r="C172" s="9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11"/>
      <c r="AM172" s="11"/>
      <c r="AN172" s="11"/>
    </row>
    <row r="173" spans="2:40" ht="14.5">
      <c r="B173" s="25"/>
      <c r="C173" s="9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11"/>
      <c r="AM173" s="11"/>
      <c r="AN173" s="11"/>
    </row>
    <row r="174" spans="2:40">
      <c r="B174" s="22" t="s">
        <v>240</v>
      </c>
      <c r="C174" s="23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11"/>
      <c r="AM174" s="11"/>
      <c r="AN174" s="11"/>
    </row>
    <row r="175" spans="2:40">
      <c r="B175" s="8"/>
      <c r="C175" s="9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11"/>
      <c r="AM175" s="11"/>
      <c r="AN175" s="11"/>
    </row>
    <row r="176" spans="2:40">
      <c r="B176" s="8"/>
      <c r="C176" s="9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11"/>
      <c r="AM176" s="11"/>
      <c r="AN176" s="11"/>
    </row>
    <row r="177" spans="2:40">
      <c r="B177" s="8"/>
      <c r="C177" s="9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11"/>
      <c r="AM177" s="11"/>
      <c r="AN177" s="11"/>
    </row>
    <row r="178" spans="2:40">
      <c r="B178" s="8"/>
      <c r="C178" s="9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11"/>
      <c r="AM178" s="11"/>
      <c r="AN178" s="11"/>
    </row>
    <row r="179" spans="2:40">
      <c r="B179" s="8"/>
      <c r="C179" s="9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11"/>
      <c r="AM179" s="11"/>
      <c r="AN179" s="11"/>
    </row>
    <row r="180" spans="2:40">
      <c r="B180" s="8"/>
      <c r="C180" s="9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11"/>
      <c r="AM180" s="11"/>
      <c r="AN180" s="11"/>
    </row>
    <row r="181" spans="2:40">
      <c r="B181" s="8"/>
      <c r="C181" s="9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11"/>
      <c r="AM181" s="11"/>
      <c r="AN181" s="11"/>
    </row>
    <row r="182" spans="2:40">
      <c r="B182" s="24"/>
      <c r="C182" s="9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11"/>
      <c r="AM182" s="11"/>
      <c r="AN182" s="11"/>
    </row>
    <row r="183" spans="2:40">
      <c r="B183" s="24"/>
      <c r="C183" s="9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11"/>
      <c r="AM183" s="11"/>
      <c r="AN183" s="11"/>
    </row>
    <row r="184" spans="2:40">
      <c r="B184" s="24"/>
      <c r="C184" s="9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11"/>
      <c r="AM184" s="11"/>
      <c r="AN184" s="11"/>
    </row>
    <row r="185" spans="2:40" ht="14.5">
      <c r="B185" s="25"/>
      <c r="C185" s="9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11"/>
      <c r="AM185" s="11"/>
      <c r="AN185" s="11"/>
    </row>
    <row r="186" spans="2:40">
      <c r="B186" s="24"/>
      <c r="C186" s="9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11"/>
      <c r="AM186" s="11"/>
      <c r="AN186" s="11"/>
    </row>
    <row r="187" spans="2:40">
      <c r="B187" s="27"/>
      <c r="C187" s="23"/>
      <c r="D187" s="23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11"/>
      <c r="AM187" s="11"/>
      <c r="AN187" s="11"/>
    </row>
    <row r="188" spans="2:40"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</row>
    <row r="189" spans="2:40">
      <c r="B189" s="5" t="s">
        <v>387</v>
      </c>
      <c r="C189" s="6">
        <v>1998</v>
      </c>
      <c r="D189" s="6">
        <v>1999</v>
      </c>
      <c r="E189" s="6">
        <v>2000</v>
      </c>
      <c r="F189" s="6">
        <f t="shared" ref="F189:AN189" si="61">E189+1</f>
        <v>2001</v>
      </c>
      <c r="G189" s="6">
        <f t="shared" si="61"/>
        <v>2002</v>
      </c>
      <c r="H189" s="6">
        <f t="shared" si="61"/>
        <v>2003</v>
      </c>
      <c r="I189" s="6">
        <f t="shared" si="61"/>
        <v>2004</v>
      </c>
      <c r="J189" s="6">
        <f>I189+1</f>
        <v>2005</v>
      </c>
      <c r="K189" s="6">
        <f>J189+1</f>
        <v>2006</v>
      </c>
      <c r="L189" s="6">
        <f>K189+1</f>
        <v>2007</v>
      </c>
      <c r="M189" s="6">
        <f>L189+1</f>
        <v>2008</v>
      </c>
      <c r="N189" s="6">
        <f>M189+1</f>
        <v>2009</v>
      </c>
      <c r="O189" s="6">
        <f t="shared" si="61"/>
        <v>2010</v>
      </c>
      <c r="P189" s="6">
        <f t="shared" si="61"/>
        <v>2011</v>
      </c>
      <c r="Q189" s="6">
        <f t="shared" si="61"/>
        <v>2012</v>
      </c>
      <c r="R189" s="6">
        <f>Q189+1</f>
        <v>2013</v>
      </c>
      <c r="S189" s="6">
        <f>R189+1</f>
        <v>2014</v>
      </c>
      <c r="T189" s="6">
        <f t="shared" si="61"/>
        <v>2015</v>
      </c>
      <c r="U189" s="6">
        <f t="shared" si="61"/>
        <v>2016</v>
      </c>
      <c r="V189" s="6">
        <f t="shared" si="61"/>
        <v>2017</v>
      </c>
      <c r="W189" s="6">
        <f t="shared" si="61"/>
        <v>2018</v>
      </c>
      <c r="X189" s="6">
        <f t="shared" si="61"/>
        <v>2019</v>
      </c>
      <c r="Y189" s="6">
        <f t="shared" si="61"/>
        <v>2020</v>
      </c>
      <c r="Z189" s="6">
        <f t="shared" si="61"/>
        <v>2021</v>
      </c>
      <c r="AA189" s="6">
        <f t="shared" si="61"/>
        <v>2022</v>
      </c>
      <c r="AB189" s="6">
        <f t="shared" si="61"/>
        <v>2023</v>
      </c>
      <c r="AC189" s="6">
        <f t="shared" si="61"/>
        <v>2024</v>
      </c>
      <c r="AD189" s="6">
        <f t="shared" si="61"/>
        <v>2025</v>
      </c>
      <c r="AE189" s="6">
        <f t="shared" si="61"/>
        <v>2026</v>
      </c>
      <c r="AF189" s="6">
        <f t="shared" si="61"/>
        <v>2027</v>
      </c>
      <c r="AG189" s="6">
        <f t="shared" si="61"/>
        <v>2028</v>
      </c>
      <c r="AH189" s="6">
        <f t="shared" ref="AH189" si="62">AG189+1</f>
        <v>2029</v>
      </c>
      <c r="AI189" s="6">
        <f t="shared" ref="AI189" si="63">AH189+1</f>
        <v>2030</v>
      </c>
      <c r="AJ189" s="6">
        <f t="shared" ref="AJ189" si="64">AI189+1</f>
        <v>2031</v>
      </c>
      <c r="AK189" s="6">
        <f t="shared" ref="AK189" si="65">AJ189+1</f>
        <v>2032</v>
      </c>
      <c r="AL189" s="5">
        <f t="shared" si="61"/>
        <v>2033</v>
      </c>
      <c r="AM189" s="5">
        <f t="shared" si="61"/>
        <v>2034</v>
      </c>
      <c r="AN189" s="5">
        <f t="shared" si="61"/>
        <v>2035</v>
      </c>
    </row>
    <row r="190" spans="2:40">
      <c r="B190" s="7" t="str">
        <f>[8]DCF!A34</f>
        <v>Rf</v>
      </c>
      <c r="C190" s="28">
        <f>DCF!C46</f>
        <v>3.9E-2</v>
      </c>
      <c r="D190" s="29"/>
      <c r="E190" s="29"/>
      <c r="F190" s="29"/>
      <c r="G190" s="29"/>
      <c r="H190" s="29"/>
      <c r="I190" s="29"/>
      <c r="J190" s="29"/>
      <c r="K190" s="29"/>
      <c r="L190" s="9"/>
      <c r="M190" s="17"/>
      <c r="N190" s="17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11"/>
      <c r="AM190" s="11"/>
      <c r="AN190" s="11"/>
    </row>
    <row r="191" spans="2:40">
      <c r="B191" s="7" t="str">
        <f>[8]DCF!A35</f>
        <v>Tax rate</v>
      </c>
      <c r="C191" s="28">
        <f>DCF!C47</f>
        <v>0.25</v>
      </c>
      <c r="D191" s="17"/>
      <c r="E191" s="17"/>
      <c r="F191" s="9"/>
      <c r="G191" s="10"/>
      <c r="H191" s="10"/>
      <c r="I191" s="10"/>
      <c r="J191" s="17"/>
      <c r="K191" s="17"/>
      <c r="L191" s="17"/>
      <c r="M191" s="17"/>
      <c r="N191" s="17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11"/>
      <c r="AM191" s="11"/>
      <c r="AN191" s="11"/>
    </row>
    <row r="192" spans="2:40">
      <c r="B192" s="7" t="str">
        <f>[8]DCF!A36</f>
        <v>Equity premium</v>
      </c>
      <c r="C192" s="28">
        <f>DCF!C48</f>
        <v>0.04</v>
      </c>
      <c r="D192" s="17"/>
      <c r="E192" s="17"/>
      <c r="F192" s="9"/>
      <c r="G192" s="10"/>
      <c r="H192" s="10"/>
      <c r="I192" s="10"/>
      <c r="J192" s="17"/>
      <c r="K192" s="17"/>
      <c r="L192" s="17"/>
      <c r="M192" s="17"/>
      <c r="N192" s="17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11"/>
      <c r="AM192" s="11"/>
      <c r="AN192" s="11"/>
    </row>
    <row r="193" spans="2:40">
      <c r="B193" s="7" t="str">
        <f>[8]DCF!A37</f>
        <v>Debt Premium</v>
      </c>
      <c r="C193" s="28">
        <f>DCF!C49</f>
        <v>0.03</v>
      </c>
      <c r="D193" s="17"/>
      <c r="E193" s="17"/>
      <c r="F193" s="9"/>
      <c r="G193" s="10"/>
      <c r="H193" s="10"/>
      <c r="I193" s="10"/>
      <c r="J193" s="17"/>
      <c r="K193" s="17"/>
      <c r="L193" s="17"/>
      <c r="M193" s="17"/>
      <c r="N193" s="17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11"/>
      <c r="AM193" s="11"/>
      <c r="AN193" s="11"/>
    </row>
    <row r="194" spans="2:40">
      <c r="B194" s="7" t="str">
        <f>[8]DCF!A38</f>
        <v>Cost of Equity</v>
      </c>
      <c r="C194" s="28">
        <f>DCF!C50</f>
        <v>7.9000000000000001E-2</v>
      </c>
      <c r="D194" s="17"/>
      <c r="E194" s="17"/>
      <c r="F194" s="9"/>
      <c r="G194" s="10"/>
      <c r="H194" s="10"/>
      <c r="I194" s="10"/>
      <c r="J194" s="17"/>
      <c r="K194" s="17"/>
      <c r="L194" s="17"/>
      <c r="M194" s="17"/>
      <c r="N194" s="17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11"/>
      <c r="AM194" s="11"/>
      <c r="AN194" s="11"/>
    </row>
    <row r="195" spans="2:40">
      <c r="B195" s="7" t="str">
        <f>[8]DCF!A39</f>
        <v>Cost of Debt</v>
      </c>
      <c r="C195" s="28">
        <f>DCF!C51</f>
        <v>5.1750000000000004E-2</v>
      </c>
      <c r="D195" s="17"/>
      <c r="E195" s="17"/>
      <c r="F195" s="9"/>
      <c r="G195" s="10"/>
      <c r="H195" s="10"/>
      <c r="I195" s="10"/>
      <c r="J195" s="17"/>
      <c r="K195" s="17"/>
      <c r="L195" s="17"/>
      <c r="M195" s="17"/>
      <c r="N195" s="17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11"/>
      <c r="AM195" s="11"/>
      <c r="AN195" s="11"/>
    </row>
    <row r="196" spans="2:40">
      <c r="B196" s="7" t="str">
        <f>[8]DCF!A40</f>
        <v>Debt/Equity</v>
      </c>
      <c r="C196" s="28">
        <f>DCF!C52</f>
        <v>0.3</v>
      </c>
      <c r="D196" s="17"/>
      <c r="E196" s="17"/>
      <c r="F196" s="17"/>
      <c r="G196" s="10"/>
      <c r="H196" s="10"/>
      <c r="I196" s="10"/>
      <c r="J196" s="17"/>
      <c r="K196" s="17"/>
      <c r="L196" s="17"/>
      <c r="M196" s="17"/>
      <c r="N196" s="17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11"/>
      <c r="AM196" s="11"/>
      <c r="AN196" s="11"/>
    </row>
    <row r="197" spans="2:40">
      <c r="B197" s="7" t="str">
        <f>[8]DCF!A41</f>
        <v>WACC</v>
      </c>
      <c r="C197" s="28">
        <f>DCF!C53</f>
        <v>7.0824999999999999E-2</v>
      </c>
      <c r="D197" s="17"/>
      <c r="E197" s="17"/>
      <c r="F197" s="17"/>
      <c r="G197" s="10"/>
      <c r="H197" s="10"/>
      <c r="I197" s="10"/>
      <c r="J197" s="17"/>
      <c r="K197" s="17"/>
      <c r="L197" s="17"/>
      <c r="M197" s="17"/>
      <c r="N197" s="17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11"/>
      <c r="AM197" s="11"/>
      <c r="AN197" s="11"/>
    </row>
    <row r="198" spans="2:40">
      <c r="B198" s="7" t="str">
        <f>[8]DCF!A42</f>
        <v>Terminal growth</v>
      </c>
      <c r="C198" s="28">
        <f>DCF!C54</f>
        <v>0.02</v>
      </c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11"/>
      <c r="AM198" s="11"/>
      <c r="AN198" s="11"/>
    </row>
    <row r="199" spans="2:40"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11"/>
      <c r="AM199" s="11"/>
      <c r="AN199" s="11"/>
    </row>
    <row r="200" spans="2:40"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11"/>
      <c r="AM200" s="11"/>
      <c r="AN200" s="11"/>
    </row>
    <row r="201" spans="2:40"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11"/>
      <c r="AM201" s="11"/>
      <c r="AN201" s="11"/>
    </row>
    <row r="202" spans="2:40">
      <c r="C202" s="9"/>
      <c r="D202" s="9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11"/>
      <c r="AM202" s="11"/>
      <c r="AN202" s="11"/>
    </row>
    <row r="203" spans="2:40">
      <c r="C203" s="9"/>
      <c r="D203" s="9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11"/>
      <c r="AM203" s="11"/>
      <c r="AN203" s="11"/>
    </row>
    <row r="204" spans="2:40">
      <c r="C204" s="9"/>
      <c r="D204" s="9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11"/>
      <c r="AM204" s="11"/>
      <c r="AN204" s="11"/>
    </row>
    <row r="205" spans="2:40">
      <c r="C205" s="9"/>
      <c r="D205" s="9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11"/>
      <c r="AM205" s="11"/>
      <c r="AN205" s="11"/>
    </row>
    <row r="206" spans="2:40">
      <c r="C206" s="9"/>
      <c r="D206" s="9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11"/>
      <c r="AM206" s="11"/>
      <c r="AN206" s="11"/>
    </row>
    <row r="207" spans="2:40">
      <c r="C207" s="9"/>
      <c r="D207" s="9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11"/>
      <c r="AM207" s="11"/>
      <c r="AN207" s="11"/>
    </row>
    <row r="208" spans="2:40">
      <c r="C208" s="9"/>
      <c r="D208" s="9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11"/>
      <c r="AM208" s="11"/>
      <c r="AN208" s="11"/>
    </row>
    <row r="209" spans="2:40">
      <c r="C209" s="9"/>
      <c r="D209" s="9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11"/>
      <c r="AM209" s="11"/>
      <c r="AN209" s="11"/>
    </row>
    <row r="210" spans="2:40">
      <c r="C210" s="9"/>
      <c r="D210" s="9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11"/>
      <c r="AM210" s="11"/>
      <c r="AN210" s="11"/>
    </row>
    <row r="211" spans="2:40">
      <c r="C211" s="9"/>
      <c r="D211" s="9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11"/>
      <c r="AM211" s="11"/>
      <c r="AN211" s="11"/>
    </row>
    <row r="212" spans="2:40">
      <c r="C212" s="9"/>
      <c r="D212" s="9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11"/>
      <c r="AM212" s="11"/>
      <c r="AN212" s="11"/>
    </row>
    <row r="213" spans="2:40">
      <c r="C213" s="9"/>
      <c r="D213" s="9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11"/>
      <c r="AM213" s="11"/>
      <c r="AN213" s="11"/>
    </row>
    <row r="214" spans="2:40">
      <c r="C214" s="9"/>
      <c r="D214" s="9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11"/>
      <c r="AM214" s="11"/>
      <c r="AN214" s="11"/>
    </row>
    <row r="215" spans="2:40">
      <c r="C215" s="9"/>
      <c r="D215" s="9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11"/>
      <c r="AM215" s="11"/>
      <c r="AN215" s="11"/>
    </row>
    <row r="216" spans="2:40">
      <c r="C216" s="9"/>
      <c r="D216" s="9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11"/>
      <c r="AM216" s="11"/>
      <c r="AN216" s="11"/>
    </row>
    <row r="217" spans="2:40">
      <c r="C217" s="9"/>
      <c r="D217" s="9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11"/>
      <c r="AM217" s="11"/>
      <c r="AN217" s="11"/>
    </row>
    <row r="218" spans="2:40">
      <c r="C218" s="9"/>
      <c r="D218" s="9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11"/>
      <c r="AM218" s="11"/>
      <c r="AN218" s="11"/>
    </row>
    <row r="219" spans="2:40">
      <c r="C219" s="9"/>
      <c r="D219" s="9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11"/>
      <c r="AM219" s="11"/>
      <c r="AN219" s="11"/>
    </row>
    <row r="220" spans="2:40">
      <c r="C220" s="9"/>
      <c r="D220" s="9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11"/>
      <c r="AM220" s="11"/>
      <c r="AN220" s="11"/>
    </row>
    <row r="221" spans="2:40">
      <c r="C221" s="17"/>
      <c r="D221" s="9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11"/>
      <c r="AM221" s="11"/>
      <c r="AN221" s="11"/>
    </row>
    <row r="222" spans="2:40">
      <c r="B222" s="32"/>
      <c r="C222" s="17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11"/>
      <c r="AM222" s="11"/>
      <c r="AN222" s="11"/>
    </row>
    <row r="223" spans="2:40"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11"/>
      <c r="AM223" s="11"/>
      <c r="AN223" s="11"/>
    </row>
    <row r="224" spans="2:40"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11"/>
      <c r="AM224" s="11"/>
      <c r="AN224" s="11"/>
    </row>
    <row r="225" spans="1:40"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11"/>
      <c r="AM225" s="11"/>
      <c r="AN225" s="11"/>
    </row>
    <row r="226" spans="1:40"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11"/>
      <c r="AM226" s="11"/>
      <c r="AN226" s="11"/>
    </row>
    <row r="227" spans="1:40"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11"/>
      <c r="AM227" s="11"/>
      <c r="AN227" s="11"/>
    </row>
    <row r="228" spans="1:40"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11"/>
      <c r="AM228" s="11"/>
      <c r="AN228" s="11"/>
    </row>
    <row r="229" spans="1:40"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11"/>
      <c r="AM229" s="11"/>
      <c r="AN229" s="11"/>
    </row>
    <row r="230" spans="1:40"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11"/>
      <c r="AM230" s="11"/>
      <c r="AN230" s="11"/>
    </row>
    <row r="231" spans="1:40"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11"/>
      <c r="AM231" s="11"/>
      <c r="AN231" s="11"/>
    </row>
    <row r="232" spans="1:40"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11"/>
      <c r="AM232" s="11"/>
      <c r="AN232" s="11"/>
    </row>
    <row r="233" spans="1:40"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11"/>
      <c r="AM233" s="11"/>
      <c r="AN233" s="11"/>
    </row>
    <row r="234" spans="1:40"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11"/>
      <c r="AM234" s="11"/>
      <c r="AN234" s="11"/>
    </row>
    <row r="235" spans="1:40"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11"/>
      <c r="AM235" s="11"/>
      <c r="AN235" s="11"/>
    </row>
    <row r="236" spans="1:40"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11"/>
      <c r="AM236" s="11"/>
      <c r="AN236" s="11"/>
    </row>
    <row r="237" spans="1:40"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11"/>
      <c r="AM237" s="11"/>
      <c r="AN237" s="11"/>
    </row>
    <row r="238" spans="1:40"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11"/>
      <c r="AM238" s="11"/>
      <c r="AN238" s="11"/>
    </row>
    <row r="239" spans="1:40">
      <c r="B239" s="33" t="s">
        <v>388</v>
      </c>
      <c r="C239" s="34">
        <f>C$2</f>
        <v>1998</v>
      </c>
      <c r="D239" s="34">
        <f t="shared" ref="D239:AN239" si="66">D$2</f>
        <v>1999</v>
      </c>
      <c r="E239" s="34">
        <f t="shared" si="66"/>
        <v>2000</v>
      </c>
      <c r="F239" s="34">
        <f t="shared" si="66"/>
        <v>2001</v>
      </c>
      <c r="G239" s="34">
        <f t="shared" si="66"/>
        <v>2002</v>
      </c>
      <c r="H239" s="34">
        <f t="shared" si="66"/>
        <v>2003</v>
      </c>
      <c r="I239" s="34">
        <f t="shared" si="66"/>
        <v>2004</v>
      </c>
      <c r="J239" s="34">
        <f t="shared" si="66"/>
        <v>2005</v>
      </c>
      <c r="K239" s="34">
        <f t="shared" si="66"/>
        <v>2006</v>
      </c>
      <c r="L239" s="34">
        <f t="shared" si="66"/>
        <v>2007</v>
      </c>
      <c r="M239" s="34">
        <f t="shared" si="66"/>
        <v>2008</v>
      </c>
      <c r="N239" s="34">
        <f t="shared" si="66"/>
        <v>2009</v>
      </c>
      <c r="O239" s="34">
        <f t="shared" si="66"/>
        <v>2010</v>
      </c>
      <c r="P239" s="34">
        <f t="shared" si="66"/>
        <v>2011</v>
      </c>
      <c r="Q239" s="34">
        <f t="shared" si="66"/>
        <v>2012</v>
      </c>
      <c r="R239" s="34">
        <f t="shared" si="66"/>
        <v>2013</v>
      </c>
      <c r="S239" s="34">
        <f t="shared" si="66"/>
        <v>2014</v>
      </c>
      <c r="T239" s="34">
        <f t="shared" si="66"/>
        <v>2015</v>
      </c>
      <c r="U239" s="34">
        <f t="shared" si="66"/>
        <v>2016</v>
      </c>
      <c r="V239" s="34">
        <f t="shared" si="66"/>
        <v>2017</v>
      </c>
      <c r="W239" s="34">
        <f t="shared" si="66"/>
        <v>2018</v>
      </c>
      <c r="X239" s="34">
        <f t="shared" si="66"/>
        <v>2019</v>
      </c>
      <c r="Y239" s="34">
        <f t="shared" si="66"/>
        <v>2020</v>
      </c>
      <c r="Z239" s="34">
        <f t="shared" si="66"/>
        <v>2021</v>
      </c>
      <c r="AA239" s="34">
        <f t="shared" si="66"/>
        <v>2022</v>
      </c>
      <c r="AB239" s="34">
        <f t="shared" si="66"/>
        <v>2023</v>
      </c>
      <c r="AC239" s="34">
        <f t="shared" si="66"/>
        <v>2024</v>
      </c>
      <c r="AD239" s="34">
        <f t="shared" si="66"/>
        <v>2025</v>
      </c>
      <c r="AE239" s="34">
        <f t="shared" si="66"/>
        <v>2026</v>
      </c>
      <c r="AF239" s="34">
        <f t="shared" si="66"/>
        <v>2027</v>
      </c>
      <c r="AG239" s="34">
        <f t="shared" si="66"/>
        <v>2028</v>
      </c>
      <c r="AH239" s="34">
        <f t="shared" si="66"/>
        <v>2029</v>
      </c>
      <c r="AI239" s="34">
        <f t="shared" si="66"/>
        <v>2030</v>
      </c>
      <c r="AJ239" s="34">
        <f t="shared" si="66"/>
        <v>2031</v>
      </c>
      <c r="AK239" s="34">
        <f t="shared" si="66"/>
        <v>2032</v>
      </c>
      <c r="AL239" s="34">
        <f t="shared" si="66"/>
        <v>2033</v>
      </c>
      <c r="AM239" s="34">
        <f t="shared" si="66"/>
        <v>2034</v>
      </c>
      <c r="AN239" s="34">
        <f t="shared" si="66"/>
        <v>2035</v>
      </c>
    </row>
    <row r="240" spans="1:40" ht="14.5">
      <c r="A240"/>
      <c r="B240" s="3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6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8"/>
      <c r="AM240" s="38"/>
      <c r="AN240" s="38"/>
    </row>
    <row r="241" spans="1:40" ht="14.5">
      <c r="A241"/>
      <c r="B241" s="39" t="s">
        <v>52</v>
      </c>
      <c r="C241" s="35"/>
      <c r="D241" s="35"/>
      <c r="E241" s="40"/>
      <c r="F241" s="40"/>
      <c r="G241" s="41"/>
      <c r="H241" s="40"/>
      <c r="I241" s="40">
        <f t="shared" ref="I241:AK241" si="67">I55</f>
        <v>0</v>
      </c>
      <c r="J241" s="40">
        <f t="shared" si="67"/>
        <v>0</v>
      </c>
      <c r="K241" s="40">
        <f t="shared" si="67"/>
        <v>0</v>
      </c>
      <c r="L241" s="40">
        <f t="shared" si="67"/>
        <v>27174</v>
      </c>
      <c r="M241" s="40">
        <f t="shared" si="67"/>
        <v>27728</v>
      </c>
      <c r="N241" s="40">
        <f t="shared" si="67"/>
        <v>28231.504111999999</v>
      </c>
      <c r="O241" s="40">
        <f t="shared" si="67"/>
        <v>28725.555433960002</v>
      </c>
      <c r="P241" s="40">
        <f t="shared" si="67"/>
        <v>29228.252654054304</v>
      </c>
      <c r="Q241" s="40">
        <f t="shared" si="67"/>
        <v>29739.747075500258</v>
      </c>
      <c r="R241" s="40">
        <f t="shared" si="67"/>
        <v>30260.192649321514</v>
      </c>
      <c r="S241" s="40">
        <f t="shared" si="67"/>
        <v>30789.746020684644</v>
      </c>
      <c r="T241" s="40">
        <f t="shared" si="67"/>
        <v>31328.566576046629</v>
      </c>
      <c r="U241" s="40">
        <f t="shared" si="67"/>
        <v>31876.816491127447</v>
      </c>
      <c r="V241" s="40">
        <f t="shared" si="67"/>
        <v>32022.6</v>
      </c>
      <c r="W241" s="40">
        <f t="shared" si="67"/>
        <v>32382.3</v>
      </c>
      <c r="X241" s="40">
        <f t="shared" si="67"/>
        <v>32523</v>
      </c>
      <c r="Y241" s="40">
        <f t="shared" si="67"/>
        <v>32657</v>
      </c>
      <c r="Z241" s="40">
        <f t="shared" si="67"/>
        <v>33573.874000000003</v>
      </c>
      <c r="AA241" s="40">
        <f t="shared" si="67"/>
        <v>33938.22</v>
      </c>
      <c r="AB241" s="40">
        <f t="shared" si="67"/>
        <v>34306.519907961767</v>
      </c>
      <c r="AC241" s="40">
        <f t="shared" si="67"/>
        <v>35557.673000000003</v>
      </c>
      <c r="AD241" s="40">
        <f t="shared" si="67"/>
        <v>35977.838000000003</v>
      </c>
      <c r="AE241" s="40">
        <f t="shared" si="67"/>
        <v>0</v>
      </c>
      <c r="AF241" s="40">
        <f t="shared" si="67"/>
        <v>0</v>
      </c>
      <c r="AG241" s="40">
        <f t="shared" si="67"/>
        <v>0</v>
      </c>
      <c r="AH241" s="40">
        <f t="shared" si="67"/>
        <v>35977.838000000003</v>
      </c>
      <c r="AI241" s="40">
        <f t="shared" si="67"/>
        <v>36157.727189999998</v>
      </c>
      <c r="AJ241" s="40">
        <f t="shared" si="67"/>
        <v>36338.515825949995</v>
      </c>
      <c r="AK241" s="40">
        <f t="shared" si="67"/>
        <v>36520.208405079742</v>
      </c>
      <c r="AL241" s="38"/>
      <c r="AM241" s="38"/>
      <c r="AN241" s="38"/>
    </row>
    <row r="242" spans="1:40" ht="14.5">
      <c r="A242"/>
      <c r="B242" s="39" t="s">
        <v>389</v>
      </c>
      <c r="C242" s="35"/>
      <c r="D242" s="35"/>
      <c r="E242" s="40"/>
      <c r="F242" s="40"/>
      <c r="G242" s="41"/>
      <c r="H242" s="40"/>
      <c r="I242" s="40"/>
      <c r="J242" s="40"/>
      <c r="K242" s="40"/>
      <c r="L242" s="40">
        <f t="shared" ref="L242:AK242" si="68">L51</f>
        <v>9765</v>
      </c>
      <c r="M242" s="40">
        <f t="shared" si="68"/>
        <v>11234.1</v>
      </c>
      <c r="N242" s="40">
        <f t="shared" si="68"/>
        <v>12291</v>
      </c>
      <c r="O242" s="40">
        <f t="shared" si="68"/>
        <v>13954</v>
      </c>
      <c r="P242" s="40">
        <f t="shared" si="68"/>
        <v>12735</v>
      </c>
      <c r="Q242" s="40">
        <f t="shared" si="68"/>
        <v>14091</v>
      </c>
      <c r="R242" s="40">
        <f t="shared" si="68"/>
        <v>12893</v>
      </c>
      <c r="S242" s="40">
        <f t="shared" si="68"/>
        <v>12913</v>
      </c>
      <c r="T242" s="40">
        <f t="shared" si="68"/>
        <v>12694</v>
      </c>
      <c r="U242" s="40">
        <f t="shared" si="68"/>
        <v>11926</v>
      </c>
      <c r="V242" s="40">
        <f t="shared" si="68"/>
        <v>10928</v>
      </c>
      <c r="W242" s="40">
        <f t="shared" si="68"/>
        <v>10761</v>
      </c>
      <c r="X242" s="40">
        <f t="shared" si="68"/>
        <v>11130</v>
      </c>
      <c r="Y242" s="40">
        <f t="shared" si="68"/>
        <v>11132</v>
      </c>
      <c r="Z242" s="40">
        <f t="shared" si="68"/>
        <v>11618</v>
      </c>
      <c r="AA242" s="40">
        <f t="shared" si="68"/>
        <v>11738</v>
      </c>
      <c r="AB242" s="40">
        <f t="shared" si="68"/>
        <v>12511</v>
      </c>
      <c r="AC242" s="40">
        <f t="shared" si="68"/>
        <v>12826</v>
      </c>
      <c r="AD242" s="40">
        <f t="shared" si="68"/>
        <v>13504</v>
      </c>
      <c r="AE242" s="40">
        <f t="shared" si="68"/>
        <v>13589.613584573439</v>
      </c>
      <c r="AF242" s="40">
        <f t="shared" si="68"/>
        <v>13748.767303558094</v>
      </c>
      <c r="AG242" s="40">
        <f t="shared" si="68"/>
        <v>13900.006651461272</v>
      </c>
      <c r="AH242" s="40">
        <f t="shared" si="68"/>
        <v>14044.123874766659</v>
      </c>
      <c r="AI242" s="40">
        <f t="shared" si="68"/>
        <v>14181.835742538982</v>
      </c>
      <c r="AJ242" s="40">
        <f t="shared" si="68"/>
        <v>14313.790755428116</v>
      </c>
      <c r="AK242" s="40">
        <f t="shared" si="68"/>
        <v>14440.575666217841</v>
      </c>
      <c r="AL242" s="38"/>
      <c r="AM242" s="38"/>
      <c r="AN242" s="38"/>
    </row>
    <row r="243" spans="1:40" ht="14.5">
      <c r="A243"/>
      <c r="B243" s="39" t="s">
        <v>390</v>
      </c>
      <c r="C243" s="35"/>
      <c r="D243" s="35"/>
      <c r="E243" s="42"/>
      <c r="F243" s="40"/>
      <c r="G243" s="43"/>
      <c r="H243" s="42"/>
      <c r="I243" s="42"/>
      <c r="J243" s="42"/>
      <c r="K243" s="42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5"/>
      <c r="AM243" s="45"/>
      <c r="AN243" s="45"/>
    </row>
    <row r="244" spans="1:40" ht="14.5">
      <c r="A244"/>
      <c r="B244" s="39" t="s">
        <v>255</v>
      </c>
      <c r="C244" s="35"/>
      <c r="D244" s="35"/>
      <c r="E244" s="40"/>
      <c r="F244" s="40"/>
      <c r="G244" s="41"/>
      <c r="H244" s="41"/>
      <c r="I244" s="40"/>
      <c r="J244" s="40"/>
      <c r="K244" s="40"/>
      <c r="L244" s="40">
        <f>'Income Statement'!B227</f>
        <v>5789.5680000000002</v>
      </c>
      <c r="M244" s="40">
        <f>'Income Statement'!G227</f>
        <v>7383.2835600000008</v>
      </c>
      <c r="N244" s="40">
        <f>'Income Statement'!L227</f>
        <v>7869.1459499999992</v>
      </c>
      <c r="O244" s="40">
        <f>'Income Statement'!Q227</f>
        <v>8030.97</v>
      </c>
      <c r="P244" s="40">
        <f>'Income Statement'!V227</f>
        <v>8326.9680000000008</v>
      </c>
      <c r="Q244" s="40">
        <f>'Income Statement'!AA227</f>
        <v>8124.6419999999998</v>
      </c>
      <c r="R244" s="40">
        <f>'Income Statement'!AF227</f>
        <v>7749.2670000000007</v>
      </c>
      <c r="S244" s="40">
        <f>'Income Statement'!AK227</f>
        <v>7471.6649999999991</v>
      </c>
      <c r="T244" s="40">
        <f>'Income Statement'!AU227</f>
        <v>7422.8714999999993</v>
      </c>
      <c r="U244" s="40">
        <f>'Income Statement'!AU227</f>
        <v>7422.8714999999993</v>
      </c>
      <c r="V244" s="40">
        <f>'Income Statement'!AZ227</f>
        <v>7711</v>
      </c>
      <c r="W244" s="40">
        <f>'Income Statement'!BE227</f>
        <v>7471</v>
      </c>
      <c r="X244" s="40">
        <f>'Income Statement'!BJ227</f>
        <v>7124.6605</v>
      </c>
      <c r="Y244" s="40">
        <f>'Income Statement'!BO227</f>
        <v>6628.0355500000005</v>
      </c>
      <c r="Z244" s="40">
        <f>'Income Statement'!BT227</f>
        <v>6715.3884499999995</v>
      </c>
      <c r="AA244" s="40">
        <f>'Income Statement'!BY227</f>
        <v>6025.1380000000008</v>
      </c>
      <c r="AB244" s="40">
        <f>'Income Statement'!CD227</f>
        <v>6183.7324000000008</v>
      </c>
      <c r="AC244" s="40">
        <f>'Income Statement'!CI227</f>
        <v>6172.4915500000006</v>
      </c>
      <c r="AD244" s="40">
        <f>'Income Statement'!CN227</f>
        <v>6129.7104999999992</v>
      </c>
      <c r="AE244" s="40">
        <f>'Income Statement'!CQ227</f>
        <v>6301.2407761425002</v>
      </c>
      <c r="AF244" s="40">
        <f>'Income Statement'!CR227</f>
        <v>6381.0090667799705</v>
      </c>
      <c r="AG244" s="40">
        <f>'Income Statement'!CS227</f>
        <v>6500.8828344426383</v>
      </c>
      <c r="AH244" s="40">
        <f>'Income Statement'!CT227</f>
        <v>6618.2182754362475</v>
      </c>
      <c r="AI244" s="40">
        <f>'Income Statement'!CU227</f>
        <v>6733.3568128173429</v>
      </c>
      <c r="AJ244" s="40">
        <f>'Income Statement'!CV227</f>
        <v>6846.6102238388012</v>
      </c>
      <c r="AK244" s="40">
        <f>'Income Statement'!CW227</f>
        <v>6958.263367624244</v>
      </c>
      <c r="AL244" s="45"/>
      <c r="AM244" s="45"/>
      <c r="AN244" s="45"/>
    </row>
    <row r="245" spans="1:40" ht="14.5">
      <c r="A245"/>
      <c r="B245" s="39" t="s">
        <v>391</v>
      </c>
      <c r="C245" s="35"/>
      <c r="D245" s="35"/>
      <c r="E245" s="40"/>
      <c r="F245" s="40"/>
      <c r="G245" s="41"/>
      <c r="H245" s="41"/>
      <c r="I245" s="40"/>
      <c r="J245" s="40"/>
      <c r="K245" s="40"/>
      <c r="L245" s="40">
        <f t="shared" ref="L245:AK245" si="69">L18</f>
        <v>7690</v>
      </c>
      <c r="M245" s="40">
        <f t="shared" si="69"/>
        <v>8449.9</v>
      </c>
      <c r="N245" s="40">
        <f t="shared" si="69"/>
        <v>8612</v>
      </c>
      <c r="O245" s="40">
        <f t="shared" si="69"/>
        <v>8869</v>
      </c>
      <c r="P245" s="40">
        <f t="shared" si="69"/>
        <v>8783</v>
      </c>
      <c r="Q245" s="40">
        <f t="shared" si="69"/>
        <v>8880</v>
      </c>
      <c r="R245" s="40">
        <f t="shared" si="69"/>
        <v>9028.3719999999994</v>
      </c>
      <c r="S245" s="40">
        <f t="shared" si="69"/>
        <v>8404</v>
      </c>
      <c r="T245" s="40">
        <f t="shared" si="69"/>
        <v>8601</v>
      </c>
      <c r="U245" s="40">
        <f t="shared" si="69"/>
        <v>8612</v>
      </c>
      <c r="V245" s="40">
        <f t="shared" si="69"/>
        <v>9419</v>
      </c>
      <c r="W245" s="40">
        <f t="shared" si="69"/>
        <v>9192</v>
      </c>
      <c r="X245" s="40">
        <f t="shared" si="69"/>
        <v>9313</v>
      </c>
      <c r="Y245" s="40">
        <f t="shared" si="69"/>
        <v>8966</v>
      </c>
      <c r="Z245" s="40">
        <f t="shared" si="69"/>
        <v>9241</v>
      </c>
      <c r="AA245" s="40">
        <f t="shared" si="69"/>
        <v>9789</v>
      </c>
      <c r="AB245" s="40">
        <f t="shared" si="69"/>
        <v>10180</v>
      </c>
      <c r="AC245" s="40">
        <f t="shared" si="69"/>
        <v>10536</v>
      </c>
      <c r="AD245" s="40">
        <f t="shared" si="69"/>
        <v>10635</v>
      </c>
      <c r="AE245" s="40">
        <f t="shared" si="69"/>
        <v>10945.588579795789</v>
      </c>
      <c r="AF245" s="40">
        <f t="shared" si="69"/>
        <v>11217.050358444878</v>
      </c>
      <c r="AG245" s="40">
        <f t="shared" si="69"/>
        <v>11491.634183527703</v>
      </c>
      <c r="AH245" s="40">
        <f t="shared" si="69"/>
        <v>11781.507149435985</v>
      </c>
      <c r="AI245" s="40">
        <f t="shared" si="69"/>
        <v>12062.40587606502</v>
      </c>
      <c r="AJ245" s="40">
        <f t="shared" si="69"/>
        <v>12347.340609898634</v>
      </c>
      <c r="AK245" s="40">
        <f t="shared" si="69"/>
        <v>12636.875847746611</v>
      </c>
      <c r="AL245" s="45"/>
      <c r="AM245" s="45"/>
      <c r="AN245" s="45"/>
    </row>
    <row r="246" spans="1:40" ht="14.5">
      <c r="A246"/>
      <c r="B246" s="39" t="s">
        <v>2</v>
      </c>
      <c r="C246" s="35"/>
      <c r="D246" s="35"/>
      <c r="E246" s="40"/>
      <c r="F246" s="40"/>
      <c r="G246" s="41"/>
      <c r="H246" s="40"/>
      <c r="I246" s="40"/>
      <c r="J246" s="40"/>
      <c r="K246" s="40"/>
      <c r="L246" s="40">
        <f t="shared" ref="L246:AK246" si="70">L19</f>
        <v>0</v>
      </c>
      <c r="M246" s="40">
        <f t="shared" si="70"/>
        <v>4402.2000000000007</v>
      </c>
      <c r="N246" s="40">
        <f t="shared" si="70"/>
        <v>4220</v>
      </c>
      <c r="O246" s="40">
        <f t="shared" si="70"/>
        <v>4416</v>
      </c>
      <c r="P246" s="40">
        <f t="shared" si="70"/>
        <v>4423</v>
      </c>
      <c r="Q246" s="40">
        <f t="shared" si="70"/>
        <v>4359</v>
      </c>
      <c r="R246" s="40">
        <f t="shared" si="70"/>
        <v>4364</v>
      </c>
      <c r="S246" s="40">
        <f t="shared" si="70"/>
        <v>4272</v>
      </c>
      <c r="T246" s="40">
        <f t="shared" si="70"/>
        <v>4331</v>
      </c>
      <c r="U246" s="40">
        <f t="shared" si="70"/>
        <v>4551</v>
      </c>
      <c r="V246" s="40">
        <f t="shared" si="70"/>
        <v>4308</v>
      </c>
      <c r="W246" s="40">
        <f t="shared" si="70"/>
        <v>3817</v>
      </c>
      <c r="X246" s="40">
        <f t="shared" si="70"/>
        <v>3891</v>
      </c>
      <c r="Y246" s="40">
        <f t="shared" si="70"/>
        <v>3759</v>
      </c>
      <c r="Z246" s="40">
        <f t="shared" si="70"/>
        <v>3858</v>
      </c>
      <c r="AA246" s="40">
        <f t="shared" si="70"/>
        <v>3929</v>
      </c>
      <c r="AB246" s="40">
        <f t="shared" si="70"/>
        <v>3960</v>
      </c>
      <c r="AC246" s="40">
        <f t="shared" si="70"/>
        <v>4122</v>
      </c>
      <c r="AD246" s="40">
        <f t="shared" si="70"/>
        <v>4329</v>
      </c>
      <c r="AE246" s="40">
        <f t="shared" si="70"/>
        <v>4521.5932718038575</v>
      </c>
      <c r="AF246" s="40">
        <f t="shared" si="70"/>
        <v>4652.7746464653283</v>
      </c>
      <c r="AG246" s="40">
        <f t="shared" si="70"/>
        <v>4782.7277825729407</v>
      </c>
      <c r="AH246" s="40">
        <f t="shared" si="70"/>
        <v>4920.6127220270864</v>
      </c>
      <c r="AI246" s="40">
        <f t="shared" si="70"/>
        <v>5055.0552341969897</v>
      </c>
      <c r="AJ246" s="40">
        <f t="shared" si="70"/>
        <v>5192.1232583166502</v>
      </c>
      <c r="AK246" s="40">
        <f t="shared" si="70"/>
        <v>5332.0710765879776</v>
      </c>
      <c r="AL246" s="45"/>
      <c r="AM246" s="45"/>
      <c r="AN246" s="45"/>
    </row>
    <row r="247" spans="1:40" ht="14.5">
      <c r="A247"/>
      <c r="B247" s="39" t="s">
        <v>133</v>
      </c>
      <c r="C247" s="35"/>
      <c r="D247" s="35"/>
      <c r="E247" s="40"/>
      <c r="F247" s="40"/>
      <c r="G247" s="41"/>
      <c r="H247" s="40"/>
      <c r="I247" s="40"/>
      <c r="J247" s="40"/>
      <c r="K247" s="40"/>
      <c r="L247" s="40">
        <f t="shared" ref="L247:AK247" si="71">L23</f>
        <v>-1124</v>
      </c>
      <c r="M247" s="40">
        <f t="shared" si="71"/>
        <v>3599.4000000000005</v>
      </c>
      <c r="N247" s="40">
        <f t="shared" si="71"/>
        <v>3630</v>
      </c>
      <c r="O247" s="40">
        <f t="shared" si="71"/>
        <v>2972</v>
      </c>
      <c r="P247" s="40">
        <f t="shared" si="71"/>
        <v>3434</v>
      </c>
      <c r="Q247" s="40">
        <f t="shared" si="71"/>
        <v>3369</v>
      </c>
      <c r="R247" s="40">
        <f t="shared" si="71"/>
        <v>3549</v>
      </c>
      <c r="S247" s="40">
        <f t="shared" si="71"/>
        <v>3132</v>
      </c>
      <c r="T247" s="40">
        <f t="shared" si="71"/>
        <v>3027</v>
      </c>
      <c r="U247" s="40">
        <f t="shared" si="71"/>
        <v>3362</v>
      </c>
      <c r="V247" s="40">
        <f t="shared" si="71"/>
        <v>3280</v>
      </c>
      <c r="W247" s="40">
        <f t="shared" si="71"/>
        <v>2779</v>
      </c>
      <c r="X247" s="40">
        <f t="shared" si="71"/>
        <v>2678</v>
      </c>
      <c r="Y247" s="40">
        <f t="shared" si="71"/>
        <v>2514</v>
      </c>
      <c r="Z247" s="40">
        <f t="shared" si="71"/>
        <v>2671</v>
      </c>
      <c r="AA247" s="40">
        <f t="shared" si="71"/>
        <v>2815</v>
      </c>
      <c r="AB247" s="40">
        <f t="shared" si="71"/>
        <v>3147</v>
      </c>
      <c r="AC247" s="40">
        <f t="shared" si="71"/>
        <v>3448</v>
      </c>
      <c r="AD247" s="40">
        <f t="shared" si="71"/>
        <v>3343</v>
      </c>
      <c r="AE247" s="40">
        <f t="shared" si="71"/>
        <v>3427.0344138242785</v>
      </c>
      <c r="AF247" s="40">
        <f t="shared" si="71"/>
        <v>3643.2401142052895</v>
      </c>
      <c r="AG247" s="40">
        <f t="shared" si="71"/>
        <v>3748.4807060554476</v>
      </c>
      <c r="AH247" s="40">
        <f t="shared" si="71"/>
        <v>3860.2770785778475</v>
      </c>
      <c r="AI247" s="40">
        <f t="shared" si="71"/>
        <v>3969.4387053511377</v>
      </c>
      <c r="AJ247" s="40">
        <f t="shared" si="71"/>
        <v>4080.8626034257732</v>
      </c>
      <c r="AK247" s="40">
        <f t="shared" si="71"/>
        <v>3815.6459748583843</v>
      </c>
      <c r="AL247" s="45"/>
      <c r="AM247" s="45"/>
      <c r="AN247" s="45"/>
    </row>
    <row r="248" spans="1:40" ht="14.5">
      <c r="A248"/>
      <c r="B248" s="39" t="s">
        <v>242</v>
      </c>
      <c r="C248" s="35"/>
      <c r="D248" s="35"/>
      <c r="E248" s="40"/>
      <c r="F248" s="40"/>
      <c r="G248" s="40"/>
      <c r="H248" s="40"/>
      <c r="I248" s="40"/>
      <c r="J248" s="40"/>
      <c r="K248" s="40"/>
      <c r="L248" s="40">
        <f t="shared" ref="L248:AK248" si="72">L24</f>
        <v>-843</v>
      </c>
      <c r="M248" s="40">
        <f t="shared" si="72"/>
        <v>2699.55</v>
      </c>
      <c r="N248" s="40">
        <f t="shared" si="72"/>
        <v>2722.5</v>
      </c>
      <c r="O248" s="40">
        <f t="shared" si="72"/>
        <v>2229</v>
      </c>
      <c r="P248" s="40">
        <f t="shared" si="72"/>
        <v>2575.5</v>
      </c>
      <c r="Q248" s="40">
        <f t="shared" si="72"/>
        <v>2526.75</v>
      </c>
      <c r="R248" s="40">
        <f t="shared" si="72"/>
        <v>2661.75</v>
      </c>
      <c r="S248" s="40">
        <f t="shared" si="72"/>
        <v>2349</v>
      </c>
      <c r="T248" s="40">
        <f t="shared" si="72"/>
        <v>2270.25</v>
      </c>
      <c r="U248" s="40">
        <f t="shared" si="72"/>
        <v>2521.5</v>
      </c>
      <c r="V248" s="40">
        <f t="shared" si="72"/>
        <v>2460</v>
      </c>
      <c r="W248" s="40">
        <f t="shared" si="72"/>
        <v>2084.25</v>
      </c>
      <c r="X248" s="40">
        <f t="shared" si="72"/>
        <v>2008.5</v>
      </c>
      <c r="Y248" s="40">
        <f t="shared" si="72"/>
        <v>1885.5</v>
      </c>
      <c r="Z248" s="40">
        <f t="shared" si="72"/>
        <v>2003.25</v>
      </c>
      <c r="AA248" s="40">
        <f t="shared" si="72"/>
        <v>2111.25</v>
      </c>
      <c r="AB248" s="40">
        <f t="shared" si="72"/>
        <v>2360.25</v>
      </c>
      <c r="AC248" s="40">
        <f t="shared" si="72"/>
        <v>2586</v>
      </c>
      <c r="AD248" s="40">
        <f t="shared" si="72"/>
        <v>2507.25</v>
      </c>
      <c r="AE248" s="40">
        <f t="shared" si="72"/>
        <v>2570.275810368209</v>
      </c>
      <c r="AF248" s="40">
        <f t="shared" si="72"/>
        <v>2732.4300856539671</v>
      </c>
      <c r="AG248" s="40">
        <f t="shared" si="72"/>
        <v>2811.3605295415855</v>
      </c>
      <c r="AH248" s="40">
        <f t="shared" si="72"/>
        <v>2895.2078089333854</v>
      </c>
      <c r="AI248" s="40">
        <f t="shared" si="72"/>
        <v>2977.0790290133532</v>
      </c>
      <c r="AJ248" s="40">
        <f t="shared" si="72"/>
        <v>3060.6469525693301</v>
      </c>
      <c r="AK248" s="40">
        <f t="shared" si="72"/>
        <v>2861.7344811437883</v>
      </c>
      <c r="AL248" s="45"/>
      <c r="AM248" s="45"/>
      <c r="AN248" s="45"/>
    </row>
    <row r="249" spans="1:40" ht="14.5">
      <c r="A249"/>
      <c r="B249" s="39" t="s">
        <v>392</v>
      </c>
      <c r="C249" s="35"/>
      <c r="D249" s="35"/>
      <c r="E249" s="40"/>
      <c r="F249" s="40"/>
      <c r="G249" s="40"/>
      <c r="H249" s="40"/>
      <c r="I249" s="40"/>
      <c r="J249" s="40"/>
      <c r="K249" s="40"/>
      <c r="L249" s="40">
        <f>'Income Statement'!B123</f>
        <v>179</v>
      </c>
      <c r="M249" s="40">
        <f>'Income Statement'!G123</f>
        <v>184</v>
      </c>
      <c r="N249" s="40">
        <f>'Income Statement'!L123</f>
        <v>175.5</v>
      </c>
      <c r="O249" s="40">
        <f>'Income Statement'!Q123</f>
        <v>172.25</v>
      </c>
      <c r="P249" s="40">
        <f>'Income Statement'!V123</f>
        <v>183</v>
      </c>
      <c r="Q249" s="40">
        <f>'Income Statement'!AA123</f>
        <v>171</v>
      </c>
      <c r="R249" s="40">
        <f>'Income Statement'!AF123</f>
        <v>156</v>
      </c>
      <c r="S249" s="40">
        <f>'Income Statement'!AK123</f>
        <v>160.36799999999999</v>
      </c>
      <c r="T249" s="40">
        <f>'Income Statement'!AU123</f>
        <v>138.68624639999999</v>
      </c>
      <c r="U249" s="40">
        <f>'Income Statement'!AU123</f>
        <v>138.68624639999999</v>
      </c>
      <c r="V249" s="40">
        <f>'Income Statement'!AZ123</f>
        <v>134.52565900799999</v>
      </c>
      <c r="W249" s="40">
        <f>'Income Statement'!BE123</f>
        <v>127.79937605759999</v>
      </c>
      <c r="X249" s="40">
        <f>'Income Statement'!BJ123</f>
        <v>123.96539477587199</v>
      </c>
      <c r="Y249" s="40">
        <f>'Income Statement'!BO123</f>
        <v>120.24643293259582</v>
      </c>
      <c r="Z249" s="40">
        <f>'Income Statement'!BT123</f>
        <v>116.63903994461795</v>
      </c>
      <c r="AA249" s="40">
        <f>'Income Statement'!BY123</f>
        <v>113.1398687462794</v>
      </c>
      <c r="AB249" s="40">
        <f>'Income Statement'!CD123</f>
        <v>109.74567268389102</v>
      </c>
      <c r="AC249" s="40">
        <f>'Income Statement'!CI123</f>
        <v>106.45330250337429</v>
      </c>
      <c r="AD249" s="40">
        <f>'Income Statement'!CN123</f>
        <v>103.25970342827306</v>
      </c>
      <c r="AE249" s="40">
        <f>'Income Statement'!CQ123</f>
        <v>101.1945093597076</v>
      </c>
      <c r="AF249" s="40">
        <f>'Income Statement'!CR123</f>
        <v>99.17061917251344</v>
      </c>
      <c r="AG249" s="40">
        <f>'Income Statement'!CS123</f>
        <v>97.187206789063168</v>
      </c>
      <c r="AH249" s="40">
        <f>'Income Statement'!CT123</f>
        <v>95.24346265328191</v>
      </c>
      <c r="AI249" s="40">
        <f>'Income Statement'!CU123</f>
        <v>93.338593400216268</v>
      </c>
      <c r="AJ249" s="40">
        <f>'Income Statement'!CV123</f>
        <v>91.471821532211948</v>
      </c>
      <c r="AK249" s="40">
        <f>'Income Statement'!CW123</f>
        <v>89.642385101567712</v>
      </c>
      <c r="AL249" s="45"/>
      <c r="AM249" s="45"/>
      <c r="AN249" s="45"/>
    </row>
    <row r="250" spans="1:40" ht="14.5">
      <c r="A250"/>
      <c r="B250" s="39" t="s">
        <v>47</v>
      </c>
      <c r="C250" s="35"/>
      <c r="D250" s="35"/>
      <c r="E250" s="40"/>
      <c r="F250" s="40"/>
      <c r="G250" s="41"/>
      <c r="H250" s="40"/>
      <c r="I250" s="40"/>
      <c r="J250" s="40"/>
      <c r="K250" s="40"/>
      <c r="L250" s="40">
        <f>'Income Statement'!B170</f>
        <v>64</v>
      </c>
      <c r="M250" s="40">
        <f>'Income Statement'!G170</f>
        <v>58.6</v>
      </c>
      <c r="N250" s="40">
        <f>'Income Statement'!L170</f>
        <v>55.75</v>
      </c>
      <c r="O250" s="40">
        <f>'Income Statement'!Q170</f>
        <v>51</v>
      </c>
      <c r="P250" s="40">
        <f>'Income Statement'!V170</f>
        <v>52</v>
      </c>
      <c r="Q250" s="40">
        <f>'Income Statement'!AA170</f>
        <v>50.477409975397009</v>
      </c>
      <c r="R250" s="40">
        <f>'Income Statement'!AF170</f>
        <v>47.86334494515269</v>
      </c>
      <c r="S250" s="40">
        <f>'Income Statement'!AK170</f>
        <v>48.255347593582883</v>
      </c>
      <c r="T250" s="40">
        <f>'Income Statement'!AU170</f>
        <v>50.25</v>
      </c>
      <c r="U250" s="40">
        <f>'Income Statement'!AU170</f>
        <v>50.25</v>
      </c>
      <c r="V250" s="40">
        <f>'Income Statement'!AZ170</f>
        <v>51.25</v>
      </c>
      <c r="W250" s="40">
        <f>'Income Statement'!BE170</f>
        <v>52.5</v>
      </c>
      <c r="X250" s="40">
        <f>'Income Statement'!BJ170</f>
        <v>51</v>
      </c>
      <c r="Y250" s="40">
        <f>'Income Statement'!BO170</f>
        <v>48.25</v>
      </c>
      <c r="Z250" s="40">
        <f>'Income Statement'!BT170</f>
        <v>46.725000000000001</v>
      </c>
      <c r="AA250" s="40">
        <f>'Income Statement'!BY170</f>
        <v>47.25</v>
      </c>
      <c r="AB250" s="40">
        <f>'Income Statement'!CD170</f>
        <v>46.600000000000009</v>
      </c>
      <c r="AC250" s="40">
        <f>'Income Statement'!CI170</f>
        <v>44.525000000000006</v>
      </c>
      <c r="AD250" s="40">
        <f>'Income Statement'!CN170</f>
        <v>42.575000000000003</v>
      </c>
      <c r="AE250" s="40">
        <f>'Income Statement'!CQ170</f>
        <v>42.430225328511952</v>
      </c>
      <c r="AF250" s="40">
        <f>'Income Statement'!CR170</f>
        <v>42.536639211438199</v>
      </c>
      <c r="AG250" s="40">
        <f>'Income Statement'!CS170</f>
        <v>42.781709151544582</v>
      </c>
      <c r="AH250" s="40">
        <f>'Income Statement'!CT170</f>
        <v>43.029347842622514</v>
      </c>
      <c r="AI250" s="40">
        <f>'Income Statement'!CU170</f>
        <v>43.279572612082596</v>
      </c>
      <c r="AJ250" s="40">
        <f>'Income Statement'!CV170</f>
        <v>43.532400924575704</v>
      </c>
      <c r="AK250" s="40">
        <f>'Income Statement'!CW170</f>
        <v>43.787850378654518</v>
      </c>
      <c r="AL250" s="45"/>
      <c r="AM250" s="45"/>
      <c r="AN250" s="45"/>
    </row>
    <row r="251" spans="1:40" ht="14.5">
      <c r="A251"/>
      <c r="B251" s="39" t="s">
        <v>393</v>
      </c>
      <c r="C251" s="35"/>
      <c r="D251" s="35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5"/>
      <c r="AM251" s="45"/>
      <c r="AN251" s="45"/>
    </row>
    <row r="252" spans="1:40" ht="14.5">
      <c r="A252"/>
      <c r="B252" s="39" t="s">
        <v>394</v>
      </c>
      <c r="C252" s="35"/>
      <c r="D252" s="35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5"/>
      <c r="AM252" s="45"/>
      <c r="AN252" s="45"/>
    </row>
    <row r="253" spans="1:40" ht="14.5">
      <c r="A253"/>
      <c r="B253" s="39" t="s">
        <v>395</v>
      </c>
      <c r="C253" s="35"/>
      <c r="D253" s="35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5"/>
      <c r="AM253" s="45"/>
      <c r="AN253" s="45"/>
    </row>
    <row r="254" spans="1:40" ht="14.5">
      <c r="A254"/>
      <c r="B254" s="39"/>
      <c r="C254" s="35"/>
      <c r="D254" s="35"/>
      <c r="E254" s="40"/>
      <c r="F254" s="44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5"/>
      <c r="AM254" s="45"/>
      <c r="AN254" s="45"/>
    </row>
    <row r="255" spans="1:40" ht="14.5">
      <c r="A255"/>
      <c r="B255" s="403" t="s">
        <v>714</v>
      </c>
      <c r="C255" s="34">
        <f>C$2</f>
        <v>1998</v>
      </c>
      <c r="D255" s="34">
        <f t="shared" ref="D255:AN255" si="73">D$2</f>
        <v>1999</v>
      </c>
      <c r="E255" s="34">
        <f t="shared" si="73"/>
        <v>2000</v>
      </c>
      <c r="F255" s="34">
        <f t="shared" si="73"/>
        <v>2001</v>
      </c>
      <c r="G255" s="34">
        <f t="shared" si="73"/>
        <v>2002</v>
      </c>
      <c r="H255" s="34">
        <f t="shared" si="73"/>
        <v>2003</v>
      </c>
      <c r="I255" s="34">
        <f t="shared" si="73"/>
        <v>2004</v>
      </c>
      <c r="J255" s="34">
        <f t="shared" si="73"/>
        <v>2005</v>
      </c>
      <c r="K255" s="34">
        <f t="shared" si="73"/>
        <v>2006</v>
      </c>
      <c r="L255" s="34">
        <f t="shared" si="73"/>
        <v>2007</v>
      </c>
      <c r="M255" s="34">
        <f t="shared" si="73"/>
        <v>2008</v>
      </c>
      <c r="N255" s="34">
        <f t="shared" si="73"/>
        <v>2009</v>
      </c>
      <c r="O255" s="34">
        <f t="shared" si="73"/>
        <v>2010</v>
      </c>
      <c r="P255" s="34">
        <f t="shared" si="73"/>
        <v>2011</v>
      </c>
      <c r="Q255" s="34">
        <f t="shared" si="73"/>
        <v>2012</v>
      </c>
      <c r="R255" s="34">
        <f t="shared" si="73"/>
        <v>2013</v>
      </c>
      <c r="S255" s="34">
        <f t="shared" si="73"/>
        <v>2014</v>
      </c>
      <c r="T255" s="34">
        <f t="shared" si="73"/>
        <v>2015</v>
      </c>
      <c r="U255" s="34">
        <f t="shared" si="73"/>
        <v>2016</v>
      </c>
      <c r="V255" s="34">
        <f t="shared" si="73"/>
        <v>2017</v>
      </c>
      <c r="W255" s="34">
        <f t="shared" si="73"/>
        <v>2018</v>
      </c>
      <c r="X255" s="34">
        <f t="shared" si="73"/>
        <v>2019</v>
      </c>
      <c r="Y255" s="34">
        <f t="shared" si="73"/>
        <v>2020</v>
      </c>
      <c r="Z255" s="34">
        <f t="shared" si="73"/>
        <v>2021</v>
      </c>
      <c r="AA255" s="34">
        <f t="shared" si="73"/>
        <v>2022</v>
      </c>
      <c r="AB255" s="34">
        <f t="shared" si="73"/>
        <v>2023</v>
      </c>
      <c r="AC255" s="34">
        <f t="shared" si="73"/>
        <v>2024</v>
      </c>
      <c r="AD255" s="34">
        <f t="shared" si="73"/>
        <v>2025</v>
      </c>
      <c r="AE255" s="34">
        <f t="shared" si="73"/>
        <v>2026</v>
      </c>
      <c r="AF255" s="34">
        <f t="shared" si="73"/>
        <v>2027</v>
      </c>
      <c r="AG255" s="34">
        <f t="shared" si="73"/>
        <v>2028</v>
      </c>
      <c r="AH255" s="34">
        <f t="shared" si="73"/>
        <v>2029</v>
      </c>
      <c r="AI255" s="34">
        <f t="shared" si="73"/>
        <v>2030</v>
      </c>
      <c r="AJ255" s="34">
        <f t="shared" si="73"/>
        <v>2031</v>
      </c>
      <c r="AK255" s="34">
        <f t="shared" si="73"/>
        <v>2032</v>
      </c>
      <c r="AL255" s="34">
        <f t="shared" si="73"/>
        <v>2033</v>
      </c>
      <c r="AM255" s="34">
        <f t="shared" si="73"/>
        <v>2034</v>
      </c>
      <c r="AN255" s="34">
        <f t="shared" si="73"/>
        <v>2035</v>
      </c>
    </row>
    <row r="256" spans="1:40" ht="14.5">
      <c r="A256"/>
      <c r="B256" s="404"/>
      <c r="C256" s="35"/>
      <c r="D256" s="35"/>
      <c r="E256" s="40"/>
      <c r="F256" s="44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5"/>
      <c r="AM256" s="45"/>
      <c r="AN256" s="45"/>
    </row>
    <row r="257" spans="1:41" ht="14.5">
      <c r="A257"/>
      <c r="B257" s="405" t="s">
        <v>52</v>
      </c>
      <c r="C257" s="35"/>
      <c r="D257" s="35"/>
      <c r="E257" s="40"/>
      <c r="F257" s="44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5"/>
      <c r="AM257" s="45"/>
      <c r="AN257" s="45"/>
    </row>
    <row r="258" spans="1:41" ht="14.5">
      <c r="A258"/>
      <c r="B258" s="405" t="s">
        <v>715</v>
      </c>
      <c r="C258" s="35"/>
      <c r="D258" s="35"/>
      <c r="E258" s="35"/>
      <c r="F258" s="44"/>
      <c r="G258" s="35"/>
      <c r="H258" s="35"/>
      <c r="I258" s="35"/>
      <c r="J258" s="35"/>
      <c r="K258" s="35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>
        <f>'Income Statement'!BO269</f>
        <v>402</v>
      </c>
      <c r="Z258" s="40">
        <f>'Income Statement'!BT269</f>
        <v>494</v>
      </c>
      <c r="AA258" s="40">
        <f>'Income Statement'!BY269</f>
        <v>587</v>
      </c>
      <c r="AB258" s="40">
        <f>'Income Statement'!CD269</f>
        <v>678</v>
      </c>
      <c r="AC258" s="40">
        <f>'Income Statement'!CI269</f>
        <v>723</v>
      </c>
      <c r="AD258" s="40">
        <f>'Income Statement'!CN269</f>
        <v>723</v>
      </c>
      <c r="AE258" s="40">
        <f>'Income Statement'!CQ269</f>
        <v>780</v>
      </c>
      <c r="AF258" s="40">
        <f>'Income Statement'!CR269</f>
        <v>780</v>
      </c>
      <c r="AG258" s="40">
        <f>'Income Statement'!CS269</f>
        <v>820</v>
      </c>
      <c r="AH258" s="40">
        <f>'Income Statement'!CT269</f>
        <v>840</v>
      </c>
      <c r="AI258" s="40">
        <f>'Income Statement'!CU269</f>
        <v>860</v>
      </c>
      <c r="AJ258" s="40">
        <f>'Income Statement'!CV269</f>
        <v>880</v>
      </c>
      <c r="AK258" s="40">
        <f>'Income Statement'!CW269</f>
        <v>900</v>
      </c>
      <c r="AL258" s="45"/>
      <c r="AM258" s="45"/>
      <c r="AN258" s="45"/>
    </row>
    <row r="259" spans="1:41" ht="14.5">
      <c r="A259"/>
      <c r="B259" s="405" t="s">
        <v>390</v>
      </c>
      <c r="C259" s="35"/>
      <c r="D259" s="35"/>
      <c r="E259" s="46"/>
      <c r="F259" s="44"/>
      <c r="G259" s="44"/>
      <c r="H259" s="47"/>
      <c r="I259" s="47"/>
      <c r="J259" s="47"/>
      <c r="K259" s="47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5"/>
      <c r="AM259" s="45"/>
      <c r="AN259" s="45"/>
    </row>
    <row r="260" spans="1:41" ht="14.5">
      <c r="A260"/>
      <c r="B260" s="405" t="s">
        <v>47</v>
      </c>
      <c r="C260" s="35"/>
      <c r="D260" s="35"/>
      <c r="E260" s="35"/>
      <c r="F260" s="44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4"/>
      <c r="W260" s="44"/>
      <c r="X260" s="44"/>
      <c r="Y260" s="40">
        <f>'Income Statement'!BO264</f>
        <v>104.66666666666667</v>
      </c>
      <c r="Z260" s="40">
        <f>'Income Statement'!BT264</f>
        <v>107.88690476190476</v>
      </c>
      <c r="AA260" s="40">
        <f>'Income Statement'!BY264</f>
        <v>108.38729571384521</v>
      </c>
      <c r="AB260" s="40">
        <f>'Income Statement'!CD264</f>
        <v>106.58761528326745</v>
      </c>
      <c r="AC260" s="40">
        <f>'Income Statement'!CI264</f>
        <v>105.51986676183678</v>
      </c>
      <c r="AD260" s="40">
        <f>'Income Statement'!CN264</f>
        <v>106.03964960811435</v>
      </c>
      <c r="AE260" s="40">
        <f>'Income Statement'!CQ264</f>
        <v>108.16044260027664</v>
      </c>
      <c r="AF260" s="40">
        <f>'Income Statement'!CR264</f>
        <v>108.16044260027664</v>
      </c>
      <c r="AG260" s="40">
        <f>'Income Statement'!CS264</f>
        <v>108.16044260027664</v>
      </c>
      <c r="AH260" s="40">
        <f>'Income Statement'!CT264</f>
        <v>108.16044260027664</v>
      </c>
      <c r="AI260" s="40">
        <f>'Income Statement'!CU264</f>
        <v>108.16044260027664</v>
      </c>
      <c r="AJ260" s="40">
        <f>'Income Statement'!CV264</f>
        <v>108.16044260027664</v>
      </c>
      <c r="AK260" s="40">
        <f>'Income Statement'!CW264</f>
        <v>108.16044260027664</v>
      </c>
      <c r="AL260" s="45"/>
      <c r="AM260" s="45"/>
      <c r="AN260" s="45"/>
    </row>
    <row r="261" spans="1:41" ht="14.5">
      <c r="A261"/>
      <c r="B261" s="405" t="s">
        <v>255</v>
      </c>
      <c r="C261" s="48"/>
      <c r="D261" s="48"/>
      <c r="E261" s="48"/>
      <c r="F261" s="44"/>
      <c r="G261" s="48"/>
      <c r="H261" s="48"/>
      <c r="I261" s="48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36"/>
      <c r="U261" s="36"/>
      <c r="V261" s="44"/>
      <c r="W261" s="44"/>
      <c r="X261" s="44"/>
      <c r="Y261" s="40">
        <f>'Income Statement'!BO277</f>
        <v>0</v>
      </c>
      <c r="Z261" s="40">
        <f>'Income Statement'!BT277</f>
        <v>0</v>
      </c>
      <c r="AA261" s="40">
        <f>'Income Statement'!BY277</f>
        <v>703</v>
      </c>
      <c r="AB261" s="40">
        <f>'Income Statement'!CD277</f>
        <v>809</v>
      </c>
      <c r="AC261" s="40">
        <f>'Income Statement'!CI277</f>
        <v>887</v>
      </c>
      <c r="AD261" s="40">
        <f>'Income Statement'!CN277</f>
        <v>920</v>
      </c>
      <c r="AE261" s="40">
        <f>'Income Statement'!CQ277</f>
        <v>918.93771588644347</v>
      </c>
      <c r="AF261" s="40">
        <f>'Income Statement'!CR277</f>
        <v>969.59272017778278</v>
      </c>
      <c r="AG261" s="40">
        <f>'Income Statement'!CS277</f>
        <v>994.45407197721283</v>
      </c>
      <c r="AH261" s="40">
        <f>'Income Statement'!CT277</f>
        <v>1031.7460996763584</v>
      </c>
      <c r="AI261" s="40">
        <f>'Income Statement'!CU277</f>
        <v>1056.6074514757888</v>
      </c>
      <c r="AJ261" s="40">
        <f>'Income Statement'!CV277</f>
        <v>1081.4688032752192</v>
      </c>
      <c r="AK261" s="40">
        <f>'Income Statement'!CW277</f>
        <v>1106.3301550746496</v>
      </c>
      <c r="AL261" s="45"/>
      <c r="AM261" s="45"/>
      <c r="AN261" s="45"/>
    </row>
    <row r="262" spans="1:41" ht="14.5">
      <c r="A262"/>
      <c r="B262" s="405" t="s">
        <v>391</v>
      </c>
      <c r="C262" s="44"/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5"/>
      <c r="AM262" s="45"/>
      <c r="AN262" s="45"/>
    </row>
    <row r="263" spans="1:41" ht="14.5">
      <c r="A263"/>
      <c r="B263" s="405" t="s">
        <v>2</v>
      </c>
      <c r="C263" s="44"/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  <c r="AA263" s="44"/>
      <c r="AB263" s="44"/>
      <c r="AC263" s="44"/>
      <c r="AD263" s="44"/>
      <c r="AE263" s="44"/>
      <c r="AF263" s="44"/>
      <c r="AG263" s="44"/>
      <c r="AH263" s="44"/>
      <c r="AI263" s="44"/>
      <c r="AJ263" s="44"/>
      <c r="AK263" s="44"/>
      <c r="AL263" s="45"/>
      <c r="AM263" s="45"/>
      <c r="AN263" s="45"/>
    </row>
    <row r="264" spans="1:41" ht="14.5">
      <c r="A264"/>
      <c r="B264" s="405" t="s">
        <v>716</v>
      </c>
      <c r="C264" s="44"/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  <c r="AA264" s="44"/>
      <c r="AB264" s="44"/>
      <c r="AC264" s="44"/>
      <c r="AD264" s="44"/>
      <c r="AE264" s="44"/>
      <c r="AF264" s="44"/>
      <c r="AG264" s="44"/>
      <c r="AH264" s="44"/>
      <c r="AI264" s="44"/>
      <c r="AJ264" s="44"/>
      <c r="AK264" s="44"/>
      <c r="AL264" s="45"/>
      <c r="AM264" s="45"/>
      <c r="AN264" s="45"/>
    </row>
    <row r="265" spans="1:41" ht="14.5">
      <c r="A265"/>
      <c r="B265" s="405" t="s">
        <v>133</v>
      </c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  <c r="AC265" s="45"/>
      <c r="AD265" s="45"/>
      <c r="AE265" s="45"/>
      <c r="AF265" s="45"/>
      <c r="AG265" s="45"/>
      <c r="AH265" s="45"/>
      <c r="AI265" s="45"/>
      <c r="AJ265" s="45"/>
      <c r="AK265" s="45"/>
      <c r="AL265" s="45"/>
      <c r="AM265" s="45"/>
      <c r="AN265" s="45"/>
    </row>
    <row r="266" spans="1:41" ht="14.5">
      <c r="A266"/>
      <c r="B266" s="405" t="s">
        <v>242</v>
      </c>
    </row>
    <row r="268" spans="1:41" s="406" customFormat="1" ht="14.5">
      <c r="B268" s="407" t="s">
        <v>584</v>
      </c>
      <c r="C268" s="34">
        <f>C$2</f>
        <v>1998</v>
      </c>
      <c r="D268" s="34">
        <f t="shared" ref="D268:AN268" si="74">D$2</f>
        <v>1999</v>
      </c>
      <c r="E268" s="34">
        <f t="shared" si="74"/>
        <v>2000</v>
      </c>
      <c r="F268" s="34">
        <f t="shared" si="74"/>
        <v>2001</v>
      </c>
      <c r="G268" s="34">
        <f t="shared" si="74"/>
        <v>2002</v>
      </c>
      <c r="H268" s="34">
        <f t="shared" si="74"/>
        <v>2003</v>
      </c>
      <c r="I268" s="34">
        <f t="shared" si="74"/>
        <v>2004</v>
      </c>
      <c r="J268" s="34">
        <f t="shared" si="74"/>
        <v>2005</v>
      </c>
      <c r="K268" s="34">
        <f t="shared" si="74"/>
        <v>2006</v>
      </c>
      <c r="L268" s="34">
        <f t="shared" si="74"/>
        <v>2007</v>
      </c>
      <c r="M268" s="34">
        <f t="shared" si="74"/>
        <v>2008</v>
      </c>
      <c r="N268" s="34">
        <f t="shared" si="74"/>
        <v>2009</v>
      </c>
      <c r="O268" s="34">
        <f t="shared" si="74"/>
        <v>2010</v>
      </c>
      <c r="P268" s="34">
        <f t="shared" si="74"/>
        <v>2011</v>
      </c>
      <c r="Q268" s="34">
        <f t="shared" si="74"/>
        <v>2012</v>
      </c>
      <c r="R268" s="34">
        <f t="shared" si="74"/>
        <v>2013</v>
      </c>
      <c r="S268" s="34">
        <f t="shared" si="74"/>
        <v>2014</v>
      </c>
      <c r="T268" s="34">
        <f t="shared" si="74"/>
        <v>2015</v>
      </c>
      <c r="U268" s="34">
        <f t="shared" si="74"/>
        <v>2016</v>
      </c>
      <c r="V268" s="34">
        <f t="shared" si="74"/>
        <v>2017</v>
      </c>
      <c r="W268" s="34">
        <f t="shared" si="74"/>
        <v>2018</v>
      </c>
      <c r="X268" s="34">
        <f t="shared" si="74"/>
        <v>2019</v>
      </c>
      <c r="Y268" s="34">
        <f t="shared" si="74"/>
        <v>2020</v>
      </c>
      <c r="Z268" s="34">
        <f t="shared" si="74"/>
        <v>2021</v>
      </c>
      <c r="AA268" s="34">
        <f t="shared" si="74"/>
        <v>2022</v>
      </c>
      <c r="AB268" s="34">
        <f t="shared" si="74"/>
        <v>2023</v>
      </c>
      <c r="AC268" s="34">
        <f t="shared" si="74"/>
        <v>2024</v>
      </c>
      <c r="AD268" s="34">
        <f t="shared" si="74"/>
        <v>2025</v>
      </c>
      <c r="AE268" s="34">
        <f t="shared" si="74"/>
        <v>2026</v>
      </c>
      <c r="AF268" s="34">
        <f t="shared" si="74"/>
        <v>2027</v>
      </c>
      <c r="AG268" s="34">
        <f t="shared" si="74"/>
        <v>2028</v>
      </c>
      <c r="AH268" s="34">
        <f t="shared" si="74"/>
        <v>2029</v>
      </c>
      <c r="AI268" s="34">
        <f t="shared" si="74"/>
        <v>2030</v>
      </c>
      <c r="AJ268" s="34">
        <f t="shared" si="74"/>
        <v>2031</v>
      </c>
      <c r="AK268" s="34">
        <f t="shared" si="74"/>
        <v>2032</v>
      </c>
      <c r="AL268" s="34">
        <f t="shared" si="74"/>
        <v>2033</v>
      </c>
      <c r="AM268" s="34">
        <f t="shared" si="74"/>
        <v>2034</v>
      </c>
      <c r="AN268" s="34">
        <f t="shared" si="74"/>
        <v>2035</v>
      </c>
      <c r="AO268" s="7"/>
    </row>
    <row r="269" spans="1:41" s="406" customFormat="1" ht="14.5">
      <c r="B269" s="408"/>
      <c r="C269" s="409"/>
      <c r="D269" s="409"/>
      <c r="E269" s="409"/>
      <c r="F269" s="409"/>
      <c r="G269" s="409"/>
      <c r="H269" s="409"/>
      <c r="I269" s="409"/>
      <c r="J269" s="409"/>
      <c r="K269" s="409"/>
      <c r="L269" s="409"/>
      <c r="M269" s="409"/>
      <c r="N269" s="409"/>
      <c r="O269" s="409"/>
      <c r="P269" s="409"/>
      <c r="Q269" s="409"/>
      <c r="R269" s="409"/>
      <c r="S269" s="409"/>
      <c r="T269" s="409"/>
      <c r="U269" s="409"/>
      <c r="V269" s="410"/>
      <c r="W269" s="410"/>
      <c r="X269" s="411"/>
      <c r="Y269" s="411"/>
      <c r="Z269" s="412"/>
      <c r="AA269" s="412"/>
      <c r="AB269" s="412"/>
      <c r="AC269" s="412"/>
      <c r="AD269" s="412"/>
      <c r="AE269" s="412"/>
      <c r="AF269" s="412"/>
      <c r="AG269" s="412"/>
      <c r="AH269" s="412"/>
      <c r="AI269" s="412"/>
      <c r="AJ269" s="412"/>
      <c r="AK269" s="413"/>
      <c r="AL269" s="413"/>
      <c r="AM269" s="413"/>
      <c r="AN269" s="413"/>
      <c r="AO269" s="7"/>
    </row>
    <row r="270" spans="1:41" s="406" customFormat="1" ht="14.5">
      <c r="B270" s="408" t="s">
        <v>717</v>
      </c>
      <c r="C270" s="409"/>
      <c r="D270" s="409"/>
      <c r="E270" s="409"/>
      <c r="F270" s="409"/>
      <c r="G270" s="409"/>
      <c r="H270" s="409"/>
      <c r="I270" s="409"/>
      <c r="J270" s="409"/>
      <c r="K270" s="409"/>
      <c r="L270" s="409"/>
      <c r="M270" s="409"/>
      <c r="N270" s="409"/>
      <c r="O270" s="409"/>
      <c r="P270" s="409"/>
      <c r="Q270" s="409"/>
      <c r="R270" s="409"/>
      <c r="S270" s="409"/>
      <c r="T270" s="409"/>
      <c r="U270" s="409"/>
      <c r="V270" s="410"/>
      <c r="W270" s="410"/>
      <c r="X270" s="411"/>
      <c r="Y270" s="411"/>
      <c r="Z270" s="412"/>
      <c r="AA270" s="412"/>
      <c r="AB270" s="412"/>
      <c r="AC270" s="412"/>
      <c r="AD270" s="412"/>
      <c r="AE270" s="412"/>
      <c r="AF270" s="412"/>
      <c r="AG270" s="412"/>
      <c r="AH270" s="412"/>
      <c r="AI270" s="412"/>
      <c r="AJ270" s="412"/>
      <c r="AK270" s="413"/>
      <c r="AL270" s="413"/>
      <c r="AM270" s="413"/>
      <c r="AN270" s="413"/>
      <c r="AO270" s="7"/>
    </row>
    <row r="271" spans="1:41" s="406" customFormat="1" ht="14.5">
      <c r="B271" s="408" t="s">
        <v>255</v>
      </c>
      <c r="C271" s="409"/>
      <c r="D271" s="409"/>
      <c r="E271" s="409"/>
      <c r="F271" s="409"/>
      <c r="G271" s="409"/>
      <c r="H271" s="409"/>
      <c r="I271" s="409"/>
      <c r="J271" s="409"/>
      <c r="K271" s="409"/>
      <c r="L271" s="409"/>
      <c r="M271" s="409"/>
      <c r="N271" s="409"/>
      <c r="O271" s="409"/>
      <c r="P271" s="409"/>
      <c r="Q271" s="409"/>
      <c r="R271" s="409"/>
      <c r="S271" s="409"/>
      <c r="T271" s="414"/>
      <c r="U271" s="414"/>
      <c r="V271" s="414"/>
      <c r="W271" s="414"/>
      <c r="X271" s="414"/>
      <c r="Y271" s="40">
        <f>'Income Statement'!BO280</f>
        <v>0</v>
      </c>
      <c r="Z271" s="40">
        <f>'Income Statement'!BT280</f>
        <v>0</v>
      </c>
      <c r="AA271" s="40">
        <f>'Income Statement'!BY280</f>
        <v>1525</v>
      </c>
      <c r="AB271" s="40">
        <f>'Income Statement'!CD280</f>
        <v>1508</v>
      </c>
      <c r="AC271" s="40">
        <f>'Income Statement'!CI280</f>
        <v>1610</v>
      </c>
      <c r="AD271" s="40">
        <f>'Income Statement'!CN280</f>
        <v>1665</v>
      </c>
      <c r="AE271" s="40">
        <f>'Income Statement'!CQ280</f>
        <v>1669.1624999999999</v>
      </c>
      <c r="AF271" s="40">
        <f>'Income Statement'!CR280</f>
        <v>1752.620625</v>
      </c>
      <c r="AG271" s="40">
        <f>'Income Statement'!CS280</f>
        <v>1840.25165625</v>
      </c>
      <c r="AH271" s="40">
        <f>'Income Statement'!CT280</f>
        <v>1932.2642390625001</v>
      </c>
      <c r="AI271" s="40">
        <f>'Income Statement'!CU280</f>
        <v>2028.8774510156252</v>
      </c>
      <c r="AJ271" s="40">
        <f>'Income Statement'!CV280</f>
        <v>2130.3213235664066</v>
      </c>
      <c r="AK271" s="40">
        <f>'Income Statement'!CW280</f>
        <v>2236.8373897447268</v>
      </c>
      <c r="AL271" s="413"/>
      <c r="AM271" s="413"/>
      <c r="AN271" s="413"/>
      <c r="AO271" s="7"/>
    </row>
    <row r="272" spans="1:41" s="406" customFormat="1" ht="14.5">
      <c r="B272" s="408"/>
      <c r="C272" s="408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15"/>
      <c r="U272" s="415"/>
      <c r="V272" s="415"/>
      <c r="W272" s="415"/>
      <c r="X272" s="415"/>
      <c r="Y272" s="415"/>
      <c r="Z272" s="415"/>
      <c r="AA272" s="415"/>
      <c r="AB272" s="415"/>
      <c r="AC272" s="415"/>
      <c r="AD272" s="415"/>
      <c r="AE272" s="415"/>
      <c r="AF272" s="415"/>
      <c r="AG272" s="415"/>
      <c r="AH272" s="415"/>
      <c r="AI272" s="415"/>
      <c r="AJ272" s="415"/>
      <c r="AO272" s="7"/>
    </row>
    <row r="273" spans="2:37">
      <c r="B273" s="1" t="s">
        <v>623</v>
      </c>
    </row>
    <row r="274" spans="2:37">
      <c r="B274" s="3" t="s">
        <v>629</v>
      </c>
    </row>
    <row r="275" spans="2:37">
      <c r="B275" s="1" t="s">
        <v>624</v>
      </c>
    </row>
    <row r="276" spans="2:37">
      <c r="B276" s="1" t="s">
        <v>2</v>
      </c>
      <c r="C276" s="419">
        <f t="shared" ref="C276:AK276" si="75">C19</f>
        <v>0</v>
      </c>
      <c r="D276" s="419">
        <f t="shared" si="75"/>
        <v>0</v>
      </c>
      <c r="E276" s="419">
        <f t="shared" si="75"/>
        <v>0</v>
      </c>
      <c r="F276" s="419">
        <f t="shared" si="75"/>
        <v>0</v>
      </c>
      <c r="G276" s="419">
        <f t="shared" si="75"/>
        <v>0</v>
      </c>
      <c r="H276" s="419">
        <f t="shared" si="75"/>
        <v>0</v>
      </c>
      <c r="I276" s="419">
        <f t="shared" si="75"/>
        <v>0</v>
      </c>
      <c r="J276" s="419">
        <f t="shared" si="75"/>
        <v>0</v>
      </c>
      <c r="K276" s="419">
        <f t="shared" si="75"/>
        <v>0</v>
      </c>
      <c r="L276" s="419">
        <f t="shared" si="75"/>
        <v>0</v>
      </c>
      <c r="M276" s="419">
        <f t="shared" si="75"/>
        <v>4402.2000000000007</v>
      </c>
      <c r="N276" s="419">
        <f t="shared" si="75"/>
        <v>4220</v>
      </c>
      <c r="O276" s="419">
        <f t="shared" si="75"/>
        <v>4416</v>
      </c>
      <c r="P276" s="419">
        <f t="shared" si="75"/>
        <v>4423</v>
      </c>
      <c r="Q276" s="419">
        <f t="shared" si="75"/>
        <v>4359</v>
      </c>
      <c r="R276" s="419">
        <f t="shared" si="75"/>
        <v>4364</v>
      </c>
      <c r="S276" s="419">
        <f t="shared" si="75"/>
        <v>4272</v>
      </c>
      <c r="T276" s="419">
        <f t="shared" si="75"/>
        <v>4331</v>
      </c>
      <c r="U276" s="419">
        <f t="shared" si="75"/>
        <v>4551</v>
      </c>
      <c r="V276" s="419">
        <f t="shared" si="75"/>
        <v>4308</v>
      </c>
      <c r="W276" s="419">
        <f t="shared" si="75"/>
        <v>3817</v>
      </c>
      <c r="X276" s="419">
        <f t="shared" si="75"/>
        <v>3891</v>
      </c>
      <c r="Y276" s="419">
        <f t="shared" si="75"/>
        <v>3759</v>
      </c>
      <c r="Z276" s="419">
        <f t="shared" si="75"/>
        <v>3858</v>
      </c>
      <c r="AA276" s="419">
        <f t="shared" si="75"/>
        <v>3929</v>
      </c>
      <c r="AB276" s="419">
        <f t="shared" si="75"/>
        <v>3960</v>
      </c>
      <c r="AC276" s="419">
        <f t="shared" si="75"/>
        <v>4122</v>
      </c>
      <c r="AD276" s="419">
        <f t="shared" si="75"/>
        <v>4329</v>
      </c>
      <c r="AE276" s="419">
        <f t="shared" si="75"/>
        <v>4521.5932718038575</v>
      </c>
      <c r="AF276" s="419">
        <f t="shared" si="75"/>
        <v>4652.7746464653283</v>
      </c>
      <c r="AG276" s="419">
        <f t="shared" si="75"/>
        <v>4782.7277825729407</v>
      </c>
      <c r="AH276" s="419">
        <f t="shared" si="75"/>
        <v>4920.6127220270864</v>
      </c>
      <c r="AI276" s="419">
        <f t="shared" si="75"/>
        <v>5055.0552341969897</v>
      </c>
      <c r="AJ276" s="419">
        <f t="shared" si="75"/>
        <v>5192.1232583166502</v>
      </c>
      <c r="AK276" s="419">
        <f t="shared" si="75"/>
        <v>5332.0710765879776</v>
      </c>
    </row>
    <row r="277" spans="2:37">
      <c r="B277" s="1" t="s">
        <v>625</v>
      </c>
      <c r="C277" s="419">
        <f t="shared" ref="C277:AK277" si="76">C20+C21</f>
        <v>0</v>
      </c>
      <c r="D277" s="419">
        <f t="shared" si="76"/>
        <v>0</v>
      </c>
      <c r="E277" s="419">
        <f t="shared" si="76"/>
        <v>0</v>
      </c>
      <c r="F277" s="419">
        <f t="shared" si="76"/>
        <v>0</v>
      </c>
      <c r="G277" s="419">
        <f t="shared" si="76"/>
        <v>0</v>
      </c>
      <c r="H277" s="419">
        <f t="shared" si="76"/>
        <v>0</v>
      </c>
      <c r="I277" s="419">
        <f t="shared" si="76"/>
        <v>0</v>
      </c>
      <c r="J277" s="419">
        <f t="shared" si="76"/>
        <v>0</v>
      </c>
      <c r="K277" s="419">
        <f t="shared" si="76"/>
        <v>0</v>
      </c>
      <c r="L277" s="419">
        <f t="shared" si="76"/>
        <v>894</v>
      </c>
      <c r="M277" s="419">
        <f t="shared" si="76"/>
        <v>1192.2</v>
      </c>
      <c r="N277" s="419">
        <f t="shared" si="76"/>
        <v>1165</v>
      </c>
      <c r="O277" s="419">
        <f t="shared" si="76"/>
        <v>1073</v>
      </c>
      <c r="P277" s="419">
        <f t="shared" si="76"/>
        <v>1191</v>
      </c>
      <c r="Q277" s="419">
        <f t="shared" si="76"/>
        <v>1362</v>
      </c>
      <c r="R277" s="419">
        <f t="shared" si="76"/>
        <v>1366</v>
      </c>
      <c r="S277" s="419">
        <f t="shared" si="76"/>
        <v>1427</v>
      </c>
      <c r="T277" s="419">
        <f t="shared" si="76"/>
        <v>1270</v>
      </c>
      <c r="U277" s="419">
        <f t="shared" si="76"/>
        <v>1393</v>
      </c>
      <c r="V277" s="419">
        <f t="shared" si="76"/>
        <v>1420</v>
      </c>
      <c r="W277" s="419">
        <f t="shared" si="76"/>
        <v>1068</v>
      </c>
      <c r="X277" s="419">
        <f t="shared" si="76"/>
        <v>1265</v>
      </c>
      <c r="Y277" s="419">
        <f t="shared" si="76"/>
        <v>1475</v>
      </c>
      <c r="Z277" s="419">
        <f t="shared" si="76"/>
        <v>1701</v>
      </c>
      <c r="AA277" s="419">
        <f t="shared" si="76"/>
        <v>1721</v>
      </c>
      <c r="AB277" s="419">
        <f t="shared" si="76"/>
        <v>1903</v>
      </c>
      <c r="AC277" s="419">
        <f t="shared" si="76"/>
        <v>1780</v>
      </c>
      <c r="AD277" s="419">
        <f t="shared" si="76"/>
        <v>1812</v>
      </c>
      <c r="AE277" s="419">
        <f t="shared" si="76"/>
        <v>1712.6200000000001</v>
      </c>
      <c r="AF277" s="419">
        <f t="shared" si="76"/>
        <v>1716.2140194881929</v>
      </c>
      <c r="AG277" s="419">
        <f t="shared" si="76"/>
        <v>1726.342788300195</v>
      </c>
      <c r="AH277" s="419">
        <f t="shared" si="76"/>
        <v>1731.4508062958992</v>
      </c>
      <c r="AI277" s="419">
        <f t="shared" si="76"/>
        <v>1718.2769176414311</v>
      </c>
      <c r="AJ277" s="419">
        <f t="shared" si="76"/>
        <v>1715.871143349141</v>
      </c>
      <c r="AK277" s="419">
        <f t="shared" si="76"/>
        <v>1684.7269921132493</v>
      </c>
    </row>
    <row r="278" spans="2:37">
      <c r="B278" s="1" t="s">
        <v>75</v>
      </c>
      <c r="C278" s="419">
        <f>C276-C277</f>
        <v>0</v>
      </c>
      <c r="D278" s="419">
        <f t="shared" ref="D278:K278" si="77">D276-D277</f>
        <v>0</v>
      </c>
      <c r="E278" s="419">
        <f t="shared" si="77"/>
        <v>0</v>
      </c>
      <c r="F278" s="419">
        <f t="shared" si="77"/>
        <v>0</v>
      </c>
      <c r="G278" s="419">
        <f t="shared" si="77"/>
        <v>0</v>
      </c>
      <c r="H278" s="419">
        <f t="shared" si="77"/>
        <v>0</v>
      </c>
      <c r="I278" s="419">
        <f t="shared" si="77"/>
        <v>0</v>
      </c>
      <c r="J278" s="419">
        <f t="shared" si="77"/>
        <v>0</v>
      </c>
      <c r="K278" s="419">
        <f t="shared" si="77"/>
        <v>0</v>
      </c>
      <c r="L278" s="419">
        <f t="shared" ref="L278" si="78">L276-L277</f>
        <v>-894</v>
      </c>
      <c r="M278" s="419">
        <f t="shared" ref="M278" si="79">M276-M277</f>
        <v>3210.0000000000009</v>
      </c>
      <c r="N278" s="419">
        <f t="shared" ref="N278" si="80">N276-N277</f>
        <v>3055</v>
      </c>
      <c r="O278" s="419">
        <f t="shared" ref="O278" si="81">O276-O277</f>
        <v>3343</v>
      </c>
      <c r="P278" s="419">
        <f t="shared" ref="P278" si="82">P276-P277</f>
        <v>3232</v>
      </c>
      <c r="Q278" s="419">
        <f t="shared" ref="Q278" si="83">Q276-Q277</f>
        <v>2997</v>
      </c>
      <c r="R278" s="419">
        <f t="shared" ref="R278" si="84">R276-R277</f>
        <v>2998</v>
      </c>
      <c r="S278" s="419">
        <f t="shared" ref="S278" si="85">S276-S277</f>
        <v>2845</v>
      </c>
      <c r="T278" s="419">
        <f t="shared" ref="T278" si="86">T276-T277</f>
        <v>3061</v>
      </c>
      <c r="U278" s="419">
        <f t="shared" ref="U278" si="87">U276-U277</f>
        <v>3158</v>
      </c>
      <c r="V278" s="419">
        <f t="shared" ref="V278" si="88">V276-V277</f>
        <v>2888</v>
      </c>
      <c r="W278" s="419">
        <f t="shared" ref="W278" si="89">W276-W277</f>
        <v>2749</v>
      </c>
      <c r="X278" s="419">
        <f t="shared" ref="X278" si="90">X276-X277</f>
        <v>2626</v>
      </c>
      <c r="Y278" s="419">
        <f t="shared" ref="Y278" si="91">Y276-Y277</f>
        <v>2284</v>
      </c>
      <c r="Z278" s="419">
        <f t="shared" ref="Z278" si="92">Z276-Z277</f>
        <v>2157</v>
      </c>
      <c r="AA278" s="419">
        <f t="shared" ref="AA278" si="93">AA276-AA277</f>
        <v>2208</v>
      </c>
      <c r="AB278" s="419">
        <f t="shared" ref="AB278" si="94">AB276-AB277</f>
        <v>2057</v>
      </c>
      <c r="AC278" s="419">
        <f t="shared" ref="AC278" si="95">AC276-AC277</f>
        <v>2342</v>
      </c>
      <c r="AD278" s="419">
        <f t="shared" ref="AD278" si="96">AD276-AD277</f>
        <v>2517</v>
      </c>
      <c r="AE278" s="419">
        <f t="shared" ref="AE278" si="97">AE276-AE277</f>
        <v>2808.9732718038576</v>
      </c>
      <c r="AF278" s="419">
        <f t="shared" ref="AF278" si="98">AF276-AF277</f>
        <v>2936.5606269771351</v>
      </c>
      <c r="AG278" s="419">
        <f t="shared" ref="AG278:AK278" si="99">AG276-AG277</f>
        <v>3056.3849942727456</v>
      </c>
      <c r="AH278" s="419">
        <f t="shared" si="99"/>
        <v>3189.161915731187</v>
      </c>
      <c r="AI278" s="419">
        <f t="shared" si="99"/>
        <v>3336.7783165555584</v>
      </c>
      <c r="AJ278" s="419">
        <f t="shared" si="99"/>
        <v>3476.2521149675094</v>
      </c>
      <c r="AK278" s="419">
        <f t="shared" si="99"/>
        <v>3647.3440844747283</v>
      </c>
    </row>
    <row r="279" spans="2:37">
      <c r="B279" s="1" t="s">
        <v>626</v>
      </c>
      <c r="C279" s="419">
        <f>25%*C278</f>
        <v>0</v>
      </c>
      <c r="D279" s="419">
        <f t="shared" ref="D279:K279" si="100">25%*D278</f>
        <v>0</v>
      </c>
      <c r="E279" s="419">
        <f t="shared" si="100"/>
        <v>0</v>
      </c>
      <c r="F279" s="419">
        <f t="shared" si="100"/>
        <v>0</v>
      </c>
      <c r="G279" s="419">
        <f t="shared" si="100"/>
        <v>0</v>
      </c>
      <c r="H279" s="419">
        <f t="shared" si="100"/>
        <v>0</v>
      </c>
      <c r="I279" s="419">
        <f t="shared" si="100"/>
        <v>0</v>
      </c>
      <c r="J279" s="419">
        <f t="shared" si="100"/>
        <v>0</v>
      </c>
      <c r="K279" s="419">
        <f t="shared" si="100"/>
        <v>0</v>
      </c>
      <c r="L279" s="419">
        <f t="shared" ref="L279" si="101">25%*L278</f>
        <v>-223.5</v>
      </c>
      <c r="M279" s="419">
        <f t="shared" ref="M279" si="102">25%*M278</f>
        <v>802.50000000000023</v>
      </c>
      <c r="N279" s="419">
        <f t="shared" ref="N279" si="103">25%*N278</f>
        <v>763.75</v>
      </c>
      <c r="O279" s="419">
        <f t="shared" ref="O279" si="104">25%*O278</f>
        <v>835.75</v>
      </c>
      <c r="P279" s="419">
        <f t="shared" ref="P279" si="105">25%*P278</f>
        <v>808</v>
      </c>
      <c r="Q279" s="419">
        <f t="shared" ref="Q279" si="106">25%*Q278</f>
        <v>749.25</v>
      </c>
      <c r="R279" s="419">
        <f t="shared" ref="R279" si="107">25%*R278</f>
        <v>749.5</v>
      </c>
      <c r="S279" s="419">
        <f t="shared" ref="S279" si="108">25%*S278</f>
        <v>711.25</v>
      </c>
      <c r="T279" s="419">
        <f t="shared" ref="T279" si="109">25%*T278</f>
        <v>765.25</v>
      </c>
      <c r="U279" s="419">
        <f t="shared" ref="U279" si="110">25%*U278</f>
        <v>789.5</v>
      </c>
      <c r="V279" s="419">
        <f t="shared" ref="V279" si="111">25%*V278</f>
        <v>722</v>
      </c>
      <c r="W279" s="419">
        <f t="shared" ref="W279" si="112">25%*W278</f>
        <v>687.25</v>
      </c>
      <c r="X279" s="419">
        <f t="shared" ref="X279" si="113">25%*X278</f>
        <v>656.5</v>
      </c>
      <c r="Y279" s="419">
        <f t="shared" ref="Y279" si="114">25%*Y278</f>
        <v>571</v>
      </c>
      <c r="Z279" s="419">
        <f t="shared" ref="Z279" si="115">25%*Z278</f>
        <v>539.25</v>
      </c>
      <c r="AA279" s="419">
        <f t="shared" ref="AA279" si="116">25%*AA278</f>
        <v>552</v>
      </c>
      <c r="AB279" s="419">
        <f t="shared" ref="AB279" si="117">25%*AB278</f>
        <v>514.25</v>
      </c>
      <c r="AC279" s="419">
        <f t="shared" ref="AC279" si="118">25%*AC278</f>
        <v>585.5</v>
      </c>
      <c r="AD279" s="419">
        <f t="shared" ref="AD279" si="119">25%*AD278</f>
        <v>629.25</v>
      </c>
      <c r="AE279" s="419">
        <f t="shared" ref="AE279" si="120">25%*AE278</f>
        <v>702.24331795096441</v>
      </c>
      <c r="AF279" s="419">
        <f t="shared" ref="AF279" si="121">25%*AF278</f>
        <v>734.14015674428379</v>
      </c>
      <c r="AG279" s="419">
        <f t="shared" ref="AG279:AK279" si="122">25%*AG278</f>
        <v>764.09624856818641</v>
      </c>
      <c r="AH279" s="419">
        <f t="shared" si="122"/>
        <v>797.29047893279676</v>
      </c>
      <c r="AI279" s="419">
        <f t="shared" si="122"/>
        <v>834.19457913888959</v>
      </c>
      <c r="AJ279" s="419">
        <f t="shared" si="122"/>
        <v>869.06302874187736</v>
      </c>
      <c r="AK279" s="419">
        <f t="shared" si="122"/>
        <v>911.83602111868208</v>
      </c>
    </row>
    <row r="280" spans="2:37">
      <c r="B280" s="128" t="s">
        <v>627</v>
      </c>
      <c r="C280" s="419">
        <f>C278-C279</f>
        <v>0</v>
      </c>
      <c r="D280" s="419">
        <f t="shared" ref="D280:K280" si="123">D278-D279</f>
        <v>0</v>
      </c>
      <c r="E280" s="419">
        <f t="shared" si="123"/>
        <v>0</v>
      </c>
      <c r="F280" s="419">
        <f t="shared" si="123"/>
        <v>0</v>
      </c>
      <c r="G280" s="419">
        <f t="shared" si="123"/>
        <v>0</v>
      </c>
      <c r="H280" s="419">
        <f t="shared" si="123"/>
        <v>0</v>
      </c>
      <c r="I280" s="419">
        <f t="shared" si="123"/>
        <v>0</v>
      </c>
      <c r="J280" s="419">
        <f t="shared" si="123"/>
        <v>0</v>
      </c>
      <c r="K280" s="419">
        <f t="shared" si="123"/>
        <v>0</v>
      </c>
      <c r="L280" s="419">
        <f t="shared" ref="L280" si="124">L278-L279</f>
        <v>-670.5</v>
      </c>
      <c r="M280" s="419">
        <f t="shared" ref="M280" si="125">M278-M279</f>
        <v>2407.5000000000009</v>
      </c>
      <c r="N280" s="419">
        <f t="shared" ref="N280" si="126">N278-N279</f>
        <v>2291.25</v>
      </c>
      <c r="O280" s="419">
        <f t="shared" ref="O280" si="127">O278-O279</f>
        <v>2507.25</v>
      </c>
      <c r="P280" s="419">
        <f t="shared" ref="P280" si="128">P278-P279</f>
        <v>2424</v>
      </c>
      <c r="Q280" s="419">
        <f t="shared" ref="Q280" si="129">Q278-Q279</f>
        <v>2247.75</v>
      </c>
      <c r="R280" s="419">
        <f t="shared" ref="R280" si="130">R278-R279</f>
        <v>2248.5</v>
      </c>
      <c r="S280" s="419">
        <f t="shared" ref="S280" si="131">S278-S279</f>
        <v>2133.75</v>
      </c>
      <c r="T280" s="419">
        <f t="shared" ref="T280" si="132">T278-T279</f>
        <v>2295.75</v>
      </c>
      <c r="U280" s="419">
        <f t="shared" ref="U280" si="133">U278-U279</f>
        <v>2368.5</v>
      </c>
      <c r="V280" s="419">
        <f t="shared" ref="V280" si="134">V278-V279</f>
        <v>2166</v>
      </c>
      <c r="W280" s="419">
        <f t="shared" ref="W280" si="135">W278-W279</f>
        <v>2061.75</v>
      </c>
      <c r="X280" s="419">
        <f t="shared" ref="X280" si="136">X278-X279</f>
        <v>1969.5</v>
      </c>
      <c r="Y280" s="419">
        <f t="shared" ref="Y280" si="137">Y278-Y279</f>
        <v>1713</v>
      </c>
      <c r="Z280" s="419">
        <f t="shared" ref="Z280" si="138">Z278-Z279</f>
        <v>1617.75</v>
      </c>
      <c r="AA280" s="419">
        <f t="shared" ref="AA280" si="139">AA278-AA279</f>
        <v>1656</v>
      </c>
      <c r="AB280" s="419">
        <f t="shared" ref="AB280" si="140">AB278-AB279</f>
        <v>1542.75</v>
      </c>
      <c r="AC280" s="419">
        <f t="shared" ref="AC280" si="141">AC278-AC279</f>
        <v>1756.5</v>
      </c>
      <c r="AD280" s="419">
        <f t="shared" ref="AD280" si="142">AD278-AD279</f>
        <v>1887.75</v>
      </c>
      <c r="AE280" s="419">
        <f t="shared" ref="AE280" si="143">AE278-AE279</f>
        <v>2106.7299538528932</v>
      </c>
      <c r="AF280" s="419">
        <f t="shared" ref="AF280" si="144">AF278-AF279</f>
        <v>2202.4204702328516</v>
      </c>
      <c r="AG280" s="419">
        <f t="shared" ref="AG280:AK280" si="145">AG278-AG279</f>
        <v>2292.288745704559</v>
      </c>
      <c r="AH280" s="419">
        <f t="shared" si="145"/>
        <v>2391.8714367983903</v>
      </c>
      <c r="AI280" s="419">
        <f t="shared" si="145"/>
        <v>2502.5837374166686</v>
      </c>
      <c r="AJ280" s="419">
        <f t="shared" si="145"/>
        <v>2607.1890862256323</v>
      </c>
      <c r="AK280" s="419">
        <f t="shared" si="145"/>
        <v>2735.5080633560465</v>
      </c>
    </row>
    <row r="281" spans="2:37" ht="14.5">
      <c r="B281"/>
      <c r="C281" s="419"/>
      <c r="D281" s="419"/>
      <c r="E281" s="419"/>
      <c r="F281" s="419"/>
      <c r="G281" s="419"/>
      <c r="H281" s="419"/>
      <c r="I281" s="419"/>
      <c r="J281" s="419"/>
      <c r="K281" s="419"/>
      <c r="L281" s="419"/>
      <c r="M281" s="419"/>
      <c r="N281" s="419"/>
      <c r="O281" s="419"/>
      <c r="P281" s="419"/>
      <c r="Q281" s="419"/>
      <c r="R281" s="419"/>
      <c r="S281" s="419"/>
      <c r="T281" s="419"/>
      <c r="U281" s="419"/>
      <c r="V281" s="419"/>
      <c r="W281" s="419"/>
      <c r="X281" s="419"/>
      <c r="Y281" s="419"/>
      <c r="Z281" s="419"/>
      <c r="AA281" s="419"/>
      <c r="AB281" s="419"/>
      <c r="AC281" s="419"/>
      <c r="AD281" s="419"/>
      <c r="AE281" s="419"/>
      <c r="AF281" s="419"/>
      <c r="AG281" s="419"/>
      <c r="AH281" s="419"/>
      <c r="AI281" s="419"/>
      <c r="AJ281" s="419"/>
      <c r="AK281" s="419"/>
    </row>
    <row r="282" spans="2:37">
      <c r="B282" s="1" t="s">
        <v>240</v>
      </c>
      <c r="C282" s="419">
        <f t="shared" ref="C282:AK282" si="146">C22</f>
        <v>0</v>
      </c>
      <c r="D282" s="419">
        <f t="shared" si="146"/>
        <v>0</v>
      </c>
      <c r="E282" s="419">
        <f t="shared" si="146"/>
        <v>0</v>
      </c>
      <c r="F282" s="419">
        <f t="shared" si="146"/>
        <v>0</v>
      </c>
      <c r="G282" s="419">
        <f t="shared" si="146"/>
        <v>0</v>
      </c>
      <c r="H282" s="419">
        <f t="shared" si="146"/>
        <v>0</v>
      </c>
      <c r="I282" s="419">
        <f t="shared" si="146"/>
        <v>0</v>
      </c>
      <c r="J282" s="419">
        <f t="shared" si="146"/>
        <v>0</v>
      </c>
      <c r="K282" s="419">
        <f t="shared" si="146"/>
        <v>0</v>
      </c>
      <c r="L282" s="419">
        <f t="shared" si="146"/>
        <v>1124</v>
      </c>
      <c r="M282" s="419">
        <f t="shared" si="146"/>
        <v>802.8</v>
      </c>
      <c r="N282" s="419">
        <f t="shared" si="146"/>
        <v>590</v>
      </c>
      <c r="O282" s="419">
        <f t="shared" si="146"/>
        <v>1444</v>
      </c>
      <c r="P282" s="419">
        <f t="shared" si="146"/>
        <v>989</v>
      </c>
      <c r="Q282" s="419">
        <f t="shared" si="146"/>
        <v>990</v>
      </c>
      <c r="R282" s="419">
        <f t="shared" si="146"/>
        <v>815</v>
      </c>
      <c r="S282" s="419">
        <f t="shared" si="146"/>
        <v>1140</v>
      </c>
      <c r="T282" s="419">
        <f t="shared" si="146"/>
        <v>1304</v>
      </c>
      <c r="U282" s="419">
        <f t="shared" si="146"/>
        <v>1189</v>
      </c>
      <c r="V282" s="419">
        <f t="shared" si="146"/>
        <v>1028</v>
      </c>
      <c r="W282" s="419">
        <f t="shared" si="146"/>
        <v>1038</v>
      </c>
      <c r="X282" s="419">
        <f t="shared" si="146"/>
        <v>1213</v>
      </c>
      <c r="Y282" s="419">
        <f t="shared" si="146"/>
        <v>1245</v>
      </c>
      <c r="Z282" s="419">
        <f t="shared" si="146"/>
        <v>1187</v>
      </c>
      <c r="AA282" s="419">
        <f t="shared" si="146"/>
        <v>1114</v>
      </c>
      <c r="AB282" s="419">
        <f t="shared" si="146"/>
        <v>813</v>
      </c>
      <c r="AC282" s="419">
        <f t="shared" si="146"/>
        <v>674</v>
      </c>
      <c r="AD282" s="419">
        <f t="shared" si="146"/>
        <v>986</v>
      </c>
      <c r="AE282" s="419">
        <f t="shared" si="146"/>
        <v>1094.558857979579</v>
      </c>
      <c r="AF282" s="419">
        <f t="shared" si="146"/>
        <v>1009.534532260039</v>
      </c>
      <c r="AG282" s="419">
        <f t="shared" si="146"/>
        <v>1034.2470765174933</v>
      </c>
      <c r="AH282" s="419">
        <f t="shared" si="146"/>
        <v>1060.3356434492387</v>
      </c>
      <c r="AI282" s="419">
        <f t="shared" si="146"/>
        <v>1085.6165288458519</v>
      </c>
      <c r="AJ282" s="419">
        <f t="shared" si="146"/>
        <v>1111.260654890877</v>
      </c>
      <c r="AK282" s="419">
        <f t="shared" si="146"/>
        <v>1516.4251017295933</v>
      </c>
    </row>
    <row r="283" spans="2:37">
      <c r="B283" s="1" t="s">
        <v>628</v>
      </c>
      <c r="C283" s="419"/>
      <c r="D283" s="419"/>
      <c r="E283" s="419"/>
      <c r="F283" s="419"/>
      <c r="G283" s="419"/>
      <c r="H283" s="419"/>
      <c r="I283" s="419"/>
      <c r="J283" s="419"/>
      <c r="K283" s="419"/>
      <c r="L283" s="419"/>
      <c r="M283" s="419"/>
      <c r="N283" s="419"/>
      <c r="O283" s="419"/>
      <c r="P283" s="419">
        <f>AVERAGE(L282:P282)*5</f>
        <v>4949.8</v>
      </c>
      <c r="Q283" s="419">
        <f t="shared" ref="Q283:Y283" si="147">AVERAGE(M282:Q282)*5</f>
        <v>4815.8</v>
      </c>
      <c r="R283" s="419">
        <f t="shared" si="147"/>
        <v>4828</v>
      </c>
      <c r="S283" s="419">
        <f t="shared" si="147"/>
        <v>5378</v>
      </c>
      <c r="T283" s="419">
        <f t="shared" si="147"/>
        <v>5238</v>
      </c>
      <c r="U283" s="419">
        <f t="shared" si="147"/>
        <v>5438</v>
      </c>
      <c r="V283" s="419">
        <f t="shared" si="147"/>
        <v>5476</v>
      </c>
      <c r="W283" s="419">
        <f t="shared" si="147"/>
        <v>5699</v>
      </c>
      <c r="X283" s="419">
        <f t="shared" si="147"/>
        <v>5772</v>
      </c>
      <c r="Y283" s="419">
        <f t="shared" si="147"/>
        <v>5713</v>
      </c>
      <c r="Z283" s="419">
        <f t="shared" ref="Z283" si="148">AVERAGE(V282:Z282)*5</f>
        <v>5711</v>
      </c>
      <c r="AA283" s="419">
        <f t="shared" ref="AA283" si="149">AVERAGE(W282:AA282)*5</f>
        <v>5797</v>
      </c>
      <c r="AB283" s="419">
        <f t="shared" ref="AB283" si="150">AVERAGE(X282:AB282)*5</f>
        <v>5572</v>
      </c>
      <c r="AC283" s="419">
        <f t="shared" ref="AC283" si="151">AVERAGE(Y282:AC282)*5</f>
        <v>5033</v>
      </c>
      <c r="AD283" s="419">
        <f t="shared" ref="AD283" si="152">AVERAGE(Z282:AD282)*5</f>
        <v>4774</v>
      </c>
      <c r="AE283" s="419">
        <f t="shared" ref="AE283" si="153">AVERAGE(AA282:AE282)*5</f>
        <v>4681.5588579795785</v>
      </c>
      <c r="AF283" s="419">
        <f t="shared" ref="AF283" si="154">AVERAGE(AB282:AF282)*5</f>
        <v>4577.0933902396182</v>
      </c>
      <c r="AG283" s="419">
        <f t="shared" ref="AG283" si="155">AVERAGE(AC282:AG282)*5</f>
        <v>4798.3404667571112</v>
      </c>
      <c r="AH283" s="419">
        <f t="shared" ref="AH283" si="156">AVERAGE(AD282:AH282)*5</f>
        <v>5184.6761102063501</v>
      </c>
      <c r="AI283" s="419">
        <f t="shared" ref="AI283" si="157">AVERAGE(AE282:AI282)*5</f>
        <v>5284.2926390522025</v>
      </c>
      <c r="AJ283" s="419">
        <f t="shared" ref="AJ283" si="158">AVERAGE(AF282:AJ282)*5</f>
        <v>5300.9944359634992</v>
      </c>
      <c r="AK283" s="419">
        <f t="shared" ref="AK283" si="159">AVERAGE(AG282:AK282)*5</f>
        <v>5807.8850054330542</v>
      </c>
    </row>
    <row r="284" spans="2:37" ht="14.5">
      <c r="B284"/>
    </row>
    <row r="285" spans="2:37">
      <c r="B285" s="3" t="s">
        <v>632</v>
      </c>
      <c r="P285" s="2">
        <f>P280/P283</f>
        <v>0.48971675623257505</v>
      </c>
      <c r="Q285" s="2">
        <f t="shared" ref="Q285:AG285" si="160">Q280/Q283</f>
        <v>0.46674488143195314</v>
      </c>
      <c r="R285" s="2">
        <f t="shared" si="160"/>
        <v>0.46572079536039768</v>
      </c>
      <c r="S285" s="2">
        <f t="shared" si="160"/>
        <v>0.39675529936779474</v>
      </c>
      <c r="T285" s="2">
        <f t="shared" si="160"/>
        <v>0.43828751431844215</v>
      </c>
      <c r="U285" s="2">
        <f t="shared" si="160"/>
        <v>0.43554615667524826</v>
      </c>
      <c r="V285" s="2">
        <f t="shared" si="160"/>
        <v>0.39554419284149012</v>
      </c>
      <c r="W285" s="2">
        <f t="shared" si="160"/>
        <v>0.36177399543779609</v>
      </c>
      <c r="X285" s="2">
        <f t="shared" si="160"/>
        <v>0.34121621621621623</v>
      </c>
      <c r="Y285" s="2">
        <f t="shared" si="160"/>
        <v>0.29984246455452479</v>
      </c>
      <c r="Z285" s="2">
        <f t="shared" si="160"/>
        <v>0.283269129749606</v>
      </c>
      <c r="AA285" s="2">
        <f t="shared" si="160"/>
        <v>0.28566499913748489</v>
      </c>
      <c r="AB285" s="2">
        <f t="shared" si="160"/>
        <v>0.27687544867193109</v>
      </c>
      <c r="AC285" s="2">
        <f t="shared" si="160"/>
        <v>0.3489966222928671</v>
      </c>
      <c r="AD285" s="2">
        <f t="shared" si="160"/>
        <v>0.39542312526183493</v>
      </c>
      <c r="AE285" s="2">
        <f t="shared" si="160"/>
        <v>0.45000608082968652</v>
      </c>
      <c r="AF285" s="2">
        <f t="shared" si="160"/>
        <v>0.48118320568450351</v>
      </c>
      <c r="AG285" s="2">
        <f t="shared" si="160"/>
        <v>0.47772532224120584</v>
      </c>
      <c r="AH285" s="2">
        <f t="shared" ref="AH285:AK285" si="161">AH280/AH283</f>
        <v>0.46133478465315236</v>
      </c>
      <c r="AI285" s="2">
        <f t="shared" si="161"/>
        <v>0.47358916478659197</v>
      </c>
      <c r="AJ285" s="2">
        <f t="shared" si="161"/>
        <v>0.49183018728291766</v>
      </c>
      <c r="AK285" s="2">
        <f t="shared" si="161"/>
        <v>0.4709990057993716</v>
      </c>
    </row>
    <row r="287" spans="2:37">
      <c r="B287" s="3" t="s">
        <v>630</v>
      </c>
    </row>
    <row r="288" spans="2:37">
      <c r="B288" s="7" t="s">
        <v>631</v>
      </c>
      <c r="C288" s="419"/>
      <c r="D288" s="419"/>
      <c r="E288" s="419"/>
      <c r="F288" s="419"/>
      <c r="G288" s="419"/>
      <c r="H288" s="419"/>
      <c r="I288" s="419"/>
      <c r="J288" s="419"/>
      <c r="K288" s="419"/>
      <c r="L288" s="419"/>
      <c r="M288" s="419"/>
      <c r="N288" s="419">
        <f>'Balance Sheet and Cflow'!D50</f>
        <v>14540</v>
      </c>
      <c r="O288" s="419">
        <f>'Balance Sheet and Cflow'!E50</f>
        <v>14915</v>
      </c>
      <c r="P288" s="419">
        <f>'Balance Sheet and Cflow'!F50</f>
        <v>15069</v>
      </c>
      <c r="Q288" s="419">
        <f>'Balance Sheet and Cflow'!G50</f>
        <v>14510.487727272728</v>
      </c>
      <c r="R288" s="419">
        <f>'Balance Sheet and Cflow'!H50</f>
        <v>14579</v>
      </c>
      <c r="S288" s="419">
        <f>'Balance Sheet and Cflow'!I50</f>
        <v>14807</v>
      </c>
      <c r="T288" s="419">
        <f>'Balance Sheet and Cflow'!J50</f>
        <v>15168</v>
      </c>
      <c r="U288" s="419">
        <f>'Balance Sheet and Cflow'!K50</f>
        <v>15747</v>
      </c>
      <c r="V288" s="419">
        <f>'Balance Sheet and Cflow'!L50</f>
        <v>15521.75</v>
      </c>
      <c r="W288" s="419">
        <f>'Balance Sheet and Cflow'!M50</f>
        <v>15465.456999999999</v>
      </c>
      <c r="X288" s="419">
        <f>'Balance Sheet and Cflow'!N50</f>
        <v>16833</v>
      </c>
      <c r="Y288" s="419">
        <f>'Balance Sheet and Cflow'!O50</f>
        <v>17726</v>
      </c>
      <c r="Z288" s="419">
        <f>'Balance Sheet and Cflow'!P50</f>
        <v>18203</v>
      </c>
      <c r="AA288" s="419">
        <f>'Balance Sheet and Cflow'!Q50</f>
        <v>18885</v>
      </c>
      <c r="AB288" s="419">
        <f>'Balance Sheet and Cflow'!R50</f>
        <v>18216</v>
      </c>
      <c r="AC288" s="419">
        <f>'Balance Sheet and Cflow'!S50</f>
        <v>17915</v>
      </c>
      <c r="AD288" s="419">
        <f>'Balance Sheet and Cflow'!T50</f>
        <v>17828</v>
      </c>
      <c r="AE288" s="419">
        <f>'Balance Sheet and Cflow'!U50</f>
        <v>17493.003179854357</v>
      </c>
      <c r="AF288" s="419">
        <f>'Balance Sheet and Cflow'!V50</f>
        <v>17074.316124985122</v>
      </c>
      <c r="AG288" s="419">
        <f>'Balance Sheet and Cflow'!W50</f>
        <v>16669.19788959188</v>
      </c>
      <c r="AH288" s="419">
        <f>'Balance Sheet and Cflow'!X50</f>
        <v>16282.594267880153</v>
      </c>
      <c r="AI288" s="419">
        <f>'Balance Sheet and Cflow'!Y50</f>
        <v>15934.408955802401</v>
      </c>
      <c r="AJ288" s="419">
        <f>'Balance Sheet and Cflow'!Z50</f>
        <v>15611.781021670306</v>
      </c>
      <c r="AK288" s="419">
        <f>'Balance Sheet and Cflow'!AA50</f>
        <v>15721.896770944553</v>
      </c>
    </row>
    <row r="290" spans="2:37">
      <c r="B290" s="27" t="s">
        <v>633</v>
      </c>
      <c r="N290" s="2">
        <f>N280/N288</f>
        <v>0.1575825309491059</v>
      </c>
      <c r="O290" s="2">
        <f t="shared" ref="O290:AG290" si="162">O280/O288</f>
        <v>0.16810258129399933</v>
      </c>
      <c r="P290" s="2">
        <f t="shared" si="162"/>
        <v>0.16086004379852678</v>
      </c>
      <c r="Q290" s="2">
        <f t="shared" si="162"/>
        <v>0.15490519975943418</v>
      </c>
      <c r="R290" s="2">
        <f t="shared" si="162"/>
        <v>0.15422868509499965</v>
      </c>
      <c r="S290" s="2">
        <f t="shared" si="162"/>
        <v>0.1441041399338151</v>
      </c>
      <c r="T290" s="2">
        <f t="shared" si="162"/>
        <v>0.15135482594936708</v>
      </c>
      <c r="U290" s="2">
        <f t="shared" si="162"/>
        <v>0.1504096018289198</v>
      </c>
      <c r="V290" s="2">
        <f t="shared" si="162"/>
        <v>0.13954612076602188</v>
      </c>
      <c r="W290" s="2">
        <f t="shared" si="162"/>
        <v>0.13331322831261955</v>
      </c>
      <c r="X290" s="2">
        <f t="shared" si="162"/>
        <v>0.11700231687756193</v>
      </c>
      <c r="Y290" s="2">
        <f t="shared" si="162"/>
        <v>9.663770732257701E-2</v>
      </c>
      <c r="Z290" s="2">
        <f t="shared" si="162"/>
        <v>8.8872713289018287E-2</v>
      </c>
      <c r="AA290" s="2">
        <f t="shared" si="162"/>
        <v>8.7688641779189835E-2</v>
      </c>
      <c r="AB290" s="2">
        <f t="shared" si="162"/>
        <v>8.4692028985507248E-2</v>
      </c>
      <c r="AC290" s="2">
        <f t="shared" si="162"/>
        <v>9.8046329891152667E-2</v>
      </c>
      <c r="AD290" s="2">
        <f t="shared" si="162"/>
        <v>0.10588680726946377</v>
      </c>
      <c r="AE290" s="2">
        <f t="shared" si="162"/>
        <v>0.12043271999624901</v>
      </c>
      <c r="AF290" s="2">
        <f t="shared" si="162"/>
        <v>0.12899025964559799</v>
      </c>
      <c r="AG290" s="2">
        <f t="shared" si="162"/>
        <v>0.13751643965639443</v>
      </c>
      <c r="AH290" s="2">
        <f t="shared" ref="AH290:AK290" si="163">AH280/AH288</f>
        <v>0.14689744136883112</v>
      </c>
      <c r="AI290" s="2">
        <f t="shared" si="163"/>
        <v>0.15705532250101881</v>
      </c>
      <c r="AJ290" s="2">
        <f t="shared" si="163"/>
        <v>0.16700138713236248</v>
      </c>
      <c r="AK290" s="2">
        <f t="shared" si="163"/>
        <v>0.17399351383679773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CF766-C96C-4B84-B399-41671FAB0D92}">
  <dimension ref="B2:E25"/>
  <sheetViews>
    <sheetView workbookViewId="0">
      <selection activeCell="C21" sqref="C21"/>
    </sheetView>
  </sheetViews>
  <sheetFormatPr defaultColWidth="8.6328125" defaultRowHeight="14.5"/>
  <cols>
    <col min="1" max="1" width="8.6328125" style="123"/>
    <col min="2" max="2" width="26.36328125" style="123" bestFit="1" customWidth="1"/>
    <col min="3" max="16384" width="8.6328125" style="123"/>
  </cols>
  <sheetData>
    <row r="2" spans="2:5">
      <c r="B2" s="526"/>
      <c r="C2" s="527" t="s">
        <v>600</v>
      </c>
      <c r="D2" s="528"/>
      <c r="E2" s="427" t="s">
        <v>741</v>
      </c>
    </row>
    <row r="3" spans="2:5">
      <c r="B3" s="509"/>
      <c r="C3" s="510"/>
      <c r="D3" s="520"/>
      <c r="E3" s="521"/>
    </row>
    <row r="4" spans="2:5">
      <c r="B4" s="520" t="s">
        <v>506</v>
      </c>
      <c r="C4" s="525">
        <f>1/0.2139</f>
        <v>4.6750818139317438</v>
      </c>
      <c r="D4" s="520"/>
      <c r="E4" s="521"/>
    </row>
    <row r="5" spans="2:5">
      <c r="B5" s="509"/>
      <c r="C5" s="510"/>
      <c r="D5" s="520"/>
      <c r="E5" s="521"/>
    </row>
    <row r="6" spans="2:5">
      <c r="B6" s="522" t="s">
        <v>245</v>
      </c>
      <c r="C6" s="523"/>
      <c r="D6" s="523"/>
      <c r="E6" s="523"/>
    </row>
    <row r="7" spans="2:5">
      <c r="B7" s="513" t="s">
        <v>739</v>
      </c>
      <c r="C7" s="518">
        <v>3.51</v>
      </c>
      <c r="E7" s="516"/>
    </row>
    <row r="8" spans="2:5">
      <c r="B8" s="513" t="s">
        <v>740</v>
      </c>
      <c r="C8" s="516">
        <f>DCF!C31</f>
        <v>7833</v>
      </c>
      <c r="D8" s="516"/>
      <c r="E8" s="516"/>
    </row>
    <row r="9" spans="2:5">
      <c r="B9" s="530" t="s">
        <v>738</v>
      </c>
      <c r="C9" s="531">
        <f>C7*C8</f>
        <v>27493.829999999998</v>
      </c>
      <c r="D9" s="531"/>
      <c r="E9" s="531"/>
    </row>
    <row r="10" spans="2:5">
      <c r="B10" s="513" t="s">
        <v>142</v>
      </c>
      <c r="C10" s="516">
        <f>'Balance Sheet and Cflow'!R135</f>
        <v>9203.1881259346228</v>
      </c>
      <c r="D10" s="516"/>
      <c r="E10" s="516"/>
    </row>
    <row r="11" spans="2:5">
      <c r="B11" s="532" t="s">
        <v>244</v>
      </c>
      <c r="C11" s="533">
        <f>C9+C10</f>
        <v>36697.018125934621</v>
      </c>
      <c r="D11" s="531"/>
      <c r="E11" s="531">
        <f>C11/$C$4</f>
        <v>7849.4921771374156</v>
      </c>
    </row>
    <row r="12" spans="2:5">
      <c r="B12" s="512"/>
      <c r="C12" s="534"/>
      <c r="D12" s="516"/>
      <c r="E12" s="516"/>
    </row>
    <row r="13" spans="2:5">
      <c r="B13" s="514" t="s">
        <v>745</v>
      </c>
      <c r="C13" s="516">
        <f>'Income Statement'!CD453</f>
        <v>3960</v>
      </c>
      <c r="D13" s="516"/>
      <c r="E13" s="516"/>
    </row>
    <row r="14" spans="2:5">
      <c r="B14" s="513" t="s">
        <v>742</v>
      </c>
      <c r="C14" s="516">
        <f>'Income Statement'!CN453</f>
        <v>4329</v>
      </c>
      <c r="D14" s="516"/>
      <c r="E14" s="516"/>
    </row>
    <row r="15" spans="2:5">
      <c r="B15" s="513"/>
      <c r="C15" s="516"/>
      <c r="D15" s="516"/>
      <c r="E15" s="516"/>
    </row>
    <row r="16" spans="2:5">
      <c r="B16" s="512" t="s">
        <v>746</v>
      </c>
      <c r="C16" s="516"/>
      <c r="D16" s="516"/>
      <c r="E16" s="516"/>
    </row>
    <row r="17" spans="2:5">
      <c r="B17" s="514" t="s">
        <v>745</v>
      </c>
      <c r="C17" s="519">
        <f>C11/C13</f>
        <v>9.2669237691754098</v>
      </c>
      <c r="D17" s="516"/>
      <c r="E17" s="516"/>
    </row>
    <row r="18" spans="2:5">
      <c r="B18" s="513" t="s">
        <v>742</v>
      </c>
      <c r="C18" s="519">
        <f>C11/C14</f>
        <v>8.4770196641105624</v>
      </c>
      <c r="D18" s="516"/>
      <c r="E18" s="516"/>
    </row>
    <row r="19" spans="2:5">
      <c r="B19" s="513"/>
      <c r="C19" s="516"/>
      <c r="D19" s="516"/>
      <c r="E19" s="516"/>
    </row>
    <row r="20" spans="2:5">
      <c r="B20" s="522" t="s">
        <v>743</v>
      </c>
      <c r="C20" s="524"/>
      <c r="D20" s="524"/>
      <c r="E20" s="524"/>
    </row>
    <row r="21" spans="2:5">
      <c r="B21" s="513" t="s">
        <v>244</v>
      </c>
      <c r="C21" s="516">
        <f>E21*$C$4</f>
        <v>9817.6718092566625</v>
      </c>
      <c r="D21" s="516"/>
      <c r="E21" s="517">
        <v>2100</v>
      </c>
    </row>
    <row r="22" spans="2:5">
      <c r="B22" s="514" t="s">
        <v>744</v>
      </c>
      <c r="C22" s="517">
        <v>3251</v>
      </c>
      <c r="D22" s="516"/>
      <c r="E22" s="516">
        <f>C22/$C$4</f>
        <v>695.38890000000004</v>
      </c>
    </row>
    <row r="23" spans="2:5">
      <c r="B23" s="515" t="s">
        <v>2</v>
      </c>
      <c r="C23" s="529">
        <f>0.3*C22</f>
        <v>975.3</v>
      </c>
      <c r="D23" s="516"/>
      <c r="E23" s="516">
        <f>C23/$C$4</f>
        <v>208.61667</v>
      </c>
    </row>
    <row r="24" spans="2:5">
      <c r="B24" s="511"/>
      <c r="C24" s="516"/>
      <c r="D24" s="516"/>
      <c r="E24" s="516"/>
    </row>
    <row r="25" spans="2:5">
      <c r="B25" s="123" t="s">
        <v>747</v>
      </c>
      <c r="C25" s="123">
        <v>12.6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D2F22-EFBB-40E5-B233-F167EF4144D5}">
  <dimension ref="B2:BF1242"/>
  <sheetViews>
    <sheetView topLeftCell="E1" zoomScale="70" zoomScaleNormal="70" workbookViewId="0">
      <selection activeCell="B27" sqref="B27"/>
    </sheetView>
  </sheetViews>
  <sheetFormatPr defaultRowHeight="14.5"/>
  <cols>
    <col min="2" max="2" width="17.36328125" bestFit="1" customWidth="1"/>
    <col min="52" max="52" width="11.54296875" bestFit="1" customWidth="1"/>
    <col min="53" max="53" width="9" bestFit="1" customWidth="1"/>
    <col min="54" max="54" width="10" bestFit="1" customWidth="1"/>
    <col min="55" max="55" width="9" bestFit="1" customWidth="1"/>
  </cols>
  <sheetData>
    <row r="2" spans="2:58">
      <c r="B2" s="143"/>
      <c r="C2" s="148">
        <v>43861</v>
      </c>
      <c r="D2" s="148">
        <v>43889</v>
      </c>
      <c r="E2" s="152">
        <f>EOMONTH(D2,1)</f>
        <v>43921</v>
      </c>
      <c r="F2" s="152">
        <f>EOMONTH(E2,1)</f>
        <v>43951</v>
      </c>
      <c r="G2" s="148">
        <v>43979</v>
      </c>
      <c r="H2" s="152">
        <f>EOMONTH(G2,1)</f>
        <v>44012</v>
      </c>
      <c r="I2" s="148">
        <v>44042</v>
      </c>
      <c r="J2" s="148">
        <v>44071</v>
      </c>
      <c r="K2" s="152">
        <f>EOMONTH(J2,1)</f>
        <v>44104</v>
      </c>
      <c r="L2" s="148">
        <v>44134</v>
      </c>
      <c r="M2" s="152">
        <f>EOMONTH(L2,1)</f>
        <v>44165</v>
      </c>
      <c r="N2" s="152">
        <f>EOMONTH(M2,1)</f>
        <v>44196</v>
      </c>
      <c r="O2" s="148">
        <v>44225</v>
      </c>
      <c r="P2" s="148">
        <v>44253</v>
      </c>
      <c r="Q2" s="152">
        <f>EOMONTH(P2,1)</f>
        <v>44286</v>
      </c>
      <c r="R2" s="152">
        <f>EOMONTH(Q2,1)</f>
        <v>44316</v>
      </c>
      <c r="S2" s="152">
        <f>EOMONTH(R2,1)</f>
        <v>44347</v>
      </c>
      <c r="T2" s="152">
        <f>EOMONTH(S2,1)</f>
        <v>44377</v>
      </c>
      <c r="U2" s="148">
        <v>44407</v>
      </c>
      <c r="V2" s="148">
        <v>44438</v>
      </c>
      <c r="W2" s="152">
        <f>EOMONTH(V2,1)</f>
        <v>44469</v>
      </c>
      <c r="X2" s="148">
        <v>44498</v>
      </c>
      <c r="Y2" s="152">
        <f>EOMONTH(X2,1)</f>
        <v>44530</v>
      </c>
      <c r="Z2" s="152">
        <f>EOMONTH(Y2,1)</f>
        <v>44561</v>
      </c>
      <c r="AA2" s="152">
        <f>EOMONTH(Z2,1)</f>
        <v>44592</v>
      </c>
      <c r="AB2" s="152">
        <f>EOMONTH(AA2,1)</f>
        <v>44620</v>
      </c>
      <c r="AC2" s="152">
        <f>EOMONTH(AB2,1)</f>
        <v>44651</v>
      </c>
      <c r="AD2" s="148">
        <v>44680</v>
      </c>
      <c r="AE2" s="152">
        <f>EOMONTH(AD2,1)</f>
        <v>44712</v>
      </c>
      <c r="AF2" s="152">
        <f>EOMONTH(AE2,1)</f>
        <v>44742</v>
      </c>
      <c r="AG2" s="148">
        <v>44771</v>
      </c>
      <c r="AH2" s="148">
        <v>44803</v>
      </c>
      <c r="AI2" s="152">
        <f>EOMONTH(AH2,1)</f>
        <v>44834</v>
      </c>
      <c r="AJ2" s="152">
        <f>EOMONTH(AI2,1)</f>
        <v>44865</v>
      </c>
      <c r="AK2" s="152">
        <f>EOMONTH(AJ2,1)</f>
        <v>44895</v>
      </c>
      <c r="AL2" s="148">
        <v>44925</v>
      </c>
      <c r="AM2" s="152">
        <f>EOMONTH(AL2,1)</f>
        <v>44957</v>
      </c>
      <c r="AN2" s="152">
        <f>EOMONTH(AM2,1)</f>
        <v>44985</v>
      </c>
      <c r="AO2" s="152">
        <f>EOMONTH(AN2,1)</f>
        <v>45016</v>
      </c>
      <c r="AP2" s="148">
        <v>45044</v>
      </c>
      <c r="AQ2" s="148">
        <v>45076</v>
      </c>
      <c r="AR2" s="148">
        <v>45107</v>
      </c>
      <c r="AS2" s="140"/>
      <c r="AT2" s="140"/>
      <c r="AZ2" t="s">
        <v>661</v>
      </c>
      <c r="BA2" t="s">
        <v>662</v>
      </c>
      <c r="BB2" t="s">
        <v>663</v>
      </c>
      <c r="BC2" t="s">
        <v>664</v>
      </c>
      <c r="BE2" s="124" t="s">
        <v>665</v>
      </c>
    </row>
    <row r="3" spans="2:58">
      <c r="AZ3" s="149">
        <v>45076</v>
      </c>
      <c r="BA3" s="150">
        <v>4.28</v>
      </c>
      <c r="BB3" s="150">
        <v>238550</v>
      </c>
      <c r="BC3" s="150">
        <v>1597947</v>
      </c>
      <c r="BE3" s="148">
        <v>43861</v>
      </c>
      <c r="BF3" s="153">
        <f t="shared" ref="BF3:BF12" si="0">_xlfn.XLOOKUP(BE3,$AZ$3:$AZ$1242,$BA$3:$BA$1242)</f>
        <v>5.31</v>
      </c>
    </row>
    <row r="4" spans="2:58">
      <c r="C4" s="150">
        <v>1</v>
      </c>
      <c r="D4" s="153">
        <f>IF(C4=12,1,C4+1)</f>
        <v>2</v>
      </c>
      <c r="E4" s="153">
        <f t="shared" ref="E4:AR4" si="1">IF(D4=12,1,D4+1)</f>
        <v>3</v>
      </c>
      <c r="F4" s="153">
        <f t="shared" si="1"/>
        <v>4</v>
      </c>
      <c r="G4" s="153">
        <f t="shared" si="1"/>
        <v>5</v>
      </c>
      <c r="H4" s="153">
        <f t="shared" si="1"/>
        <v>6</v>
      </c>
      <c r="I4" s="153">
        <f t="shared" si="1"/>
        <v>7</v>
      </c>
      <c r="J4" s="153">
        <f t="shared" si="1"/>
        <v>8</v>
      </c>
      <c r="K4" s="153">
        <f t="shared" si="1"/>
        <v>9</v>
      </c>
      <c r="L4" s="153">
        <f t="shared" si="1"/>
        <v>10</v>
      </c>
      <c r="M4" s="153">
        <f t="shared" si="1"/>
        <v>11</v>
      </c>
      <c r="N4" s="153">
        <f t="shared" si="1"/>
        <v>12</v>
      </c>
      <c r="O4" s="153">
        <f t="shared" si="1"/>
        <v>1</v>
      </c>
      <c r="P4" s="153">
        <f t="shared" si="1"/>
        <v>2</v>
      </c>
      <c r="Q4" s="153">
        <f t="shared" si="1"/>
        <v>3</v>
      </c>
      <c r="R4" s="153">
        <f t="shared" si="1"/>
        <v>4</v>
      </c>
      <c r="S4" s="153">
        <f t="shared" si="1"/>
        <v>5</v>
      </c>
      <c r="T4" s="153">
        <f t="shared" si="1"/>
        <v>6</v>
      </c>
      <c r="U4" s="153">
        <f t="shared" si="1"/>
        <v>7</v>
      </c>
      <c r="V4" s="153">
        <f t="shared" si="1"/>
        <v>8</v>
      </c>
      <c r="W4" s="153">
        <f t="shared" si="1"/>
        <v>9</v>
      </c>
      <c r="X4" s="153">
        <f t="shared" si="1"/>
        <v>10</v>
      </c>
      <c r="Y4" s="153">
        <f t="shared" si="1"/>
        <v>11</v>
      </c>
      <c r="Z4" s="153">
        <f t="shared" si="1"/>
        <v>12</v>
      </c>
      <c r="AA4" s="153">
        <f t="shared" si="1"/>
        <v>1</v>
      </c>
      <c r="AB4" s="153">
        <f t="shared" si="1"/>
        <v>2</v>
      </c>
      <c r="AC4" s="153">
        <f t="shared" si="1"/>
        <v>3</v>
      </c>
      <c r="AD4" s="153">
        <f t="shared" si="1"/>
        <v>4</v>
      </c>
      <c r="AE4" s="153">
        <f t="shared" si="1"/>
        <v>5</v>
      </c>
      <c r="AF4" s="153">
        <f t="shared" si="1"/>
        <v>6</v>
      </c>
      <c r="AG4" s="153">
        <f t="shared" si="1"/>
        <v>7</v>
      </c>
      <c r="AH4" s="153">
        <f t="shared" si="1"/>
        <v>8</v>
      </c>
      <c r="AI4" s="153">
        <f t="shared" si="1"/>
        <v>9</v>
      </c>
      <c r="AJ4" s="153">
        <f t="shared" si="1"/>
        <v>10</v>
      </c>
      <c r="AK4" s="153">
        <f t="shared" si="1"/>
        <v>11</v>
      </c>
      <c r="AL4" s="153">
        <f t="shared" si="1"/>
        <v>12</v>
      </c>
      <c r="AM4" s="153">
        <f t="shared" si="1"/>
        <v>1</v>
      </c>
      <c r="AN4" s="153">
        <f t="shared" si="1"/>
        <v>2</v>
      </c>
      <c r="AO4" s="153">
        <f t="shared" si="1"/>
        <v>3</v>
      </c>
      <c r="AP4" s="153">
        <f t="shared" si="1"/>
        <v>4</v>
      </c>
      <c r="AQ4" s="153">
        <f t="shared" si="1"/>
        <v>5</v>
      </c>
      <c r="AR4" s="153">
        <f t="shared" si="1"/>
        <v>6</v>
      </c>
      <c r="AZ4" s="149">
        <v>45075</v>
      </c>
      <c r="BA4" s="150">
        <v>4.26</v>
      </c>
      <c r="BB4" s="150">
        <v>562700</v>
      </c>
      <c r="BC4" s="150">
        <v>1730157</v>
      </c>
      <c r="BE4" s="148">
        <v>43889</v>
      </c>
      <c r="BF4" s="153">
        <f t="shared" si="0"/>
        <v>5.43</v>
      </c>
    </row>
    <row r="5" spans="2:58">
      <c r="B5" s="124" t="s">
        <v>649</v>
      </c>
      <c r="C5" s="153">
        <f t="shared" ref="C5:AQ5" si="2">_xlfn.XLOOKUP(C$2,$AZ2:$AZ1242,$BA2:$BA1242,,0)</f>
        <v>5.31</v>
      </c>
      <c r="D5" s="153">
        <f t="shared" si="2"/>
        <v>5.43</v>
      </c>
      <c r="E5" s="153">
        <f t="shared" si="2"/>
        <v>5.35</v>
      </c>
      <c r="F5" s="153">
        <f t="shared" si="2"/>
        <v>5.48</v>
      </c>
      <c r="G5" s="153">
        <f t="shared" si="2"/>
        <v>5.39</v>
      </c>
      <c r="H5" s="153">
        <f t="shared" si="2"/>
        <v>5.37</v>
      </c>
      <c r="I5" s="153">
        <f t="shared" si="2"/>
        <v>5.3</v>
      </c>
      <c r="J5" s="153">
        <f t="shared" si="2"/>
        <v>5</v>
      </c>
      <c r="K5" s="153">
        <f t="shared" si="2"/>
        <v>5.08</v>
      </c>
      <c r="L5" s="153">
        <f t="shared" si="2"/>
        <v>4.8</v>
      </c>
      <c r="M5" s="153">
        <f t="shared" si="2"/>
        <v>4.9000000000000004</v>
      </c>
      <c r="N5" s="153">
        <f t="shared" si="2"/>
        <v>5.05</v>
      </c>
      <c r="O5" s="153">
        <f t="shared" si="2"/>
        <v>4.7699999999999996</v>
      </c>
      <c r="P5" s="153">
        <f t="shared" si="2"/>
        <v>4.75</v>
      </c>
      <c r="Q5" s="153">
        <f t="shared" si="2"/>
        <v>4.5199999999999996</v>
      </c>
      <c r="R5" s="153">
        <f t="shared" si="2"/>
        <v>4.5999999999999996</v>
      </c>
      <c r="S5" s="153">
        <f t="shared" si="2"/>
        <v>4.6500000000000004</v>
      </c>
      <c r="T5" s="153">
        <f t="shared" si="2"/>
        <v>4.3899999999999997</v>
      </c>
      <c r="U5" s="153">
        <f t="shared" si="2"/>
        <v>4.26</v>
      </c>
      <c r="V5" s="153">
        <f t="shared" si="2"/>
        <v>4.6900000000000004</v>
      </c>
      <c r="W5" s="153">
        <f t="shared" si="2"/>
        <v>4.6900000000000004</v>
      </c>
      <c r="X5" s="153">
        <f t="shared" si="2"/>
        <v>4.67</v>
      </c>
      <c r="Y5" s="153">
        <f t="shared" si="2"/>
        <v>4.68</v>
      </c>
      <c r="Z5" s="153">
        <f t="shared" si="2"/>
        <v>4.8499999999999996</v>
      </c>
      <c r="AA5" s="153">
        <f t="shared" si="2"/>
        <v>4.2300000000000004</v>
      </c>
      <c r="AB5" s="153">
        <f t="shared" si="2"/>
        <v>4.0199999999999996</v>
      </c>
      <c r="AC5" s="153">
        <f t="shared" si="2"/>
        <v>3.93</v>
      </c>
      <c r="AD5" s="153">
        <f t="shared" si="2"/>
        <v>3.8</v>
      </c>
      <c r="AE5" s="153">
        <f t="shared" si="2"/>
        <v>3.79</v>
      </c>
      <c r="AF5" s="153">
        <f t="shared" si="2"/>
        <v>3.3</v>
      </c>
      <c r="AG5" s="153">
        <f t="shared" si="2"/>
        <v>3.67</v>
      </c>
      <c r="AH5" s="153">
        <f t="shared" si="2"/>
        <v>3.85</v>
      </c>
      <c r="AI5" s="153">
        <f t="shared" si="2"/>
        <v>3.51</v>
      </c>
      <c r="AJ5" s="153">
        <f t="shared" si="2"/>
        <v>3.85</v>
      </c>
      <c r="AK5" s="153">
        <f t="shared" si="2"/>
        <v>3.84</v>
      </c>
      <c r="AL5" s="153">
        <f t="shared" si="2"/>
        <v>3.84</v>
      </c>
      <c r="AM5" s="153">
        <f t="shared" si="2"/>
        <v>3.96</v>
      </c>
      <c r="AN5" s="153">
        <f t="shared" si="2"/>
        <v>3.91</v>
      </c>
      <c r="AO5" s="153">
        <f t="shared" si="2"/>
        <v>4.13</v>
      </c>
      <c r="AP5" s="153">
        <f t="shared" si="2"/>
        <v>4.4000000000000004</v>
      </c>
      <c r="AQ5" s="153">
        <f t="shared" si="2"/>
        <v>4.28</v>
      </c>
      <c r="AR5" s="157">
        <v>4.16</v>
      </c>
      <c r="AZ5" s="149">
        <v>45072</v>
      </c>
      <c r="BA5" s="150">
        <v>4.2699999999999996</v>
      </c>
      <c r="BB5" s="150">
        <v>871500</v>
      </c>
      <c r="BC5" s="150">
        <v>1834457</v>
      </c>
      <c r="BE5" s="152">
        <f>EOMONTH(BE4,1)</f>
        <v>43921</v>
      </c>
      <c r="BF5" s="153">
        <f t="shared" si="0"/>
        <v>5.35</v>
      </c>
    </row>
    <row r="6" spans="2:58">
      <c r="B6" t="s">
        <v>650</v>
      </c>
      <c r="C6" s="154">
        <f>'Income Statement'!BJ504</f>
        <v>7820</v>
      </c>
      <c r="D6" s="154">
        <f>C6</f>
        <v>7820</v>
      </c>
      <c r="E6" s="154">
        <f t="shared" ref="E6:N6" si="3">D6</f>
        <v>7820</v>
      </c>
      <c r="F6" s="154">
        <f t="shared" si="3"/>
        <v>7820</v>
      </c>
      <c r="G6" s="154">
        <f t="shared" si="3"/>
        <v>7820</v>
      </c>
      <c r="H6" s="154">
        <f t="shared" si="3"/>
        <v>7820</v>
      </c>
      <c r="I6" s="154">
        <f t="shared" si="3"/>
        <v>7820</v>
      </c>
      <c r="J6" s="154">
        <f t="shared" si="3"/>
        <v>7820</v>
      </c>
      <c r="K6" s="154">
        <f t="shared" si="3"/>
        <v>7820</v>
      </c>
      <c r="L6" s="154">
        <f t="shared" si="3"/>
        <v>7820</v>
      </c>
      <c r="M6" s="154">
        <f t="shared" si="3"/>
        <v>7820</v>
      </c>
      <c r="N6" s="154">
        <f t="shared" si="3"/>
        <v>7820</v>
      </c>
      <c r="O6" s="154">
        <f>'Income Statement'!BO504</f>
        <v>7825</v>
      </c>
      <c r="P6" s="154">
        <f>O6</f>
        <v>7825</v>
      </c>
      <c r="Q6" s="154">
        <f t="shared" ref="Q6:Z6" si="4">P6</f>
        <v>7825</v>
      </c>
      <c r="R6" s="154">
        <f t="shared" si="4"/>
        <v>7825</v>
      </c>
      <c r="S6" s="154">
        <f t="shared" si="4"/>
        <v>7825</v>
      </c>
      <c r="T6" s="154">
        <f t="shared" si="4"/>
        <v>7825</v>
      </c>
      <c r="U6" s="154">
        <f t="shared" si="4"/>
        <v>7825</v>
      </c>
      <c r="V6" s="154">
        <f t="shared" si="4"/>
        <v>7825</v>
      </c>
      <c r="W6" s="154">
        <f t="shared" si="4"/>
        <v>7825</v>
      </c>
      <c r="X6" s="154">
        <f t="shared" si="4"/>
        <v>7825</v>
      </c>
      <c r="Y6" s="154">
        <f t="shared" si="4"/>
        <v>7825</v>
      </c>
      <c r="Z6" s="154">
        <f t="shared" si="4"/>
        <v>7825</v>
      </c>
      <c r="AA6" s="154">
        <f>'Income Statement'!BT504</f>
        <v>7825</v>
      </c>
      <c r="AB6" s="154">
        <f>AA6</f>
        <v>7825</v>
      </c>
      <c r="AC6" s="154">
        <f t="shared" ref="AC6:AL6" si="5">AB6</f>
        <v>7825</v>
      </c>
      <c r="AD6" s="154">
        <f t="shared" si="5"/>
        <v>7825</v>
      </c>
      <c r="AE6" s="154">
        <f t="shared" si="5"/>
        <v>7825</v>
      </c>
      <c r="AF6" s="154">
        <f t="shared" si="5"/>
        <v>7825</v>
      </c>
      <c r="AG6" s="154">
        <f t="shared" si="5"/>
        <v>7825</v>
      </c>
      <c r="AH6" s="154">
        <f t="shared" si="5"/>
        <v>7825</v>
      </c>
      <c r="AI6" s="154">
        <f t="shared" si="5"/>
        <v>7825</v>
      </c>
      <c r="AJ6" s="154">
        <f t="shared" si="5"/>
        <v>7825</v>
      </c>
      <c r="AK6" s="154">
        <f t="shared" si="5"/>
        <v>7825</v>
      </c>
      <c r="AL6" s="154">
        <f t="shared" si="5"/>
        <v>7825</v>
      </c>
      <c r="AM6" s="154">
        <f>'Income Statement'!BY504</f>
        <v>7828</v>
      </c>
      <c r="AN6" s="154">
        <f>AM6</f>
        <v>7828</v>
      </c>
      <c r="AO6" s="154">
        <f t="shared" ref="AO6:AR6" si="6">AN6</f>
        <v>7828</v>
      </c>
      <c r="AP6" s="154">
        <f t="shared" si="6"/>
        <v>7828</v>
      </c>
      <c r="AQ6" s="154">
        <f t="shared" si="6"/>
        <v>7828</v>
      </c>
      <c r="AR6" s="154">
        <f t="shared" si="6"/>
        <v>7828</v>
      </c>
      <c r="AS6" s="146"/>
      <c r="AT6" s="146"/>
      <c r="AU6" s="146"/>
      <c r="AV6" s="146"/>
      <c r="AW6" s="146"/>
      <c r="AX6" s="146"/>
      <c r="AY6" s="146"/>
      <c r="AZ6" s="149">
        <v>45071</v>
      </c>
      <c r="BA6" s="150">
        <v>4.22</v>
      </c>
      <c r="BB6" s="150">
        <v>1887866</v>
      </c>
      <c r="BC6" s="150">
        <v>1892518</v>
      </c>
      <c r="BE6" s="152">
        <f>EOMONTH(BE5,1)</f>
        <v>43951</v>
      </c>
      <c r="BF6" s="153">
        <f t="shared" si="0"/>
        <v>5.48</v>
      </c>
    </row>
    <row r="7" spans="2:58">
      <c r="B7" s="124" t="s">
        <v>651</v>
      </c>
      <c r="C7" s="153">
        <f>C5*C6</f>
        <v>41524.199999999997</v>
      </c>
      <c r="D7" s="153">
        <f t="shared" ref="D7:N7" si="7">D5*D6</f>
        <v>42462.6</v>
      </c>
      <c r="E7" s="153">
        <f t="shared" si="7"/>
        <v>41837</v>
      </c>
      <c r="F7" s="153">
        <f t="shared" si="7"/>
        <v>42853.600000000006</v>
      </c>
      <c r="G7" s="153">
        <f t="shared" si="7"/>
        <v>42149.799999999996</v>
      </c>
      <c r="H7" s="153">
        <f t="shared" si="7"/>
        <v>41993.4</v>
      </c>
      <c r="I7" s="153">
        <f t="shared" si="7"/>
        <v>41446</v>
      </c>
      <c r="J7" s="153">
        <f t="shared" si="7"/>
        <v>39100</v>
      </c>
      <c r="K7" s="153">
        <f t="shared" si="7"/>
        <v>39725.599999999999</v>
      </c>
      <c r="L7" s="153">
        <f t="shared" si="7"/>
        <v>37536</v>
      </c>
      <c r="M7" s="153">
        <f t="shared" si="7"/>
        <v>38318</v>
      </c>
      <c r="N7" s="153">
        <f t="shared" si="7"/>
        <v>39491</v>
      </c>
      <c r="O7" s="153">
        <f t="shared" ref="O7" si="8">O5*O6</f>
        <v>37325.25</v>
      </c>
      <c r="P7" s="153">
        <f t="shared" ref="P7" si="9">P5*P6</f>
        <v>37168.75</v>
      </c>
      <c r="Q7" s="153">
        <f t="shared" ref="Q7" si="10">Q5*Q6</f>
        <v>35369</v>
      </c>
      <c r="R7" s="153">
        <f t="shared" ref="R7" si="11">R5*R6</f>
        <v>35995</v>
      </c>
      <c r="S7" s="153">
        <f t="shared" ref="S7" si="12">S5*S6</f>
        <v>36386.25</v>
      </c>
      <c r="T7" s="153">
        <f t="shared" ref="T7" si="13">T5*T6</f>
        <v>34351.75</v>
      </c>
      <c r="U7" s="153">
        <f t="shared" ref="U7" si="14">U5*U6</f>
        <v>33334.5</v>
      </c>
      <c r="V7" s="153">
        <f t="shared" ref="V7" si="15">V5*V6</f>
        <v>36699.25</v>
      </c>
      <c r="W7" s="153">
        <f t="shared" ref="W7" si="16">W5*W6</f>
        <v>36699.25</v>
      </c>
      <c r="X7" s="153">
        <f t="shared" ref="X7" si="17">X5*X6</f>
        <v>36542.75</v>
      </c>
      <c r="Y7" s="153">
        <f t="shared" ref="Y7" si="18">Y5*Y6</f>
        <v>36621</v>
      </c>
      <c r="Z7" s="153">
        <f t="shared" ref="Z7" si="19">Z5*Z6</f>
        <v>37951.25</v>
      </c>
      <c r="AA7" s="153">
        <f t="shared" ref="AA7" si="20">AA5*AA6</f>
        <v>33099.75</v>
      </c>
      <c r="AB7" s="153">
        <f t="shared" ref="AB7" si="21">AB5*AB6</f>
        <v>31456.499999999996</v>
      </c>
      <c r="AC7" s="153">
        <f t="shared" ref="AC7" si="22">AC5*AC6</f>
        <v>30752.25</v>
      </c>
      <c r="AD7" s="153">
        <f t="shared" ref="AD7" si="23">AD5*AD6</f>
        <v>29735</v>
      </c>
      <c r="AE7" s="153">
        <f t="shared" ref="AE7" si="24">AE5*AE6</f>
        <v>29656.75</v>
      </c>
      <c r="AF7" s="153">
        <f t="shared" ref="AF7" si="25">AF5*AF6</f>
        <v>25822.5</v>
      </c>
      <c r="AG7" s="153">
        <f t="shared" ref="AG7" si="26">AG5*AG6</f>
        <v>28717.75</v>
      </c>
      <c r="AH7" s="153">
        <f t="shared" ref="AH7" si="27">AH5*AH6</f>
        <v>30126.25</v>
      </c>
      <c r="AI7" s="153">
        <f t="shared" ref="AI7" si="28">AI5*AI6</f>
        <v>27465.75</v>
      </c>
      <c r="AJ7" s="153">
        <f t="shared" ref="AJ7" si="29">AJ5*AJ6</f>
        <v>30126.25</v>
      </c>
      <c r="AK7" s="153">
        <f t="shared" ref="AK7" si="30">AK5*AK6</f>
        <v>30048</v>
      </c>
      <c r="AL7" s="153">
        <f t="shared" ref="AL7" si="31">AL5*AL6</f>
        <v>30048</v>
      </c>
      <c r="AM7" s="153">
        <f t="shared" ref="AM7" si="32">AM5*AM6</f>
        <v>30998.880000000001</v>
      </c>
      <c r="AN7" s="153">
        <f t="shared" ref="AN7" si="33">AN5*AN6</f>
        <v>30607.48</v>
      </c>
      <c r="AO7" s="153">
        <f t="shared" ref="AO7" si="34">AO5*AO6</f>
        <v>32329.64</v>
      </c>
      <c r="AP7" s="153">
        <f t="shared" ref="AP7" si="35">AP5*AP6</f>
        <v>34443.200000000004</v>
      </c>
      <c r="AQ7" s="153">
        <f t="shared" ref="AQ7:AR7" si="36">AQ5*AQ6</f>
        <v>33503.840000000004</v>
      </c>
      <c r="AR7" s="153">
        <f t="shared" si="36"/>
        <v>32564.48</v>
      </c>
      <c r="AZ7" s="149">
        <v>45070</v>
      </c>
      <c r="BA7" s="150">
        <v>4.18</v>
      </c>
      <c r="BB7" s="150">
        <v>2589955</v>
      </c>
      <c r="BC7" s="150">
        <v>2175896</v>
      </c>
      <c r="BE7" s="148">
        <v>43979</v>
      </c>
      <c r="BF7" s="153">
        <f t="shared" si="0"/>
        <v>5.39</v>
      </c>
    </row>
    <row r="8" spans="2:58">
      <c r="B8" t="s">
        <v>653</v>
      </c>
      <c r="C8" s="150">
        <v>9496.2992850628307</v>
      </c>
      <c r="D8" s="150">
        <v>9496.2992850628307</v>
      </c>
      <c r="E8" s="150">
        <v>9496.2992850628307</v>
      </c>
      <c r="F8" s="150">
        <v>9496.2992850628307</v>
      </c>
      <c r="G8" s="150">
        <v>9496.2992850628307</v>
      </c>
      <c r="H8" s="150">
        <v>9496.2992850628307</v>
      </c>
      <c r="I8" s="150">
        <v>9496.2992850628307</v>
      </c>
      <c r="J8" s="150">
        <v>9496.2992850628307</v>
      </c>
      <c r="K8" s="150">
        <v>9496.2992850628307</v>
      </c>
      <c r="L8" s="150">
        <v>9496.2992850628307</v>
      </c>
      <c r="M8" s="150">
        <v>9496.2992850628307</v>
      </c>
      <c r="N8" s="150">
        <v>9496.2992850628307</v>
      </c>
      <c r="O8" s="150">
        <v>9231.1229223147875</v>
      </c>
      <c r="P8" s="150">
        <v>9231.1229223147875</v>
      </c>
      <c r="Q8" s="150">
        <v>9231.1229223147875</v>
      </c>
      <c r="R8" s="150">
        <v>9231.1229223147875</v>
      </c>
      <c r="S8" s="150">
        <v>9231.1229223147875</v>
      </c>
      <c r="T8" s="150">
        <v>9231.1229223147875</v>
      </c>
      <c r="U8" s="150">
        <v>9231.1229223147875</v>
      </c>
      <c r="V8" s="150">
        <v>9231.1229223147875</v>
      </c>
      <c r="W8" s="150">
        <v>9231.1229223147875</v>
      </c>
      <c r="X8" s="150">
        <v>9231.1229223147875</v>
      </c>
      <c r="Y8" s="150">
        <v>9231.1229223147875</v>
      </c>
      <c r="Z8" s="150">
        <v>9231.1229223147875</v>
      </c>
      <c r="AA8" s="150">
        <v>8999.2999999999993</v>
      </c>
      <c r="AB8" s="150">
        <v>8999.2999999999993</v>
      </c>
      <c r="AC8" s="150">
        <v>8999.2999999999993</v>
      </c>
      <c r="AD8" s="150">
        <v>8999.2999999999993</v>
      </c>
      <c r="AE8" s="150">
        <v>8999.2999999999993</v>
      </c>
      <c r="AF8" s="150">
        <v>8999.2999999999993</v>
      </c>
      <c r="AG8" s="150">
        <v>8999.2999999999993</v>
      </c>
      <c r="AH8" s="150">
        <v>8999.2999999999993</v>
      </c>
      <c r="AI8" s="150">
        <v>8999.2999999999993</v>
      </c>
      <c r="AJ8" s="150">
        <v>8999.2999999999993</v>
      </c>
      <c r="AK8" s="150">
        <v>8999.2999999999993</v>
      </c>
      <c r="AL8" s="150">
        <v>8999.2999999999993</v>
      </c>
      <c r="AM8" s="150">
        <v>8379.3435699734364</v>
      </c>
      <c r="AN8" s="150">
        <v>8379.3435699734364</v>
      </c>
      <c r="AO8" s="150">
        <v>8379.3435699734364</v>
      </c>
      <c r="AP8" s="150">
        <v>8379.3435699734364</v>
      </c>
      <c r="AQ8" s="150">
        <v>8379.3435699734364</v>
      </c>
      <c r="AR8" s="150">
        <v>8379.3435699734364</v>
      </c>
      <c r="AT8" t="s">
        <v>666</v>
      </c>
      <c r="AZ8" s="149">
        <v>45069</v>
      </c>
      <c r="BA8" s="150">
        <v>4.16</v>
      </c>
      <c r="BB8" s="150">
        <v>1108846</v>
      </c>
      <c r="BC8" s="150">
        <v>2111233</v>
      </c>
      <c r="BE8" s="152">
        <f>EOMONTH(BE7,1)</f>
        <v>44012</v>
      </c>
      <c r="BF8" s="153">
        <f t="shared" si="0"/>
        <v>5.37</v>
      </c>
    </row>
    <row r="9" spans="2:58">
      <c r="B9" s="124" t="s">
        <v>652</v>
      </c>
      <c r="C9" s="153">
        <f>C7+C8</f>
        <v>51020.499285062826</v>
      </c>
      <c r="D9" s="153">
        <f t="shared" ref="D9:N9" si="37">D7+D8</f>
        <v>51958.899285062827</v>
      </c>
      <c r="E9" s="153">
        <f t="shared" si="37"/>
        <v>51333.299285062829</v>
      </c>
      <c r="F9" s="153">
        <f t="shared" si="37"/>
        <v>52349.899285062835</v>
      </c>
      <c r="G9" s="153">
        <f t="shared" si="37"/>
        <v>51646.099285062824</v>
      </c>
      <c r="H9" s="153">
        <f t="shared" si="37"/>
        <v>51489.69928506283</v>
      </c>
      <c r="I9" s="153">
        <f t="shared" si="37"/>
        <v>50942.299285062829</v>
      </c>
      <c r="J9" s="153">
        <f t="shared" si="37"/>
        <v>48596.299285062829</v>
      </c>
      <c r="K9" s="153">
        <f t="shared" si="37"/>
        <v>49221.899285062827</v>
      </c>
      <c r="L9" s="153">
        <f t="shared" si="37"/>
        <v>47032.299285062829</v>
      </c>
      <c r="M9" s="153">
        <f t="shared" si="37"/>
        <v>47814.299285062829</v>
      </c>
      <c r="N9" s="153">
        <f t="shared" si="37"/>
        <v>48987.299285062829</v>
      </c>
      <c r="O9" s="153">
        <f t="shared" ref="O9" si="38">O7+O8</f>
        <v>46556.372922314789</v>
      </c>
      <c r="P9" s="153">
        <f t="shared" ref="P9" si="39">P7+P8</f>
        <v>46399.872922314789</v>
      </c>
      <c r="Q9" s="153">
        <f t="shared" ref="Q9" si="40">Q7+Q8</f>
        <v>44600.122922314789</v>
      </c>
      <c r="R9" s="153">
        <f t="shared" ref="R9" si="41">R7+R8</f>
        <v>45226.122922314789</v>
      </c>
      <c r="S9" s="153">
        <f t="shared" ref="S9" si="42">S7+S8</f>
        <v>45617.372922314789</v>
      </c>
      <c r="T9" s="153">
        <f t="shared" ref="T9" si="43">T7+T8</f>
        <v>43582.872922314789</v>
      </c>
      <c r="U9" s="153">
        <f t="shared" ref="U9" si="44">U7+U8</f>
        <v>42565.622922314789</v>
      </c>
      <c r="V9" s="153">
        <f t="shared" ref="V9" si="45">V7+V8</f>
        <v>45930.372922314789</v>
      </c>
      <c r="W9" s="153">
        <f t="shared" ref="W9" si="46">W7+W8</f>
        <v>45930.372922314789</v>
      </c>
      <c r="X9" s="153">
        <f t="shared" ref="X9" si="47">X7+X8</f>
        <v>45773.872922314789</v>
      </c>
      <c r="Y9" s="153">
        <f t="shared" ref="Y9" si="48">Y7+Y8</f>
        <v>45852.122922314789</v>
      </c>
      <c r="Z9" s="153">
        <f t="shared" ref="Z9" si="49">Z7+Z8</f>
        <v>47182.372922314789</v>
      </c>
      <c r="AA9" s="153">
        <f t="shared" ref="AA9" si="50">AA7+AA8</f>
        <v>42099.05</v>
      </c>
      <c r="AB9" s="153">
        <f t="shared" ref="AB9" si="51">AB7+AB8</f>
        <v>40455.799999999996</v>
      </c>
      <c r="AC9" s="153">
        <f t="shared" ref="AC9" si="52">AC7+AC8</f>
        <v>39751.550000000003</v>
      </c>
      <c r="AD9" s="153">
        <f t="shared" ref="AD9" si="53">AD7+AD8</f>
        <v>38734.300000000003</v>
      </c>
      <c r="AE9" s="153">
        <f t="shared" ref="AE9" si="54">AE7+AE8</f>
        <v>38656.050000000003</v>
      </c>
      <c r="AF9" s="153">
        <f t="shared" ref="AF9" si="55">AF7+AF8</f>
        <v>34821.800000000003</v>
      </c>
      <c r="AG9" s="153">
        <f t="shared" ref="AG9" si="56">AG7+AG8</f>
        <v>37717.050000000003</v>
      </c>
      <c r="AH9" s="153">
        <f t="shared" ref="AH9" si="57">AH7+AH8</f>
        <v>39125.550000000003</v>
      </c>
      <c r="AI9" s="153">
        <f t="shared" ref="AI9" si="58">AI7+AI8</f>
        <v>36465.050000000003</v>
      </c>
      <c r="AJ9" s="153">
        <f t="shared" ref="AJ9" si="59">AJ7+AJ8</f>
        <v>39125.550000000003</v>
      </c>
      <c r="AK9" s="153">
        <f t="shared" ref="AK9" si="60">AK7+AK8</f>
        <v>39047.300000000003</v>
      </c>
      <c r="AL9" s="153">
        <f t="shared" ref="AL9" si="61">AL7+AL8</f>
        <v>39047.300000000003</v>
      </c>
      <c r="AM9" s="153">
        <f t="shared" ref="AM9" si="62">AM7+AM8</f>
        <v>39378.223569973437</v>
      </c>
      <c r="AN9" s="153">
        <f t="shared" ref="AN9" si="63">AN7+AN8</f>
        <v>38986.823569973436</v>
      </c>
      <c r="AO9" s="153">
        <f t="shared" ref="AO9" si="64">AO7+AO8</f>
        <v>40708.983569973439</v>
      </c>
      <c r="AP9" s="153">
        <f t="shared" ref="AP9" si="65">AP7+AP8</f>
        <v>42822.543569973437</v>
      </c>
      <c r="AQ9" s="153">
        <f t="shared" ref="AQ9:AR9" si="66">AQ7+AQ8</f>
        <v>41883.183569973437</v>
      </c>
      <c r="AR9" s="153">
        <f t="shared" si="66"/>
        <v>40943.823569973436</v>
      </c>
      <c r="AZ9" s="149">
        <v>45068</v>
      </c>
      <c r="BA9" s="150">
        <v>4.18</v>
      </c>
      <c r="BB9" s="150">
        <v>3011935</v>
      </c>
      <c r="BC9" s="150">
        <v>2232544</v>
      </c>
      <c r="BE9" s="148">
        <v>44042</v>
      </c>
      <c r="BF9" s="153">
        <f t="shared" si="0"/>
        <v>5.3</v>
      </c>
    </row>
    <row r="10" spans="2:58">
      <c r="AZ10" s="149">
        <v>45065</v>
      </c>
      <c r="BA10" s="150">
        <v>4.3499999999999996</v>
      </c>
      <c r="BB10" s="150">
        <v>1165281</v>
      </c>
      <c r="BC10" s="150">
        <v>2233886</v>
      </c>
      <c r="BE10" s="148">
        <v>44071</v>
      </c>
      <c r="BF10" s="153">
        <f t="shared" si="0"/>
        <v>5</v>
      </c>
    </row>
    <row r="11" spans="2:58">
      <c r="B11" s="144" t="s">
        <v>657</v>
      </c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45"/>
      <c r="X11" s="145"/>
      <c r="Y11" s="145"/>
      <c r="Z11" s="145"/>
      <c r="AA11" s="145"/>
      <c r="AB11" s="145"/>
      <c r="AC11" s="145"/>
      <c r="AD11" s="145"/>
      <c r="AE11" s="145"/>
      <c r="AF11" s="145"/>
      <c r="AG11" s="145"/>
      <c r="AH11" s="145"/>
      <c r="AI11" s="145"/>
      <c r="AJ11" s="145"/>
      <c r="AK11" s="145"/>
      <c r="AL11" s="145"/>
      <c r="AM11" s="145"/>
      <c r="AN11" s="145"/>
      <c r="AO11" s="145"/>
      <c r="AP11" s="145"/>
      <c r="AQ11" s="145"/>
      <c r="AR11" s="145"/>
      <c r="AZ11" s="149">
        <v>45064</v>
      </c>
      <c r="BA11" s="150">
        <v>4.34</v>
      </c>
      <c r="BB11" s="150">
        <v>973535</v>
      </c>
      <c r="BC11" s="150">
        <v>2315632</v>
      </c>
      <c r="BE11" s="152">
        <f>EOMONTH(BE10,1)</f>
        <v>44104</v>
      </c>
      <c r="BF11" s="153">
        <f t="shared" si="0"/>
        <v>5.08</v>
      </c>
    </row>
    <row r="12" spans="2:58">
      <c r="B12" s="124" t="s">
        <v>2</v>
      </c>
      <c r="AZ12" s="149">
        <v>45063</v>
      </c>
      <c r="BA12" s="150">
        <v>4.3499999999999996</v>
      </c>
      <c r="BB12" s="150">
        <v>2026800</v>
      </c>
      <c r="BC12" s="150">
        <v>2342694</v>
      </c>
      <c r="BE12" s="148">
        <v>44134</v>
      </c>
      <c r="BF12" s="153">
        <f t="shared" si="0"/>
        <v>4.8</v>
      </c>
    </row>
    <row r="13" spans="2:58">
      <c r="B13" s="151">
        <v>2020</v>
      </c>
      <c r="C13" s="150">
        <v>3525.5853316138723</v>
      </c>
      <c r="D13" s="150">
        <v>3525.5853316138723</v>
      </c>
      <c r="E13" s="150">
        <v>3525.5853316138723</v>
      </c>
      <c r="F13" s="150">
        <v>3525.5853316138723</v>
      </c>
      <c r="G13" s="150">
        <v>3525.5853316138723</v>
      </c>
      <c r="H13" s="150">
        <v>3525.5853316138723</v>
      </c>
      <c r="I13" s="150">
        <v>3525.5853316138723</v>
      </c>
      <c r="J13" s="150">
        <v>3525.5853316138723</v>
      </c>
      <c r="K13" s="150">
        <v>3525.5853316138723</v>
      </c>
      <c r="L13" s="150">
        <v>3525.5853316138723</v>
      </c>
      <c r="M13" s="150">
        <v>3525.5853316138723</v>
      </c>
      <c r="N13" s="150">
        <v>3525.5853316138723</v>
      </c>
      <c r="AZ13" s="147"/>
      <c r="BE13" s="141"/>
    </row>
    <row r="14" spans="2:58">
      <c r="B14" s="155">
        <f>B13+1</f>
        <v>2021</v>
      </c>
      <c r="C14" s="150">
        <v>3975</v>
      </c>
      <c r="D14" s="150">
        <v>3975</v>
      </c>
      <c r="E14" s="150">
        <v>3975</v>
      </c>
      <c r="F14" s="150">
        <v>3975</v>
      </c>
      <c r="G14" s="150">
        <v>3975</v>
      </c>
      <c r="H14" s="150">
        <v>3975</v>
      </c>
      <c r="I14" s="150">
        <v>3975</v>
      </c>
      <c r="J14" s="150">
        <v>3975</v>
      </c>
      <c r="K14" s="150">
        <v>3975</v>
      </c>
      <c r="L14" s="150">
        <v>3975</v>
      </c>
      <c r="M14" s="150">
        <v>3975</v>
      </c>
      <c r="N14" s="150">
        <v>3975</v>
      </c>
      <c r="O14" s="150">
        <v>3975</v>
      </c>
      <c r="P14" s="150">
        <v>3975</v>
      </c>
      <c r="Q14" s="150">
        <v>3975</v>
      </c>
      <c r="R14" s="150">
        <v>3975</v>
      </c>
      <c r="S14" s="150">
        <v>3975</v>
      </c>
      <c r="T14" s="150">
        <v>3975</v>
      </c>
      <c r="U14" s="150">
        <v>3975</v>
      </c>
      <c r="V14" s="150">
        <v>3975</v>
      </c>
      <c r="W14" s="150">
        <v>3975</v>
      </c>
      <c r="X14" s="150">
        <v>3975</v>
      </c>
      <c r="Y14" s="150">
        <v>3975</v>
      </c>
      <c r="Z14" s="150">
        <v>3975</v>
      </c>
      <c r="AZ14" s="149">
        <v>45062</v>
      </c>
      <c r="BA14" s="150">
        <v>4.38</v>
      </c>
      <c r="BB14" s="150">
        <v>601600</v>
      </c>
      <c r="BC14" s="150">
        <v>2346482</v>
      </c>
      <c r="BE14" s="152">
        <f>EOMONTH(BE12,1)</f>
        <v>44165</v>
      </c>
      <c r="BF14" s="153">
        <f>_xlfn.XLOOKUP(BE14,$AZ$3:$AZ$1242,$BA$3:$BA$1242)</f>
        <v>4.9000000000000004</v>
      </c>
    </row>
    <row r="15" spans="2:58">
      <c r="B15" s="155">
        <f>B14+1</f>
        <v>2022</v>
      </c>
      <c r="O15" s="150">
        <v>4046</v>
      </c>
      <c r="P15" s="150">
        <v>4046</v>
      </c>
      <c r="Q15" s="150">
        <v>4046</v>
      </c>
      <c r="R15" s="150">
        <v>4046</v>
      </c>
      <c r="S15" s="150">
        <v>4046</v>
      </c>
      <c r="T15" s="150">
        <v>4046</v>
      </c>
      <c r="U15" s="150">
        <v>4046</v>
      </c>
      <c r="V15" s="150">
        <v>4046</v>
      </c>
      <c r="W15" s="150">
        <v>4046</v>
      </c>
      <c r="X15" s="150">
        <v>4046</v>
      </c>
      <c r="Y15" s="150">
        <v>4046</v>
      </c>
      <c r="Z15" s="150">
        <v>4046</v>
      </c>
      <c r="AA15" s="150">
        <v>4046</v>
      </c>
      <c r="AB15" s="150">
        <v>4046</v>
      </c>
      <c r="AC15" s="150">
        <v>4046</v>
      </c>
      <c r="AD15" s="150">
        <v>4046</v>
      </c>
      <c r="AE15" s="150">
        <v>4046</v>
      </c>
      <c r="AF15" s="150">
        <v>4046</v>
      </c>
      <c r="AG15" s="150">
        <v>4046</v>
      </c>
      <c r="AH15" s="150">
        <v>4046</v>
      </c>
      <c r="AI15" s="150">
        <v>4046</v>
      </c>
      <c r="AJ15" s="150">
        <v>4046</v>
      </c>
      <c r="AK15" s="150">
        <v>4046</v>
      </c>
      <c r="AL15" s="150">
        <v>4046</v>
      </c>
      <c r="AZ15" s="149">
        <v>45061</v>
      </c>
      <c r="BA15" s="150">
        <v>4.37</v>
      </c>
      <c r="BB15" s="150">
        <v>1204057</v>
      </c>
      <c r="BC15" s="150">
        <v>2399490</v>
      </c>
      <c r="BE15" s="152">
        <f>EOMONTH(BE14,1)</f>
        <v>44196</v>
      </c>
      <c r="BF15" s="153">
        <f>_xlfn.XLOOKUP(BE15,$AZ$3:$AZ$1242,$BA$3:$BA$1242)</f>
        <v>5.05</v>
      </c>
    </row>
    <row r="16" spans="2:58">
      <c r="B16" s="155">
        <f t="shared" ref="B16:B17" si="67">B15+1</f>
        <v>2023</v>
      </c>
      <c r="AA16" s="150">
        <v>4688</v>
      </c>
      <c r="AB16" s="150">
        <v>4688</v>
      </c>
      <c r="AC16" s="150">
        <v>4688</v>
      </c>
      <c r="AD16" s="150">
        <v>4688</v>
      </c>
      <c r="AE16" s="150">
        <v>4688</v>
      </c>
      <c r="AF16" s="150">
        <v>4688</v>
      </c>
      <c r="AG16" s="150">
        <v>4688</v>
      </c>
      <c r="AH16" s="150">
        <v>4688</v>
      </c>
      <c r="AI16" s="150">
        <v>4688</v>
      </c>
      <c r="AJ16" s="150">
        <v>4688</v>
      </c>
      <c r="AK16" s="150">
        <v>4688</v>
      </c>
      <c r="AL16" s="150">
        <v>4688</v>
      </c>
      <c r="AM16" s="150">
        <v>4688</v>
      </c>
      <c r="AN16" s="150">
        <v>4688</v>
      </c>
      <c r="AO16" s="150">
        <v>4688</v>
      </c>
      <c r="AP16" s="150">
        <v>4688</v>
      </c>
      <c r="AQ16" s="150">
        <v>4688</v>
      </c>
      <c r="AR16" s="150">
        <v>4688</v>
      </c>
      <c r="AZ16" s="149">
        <v>45058</v>
      </c>
      <c r="BA16" s="150">
        <v>4.33</v>
      </c>
      <c r="BB16" s="150">
        <v>2872800</v>
      </c>
      <c r="BC16" s="150">
        <v>2509999</v>
      </c>
      <c r="BE16" s="148">
        <v>44225</v>
      </c>
      <c r="BF16" s="153">
        <f>_xlfn.XLOOKUP(BE16,$AZ$3:$AZ$1242,$BA$3:$BA$1242)</f>
        <v>4.7699999999999996</v>
      </c>
    </row>
    <row r="17" spans="2:58">
      <c r="B17" s="155">
        <f t="shared" si="67"/>
        <v>2024</v>
      </c>
      <c r="AM17" s="150">
        <v>5014</v>
      </c>
      <c r="AN17" s="150">
        <v>5014</v>
      </c>
      <c r="AO17" s="150">
        <v>5014</v>
      </c>
      <c r="AP17" s="150">
        <v>5014</v>
      </c>
      <c r="AQ17" s="150">
        <v>5014</v>
      </c>
      <c r="AR17" s="150">
        <v>5014</v>
      </c>
      <c r="AZ17" s="149">
        <v>45057</v>
      </c>
      <c r="BA17" s="150">
        <v>4.4000000000000004</v>
      </c>
      <c r="BB17" s="150">
        <v>3009232</v>
      </c>
      <c r="BC17" s="150">
        <v>2560662</v>
      </c>
      <c r="BE17" s="148">
        <v>44253</v>
      </c>
      <c r="BF17" s="153">
        <f>_xlfn.XLOOKUP(BE17,$AZ$3:$AZ$1242,$BA$3:$BA$1242)</f>
        <v>4.75</v>
      </c>
    </row>
    <row r="18" spans="2:58">
      <c r="B18" s="124" t="s">
        <v>101</v>
      </c>
      <c r="AZ18" s="149">
        <v>45056</v>
      </c>
      <c r="BA18" s="150">
        <v>4.42</v>
      </c>
      <c r="BB18" s="150">
        <v>1844542</v>
      </c>
      <c r="BC18" s="150">
        <v>2512447</v>
      </c>
      <c r="BE18" s="152">
        <f>EOMONTH(BE17,1)</f>
        <v>44286</v>
      </c>
      <c r="BF18" s="153">
        <f>_xlfn.XLOOKUP(BE18,$AZ$3:$AZ$1242,$BA$3:$BA$1242)</f>
        <v>4.5199999999999996</v>
      </c>
    </row>
    <row r="19" spans="2:58">
      <c r="B19" s="151">
        <v>2020</v>
      </c>
      <c r="C19" s="150">
        <v>1361</v>
      </c>
      <c r="D19" s="150">
        <v>1361</v>
      </c>
      <c r="E19" s="150">
        <v>1361</v>
      </c>
      <c r="F19" s="150">
        <v>1361</v>
      </c>
      <c r="G19" s="150">
        <v>1361</v>
      </c>
      <c r="H19" s="150">
        <v>1361</v>
      </c>
      <c r="I19" s="150">
        <v>1361</v>
      </c>
      <c r="J19" s="150">
        <v>1361</v>
      </c>
      <c r="K19" s="150">
        <v>1361</v>
      </c>
      <c r="L19" s="150">
        <v>1361</v>
      </c>
      <c r="M19" s="150">
        <v>1361</v>
      </c>
      <c r="N19" s="150">
        <v>1361</v>
      </c>
      <c r="AZ19" s="147"/>
      <c r="BE19" s="141"/>
    </row>
    <row r="20" spans="2:58">
      <c r="B20" s="155">
        <f>B19+1</f>
        <v>2021</v>
      </c>
      <c r="C20" s="150">
        <v>1583</v>
      </c>
      <c r="D20" s="150">
        <v>1583</v>
      </c>
      <c r="E20" s="150">
        <v>1583</v>
      </c>
      <c r="F20" s="150">
        <v>1583</v>
      </c>
      <c r="G20" s="150">
        <v>1583</v>
      </c>
      <c r="H20" s="150">
        <v>1583</v>
      </c>
      <c r="I20" s="150">
        <v>1583</v>
      </c>
      <c r="J20" s="150">
        <v>1583</v>
      </c>
      <c r="K20" s="150">
        <v>1583</v>
      </c>
      <c r="L20" s="150">
        <v>1583</v>
      </c>
      <c r="M20" s="150">
        <v>1583</v>
      </c>
      <c r="N20" s="150">
        <v>1583</v>
      </c>
      <c r="O20" s="150">
        <v>1583</v>
      </c>
      <c r="P20" s="150">
        <v>1583</v>
      </c>
      <c r="Q20" s="150">
        <v>1583</v>
      </c>
      <c r="R20" s="150">
        <v>1583</v>
      </c>
      <c r="S20" s="150">
        <v>1583</v>
      </c>
      <c r="T20" s="150">
        <v>1583</v>
      </c>
      <c r="U20" s="150">
        <v>1583</v>
      </c>
      <c r="V20" s="150">
        <v>1583</v>
      </c>
      <c r="W20" s="150">
        <v>1583</v>
      </c>
      <c r="X20" s="150">
        <v>1583</v>
      </c>
      <c r="Y20" s="150">
        <v>1583</v>
      </c>
      <c r="Z20" s="150">
        <v>1583</v>
      </c>
      <c r="AZ20" s="149">
        <v>45055</v>
      </c>
      <c r="BA20" s="150">
        <v>4.34</v>
      </c>
      <c r="BB20" s="150">
        <v>2221711</v>
      </c>
      <c r="BC20" s="150">
        <v>2510808</v>
      </c>
      <c r="BE20" s="152">
        <f>EOMONTH(BE18,1)</f>
        <v>44316</v>
      </c>
      <c r="BF20" s="153">
        <f t="shared" ref="BF20:BF45" si="68">_xlfn.XLOOKUP(BE20,$AZ$3:$AZ$1242,$BA$3:$BA$1242)</f>
        <v>4.5999999999999996</v>
      </c>
    </row>
    <row r="21" spans="2:58">
      <c r="B21" s="155">
        <f>B20+1</f>
        <v>2022</v>
      </c>
      <c r="O21" s="150">
        <v>1446</v>
      </c>
      <c r="P21" s="150">
        <v>1446</v>
      </c>
      <c r="Q21" s="150">
        <v>1446</v>
      </c>
      <c r="R21" s="150">
        <v>1446</v>
      </c>
      <c r="S21" s="150">
        <v>1446</v>
      </c>
      <c r="T21" s="150">
        <v>1446</v>
      </c>
      <c r="U21" s="150">
        <v>1446</v>
      </c>
      <c r="V21" s="150">
        <v>1446</v>
      </c>
      <c r="W21" s="150">
        <v>1446</v>
      </c>
      <c r="X21" s="150">
        <v>1446</v>
      </c>
      <c r="Y21" s="150">
        <v>1446</v>
      </c>
      <c r="Z21" s="150">
        <v>1446</v>
      </c>
      <c r="AA21" s="150">
        <v>1446</v>
      </c>
      <c r="AB21" s="150">
        <v>1446</v>
      </c>
      <c r="AC21" s="150">
        <v>1446</v>
      </c>
      <c r="AD21" s="150">
        <v>1446</v>
      </c>
      <c r="AE21" s="150">
        <v>1446</v>
      </c>
      <c r="AF21" s="150">
        <v>1446</v>
      </c>
      <c r="AG21" s="150">
        <v>1446</v>
      </c>
      <c r="AH21" s="150">
        <v>1446</v>
      </c>
      <c r="AI21" s="150">
        <v>1446</v>
      </c>
      <c r="AJ21" s="150">
        <v>1446</v>
      </c>
      <c r="AK21" s="150">
        <v>1446</v>
      </c>
      <c r="AL21" s="150">
        <v>1446</v>
      </c>
      <c r="AZ21" s="149">
        <v>45054</v>
      </c>
      <c r="BA21" s="150">
        <v>4.37</v>
      </c>
      <c r="BB21" s="150">
        <v>2127194</v>
      </c>
      <c r="BC21" s="150">
        <v>2576761</v>
      </c>
      <c r="BE21" s="152">
        <f>EOMONTH(BE20,1)</f>
        <v>44347</v>
      </c>
      <c r="BF21" s="153">
        <f t="shared" si="68"/>
        <v>4.6500000000000004</v>
      </c>
    </row>
    <row r="22" spans="2:58">
      <c r="B22" s="155">
        <f t="shared" ref="B22:B23" si="69">B21+1</f>
        <v>2023</v>
      </c>
      <c r="AA22" s="150">
        <v>1998</v>
      </c>
      <c r="AB22" s="150">
        <v>1998</v>
      </c>
      <c r="AC22" s="150">
        <v>1998</v>
      </c>
      <c r="AD22" s="150">
        <v>1998</v>
      </c>
      <c r="AE22" s="150">
        <v>1998</v>
      </c>
      <c r="AF22" s="150">
        <v>1998</v>
      </c>
      <c r="AG22" s="150">
        <v>1998</v>
      </c>
      <c r="AH22" s="150">
        <v>1998</v>
      </c>
      <c r="AI22" s="150">
        <v>1998</v>
      </c>
      <c r="AJ22" s="150">
        <v>1998</v>
      </c>
      <c r="AK22" s="150">
        <v>1998</v>
      </c>
      <c r="AL22" s="150">
        <v>1998</v>
      </c>
      <c r="AM22" s="150">
        <v>1998</v>
      </c>
      <c r="AN22" s="150">
        <v>1998</v>
      </c>
      <c r="AO22" s="150">
        <v>1998</v>
      </c>
      <c r="AP22" s="150">
        <v>1998</v>
      </c>
      <c r="AQ22" s="150">
        <v>1998</v>
      </c>
      <c r="AR22" s="150">
        <v>1998</v>
      </c>
      <c r="AZ22" s="149">
        <v>45051</v>
      </c>
      <c r="BA22" s="150">
        <v>4.59</v>
      </c>
      <c r="BB22" s="150">
        <v>1742414</v>
      </c>
      <c r="BC22" s="150">
        <v>2484093</v>
      </c>
      <c r="BE22" s="152">
        <f>EOMONTH(BE21,1)</f>
        <v>44377</v>
      </c>
      <c r="BF22" s="153">
        <f t="shared" si="68"/>
        <v>4.3899999999999997</v>
      </c>
    </row>
    <row r="23" spans="2:58">
      <c r="B23" s="155">
        <f t="shared" si="69"/>
        <v>2024</v>
      </c>
      <c r="AM23" s="150">
        <v>2287</v>
      </c>
      <c r="AN23" s="150">
        <v>2287</v>
      </c>
      <c r="AO23" s="150">
        <v>2287</v>
      </c>
      <c r="AP23" s="150">
        <v>2287</v>
      </c>
      <c r="AQ23" s="150">
        <v>2287</v>
      </c>
      <c r="AR23" s="150">
        <v>2287</v>
      </c>
      <c r="AZ23" s="149">
        <v>45049</v>
      </c>
      <c r="BA23" s="150">
        <v>4.5199999999999996</v>
      </c>
      <c r="BB23" s="150">
        <v>6138541</v>
      </c>
      <c r="BC23" s="150">
        <v>2481292</v>
      </c>
      <c r="BE23" s="148">
        <v>44407</v>
      </c>
      <c r="BF23" s="153">
        <f t="shared" si="68"/>
        <v>4.26</v>
      </c>
    </row>
    <row r="24" spans="2:58">
      <c r="B24" s="142"/>
      <c r="AZ24" s="149">
        <v>45048</v>
      </c>
      <c r="BA24" s="150">
        <v>4.43</v>
      </c>
      <c r="BB24" s="150">
        <v>1620007</v>
      </c>
      <c r="BC24" s="150">
        <v>2212777</v>
      </c>
      <c r="BE24" s="148">
        <v>44438</v>
      </c>
      <c r="BF24" s="153">
        <f t="shared" si="68"/>
        <v>4.6900000000000004</v>
      </c>
    </row>
    <row r="25" spans="2:58">
      <c r="B25" s="144" t="s">
        <v>655</v>
      </c>
      <c r="C25" s="145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145"/>
      <c r="U25" s="145"/>
      <c r="V25" s="145"/>
      <c r="W25" s="145"/>
      <c r="X25" s="145"/>
      <c r="Y25" s="145"/>
      <c r="Z25" s="145"/>
      <c r="AA25" s="145"/>
      <c r="AB25" s="145"/>
      <c r="AC25" s="145"/>
      <c r="AD25" s="145"/>
      <c r="AE25" s="145"/>
      <c r="AF25" s="145"/>
      <c r="AG25" s="145"/>
      <c r="AH25" s="145"/>
      <c r="AI25" s="145"/>
      <c r="AJ25" s="145"/>
      <c r="AK25" s="145"/>
      <c r="AL25" s="145"/>
      <c r="AM25" s="145"/>
      <c r="AN25" s="145"/>
      <c r="AO25" s="145"/>
      <c r="AP25" s="145"/>
      <c r="AQ25" s="145"/>
      <c r="AR25" s="145"/>
      <c r="AZ25" s="149">
        <v>45044</v>
      </c>
      <c r="BA25" s="150">
        <v>4.4000000000000004</v>
      </c>
      <c r="BB25" s="150">
        <v>2928504</v>
      </c>
      <c r="BC25" s="150">
        <v>2201324</v>
      </c>
      <c r="BE25" s="152">
        <f>EOMONTH(BE24,1)</f>
        <v>44469</v>
      </c>
      <c r="BF25" s="153">
        <f t="shared" si="68"/>
        <v>4.6900000000000004</v>
      </c>
    </row>
    <row r="26" spans="2:58">
      <c r="B26" s="124" t="s">
        <v>654</v>
      </c>
      <c r="C26" s="156">
        <f>C$9/(((13-C$4)*C13/12)+((C$4-1)*C14/12))</f>
        <v>14.471497492221435</v>
      </c>
      <c r="D26" s="156">
        <f t="shared" ref="D26:N26" si="70">D$9/(((13-D$4)*D13/12)+((D$4-1)*D14/12))</f>
        <v>14.582757852156314</v>
      </c>
      <c r="E26" s="156">
        <f t="shared" si="70"/>
        <v>14.257318028496362</v>
      </c>
      <c r="F26" s="156">
        <f t="shared" si="70"/>
        <v>14.389988205855047</v>
      </c>
      <c r="G26" s="156">
        <f t="shared" si="70"/>
        <v>14.051868285687556</v>
      </c>
      <c r="H26" s="156">
        <f t="shared" si="70"/>
        <v>13.868003810401643</v>
      </c>
      <c r="I26" s="156">
        <f t="shared" si="70"/>
        <v>13.583553024948191</v>
      </c>
      <c r="J26" s="156">
        <f t="shared" si="70"/>
        <v>12.82987992847376</v>
      </c>
      <c r="K26" s="156">
        <f t="shared" si="70"/>
        <v>12.867814023253963</v>
      </c>
      <c r="L26" s="156">
        <f t="shared" si="70"/>
        <v>12.176185762704726</v>
      </c>
      <c r="M26" s="156">
        <f t="shared" si="70"/>
        <v>12.25977007176817</v>
      </c>
      <c r="N26" s="156">
        <f t="shared" si="70"/>
        <v>12.441064746502594</v>
      </c>
      <c r="O26" s="156">
        <f>O$9/(((13-O$4)*O14/12)+((O$4-1)*O15/12))</f>
        <v>11.712295074796174</v>
      </c>
      <c r="P26" s="156">
        <f t="shared" ref="P26:Z26" si="71">P$9/(((13-P$4)*P14/12)+((P$4-1)*P15/12))</f>
        <v>11.655575036481913</v>
      </c>
      <c r="Q26" s="156">
        <f t="shared" si="71"/>
        <v>11.186854125408166</v>
      </c>
      <c r="R26" s="156">
        <f t="shared" si="71"/>
        <v>11.327061028693203</v>
      </c>
      <c r="S26" s="156">
        <f t="shared" si="71"/>
        <v>11.408145945893995</v>
      </c>
      <c r="T26" s="156">
        <f t="shared" si="71"/>
        <v>10.883247842425918</v>
      </c>
      <c r="U26" s="156">
        <f t="shared" si="71"/>
        <v>10.613545174495647</v>
      </c>
      <c r="V26" s="156">
        <f t="shared" si="71"/>
        <v>11.435659378545916</v>
      </c>
      <c r="W26" s="156">
        <f t="shared" si="71"/>
        <v>11.418838051458057</v>
      </c>
      <c r="X26" s="156">
        <f t="shared" si="71"/>
        <v>11.363215520961903</v>
      </c>
      <c r="Y26" s="156">
        <f t="shared" si="71"/>
        <v>11.36594660334182</v>
      </c>
      <c r="Z26" s="156">
        <f t="shared" si="71"/>
        <v>11.678564284312976</v>
      </c>
      <c r="AA26" s="156">
        <f>AA$9/(((13-AA$4)*AA15/12)+((AA$4-1)*AA16/12))</f>
        <v>10.405103806228375</v>
      </c>
      <c r="AB26" s="156">
        <f t="shared" ref="AB26:AL26" si="72">AB$9/(((13-AB$4)*AB15/12)+((AB$4-1)*AB16/12))</f>
        <v>9.8684717648493709</v>
      </c>
      <c r="AC26" s="156">
        <f t="shared" si="72"/>
        <v>9.5717673970623647</v>
      </c>
      <c r="AD26" s="156">
        <f t="shared" si="72"/>
        <v>9.20820159277309</v>
      </c>
      <c r="AE26" s="156">
        <f t="shared" si="72"/>
        <v>9.0741901408450705</v>
      </c>
      <c r="AF26" s="156">
        <f t="shared" si="72"/>
        <v>8.072748348209112</v>
      </c>
      <c r="AG26" s="156">
        <f t="shared" si="72"/>
        <v>8.6368330661781556</v>
      </c>
      <c r="AH26" s="156">
        <f t="shared" si="72"/>
        <v>8.8509331523583317</v>
      </c>
      <c r="AI26" s="156">
        <f t="shared" si="72"/>
        <v>8.1504358515869466</v>
      </c>
      <c r="AJ26" s="156">
        <f t="shared" si="72"/>
        <v>8.6417559359469909</v>
      </c>
      <c r="AK26" s="156">
        <f t="shared" si="72"/>
        <v>8.5237502728661863</v>
      </c>
      <c r="AL26" s="156">
        <f t="shared" si="72"/>
        <v>8.4253533282986304</v>
      </c>
      <c r="AM26" s="156">
        <f>AM$9/(((13-AM$4)*AM16/12)+((AM$4-1)*AM17/12))</f>
        <v>8.3997917171445042</v>
      </c>
      <c r="AN26" s="156">
        <f t="shared" ref="AN26:AQ26" si="73">AN$9/(((13-AN$4)*AN16/12)+((AN$4-1)*AN17/12))</f>
        <v>8.2683871697656723</v>
      </c>
      <c r="AO26" s="156">
        <f t="shared" si="73"/>
        <v>8.5841674780291228</v>
      </c>
      <c r="AP26" s="156">
        <f t="shared" si="73"/>
        <v>8.9784135800342675</v>
      </c>
      <c r="AQ26" s="156">
        <f t="shared" si="73"/>
        <v>8.7317269430104449</v>
      </c>
      <c r="AR26" s="156">
        <f t="shared" ref="AR26" si="74">AR$9/(((13-AR$4)*AR16/12)+((AR$4-1)*AR17/12))</f>
        <v>8.4878188653505386</v>
      </c>
      <c r="AZ26" s="149">
        <v>45043</v>
      </c>
      <c r="BA26" s="150">
        <v>4.3899999999999997</v>
      </c>
      <c r="BB26" s="150">
        <v>3032069</v>
      </c>
      <c r="BC26" s="150">
        <v>2019983</v>
      </c>
      <c r="BE26" s="148">
        <v>44498</v>
      </c>
      <c r="BF26" s="153">
        <f t="shared" si="68"/>
        <v>4.67</v>
      </c>
    </row>
    <row r="27" spans="2:58">
      <c r="B27" s="124" t="s">
        <v>656</v>
      </c>
      <c r="C27" s="156">
        <f>C$7/(((13-C$4)*C19/12)+((C$4-1)*C20/12))</f>
        <v>30.510066127847168</v>
      </c>
      <c r="D27" s="156">
        <f t="shared" ref="D27:N27" si="75">D$7/(((13-D$4)*D19/12)+((D$4-1)*D20/12))</f>
        <v>30.781152591518666</v>
      </c>
      <c r="E27" s="156">
        <f t="shared" si="75"/>
        <v>29.926323319027183</v>
      </c>
      <c r="F27" s="156">
        <f t="shared" si="75"/>
        <v>30.253159195199441</v>
      </c>
      <c r="G27" s="156">
        <f t="shared" si="75"/>
        <v>29.372682926829267</v>
      </c>
      <c r="H27" s="156">
        <f t="shared" si="75"/>
        <v>28.89122807017544</v>
      </c>
      <c r="I27" s="156">
        <f t="shared" si="75"/>
        <v>28.15625</v>
      </c>
      <c r="J27" s="156">
        <f t="shared" si="75"/>
        <v>26.232807782623279</v>
      </c>
      <c r="K27" s="156">
        <f t="shared" si="75"/>
        <v>26.325778661365142</v>
      </c>
      <c r="L27" s="156">
        <f t="shared" si="75"/>
        <v>24.573486088379706</v>
      </c>
      <c r="M27" s="156">
        <f t="shared" si="75"/>
        <v>24.785252263906855</v>
      </c>
      <c r="N27" s="156">
        <f t="shared" si="75"/>
        <v>25.241930329178651</v>
      </c>
      <c r="O27" s="156">
        <f>O$7/(((13-O$4)*O20/12)+((O$4-1)*O21/12))</f>
        <v>23.57880606443462</v>
      </c>
      <c r="P27" s="156">
        <f t="shared" ref="P27:Z27" si="76">P$7/(((13-P$4)*P20/12)+((P$4-1)*P21/12))</f>
        <v>23.650511692030332</v>
      </c>
      <c r="Q27" s="156">
        <f t="shared" si="76"/>
        <v>22.67001388740519</v>
      </c>
      <c r="R27" s="156">
        <f t="shared" si="76"/>
        <v>23.241323648103307</v>
      </c>
      <c r="S27" s="156">
        <f t="shared" si="76"/>
        <v>23.668419340849958</v>
      </c>
      <c r="T27" s="156">
        <f t="shared" si="76"/>
        <v>22.512205777947685</v>
      </c>
      <c r="U27" s="156">
        <f t="shared" si="76"/>
        <v>22.010234400792342</v>
      </c>
      <c r="V27" s="156">
        <f t="shared" si="76"/>
        <v>24.415978266895824</v>
      </c>
      <c r="W27" s="156">
        <f t="shared" si="76"/>
        <v>24.602849162011175</v>
      </c>
      <c r="X27" s="156">
        <f t="shared" si="76"/>
        <v>24.686877216686369</v>
      </c>
      <c r="Y27" s="156">
        <f t="shared" si="76"/>
        <v>24.932032225121979</v>
      </c>
      <c r="Z27" s="156">
        <f t="shared" si="76"/>
        <v>26.040082337469265</v>
      </c>
      <c r="AA27" s="156">
        <f>AA$7/(((13-AA$4)*AA21/12)+((AA$4-1)*AA22/12))</f>
        <v>22.890560165975103</v>
      </c>
      <c r="AB27" s="156">
        <f t="shared" ref="AB27:AL27" si="77">AB$7/(((13-AB$4)*AB21/12)+((AB$4-1)*AB22/12))</f>
        <v>21.083445040214475</v>
      </c>
      <c r="AC27" s="156">
        <f t="shared" si="77"/>
        <v>19.994960988296491</v>
      </c>
      <c r="AD27" s="156">
        <f t="shared" si="77"/>
        <v>18.772095959595958</v>
      </c>
      <c r="AE27" s="156">
        <f t="shared" si="77"/>
        <v>18.194325153374233</v>
      </c>
      <c r="AF27" s="156">
        <f t="shared" si="77"/>
        <v>15.407219570405728</v>
      </c>
      <c r="AG27" s="156">
        <f t="shared" si="77"/>
        <v>16.67697444831591</v>
      </c>
      <c r="AH27" s="156">
        <f t="shared" si="77"/>
        <v>17.039734162895929</v>
      </c>
      <c r="AI27" s="156">
        <f t="shared" si="77"/>
        <v>15.140986769570011</v>
      </c>
      <c r="AJ27" s="156">
        <f t="shared" si="77"/>
        <v>16.196908602150536</v>
      </c>
      <c r="AK27" s="156">
        <f t="shared" si="77"/>
        <v>15.76495278069255</v>
      </c>
      <c r="AL27" s="156">
        <f t="shared" si="77"/>
        <v>15.39344262295082</v>
      </c>
      <c r="AM27" s="156">
        <f>AM$7/(((13-AM$4)*AM22/12)+((AM$4-1)*AM23/12))</f>
        <v>15.514954954954955</v>
      </c>
      <c r="AN27" s="156">
        <f t="shared" ref="AN27:AQ27" si="78">AN$7/(((13-AN$4)*AN22/12)+((AN$4-1)*AN23/12))</f>
        <v>15.136606635071091</v>
      </c>
      <c r="AO27" s="156">
        <f t="shared" si="78"/>
        <v>15.80010100187342</v>
      </c>
      <c r="AP27" s="156">
        <f t="shared" si="78"/>
        <v>16.63721772732762</v>
      </c>
      <c r="AQ27" s="156">
        <f t="shared" si="78"/>
        <v>15.997377049180329</v>
      </c>
      <c r="AR27" s="156">
        <f t="shared" ref="AR27" si="79">AR$7/(((13-AR$4)*AR22/12)+((AR$4-1)*AR23/12))</f>
        <v>15.372084497069354</v>
      </c>
      <c r="AZ27" s="149">
        <v>45042</v>
      </c>
      <c r="BA27" s="150">
        <v>4.3</v>
      </c>
      <c r="BB27" s="150">
        <v>2391468</v>
      </c>
      <c r="BC27" s="150">
        <v>1863905</v>
      </c>
      <c r="BE27" s="152">
        <f>EOMONTH(BE26,1)</f>
        <v>44530</v>
      </c>
      <c r="BF27" s="153">
        <f t="shared" si="68"/>
        <v>4.68</v>
      </c>
    </row>
    <row r="28" spans="2:58">
      <c r="AZ28" s="149">
        <v>45041</v>
      </c>
      <c r="BA28" s="150">
        <v>4.3499999999999996</v>
      </c>
      <c r="BB28" s="150">
        <v>1379472</v>
      </c>
      <c r="BC28" s="150">
        <v>1786347</v>
      </c>
      <c r="BE28" s="152">
        <f>EOMONTH(BE27,1)</f>
        <v>44561</v>
      </c>
      <c r="BF28" s="153">
        <f t="shared" si="68"/>
        <v>4.8499999999999996</v>
      </c>
    </row>
    <row r="29" spans="2:58">
      <c r="C29" t="str">
        <f>CHAR(64+COLUMN(C4))</f>
        <v>C</v>
      </c>
      <c r="D29" t="str">
        <f t="shared" ref="D29:G29" si="80">CHAR(64+COLUMN(D4))</f>
        <v>D</v>
      </c>
      <c r="E29" t="str">
        <f t="shared" si="80"/>
        <v>E</v>
      </c>
      <c r="F29" t="str">
        <f t="shared" si="80"/>
        <v>F</v>
      </c>
      <c r="G29" t="str">
        <f t="shared" si="80"/>
        <v>G</v>
      </c>
      <c r="AZ29" s="149">
        <v>45036</v>
      </c>
      <c r="BA29" s="150">
        <v>4.34</v>
      </c>
      <c r="BB29" s="150">
        <v>2083613</v>
      </c>
      <c r="BC29" s="150">
        <v>1933620</v>
      </c>
      <c r="BE29" s="152">
        <f>EOMONTH(BE28,1)</f>
        <v>44592</v>
      </c>
      <c r="BF29" s="153">
        <f t="shared" si="68"/>
        <v>4.2300000000000004</v>
      </c>
    </row>
    <row r="30" spans="2:58">
      <c r="C30" s="153" cm="1">
        <f t="array" aca="1" ref="C30" ca="1">INDIRECT(C29&amp;5)</f>
        <v>5.31</v>
      </c>
      <c r="AZ30" s="149">
        <v>45035</v>
      </c>
      <c r="BA30" s="150">
        <v>4.29</v>
      </c>
      <c r="BB30" s="150">
        <v>1396718</v>
      </c>
      <c r="BC30" s="150">
        <v>1910874</v>
      </c>
      <c r="BE30" s="152">
        <f>EOMONTH(BE29,1)</f>
        <v>44620</v>
      </c>
      <c r="BF30" s="153">
        <f t="shared" si="68"/>
        <v>4.0199999999999996</v>
      </c>
    </row>
    <row r="31" spans="2:58">
      <c r="AZ31" s="149">
        <v>45034</v>
      </c>
      <c r="BA31" s="150">
        <v>4.3</v>
      </c>
      <c r="BB31" s="150">
        <v>2861700</v>
      </c>
      <c r="BC31" s="150">
        <v>1876467</v>
      </c>
      <c r="BE31" s="152">
        <f>EOMONTH(BE30,1)</f>
        <v>44651</v>
      </c>
      <c r="BF31" s="153">
        <f t="shared" si="68"/>
        <v>3.93</v>
      </c>
    </row>
    <row r="32" spans="2:58">
      <c r="AZ32" s="149">
        <v>45033</v>
      </c>
      <c r="BA32" s="150">
        <v>4.28</v>
      </c>
      <c r="BB32" s="150">
        <v>3632745</v>
      </c>
      <c r="BC32" s="150">
        <v>1736761</v>
      </c>
      <c r="BE32" s="148">
        <v>44680</v>
      </c>
      <c r="BF32" s="153">
        <f t="shared" si="68"/>
        <v>3.8</v>
      </c>
    </row>
    <row r="33" spans="2:58">
      <c r="AZ33" s="149">
        <v>45030</v>
      </c>
      <c r="BA33" s="150">
        <v>4.1900000000000004</v>
      </c>
      <c r="BB33" s="150">
        <v>2286010</v>
      </c>
      <c r="BC33" s="150">
        <v>1526324</v>
      </c>
      <c r="BE33" s="152">
        <f>EOMONTH(BE32,1)</f>
        <v>44712</v>
      </c>
      <c r="BF33" s="153">
        <f t="shared" si="68"/>
        <v>3.79</v>
      </c>
    </row>
    <row r="34" spans="2:58">
      <c r="AZ34" s="149">
        <v>45029</v>
      </c>
      <c r="BA34" s="150">
        <v>4.17</v>
      </c>
      <c r="BB34" s="150">
        <v>1819949</v>
      </c>
      <c r="BC34" s="150">
        <v>1436856</v>
      </c>
      <c r="BE34" s="152">
        <f>EOMONTH(BE33,1)</f>
        <v>44742</v>
      </c>
      <c r="BF34" s="153">
        <f t="shared" si="68"/>
        <v>3.3</v>
      </c>
    </row>
    <row r="35" spans="2:58">
      <c r="AZ35" s="149">
        <v>45028</v>
      </c>
      <c r="BA35" s="150">
        <v>4.16</v>
      </c>
      <c r="BB35" s="150">
        <v>3211015</v>
      </c>
      <c r="BC35" s="150">
        <v>1350933</v>
      </c>
      <c r="BE35" s="148">
        <v>44771</v>
      </c>
      <c r="BF35" s="153">
        <f t="shared" si="68"/>
        <v>3.67</v>
      </c>
    </row>
    <row r="36" spans="2:58">
      <c r="AZ36" s="149">
        <v>45027</v>
      </c>
      <c r="BA36" s="150">
        <v>4.12</v>
      </c>
      <c r="BB36" s="150">
        <v>737162</v>
      </c>
      <c r="BC36" s="150">
        <v>1205472</v>
      </c>
      <c r="BE36" s="148">
        <v>44803</v>
      </c>
      <c r="BF36" s="153">
        <f t="shared" si="68"/>
        <v>3.85</v>
      </c>
    </row>
    <row r="37" spans="2:58">
      <c r="AZ37" s="149">
        <v>45026</v>
      </c>
      <c r="BA37" s="150">
        <v>4.12</v>
      </c>
      <c r="BB37" s="150">
        <v>1700400</v>
      </c>
      <c r="BC37" s="150">
        <v>1233145</v>
      </c>
      <c r="BE37" s="152">
        <f>EOMONTH(BE36,1)</f>
        <v>44834</v>
      </c>
      <c r="BF37" s="153">
        <f t="shared" si="68"/>
        <v>3.51</v>
      </c>
    </row>
    <row r="38" spans="2:58">
      <c r="AZ38" s="149">
        <v>45023</v>
      </c>
      <c r="BA38" s="150">
        <v>4.09</v>
      </c>
      <c r="BB38" s="150">
        <v>2110826</v>
      </c>
      <c r="BC38" s="150">
        <v>1172339</v>
      </c>
      <c r="BE38" s="152">
        <f>EOMONTH(BE37,1)</f>
        <v>44865</v>
      </c>
      <c r="BF38" s="153">
        <f t="shared" si="68"/>
        <v>3.85</v>
      </c>
    </row>
    <row r="39" spans="2:58">
      <c r="AZ39" s="149">
        <v>45022</v>
      </c>
      <c r="BA39" s="150">
        <v>4.08</v>
      </c>
      <c r="BB39" s="150">
        <v>1448201</v>
      </c>
      <c r="BC39" s="150">
        <v>1172944</v>
      </c>
      <c r="BE39" s="152">
        <f>EOMONTH(BE38,1)</f>
        <v>44895</v>
      </c>
      <c r="BF39" s="153">
        <f t="shared" si="68"/>
        <v>3.84</v>
      </c>
    </row>
    <row r="40" spans="2:58">
      <c r="AZ40" s="149">
        <v>45021</v>
      </c>
      <c r="BA40" s="150">
        <v>4.08</v>
      </c>
      <c r="BB40" s="150">
        <v>208400</v>
      </c>
      <c r="BC40" s="150">
        <v>1139742</v>
      </c>
      <c r="BE40" s="148">
        <v>44925</v>
      </c>
      <c r="BF40" s="153">
        <f t="shared" si="68"/>
        <v>3.84</v>
      </c>
    </row>
    <row r="41" spans="2:58">
      <c r="AZ41" s="149">
        <v>45020</v>
      </c>
      <c r="BA41" s="150">
        <v>4.0999999999999996</v>
      </c>
      <c r="BB41" s="150">
        <v>690900</v>
      </c>
      <c r="BC41" s="150">
        <v>1219853</v>
      </c>
      <c r="BE41" s="152">
        <f>EOMONTH(BE40,1)</f>
        <v>44957</v>
      </c>
      <c r="BF41" s="153">
        <f t="shared" si="68"/>
        <v>3.96</v>
      </c>
    </row>
    <row r="42" spans="2:58">
      <c r="AZ42" s="149">
        <v>45019</v>
      </c>
      <c r="BA42" s="150">
        <v>4.12</v>
      </c>
      <c r="BB42" s="150">
        <v>1228100</v>
      </c>
      <c r="BC42" s="150">
        <v>1332235</v>
      </c>
      <c r="BE42" s="152">
        <f>EOMONTH(BE41,1)</f>
        <v>44985</v>
      </c>
      <c r="BF42" s="153">
        <f t="shared" si="68"/>
        <v>3.91</v>
      </c>
    </row>
    <row r="43" spans="2:58">
      <c r="AZ43" s="149">
        <v>45016</v>
      </c>
      <c r="BA43" s="150">
        <v>4.13</v>
      </c>
      <c r="BB43" s="150">
        <v>3588554</v>
      </c>
      <c r="BC43" s="150">
        <v>1336522</v>
      </c>
      <c r="BE43" s="152">
        <f>EOMONTH(BE42,1)</f>
        <v>45016</v>
      </c>
      <c r="BF43" s="153">
        <f t="shared" si="68"/>
        <v>4.13</v>
      </c>
    </row>
    <row r="44" spans="2:58">
      <c r="AZ44" s="149">
        <v>45015</v>
      </c>
      <c r="BA44" s="150">
        <v>4.0999999999999996</v>
      </c>
      <c r="BB44" s="150">
        <v>1742425</v>
      </c>
      <c r="BC44" s="150">
        <v>1211406</v>
      </c>
      <c r="BE44" s="148">
        <v>45044</v>
      </c>
      <c r="BF44" s="153">
        <f t="shared" si="68"/>
        <v>4.4000000000000004</v>
      </c>
    </row>
    <row r="45" spans="2:58">
      <c r="AZ45" s="149">
        <v>45014</v>
      </c>
      <c r="BA45" s="150">
        <v>4.03</v>
      </c>
      <c r="BB45" s="150">
        <v>880621</v>
      </c>
      <c r="BC45" s="150">
        <v>1142123</v>
      </c>
      <c r="BE45" s="148">
        <v>45076</v>
      </c>
      <c r="BF45" s="153">
        <f t="shared" si="68"/>
        <v>4.28</v>
      </c>
    </row>
    <row r="46" spans="2:58">
      <c r="AZ46" s="149">
        <v>45013</v>
      </c>
      <c r="BA46" s="150">
        <v>4</v>
      </c>
      <c r="BB46" s="150">
        <v>766100</v>
      </c>
      <c r="BC46" s="150">
        <v>1148201</v>
      </c>
    </row>
    <row r="47" spans="2:58">
      <c r="AZ47" s="149">
        <v>45012</v>
      </c>
      <c r="BA47" s="150">
        <v>3.94</v>
      </c>
      <c r="BB47" s="150">
        <v>476191</v>
      </c>
      <c r="BC47" s="150">
        <v>1138559</v>
      </c>
    </row>
    <row r="48" spans="2:58">
      <c r="B48" s="144" t="s">
        <v>657</v>
      </c>
      <c r="AZ48" s="149">
        <v>45009</v>
      </c>
      <c r="BA48" s="150">
        <v>3.98</v>
      </c>
      <c r="BB48" s="150">
        <v>944000</v>
      </c>
      <c r="BC48" s="150">
        <v>1154865</v>
      </c>
    </row>
    <row r="49" spans="2:55">
      <c r="B49" s="124" t="s">
        <v>2</v>
      </c>
      <c r="AZ49" s="149">
        <v>45008</v>
      </c>
      <c r="BA49" s="150">
        <v>4.0199999999999996</v>
      </c>
      <c r="BB49" s="150">
        <v>531100</v>
      </c>
      <c r="BC49" s="150">
        <v>1160936</v>
      </c>
    </row>
    <row r="50" spans="2:55">
      <c r="B50" s="151">
        <v>2020</v>
      </c>
      <c r="C50">
        <v>3085</v>
      </c>
      <c r="D50">
        <v>3085</v>
      </c>
      <c r="E50">
        <v>3085</v>
      </c>
      <c r="F50">
        <v>3085</v>
      </c>
      <c r="G50">
        <v>3085</v>
      </c>
      <c r="H50">
        <v>3085</v>
      </c>
      <c r="I50">
        <v>3085</v>
      </c>
      <c r="J50">
        <v>3085</v>
      </c>
      <c r="K50">
        <v>3085</v>
      </c>
      <c r="L50">
        <v>3085</v>
      </c>
      <c r="M50">
        <v>3085</v>
      </c>
      <c r="N50">
        <v>3085</v>
      </c>
      <c r="AZ50" s="149">
        <v>45007</v>
      </c>
      <c r="BA50" s="150">
        <v>4.01</v>
      </c>
      <c r="BB50" s="150">
        <v>1029100</v>
      </c>
      <c r="BC50" s="150">
        <v>1196184</v>
      </c>
    </row>
    <row r="51" spans="2:55">
      <c r="B51" s="155">
        <f>B50+1</f>
        <v>2021</v>
      </c>
      <c r="C51">
        <v>3107</v>
      </c>
      <c r="D51">
        <v>3107</v>
      </c>
      <c r="E51">
        <v>3107</v>
      </c>
      <c r="F51">
        <v>3107</v>
      </c>
      <c r="G51">
        <v>3107</v>
      </c>
      <c r="H51">
        <v>3107</v>
      </c>
      <c r="I51">
        <v>3107</v>
      </c>
      <c r="J51">
        <v>3107</v>
      </c>
      <c r="K51">
        <v>3107</v>
      </c>
      <c r="L51">
        <v>3107</v>
      </c>
      <c r="M51">
        <v>3107</v>
      </c>
      <c r="N51">
        <v>3107</v>
      </c>
      <c r="O51">
        <v>3107</v>
      </c>
      <c r="P51">
        <v>3107</v>
      </c>
      <c r="Q51">
        <v>3107</v>
      </c>
      <c r="R51">
        <v>3107</v>
      </c>
      <c r="S51">
        <v>3107</v>
      </c>
      <c r="T51">
        <v>3107</v>
      </c>
      <c r="U51">
        <v>3107</v>
      </c>
      <c r="V51">
        <v>3107</v>
      </c>
      <c r="W51">
        <v>3107</v>
      </c>
      <c r="X51">
        <v>3107</v>
      </c>
      <c r="Y51">
        <v>3107</v>
      </c>
      <c r="Z51">
        <v>3107</v>
      </c>
      <c r="AZ51" s="149">
        <v>45006</v>
      </c>
      <c r="BA51" s="150">
        <v>3.94</v>
      </c>
      <c r="BB51" s="150">
        <v>1152262</v>
      </c>
      <c r="BC51" s="150">
        <v>1209397</v>
      </c>
    </row>
    <row r="52" spans="2:55">
      <c r="B52" s="155">
        <f>B51+1</f>
        <v>2022</v>
      </c>
      <c r="O52">
        <v>3205</v>
      </c>
      <c r="P52">
        <v>3205</v>
      </c>
      <c r="Q52">
        <v>3205</v>
      </c>
      <c r="R52">
        <v>3205</v>
      </c>
      <c r="S52">
        <v>3205</v>
      </c>
      <c r="T52">
        <v>3205</v>
      </c>
      <c r="U52">
        <v>3205</v>
      </c>
      <c r="V52">
        <v>3205</v>
      </c>
      <c r="W52">
        <v>3205</v>
      </c>
      <c r="X52">
        <v>3205</v>
      </c>
      <c r="Y52">
        <v>3205</v>
      </c>
      <c r="Z52">
        <v>3205</v>
      </c>
      <c r="AA52">
        <v>3205</v>
      </c>
      <c r="AB52">
        <v>3205</v>
      </c>
      <c r="AC52">
        <v>3205</v>
      </c>
      <c r="AD52">
        <v>3205</v>
      </c>
      <c r="AE52">
        <v>3205</v>
      </c>
      <c r="AF52">
        <v>3205</v>
      </c>
      <c r="AG52">
        <v>3205</v>
      </c>
      <c r="AH52">
        <v>3205</v>
      </c>
      <c r="AI52">
        <v>3205</v>
      </c>
      <c r="AJ52">
        <v>3205</v>
      </c>
      <c r="AK52">
        <v>3205</v>
      </c>
      <c r="AL52">
        <v>3205</v>
      </c>
      <c r="AZ52" s="149">
        <v>45005</v>
      </c>
      <c r="BA52" s="150">
        <v>3.92</v>
      </c>
      <c r="BB52" s="150">
        <v>788300</v>
      </c>
      <c r="BC52" s="150">
        <v>1564822</v>
      </c>
    </row>
    <row r="53" spans="2:55">
      <c r="B53" s="155">
        <f t="shared" ref="B53:B54" si="81">B52+1</f>
        <v>2023</v>
      </c>
      <c r="AZ53" s="149">
        <v>45002</v>
      </c>
      <c r="BA53" s="150">
        <v>3.86</v>
      </c>
      <c r="BB53" s="150">
        <v>2119905</v>
      </c>
      <c r="BC53" s="150">
        <v>1581692</v>
      </c>
    </row>
    <row r="54" spans="2:55">
      <c r="B54" s="155">
        <f t="shared" si="81"/>
        <v>2024</v>
      </c>
      <c r="AZ54" s="149">
        <v>45001</v>
      </c>
      <c r="BA54" s="150">
        <v>3.75</v>
      </c>
      <c r="BB54" s="150">
        <v>950171</v>
      </c>
      <c r="BC54" s="150">
        <v>1536962</v>
      </c>
    </row>
    <row r="55" spans="2:55">
      <c r="B55" s="124" t="s">
        <v>101</v>
      </c>
      <c r="AZ55" s="149">
        <v>45000</v>
      </c>
      <c r="BA55" s="150">
        <v>3.84</v>
      </c>
      <c r="BB55" s="150">
        <v>1410062</v>
      </c>
      <c r="BC55" s="150">
        <v>1554273</v>
      </c>
    </row>
    <row r="56" spans="2:55">
      <c r="B56" s="151">
        <v>2020</v>
      </c>
      <c r="C56">
        <v>1272</v>
      </c>
      <c r="D56">
        <v>1272</v>
      </c>
      <c r="E56">
        <v>1272</v>
      </c>
      <c r="F56">
        <v>1272</v>
      </c>
      <c r="G56">
        <v>1272</v>
      </c>
      <c r="H56">
        <v>1272</v>
      </c>
      <c r="I56">
        <v>1272</v>
      </c>
      <c r="J56">
        <v>1272</v>
      </c>
      <c r="K56">
        <v>1272</v>
      </c>
      <c r="L56">
        <v>1272</v>
      </c>
      <c r="M56">
        <v>1272</v>
      </c>
      <c r="N56">
        <v>1272</v>
      </c>
      <c r="AZ56" s="149">
        <v>44999</v>
      </c>
      <c r="BA56" s="150">
        <v>3.77</v>
      </c>
      <c r="BB56" s="150">
        <v>2376638</v>
      </c>
      <c r="BC56" s="150">
        <v>1525162</v>
      </c>
    </row>
    <row r="57" spans="2:55">
      <c r="B57" s="155">
        <f>B56+1</f>
        <v>2021</v>
      </c>
      <c r="C57">
        <v>1244</v>
      </c>
      <c r="D57">
        <v>1244</v>
      </c>
      <c r="E57">
        <v>1244</v>
      </c>
      <c r="F57">
        <v>1244</v>
      </c>
      <c r="G57">
        <v>1244</v>
      </c>
      <c r="H57">
        <v>1244</v>
      </c>
      <c r="I57">
        <v>1244</v>
      </c>
      <c r="J57">
        <v>1244</v>
      </c>
      <c r="K57">
        <v>1244</v>
      </c>
      <c r="L57">
        <v>1244</v>
      </c>
      <c r="M57">
        <v>1244</v>
      </c>
      <c r="N57">
        <v>1244</v>
      </c>
      <c r="O57">
        <v>1244</v>
      </c>
      <c r="P57">
        <v>1244</v>
      </c>
      <c r="Q57">
        <v>1244</v>
      </c>
      <c r="R57">
        <v>1244</v>
      </c>
      <c r="S57">
        <v>1244</v>
      </c>
      <c r="T57">
        <v>1244</v>
      </c>
      <c r="U57">
        <v>1244</v>
      </c>
      <c r="V57">
        <v>1244</v>
      </c>
      <c r="W57">
        <v>1244</v>
      </c>
      <c r="X57">
        <v>1244</v>
      </c>
      <c r="Y57">
        <v>1244</v>
      </c>
      <c r="Z57">
        <v>1244</v>
      </c>
      <c r="AZ57" s="149">
        <v>44998</v>
      </c>
      <c r="BA57" s="150">
        <v>3.88</v>
      </c>
      <c r="BB57" s="150">
        <v>1292400</v>
      </c>
      <c r="BC57" s="150">
        <v>1468447</v>
      </c>
    </row>
    <row r="58" spans="2:55">
      <c r="B58" s="155">
        <f>B57+1</f>
        <v>2022</v>
      </c>
      <c r="O58">
        <v>1584</v>
      </c>
      <c r="P58">
        <v>1584</v>
      </c>
      <c r="Q58">
        <v>1584</v>
      </c>
      <c r="R58">
        <v>1584</v>
      </c>
      <c r="S58">
        <v>1584</v>
      </c>
      <c r="T58">
        <v>1584</v>
      </c>
      <c r="U58">
        <v>1584</v>
      </c>
      <c r="V58">
        <v>1584</v>
      </c>
      <c r="W58">
        <v>1584</v>
      </c>
      <c r="X58">
        <v>1584</v>
      </c>
      <c r="Y58">
        <v>1584</v>
      </c>
      <c r="Z58">
        <v>1584</v>
      </c>
      <c r="AA58">
        <v>1584</v>
      </c>
      <c r="AB58">
        <v>1584</v>
      </c>
      <c r="AC58">
        <v>1584</v>
      </c>
      <c r="AD58">
        <v>1584</v>
      </c>
      <c r="AE58">
        <v>1584</v>
      </c>
      <c r="AF58">
        <v>1584</v>
      </c>
      <c r="AG58">
        <v>1584</v>
      </c>
      <c r="AH58">
        <v>1584</v>
      </c>
      <c r="AI58">
        <v>1584</v>
      </c>
      <c r="AJ58">
        <v>1584</v>
      </c>
      <c r="AK58">
        <v>1584</v>
      </c>
      <c r="AL58">
        <v>1584</v>
      </c>
      <c r="AZ58" s="149">
        <v>44995</v>
      </c>
      <c r="BA58" s="150">
        <v>3.93</v>
      </c>
      <c r="BB58" s="150">
        <v>1711813</v>
      </c>
      <c r="BC58" s="150">
        <v>1438327</v>
      </c>
    </row>
    <row r="59" spans="2:55">
      <c r="B59" s="155">
        <f t="shared" ref="B59:B60" si="82">B58+1</f>
        <v>2023</v>
      </c>
      <c r="AZ59" s="149">
        <v>44994</v>
      </c>
      <c r="BA59" s="150">
        <v>4.0199999999999996</v>
      </c>
      <c r="BB59" s="150">
        <v>703175</v>
      </c>
      <c r="BC59" s="150">
        <v>1386681</v>
      </c>
    </row>
    <row r="60" spans="2:55">
      <c r="B60" s="155">
        <f t="shared" si="82"/>
        <v>2024</v>
      </c>
      <c r="AZ60" s="149">
        <v>44993</v>
      </c>
      <c r="BA60" s="150">
        <v>4.04</v>
      </c>
      <c r="BB60" s="150">
        <v>971800</v>
      </c>
      <c r="BC60" s="150">
        <v>1461403</v>
      </c>
    </row>
    <row r="61" spans="2:55">
      <c r="AZ61" s="149">
        <v>44992</v>
      </c>
      <c r="BA61" s="150">
        <v>4</v>
      </c>
      <c r="BB61" s="150">
        <v>621471</v>
      </c>
      <c r="BC61" s="150">
        <v>1475534</v>
      </c>
    </row>
    <row r="62" spans="2:55">
      <c r="AZ62" s="149">
        <v>44991</v>
      </c>
      <c r="BA62" s="150">
        <v>3.99</v>
      </c>
      <c r="BB62" s="150">
        <v>720779</v>
      </c>
      <c r="BC62" s="150">
        <v>1495442</v>
      </c>
    </row>
    <row r="63" spans="2:55">
      <c r="AZ63" s="149">
        <v>44988</v>
      </c>
      <c r="BA63" s="150">
        <v>3.97</v>
      </c>
      <c r="BB63" s="150">
        <v>1035063</v>
      </c>
      <c r="BC63" s="150">
        <v>1496010</v>
      </c>
    </row>
    <row r="64" spans="2:55">
      <c r="AZ64" s="149">
        <v>44987</v>
      </c>
      <c r="BA64" s="150">
        <v>3.98</v>
      </c>
      <c r="BB64" s="150">
        <v>1059821</v>
      </c>
      <c r="BC64" s="150">
        <v>1466573</v>
      </c>
    </row>
    <row r="65" spans="52:55">
      <c r="AZ65" s="149">
        <v>44986</v>
      </c>
      <c r="BA65" s="150">
        <v>3.96</v>
      </c>
      <c r="BB65" s="150">
        <v>1227287</v>
      </c>
      <c r="BC65" s="150">
        <v>1513898</v>
      </c>
    </row>
    <row r="66" spans="52:55">
      <c r="AZ66" s="149">
        <v>44985</v>
      </c>
      <c r="BA66" s="150">
        <v>3.91</v>
      </c>
      <c r="BB66" s="150">
        <v>6483645</v>
      </c>
      <c r="BC66" s="150">
        <v>1553210</v>
      </c>
    </row>
    <row r="67" spans="52:55">
      <c r="AZ67" s="149">
        <v>44984</v>
      </c>
      <c r="BA67" s="150">
        <v>4</v>
      </c>
      <c r="BB67" s="150">
        <v>1041345</v>
      </c>
      <c r="BC67" s="150">
        <v>1290807</v>
      </c>
    </row>
    <row r="68" spans="52:55">
      <c r="AZ68" s="149">
        <v>44981</v>
      </c>
      <c r="BA68" s="150">
        <v>3.99</v>
      </c>
      <c r="BB68" s="150">
        <v>1448959</v>
      </c>
      <c r="BC68" s="150">
        <v>1328480</v>
      </c>
    </row>
    <row r="69" spans="52:55">
      <c r="AZ69" s="149">
        <v>44980</v>
      </c>
      <c r="BA69" s="150">
        <v>4.0199999999999996</v>
      </c>
      <c r="BB69" s="150">
        <v>1209840</v>
      </c>
      <c r="BC69" s="150">
        <v>1421133</v>
      </c>
    </row>
    <row r="70" spans="52:55">
      <c r="AZ70" s="149">
        <v>44979</v>
      </c>
      <c r="BA70" s="150">
        <v>4.0999999999999996</v>
      </c>
      <c r="BB70" s="150">
        <v>973400</v>
      </c>
      <c r="BC70" s="150">
        <v>1615713</v>
      </c>
    </row>
    <row r="71" spans="52:55">
      <c r="AZ71" s="149">
        <v>44978</v>
      </c>
      <c r="BA71" s="150">
        <v>4.17</v>
      </c>
      <c r="BB71" s="150">
        <v>1525900</v>
      </c>
      <c r="BC71" s="150">
        <v>1730171</v>
      </c>
    </row>
    <row r="72" spans="52:55">
      <c r="AZ72" s="149">
        <v>44977</v>
      </c>
      <c r="BA72" s="150">
        <v>4.1100000000000003</v>
      </c>
      <c r="BB72" s="150">
        <v>840600</v>
      </c>
      <c r="BC72" s="150">
        <v>1812633</v>
      </c>
    </row>
    <row r="73" spans="52:55">
      <c r="AZ73" s="149">
        <v>44974</v>
      </c>
      <c r="BA73" s="150">
        <v>4.05</v>
      </c>
      <c r="BB73" s="150">
        <v>937132</v>
      </c>
      <c r="BC73" s="150">
        <v>1818710</v>
      </c>
    </row>
    <row r="74" spans="52:55">
      <c r="AZ74" s="149">
        <v>44973</v>
      </c>
      <c r="BA74" s="150">
        <v>4.08</v>
      </c>
      <c r="BB74" s="150">
        <v>1824006</v>
      </c>
      <c r="BC74" s="150">
        <v>1866423</v>
      </c>
    </row>
    <row r="75" spans="52:55">
      <c r="AZ75" s="149">
        <v>44972</v>
      </c>
      <c r="BA75" s="150">
        <v>4.0599999999999996</v>
      </c>
      <c r="BB75" s="150">
        <v>1183758</v>
      </c>
      <c r="BC75" s="150">
        <v>2025129</v>
      </c>
    </row>
    <row r="76" spans="52:55">
      <c r="AZ76" s="149">
        <v>44971</v>
      </c>
      <c r="BA76" s="150">
        <v>4.04</v>
      </c>
      <c r="BB76" s="150">
        <v>920100</v>
      </c>
      <c r="BC76" s="150">
        <v>2107739</v>
      </c>
    </row>
    <row r="77" spans="52:55">
      <c r="AZ77" s="149">
        <v>44970</v>
      </c>
      <c r="BA77" s="150">
        <v>3.98</v>
      </c>
      <c r="BB77" s="150">
        <v>729298</v>
      </c>
      <c r="BC77" s="150">
        <v>2144134</v>
      </c>
    </row>
    <row r="78" spans="52:55">
      <c r="AZ78" s="149">
        <v>44967</v>
      </c>
      <c r="BA78" s="150">
        <v>3.97</v>
      </c>
      <c r="BB78" s="150">
        <v>593505</v>
      </c>
      <c r="BC78" s="150">
        <v>2251456</v>
      </c>
    </row>
    <row r="79" spans="52:55">
      <c r="AZ79" s="149">
        <v>44966</v>
      </c>
      <c r="BA79" s="150">
        <v>4.03</v>
      </c>
      <c r="BB79" s="150">
        <v>1769692</v>
      </c>
      <c r="BC79" s="150">
        <v>2240509</v>
      </c>
    </row>
    <row r="80" spans="52:55">
      <c r="AZ80" s="149">
        <v>44965</v>
      </c>
      <c r="BA80" s="150">
        <v>4.09</v>
      </c>
      <c r="BB80" s="150">
        <v>1816970</v>
      </c>
      <c r="BC80" s="150">
        <v>2242217</v>
      </c>
    </row>
    <row r="81" spans="52:55">
      <c r="AZ81" s="149">
        <v>44964</v>
      </c>
      <c r="BA81" s="150">
        <v>4.0999999999999996</v>
      </c>
      <c r="BB81" s="150">
        <v>2547600</v>
      </c>
      <c r="BC81" s="150">
        <v>2405891</v>
      </c>
    </row>
    <row r="82" spans="52:55">
      <c r="AZ82" s="149">
        <v>44960</v>
      </c>
      <c r="BA82" s="150">
        <v>4.0199999999999996</v>
      </c>
      <c r="BB82" s="150">
        <v>1606434</v>
      </c>
      <c r="BC82" s="150">
        <v>2403245</v>
      </c>
    </row>
    <row r="83" spans="52:55">
      <c r="AZ83" s="149">
        <v>44959</v>
      </c>
      <c r="BA83" s="150">
        <v>4.04</v>
      </c>
      <c r="BB83" s="150">
        <v>2838762</v>
      </c>
      <c r="BC83" s="150">
        <v>2391077</v>
      </c>
    </row>
    <row r="84" spans="52:55">
      <c r="AZ84" s="149">
        <v>44957</v>
      </c>
      <c r="BA84" s="150">
        <v>3.96</v>
      </c>
      <c r="BB84" s="150">
        <v>4128540</v>
      </c>
      <c r="BC84" s="150">
        <v>2299615</v>
      </c>
    </row>
    <row r="85" spans="52:55">
      <c r="AZ85" s="149">
        <v>44956</v>
      </c>
      <c r="BA85" s="150">
        <v>4.0599999999999996</v>
      </c>
      <c r="BB85" s="150">
        <v>2690261</v>
      </c>
      <c r="BC85" s="150">
        <v>2106929</v>
      </c>
    </row>
    <row r="86" spans="52:55">
      <c r="AZ86" s="149">
        <v>44953</v>
      </c>
      <c r="BA86" s="150">
        <v>3.99</v>
      </c>
      <c r="BB86" s="150">
        <v>2762839</v>
      </c>
      <c r="BC86" s="150">
        <v>2019050</v>
      </c>
    </row>
    <row r="87" spans="52:55">
      <c r="AZ87" s="149">
        <v>44952</v>
      </c>
      <c r="BA87" s="150">
        <v>4.08</v>
      </c>
      <c r="BB87" s="150">
        <v>931749</v>
      </c>
      <c r="BC87" s="150">
        <v>1993074</v>
      </c>
    </row>
    <row r="88" spans="52:55">
      <c r="AZ88" s="149">
        <v>44951</v>
      </c>
      <c r="BA88" s="150">
        <v>3.96</v>
      </c>
      <c r="BB88" s="150">
        <v>1652832</v>
      </c>
      <c r="BC88" s="150">
        <v>2031246</v>
      </c>
    </row>
    <row r="89" spans="52:55">
      <c r="AZ89" s="149">
        <v>44946</v>
      </c>
      <c r="BA89" s="150">
        <v>4.0999999999999996</v>
      </c>
      <c r="BB89" s="150">
        <v>4204593</v>
      </c>
      <c r="BC89" s="150">
        <v>2162404</v>
      </c>
    </row>
    <row r="90" spans="52:55">
      <c r="AZ90" s="149">
        <v>44945</v>
      </c>
      <c r="BA90" s="150">
        <v>3.98</v>
      </c>
      <c r="BB90" s="150">
        <v>2422914</v>
      </c>
      <c r="BC90" s="150">
        <v>2070678</v>
      </c>
    </row>
    <row r="91" spans="52:55">
      <c r="AZ91" s="149">
        <v>44944</v>
      </c>
      <c r="BA91" s="150">
        <v>3.91</v>
      </c>
      <c r="BB91" s="150">
        <v>1466019</v>
      </c>
      <c r="BC91" s="150">
        <v>2010297</v>
      </c>
    </row>
    <row r="92" spans="52:55">
      <c r="AZ92" s="149">
        <v>44943</v>
      </c>
      <c r="BA92" s="150">
        <v>3.85</v>
      </c>
      <c r="BB92" s="150">
        <v>2339127</v>
      </c>
      <c r="BC92" s="150">
        <v>1970802</v>
      </c>
    </row>
    <row r="93" spans="52:55">
      <c r="AZ93" s="149">
        <v>44942</v>
      </c>
      <c r="BA93" s="150">
        <v>3.83</v>
      </c>
      <c r="BB93" s="150">
        <v>429300</v>
      </c>
      <c r="BC93" s="150">
        <v>1913767</v>
      </c>
    </row>
    <row r="94" spans="52:55">
      <c r="AZ94" s="149">
        <v>44939</v>
      </c>
      <c r="BA94" s="150">
        <v>3.85</v>
      </c>
      <c r="BB94" s="150">
        <v>1795319</v>
      </c>
      <c r="BC94" s="150">
        <v>1908178</v>
      </c>
    </row>
    <row r="95" spans="52:55">
      <c r="AZ95" s="149">
        <v>44938</v>
      </c>
      <c r="BA95" s="150">
        <v>3.84</v>
      </c>
      <c r="BB95" s="150">
        <v>4272074</v>
      </c>
      <c r="BC95" s="150">
        <v>1840710</v>
      </c>
    </row>
    <row r="96" spans="52:55">
      <c r="AZ96" s="149">
        <v>44937</v>
      </c>
      <c r="BA96" s="150">
        <v>3.75</v>
      </c>
      <c r="BB96" s="150">
        <v>2507905</v>
      </c>
      <c r="BC96" s="150">
        <v>1613139</v>
      </c>
    </row>
    <row r="97" spans="52:55">
      <c r="AZ97" s="149">
        <v>44936</v>
      </c>
      <c r="BA97" s="150">
        <v>3.74</v>
      </c>
      <c r="BB97" s="150">
        <v>1423926</v>
      </c>
      <c r="BC97" s="150">
        <v>1511939</v>
      </c>
    </row>
    <row r="98" spans="52:55">
      <c r="AZ98" s="149">
        <v>44935</v>
      </c>
      <c r="BA98" s="150">
        <v>3.77</v>
      </c>
      <c r="BB98" s="150">
        <v>1466823</v>
      </c>
      <c r="BC98" s="150">
        <v>1658320</v>
      </c>
    </row>
    <row r="99" spans="52:55">
      <c r="AZ99" s="149">
        <v>44932</v>
      </c>
      <c r="BA99" s="150">
        <v>3.79</v>
      </c>
      <c r="BB99" s="150">
        <v>1238250</v>
      </c>
      <c r="BC99" s="150">
        <v>1882256</v>
      </c>
    </row>
    <row r="100" spans="52:55">
      <c r="AZ100" s="149">
        <v>44931</v>
      </c>
      <c r="BA100" s="150">
        <v>3.75</v>
      </c>
      <c r="BB100" s="150">
        <v>1372081</v>
      </c>
      <c r="BC100" s="150">
        <v>1947675</v>
      </c>
    </row>
    <row r="101" spans="52:55">
      <c r="AZ101" s="149">
        <v>44930</v>
      </c>
      <c r="BA101" s="150">
        <v>3.75</v>
      </c>
      <c r="BB101" s="150">
        <v>2373200</v>
      </c>
      <c r="BC101" s="150">
        <v>1940409</v>
      </c>
    </row>
    <row r="102" spans="52:55">
      <c r="AZ102" s="149">
        <v>44929</v>
      </c>
      <c r="BA102" s="150">
        <v>3.75</v>
      </c>
      <c r="BB102" s="150">
        <v>1504330</v>
      </c>
      <c r="BC102" s="150">
        <v>1877108</v>
      </c>
    </row>
    <row r="103" spans="52:55">
      <c r="AZ103" s="149">
        <v>44925</v>
      </c>
      <c r="BA103" s="150">
        <v>3.84</v>
      </c>
      <c r="BB103" s="150">
        <v>3620200</v>
      </c>
      <c r="BC103" s="150">
        <v>1861426</v>
      </c>
    </row>
    <row r="104" spans="52:55">
      <c r="AZ104" s="149">
        <v>44924</v>
      </c>
      <c r="BA104" s="150">
        <v>3.89</v>
      </c>
      <c r="BB104" s="150">
        <v>2828700</v>
      </c>
      <c r="BC104" s="150">
        <v>1729039</v>
      </c>
    </row>
    <row r="105" spans="52:55">
      <c r="AZ105" s="149">
        <v>44923</v>
      </c>
      <c r="BA105" s="150">
        <v>3.85</v>
      </c>
      <c r="BB105" s="150">
        <v>1517200</v>
      </c>
      <c r="BC105" s="150">
        <v>1761949</v>
      </c>
    </row>
    <row r="106" spans="52:55">
      <c r="AZ106" s="149">
        <v>44922</v>
      </c>
      <c r="BA106" s="150">
        <v>3.86</v>
      </c>
      <c r="BB106" s="150">
        <v>873600</v>
      </c>
      <c r="BC106" s="150">
        <v>1898931</v>
      </c>
    </row>
    <row r="107" spans="52:55">
      <c r="AZ107" s="149">
        <v>44918</v>
      </c>
      <c r="BA107" s="150">
        <v>3.81</v>
      </c>
      <c r="BB107" s="150">
        <v>1483600</v>
      </c>
      <c r="BC107" s="150">
        <v>1941774</v>
      </c>
    </row>
    <row r="108" spans="52:55">
      <c r="AZ108" s="149">
        <v>44917</v>
      </c>
      <c r="BA108" s="150">
        <v>3.8</v>
      </c>
      <c r="BB108" s="150">
        <v>345454</v>
      </c>
      <c r="BC108" s="150">
        <v>2000147</v>
      </c>
    </row>
    <row r="109" spans="52:55">
      <c r="AZ109" s="149">
        <v>44916</v>
      </c>
      <c r="BA109" s="150">
        <v>3.78</v>
      </c>
      <c r="BB109" s="150">
        <v>783300</v>
      </c>
      <c r="BC109" s="150">
        <v>2135022</v>
      </c>
    </row>
    <row r="110" spans="52:55">
      <c r="AZ110" s="149">
        <v>44915</v>
      </c>
      <c r="BA110" s="150">
        <v>3.8</v>
      </c>
      <c r="BB110" s="150">
        <v>858515</v>
      </c>
      <c r="BC110" s="150">
        <v>4556664</v>
      </c>
    </row>
    <row r="111" spans="52:55">
      <c r="AZ111" s="149">
        <v>44914</v>
      </c>
      <c r="BA111" s="150">
        <v>3.78</v>
      </c>
      <c r="BB111" s="150">
        <v>989900</v>
      </c>
      <c r="BC111" s="150">
        <v>4982005</v>
      </c>
    </row>
    <row r="112" spans="52:55">
      <c r="AZ112" s="149">
        <v>44911</v>
      </c>
      <c r="BA112" s="150">
        <v>3.73</v>
      </c>
      <c r="BB112" s="150">
        <v>3619650</v>
      </c>
      <c r="BC112" s="150">
        <v>5349045</v>
      </c>
    </row>
    <row r="113" spans="52:55">
      <c r="AZ113" s="149">
        <v>44910</v>
      </c>
      <c r="BA113" s="150">
        <v>3.75</v>
      </c>
      <c r="BB113" s="150">
        <v>4825855</v>
      </c>
      <c r="BC113" s="150">
        <v>5818742</v>
      </c>
    </row>
    <row r="114" spans="52:55">
      <c r="AZ114" s="149">
        <v>44909</v>
      </c>
      <c r="BA114" s="150">
        <v>3.88</v>
      </c>
      <c r="BB114" s="150">
        <v>2219532</v>
      </c>
      <c r="BC114" s="150">
        <v>5670781</v>
      </c>
    </row>
    <row r="115" spans="52:55">
      <c r="AZ115" s="149">
        <v>44908</v>
      </c>
      <c r="BA115" s="150">
        <v>3.86</v>
      </c>
      <c r="BB115" s="150">
        <v>1263100</v>
      </c>
      <c r="BC115" s="150">
        <v>5631853</v>
      </c>
    </row>
    <row r="116" spans="52:55">
      <c r="AZ116" s="149">
        <v>44907</v>
      </c>
      <c r="BA116" s="150">
        <v>3.88</v>
      </c>
      <c r="BB116" s="150">
        <v>1423676</v>
      </c>
      <c r="BC116" s="150">
        <v>5736180</v>
      </c>
    </row>
    <row r="117" spans="52:55">
      <c r="AZ117" s="149">
        <v>44904</v>
      </c>
      <c r="BA117" s="150">
        <v>3.88</v>
      </c>
      <c r="BB117" s="150">
        <v>1269100</v>
      </c>
      <c r="BC117" s="150">
        <v>5722322</v>
      </c>
    </row>
    <row r="118" spans="52:55">
      <c r="AZ118" s="149">
        <v>44903</v>
      </c>
      <c r="BA118" s="150">
        <v>3.85</v>
      </c>
      <c r="BB118" s="150">
        <v>1634400</v>
      </c>
      <c r="BC118" s="150">
        <v>5762235</v>
      </c>
    </row>
    <row r="119" spans="52:55">
      <c r="AZ119" s="149">
        <v>44902</v>
      </c>
      <c r="BA119" s="150">
        <v>3.88</v>
      </c>
      <c r="BB119" s="150">
        <v>3322352</v>
      </c>
      <c r="BC119" s="150">
        <v>5787115</v>
      </c>
    </row>
    <row r="120" spans="52:55">
      <c r="AZ120" s="149">
        <v>44901</v>
      </c>
      <c r="BA120" s="150">
        <v>3.88</v>
      </c>
      <c r="BB120" s="150">
        <v>3571924</v>
      </c>
      <c r="BC120" s="150">
        <v>5674526</v>
      </c>
    </row>
    <row r="121" spans="52:55">
      <c r="AZ121" s="149">
        <v>44900</v>
      </c>
      <c r="BA121" s="150">
        <v>3.89</v>
      </c>
      <c r="BB121" s="150">
        <v>1516253</v>
      </c>
      <c r="BC121" s="150">
        <v>5628738</v>
      </c>
    </row>
    <row r="122" spans="52:55">
      <c r="AZ122" s="149">
        <v>44897</v>
      </c>
      <c r="BA122" s="150">
        <v>3.9</v>
      </c>
      <c r="BB122" s="150">
        <v>2359200</v>
      </c>
      <c r="BC122" s="150">
        <v>5598219</v>
      </c>
    </row>
    <row r="123" spans="52:55">
      <c r="AZ123" s="149">
        <v>44896</v>
      </c>
      <c r="BA123" s="150">
        <v>3.95</v>
      </c>
      <c r="BB123" s="150">
        <v>2368564</v>
      </c>
      <c r="BC123" s="150">
        <v>5552284</v>
      </c>
    </row>
    <row r="124" spans="52:55">
      <c r="AZ124" s="149">
        <v>44895</v>
      </c>
      <c r="BA124" s="150">
        <v>3.84</v>
      </c>
      <c r="BB124" s="150">
        <v>37107936</v>
      </c>
      <c r="BC124" s="150">
        <v>5508608</v>
      </c>
    </row>
    <row r="125" spans="52:55">
      <c r="AZ125" s="149">
        <v>44894</v>
      </c>
      <c r="BA125" s="150">
        <v>3.91</v>
      </c>
      <c r="BB125" s="150">
        <v>7238631</v>
      </c>
      <c r="BC125" s="150">
        <v>3159413</v>
      </c>
    </row>
    <row r="126" spans="52:55">
      <c r="AZ126" s="149">
        <v>44890</v>
      </c>
      <c r="BA126" s="150">
        <v>3.97</v>
      </c>
      <c r="BB126" s="150">
        <v>6495500</v>
      </c>
      <c r="BC126" s="150">
        <v>2778771</v>
      </c>
    </row>
    <row r="127" spans="52:55">
      <c r="AZ127" s="149">
        <v>44889</v>
      </c>
      <c r="BA127" s="150">
        <v>4.1100000000000003</v>
      </c>
      <c r="BB127" s="150">
        <v>10665106</v>
      </c>
      <c r="BC127" s="150">
        <v>2475833</v>
      </c>
    </row>
    <row r="128" spans="52:55">
      <c r="AZ128" s="149">
        <v>44888</v>
      </c>
      <c r="BA128" s="150">
        <v>3.66</v>
      </c>
      <c r="BB128" s="150">
        <v>2606434</v>
      </c>
      <c r="BC128" s="150">
        <v>1915599</v>
      </c>
    </row>
    <row r="129" spans="52:55">
      <c r="AZ129" s="149">
        <v>44887</v>
      </c>
      <c r="BA129" s="150">
        <v>3.73</v>
      </c>
      <c r="BB129" s="150">
        <v>1635619</v>
      </c>
      <c r="BC129" s="150">
        <v>1865342</v>
      </c>
    </row>
    <row r="130" spans="52:55">
      <c r="AZ130" s="149">
        <v>44886</v>
      </c>
      <c r="BA130" s="150">
        <v>3.9</v>
      </c>
      <c r="BB130" s="150">
        <v>2828000</v>
      </c>
      <c r="BC130" s="150">
        <v>2002125</v>
      </c>
    </row>
    <row r="131" spans="52:55">
      <c r="AZ131" s="149">
        <v>44882</v>
      </c>
      <c r="BA131" s="150">
        <v>3.83</v>
      </c>
      <c r="BB131" s="150">
        <v>1215800</v>
      </c>
      <c r="BC131" s="150">
        <v>1948745</v>
      </c>
    </row>
    <row r="132" spans="52:55">
      <c r="AZ132" s="149">
        <v>44881</v>
      </c>
      <c r="BA132" s="150">
        <v>3.81</v>
      </c>
      <c r="BB132" s="150">
        <v>1867800</v>
      </c>
      <c r="BC132" s="150">
        <v>1968392</v>
      </c>
    </row>
    <row r="133" spans="52:55">
      <c r="AZ133" s="149">
        <v>44880</v>
      </c>
      <c r="BA133" s="150">
        <v>3.74</v>
      </c>
      <c r="BB133" s="150">
        <v>2007600</v>
      </c>
      <c r="BC133" s="150">
        <v>1965452</v>
      </c>
    </row>
    <row r="134" spans="52:55">
      <c r="AZ134" s="149">
        <v>44879</v>
      </c>
      <c r="BA134" s="150">
        <v>3.78</v>
      </c>
      <c r="BB134" s="150">
        <v>1633523</v>
      </c>
      <c r="BC134" s="150">
        <v>1942065</v>
      </c>
    </row>
    <row r="135" spans="52:55">
      <c r="AZ135" s="149">
        <v>44876</v>
      </c>
      <c r="BA135" s="150">
        <v>3.84</v>
      </c>
      <c r="BB135" s="150">
        <v>2885100</v>
      </c>
      <c r="BC135" s="150">
        <v>1931257</v>
      </c>
    </row>
    <row r="136" spans="52:55">
      <c r="AZ136" s="149">
        <v>44875</v>
      </c>
      <c r="BA136" s="150">
        <v>3.86</v>
      </c>
      <c r="BB136" s="150">
        <v>1058471</v>
      </c>
      <c r="BC136" s="150">
        <v>1860297</v>
      </c>
    </row>
    <row r="137" spans="52:55">
      <c r="AZ137" s="149">
        <v>44874</v>
      </c>
      <c r="BA137" s="150">
        <v>3.86</v>
      </c>
      <c r="BB137" s="150">
        <v>1670176</v>
      </c>
      <c r="BC137" s="150">
        <v>1953036</v>
      </c>
    </row>
    <row r="138" spans="52:55">
      <c r="AZ138" s="149">
        <v>44873</v>
      </c>
      <c r="BA138" s="150">
        <v>3.85</v>
      </c>
      <c r="BB138" s="150">
        <v>1713425</v>
      </c>
      <c r="BC138" s="150">
        <v>2130698</v>
      </c>
    </row>
    <row r="139" spans="52:55">
      <c r="AZ139" s="149">
        <v>44872</v>
      </c>
      <c r="BA139" s="150">
        <v>3.89</v>
      </c>
      <c r="BB139" s="150">
        <v>1870012</v>
      </c>
      <c r="BC139" s="150">
        <v>2113903</v>
      </c>
    </row>
    <row r="140" spans="52:55">
      <c r="AZ140" s="149">
        <v>44869</v>
      </c>
      <c r="BA140" s="150">
        <v>3.79</v>
      </c>
      <c r="BB140" s="150">
        <v>1529000</v>
      </c>
      <c r="BC140" s="150">
        <v>2151181</v>
      </c>
    </row>
    <row r="141" spans="52:55">
      <c r="AZ141" s="149">
        <v>44868</v>
      </c>
      <c r="BA141" s="150">
        <v>3.7</v>
      </c>
      <c r="BB141" s="150">
        <v>1951420</v>
      </c>
      <c r="BC141" s="150">
        <v>2191909</v>
      </c>
    </row>
    <row r="142" spans="52:55">
      <c r="AZ142" s="149">
        <v>44867</v>
      </c>
      <c r="BA142" s="150">
        <v>3.86</v>
      </c>
      <c r="BB142" s="150">
        <v>2261600</v>
      </c>
      <c r="BC142" s="150">
        <v>2139754</v>
      </c>
    </row>
    <row r="143" spans="52:55">
      <c r="AZ143" s="149">
        <v>44866</v>
      </c>
      <c r="BA143" s="150">
        <v>3.78</v>
      </c>
      <c r="BB143" s="150">
        <v>1852577</v>
      </c>
      <c r="BC143" s="150">
        <v>2104391</v>
      </c>
    </row>
    <row r="144" spans="52:55">
      <c r="AZ144" s="149">
        <v>44865</v>
      </c>
      <c r="BA144" s="150">
        <v>3.85</v>
      </c>
      <c r="BB144" s="150">
        <v>3687376</v>
      </c>
      <c r="BC144" s="150">
        <v>2100961</v>
      </c>
    </row>
    <row r="145" spans="52:55">
      <c r="AZ145" s="149">
        <v>44862</v>
      </c>
      <c r="BA145" s="150">
        <v>3.8</v>
      </c>
      <c r="BB145" s="150">
        <v>2027292</v>
      </c>
      <c r="BC145" s="150">
        <v>1923207</v>
      </c>
    </row>
    <row r="146" spans="52:55">
      <c r="AZ146" s="149">
        <v>44861</v>
      </c>
      <c r="BA146" s="150">
        <v>3.8</v>
      </c>
      <c r="BB146" s="150">
        <v>1510500</v>
      </c>
      <c r="BC146" s="150">
        <v>1853052</v>
      </c>
    </row>
    <row r="147" spans="52:55">
      <c r="AZ147" s="149">
        <v>44860</v>
      </c>
      <c r="BA147" s="150">
        <v>3.69</v>
      </c>
      <c r="BB147" s="150">
        <v>1823700</v>
      </c>
      <c r="BC147" s="150">
        <v>1841293</v>
      </c>
    </row>
    <row r="148" spans="52:55">
      <c r="AZ148" s="149">
        <v>44859</v>
      </c>
      <c r="BA148" s="150">
        <v>3.57</v>
      </c>
      <c r="BB148" s="150">
        <v>1656808</v>
      </c>
      <c r="BC148" s="150">
        <v>1808346</v>
      </c>
    </row>
    <row r="149" spans="52:55">
      <c r="AZ149" s="149">
        <v>44855</v>
      </c>
      <c r="BA149" s="150">
        <v>3.55</v>
      </c>
      <c r="BB149" s="150">
        <v>1471400</v>
      </c>
      <c r="BC149" s="150">
        <v>1821759</v>
      </c>
    </row>
    <row r="150" spans="52:55">
      <c r="AZ150" s="149">
        <v>44854</v>
      </c>
      <c r="BA150" s="150">
        <v>3.5</v>
      </c>
      <c r="BB150" s="150">
        <v>1820700</v>
      </c>
      <c r="BC150" s="150">
        <v>1762819</v>
      </c>
    </row>
    <row r="151" spans="52:55">
      <c r="AZ151" s="149">
        <v>44853</v>
      </c>
      <c r="BA151" s="150">
        <v>3.38</v>
      </c>
      <c r="BB151" s="150">
        <v>2449556</v>
      </c>
      <c r="BC151" s="150">
        <v>1870439</v>
      </c>
    </row>
    <row r="152" spans="52:55">
      <c r="AZ152" s="149">
        <v>44852</v>
      </c>
      <c r="BA152" s="150">
        <v>3.46</v>
      </c>
      <c r="BB152" s="150">
        <v>4335100</v>
      </c>
      <c r="BC152" s="150">
        <v>1784754</v>
      </c>
    </row>
    <row r="153" spans="52:55">
      <c r="AZ153" s="149">
        <v>44851</v>
      </c>
      <c r="BA153" s="150">
        <v>3.39</v>
      </c>
      <c r="BB153" s="150">
        <v>1461500</v>
      </c>
      <c r="BC153" s="150">
        <v>1602613</v>
      </c>
    </row>
    <row r="154" spans="52:55">
      <c r="AZ154" s="149">
        <v>44848</v>
      </c>
      <c r="BA154" s="150">
        <v>3.36</v>
      </c>
      <c r="BB154" s="150">
        <v>2429178</v>
      </c>
      <c r="BC154" s="150">
        <v>1584380</v>
      </c>
    </row>
    <row r="155" spans="52:55">
      <c r="AZ155" s="149">
        <v>44847</v>
      </c>
      <c r="BA155" s="150">
        <v>3.29</v>
      </c>
      <c r="BB155" s="150">
        <v>2139928</v>
      </c>
      <c r="BC155" s="150">
        <v>1475495</v>
      </c>
    </row>
    <row r="156" spans="52:55">
      <c r="AZ156" s="149">
        <v>44846</v>
      </c>
      <c r="BA156" s="150">
        <v>3.41</v>
      </c>
      <c r="BB156" s="150">
        <v>1169100</v>
      </c>
      <c r="BC156" s="150">
        <v>1457795</v>
      </c>
    </row>
    <row r="157" spans="52:55">
      <c r="AZ157" s="149">
        <v>44845</v>
      </c>
      <c r="BA157" s="150">
        <v>3.43</v>
      </c>
      <c r="BB157" s="150">
        <v>1731151</v>
      </c>
      <c r="BC157" s="150">
        <v>1505529</v>
      </c>
    </row>
    <row r="158" spans="52:55">
      <c r="AZ158" s="149">
        <v>44841</v>
      </c>
      <c r="BA158" s="150">
        <v>3.53</v>
      </c>
      <c r="BB158" s="150">
        <v>1801120</v>
      </c>
      <c r="BC158" s="150">
        <v>1563331</v>
      </c>
    </row>
    <row r="159" spans="52:55">
      <c r="AZ159" s="149">
        <v>44840</v>
      </c>
      <c r="BA159" s="150">
        <v>3.62</v>
      </c>
      <c r="BB159" s="150">
        <v>1021065</v>
      </c>
      <c r="BC159" s="150">
        <v>1684538</v>
      </c>
    </row>
    <row r="160" spans="52:55">
      <c r="AZ160" s="149">
        <v>44839</v>
      </c>
      <c r="BA160" s="150">
        <v>3.66</v>
      </c>
      <c r="BB160" s="150">
        <v>974972</v>
      </c>
      <c r="BC160" s="150">
        <v>1690958</v>
      </c>
    </row>
    <row r="161" spans="52:55">
      <c r="AZ161" s="149">
        <v>44838</v>
      </c>
      <c r="BA161" s="150">
        <v>3.69</v>
      </c>
      <c r="BB161" s="150">
        <v>1334117</v>
      </c>
      <c r="BC161" s="150">
        <v>1676953</v>
      </c>
    </row>
    <row r="162" spans="52:55">
      <c r="AZ162" s="149">
        <v>44837</v>
      </c>
      <c r="BA162" s="150">
        <v>3.51</v>
      </c>
      <c r="BB162" s="150">
        <v>1329500</v>
      </c>
      <c r="BC162" s="150">
        <v>1613992</v>
      </c>
    </row>
    <row r="163" spans="52:55">
      <c r="AZ163" s="149">
        <v>44834</v>
      </c>
      <c r="BA163" s="150">
        <v>3.51</v>
      </c>
      <c r="BB163" s="150">
        <v>1858000</v>
      </c>
      <c r="BC163" s="150">
        <v>1550972</v>
      </c>
    </row>
    <row r="164" spans="52:55">
      <c r="AZ164" s="149">
        <v>44833</v>
      </c>
      <c r="BA164" s="150">
        <v>3.55</v>
      </c>
      <c r="BB164" s="150">
        <v>587300</v>
      </c>
      <c r="BC164" s="150">
        <v>1509239</v>
      </c>
    </row>
    <row r="165" spans="52:55">
      <c r="AZ165" s="149">
        <v>44832</v>
      </c>
      <c r="BA165" s="150">
        <v>3.55</v>
      </c>
      <c r="BB165" s="150">
        <v>3435000</v>
      </c>
      <c r="BC165" s="150">
        <v>1519835</v>
      </c>
    </row>
    <row r="166" spans="52:55">
      <c r="AZ166" s="149">
        <v>44831</v>
      </c>
      <c r="BA166" s="150">
        <v>3.53</v>
      </c>
      <c r="BB166" s="150">
        <v>1164274</v>
      </c>
      <c r="BC166" s="150">
        <v>1511453</v>
      </c>
    </row>
    <row r="167" spans="52:55">
      <c r="AZ167" s="149">
        <v>44830</v>
      </c>
      <c r="BA167" s="150">
        <v>3.51</v>
      </c>
      <c r="BB167" s="150">
        <v>1602991</v>
      </c>
      <c r="BC167" s="150">
        <v>1459528</v>
      </c>
    </row>
    <row r="168" spans="52:55">
      <c r="AZ168" s="149">
        <v>44827</v>
      </c>
      <c r="BA168" s="150">
        <v>3.6</v>
      </c>
      <c r="BB168" s="150">
        <v>1188000</v>
      </c>
      <c r="BC168" s="150">
        <v>1409076</v>
      </c>
    </row>
    <row r="169" spans="52:55">
      <c r="AZ169" s="149">
        <v>44826</v>
      </c>
      <c r="BA169" s="150">
        <v>3.68</v>
      </c>
      <c r="BB169" s="150">
        <v>795900</v>
      </c>
      <c r="BC169" s="150">
        <v>1483963</v>
      </c>
    </row>
    <row r="170" spans="52:55">
      <c r="AZ170" s="149">
        <v>44825</v>
      </c>
      <c r="BA170" s="150">
        <v>3.68</v>
      </c>
      <c r="BB170" s="150">
        <v>1874439</v>
      </c>
      <c r="BC170" s="150">
        <v>1756220</v>
      </c>
    </row>
    <row r="171" spans="52:55">
      <c r="AZ171" s="149">
        <v>44824</v>
      </c>
      <c r="BA171" s="150">
        <v>3.71</v>
      </c>
      <c r="BB171" s="150">
        <v>1885100</v>
      </c>
      <c r="BC171" s="150">
        <v>1726505</v>
      </c>
    </row>
    <row r="172" spans="52:55">
      <c r="AZ172" s="149">
        <v>44823</v>
      </c>
      <c r="BA172" s="150">
        <v>3.64</v>
      </c>
      <c r="BB172" s="150">
        <v>2598190</v>
      </c>
      <c r="BC172" s="150">
        <v>1710985</v>
      </c>
    </row>
    <row r="173" spans="52:55">
      <c r="AZ173" s="149">
        <v>44819</v>
      </c>
      <c r="BA173" s="150">
        <v>3.78</v>
      </c>
      <c r="BB173" s="150">
        <v>3619223</v>
      </c>
      <c r="BC173" s="150">
        <v>1647050</v>
      </c>
    </row>
    <row r="174" spans="52:55">
      <c r="AZ174" s="149">
        <v>44818</v>
      </c>
      <c r="BA174" s="150">
        <v>3.75</v>
      </c>
      <c r="BB174" s="150">
        <v>1117360</v>
      </c>
      <c r="BC174" s="150">
        <v>1466101</v>
      </c>
    </row>
    <row r="175" spans="52:55">
      <c r="AZ175" s="149">
        <v>44817</v>
      </c>
      <c r="BA175" s="150">
        <v>3.87</v>
      </c>
      <c r="BB175" s="150">
        <v>764900</v>
      </c>
      <c r="BC175" s="150">
        <v>1479284</v>
      </c>
    </row>
    <row r="176" spans="52:55">
      <c r="AZ176" s="149">
        <v>44816</v>
      </c>
      <c r="BA176" s="150">
        <v>3.84</v>
      </c>
      <c r="BB176" s="150">
        <v>389700</v>
      </c>
      <c r="BC176" s="150">
        <v>1488675</v>
      </c>
    </row>
    <row r="177" spans="52:55">
      <c r="AZ177" s="149">
        <v>44813</v>
      </c>
      <c r="BA177" s="150">
        <v>3.84</v>
      </c>
      <c r="BB177" s="150">
        <v>384200</v>
      </c>
      <c r="BC177" s="150">
        <v>1598575</v>
      </c>
    </row>
    <row r="178" spans="52:55">
      <c r="AZ178" s="149">
        <v>44812</v>
      </c>
      <c r="BA178" s="150">
        <v>3.82</v>
      </c>
      <c r="BB178" s="150">
        <v>1232000</v>
      </c>
      <c r="BC178" s="150">
        <v>1760855</v>
      </c>
    </row>
    <row r="179" spans="52:55">
      <c r="AZ179" s="149">
        <v>44811</v>
      </c>
      <c r="BA179" s="150">
        <v>3.76</v>
      </c>
      <c r="BB179" s="150">
        <v>746249</v>
      </c>
      <c r="BC179" s="150">
        <v>1830095</v>
      </c>
    </row>
    <row r="180" spans="52:55">
      <c r="AZ180" s="149">
        <v>44810</v>
      </c>
      <c r="BA180" s="150">
        <v>3.75</v>
      </c>
      <c r="BB180" s="150">
        <v>3309268</v>
      </c>
      <c r="BC180" s="150">
        <v>2016858</v>
      </c>
    </row>
    <row r="181" spans="52:55">
      <c r="AZ181" s="149">
        <v>44809</v>
      </c>
      <c r="BA181" s="150">
        <v>3.69</v>
      </c>
      <c r="BB181" s="150">
        <v>385400</v>
      </c>
      <c r="BC181" s="150">
        <v>1904761</v>
      </c>
    </row>
    <row r="182" spans="52:55">
      <c r="AZ182" s="149">
        <v>44806</v>
      </c>
      <c r="BA182" s="150">
        <v>3.73</v>
      </c>
      <c r="BB182" s="150">
        <v>846208</v>
      </c>
      <c r="BC182" s="150">
        <v>1954634</v>
      </c>
    </row>
    <row r="183" spans="52:55">
      <c r="AZ183" s="149">
        <v>44805</v>
      </c>
      <c r="BA183" s="150">
        <v>3.71</v>
      </c>
      <c r="BB183" s="150">
        <v>2311300</v>
      </c>
      <c r="BC183" s="150">
        <v>2109267</v>
      </c>
    </row>
    <row r="184" spans="52:55">
      <c r="AZ184" s="149">
        <v>44803</v>
      </c>
      <c r="BA184" s="150">
        <v>3.85</v>
      </c>
      <c r="BB184" s="150">
        <v>4879759</v>
      </c>
      <c r="BC184" s="150">
        <v>2085801</v>
      </c>
    </row>
    <row r="185" spans="52:55">
      <c r="AZ185" s="149">
        <v>44802</v>
      </c>
      <c r="BA185" s="150">
        <v>3.85</v>
      </c>
      <c r="BB185" s="150">
        <v>1428724</v>
      </c>
      <c r="BC185" s="150">
        <v>1817330</v>
      </c>
    </row>
    <row r="186" spans="52:55">
      <c r="AZ186" s="149">
        <v>44799</v>
      </c>
      <c r="BA186" s="150">
        <v>3.91</v>
      </c>
      <c r="BB186" s="150">
        <v>1652300</v>
      </c>
      <c r="BC186" s="150">
        <v>1786625</v>
      </c>
    </row>
    <row r="187" spans="52:55">
      <c r="AZ187" s="149">
        <v>44798</v>
      </c>
      <c r="BA187" s="150">
        <v>3.91</v>
      </c>
      <c r="BB187" s="150">
        <v>1639153</v>
      </c>
      <c r="BC187" s="150">
        <v>1865636</v>
      </c>
    </row>
    <row r="188" spans="52:55">
      <c r="AZ188" s="149">
        <v>44797</v>
      </c>
      <c r="BA188" s="150">
        <v>3.74</v>
      </c>
      <c r="BB188" s="150">
        <v>905000</v>
      </c>
      <c r="BC188" s="150">
        <v>1995759</v>
      </c>
    </row>
    <row r="189" spans="52:55">
      <c r="AZ189" s="149">
        <v>44796</v>
      </c>
      <c r="BA189" s="150">
        <v>3.82</v>
      </c>
      <c r="BB189" s="150">
        <v>1315105</v>
      </c>
      <c r="BC189" s="150">
        <v>2056686</v>
      </c>
    </row>
    <row r="190" spans="52:55">
      <c r="AZ190" s="149">
        <v>44795</v>
      </c>
      <c r="BA190" s="150">
        <v>3.8</v>
      </c>
      <c r="BB190" s="150">
        <v>905751</v>
      </c>
      <c r="BC190" s="150">
        <v>2065612</v>
      </c>
    </row>
    <row r="191" spans="52:55">
      <c r="AZ191" s="149">
        <v>44792</v>
      </c>
      <c r="BA191" s="150">
        <v>3.84</v>
      </c>
      <c r="BB191" s="150">
        <v>2038200</v>
      </c>
      <c r="BC191" s="150">
        <v>2111253</v>
      </c>
    </row>
    <row r="192" spans="52:55">
      <c r="AZ192" s="149">
        <v>44791</v>
      </c>
      <c r="BA192" s="150">
        <v>3.94</v>
      </c>
      <c r="BB192" s="150">
        <v>2818400</v>
      </c>
      <c r="BC192" s="150">
        <v>2219075</v>
      </c>
    </row>
    <row r="193" spans="52:55">
      <c r="AZ193" s="149">
        <v>44790</v>
      </c>
      <c r="BA193" s="150">
        <v>3.95</v>
      </c>
      <c r="BB193" s="150">
        <v>2270600</v>
      </c>
      <c r="BC193" s="150">
        <v>2269103</v>
      </c>
    </row>
    <row r="194" spans="52:55">
      <c r="AZ194" s="149">
        <v>44789</v>
      </c>
      <c r="BA194" s="150">
        <v>3.98</v>
      </c>
      <c r="BB194" s="150">
        <v>3547700</v>
      </c>
      <c r="BC194" s="150">
        <v>2189622</v>
      </c>
    </row>
    <row r="195" spans="52:55">
      <c r="AZ195" s="149">
        <v>44788</v>
      </c>
      <c r="BA195" s="150">
        <v>3.83</v>
      </c>
      <c r="BB195" s="150">
        <v>1627809</v>
      </c>
      <c r="BC195" s="150">
        <v>2063929</v>
      </c>
    </row>
    <row r="196" spans="52:55">
      <c r="AZ196" s="149">
        <v>44785</v>
      </c>
      <c r="BA196" s="150">
        <v>3.79</v>
      </c>
      <c r="BB196" s="150">
        <v>1133501</v>
      </c>
      <c r="BC196" s="150">
        <v>2047172</v>
      </c>
    </row>
    <row r="197" spans="52:55">
      <c r="AZ197" s="149">
        <v>44784</v>
      </c>
      <c r="BA197" s="150">
        <v>3.79</v>
      </c>
      <c r="BB197" s="150">
        <v>3165700</v>
      </c>
      <c r="BC197" s="150">
        <v>2280518</v>
      </c>
    </row>
    <row r="198" spans="52:55">
      <c r="AZ198" s="149">
        <v>44783</v>
      </c>
      <c r="BA198" s="150">
        <v>3.8</v>
      </c>
      <c r="BB198" s="150">
        <v>1959311</v>
      </c>
      <c r="BC198" s="150">
        <v>2165085</v>
      </c>
    </row>
    <row r="199" spans="52:55">
      <c r="AZ199" s="149">
        <v>44782</v>
      </c>
      <c r="BA199" s="150">
        <v>3.74</v>
      </c>
      <c r="BB199" s="150">
        <v>852700</v>
      </c>
      <c r="BC199" s="150">
        <v>2085088</v>
      </c>
    </row>
    <row r="200" spans="52:55">
      <c r="AZ200" s="149">
        <v>44781</v>
      </c>
      <c r="BA200" s="150">
        <v>3.7</v>
      </c>
      <c r="BB200" s="150">
        <v>968140</v>
      </c>
      <c r="BC200" s="150">
        <v>2166286</v>
      </c>
    </row>
    <row r="201" spans="52:55">
      <c r="AZ201" s="149">
        <v>44778</v>
      </c>
      <c r="BA201" s="150">
        <v>3.78</v>
      </c>
      <c r="BB201" s="150">
        <v>2837475</v>
      </c>
      <c r="BC201" s="150">
        <v>2179367</v>
      </c>
    </row>
    <row r="202" spans="52:55">
      <c r="AZ202" s="149">
        <v>44777</v>
      </c>
      <c r="BA202" s="150">
        <v>3.8</v>
      </c>
      <c r="BB202" s="150">
        <v>3590998</v>
      </c>
      <c r="BC202" s="150">
        <v>2022939</v>
      </c>
    </row>
    <row r="203" spans="52:55">
      <c r="AZ203" s="149">
        <v>44776</v>
      </c>
      <c r="BA203" s="150">
        <v>3.63</v>
      </c>
      <c r="BB203" s="150">
        <v>1818900</v>
      </c>
      <c r="BC203" s="150">
        <v>1883572</v>
      </c>
    </row>
    <row r="204" spans="52:55">
      <c r="AZ204" s="149">
        <v>44775</v>
      </c>
      <c r="BA204" s="150">
        <v>3.65</v>
      </c>
      <c r="BB204" s="150">
        <v>1449000</v>
      </c>
      <c r="BC204" s="150">
        <v>1868599</v>
      </c>
    </row>
    <row r="205" spans="52:55">
      <c r="AZ205" s="149">
        <v>44774</v>
      </c>
      <c r="BA205" s="150">
        <v>3.65</v>
      </c>
      <c r="BB205" s="150">
        <v>1590353</v>
      </c>
      <c r="BC205" s="150">
        <v>1885239</v>
      </c>
    </row>
    <row r="206" spans="52:55">
      <c r="AZ206" s="149">
        <v>44771</v>
      </c>
      <c r="BA206" s="150">
        <v>3.67</v>
      </c>
      <c r="BB206" s="150">
        <v>3655529</v>
      </c>
      <c r="BC206" s="150">
        <v>1940469</v>
      </c>
    </row>
    <row r="207" spans="52:55">
      <c r="AZ207" s="149">
        <v>44770</v>
      </c>
      <c r="BA207" s="150">
        <v>3.62</v>
      </c>
      <c r="BB207" s="150">
        <v>3568827</v>
      </c>
      <c r="BC207" s="150">
        <v>1892540</v>
      </c>
    </row>
    <row r="208" spans="52:55">
      <c r="AZ208" s="149">
        <v>44769</v>
      </c>
      <c r="BA208" s="150">
        <v>3.47</v>
      </c>
      <c r="BB208" s="150">
        <v>1078391</v>
      </c>
      <c r="BC208" s="150">
        <v>1787318</v>
      </c>
    </row>
    <row r="209" spans="52:55">
      <c r="AZ209" s="149">
        <v>44768</v>
      </c>
      <c r="BA209" s="150">
        <v>3.39</v>
      </c>
      <c r="BB209" s="150">
        <v>1662300</v>
      </c>
      <c r="BC209" s="150">
        <v>1803773</v>
      </c>
    </row>
    <row r="210" spans="52:55">
      <c r="AZ210" s="149">
        <v>44767</v>
      </c>
      <c r="BA210" s="150">
        <v>3.49</v>
      </c>
      <c r="BB210" s="150">
        <v>1376450</v>
      </c>
      <c r="BC210" s="150">
        <v>1830526</v>
      </c>
    </row>
    <row r="211" spans="52:55">
      <c r="AZ211" s="149">
        <v>44764</v>
      </c>
      <c r="BA211" s="150">
        <v>3.53</v>
      </c>
      <c r="BB211" s="150">
        <v>4633700</v>
      </c>
      <c r="BC211" s="150">
        <v>1855803</v>
      </c>
    </row>
    <row r="212" spans="52:55">
      <c r="AZ212" s="149">
        <v>44763</v>
      </c>
      <c r="BA212" s="150">
        <v>3.42</v>
      </c>
      <c r="BB212" s="150">
        <v>1434200</v>
      </c>
      <c r="BC212" s="150">
        <v>1860080</v>
      </c>
    </row>
    <row r="213" spans="52:55">
      <c r="AZ213" s="149">
        <v>44762</v>
      </c>
      <c r="BA213" s="150">
        <v>3.39</v>
      </c>
      <c r="BB213" s="150">
        <v>759350</v>
      </c>
      <c r="BC213" s="150">
        <v>1912233</v>
      </c>
    </row>
    <row r="214" spans="52:55">
      <c r="AZ214" s="149">
        <v>44761</v>
      </c>
      <c r="BA214" s="150">
        <v>3.34</v>
      </c>
      <c r="BB214" s="150">
        <v>2070676</v>
      </c>
      <c r="BC214" s="150">
        <v>2029283</v>
      </c>
    </row>
    <row r="215" spans="52:55">
      <c r="AZ215" s="149">
        <v>44760</v>
      </c>
      <c r="BA215" s="150">
        <v>3.34</v>
      </c>
      <c r="BB215" s="150">
        <v>1164350</v>
      </c>
      <c r="BC215" s="150">
        <v>1952138</v>
      </c>
    </row>
    <row r="216" spans="52:55">
      <c r="AZ216" s="149">
        <v>44757</v>
      </c>
      <c r="BA216" s="150">
        <v>3.34</v>
      </c>
      <c r="BB216" s="150">
        <v>491057</v>
      </c>
      <c r="BC216" s="150">
        <v>1929700</v>
      </c>
    </row>
    <row r="217" spans="52:55">
      <c r="AZ217" s="149">
        <v>44756</v>
      </c>
      <c r="BA217" s="150">
        <v>3.35</v>
      </c>
      <c r="BB217" s="150">
        <v>1500500</v>
      </c>
      <c r="BC217" s="150">
        <v>1982070</v>
      </c>
    </row>
    <row r="218" spans="52:55">
      <c r="AZ218" s="149">
        <v>44755</v>
      </c>
      <c r="BA218" s="150">
        <v>3.33</v>
      </c>
      <c r="BB218" s="150">
        <v>1594300</v>
      </c>
      <c r="BC218" s="150">
        <v>1960275</v>
      </c>
    </row>
    <row r="219" spans="52:55">
      <c r="AZ219" s="149">
        <v>44754</v>
      </c>
      <c r="BA219" s="150">
        <v>3.37</v>
      </c>
      <c r="BB219" s="150">
        <v>1698600</v>
      </c>
      <c r="BC219" s="150">
        <v>2136732</v>
      </c>
    </row>
    <row r="220" spans="52:55">
      <c r="AZ220" s="149">
        <v>44750</v>
      </c>
      <c r="BA220" s="150">
        <v>3.37</v>
      </c>
      <c r="BB220" s="150">
        <v>2418800</v>
      </c>
      <c r="BC220" s="150">
        <v>2097385</v>
      </c>
    </row>
    <row r="221" spans="52:55">
      <c r="AZ221" s="149">
        <v>44749</v>
      </c>
      <c r="BA221" s="150">
        <v>3.34</v>
      </c>
      <c r="BB221" s="150">
        <v>2936600</v>
      </c>
      <c r="BC221" s="150">
        <v>2241378</v>
      </c>
    </row>
    <row r="222" spans="52:55">
      <c r="AZ222" s="149">
        <v>44748</v>
      </c>
      <c r="BA222" s="150">
        <v>3.26</v>
      </c>
      <c r="BB222" s="150">
        <v>1990493</v>
      </c>
      <c r="BC222" s="150">
        <v>2191477</v>
      </c>
    </row>
    <row r="223" spans="52:55">
      <c r="AZ223" s="149">
        <v>44747</v>
      </c>
      <c r="BA223" s="150">
        <v>3.27</v>
      </c>
      <c r="BB223" s="150">
        <v>1325220</v>
      </c>
      <c r="BC223" s="150">
        <v>2262934</v>
      </c>
    </row>
    <row r="224" spans="52:55">
      <c r="AZ224" s="149">
        <v>44746</v>
      </c>
      <c r="BA224" s="150">
        <v>3.3</v>
      </c>
      <c r="BB224" s="150">
        <v>2063600</v>
      </c>
      <c r="BC224" s="150">
        <v>2346502</v>
      </c>
    </row>
    <row r="225" spans="52:55">
      <c r="AZ225" s="149">
        <v>44743</v>
      </c>
      <c r="BA225" s="150">
        <v>3.31</v>
      </c>
      <c r="BB225" s="150">
        <v>1755600</v>
      </c>
      <c r="BC225" s="150">
        <v>2355140</v>
      </c>
    </row>
    <row r="226" spans="52:55">
      <c r="AZ226" s="149">
        <v>44742</v>
      </c>
      <c r="BA226" s="150">
        <v>3.3</v>
      </c>
      <c r="BB226" s="150">
        <v>4697850</v>
      </c>
      <c r="BC226" s="150">
        <v>2402155</v>
      </c>
    </row>
    <row r="227" spans="52:55">
      <c r="AZ227" s="149">
        <v>44741</v>
      </c>
      <c r="BA227" s="150">
        <v>3.33</v>
      </c>
      <c r="BB227" s="150">
        <v>2216503</v>
      </c>
      <c r="BC227" s="150">
        <v>2270710</v>
      </c>
    </row>
    <row r="228" spans="52:55">
      <c r="AZ228" s="149">
        <v>44740</v>
      </c>
      <c r="BA228" s="150">
        <v>3.29</v>
      </c>
      <c r="BB228" s="150">
        <v>2515100</v>
      </c>
      <c r="BC228" s="150">
        <v>2181766</v>
      </c>
    </row>
    <row r="229" spans="52:55">
      <c r="AZ229" s="149">
        <v>44739</v>
      </c>
      <c r="BA229" s="150">
        <v>3.21</v>
      </c>
      <c r="BB229" s="150">
        <v>913500</v>
      </c>
      <c r="BC229" s="150">
        <v>2133449</v>
      </c>
    </row>
    <row r="230" spans="52:55">
      <c r="AZ230" s="149">
        <v>44736</v>
      </c>
      <c r="BA230" s="150">
        <v>3.22</v>
      </c>
      <c r="BB230" s="150">
        <v>827783</v>
      </c>
      <c r="BC230" s="150">
        <v>2316334</v>
      </c>
    </row>
    <row r="231" spans="52:55">
      <c r="AZ231" s="149">
        <v>44735</v>
      </c>
      <c r="BA231" s="150">
        <v>3.21</v>
      </c>
      <c r="BB231" s="150">
        <v>1276600</v>
      </c>
      <c r="BC231" s="150">
        <v>2314366</v>
      </c>
    </row>
    <row r="232" spans="52:55">
      <c r="AZ232" s="149">
        <v>44734</v>
      </c>
      <c r="BA232" s="150">
        <v>3.2</v>
      </c>
      <c r="BB232" s="150">
        <v>1173572</v>
      </c>
      <c r="BC232" s="150">
        <v>2340886</v>
      </c>
    </row>
    <row r="233" spans="52:55">
      <c r="AZ233" s="149">
        <v>44733</v>
      </c>
      <c r="BA233" s="150">
        <v>3.29</v>
      </c>
      <c r="BB233" s="150">
        <v>4241158</v>
      </c>
      <c r="BC233" s="150">
        <v>3949565</v>
      </c>
    </row>
    <row r="234" spans="52:55">
      <c r="AZ234" s="149">
        <v>44732</v>
      </c>
      <c r="BA234" s="150">
        <v>3.17</v>
      </c>
      <c r="BB234" s="150">
        <v>1108401</v>
      </c>
      <c r="BC234" s="150">
        <v>3846491</v>
      </c>
    </row>
    <row r="235" spans="52:55">
      <c r="AZ235" s="149">
        <v>44729</v>
      </c>
      <c r="BA235" s="150">
        <v>3.22</v>
      </c>
      <c r="BB235" s="150">
        <v>4578688</v>
      </c>
      <c r="BC235" s="150">
        <v>4104963</v>
      </c>
    </row>
    <row r="236" spans="52:55">
      <c r="AZ236" s="149">
        <v>44728</v>
      </c>
      <c r="BA236" s="150">
        <v>3.29</v>
      </c>
      <c r="BB236" s="150">
        <v>2188084</v>
      </c>
      <c r="BC236" s="150">
        <v>4086933</v>
      </c>
    </row>
    <row r="237" spans="52:55">
      <c r="AZ237" s="149">
        <v>44727</v>
      </c>
      <c r="BA237" s="150">
        <v>3.25</v>
      </c>
      <c r="BB237" s="150">
        <v>3062354</v>
      </c>
      <c r="BC237" s="150">
        <v>4233081</v>
      </c>
    </row>
    <row r="238" spans="52:55">
      <c r="AZ238" s="149">
        <v>44726</v>
      </c>
      <c r="BA238" s="150">
        <v>3.28</v>
      </c>
      <c r="BB238" s="150">
        <v>2578740</v>
      </c>
      <c r="BC238" s="150">
        <v>4541991</v>
      </c>
    </row>
    <row r="239" spans="52:55">
      <c r="AZ239" s="149">
        <v>44725</v>
      </c>
      <c r="BA239" s="150">
        <v>3.28</v>
      </c>
      <c r="BB239" s="150">
        <v>2193168</v>
      </c>
      <c r="BC239" s="150">
        <v>4660761</v>
      </c>
    </row>
    <row r="240" spans="52:55">
      <c r="AZ240" s="149">
        <v>44722</v>
      </c>
      <c r="BA240" s="150">
        <v>3.39</v>
      </c>
      <c r="BB240" s="150">
        <v>2460817</v>
      </c>
      <c r="BC240" s="150">
        <v>4965091</v>
      </c>
    </row>
    <row r="241" spans="52:55">
      <c r="AZ241" s="149">
        <v>44721</v>
      </c>
      <c r="BA241" s="150">
        <v>3.42</v>
      </c>
      <c r="BB241" s="150">
        <v>2726176</v>
      </c>
      <c r="BC241" s="150">
        <v>5139410</v>
      </c>
    </row>
    <row r="242" spans="52:55">
      <c r="AZ242" s="149">
        <v>44720</v>
      </c>
      <c r="BA242" s="150">
        <v>3.52</v>
      </c>
      <c r="BB242" s="150">
        <v>882353</v>
      </c>
      <c r="BC242" s="150">
        <v>5351031</v>
      </c>
    </row>
    <row r="243" spans="52:55">
      <c r="AZ243" s="149">
        <v>44719</v>
      </c>
      <c r="BA243" s="150">
        <v>3.57</v>
      </c>
      <c r="BB243" s="150">
        <v>1790337</v>
      </c>
      <c r="BC243" s="150">
        <v>5538163</v>
      </c>
    </row>
    <row r="244" spans="52:55">
      <c r="AZ244" s="149">
        <v>44715</v>
      </c>
      <c r="BA244" s="150">
        <v>3.59</v>
      </c>
      <c r="BB244" s="150">
        <v>3656772</v>
      </c>
      <c r="BC244" s="150">
        <v>5588477</v>
      </c>
    </row>
    <row r="245" spans="52:55">
      <c r="AZ245" s="149">
        <v>44714</v>
      </c>
      <c r="BA245" s="150">
        <v>3.73</v>
      </c>
      <c r="BB245" s="150">
        <v>798274</v>
      </c>
      <c r="BC245" s="150">
        <v>5464279</v>
      </c>
    </row>
    <row r="246" spans="52:55">
      <c r="AZ246" s="149">
        <v>44713</v>
      </c>
      <c r="BA246" s="150">
        <v>3.73</v>
      </c>
      <c r="BB246" s="150">
        <v>1674400</v>
      </c>
      <c r="BC246" s="150">
        <v>5503094</v>
      </c>
    </row>
    <row r="247" spans="52:55">
      <c r="AZ247" s="149">
        <v>44712</v>
      </c>
      <c r="BA247" s="150">
        <v>3.79</v>
      </c>
      <c r="BB247" s="150">
        <v>25303744</v>
      </c>
      <c r="BC247" s="150">
        <v>5643028</v>
      </c>
    </row>
    <row r="248" spans="52:55">
      <c r="AZ248" s="149">
        <v>44711</v>
      </c>
      <c r="BA248" s="150">
        <v>3.6</v>
      </c>
      <c r="BB248" s="150">
        <v>2695051</v>
      </c>
      <c r="BC248" s="150">
        <v>4103621</v>
      </c>
    </row>
    <row r="249" spans="52:55">
      <c r="AZ249" s="149">
        <v>44708</v>
      </c>
      <c r="BA249" s="150">
        <v>3.61</v>
      </c>
      <c r="BB249" s="150">
        <v>4985490</v>
      </c>
      <c r="BC249" s="150">
        <v>4164105</v>
      </c>
    </row>
    <row r="250" spans="52:55">
      <c r="AZ250" s="149">
        <v>44707</v>
      </c>
      <c r="BA250" s="150">
        <v>3.6</v>
      </c>
      <c r="BB250" s="150">
        <v>4308233</v>
      </c>
      <c r="BC250" s="150">
        <v>4053745</v>
      </c>
    </row>
    <row r="251" spans="52:55">
      <c r="AZ251" s="149">
        <v>44706</v>
      </c>
      <c r="BA251" s="150">
        <v>3.59</v>
      </c>
      <c r="BB251" s="150">
        <v>4380300</v>
      </c>
      <c r="BC251" s="150">
        <v>3884130</v>
      </c>
    </row>
    <row r="252" spans="52:55">
      <c r="AZ252" s="149">
        <v>44705</v>
      </c>
      <c r="BA252" s="150">
        <v>3.57</v>
      </c>
      <c r="BB252" s="150">
        <v>7696000</v>
      </c>
      <c r="BC252" s="150">
        <v>3733454</v>
      </c>
    </row>
    <row r="253" spans="52:55">
      <c r="AZ253" s="149">
        <v>44704</v>
      </c>
      <c r="BA253" s="150">
        <v>3.57</v>
      </c>
      <c r="BB253" s="150">
        <v>4360295</v>
      </c>
      <c r="BC253" s="150">
        <v>3251108</v>
      </c>
    </row>
    <row r="254" spans="52:55">
      <c r="AZ254" s="149">
        <v>44701</v>
      </c>
      <c r="BA254" s="150">
        <v>3.61</v>
      </c>
      <c r="BB254" s="150">
        <v>6758119</v>
      </c>
      <c r="BC254" s="150">
        <v>3009508</v>
      </c>
    </row>
    <row r="255" spans="52:55">
      <c r="AZ255" s="149">
        <v>44700</v>
      </c>
      <c r="BA255" s="150">
        <v>3.58</v>
      </c>
      <c r="BB255" s="150">
        <v>5075600</v>
      </c>
      <c r="BC255" s="150">
        <v>2707239</v>
      </c>
    </row>
    <row r="256" spans="52:55">
      <c r="AZ256" s="149">
        <v>44699</v>
      </c>
      <c r="BA256" s="150">
        <v>3.64</v>
      </c>
      <c r="BB256" s="150">
        <v>5900500</v>
      </c>
      <c r="BC256" s="150">
        <v>2415893</v>
      </c>
    </row>
    <row r="257" spans="52:55">
      <c r="AZ257" s="149">
        <v>44698</v>
      </c>
      <c r="BA257" s="150">
        <v>3.66</v>
      </c>
      <c r="BB257" s="150">
        <v>3689325</v>
      </c>
      <c r="BC257" s="150">
        <v>2099153</v>
      </c>
    </row>
    <row r="258" spans="52:55">
      <c r="AZ258" s="149">
        <v>44694</v>
      </c>
      <c r="BA258" s="150">
        <v>3.71</v>
      </c>
      <c r="BB258" s="150">
        <v>2545051</v>
      </c>
      <c r="BC258" s="150">
        <v>1990215</v>
      </c>
    </row>
    <row r="259" spans="52:55">
      <c r="AZ259" s="149">
        <v>44693</v>
      </c>
      <c r="BA259" s="150">
        <v>3.71</v>
      </c>
      <c r="BB259" s="150">
        <v>1793800</v>
      </c>
      <c r="BC259" s="150">
        <v>1850750</v>
      </c>
    </row>
    <row r="260" spans="52:55">
      <c r="AZ260" s="149">
        <v>44692</v>
      </c>
      <c r="BA260" s="150">
        <v>3.76</v>
      </c>
      <c r="BB260" s="150">
        <v>1380500</v>
      </c>
      <c r="BC260" s="150">
        <v>1757137</v>
      </c>
    </row>
    <row r="261" spans="52:55">
      <c r="AZ261" s="149">
        <v>44691</v>
      </c>
      <c r="BA261" s="150">
        <v>3.81</v>
      </c>
      <c r="BB261" s="150">
        <v>3773405</v>
      </c>
      <c r="BC261" s="150">
        <v>1761131</v>
      </c>
    </row>
    <row r="262" spans="52:55">
      <c r="AZ262" s="149">
        <v>44690</v>
      </c>
      <c r="BA262" s="150">
        <v>3.69</v>
      </c>
      <c r="BB262" s="150">
        <v>2212642</v>
      </c>
      <c r="BC262" s="150">
        <v>1618797</v>
      </c>
    </row>
    <row r="263" spans="52:55">
      <c r="AZ263" s="149">
        <v>44687</v>
      </c>
      <c r="BA263" s="150">
        <v>3.7</v>
      </c>
      <c r="BB263" s="150">
        <v>3602307</v>
      </c>
      <c r="BC263" s="150">
        <v>1519661</v>
      </c>
    </row>
    <row r="264" spans="52:55">
      <c r="AZ264" s="149">
        <v>44686</v>
      </c>
      <c r="BA264" s="150">
        <v>3.75</v>
      </c>
      <c r="BB264" s="150">
        <v>3330100</v>
      </c>
      <c r="BC264" s="150">
        <v>1321212</v>
      </c>
    </row>
    <row r="265" spans="52:55">
      <c r="AZ265" s="149">
        <v>44680</v>
      </c>
      <c r="BA265" s="150">
        <v>3.8</v>
      </c>
      <c r="BB265" s="150">
        <v>1764000</v>
      </c>
      <c r="BC265" s="150">
        <v>1151685</v>
      </c>
    </row>
    <row r="266" spans="52:55">
      <c r="AZ266" s="149">
        <v>44679</v>
      </c>
      <c r="BA266" s="150">
        <v>3.81</v>
      </c>
      <c r="BB266" s="150">
        <v>2120165</v>
      </c>
      <c r="BC266" s="150">
        <v>1137541</v>
      </c>
    </row>
    <row r="267" spans="52:55">
      <c r="AZ267" s="149">
        <v>44678</v>
      </c>
      <c r="BA267" s="150">
        <v>3.83</v>
      </c>
      <c r="BB267" s="150">
        <v>460802</v>
      </c>
      <c r="BC267" s="150">
        <v>1097643</v>
      </c>
    </row>
    <row r="268" spans="52:55">
      <c r="AZ268" s="149">
        <v>44677</v>
      </c>
      <c r="BA268" s="150">
        <v>3.83</v>
      </c>
      <c r="BB268" s="150">
        <v>736300</v>
      </c>
      <c r="BC268" s="150">
        <v>1153483</v>
      </c>
    </row>
    <row r="269" spans="52:55">
      <c r="AZ269" s="149">
        <v>44676</v>
      </c>
      <c r="BA269" s="150">
        <v>3.81</v>
      </c>
      <c r="BB269" s="150">
        <v>2224093</v>
      </c>
      <c r="BC269" s="150">
        <v>1164616</v>
      </c>
    </row>
    <row r="270" spans="52:55">
      <c r="AZ270" s="149">
        <v>44673</v>
      </c>
      <c r="BA270" s="150">
        <v>3.91</v>
      </c>
      <c r="BB270" s="150">
        <v>705400</v>
      </c>
      <c r="BC270" s="150">
        <v>1148870</v>
      </c>
    </row>
    <row r="271" spans="52:55">
      <c r="AZ271" s="149">
        <v>44672</v>
      </c>
      <c r="BA271" s="150">
        <v>3.86</v>
      </c>
      <c r="BB271" s="150">
        <v>1149400</v>
      </c>
      <c r="BC271" s="150">
        <v>1416134</v>
      </c>
    </row>
    <row r="272" spans="52:55">
      <c r="AZ272" s="149">
        <v>44671</v>
      </c>
      <c r="BA272" s="150">
        <v>3.85</v>
      </c>
      <c r="BB272" s="150">
        <v>2055266</v>
      </c>
      <c r="BC272" s="150">
        <v>1531790</v>
      </c>
    </row>
    <row r="273" spans="52:55">
      <c r="AZ273" s="149">
        <v>44669</v>
      </c>
      <c r="BA273" s="150">
        <v>3.85</v>
      </c>
      <c r="BB273" s="150">
        <v>453075</v>
      </c>
      <c r="BC273" s="150">
        <v>1517548</v>
      </c>
    </row>
    <row r="274" spans="52:55">
      <c r="AZ274" s="149">
        <v>44666</v>
      </c>
      <c r="BA274" s="150">
        <v>3.87</v>
      </c>
      <c r="BB274" s="150">
        <v>389600</v>
      </c>
      <c r="BC274" s="150">
        <v>1646030</v>
      </c>
    </row>
    <row r="275" spans="52:55">
      <c r="AZ275" s="149">
        <v>44665</v>
      </c>
      <c r="BA275" s="150">
        <v>3.85</v>
      </c>
      <c r="BB275" s="150">
        <v>1440406</v>
      </c>
      <c r="BC275" s="150">
        <v>1696030</v>
      </c>
    </row>
    <row r="276" spans="52:55">
      <c r="AZ276" s="149">
        <v>44664</v>
      </c>
      <c r="BA276" s="150">
        <v>3.85</v>
      </c>
      <c r="BB276" s="150">
        <v>1638400</v>
      </c>
      <c r="BC276" s="150">
        <v>1687156</v>
      </c>
    </row>
    <row r="277" spans="52:55">
      <c r="AZ277" s="149">
        <v>44663</v>
      </c>
      <c r="BA277" s="150">
        <v>3.9</v>
      </c>
      <c r="BB277" s="150">
        <v>725600</v>
      </c>
      <c r="BC277" s="150">
        <v>1626649</v>
      </c>
    </row>
    <row r="278" spans="52:55">
      <c r="AZ278" s="149">
        <v>44662</v>
      </c>
      <c r="BA278" s="150">
        <v>3.92</v>
      </c>
      <c r="BB278" s="150">
        <v>625573</v>
      </c>
      <c r="BC278" s="150">
        <v>1624883</v>
      </c>
    </row>
    <row r="279" spans="52:55">
      <c r="AZ279" s="149">
        <v>44659</v>
      </c>
      <c r="BA279" s="150">
        <v>3.94</v>
      </c>
      <c r="BB279" s="150">
        <v>787200</v>
      </c>
      <c r="BC279" s="150">
        <v>1799278</v>
      </c>
    </row>
    <row r="280" spans="52:55">
      <c r="AZ280" s="149">
        <v>44658</v>
      </c>
      <c r="BA280" s="150">
        <v>3.91</v>
      </c>
      <c r="BB280" s="150">
        <v>1551833</v>
      </c>
      <c r="BC280" s="150">
        <v>3465925</v>
      </c>
    </row>
    <row r="281" spans="52:55">
      <c r="AZ281" s="149">
        <v>44657</v>
      </c>
      <c r="BA281" s="150">
        <v>3.92</v>
      </c>
      <c r="BB281" s="150">
        <v>1521700</v>
      </c>
      <c r="BC281" s="150">
        <v>3542389</v>
      </c>
    </row>
    <row r="282" spans="52:55">
      <c r="AZ282" s="149">
        <v>44656</v>
      </c>
      <c r="BA282" s="150">
        <v>3.93</v>
      </c>
      <c r="BB282" s="150">
        <v>1298400</v>
      </c>
      <c r="BC282" s="150">
        <v>3548652</v>
      </c>
    </row>
    <row r="283" spans="52:55">
      <c r="AZ283" s="149">
        <v>44655</v>
      </c>
      <c r="BA283" s="150">
        <v>3.95</v>
      </c>
      <c r="BB283" s="150">
        <v>903290</v>
      </c>
      <c r="BC283" s="150">
        <v>3546758</v>
      </c>
    </row>
    <row r="284" spans="52:55">
      <c r="AZ284" s="149">
        <v>44652</v>
      </c>
      <c r="BA284" s="150">
        <v>3.96</v>
      </c>
      <c r="BB284" s="150">
        <v>1987906</v>
      </c>
      <c r="BC284" s="150">
        <v>3680832</v>
      </c>
    </row>
    <row r="285" spans="52:55">
      <c r="AZ285" s="149">
        <v>44651</v>
      </c>
      <c r="BA285" s="150">
        <v>3.93</v>
      </c>
      <c r="BB285" s="150">
        <v>4714363</v>
      </c>
      <c r="BC285" s="150">
        <v>3642551</v>
      </c>
    </row>
    <row r="286" spans="52:55">
      <c r="AZ286" s="149">
        <v>44650</v>
      </c>
      <c r="BA286" s="150">
        <v>3.96</v>
      </c>
      <c r="BB286" s="150">
        <v>2884236</v>
      </c>
      <c r="BC286" s="150">
        <v>3496569</v>
      </c>
    </row>
    <row r="287" spans="52:55">
      <c r="AZ287" s="149">
        <v>44649</v>
      </c>
      <c r="BA287" s="150">
        <v>3.99</v>
      </c>
      <c r="BB287" s="150">
        <v>1841640</v>
      </c>
      <c r="BC287" s="150">
        <v>3491814</v>
      </c>
    </row>
    <row r="288" spans="52:55">
      <c r="AZ288" s="149">
        <v>44648</v>
      </c>
      <c r="BA288" s="150">
        <v>4.0199999999999996</v>
      </c>
      <c r="BB288" s="150">
        <v>2380300</v>
      </c>
      <c r="BC288" s="150">
        <v>3578831</v>
      </c>
    </row>
    <row r="289" spans="52:55">
      <c r="AZ289" s="149">
        <v>44645</v>
      </c>
      <c r="BA289" s="150">
        <v>4.12</v>
      </c>
      <c r="BB289" s="150">
        <v>1139600</v>
      </c>
      <c r="BC289" s="150">
        <v>3518838</v>
      </c>
    </row>
    <row r="290" spans="52:55">
      <c r="AZ290" s="149">
        <v>44644</v>
      </c>
      <c r="BA290" s="150">
        <v>4.13</v>
      </c>
      <c r="BB290" s="150">
        <v>1307300</v>
      </c>
      <c r="BC290" s="150">
        <v>3586511</v>
      </c>
    </row>
    <row r="291" spans="52:55">
      <c r="AZ291" s="149">
        <v>44643</v>
      </c>
      <c r="BA291" s="150">
        <v>4.1399999999999997</v>
      </c>
      <c r="BB291" s="150">
        <v>730800</v>
      </c>
      <c r="BC291" s="150">
        <v>3764278</v>
      </c>
    </row>
    <row r="292" spans="52:55">
      <c r="AZ292" s="149">
        <v>44642</v>
      </c>
      <c r="BA292" s="150">
        <v>4.1399999999999997</v>
      </c>
      <c r="BB292" s="150">
        <v>699100</v>
      </c>
      <c r="BC292" s="150">
        <v>3846771</v>
      </c>
    </row>
    <row r="293" spans="52:55">
      <c r="AZ293" s="149">
        <v>44641</v>
      </c>
      <c r="BA293" s="150">
        <v>4.1399999999999997</v>
      </c>
      <c r="BB293" s="150">
        <v>3241500</v>
      </c>
      <c r="BC293" s="150">
        <v>3954204</v>
      </c>
    </row>
    <row r="294" spans="52:55">
      <c r="AZ294" s="149">
        <v>44638</v>
      </c>
      <c r="BA294" s="150">
        <v>4.16</v>
      </c>
      <c r="BB294" s="150">
        <v>25786900</v>
      </c>
      <c r="BC294" s="150">
        <v>4365684</v>
      </c>
    </row>
    <row r="295" spans="52:55">
      <c r="AZ295" s="149">
        <v>44637</v>
      </c>
      <c r="BA295" s="150">
        <v>4.17</v>
      </c>
      <c r="BB295" s="150">
        <v>2698800</v>
      </c>
      <c r="BC295" s="150">
        <v>2985404</v>
      </c>
    </row>
    <row r="296" spans="52:55">
      <c r="AZ296" s="149">
        <v>44636</v>
      </c>
      <c r="BA296" s="150">
        <v>4.1900000000000004</v>
      </c>
      <c r="BB296" s="150">
        <v>1615637</v>
      </c>
      <c r="BC296" s="150">
        <v>3103504</v>
      </c>
    </row>
    <row r="297" spans="52:55">
      <c r="AZ297" s="149">
        <v>44635</v>
      </c>
      <c r="BA297" s="150">
        <v>4.08</v>
      </c>
      <c r="BB297" s="150">
        <v>1270000</v>
      </c>
      <c r="BC297" s="150">
        <v>3288582</v>
      </c>
    </row>
    <row r="298" spans="52:55">
      <c r="AZ298" s="149">
        <v>44634</v>
      </c>
      <c r="BA298" s="150">
        <v>4.1500000000000004</v>
      </c>
      <c r="BB298" s="150">
        <v>2914400</v>
      </c>
      <c r="BC298" s="150">
        <v>3466475</v>
      </c>
    </row>
    <row r="299" spans="52:55">
      <c r="AZ299" s="149">
        <v>44631</v>
      </c>
      <c r="BA299" s="150">
        <v>4.1500000000000004</v>
      </c>
      <c r="BB299" s="150">
        <v>1413680</v>
      </c>
      <c r="BC299" s="150">
        <v>3635615</v>
      </c>
    </row>
    <row r="300" spans="52:55">
      <c r="AZ300" s="149">
        <v>44630</v>
      </c>
      <c r="BA300" s="150">
        <v>4.17</v>
      </c>
      <c r="BB300" s="150">
        <v>2524645</v>
      </c>
      <c r="BC300" s="150">
        <v>3612843</v>
      </c>
    </row>
    <row r="301" spans="52:55">
      <c r="AZ301" s="149">
        <v>44629</v>
      </c>
      <c r="BA301" s="150">
        <v>4.0199999999999996</v>
      </c>
      <c r="BB301" s="150">
        <v>2812900</v>
      </c>
      <c r="BC301" s="150">
        <v>3616260</v>
      </c>
    </row>
    <row r="302" spans="52:55">
      <c r="AZ302" s="149">
        <v>44628</v>
      </c>
      <c r="BA302" s="150">
        <v>3.99</v>
      </c>
      <c r="BB302" s="150">
        <v>3146900</v>
      </c>
      <c r="BC302" s="150">
        <v>3503720</v>
      </c>
    </row>
    <row r="303" spans="52:55">
      <c r="AZ303" s="149">
        <v>44627</v>
      </c>
      <c r="BA303" s="150">
        <v>4.01</v>
      </c>
      <c r="BB303" s="150">
        <v>1480400</v>
      </c>
      <c r="BC303" s="150">
        <v>3387247</v>
      </c>
    </row>
    <row r="304" spans="52:55">
      <c r="AZ304" s="149">
        <v>44624</v>
      </c>
      <c r="BA304" s="150">
        <v>4.07</v>
      </c>
      <c r="BB304" s="150">
        <v>2154700</v>
      </c>
      <c r="BC304" s="150">
        <v>3354147</v>
      </c>
    </row>
    <row r="305" spans="52:55">
      <c r="AZ305" s="149">
        <v>44623</v>
      </c>
      <c r="BA305" s="150">
        <v>4.1399999999999997</v>
      </c>
      <c r="BB305" s="150">
        <v>3973800</v>
      </c>
      <c r="BC305" s="150">
        <v>3314053</v>
      </c>
    </row>
    <row r="306" spans="52:55">
      <c r="AZ306" s="149">
        <v>44622</v>
      </c>
      <c r="BA306" s="150">
        <v>4.01</v>
      </c>
      <c r="BB306" s="150">
        <v>1968200</v>
      </c>
      <c r="BC306" s="150">
        <v>3287133</v>
      </c>
    </row>
    <row r="307" spans="52:55">
      <c r="AZ307" s="149">
        <v>44621</v>
      </c>
      <c r="BA307" s="150">
        <v>3.99</v>
      </c>
      <c r="BB307" s="150">
        <v>2310600</v>
      </c>
      <c r="BC307" s="150">
        <v>3360867</v>
      </c>
    </row>
    <row r="308" spans="52:55">
      <c r="AZ308" s="149">
        <v>44620</v>
      </c>
      <c r="BA308" s="150">
        <v>4.0199999999999996</v>
      </c>
      <c r="BB308" s="150">
        <v>9413700</v>
      </c>
      <c r="BC308" s="150">
        <v>3274560</v>
      </c>
    </row>
    <row r="309" spans="52:55">
      <c r="AZ309" s="149">
        <v>44617</v>
      </c>
      <c r="BA309" s="150">
        <v>3.98</v>
      </c>
      <c r="BB309" s="150">
        <v>5082700</v>
      </c>
      <c r="BC309" s="150">
        <v>2729380</v>
      </c>
    </row>
    <row r="310" spans="52:55">
      <c r="AZ310" s="149">
        <v>44616</v>
      </c>
      <c r="BA310" s="150">
        <v>4.05</v>
      </c>
      <c r="BB310" s="150">
        <v>4470300</v>
      </c>
      <c r="BC310" s="150">
        <v>2456187</v>
      </c>
    </row>
    <row r="311" spans="52:55">
      <c r="AZ311" s="149">
        <v>44615</v>
      </c>
      <c r="BA311" s="150">
        <v>4.13</v>
      </c>
      <c r="BB311" s="150">
        <v>4391800</v>
      </c>
      <c r="BC311" s="150">
        <v>2297480</v>
      </c>
    </row>
    <row r="312" spans="52:55">
      <c r="AZ312" s="149">
        <v>44614</v>
      </c>
      <c r="BA312" s="150">
        <v>4.12</v>
      </c>
      <c r="BB312" s="150">
        <v>3938400</v>
      </c>
      <c r="BC312" s="150">
        <v>2064460</v>
      </c>
    </row>
    <row r="313" spans="52:55">
      <c r="AZ313" s="149">
        <v>44613</v>
      </c>
      <c r="BA313" s="150">
        <v>4.18</v>
      </c>
      <c r="BB313" s="150">
        <v>5451500</v>
      </c>
      <c r="BC313" s="150">
        <v>1870253</v>
      </c>
    </row>
    <row r="314" spans="52:55">
      <c r="AZ314" s="149">
        <v>44610</v>
      </c>
      <c r="BA314" s="150">
        <v>4.42</v>
      </c>
      <c r="BB314" s="150">
        <v>1072100</v>
      </c>
      <c r="BC314" s="150">
        <v>1545113</v>
      </c>
    </row>
    <row r="315" spans="52:55">
      <c r="AZ315" s="149">
        <v>44609</v>
      </c>
      <c r="BA315" s="150">
        <v>4.4000000000000004</v>
      </c>
      <c r="BB315" s="150">
        <v>2575900</v>
      </c>
      <c r="BC315" s="150">
        <v>1632107</v>
      </c>
    </row>
    <row r="316" spans="52:55">
      <c r="AZ316" s="149">
        <v>44608</v>
      </c>
      <c r="BA316" s="150">
        <v>4.5199999999999996</v>
      </c>
      <c r="BB316" s="150">
        <v>1124800</v>
      </c>
      <c r="BC316" s="150">
        <v>1569813</v>
      </c>
    </row>
    <row r="317" spans="52:55">
      <c r="AZ317" s="149">
        <v>44607</v>
      </c>
      <c r="BA317" s="150">
        <v>4.49</v>
      </c>
      <c r="BB317" s="150">
        <v>1399800</v>
      </c>
      <c r="BC317" s="150">
        <v>1629413</v>
      </c>
    </row>
    <row r="318" spans="52:55">
      <c r="AZ318" s="149">
        <v>44606</v>
      </c>
      <c r="BA318" s="150">
        <v>4.4800000000000004</v>
      </c>
      <c r="BB318" s="150">
        <v>983900</v>
      </c>
      <c r="BC318" s="150">
        <v>1640453</v>
      </c>
    </row>
    <row r="319" spans="52:55">
      <c r="AZ319" s="149">
        <v>44603</v>
      </c>
      <c r="BA319" s="150">
        <v>4.43</v>
      </c>
      <c r="BB319" s="150">
        <v>1553300</v>
      </c>
      <c r="BC319" s="150">
        <v>1669793</v>
      </c>
    </row>
    <row r="320" spans="52:55">
      <c r="AZ320" s="149">
        <v>44602</v>
      </c>
      <c r="BA320" s="150">
        <v>4.3600000000000003</v>
      </c>
      <c r="BB320" s="150">
        <v>3570000</v>
      </c>
      <c r="BC320" s="150">
        <v>1617700</v>
      </c>
    </row>
    <row r="321" spans="52:55">
      <c r="AZ321" s="149">
        <v>44601</v>
      </c>
      <c r="BA321" s="150">
        <v>4.33</v>
      </c>
      <c r="BB321" s="150">
        <v>3074200</v>
      </c>
      <c r="BC321" s="150">
        <v>1461780</v>
      </c>
    </row>
    <row r="322" spans="52:55">
      <c r="AZ322" s="149">
        <v>44600</v>
      </c>
      <c r="BA322" s="150">
        <v>4.26</v>
      </c>
      <c r="BB322" s="150">
        <v>1016000</v>
      </c>
      <c r="BC322" s="150">
        <v>1337973</v>
      </c>
    </row>
    <row r="323" spans="52:55">
      <c r="AZ323" s="149">
        <v>44599</v>
      </c>
      <c r="BA323" s="150">
        <v>4.25</v>
      </c>
      <c r="BB323" s="150">
        <v>1236000</v>
      </c>
      <c r="BC323" s="150">
        <v>1355660</v>
      </c>
    </row>
    <row r="324" spans="52:55">
      <c r="AZ324" s="149">
        <v>44596</v>
      </c>
      <c r="BA324" s="150">
        <v>4.3</v>
      </c>
      <c r="BB324" s="150">
        <v>984800</v>
      </c>
      <c r="BC324" s="150">
        <v>1341153</v>
      </c>
    </row>
    <row r="325" spans="52:55">
      <c r="AZ325" s="149">
        <v>44595</v>
      </c>
      <c r="BA325" s="150">
        <v>4.33</v>
      </c>
      <c r="BB325" s="150">
        <v>2089700</v>
      </c>
      <c r="BC325" s="150">
        <v>1329780</v>
      </c>
    </row>
    <row r="326" spans="52:55">
      <c r="AZ326" s="149">
        <v>44592</v>
      </c>
      <c r="BA326" s="150">
        <v>4.2300000000000004</v>
      </c>
      <c r="BB326" s="150">
        <v>896500</v>
      </c>
      <c r="BC326" s="150">
        <v>1235573</v>
      </c>
    </row>
    <row r="327" spans="52:55">
      <c r="AZ327" s="149">
        <v>44589</v>
      </c>
      <c r="BA327" s="150">
        <v>4.25</v>
      </c>
      <c r="BB327" s="150">
        <v>1025300</v>
      </c>
      <c r="BC327" s="150">
        <v>1252147</v>
      </c>
    </row>
    <row r="328" spans="52:55">
      <c r="AZ328" s="149">
        <v>44588</v>
      </c>
      <c r="BA328" s="150">
        <v>4.2300000000000004</v>
      </c>
      <c r="BB328" s="150">
        <v>574400</v>
      </c>
      <c r="BC328" s="150">
        <v>1300987</v>
      </c>
    </row>
    <row r="329" spans="52:55">
      <c r="AZ329" s="149">
        <v>44587</v>
      </c>
      <c r="BA329" s="150">
        <v>4.25</v>
      </c>
      <c r="BB329" s="150">
        <v>2377000</v>
      </c>
      <c r="BC329" s="150">
        <v>1338200</v>
      </c>
    </row>
    <row r="330" spans="52:55">
      <c r="AZ330" s="149">
        <v>44586</v>
      </c>
      <c r="BA330" s="150">
        <v>4.29</v>
      </c>
      <c r="BB330" s="150">
        <v>1641500</v>
      </c>
      <c r="BC330" s="150">
        <v>1243953</v>
      </c>
    </row>
    <row r="331" spans="52:55">
      <c r="AZ331" s="149">
        <v>44585</v>
      </c>
      <c r="BA331" s="150">
        <v>4.33</v>
      </c>
      <c r="BB331" s="150">
        <v>2018800</v>
      </c>
      <c r="BC331" s="150">
        <v>1188633</v>
      </c>
    </row>
    <row r="332" spans="52:55">
      <c r="AZ332" s="149">
        <v>44582</v>
      </c>
      <c r="BA332" s="150">
        <v>4.3499999999999996</v>
      </c>
      <c r="BB332" s="150">
        <v>1565400</v>
      </c>
      <c r="BC332" s="150">
        <v>1490413</v>
      </c>
    </row>
    <row r="333" spans="52:55">
      <c r="AZ333" s="149">
        <v>44581</v>
      </c>
      <c r="BA333" s="150">
        <v>4.37</v>
      </c>
      <c r="BB333" s="150">
        <v>1424000</v>
      </c>
      <c r="BC333" s="150">
        <v>1430293</v>
      </c>
    </row>
    <row r="334" spans="52:55">
      <c r="AZ334" s="149">
        <v>44580</v>
      </c>
      <c r="BA334" s="150">
        <v>4.4400000000000004</v>
      </c>
      <c r="BB334" s="150">
        <v>771900</v>
      </c>
      <c r="BC334" s="150">
        <v>1409153</v>
      </c>
    </row>
    <row r="335" spans="52:55">
      <c r="AZ335" s="149">
        <v>44578</v>
      </c>
      <c r="BA335" s="150">
        <v>4.42</v>
      </c>
      <c r="BB335" s="150">
        <v>1231200</v>
      </c>
      <c r="BC335" s="150">
        <v>1432393</v>
      </c>
    </row>
    <row r="336" spans="52:55">
      <c r="AZ336" s="149">
        <v>44575</v>
      </c>
      <c r="BA336" s="150">
        <v>4.5</v>
      </c>
      <c r="BB336" s="150">
        <v>1217100</v>
      </c>
      <c r="BC336" s="150">
        <v>1458287</v>
      </c>
    </row>
    <row r="337" spans="52:55">
      <c r="AZ337" s="149">
        <v>44574</v>
      </c>
      <c r="BA337" s="150">
        <v>4.58</v>
      </c>
      <c r="BB337" s="150">
        <v>1281300</v>
      </c>
      <c r="BC337" s="150">
        <v>1426747</v>
      </c>
    </row>
    <row r="338" spans="52:55">
      <c r="AZ338" s="149">
        <v>44573</v>
      </c>
      <c r="BA338" s="150">
        <v>4.58</v>
      </c>
      <c r="BB338" s="150">
        <v>1018400</v>
      </c>
      <c r="BC338" s="150">
        <v>1423727</v>
      </c>
    </row>
    <row r="339" spans="52:55">
      <c r="AZ339" s="149">
        <v>44572</v>
      </c>
      <c r="BA339" s="150">
        <v>4.58</v>
      </c>
      <c r="BB339" s="150">
        <v>814200</v>
      </c>
      <c r="BC339" s="150">
        <v>1410287</v>
      </c>
    </row>
    <row r="340" spans="52:55">
      <c r="AZ340" s="149">
        <v>44571</v>
      </c>
      <c r="BA340" s="150">
        <v>4.46</v>
      </c>
      <c r="BB340" s="150">
        <v>676600</v>
      </c>
      <c r="BC340" s="150">
        <v>1480613</v>
      </c>
    </row>
    <row r="341" spans="52:55">
      <c r="AZ341" s="149">
        <v>44568</v>
      </c>
      <c r="BA341" s="150">
        <v>4.45</v>
      </c>
      <c r="BB341" s="150">
        <v>1145100</v>
      </c>
      <c r="BC341" s="150">
        <v>1481420</v>
      </c>
    </row>
    <row r="342" spans="52:55">
      <c r="AZ342" s="149">
        <v>44567</v>
      </c>
      <c r="BA342" s="150">
        <v>4.41</v>
      </c>
      <c r="BB342" s="150">
        <v>1757900</v>
      </c>
      <c r="BC342" s="150">
        <v>1699200</v>
      </c>
    </row>
    <row r="343" spans="52:55">
      <c r="AZ343" s="149">
        <v>44566</v>
      </c>
      <c r="BA343" s="150">
        <v>4.53</v>
      </c>
      <c r="BB343" s="150">
        <v>1132600</v>
      </c>
      <c r="BC343" s="150">
        <v>1719260</v>
      </c>
    </row>
    <row r="344" spans="52:55">
      <c r="AZ344" s="149">
        <v>44565</v>
      </c>
      <c r="BA344" s="150">
        <v>4.5</v>
      </c>
      <c r="BB344" s="150">
        <v>963300</v>
      </c>
      <c r="BC344" s="150">
        <v>1730873</v>
      </c>
    </row>
    <row r="345" spans="52:55">
      <c r="AZ345" s="149">
        <v>44564</v>
      </c>
      <c r="BA345" s="150">
        <v>4.5999999999999996</v>
      </c>
      <c r="BB345" s="150">
        <v>811700</v>
      </c>
      <c r="BC345" s="150">
        <v>1879167</v>
      </c>
    </row>
    <row r="346" spans="52:55">
      <c r="AZ346" s="149">
        <v>44561</v>
      </c>
      <c r="BA346" s="150">
        <v>4.8499999999999996</v>
      </c>
      <c r="BB346" s="150">
        <v>6545500</v>
      </c>
      <c r="BC346" s="150">
        <v>1944680</v>
      </c>
    </row>
    <row r="347" spans="52:55">
      <c r="AZ347" s="149">
        <v>44560</v>
      </c>
      <c r="BA347" s="150">
        <v>4.49</v>
      </c>
      <c r="BB347" s="150">
        <v>663600</v>
      </c>
      <c r="BC347" s="150">
        <v>1552173</v>
      </c>
    </row>
    <row r="348" spans="52:55">
      <c r="AZ348" s="149">
        <v>44559</v>
      </c>
      <c r="BA348" s="150">
        <v>4.42</v>
      </c>
      <c r="BB348" s="150">
        <v>1106900</v>
      </c>
      <c r="BC348" s="150">
        <v>1562033</v>
      </c>
    </row>
    <row r="349" spans="52:55">
      <c r="AZ349" s="149">
        <v>44558</v>
      </c>
      <c r="BA349" s="150">
        <v>4.4000000000000004</v>
      </c>
      <c r="BB349" s="150">
        <v>1120500</v>
      </c>
      <c r="BC349" s="150">
        <v>1585353</v>
      </c>
    </row>
    <row r="350" spans="52:55">
      <c r="AZ350" s="149">
        <v>44557</v>
      </c>
      <c r="BA350" s="150">
        <v>4.4400000000000004</v>
      </c>
      <c r="BB350" s="150">
        <v>1619600</v>
      </c>
      <c r="BC350" s="150">
        <v>1605213</v>
      </c>
    </row>
    <row r="351" spans="52:55">
      <c r="AZ351" s="149">
        <v>44554</v>
      </c>
      <c r="BA351" s="150">
        <v>4.37</v>
      </c>
      <c r="BB351" s="150">
        <v>744000</v>
      </c>
      <c r="BC351" s="150">
        <v>1623373</v>
      </c>
    </row>
    <row r="352" spans="52:55">
      <c r="AZ352" s="149">
        <v>44553</v>
      </c>
      <c r="BA352" s="150">
        <v>4.32</v>
      </c>
      <c r="BB352" s="150">
        <v>1236000</v>
      </c>
      <c r="BC352" s="150">
        <v>1681913</v>
      </c>
    </row>
    <row r="353" spans="52:55">
      <c r="AZ353" s="149">
        <v>44552</v>
      </c>
      <c r="BA353" s="150">
        <v>4.29</v>
      </c>
      <c r="BB353" s="150">
        <v>816800</v>
      </c>
      <c r="BC353" s="150">
        <v>1692533</v>
      </c>
    </row>
    <row r="354" spans="52:55">
      <c r="AZ354" s="149">
        <v>44551</v>
      </c>
      <c r="BA354" s="150">
        <v>4.2699999999999996</v>
      </c>
      <c r="BB354" s="150">
        <v>1869100</v>
      </c>
      <c r="BC354" s="150">
        <v>2631480</v>
      </c>
    </row>
    <row r="355" spans="52:55">
      <c r="AZ355" s="149">
        <v>44550</v>
      </c>
      <c r="BA355" s="150">
        <v>4.2699999999999996</v>
      </c>
      <c r="BB355" s="150">
        <v>688700</v>
      </c>
      <c r="BC355" s="150">
        <v>2738913</v>
      </c>
    </row>
    <row r="356" spans="52:55">
      <c r="AZ356" s="149">
        <v>44547</v>
      </c>
      <c r="BA356" s="150">
        <v>4.28</v>
      </c>
      <c r="BB356" s="150">
        <v>4411800</v>
      </c>
      <c r="BC356" s="150">
        <v>2789253</v>
      </c>
    </row>
    <row r="357" spans="52:55">
      <c r="AZ357" s="149">
        <v>44546</v>
      </c>
      <c r="BA357" s="150">
        <v>4.2300000000000004</v>
      </c>
      <c r="BB357" s="150">
        <v>2058800</v>
      </c>
      <c r="BC357" s="150">
        <v>2553273</v>
      </c>
    </row>
    <row r="358" spans="52:55">
      <c r="AZ358" s="149">
        <v>44545</v>
      </c>
      <c r="BA358" s="150">
        <v>4.3</v>
      </c>
      <c r="BB358" s="150">
        <v>1306800</v>
      </c>
      <c r="BC358" s="150">
        <v>2492520</v>
      </c>
    </row>
    <row r="359" spans="52:55">
      <c r="AZ359" s="149">
        <v>44544</v>
      </c>
      <c r="BA359" s="150">
        <v>4.33</v>
      </c>
      <c r="BB359" s="150">
        <v>3187700</v>
      </c>
      <c r="BC359" s="150">
        <v>2468460</v>
      </c>
    </row>
    <row r="360" spans="52:55">
      <c r="AZ360" s="149">
        <v>44543</v>
      </c>
      <c r="BA360" s="150">
        <v>4.3899999999999997</v>
      </c>
      <c r="BB360" s="150">
        <v>1794400</v>
      </c>
      <c r="BC360" s="150">
        <v>2301167</v>
      </c>
    </row>
    <row r="361" spans="52:55">
      <c r="AZ361" s="149">
        <v>44540</v>
      </c>
      <c r="BA361" s="150">
        <v>4.41</v>
      </c>
      <c r="BB361" s="150">
        <v>657900</v>
      </c>
      <c r="BC361" s="150">
        <v>2276687</v>
      </c>
    </row>
    <row r="362" spans="52:55">
      <c r="AZ362" s="149">
        <v>44539</v>
      </c>
      <c r="BA362" s="150">
        <v>4.42</v>
      </c>
      <c r="BB362" s="150">
        <v>811500</v>
      </c>
      <c r="BC362" s="150">
        <v>2305340</v>
      </c>
    </row>
    <row r="363" spans="52:55">
      <c r="AZ363" s="149">
        <v>44538</v>
      </c>
      <c r="BA363" s="150">
        <v>4.38</v>
      </c>
      <c r="BB363" s="150">
        <v>1456700</v>
      </c>
      <c r="BC363" s="150">
        <v>2282180</v>
      </c>
    </row>
    <row r="364" spans="52:55">
      <c r="AZ364" s="149">
        <v>44537</v>
      </c>
      <c r="BA364" s="150">
        <v>4.37</v>
      </c>
      <c r="BB364" s="150">
        <v>1418400</v>
      </c>
      <c r="BC364" s="150">
        <v>2263127</v>
      </c>
    </row>
    <row r="365" spans="52:55">
      <c r="AZ365" s="149">
        <v>44536</v>
      </c>
      <c r="BA365" s="150">
        <v>4.3499999999999996</v>
      </c>
      <c r="BB365" s="150">
        <v>1892000</v>
      </c>
      <c r="BC365" s="150">
        <v>2276440</v>
      </c>
    </row>
    <row r="366" spans="52:55">
      <c r="AZ366" s="149">
        <v>44532</v>
      </c>
      <c r="BA366" s="150">
        <v>4.45</v>
      </c>
      <c r="BB366" s="150">
        <v>1622100</v>
      </c>
      <c r="BC366" s="150">
        <v>2202300</v>
      </c>
    </row>
    <row r="367" spans="52:55">
      <c r="AZ367" s="149">
        <v>44531</v>
      </c>
      <c r="BA367" s="150">
        <v>4.45</v>
      </c>
      <c r="BB367" s="150">
        <v>1395300</v>
      </c>
      <c r="BC367" s="150">
        <v>2140213</v>
      </c>
    </row>
    <row r="368" spans="52:55">
      <c r="AZ368" s="149">
        <v>44530</v>
      </c>
      <c r="BA368" s="150">
        <v>4.68</v>
      </c>
      <c r="BB368" s="150">
        <v>14901000</v>
      </c>
      <c r="BC368" s="150">
        <v>2124967</v>
      </c>
    </row>
    <row r="369" spans="52:55">
      <c r="AZ369" s="149">
        <v>44529</v>
      </c>
      <c r="BA369" s="150">
        <v>4.43</v>
      </c>
      <c r="BB369" s="150">
        <v>3480600</v>
      </c>
      <c r="BC369" s="150">
        <v>1216153</v>
      </c>
    </row>
    <row r="370" spans="52:55">
      <c r="AZ370" s="149">
        <v>44526</v>
      </c>
      <c r="BA370" s="150">
        <v>4.5199999999999996</v>
      </c>
      <c r="BB370" s="150">
        <v>1443800</v>
      </c>
      <c r="BC370" s="150">
        <v>1107280</v>
      </c>
    </row>
    <row r="371" spans="52:55">
      <c r="AZ371" s="149">
        <v>44525</v>
      </c>
      <c r="BA371" s="150">
        <v>4.59</v>
      </c>
      <c r="BB371" s="150">
        <v>872100</v>
      </c>
      <c r="BC371" s="150">
        <v>1186827</v>
      </c>
    </row>
    <row r="372" spans="52:55">
      <c r="AZ372" s="149">
        <v>44524</v>
      </c>
      <c r="BA372" s="150">
        <v>4.59</v>
      </c>
      <c r="BB372" s="150">
        <v>1147500</v>
      </c>
      <c r="BC372" s="150">
        <v>1226307</v>
      </c>
    </row>
    <row r="373" spans="52:55">
      <c r="AZ373" s="149">
        <v>44523</v>
      </c>
      <c r="BA373" s="150">
        <v>4.53</v>
      </c>
      <c r="BB373" s="150">
        <v>945900</v>
      </c>
      <c r="BC373" s="150">
        <v>1231473</v>
      </c>
    </row>
    <row r="374" spans="52:55">
      <c r="AZ374" s="149">
        <v>44522</v>
      </c>
      <c r="BA374" s="150">
        <v>4.54</v>
      </c>
      <c r="BB374" s="150">
        <v>678300</v>
      </c>
      <c r="BC374" s="150">
        <v>1224913</v>
      </c>
    </row>
    <row r="375" spans="52:55">
      <c r="AZ375" s="149">
        <v>44519</v>
      </c>
      <c r="BA375" s="150">
        <v>4.57</v>
      </c>
      <c r="BB375" s="150">
        <v>1427200</v>
      </c>
      <c r="BC375" s="150">
        <v>1278440</v>
      </c>
    </row>
    <row r="376" spans="52:55">
      <c r="AZ376" s="149">
        <v>44518</v>
      </c>
      <c r="BA376" s="150">
        <v>4.47</v>
      </c>
      <c r="BB376" s="150">
        <v>1087700</v>
      </c>
      <c r="BC376" s="150">
        <v>1250460</v>
      </c>
    </row>
    <row r="377" spans="52:55">
      <c r="AZ377" s="149">
        <v>44517</v>
      </c>
      <c r="BA377" s="150">
        <v>4.5199999999999996</v>
      </c>
      <c r="BB377" s="150">
        <v>464100</v>
      </c>
      <c r="BC377" s="150">
        <v>1225140</v>
      </c>
    </row>
    <row r="378" spans="52:55">
      <c r="AZ378" s="149">
        <v>44516</v>
      </c>
      <c r="BA378" s="150">
        <v>4.5199999999999996</v>
      </c>
      <c r="BB378" s="150">
        <v>1170900</v>
      </c>
      <c r="BC378" s="150">
        <v>1231813</v>
      </c>
    </row>
    <row r="379" spans="52:55">
      <c r="AZ379" s="149">
        <v>44515</v>
      </c>
      <c r="BA379" s="150">
        <v>4.45</v>
      </c>
      <c r="BB379" s="150">
        <v>1618100</v>
      </c>
      <c r="BC379" s="150">
        <v>1189907</v>
      </c>
    </row>
    <row r="380" spans="52:55">
      <c r="AZ380" s="149">
        <v>44512</v>
      </c>
      <c r="BA380" s="150">
        <v>4.5999999999999996</v>
      </c>
      <c r="BB380" s="150">
        <v>779900</v>
      </c>
      <c r="BC380" s="150">
        <v>1142207</v>
      </c>
    </row>
    <row r="381" spans="52:55">
      <c r="AZ381" s="149">
        <v>44511</v>
      </c>
      <c r="BA381" s="150">
        <v>4.58</v>
      </c>
      <c r="BB381" s="150">
        <v>690800</v>
      </c>
      <c r="BC381" s="150">
        <v>1186147</v>
      </c>
    </row>
    <row r="382" spans="52:55">
      <c r="AZ382" s="149">
        <v>44510</v>
      </c>
      <c r="BA382" s="150">
        <v>4.59</v>
      </c>
      <c r="BB382" s="150">
        <v>1166600</v>
      </c>
      <c r="BC382" s="150">
        <v>1213773</v>
      </c>
    </row>
    <row r="383" spans="52:55">
      <c r="AZ383" s="149">
        <v>44509</v>
      </c>
      <c r="BA383" s="150">
        <v>4.59</v>
      </c>
      <c r="BB383" s="150">
        <v>1268800</v>
      </c>
      <c r="BC383" s="150">
        <v>1230073</v>
      </c>
    </row>
    <row r="384" spans="52:55">
      <c r="AZ384" s="149">
        <v>44508</v>
      </c>
      <c r="BA384" s="150">
        <v>4.66</v>
      </c>
      <c r="BB384" s="150">
        <v>1847500</v>
      </c>
      <c r="BC384" s="150">
        <v>1215167</v>
      </c>
    </row>
    <row r="385" spans="52:55">
      <c r="AZ385" s="149">
        <v>44505</v>
      </c>
      <c r="BA385" s="150">
        <v>4.7</v>
      </c>
      <c r="BB385" s="150">
        <v>2637000</v>
      </c>
      <c r="BC385" s="150">
        <v>1140173</v>
      </c>
    </row>
    <row r="386" spans="52:55">
      <c r="AZ386" s="149">
        <v>44503</v>
      </c>
      <c r="BA386" s="150">
        <v>4.58</v>
      </c>
      <c r="BB386" s="150">
        <v>1464300</v>
      </c>
      <c r="BC386" s="150">
        <v>1064693</v>
      </c>
    </row>
    <row r="387" spans="52:55">
      <c r="AZ387" s="149">
        <v>44502</v>
      </c>
      <c r="BA387" s="150">
        <v>4.67</v>
      </c>
      <c r="BB387" s="150">
        <v>1225000</v>
      </c>
      <c r="BC387" s="150">
        <v>1029713</v>
      </c>
    </row>
    <row r="388" spans="52:55">
      <c r="AZ388" s="149">
        <v>44501</v>
      </c>
      <c r="BA388" s="150">
        <v>4.5999999999999996</v>
      </c>
      <c r="BB388" s="150">
        <v>847500</v>
      </c>
      <c r="BC388" s="150">
        <v>972853</v>
      </c>
    </row>
    <row r="389" spans="52:55">
      <c r="AZ389" s="149">
        <v>44498</v>
      </c>
      <c r="BA389" s="150">
        <v>4.67</v>
      </c>
      <c r="BB389" s="150">
        <v>1481200</v>
      </c>
      <c r="BC389" s="150">
        <v>938833</v>
      </c>
    </row>
    <row r="390" spans="52:55">
      <c r="AZ390" s="149">
        <v>44497</v>
      </c>
      <c r="BA390" s="150">
        <v>4.7</v>
      </c>
      <c r="BB390" s="150">
        <v>1007500</v>
      </c>
      <c r="BC390" s="150">
        <v>871020</v>
      </c>
    </row>
    <row r="391" spans="52:55">
      <c r="AZ391" s="149">
        <v>44496</v>
      </c>
      <c r="BA391" s="150">
        <v>4.8</v>
      </c>
      <c r="BB391" s="150">
        <v>707900</v>
      </c>
      <c r="BC391" s="150">
        <v>852180</v>
      </c>
    </row>
    <row r="392" spans="52:55">
      <c r="AZ392" s="149">
        <v>44495</v>
      </c>
      <c r="BA392" s="150">
        <v>4.8</v>
      </c>
      <c r="BB392" s="150">
        <v>564200</v>
      </c>
      <c r="BC392" s="150">
        <v>873047</v>
      </c>
    </row>
    <row r="393" spans="52:55">
      <c r="AZ393" s="149">
        <v>44494</v>
      </c>
      <c r="BA393" s="150">
        <v>4.8</v>
      </c>
      <c r="BB393" s="150">
        <v>542300</v>
      </c>
      <c r="BC393" s="150">
        <v>932620</v>
      </c>
    </row>
    <row r="394" spans="52:55">
      <c r="AZ394" s="149">
        <v>44491</v>
      </c>
      <c r="BA394" s="150">
        <v>4.78</v>
      </c>
      <c r="BB394" s="150">
        <v>902600</v>
      </c>
      <c r="BC394" s="150">
        <v>1099360</v>
      </c>
    </row>
    <row r="395" spans="52:55">
      <c r="AZ395" s="149">
        <v>44490</v>
      </c>
      <c r="BA395" s="150">
        <v>4.8</v>
      </c>
      <c r="BB395" s="150">
        <v>1439000</v>
      </c>
      <c r="BC395" s="150">
        <v>1192707</v>
      </c>
    </row>
    <row r="396" spans="52:55">
      <c r="AZ396" s="149">
        <v>44489</v>
      </c>
      <c r="BA396" s="150">
        <v>4.8499999999999996</v>
      </c>
      <c r="BB396" s="150">
        <v>1105200</v>
      </c>
      <c r="BC396" s="150">
        <v>1157460</v>
      </c>
    </row>
    <row r="397" spans="52:55">
      <c r="AZ397" s="149">
        <v>44487</v>
      </c>
      <c r="BA397" s="150">
        <v>4.8099999999999996</v>
      </c>
      <c r="BB397" s="150">
        <v>1411100</v>
      </c>
      <c r="BC397" s="150">
        <v>1158200</v>
      </c>
    </row>
    <row r="398" spans="52:55">
      <c r="AZ398" s="149">
        <v>44484</v>
      </c>
      <c r="BA398" s="150">
        <v>4.78</v>
      </c>
      <c r="BB398" s="150">
        <v>1045200</v>
      </c>
      <c r="BC398" s="150">
        <v>1151427</v>
      </c>
    </row>
    <row r="399" spans="52:55">
      <c r="AZ399" s="149">
        <v>44483</v>
      </c>
      <c r="BA399" s="150">
        <v>4.75</v>
      </c>
      <c r="BB399" s="150">
        <v>722600</v>
      </c>
      <c r="BC399" s="150">
        <v>1190133</v>
      </c>
    </row>
    <row r="400" spans="52:55">
      <c r="AZ400" s="149">
        <v>44482</v>
      </c>
      <c r="BA400" s="150">
        <v>4.75</v>
      </c>
      <c r="BB400" s="150">
        <v>1504800</v>
      </c>
      <c r="BC400" s="150">
        <v>1188427</v>
      </c>
    </row>
    <row r="401" spans="52:55">
      <c r="AZ401" s="149">
        <v>44481</v>
      </c>
      <c r="BA401" s="150">
        <v>4.68</v>
      </c>
      <c r="BB401" s="150">
        <v>939600</v>
      </c>
      <c r="BC401" s="150">
        <v>1161493</v>
      </c>
    </row>
    <row r="402" spans="52:55">
      <c r="AZ402" s="149">
        <v>44480</v>
      </c>
      <c r="BA402" s="150">
        <v>4.63</v>
      </c>
      <c r="BB402" s="150">
        <v>372100</v>
      </c>
      <c r="BC402" s="150">
        <v>1156320</v>
      </c>
    </row>
    <row r="403" spans="52:55">
      <c r="AZ403" s="149">
        <v>44477</v>
      </c>
      <c r="BA403" s="150">
        <v>4.68</v>
      </c>
      <c r="BB403" s="150">
        <v>337200</v>
      </c>
      <c r="BC403" s="150">
        <v>1217027</v>
      </c>
    </row>
    <row r="404" spans="52:55">
      <c r="AZ404" s="149">
        <v>44476</v>
      </c>
      <c r="BA404" s="150">
        <v>4.6500000000000004</v>
      </c>
      <c r="BB404" s="150">
        <v>464000</v>
      </c>
      <c r="BC404" s="150">
        <v>1558713</v>
      </c>
    </row>
    <row r="405" spans="52:55">
      <c r="AZ405" s="149">
        <v>44475</v>
      </c>
      <c r="BA405" s="150">
        <v>4.63</v>
      </c>
      <c r="BB405" s="150">
        <v>724900</v>
      </c>
      <c r="BC405" s="150">
        <v>1644653</v>
      </c>
    </row>
    <row r="406" spans="52:55">
      <c r="AZ406" s="149">
        <v>44474</v>
      </c>
      <c r="BA406" s="150">
        <v>4.55</v>
      </c>
      <c r="BB406" s="150">
        <v>1020900</v>
      </c>
      <c r="BC406" s="150">
        <v>1767840</v>
      </c>
    </row>
    <row r="407" spans="52:55">
      <c r="AZ407" s="149">
        <v>44473</v>
      </c>
      <c r="BA407" s="150">
        <v>4.55</v>
      </c>
      <c r="BB407" s="150">
        <v>1457800</v>
      </c>
      <c r="BC407" s="150">
        <v>1781173</v>
      </c>
    </row>
    <row r="408" spans="52:55">
      <c r="AZ408" s="149">
        <v>44470</v>
      </c>
      <c r="BA408" s="150">
        <v>4.54</v>
      </c>
      <c r="BB408" s="150">
        <v>3043400</v>
      </c>
      <c r="BC408" s="150">
        <v>1836000</v>
      </c>
    </row>
    <row r="409" spans="52:55">
      <c r="AZ409" s="149">
        <v>44469</v>
      </c>
      <c r="BA409" s="150">
        <v>4.6900000000000004</v>
      </c>
      <c r="BB409" s="150">
        <v>2302800</v>
      </c>
      <c r="BC409" s="150">
        <v>1737920</v>
      </c>
    </row>
    <row r="410" spans="52:55">
      <c r="AZ410" s="149">
        <v>44468</v>
      </c>
      <c r="BA410" s="150">
        <v>4.7</v>
      </c>
      <c r="BB410" s="150">
        <v>910300</v>
      </c>
      <c r="BC410" s="150">
        <v>1857967</v>
      </c>
    </row>
    <row r="411" spans="52:55">
      <c r="AZ411" s="149">
        <v>44467</v>
      </c>
      <c r="BA411" s="150">
        <v>4.68</v>
      </c>
      <c r="BB411" s="150">
        <v>1116300</v>
      </c>
      <c r="BC411" s="150">
        <v>1850533</v>
      </c>
    </row>
    <row r="412" spans="52:55">
      <c r="AZ412" s="149">
        <v>44466</v>
      </c>
      <c r="BA412" s="150">
        <v>4.68</v>
      </c>
      <c r="BB412" s="150">
        <v>1309500</v>
      </c>
      <c r="BC412" s="150">
        <v>1841380</v>
      </c>
    </row>
    <row r="413" spans="52:55">
      <c r="AZ413" s="149">
        <v>44463</v>
      </c>
      <c r="BA413" s="150">
        <v>4.72</v>
      </c>
      <c r="BB413" s="150">
        <v>1625800</v>
      </c>
      <c r="BC413" s="150">
        <v>1855613</v>
      </c>
    </row>
    <row r="414" spans="52:55">
      <c r="AZ414" s="149">
        <v>44462</v>
      </c>
      <c r="BA414" s="150">
        <v>4.68</v>
      </c>
      <c r="BB414" s="150">
        <v>697000</v>
      </c>
      <c r="BC414" s="150">
        <v>1886973</v>
      </c>
    </row>
    <row r="415" spans="52:55">
      <c r="AZ415" s="149">
        <v>44461</v>
      </c>
      <c r="BA415" s="150">
        <v>4.6399999999999997</v>
      </c>
      <c r="BB415" s="150">
        <v>1100800</v>
      </c>
      <c r="BC415" s="150">
        <v>2133960</v>
      </c>
    </row>
    <row r="416" spans="52:55">
      <c r="AZ416" s="149">
        <v>44460</v>
      </c>
      <c r="BA416" s="150">
        <v>4.72</v>
      </c>
      <c r="BB416" s="150">
        <v>862000</v>
      </c>
      <c r="BC416" s="150">
        <v>2839740</v>
      </c>
    </row>
    <row r="417" spans="52:55">
      <c r="AZ417" s="149">
        <v>44459</v>
      </c>
      <c r="BA417" s="150">
        <v>4.67</v>
      </c>
      <c r="BB417" s="150">
        <v>1282700</v>
      </c>
      <c r="BC417" s="150">
        <v>3026420</v>
      </c>
    </row>
    <row r="418" spans="52:55">
      <c r="AZ418" s="149">
        <v>44456</v>
      </c>
      <c r="BA418" s="150">
        <v>4.72</v>
      </c>
      <c r="BB418" s="150">
        <v>5462500</v>
      </c>
      <c r="BC418" s="150">
        <v>3258147</v>
      </c>
    </row>
    <row r="419" spans="52:55">
      <c r="AZ419" s="149">
        <v>44454</v>
      </c>
      <c r="BA419" s="150">
        <v>4.7</v>
      </c>
      <c r="BB419" s="150">
        <v>1753100</v>
      </c>
      <c r="BC419" s="150">
        <v>3054320</v>
      </c>
    </row>
    <row r="420" spans="52:55">
      <c r="AZ420" s="149">
        <v>44453</v>
      </c>
      <c r="BA420" s="150">
        <v>4.7699999999999996</v>
      </c>
      <c r="BB420" s="150">
        <v>2572700</v>
      </c>
      <c r="BC420" s="150">
        <v>3114373</v>
      </c>
    </row>
    <row r="421" spans="52:55">
      <c r="AZ421" s="149">
        <v>44452</v>
      </c>
      <c r="BA421" s="150">
        <v>4.76</v>
      </c>
      <c r="BB421" s="150">
        <v>1220900</v>
      </c>
      <c r="BC421" s="150">
        <v>3092467</v>
      </c>
    </row>
    <row r="422" spans="52:55">
      <c r="AZ422" s="149">
        <v>44449</v>
      </c>
      <c r="BA422" s="150">
        <v>4.66</v>
      </c>
      <c r="BB422" s="150">
        <v>2280200</v>
      </c>
      <c r="BC422" s="150">
        <v>3149660</v>
      </c>
    </row>
    <row r="423" spans="52:55">
      <c r="AZ423" s="149">
        <v>44448</v>
      </c>
      <c r="BA423" s="150">
        <v>4.72</v>
      </c>
      <c r="BB423" s="150">
        <v>1572200</v>
      </c>
      <c r="BC423" s="150">
        <v>3015720</v>
      </c>
    </row>
    <row r="424" spans="52:55">
      <c r="AZ424" s="149">
        <v>44447</v>
      </c>
      <c r="BA424" s="150">
        <v>4.78</v>
      </c>
      <c r="BB424" s="150">
        <v>4103500</v>
      </c>
      <c r="BC424" s="150">
        <v>2969413</v>
      </c>
    </row>
    <row r="425" spans="52:55">
      <c r="AZ425" s="149">
        <v>44446</v>
      </c>
      <c r="BA425" s="150">
        <v>4.62</v>
      </c>
      <c r="BB425" s="150">
        <v>798800</v>
      </c>
      <c r="BC425" s="150">
        <v>2806573</v>
      </c>
    </row>
    <row r="426" spans="52:55">
      <c r="AZ426" s="149">
        <v>44445</v>
      </c>
      <c r="BA426" s="150">
        <v>4.63</v>
      </c>
      <c r="BB426" s="150">
        <v>979000</v>
      </c>
      <c r="BC426" s="150">
        <v>2789753</v>
      </c>
    </row>
    <row r="427" spans="52:55">
      <c r="AZ427" s="149">
        <v>44442</v>
      </c>
      <c r="BA427" s="150">
        <v>4.6399999999999997</v>
      </c>
      <c r="BB427" s="150">
        <v>1523000</v>
      </c>
      <c r="BC427" s="150">
        <v>2753513</v>
      </c>
    </row>
    <row r="428" spans="52:55">
      <c r="AZ428" s="149">
        <v>44441</v>
      </c>
      <c r="BA428" s="150">
        <v>4.49</v>
      </c>
      <c r="BB428" s="150">
        <v>2096200</v>
      </c>
      <c r="BC428" s="150">
        <v>2677313</v>
      </c>
    </row>
    <row r="429" spans="52:55">
      <c r="AZ429" s="149">
        <v>44440</v>
      </c>
      <c r="BA429" s="150">
        <v>4.58</v>
      </c>
      <c r="BB429" s="150">
        <v>4401800</v>
      </c>
      <c r="BC429" s="150">
        <v>2585100</v>
      </c>
    </row>
    <row r="430" spans="52:55">
      <c r="AZ430" s="149">
        <v>44438</v>
      </c>
      <c r="BA430" s="150">
        <v>4.6900000000000004</v>
      </c>
      <c r="BB430" s="150">
        <v>11687500</v>
      </c>
      <c r="BC430" s="150">
        <v>2315047</v>
      </c>
    </row>
    <row r="431" spans="52:55">
      <c r="AZ431" s="149">
        <v>44435</v>
      </c>
      <c r="BA431" s="150">
        <v>4.7</v>
      </c>
      <c r="BB431" s="150">
        <v>3662200</v>
      </c>
      <c r="BC431" s="150">
        <v>1570427</v>
      </c>
    </row>
    <row r="432" spans="52:55">
      <c r="AZ432" s="149">
        <v>44434</v>
      </c>
      <c r="BA432" s="150">
        <v>4.67</v>
      </c>
      <c r="BB432" s="150">
        <v>4758600</v>
      </c>
      <c r="BC432" s="150">
        <v>1380913</v>
      </c>
    </row>
    <row r="433" spans="52:55">
      <c r="AZ433" s="149">
        <v>44433</v>
      </c>
      <c r="BA433" s="150">
        <v>4.6500000000000004</v>
      </c>
      <c r="BB433" s="150">
        <v>2405100</v>
      </c>
      <c r="BC433" s="150">
        <v>1168040</v>
      </c>
    </row>
    <row r="434" spans="52:55">
      <c r="AZ434" s="149">
        <v>44432</v>
      </c>
      <c r="BA434" s="150">
        <v>4.53</v>
      </c>
      <c r="BB434" s="150">
        <v>2653900</v>
      </c>
      <c r="BC434" s="150">
        <v>1141893</v>
      </c>
    </row>
    <row r="435" spans="52:55">
      <c r="AZ435" s="149">
        <v>44431</v>
      </c>
      <c r="BA435" s="150">
        <v>4.5199999999999996</v>
      </c>
      <c r="BB435" s="150">
        <v>2244100</v>
      </c>
      <c r="BC435" s="150">
        <v>1041667</v>
      </c>
    </row>
    <row r="436" spans="52:55">
      <c r="AZ436" s="149">
        <v>44428</v>
      </c>
      <c r="BA436" s="150">
        <v>4.5</v>
      </c>
      <c r="BB436" s="150">
        <v>2078800</v>
      </c>
      <c r="BC436" s="150">
        <v>1144793</v>
      </c>
    </row>
    <row r="437" spans="52:55">
      <c r="AZ437" s="149">
        <v>44427</v>
      </c>
      <c r="BA437" s="150">
        <v>4.4000000000000004</v>
      </c>
      <c r="BB437" s="150">
        <v>271100</v>
      </c>
      <c r="BC437" s="150">
        <v>1054927</v>
      </c>
    </row>
    <row r="438" spans="52:55">
      <c r="AZ438" s="149">
        <v>44426</v>
      </c>
      <c r="BA438" s="150">
        <v>4.37</v>
      </c>
      <c r="BB438" s="150">
        <v>877600</v>
      </c>
      <c r="BC438" s="150">
        <v>1069507</v>
      </c>
    </row>
    <row r="439" spans="52:55">
      <c r="AZ439" s="149">
        <v>44425</v>
      </c>
      <c r="BA439" s="150">
        <v>4.45</v>
      </c>
      <c r="BB439" s="150">
        <v>1660900</v>
      </c>
      <c r="BC439" s="150">
        <v>1058207</v>
      </c>
    </row>
    <row r="440" spans="52:55">
      <c r="AZ440" s="149">
        <v>44424</v>
      </c>
      <c r="BA440" s="150">
        <v>4.3899999999999997</v>
      </c>
      <c r="BB440" s="150">
        <v>546500</v>
      </c>
      <c r="BC440" s="150">
        <v>1017927</v>
      </c>
    </row>
    <row r="441" spans="52:55">
      <c r="AZ441" s="149">
        <v>44421</v>
      </c>
      <c r="BA441" s="150">
        <v>4.3600000000000003</v>
      </c>
      <c r="BB441" s="150">
        <v>435400</v>
      </c>
      <c r="BC441" s="150">
        <v>999027</v>
      </c>
    </row>
    <row r="442" spans="52:55">
      <c r="AZ442" s="149">
        <v>44420</v>
      </c>
      <c r="BA442" s="150">
        <v>4.34</v>
      </c>
      <c r="BB442" s="150">
        <v>380000</v>
      </c>
      <c r="BC442" s="150">
        <v>1014633</v>
      </c>
    </row>
    <row r="443" spans="52:55">
      <c r="AZ443" s="149">
        <v>44419</v>
      </c>
      <c r="BA443" s="150">
        <v>4.3</v>
      </c>
      <c r="BB443" s="150">
        <v>713000</v>
      </c>
      <c r="BC443" s="150">
        <v>1083400</v>
      </c>
    </row>
    <row r="444" spans="52:55">
      <c r="AZ444" s="149">
        <v>44417</v>
      </c>
      <c r="BA444" s="150">
        <v>4.29</v>
      </c>
      <c r="BB444" s="150">
        <v>351000</v>
      </c>
      <c r="BC444" s="150">
        <v>1136080</v>
      </c>
    </row>
    <row r="445" spans="52:55">
      <c r="AZ445" s="149">
        <v>44414</v>
      </c>
      <c r="BA445" s="150">
        <v>4.32</v>
      </c>
      <c r="BB445" s="150">
        <v>518200</v>
      </c>
      <c r="BC445" s="150">
        <v>1192353</v>
      </c>
    </row>
    <row r="446" spans="52:55">
      <c r="AZ446" s="149">
        <v>44413</v>
      </c>
      <c r="BA446" s="150">
        <v>4.37</v>
      </c>
      <c r="BB446" s="150">
        <v>819500</v>
      </c>
      <c r="BC446" s="150">
        <v>1190953</v>
      </c>
    </row>
    <row r="447" spans="52:55">
      <c r="AZ447" s="149">
        <v>44412</v>
      </c>
      <c r="BA447" s="150">
        <v>4.3099999999999996</v>
      </c>
      <c r="BB447" s="150">
        <v>1565500</v>
      </c>
      <c r="BC447" s="150">
        <v>1196040</v>
      </c>
    </row>
    <row r="448" spans="52:55">
      <c r="AZ448" s="149">
        <v>44411</v>
      </c>
      <c r="BA448" s="150">
        <v>4.32</v>
      </c>
      <c r="BB448" s="150">
        <v>2012900</v>
      </c>
      <c r="BC448" s="150">
        <v>1247453</v>
      </c>
    </row>
    <row r="449" spans="52:55">
      <c r="AZ449" s="149">
        <v>44410</v>
      </c>
      <c r="BA449" s="150">
        <v>4.28</v>
      </c>
      <c r="BB449" s="150">
        <v>1150500</v>
      </c>
      <c r="BC449" s="150">
        <v>1171493</v>
      </c>
    </row>
    <row r="450" spans="52:55">
      <c r="AZ450" s="149">
        <v>44407</v>
      </c>
      <c r="BA450" s="150">
        <v>4.26</v>
      </c>
      <c r="BB450" s="150">
        <v>3791000</v>
      </c>
      <c r="BC450" s="150">
        <v>1133013</v>
      </c>
    </row>
    <row r="451" spans="52:55">
      <c r="AZ451" s="149">
        <v>44406</v>
      </c>
      <c r="BA451" s="150">
        <v>4.32</v>
      </c>
      <c r="BB451" s="150">
        <v>730800</v>
      </c>
      <c r="BC451" s="150">
        <v>1002967</v>
      </c>
    </row>
    <row r="452" spans="52:55">
      <c r="AZ452" s="149">
        <v>44405</v>
      </c>
      <c r="BA452" s="150">
        <v>4.32</v>
      </c>
      <c r="BB452" s="150">
        <v>489800</v>
      </c>
      <c r="BC452" s="150">
        <v>1031047</v>
      </c>
    </row>
    <row r="453" spans="52:55">
      <c r="AZ453" s="149">
        <v>44404</v>
      </c>
      <c r="BA453" s="150">
        <v>4.29</v>
      </c>
      <c r="BB453" s="150">
        <v>708100</v>
      </c>
      <c r="BC453" s="150">
        <v>1030447</v>
      </c>
    </row>
    <row r="454" spans="52:55">
      <c r="AZ454" s="149">
        <v>44403</v>
      </c>
      <c r="BA454" s="150">
        <v>4.3099999999999996</v>
      </c>
      <c r="BB454" s="150">
        <v>1056700</v>
      </c>
      <c r="BC454" s="150">
        <v>1036673</v>
      </c>
    </row>
    <row r="455" spans="52:55">
      <c r="AZ455" s="149">
        <v>44400</v>
      </c>
      <c r="BA455" s="150">
        <v>4.3899999999999997</v>
      </c>
      <c r="BB455" s="150">
        <v>263000</v>
      </c>
      <c r="BC455" s="150">
        <v>1027587</v>
      </c>
    </row>
    <row r="456" spans="52:55">
      <c r="AZ456" s="149">
        <v>44399</v>
      </c>
      <c r="BA456" s="150">
        <v>4.38</v>
      </c>
      <c r="BB456" s="150">
        <v>669500</v>
      </c>
      <c r="BC456" s="150">
        <v>1124913</v>
      </c>
    </row>
    <row r="457" spans="52:55">
      <c r="AZ457" s="149">
        <v>44398</v>
      </c>
      <c r="BA457" s="150">
        <v>4.32</v>
      </c>
      <c r="BB457" s="150">
        <v>1411500</v>
      </c>
      <c r="BC457" s="150">
        <v>1267087</v>
      </c>
    </row>
    <row r="458" spans="52:55">
      <c r="AZ458" s="149">
        <v>44396</v>
      </c>
      <c r="BA458" s="150">
        <v>4.3600000000000003</v>
      </c>
      <c r="BB458" s="150">
        <v>1503200</v>
      </c>
      <c r="BC458" s="150">
        <v>1246780</v>
      </c>
    </row>
    <row r="459" spans="52:55">
      <c r="AZ459" s="149">
        <v>44393</v>
      </c>
      <c r="BA459" s="150">
        <v>4.38</v>
      </c>
      <c r="BB459" s="150">
        <v>1195100</v>
      </c>
      <c r="BC459" s="150">
        <v>1247093</v>
      </c>
    </row>
    <row r="460" spans="52:55">
      <c r="AZ460" s="149">
        <v>44392</v>
      </c>
      <c r="BA460" s="150">
        <v>4.3499999999999996</v>
      </c>
      <c r="BB460" s="150">
        <v>497200</v>
      </c>
      <c r="BC460" s="150">
        <v>1216093</v>
      </c>
    </row>
    <row r="461" spans="52:55">
      <c r="AZ461" s="149">
        <v>44391</v>
      </c>
      <c r="BA461" s="150">
        <v>4.33</v>
      </c>
      <c r="BB461" s="150">
        <v>895800</v>
      </c>
      <c r="BC461" s="150">
        <v>1355573</v>
      </c>
    </row>
    <row r="462" spans="52:55">
      <c r="AZ462" s="149">
        <v>44390</v>
      </c>
      <c r="BA462" s="150">
        <v>4.41</v>
      </c>
      <c r="BB462" s="150">
        <v>2336700</v>
      </c>
      <c r="BC462" s="150">
        <v>1378633</v>
      </c>
    </row>
    <row r="463" spans="52:55">
      <c r="AZ463" s="149">
        <v>44389</v>
      </c>
      <c r="BA463" s="150">
        <v>4.3899999999999997</v>
      </c>
      <c r="BB463" s="150">
        <v>873500</v>
      </c>
      <c r="BC463" s="150">
        <v>1266393</v>
      </c>
    </row>
    <row r="464" spans="52:55">
      <c r="AZ464" s="149">
        <v>44386</v>
      </c>
      <c r="BA464" s="150">
        <v>4.42</v>
      </c>
      <c r="BB464" s="150">
        <v>573300</v>
      </c>
      <c r="BC464" s="150">
        <v>1333213</v>
      </c>
    </row>
    <row r="465" spans="52:55">
      <c r="AZ465" s="149">
        <v>44385</v>
      </c>
      <c r="BA465" s="150">
        <v>4.3499999999999996</v>
      </c>
      <c r="BB465" s="150">
        <v>1840300</v>
      </c>
      <c r="BC465" s="150">
        <v>1793060</v>
      </c>
    </row>
    <row r="466" spans="52:55">
      <c r="AZ466" s="149">
        <v>44384</v>
      </c>
      <c r="BA466" s="150">
        <v>4.42</v>
      </c>
      <c r="BB466" s="150">
        <v>1152000</v>
      </c>
      <c r="BC466" s="150">
        <v>1796727</v>
      </c>
    </row>
    <row r="467" spans="52:55">
      <c r="AZ467" s="149">
        <v>44383</v>
      </c>
      <c r="BA467" s="150">
        <v>4.42</v>
      </c>
      <c r="BB467" s="150">
        <v>480800</v>
      </c>
      <c r="BC467" s="150">
        <v>1784593</v>
      </c>
    </row>
    <row r="468" spans="52:55">
      <c r="AZ468" s="149">
        <v>44382</v>
      </c>
      <c r="BA468" s="150">
        <v>4.43</v>
      </c>
      <c r="BB468" s="150">
        <v>801500</v>
      </c>
      <c r="BC468" s="150">
        <v>1826593</v>
      </c>
    </row>
    <row r="469" spans="52:55">
      <c r="AZ469" s="149">
        <v>44379</v>
      </c>
      <c r="BA469" s="150">
        <v>4.41</v>
      </c>
      <c r="BB469" s="150">
        <v>920400</v>
      </c>
      <c r="BC469" s="150">
        <v>1869360</v>
      </c>
    </row>
    <row r="470" spans="52:55">
      <c r="AZ470" s="149">
        <v>44378</v>
      </c>
      <c r="BA470" s="150">
        <v>4.4000000000000004</v>
      </c>
      <c r="BB470" s="150">
        <v>1722900</v>
      </c>
      <c r="BC470" s="150">
        <v>2085387</v>
      </c>
    </row>
    <row r="471" spans="52:55">
      <c r="AZ471" s="149">
        <v>44377</v>
      </c>
      <c r="BA471" s="150">
        <v>4.3899999999999997</v>
      </c>
      <c r="BB471" s="150">
        <v>2802100</v>
      </c>
      <c r="BC471" s="150">
        <v>2047673</v>
      </c>
    </row>
    <row r="472" spans="52:55">
      <c r="AZ472" s="149">
        <v>44376</v>
      </c>
      <c r="BA472" s="150">
        <v>4.43</v>
      </c>
      <c r="BB472" s="150">
        <v>1106900</v>
      </c>
      <c r="BC472" s="150">
        <v>1977267</v>
      </c>
    </row>
    <row r="473" spans="52:55">
      <c r="AZ473" s="149">
        <v>44375</v>
      </c>
      <c r="BA473" s="150">
        <v>4.42</v>
      </c>
      <c r="BB473" s="150">
        <v>1507900</v>
      </c>
      <c r="BC473" s="150">
        <v>2054833</v>
      </c>
    </row>
    <row r="474" spans="52:55">
      <c r="AZ474" s="149">
        <v>44372</v>
      </c>
      <c r="BA474" s="150">
        <v>4.47</v>
      </c>
      <c r="BB474" s="150">
        <v>730100</v>
      </c>
      <c r="BC474" s="150">
        <v>2081633</v>
      </c>
    </row>
    <row r="475" spans="52:55">
      <c r="AZ475" s="149">
        <v>44371</v>
      </c>
      <c r="BA475" s="150">
        <v>4.5</v>
      </c>
      <c r="BB475" s="150">
        <v>2589400</v>
      </c>
      <c r="BC475" s="150">
        <v>2124127</v>
      </c>
    </row>
    <row r="476" spans="52:55">
      <c r="AZ476" s="149">
        <v>44370</v>
      </c>
      <c r="BA476" s="150">
        <v>4.5199999999999996</v>
      </c>
      <c r="BB476" s="150">
        <v>1241700</v>
      </c>
      <c r="BC476" s="150">
        <v>2114600</v>
      </c>
    </row>
    <row r="477" spans="52:55">
      <c r="AZ477" s="149">
        <v>44369</v>
      </c>
      <c r="BA477" s="150">
        <v>4.5199999999999996</v>
      </c>
      <c r="BB477" s="150">
        <v>653100</v>
      </c>
      <c r="BC477" s="150">
        <v>2046253</v>
      </c>
    </row>
    <row r="478" spans="52:55">
      <c r="AZ478" s="149">
        <v>44368</v>
      </c>
      <c r="BA478" s="150">
        <v>4.5199999999999996</v>
      </c>
      <c r="BB478" s="150">
        <v>1875800</v>
      </c>
      <c r="BC478" s="150">
        <v>2055187</v>
      </c>
    </row>
    <row r="479" spans="52:55">
      <c r="AZ479" s="149">
        <v>44365</v>
      </c>
      <c r="BA479" s="150">
        <v>4.4400000000000004</v>
      </c>
      <c r="BB479" s="150">
        <v>7471000</v>
      </c>
      <c r="BC479" s="150">
        <v>2042433</v>
      </c>
    </row>
    <row r="480" spans="52:55">
      <c r="AZ480" s="149">
        <v>44364</v>
      </c>
      <c r="BA480" s="150">
        <v>4.4800000000000004</v>
      </c>
      <c r="BB480" s="150">
        <v>1895300</v>
      </c>
      <c r="BC480" s="150">
        <v>2068740</v>
      </c>
    </row>
    <row r="481" spans="52:55">
      <c r="AZ481" s="149">
        <v>44363</v>
      </c>
      <c r="BA481" s="150">
        <v>4.5599999999999996</v>
      </c>
      <c r="BB481" s="150">
        <v>970000</v>
      </c>
      <c r="BC481" s="150">
        <v>2094947</v>
      </c>
    </row>
    <row r="482" spans="52:55">
      <c r="AZ482" s="149">
        <v>44362</v>
      </c>
      <c r="BA482" s="150">
        <v>4.54</v>
      </c>
      <c r="BB482" s="150">
        <v>1110800</v>
      </c>
      <c r="BC482" s="150">
        <v>2107980</v>
      </c>
    </row>
    <row r="483" spans="52:55">
      <c r="AZ483" s="149">
        <v>44361</v>
      </c>
      <c r="BA483" s="150">
        <v>4.5</v>
      </c>
      <c r="BB483" s="150">
        <v>1443000</v>
      </c>
      <c r="BC483" s="150">
        <v>2108967</v>
      </c>
    </row>
    <row r="484" spans="52:55">
      <c r="AZ484" s="149">
        <v>44358</v>
      </c>
      <c r="BA484" s="150">
        <v>4.45</v>
      </c>
      <c r="BB484" s="150">
        <v>4160800</v>
      </c>
      <c r="BC484" s="150">
        <v>2135440</v>
      </c>
    </row>
    <row r="485" spans="52:55">
      <c r="AZ485" s="149">
        <v>44357</v>
      </c>
      <c r="BA485" s="150">
        <v>4.51</v>
      </c>
      <c r="BB485" s="150">
        <v>1157200</v>
      </c>
      <c r="BC485" s="150">
        <v>1914487</v>
      </c>
    </row>
    <row r="486" spans="52:55">
      <c r="AZ486" s="149">
        <v>44356</v>
      </c>
      <c r="BA486" s="150">
        <v>4.55</v>
      </c>
      <c r="BB486" s="150">
        <v>1746000</v>
      </c>
      <c r="BC486" s="150">
        <v>1920040</v>
      </c>
    </row>
    <row r="487" spans="52:55">
      <c r="AZ487" s="149">
        <v>44355</v>
      </c>
      <c r="BA487" s="150">
        <v>4.53</v>
      </c>
      <c r="BB487" s="150">
        <v>2270400</v>
      </c>
      <c r="BC487" s="150">
        <v>1956473</v>
      </c>
    </row>
    <row r="488" spans="52:55">
      <c r="AZ488" s="149">
        <v>44351</v>
      </c>
      <c r="BA488" s="150">
        <v>4.53</v>
      </c>
      <c r="BB488" s="150">
        <v>1909900</v>
      </c>
      <c r="BC488" s="150">
        <v>1861693</v>
      </c>
    </row>
    <row r="489" spans="52:55">
      <c r="AZ489" s="149">
        <v>44350</v>
      </c>
      <c r="BA489" s="150">
        <v>4.57</v>
      </c>
      <c r="BB489" s="150">
        <v>1367500</v>
      </c>
      <c r="BC489" s="150">
        <v>1776367</v>
      </c>
    </row>
    <row r="490" spans="52:55">
      <c r="AZ490" s="149">
        <v>44349</v>
      </c>
      <c r="BA490" s="150">
        <v>4.6100000000000003</v>
      </c>
      <c r="BB490" s="150">
        <v>2446500</v>
      </c>
      <c r="BC490" s="150">
        <v>1741560</v>
      </c>
    </row>
    <row r="491" spans="52:55">
      <c r="AZ491" s="149">
        <v>44348</v>
      </c>
      <c r="BA491" s="150">
        <v>4.63</v>
      </c>
      <c r="BB491" s="150">
        <v>216500</v>
      </c>
      <c r="BC491" s="150">
        <v>1640693</v>
      </c>
    </row>
    <row r="492" spans="52:55">
      <c r="AZ492" s="149">
        <v>44347</v>
      </c>
      <c r="BA492" s="150">
        <v>4.6500000000000004</v>
      </c>
      <c r="BB492" s="150">
        <v>787100</v>
      </c>
      <c r="BC492" s="150">
        <v>1742333</v>
      </c>
    </row>
    <row r="493" spans="52:55">
      <c r="AZ493" s="149">
        <v>44344</v>
      </c>
      <c r="BA493" s="150">
        <v>4.75</v>
      </c>
      <c r="BB493" s="150">
        <v>1684500</v>
      </c>
      <c r="BC493" s="150">
        <v>1766233</v>
      </c>
    </row>
    <row r="494" spans="52:55">
      <c r="AZ494" s="149">
        <v>44343</v>
      </c>
      <c r="BA494" s="150">
        <v>4.83</v>
      </c>
      <c r="BB494" s="150">
        <v>7865600</v>
      </c>
      <c r="BC494" s="150">
        <v>1694940</v>
      </c>
    </row>
    <row r="495" spans="52:55">
      <c r="AZ495" s="149">
        <v>44341</v>
      </c>
      <c r="BA495" s="150">
        <v>4.62</v>
      </c>
      <c r="BB495" s="150">
        <v>2288400</v>
      </c>
      <c r="BC495" s="150">
        <v>1227913</v>
      </c>
    </row>
    <row r="496" spans="52:55">
      <c r="AZ496" s="149">
        <v>44340</v>
      </c>
      <c r="BA496" s="150">
        <v>4.63</v>
      </c>
      <c r="BB496" s="150">
        <v>1165500</v>
      </c>
      <c r="BC496" s="150">
        <v>1255093</v>
      </c>
    </row>
    <row r="497" spans="52:55">
      <c r="AZ497" s="149">
        <v>44337</v>
      </c>
      <c r="BA497" s="150">
        <v>4.54</v>
      </c>
      <c r="BB497" s="150">
        <v>1125600</v>
      </c>
      <c r="BC497" s="150">
        <v>1247400</v>
      </c>
    </row>
    <row r="498" spans="52:55">
      <c r="AZ498" s="149">
        <v>44336</v>
      </c>
      <c r="BA498" s="150">
        <v>4.57</v>
      </c>
      <c r="BB498" s="150">
        <v>1840100</v>
      </c>
      <c r="BC498" s="150">
        <v>1278540</v>
      </c>
    </row>
    <row r="499" spans="52:55">
      <c r="AZ499" s="149">
        <v>44335</v>
      </c>
      <c r="BA499" s="150">
        <v>4.67</v>
      </c>
      <c r="BB499" s="150">
        <v>846500</v>
      </c>
      <c r="BC499" s="150">
        <v>1260620</v>
      </c>
    </row>
    <row r="500" spans="52:55">
      <c r="AZ500" s="149">
        <v>44334</v>
      </c>
      <c r="BA500" s="150">
        <v>4.7</v>
      </c>
      <c r="BB500" s="150">
        <v>1240500</v>
      </c>
      <c r="BC500" s="150">
        <v>1235873</v>
      </c>
    </row>
    <row r="501" spans="52:55">
      <c r="AZ501" s="149">
        <v>44333</v>
      </c>
      <c r="BA501" s="150">
        <v>4.63</v>
      </c>
      <c r="BB501" s="150">
        <v>2292500</v>
      </c>
      <c r="BC501" s="150">
        <v>1224173</v>
      </c>
    </row>
    <row r="502" spans="52:55">
      <c r="AZ502" s="149">
        <v>44328</v>
      </c>
      <c r="BA502" s="150">
        <v>4.53</v>
      </c>
      <c r="BB502" s="150">
        <v>848700</v>
      </c>
      <c r="BC502" s="150">
        <v>1162507</v>
      </c>
    </row>
    <row r="503" spans="52:55">
      <c r="AZ503" s="149">
        <v>44327</v>
      </c>
      <c r="BA503" s="150">
        <v>4.5599999999999996</v>
      </c>
      <c r="BB503" s="150">
        <v>630000</v>
      </c>
      <c r="BC503" s="150">
        <v>1180907</v>
      </c>
    </row>
    <row r="504" spans="52:55">
      <c r="AZ504" s="149">
        <v>44326</v>
      </c>
      <c r="BA504" s="150">
        <v>4.59</v>
      </c>
      <c r="BB504" s="150">
        <v>845400</v>
      </c>
      <c r="BC504" s="150">
        <v>1167413</v>
      </c>
    </row>
    <row r="505" spans="52:55">
      <c r="AZ505" s="149">
        <v>44323</v>
      </c>
      <c r="BA505" s="150">
        <v>4.5199999999999996</v>
      </c>
      <c r="BB505" s="150">
        <v>933500</v>
      </c>
      <c r="BC505" s="150">
        <v>1177533</v>
      </c>
    </row>
    <row r="506" spans="52:55">
      <c r="AZ506" s="149">
        <v>44322</v>
      </c>
      <c r="BA506" s="150">
        <v>4.57</v>
      </c>
      <c r="BB506" s="150">
        <v>1741100</v>
      </c>
      <c r="BC506" s="150">
        <v>1254387</v>
      </c>
    </row>
    <row r="507" spans="52:55">
      <c r="AZ507" s="149">
        <v>44321</v>
      </c>
      <c r="BA507" s="150">
        <v>4.5</v>
      </c>
      <c r="BB507" s="150">
        <v>1145600</v>
      </c>
      <c r="BC507" s="150">
        <v>1201993</v>
      </c>
    </row>
    <row r="508" spans="52:55">
      <c r="AZ508" s="149">
        <v>44320</v>
      </c>
      <c r="BA508" s="150">
        <v>4.5599999999999996</v>
      </c>
      <c r="BB508" s="150">
        <v>615100</v>
      </c>
      <c r="BC508" s="150">
        <v>1221793</v>
      </c>
    </row>
    <row r="509" spans="52:55">
      <c r="AZ509" s="149">
        <v>44319</v>
      </c>
      <c r="BA509" s="150">
        <v>4.5599999999999996</v>
      </c>
      <c r="BB509" s="150">
        <v>860200</v>
      </c>
      <c r="BC509" s="150">
        <v>1263580</v>
      </c>
    </row>
    <row r="510" spans="52:55">
      <c r="AZ510" s="149">
        <v>44316</v>
      </c>
      <c r="BA510" s="150">
        <v>4.5999999999999996</v>
      </c>
      <c r="BB510" s="150">
        <v>2696100</v>
      </c>
      <c r="BC510" s="150">
        <v>1564300</v>
      </c>
    </row>
    <row r="511" spans="52:55">
      <c r="AZ511" s="149">
        <v>44314</v>
      </c>
      <c r="BA511" s="150">
        <v>4.62</v>
      </c>
      <c r="BB511" s="150">
        <v>1050100</v>
      </c>
      <c r="BC511" s="150">
        <v>1616613</v>
      </c>
    </row>
    <row r="512" spans="52:55">
      <c r="AZ512" s="149">
        <v>44313</v>
      </c>
      <c r="BA512" s="150">
        <v>4.68</v>
      </c>
      <c r="BB512" s="150">
        <v>1592700</v>
      </c>
      <c r="BC512" s="150">
        <v>1681047</v>
      </c>
    </row>
    <row r="513" spans="52:55">
      <c r="AZ513" s="149">
        <v>44312</v>
      </c>
      <c r="BA513" s="150">
        <v>4.78</v>
      </c>
      <c r="BB513" s="150">
        <v>1571300</v>
      </c>
      <c r="BC513" s="150">
        <v>1716087</v>
      </c>
    </row>
    <row r="514" spans="52:55">
      <c r="AZ514" s="149">
        <v>44309</v>
      </c>
      <c r="BA514" s="150">
        <v>4.68</v>
      </c>
      <c r="BB514" s="150">
        <v>475300</v>
      </c>
      <c r="BC514" s="150">
        <v>1638760</v>
      </c>
    </row>
    <row r="515" spans="52:55">
      <c r="AZ515" s="149">
        <v>44308</v>
      </c>
      <c r="BA515" s="150">
        <v>4.7</v>
      </c>
      <c r="BB515" s="150">
        <v>1065000</v>
      </c>
      <c r="BC515" s="150">
        <v>1653860</v>
      </c>
    </row>
    <row r="516" spans="52:55">
      <c r="AZ516" s="149">
        <v>44307</v>
      </c>
      <c r="BA516" s="150">
        <v>4.68</v>
      </c>
      <c r="BB516" s="150">
        <v>1367500</v>
      </c>
      <c r="BC516" s="150">
        <v>1647700</v>
      </c>
    </row>
    <row r="517" spans="52:55">
      <c r="AZ517" s="149">
        <v>44306</v>
      </c>
      <c r="BA517" s="150">
        <v>4.78</v>
      </c>
      <c r="BB517" s="150">
        <v>1124700</v>
      </c>
      <c r="BC517" s="150">
        <v>1837000</v>
      </c>
    </row>
    <row r="518" spans="52:55">
      <c r="AZ518" s="149">
        <v>44305</v>
      </c>
      <c r="BA518" s="150">
        <v>4.72</v>
      </c>
      <c r="BB518" s="150">
        <v>427600</v>
      </c>
      <c r="BC518" s="150">
        <v>1817020</v>
      </c>
    </row>
    <row r="519" spans="52:55">
      <c r="AZ519" s="149">
        <v>44302</v>
      </c>
      <c r="BA519" s="150">
        <v>4.7</v>
      </c>
      <c r="BB519" s="150">
        <v>997200</v>
      </c>
      <c r="BC519" s="150">
        <v>1886913</v>
      </c>
    </row>
    <row r="520" spans="52:55">
      <c r="AZ520" s="149">
        <v>44301</v>
      </c>
      <c r="BA520" s="150">
        <v>4.62</v>
      </c>
      <c r="BB520" s="150">
        <v>2086300</v>
      </c>
      <c r="BC520" s="150">
        <v>1870447</v>
      </c>
    </row>
    <row r="521" spans="52:55">
      <c r="AZ521" s="149">
        <v>44300</v>
      </c>
      <c r="BA521" s="150">
        <v>4.7</v>
      </c>
      <c r="BB521" s="150">
        <v>955200</v>
      </c>
      <c r="BC521" s="150">
        <v>1803927</v>
      </c>
    </row>
    <row r="522" spans="52:55">
      <c r="AZ522" s="149">
        <v>44299</v>
      </c>
      <c r="BA522" s="150">
        <v>4.71</v>
      </c>
      <c r="BB522" s="150">
        <v>1442600</v>
      </c>
      <c r="BC522" s="150">
        <v>1837133</v>
      </c>
    </row>
    <row r="523" spans="52:55">
      <c r="AZ523" s="149">
        <v>44298</v>
      </c>
      <c r="BA523" s="150">
        <v>4.79</v>
      </c>
      <c r="BB523" s="150">
        <v>1241900</v>
      </c>
      <c r="BC523" s="150">
        <v>1804620</v>
      </c>
    </row>
    <row r="524" spans="52:55">
      <c r="AZ524" s="149">
        <v>44295</v>
      </c>
      <c r="BA524" s="150">
        <v>4.8</v>
      </c>
      <c r="BB524" s="150">
        <v>5371000</v>
      </c>
      <c r="BC524" s="150">
        <v>1840227</v>
      </c>
    </row>
    <row r="525" spans="52:55">
      <c r="AZ525" s="149">
        <v>44294</v>
      </c>
      <c r="BA525" s="150">
        <v>4.71</v>
      </c>
      <c r="BB525" s="150">
        <v>3480800</v>
      </c>
      <c r="BC525" s="150">
        <v>1771480</v>
      </c>
    </row>
    <row r="526" spans="52:55">
      <c r="AZ526" s="149">
        <v>44293</v>
      </c>
      <c r="BA526" s="150">
        <v>4.5999999999999996</v>
      </c>
      <c r="BB526" s="150">
        <v>2016600</v>
      </c>
      <c r="BC526" s="150">
        <v>1587133</v>
      </c>
    </row>
    <row r="527" spans="52:55">
      <c r="AZ527" s="149">
        <v>44292</v>
      </c>
      <c r="BA527" s="150">
        <v>4.49</v>
      </c>
      <c r="BB527" s="150">
        <v>2118300</v>
      </c>
      <c r="BC527" s="150">
        <v>1556913</v>
      </c>
    </row>
    <row r="528" spans="52:55">
      <c r="AZ528" s="149">
        <v>44291</v>
      </c>
      <c r="BA528" s="150">
        <v>4.53</v>
      </c>
      <c r="BB528" s="150">
        <v>411400</v>
      </c>
      <c r="BC528" s="150">
        <v>1514853</v>
      </c>
    </row>
    <row r="529" spans="52:55">
      <c r="AZ529" s="149">
        <v>44288</v>
      </c>
      <c r="BA529" s="150">
        <v>4.5</v>
      </c>
      <c r="BB529" s="150">
        <v>701800</v>
      </c>
      <c r="BC529" s="150">
        <v>1594313</v>
      </c>
    </row>
    <row r="530" spans="52:55">
      <c r="AZ530" s="149">
        <v>44287</v>
      </c>
      <c r="BA530" s="150">
        <v>4.51</v>
      </c>
      <c r="BB530" s="150">
        <v>972600</v>
      </c>
      <c r="BC530" s="150">
        <v>1702933</v>
      </c>
    </row>
    <row r="531" spans="52:55">
      <c r="AZ531" s="149">
        <v>44286</v>
      </c>
      <c r="BA531" s="150">
        <v>4.5199999999999996</v>
      </c>
      <c r="BB531" s="150">
        <v>4207000</v>
      </c>
      <c r="BC531" s="150">
        <v>1790280</v>
      </c>
    </row>
    <row r="532" spans="52:55">
      <c r="AZ532" s="149">
        <v>44285</v>
      </c>
      <c r="BA532" s="150">
        <v>4.6500000000000004</v>
      </c>
      <c r="BB532" s="150">
        <v>825000</v>
      </c>
      <c r="BC532" s="150">
        <v>1659153</v>
      </c>
    </row>
    <row r="533" spans="52:55">
      <c r="AZ533" s="149">
        <v>44284</v>
      </c>
      <c r="BA533" s="150">
        <v>4.6500000000000004</v>
      </c>
      <c r="BB533" s="150">
        <v>1476000</v>
      </c>
      <c r="BC533" s="150">
        <v>1816253</v>
      </c>
    </row>
    <row r="534" spans="52:55">
      <c r="AZ534" s="149">
        <v>44281</v>
      </c>
      <c r="BA534" s="150">
        <v>4.58</v>
      </c>
      <c r="BB534" s="150">
        <v>750200</v>
      </c>
      <c r="BC534" s="150">
        <v>1997500</v>
      </c>
    </row>
    <row r="535" spans="52:55">
      <c r="AZ535" s="149">
        <v>44280</v>
      </c>
      <c r="BA535" s="150">
        <v>4.58</v>
      </c>
      <c r="BB535" s="150">
        <v>1088500</v>
      </c>
      <c r="BC535" s="150">
        <v>2075133</v>
      </c>
    </row>
    <row r="536" spans="52:55">
      <c r="AZ536" s="149">
        <v>44279</v>
      </c>
      <c r="BA536" s="150">
        <v>4.5999999999999996</v>
      </c>
      <c r="BB536" s="150">
        <v>1453300</v>
      </c>
      <c r="BC536" s="150">
        <v>2171460</v>
      </c>
    </row>
    <row r="537" spans="52:55">
      <c r="AZ537" s="149">
        <v>44278</v>
      </c>
      <c r="BA537" s="150">
        <v>4.5999999999999996</v>
      </c>
      <c r="BB537" s="150">
        <v>954900</v>
      </c>
      <c r="BC537" s="150">
        <v>2282560</v>
      </c>
    </row>
    <row r="538" spans="52:55">
      <c r="AZ538" s="149">
        <v>44277</v>
      </c>
      <c r="BA538" s="150">
        <v>4.63</v>
      </c>
      <c r="BB538" s="150">
        <v>1776000</v>
      </c>
      <c r="BC538" s="150">
        <v>2439147</v>
      </c>
    </row>
    <row r="539" spans="52:55">
      <c r="AZ539" s="149">
        <v>44274</v>
      </c>
      <c r="BA539" s="150">
        <v>4.75</v>
      </c>
      <c r="BB539" s="150">
        <v>4339800</v>
      </c>
      <c r="BC539" s="150">
        <v>2543387</v>
      </c>
    </row>
    <row r="540" spans="52:55">
      <c r="AZ540" s="149">
        <v>44273</v>
      </c>
      <c r="BA540" s="150">
        <v>4.63</v>
      </c>
      <c r="BB540" s="150">
        <v>715600</v>
      </c>
      <c r="BC540" s="150">
        <v>2627367</v>
      </c>
    </row>
    <row r="541" spans="52:55">
      <c r="AZ541" s="149">
        <v>44272</v>
      </c>
      <c r="BA541" s="150">
        <v>4.6900000000000004</v>
      </c>
      <c r="BB541" s="150">
        <v>1563300</v>
      </c>
      <c r="BC541" s="150">
        <v>2747740</v>
      </c>
    </row>
    <row r="542" spans="52:55">
      <c r="AZ542" s="149">
        <v>44271</v>
      </c>
      <c r="BA542" s="150">
        <v>4.6100000000000003</v>
      </c>
      <c r="BB542" s="150">
        <v>1487400</v>
      </c>
      <c r="BC542" s="150">
        <v>2895273</v>
      </c>
    </row>
    <row r="543" spans="52:55">
      <c r="AZ543" s="149">
        <v>44270</v>
      </c>
      <c r="BA543" s="150">
        <v>4.63</v>
      </c>
      <c r="BB543" s="150">
        <v>1603300</v>
      </c>
      <c r="BC543" s="150">
        <v>3027353</v>
      </c>
    </row>
    <row r="544" spans="52:55">
      <c r="AZ544" s="149">
        <v>44267</v>
      </c>
      <c r="BA544" s="150">
        <v>4.53</v>
      </c>
      <c r="BB544" s="150">
        <v>2331100</v>
      </c>
      <c r="BC544" s="150">
        <v>3112060</v>
      </c>
    </row>
    <row r="545" spans="52:55">
      <c r="AZ545" s="149">
        <v>44266</v>
      </c>
      <c r="BA545" s="150">
        <v>4.63</v>
      </c>
      <c r="BB545" s="150">
        <v>2282800</v>
      </c>
      <c r="BC545" s="150">
        <v>3120973</v>
      </c>
    </row>
    <row r="546" spans="52:55">
      <c r="AZ546" s="149">
        <v>44265</v>
      </c>
      <c r="BA546" s="150">
        <v>4.72</v>
      </c>
      <c r="BB546" s="150">
        <v>2240100</v>
      </c>
      <c r="BC546" s="150">
        <v>3099140</v>
      </c>
    </row>
    <row r="547" spans="52:55">
      <c r="AZ547" s="149">
        <v>44264</v>
      </c>
      <c r="BA547" s="150">
        <v>4.5599999999999996</v>
      </c>
      <c r="BB547" s="150">
        <v>3181500</v>
      </c>
      <c r="BC547" s="150">
        <v>3083127</v>
      </c>
    </row>
    <row r="548" spans="52:55">
      <c r="AZ548" s="149">
        <v>44263</v>
      </c>
      <c r="BA548" s="150">
        <v>4.47</v>
      </c>
      <c r="BB548" s="150">
        <v>4194700</v>
      </c>
      <c r="BC548" s="150">
        <v>2921953</v>
      </c>
    </row>
    <row r="549" spans="52:55">
      <c r="AZ549" s="149">
        <v>44260</v>
      </c>
      <c r="BA549" s="150">
        <v>4.5599999999999996</v>
      </c>
      <c r="BB549" s="150">
        <v>1914700</v>
      </c>
      <c r="BC549" s="150">
        <v>2668753</v>
      </c>
    </row>
    <row r="550" spans="52:55">
      <c r="AZ550" s="149">
        <v>44259</v>
      </c>
      <c r="BA550" s="150">
        <v>4.57</v>
      </c>
      <c r="BB550" s="150">
        <v>2533400</v>
      </c>
      <c r="BC550" s="150">
        <v>2593900</v>
      </c>
    </row>
    <row r="551" spans="52:55">
      <c r="AZ551" s="149">
        <v>44258</v>
      </c>
      <c r="BA551" s="150">
        <v>4.62</v>
      </c>
      <c r="BB551" s="150">
        <v>3119800</v>
      </c>
      <c r="BC551" s="150">
        <v>2498633</v>
      </c>
    </row>
    <row r="552" spans="52:55">
      <c r="AZ552" s="149">
        <v>44257</v>
      </c>
      <c r="BA552" s="150">
        <v>4.6100000000000003</v>
      </c>
      <c r="BB552" s="150">
        <v>3303700</v>
      </c>
      <c r="BC552" s="150">
        <v>2363860</v>
      </c>
    </row>
    <row r="553" spans="52:55">
      <c r="AZ553" s="149">
        <v>44256</v>
      </c>
      <c r="BA553" s="150">
        <v>4.66</v>
      </c>
      <c r="BB553" s="150">
        <v>3339600</v>
      </c>
      <c r="BC553" s="150">
        <v>2210020</v>
      </c>
    </row>
    <row r="554" spans="52:55">
      <c r="AZ554" s="149">
        <v>44253</v>
      </c>
      <c r="BA554" s="150">
        <v>4.75</v>
      </c>
      <c r="BB554" s="150">
        <v>5599500</v>
      </c>
      <c r="BC554" s="150">
        <v>2043780</v>
      </c>
    </row>
    <row r="555" spans="52:55">
      <c r="AZ555" s="149">
        <v>44252</v>
      </c>
      <c r="BA555" s="150">
        <v>4.6900000000000004</v>
      </c>
      <c r="BB555" s="150">
        <v>2521200</v>
      </c>
      <c r="BC555" s="150">
        <v>1756640</v>
      </c>
    </row>
    <row r="556" spans="52:55">
      <c r="AZ556" s="149">
        <v>44251</v>
      </c>
      <c r="BA556" s="150">
        <v>4.66</v>
      </c>
      <c r="BB556" s="150">
        <v>3776300</v>
      </c>
      <c r="BC556" s="150">
        <v>1759627</v>
      </c>
    </row>
    <row r="557" spans="52:55">
      <c r="AZ557" s="149">
        <v>44250</v>
      </c>
      <c r="BA557" s="150">
        <v>4.68</v>
      </c>
      <c r="BB557" s="150">
        <v>3468600</v>
      </c>
      <c r="BC557" s="150">
        <v>1654760</v>
      </c>
    </row>
    <row r="558" spans="52:55">
      <c r="AZ558" s="149">
        <v>44249</v>
      </c>
      <c r="BA558" s="150">
        <v>4.66</v>
      </c>
      <c r="BB558" s="150">
        <v>2873900</v>
      </c>
      <c r="BC558" s="150">
        <v>1804967</v>
      </c>
    </row>
    <row r="559" spans="52:55">
      <c r="AZ559" s="149">
        <v>44246</v>
      </c>
      <c r="BA559" s="150">
        <v>4.75</v>
      </c>
      <c r="BB559" s="150">
        <v>2464800</v>
      </c>
      <c r="BC559" s="150">
        <v>1807413</v>
      </c>
    </row>
    <row r="560" spans="52:55">
      <c r="AZ560" s="149">
        <v>44245</v>
      </c>
      <c r="BA560" s="150">
        <v>4.67</v>
      </c>
      <c r="BB560" s="150">
        <v>1955300</v>
      </c>
      <c r="BC560" s="150">
        <v>1801660</v>
      </c>
    </row>
    <row r="561" spans="52:55">
      <c r="AZ561" s="149">
        <v>44244</v>
      </c>
      <c r="BA561" s="150">
        <v>4.8</v>
      </c>
      <c r="BB561" s="150">
        <v>1999900</v>
      </c>
      <c r="BC561" s="150">
        <v>1844907</v>
      </c>
    </row>
    <row r="562" spans="52:55">
      <c r="AZ562" s="149">
        <v>44243</v>
      </c>
      <c r="BA562" s="150">
        <v>4.88</v>
      </c>
      <c r="BB562" s="150">
        <v>763900</v>
      </c>
      <c r="BC562" s="150">
        <v>1857007</v>
      </c>
    </row>
    <row r="563" spans="52:55">
      <c r="AZ563" s="149">
        <v>44242</v>
      </c>
      <c r="BA563" s="150">
        <v>4.91</v>
      </c>
      <c r="BB563" s="150">
        <v>396700</v>
      </c>
      <c r="BC563" s="150">
        <v>1856660</v>
      </c>
    </row>
    <row r="564" spans="52:55">
      <c r="AZ564" s="149">
        <v>44238</v>
      </c>
      <c r="BA564" s="150">
        <v>4.83</v>
      </c>
      <c r="BB564" s="150">
        <v>791900</v>
      </c>
      <c r="BC564" s="150">
        <v>1937253</v>
      </c>
    </row>
    <row r="565" spans="52:55">
      <c r="AZ565" s="149">
        <v>44237</v>
      </c>
      <c r="BA565" s="150">
        <v>4.8499999999999996</v>
      </c>
      <c r="BB565" s="150">
        <v>1104400</v>
      </c>
      <c r="BC565" s="150">
        <v>1949267</v>
      </c>
    </row>
    <row r="566" spans="52:55">
      <c r="AZ566" s="149">
        <v>44236</v>
      </c>
      <c r="BA566" s="150">
        <v>4.84</v>
      </c>
      <c r="BB566" s="150">
        <v>1098200</v>
      </c>
      <c r="BC566" s="150">
        <v>1988073</v>
      </c>
    </row>
    <row r="567" spans="52:55">
      <c r="AZ567" s="149">
        <v>44235</v>
      </c>
      <c r="BA567" s="150">
        <v>4.83</v>
      </c>
      <c r="BB567" s="150">
        <v>996100</v>
      </c>
      <c r="BC567" s="150">
        <v>1956720</v>
      </c>
    </row>
    <row r="568" spans="52:55">
      <c r="AZ568" s="149">
        <v>44232</v>
      </c>
      <c r="BA568" s="150">
        <v>4.84</v>
      </c>
      <c r="BB568" s="150">
        <v>846000</v>
      </c>
      <c r="BC568" s="150">
        <v>2010073</v>
      </c>
    </row>
    <row r="569" spans="52:55">
      <c r="AZ569" s="149">
        <v>44231</v>
      </c>
      <c r="BA569" s="150">
        <v>4.8499999999999996</v>
      </c>
      <c r="BB569" s="150">
        <v>1292400</v>
      </c>
      <c r="BC569" s="150">
        <v>2074773</v>
      </c>
    </row>
    <row r="570" spans="52:55">
      <c r="AZ570" s="149">
        <v>44230</v>
      </c>
      <c r="BA570" s="150">
        <v>4.91</v>
      </c>
      <c r="BB570" s="150">
        <v>2566000</v>
      </c>
      <c r="BC570" s="150">
        <v>2063587</v>
      </c>
    </row>
    <row r="571" spans="52:55">
      <c r="AZ571" s="149">
        <v>44229</v>
      </c>
      <c r="BA571" s="150">
        <v>4.88</v>
      </c>
      <c r="BB571" s="150">
        <v>2203300</v>
      </c>
      <c r="BC571" s="150">
        <v>2011767</v>
      </c>
    </row>
    <row r="572" spans="52:55">
      <c r="AZ572" s="149">
        <v>44225</v>
      </c>
      <c r="BA572" s="150">
        <v>4.7699999999999996</v>
      </c>
      <c r="BB572" s="150">
        <v>5721700</v>
      </c>
      <c r="BC572" s="150">
        <v>2096347</v>
      </c>
    </row>
    <row r="573" spans="52:55">
      <c r="AZ573" s="149">
        <v>44223</v>
      </c>
      <c r="BA573" s="150">
        <v>4.8899999999999997</v>
      </c>
      <c r="BB573" s="150">
        <v>2910600</v>
      </c>
      <c r="BC573" s="150">
        <v>1880873</v>
      </c>
    </row>
    <row r="574" spans="52:55">
      <c r="AZ574" s="149">
        <v>44222</v>
      </c>
      <c r="BA574" s="150">
        <v>4.88</v>
      </c>
      <c r="BB574" s="150">
        <v>2378500</v>
      </c>
      <c r="BC574" s="150">
        <v>1760767</v>
      </c>
    </row>
    <row r="575" spans="52:55">
      <c r="AZ575" s="149">
        <v>44221</v>
      </c>
      <c r="BA575" s="150">
        <v>4.87</v>
      </c>
      <c r="BB575" s="150">
        <v>2604000</v>
      </c>
      <c r="BC575" s="150">
        <v>1689560</v>
      </c>
    </row>
    <row r="576" spans="52:55">
      <c r="AZ576" s="149">
        <v>44218</v>
      </c>
      <c r="BA576" s="150">
        <v>4.93</v>
      </c>
      <c r="BB576" s="150">
        <v>2181400</v>
      </c>
      <c r="BC576" s="150">
        <v>1572313</v>
      </c>
    </row>
    <row r="577" spans="52:55">
      <c r="AZ577" s="149">
        <v>44217</v>
      </c>
      <c r="BA577" s="150">
        <v>5.05</v>
      </c>
      <c r="BB577" s="150">
        <v>758700</v>
      </c>
      <c r="BC577" s="150">
        <v>1503253</v>
      </c>
    </row>
    <row r="578" spans="52:55">
      <c r="AZ578" s="149">
        <v>44216</v>
      </c>
      <c r="BA578" s="150">
        <v>5.04</v>
      </c>
      <c r="BB578" s="150">
        <v>1605600</v>
      </c>
      <c r="BC578" s="150">
        <v>1517147</v>
      </c>
    </row>
    <row r="579" spans="52:55">
      <c r="AZ579" s="149">
        <v>44215</v>
      </c>
      <c r="BA579" s="150">
        <v>5.04</v>
      </c>
      <c r="BB579" s="150">
        <v>972100</v>
      </c>
      <c r="BC579" s="150">
        <v>1441713</v>
      </c>
    </row>
    <row r="580" spans="52:55">
      <c r="AZ580" s="149">
        <v>44214</v>
      </c>
      <c r="BA580" s="150">
        <v>5.04</v>
      </c>
      <c r="BB580" s="150">
        <v>1686500</v>
      </c>
      <c r="BC580" s="150">
        <v>1393387</v>
      </c>
    </row>
    <row r="581" spans="52:55">
      <c r="AZ581" s="149">
        <v>44211</v>
      </c>
      <c r="BA581" s="150">
        <v>5.05</v>
      </c>
      <c r="BB581" s="150">
        <v>627900</v>
      </c>
      <c r="BC581" s="150">
        <v>1306013</v>
      </c>
    </row>
    <row r="582" spans="52:55">
      <c r="AZ582" s="149">
        <v>44210</v>
      </c>
      <c r="BA582" s="150">
        <v>5.07</v>
      </c>
      <c r="BB582" s="150">
        <v>1796400</v>
      </c>
      <c r="BC582" s="150">
        <v>1289920</v>
      </c>
    </row>
    <row r="583" spans="52:55">
      <c r="AZ583" s="149">
        <v>44209</v>
      </c>
      <c r="BA583" s="150">
        <v>5.05</v>
      </c>
      <c r="BB583" s="150">
        <v>1816500</v>
      </c>
      <c r="BC583" s="150">
        <v>1177153</v>
      </c>
    </row>
    <row r="584" spans="52:55">
      <c r="AZ584" s="149">
        <v>44208</v>
      </c>
      <c r="BA584" s="150">
        <v>5.04</v>
      </c>
      <c r="BB584" s="150">
        <v>1124600</v>
      </c>
      <c r="BC584" s="150">
        <v>1106873</v>
      </c>
    </row>
    <row r="585" spans="52:55">
      <c r="AZ585" s="149">
        <v>44207</v>
      </c>
      <c r="BA585" s="150">
        <v>5.0999999999999996</v>
      </c>
      <c r="BB585" s="150">
        <v>1788700</v>
      </c>
      <c r="BC585" s="150">
        <v>1298207</v>
      </c>
    </row>
    <row r="586" spans="52:55">
      <c r="AZ586" s="149">
        <v>44204</v>
      </c>
      <c r="BA586" s="150">
        <v>5.2</v>
      </c>
      <c r="BB586" s="150">
        <v>3472000</v>
      </c>
      <c r="BC586" s="150">
        <v>1279620</v>
      </c>
    </row>
    <row r="587" spans="52:55">
      <c r="AZ587" s="149">
        <v>44203</v>
      </c>
      <c r="BA587" s="150">
        <v>5.28</v>
      </c>
      <c r="BB587" s="150">
        <v>2489600</v>
      </c>
      <c r="BC587" s="150">
        <v>1162313</v>
      </c>
    </row>
    <row r="588" spans="52:55">
      <c r="AZ588" s="149">
        <v>44202</v>
      </c>
      <c r="BA588" s="150">
        <v>5.0599999999999996</v>
      </c>
      <c r="BB588" s="150">
        <v>1109000</v>
      </c>
      <c r="BC588" s="150">
        <v>1130433</v>
      </c>
    </row>
    <row r="589" spans="52:55">
      <c r="AZ589" s="149">
        <v>44201</v>
      </c>
      <c r="BA589" s="150">
        <v>5.15</v>
      </c>
      <c r="BB589" s="150">
        <v>1310400</v>
      </c>
      <c r="BC589" s="150">
        <v>1166813</v>
      </c>
    </row>
    <row r="590" spans="52:55">
      <c r="AZ590" s="149">
        <v>44200</v>
      </c>
      <c r="BA590" s="150">
        <v>5.07</v>
      </c>
      <c r="BB590" s="150">
        <v>845300</v>
      </c>
      <c r="BC590" s="150">
        <v>1195267</v>
      </c>
    </row>
    <row r="591" spans="52:55">
      <c r="AZ591" s="149">
        <v>44196</v>
      </c>
      <c r="BA591" s="150">
        <v>5.05</v>
      </c>
      <c r="BB591" s="150">
        <v>1145500</v>
      </c>
      <c r="BC591" s="150">
        <v>1182680</v>
      </c>
    </row>
    <row r="592" spans="52:55">
      <c r="AZ592" s="149">
        <v>44195</v>
      </c>
      <c r="BA592" s="150">
        <v>5.12</v>
      </c>
      <c r="BB592" s="150">
        <v>967100</v>
      </c>
      <c r="BC592" s="150">
        <v>1297593</v>
      </c>
    </row>
    <row r="593" spans="52:55">
      <c r="AZ593" s="149">
        <v>44194</v>
      </c>
      <c r="BA593" s="150">
        <v>5.05</v>
      </c>
      <c r="BB593" s="150">
        <v>474100</v>
      </c>
      <c r="BC593" s="150">
        <v>1290080</v>
      </c>
    </row>
    <row r="594" spans="52:55">
      <c r="AZ594" s="149">
        <v>44193</v>
      </c>
      <c r="BA594" s="150">
        <v>5.07</v>
      </c>
      <c r="BB594" s="150">
        <v>247200</v>
      </c>
      <c r="BC594" s="150">
        <v>1346200</v>
      </c>
    </row>
    <row r="595" spans="52:55">
      <c r="AZ595" s="149">
        <v>44189</v>
      </c>
      <c r="BA595" s="150">
        <v>5.05</v>
      </c>
      <c r="BB595" s="150">
        <v>375900</v>
      </c>
      <c r="BC595" s="150">
        <v>1445033</v>
      </c>
    </row>
    <row r="596" spans="52:55">
      <c r="AZ596" s="149">
        <v>44188</v>
      </c>
      <c r="BA596" s="150">
        <v>5.07</v>
      </c>
      <c r="BB596" s="150">
        <v>386500</v>
      </c>
      <c r="BC596" s="150">
        <v>1559000</v>
      </c>
    </row>
    <row r="597" spans="52:55">
      <c r="AZ597" s="149">
        <v>44187</v>
      </c>
      <c r="BA597" s="150">
        <v>5.07</v>
      </c>
      <c r="BB597" s="150">
        <v>104900</v>
      </c>
      <c r="BC597" s="150">
        <v>1861093</v>
      </c>
    </row>
    <row r="598" spans="52:55">
      <c r="AZ598" s="149">
        <v>44186</v>
      </c>
      <c r="BA598" s="150">
        <v>5.05</v>
      </c>
      <c r="BB598" s="150">
        <v>762300</v>
      </c>
      <c r="BC598" s="150">
        <v>1991387</v>
      </c>
    </row>
    <row r="599" spans="52:55">
      <c r="AZ599" s="149">
        <v>44183</v>
      </c>
      <c r="BA599" s="150">
        <v>5.01</v>
      </c>
      <c r="BB599" s="150">
        <v>3994600</v>
      </c>
      <c r="BC599" s="150">
        <v>2440253</v>
      </c>
    </row>
    <row r="600" spans="52:55">
      <c r="AZ600" s="149">
        <v>44182</v>
      </c>
      <c r="BA600" s="150">
        <v>5.09</v>
      </c>
      <c r="BB600" s="150">
        <v>1509900</v>
      </c>
      <c r="BC600" s="150">
        <v>2295347</v>
      </c>
    </row>
    <row r="601" spans="52:55">
      <c r="AZ601" s="149">
        <v>44181</v>
      </c>
      <c r="BA601" s="150">
        <v>5.0999999999999996</v>
      </c>
      <c r="BB601" s="150">
        <v>1712400</v>
      </c>
      <c r="BC601" s="150">
        <v>2242873</v>
      </c>
    </row>
    <row r="602" spans="52:55">
      <c r="AZ602" s="149">
        <v>44180</v>
      </c>
      <c r="BA602" s="150">
        <v>5.09</v>
      </c>
      <c r="BB602" s="150">
        <v>2011400</v>
      </c>
      <c r="BC602" s="150">
        <v>2150240</v>
      </c>
    </row>
    <row r="603" spans="52:55">
      <c r="AZ603" s="149">
        <v>44179</v>
      </c>
      <c r="BA603" s="150">
        <v>5.05</v>
      </c>
      <c r="BB603" s="150">
        <v>1654700</v>
      </c>
      <c r="BC603" s="150">
        <v>2051367</v>
      </c>
    </row>
    <row r="604" spans="52:55">
      <c r="AZ604" s="149">
        <v>44176</v>
      </c>
      <c r="BA604" s="150">
        <v>5.05</v>
      </c>
      <c r="BB604" s="150">
        <v>1737200</v>
      </c>
      <c r="BC604" s="150">
        <v>2015800</v>
      </c>
    </row>
    <row r="605" spans="52:55">
      <c r="AZ605" s="149">
        <v>44175</v>
      </c>
      <c r="BA605" s="150">
        <v>5.0199999999999996</v>
      </c>
      <c r="BB605" s="150">
        <v>656500</v>
      </c>
      <c r="BC605" s="150">
        <v>1949560</v>
      </c>
    </row>
    <row r="606" spans="52:55">
      <c r="AZ606" s="149">
        <v>44174</v>
      </c>
      <c r="BA606" s="150">
        <v>5</v>
      </c>
      <c r="BB606" s="150">
        <v>2869200</v>
      </c>
      <c r="BC606" s="150">
        <v>2003247</v>
      </c>
    </row>
    <row r="607" spans="52:55">
      <c r="AZ607" s="149">
        <v>44173</v>
      </c>
      <c r="BA607" s="150">
        <v>5.03</v>
      </c>
      <c r="BB607" s="150">
        <v>854400</v>
      </c>
      <c r="BC607" s="150">
        <v>1908980</v>
      </c>
    </row>
    <row r="608" spans="52:55">
      <c r="AZ608" s="149">
        <v>44172</v>
      </c>
      <c r="BA608" s="150">
        <v>4.99</v>
      </c>
      <c r="BB608" s="150">
        <v>1315900</v>
      </c>
      <c r="BC608" s="150">
        <v>1894433</v>
      </c>
    </row>
    <row r="609" spans="52:55">
      <c r="AZ609" s="149">
        <v>44169</v>
      </c>
      <c r="BA609" s="150">
        <v>4.99</v>
      </c>
      <c r="BB609" s="150">
        <v>1729700</v>
      </c>
      <c r="BC609" s="150">
        <v>1877120</v>
      </c>
    </row>
    <row r="610" spans="52:55">
      <c r="AZ610" s="149">
        <v>44168</v>
      </c>
      <c r="BA610" s="150">
        <v>5.04</v>
      </c>
      <c r="BB610" s="150">
        <v>2085400</v>
      </c>
      <c r="BC610" s="150">
        <v>1812613</v>
      </c>
    </row>
    <row r="611" spans="52:55">
      <c r="AZ611" s="149">
        <v>44167</v>
      </c>
      <c r="BA611" s="150">
        <v>4.92</v>
      </c>
      <c r="BB611" s="150">
        <v>4917900</v>
      </c>
      <c r="BC611" s="150">
        <v>1862180</v>
      </c>
    </row>
    <row r="612" spans="52:55">
      <c r="AZ612" s="149">
        <v>44166</v>
      </c>
      <c r="BA612" s="150">
        <v>4.9400000000000004</v>
      </c>
      <c r="BB612" s="150">
        <v>2059300</v>
      </c>
      <c r="BC612" s="150">
        <v>1616500</v>
      </c>
    </row>
    <row r="613" spans="52:55">
      <c r="AZ613" s="149">
        <v>44165</v>
      </c>
      <c r="BA613" s="150">
        <v>4.9000000000000004</v>
      </c>
      <c r="BB613" s="150">
        <v>7495300</v>
      </c>
      <c r="BC613" s="150">
        <v>1684153</v>
      </c>
    </row>
    <row r="614" spans="52:55">
      <c r="AZ614" s="149">
        <v>44162</v>
      </c>
      <c r="BA614" s="150">
        <v>5.0199999999999996</v>
      </c>
      <c r="BB614" s="150">
        <v>1821000</v>
      </c>
      <c r="BC614" s="150">
        <v>1314853</v>
      </c>
    </row>
    <row r="615" spans="52:55">
      <c r="AZ615" s="149">
        <v>44161</v>
      </c>
      <c r="BA615" s="150">
        <v>5.16</v>
      </c>
      <c r="BB615" s="150">
        <v>722800</v>
      </c>
      <c r="BC615" s="150">
        <v>1361840</v>
      </c>
    </row>
    <row r="616" spans="52:55">
      <c r="AZ616" s="149">
        <v>44160</v>
      </c>
      <c r="BA616" s="150">
        <v>5.16</v>
      </c>
      <c r="BB616" s="150">
        <v>322900</v>
      </c>
      <c r="BC616" s="150">
        <v>1407167</v>
      </c>
    </row>
    <row r="617" spans="52:55">
      <c r="AZ617" s="149">
        <v>44159</v>
      </c>
      <c r="BA617" s="150">
        <v>5.0999999999999996</v>
      </c>
      <c r="BB617" s="150">
        <v>528300</v>
      </c>
      <c r="BC617" s="150">
        <v>1425520</v>
      </c>
    </row>
    <row r="618" spans="52:55">
      <c r="AZ618" s="149">
        <v>44158</v>
      </c>
      <c r="BA618" s="150">
        <v>5.12</v>
      </c>
      <c r="BB618" s="150">
        <v>1121200</v>
      </c>
      <c r="BC618" s="150">
        <v>1438100</v>
      </c>
    </row>
    <row r="619" spans="52:55">
      <c r="AZ619" s="149">
        <v>44155</v>
      </c>
      <c r="BA619" s="150">
        <v>5.1100000000000003</v>
      </c>
      <c r="BB619" s="150">
        <v>743600</v>
      </c>
      <c r="BC619" s="150">
        <v>1417600</v>
      </c>
    </row>
    <row r="620" spans="52:55">
      <c r="AZ620" s="149">
        <v>44154</v>
      </c>
      <c r="BA620" s="150">
        <v>5.05</v>
      </c>
      <c r="BB620" s="150">
        <v>1461800</v>
      </c>
      <c r="BC620" s="150">
        <v>1527467</v>
      </c>
    </row>
    <row r="621" spans="52:55">
      <c r="AZ621" s="149">
        <v>44153</v>
      </c>
      <c r="BA621" s="150">
        <v>5.13</v>
      </c>
      <c r="BB621" s="150">
        <v>1455200</v>
      </c>
      <c r="BC621" s="150">
        <v>1509413</v>
      </c>
    </row>
    <row r="622" spans="52:55">
      <c r="AZ622" s="149">
        <v>44152</v>
      </c>
      <c r="BA622" s="150">
        <v>5.2</v>
      </c>
      <c r="BB622" s="150">
        <v>636200</v>
      </c>
      <c r="BC622" s="150">
        <v>1537700</v>
      </c>
    </row>
    <row r="623" spans="52:55">
      <c r="AZ623" s="149">
        <v>44151</v>
      </c>
      <c r="BA623" s="150">
        <v>5.14</v>
      </c>
      <c r="BB623" s="150">
        <v>1056200</v>
      </c>
      <c r="BC623" s="150">
        <v>1577940</v>
      </c>
    </row>
    <row r="624" spans="52:55">
      <c r="AZ624" s="149">
        <v>44148</v>
      </c>
      <c r="BA624" s="150">
        <v>5.2</v>
      </c>
      <c r="BB624" s="150">
        <v>762100</v>
      </c>
      <c r="BC624" s="150">
        <v>1524233</v>
      </c>
    </row>
    <row r="625" spans="52:55">
      <c r="AZ625" s="149">
        <v>44147</v>
      </c>
      <c r="BA625" s="150">
        <v>5.2</v>
      </c>
      <c r="BB625" s="150">
        <v>2828900</v>
      </c>
      <c r="BC625" s="150">
        <v>1538473</v>
      </c>
    </row>
    <row r="626" spans="52:55">
      <c r="AZ626" s="149">
        <v>44146</v>
      </c>
      <c r="BA626" s="150">
        <v>5.19</v>
      </c>
      <c r="BB626" s="150">
        <v>1232700</v>
      </c>
      <c r="BC626" s="150">
        <v>1409900</v>
      </c>
    </row>
    <row r="627" spans="52:55">
      <c r="AZ627" s="149">
        <v>44145</v>
      </c>
      <c r="BA627" s="150">
        <v>5.2</v>
      </c>
      <c r="BB627" s="150">
        <v>3074100</v>
      </c>
      <c r="BC627" s="150">
        <v>1372840</v>
      </c>
    </row>
    <row r="628" spans="52:55">
      <c r="AZ628" s="149">
        <v>44144</v>
      </c>
      <c r="BA628" s="150">
        <v>5.3</v>
      </c>
      <c r="BB628" s="150">
        <v>1955800</v>
      </c>
      <c r="BC628" s="150">
        <v>1236373</v>
      </c>
    </row>
    <row r="629" spans="52:55">
      <c r="AZ629" s="149">
        <v>44141</v>
      </c>
      <c r="BA629" s="150">
        <v>5.15</v>
      </c>
      <c r="BB629" s="150">
        <v>2525800</v>
      </c>
      <c r="BC629" s="150">
        <v>1177180</v>
      </c>
    </row>
    <row r="630" spans="52:55">
      <c r="AZ630" s="149">
        <v>44140</v>
      </c>
      <c r="BA630" s="150">
        <v>5.0199999999999996</v>
      </c>
      <c r="BB630" s="150">
        <v>1402700</v>
      </c>
      <c r="BC630" s="150">
        <v>1082920</v>
      </c>
    </row>
    <row r="631" spans="52:55">
      <c r="AZ631" s="149">
        <v>44139</v>
      </c>
      <c r="BA631" s="150">
        <v>4.93</v>
      </c>
      <c r="BB631" s="150">
        <v>598200</v>
      </c>
      <c r="BC631" s="150">
        <v>1102200</v>
      </c>
    </row>
    <row r="632" spans="52:55">
      <c r="AZ632" s="149">
        <v>44138</v>
      </c>
      <c r="BA632" s="150">
        <v>4.8899999999999997</v>
      </c>
      <c r="BB632" s="150">
        <v>717000</v>
      </c>
      <c r="BC632" s="150">
        <v>1117393</v>
      </c>
    </row>
    <row r="633" spans="52:55">
      <c r="AZ633" s="149">
        <v>44137</v>
      </c>
      <c r="BA633" s="150">
        <v>4.84</v>
      </c>
      <c r="BB633" s="150">
        <v>813700</v>
      </c>
      <c r="BC633" s="150">
        <v>1116327</v>
      </c>
    </row>
    <row r="634" spans="52:55">
      <c r="AZ634" s="149">
        <v>44134</v>
      </c>
      <c r="BA634" s="150">
        <v>4.8</v>
      </c>
      <c r="BB634" s="150">
        <v>2391600</v>
      </c>
      <c r="BC634" s="150">
        <v>1167440</v>
      </c>
    </row>
    <row r="635" spans="52:55">
      <c r="AZ635" s="149">
        <v>44132</v>
      </c>
      <c r="BA635" s="150">
        <v>4.92</v>
      </c>
      <c r="BB635" s="150">
        <v>1191000</v>
      </c>
      <c r="BC635" s="150">
        <v>1097140</v>
      </c>
    </row>
    <row r="636" spans="52:55">
      <c r="AZ636" s="149">
        <v>44131</v>
      </c>
      <c r="BA636" s="150">
        <v>4.96</v>
      </c>
      <c r="BB636" s="150">
        <v>1879500</v>
      </c>
      <c r="BC636" s="150">
        <v>1174047</v>
      </c>
    </row>
    <row r="637" spans="52:55">
      <c r="AZ637" s="149">
        <v>44130</v>
      </c>
      <c r="BA637" s="150">
        <v>4.93</v>
      </c>
      <c r="BB637" s="150">
        <v>1239800</v>
      </c>
      <c r="BC637" s="150">
        <v>1118653</v>
      </c>
    </row>
    <row r="638" spans="52:55">
      <c r="AZ638" s="149">
        <v>44127</v>
      </c>
      <c r="BA638" s="150">
        <v>4.9800000000000004</v>
      </c>
      <c r="BB638" s="150">
        <v>250600</v>
      </c>
      <c r="BC638" s="150">
        <v>1113633</v>
      </c>
    </row>
    <row r="639" spans="52:55">
      <c r="AZ639" s="149">
        <v>44126</v>
      </c>
      <c r="BA639" s="150">
        <v>4.99</v>
      </c>
      <c r="BB639" s="150">
        <v>975700</v>
      </c>
      <c r="BC639" s="150">
        <v>1157647</v>
      </c>
    </row>
    <row r="640" spans="52:55">
      <c r="AZ640" s="149">
        <v>44125</v>
      </c>
      <c r="BA640" s="150">
        <v>4.92</v>
      </c>
      <c r="BB640" s="150">
        <v>900300</v>
      </c>
      <c r="BC640" s="150">
        <v>1116513</v>
      </c>
    </row>
    <row r="641" spans="52:55">
      <c r="AZ641" s="149">
        <v>44124</v>
      </c>
      <c r="BA641" s="150">
        <v>4.91</v>
      </c>
      <c r="BB641" s="150">
        <v>676800</v>
      </c>
      <c r="BC641" s="150">
        <v>1179073</v>
      </c>
    </row>
    <row r="642" spans="52:55">
      <c r="AZ642" s="149">
        <v>44123</v>
      </c>
      <c r="BA642" s="150">
        <v>4.96</v>
      </c>
      <c r="BB642" s="150">
        <v>1027100</v>
      </c>
      <c r="BC642" s="150">
        <v>1347873</v>
      </c>
    </row>
    <row r="643" spans="52:55">
      <c r="AZ643" s="149">
        <v>44120</v>
      </c>
      <c r="BA643" s="150">
        <v>4.92</v>
      </c>
      <c r="BB643" s="150">
        <v>1067900</v>
      </c>
      <c r="BC643" s="150">
        <v>1360920</v>
      </c>
    </row>
    <row r="644" spans="52:55">
      <c r="AZ644" s="149">
        <v>44119</v>
      </c>
      <c r="BA644" s="150">
        <v>5.0199999999999996</v>
      </c>
      <c r="BB644" s="150">
        <v>1111900</v>
      </c>
      <c r="BC644" s="150">
        <v>1383920</v>
      </c>
    </row>
    <row r="645" spans="52:55">
      <c r="AZ645" s="149">
        <v>44118</v>
      </c>
      <c r="BA645" s="150">
        <v>5.03</v>
      </c>
      <c r="BB645" s="150">
        <v>1691900</v>
      </c>
      <c r="BC645" s="150">
        <v>1419527</v>
      </c>
    </row>
    <row r="646" spans="52:55">
      <c r="AZ646" s="149">
        <v>44117</v>
      </c>
      <c r="BA646" s="150">
        <v>5.12</v>
      </c>
      <c r="BB646" s="150">
        <v>826100</v>
      </c>
      <c r="BC646" s="150">
        <v>1367427</v>
      </c>
    </row>
    <row r="647" spans="52:55">
      <c r="AZ647" s="149">
        <v>44116</v>
      </c>
      <c r="BA647" s="150">
        <v>5.03</v>
      </c>
      <c r="BB647" s="150">
        <v>701000</v>
      </c>
      <c r="BC647" s="150">
        <v>1374427</v>
      </c>
    </row>
    <row r="648" spans="52:55">
      <c r="AZ648" s="149">
        <v>44113</v>
      </c>
      <c r="BA648" s="150">
        <v>5.05</v>
      </c>
      <c r="BB648" s="150">
        <v>1580400</v>
      </c>
      <c r="BC648" s="150">
        <v>1433413</v>
      </c>
    </row>
    <row r="649" spans="52:55">
      <c r="AZ649" s="149">
        <v>44112</v>
      </c>
      <c r="BA649" s="150">
        <v>5.09</v>
      </c>
      <c r="BB649" s="150">
        <v>1337100</v>
      </c>
      <c r="BC649" s="150">
        <v>1536300</v>
      </c>
    </row>
    <row r="650" spans="52:55">
      <c r="AZ650" s="149">
        <v>44111</v>
      </c>
      <c r="BA650" s="150">
        <v>5.03</v>
      </c>
      <c r="BB650" s="150">
        <v>2344600</v>
      </c>
      <c r="BC650" s="150">
        <v>1536567</v>
      </c>
    </row>
    <row r="651" spans="52:55">
      <c r="AZ651" s="149">
        <v>44110</v>
      </c>
      <c r="BA651" s="150">
        <v>5.04</v>
      </c>
      <c r="BB651" s="150">
        <v>1048600</v>
      </c>
      <c r="BC651" s="150">
        <v>1442987</v>
      </c>
    </row>
    <row r="652" spans="52:55">
      <c r="AZ652" s="149">
        <v>44109</v>
      </c>
      <c r="BA652" s="150">
        <v>4.9000000000000004</v>
      </c>
      <c r="BB652" s="150">
        <v>1164500</v>
      </c>
      <c r="BC652" s="150">
        <v>1414313</v>
      </c>
    </row>
    <row r="653" spans="52:55">
      <c r="AZ653" s="149">
        <v>44106</v>
      </c>
      <c r="BA653" s="150">
        <v>4.92</v>
      </c>
      <c r="BB653" s="150">
        <v>910800</v>
      </c>
      <c r="BC653" s="150">
        <v>1461300</v>
      </c>
    </row>
    <row r="654" spans="52:55">
      <c r="AZ654" s="149">
        <v>44105</v>
      </c>
      <c r="BA654" s="150">
        <v>5.03</v>
      </c>
      <c r="BB654" s="150">
        <v>358700</v>
      </c>
      <c r="BC654" s="150">
        <v>1590320</v>
      </c>
    </row>
    <row r="655" spans="52:55">
      <c r="AZ655" s="149">
        <v>44104</v>
      </c>
      <c r="BA655" s="150">
        <v>5.08</v>
      </c>
      <c r="BB655" s="150">
        <v>1838700</v>
      </c>
      <c r="BC655" s="150">
        <v>1626580</v>
      </c>
    </row>
    <row r="656" spans="52:55">
      <c r="AZ656" s="149">
        <v>44103</v>
      </c>
      <c r="BA656" s="150">
        <v>4.95</v>
      </c>
      <c r="BB656" s="150">
        <v>3208800</v>
      </c>
      <c r="BC656" s="150">
        <v>1580020</v>
      </c>
    </row>
    <row r="657" spans="52:55">
      <c r="AZ657" s="149">
        <v>44102</v>
      </c>
      <c r="BA657" s="150">
        <v>4.97</v>
      </c>
      <c r="BB657" s="150">
        <v>1222800</v>
      </c>
      <c r="BC657" s="150">
        <v>1390873</v>
      </c>
    </row>
    <row r="658" spans="52:55">
      <c r="AZ658" s="149">
        <v>44099</v>
      </c>
      <c r="BA658" s="150">
        <v>4.97</v>
      </c>
      <c r="BB658" s="150">
        <v>1412900</v>
      </c>
      <c r="BC658" s="150">
        <v>1394060</v>
      </c>
    </row>
    <row r="659" spans="52:55">
      <c r="AZ659" s="149">
        <v>44098</v>
      </c>
      <c r="BA659" s="150">
        <v>4.96</v>
      </c>
      <c r="BB659" s="150">
        <v>1646000</v>
      </c>
      <c r="BC659" s="150">
        <v>1483287</v>
      </c>
    </row>
    <row r="660" spans="52:55">
      <c r="AZ660" s="149">
        <v>44097</v>
      </c>
      <c r="BA660" s="150">
        <v>5.05</v>
      </c>
      <c r="BB660" s="150">
        <v>910400</v>
      </c>
      <c r="BC660" s="150">
        <v>1478867</v>
      </c>
    </row>
    <row r="661" spans="52:55">
      <c r="AZ661" s="149">
        <v>44096</v>
      </c>
      <c r="BA661" s="150">
        <v>5.04</v>
      </c>
      <c r="BB661" s="150">
        <v>931100</v>
      </c>
      <c r="BC661" s="150">
        <v>1659933</v>
      </c>
    </row>
    <row r="662" spans="52:55">
      <c r="AZ662" s="149">
        <v>44095</v>
      </c>
      <c r="BA662" s="150">
        <v>5.0199999999999996</v>
      </c>
      <c r="BB662" s="150">
        <v>1585800</v>
      </c>
      <c r="BC662" s="150">
        <v>2207793</v>
      </c>
    </row>
    <row r="663" spans="52:55">
      <c r="AZ663" s="149">
        <v>44092</v>
      </c>
      <c r="BA663" s="150">
        <v>5.14</v>
      </c>
      <c r="BB663" s="150">
        <v>3123700</v>
      </c>
      <c r="BC663" s="150">
        <v>2225587</v>
      </c>
    </row>
    <row r="664" spans="52:55">
      <c r="AZ664" s="149">
        <v>44091</v>
      </c>
      <c r="BA664" s="150">
        <v>5.05</v>
      </c>
      <c r="BB664" s="150">
        <v>1341100</v>
      </c>
      <c r="BC664" s="150">
        <v>2164373</v>
      </c>
    </row>
    <row r="665" spans="52:55">
      <c r="AZ665" s="149">
        <v>44089</v>
      </c>
      <c r="BA665" s="150">
        <v>5.13</v>
      </c>
      <c r="BB665" s="150">
        <v>940900</v>
      </c>
      <c r="BC665" s="150">
        <v>2175880</v>
      </c>
    </row>
    <row r="666" spans="52:55">
      <c r="AZ666" s="149">
        <v>44088</v>
      </c>
      <c r="BA666" s="150">
        <v>5.07</v>
      </c>
      <c r="BB666" s="150">
        <v>618500</v>
      </c>
      <c r="BC666" s="150">
        <v>2186313</v>
      </c>
    </row>
    <row r="667" spans="52:55">
      <c r="AZ667" s="149">
        <v>44085</v>
      </c>
      <c r="BA667" s="150">
        <v>5.08</v>
      </c>
      <c r="BB667" s="150">
        <v>1869300</v>
      </c>
      <c r="BC667" s="150">
        <v>2254760</v>
      </c>
    </row>
    <row r="668" spans="52:55">
      <c r="AZ668" s="149">
        <v>44084</v>
      </c>
      <c r="BA668" s="150">
        <v>5.12</v>
      </c>
      <c r="BB668" s="150">
        <v>2846100</v>
      </c>
      <c r="BC668" s="150">
        <v>2266907</v>
      </c>
    </row>
    <row r="669" spans="52:55">
      <c r="AZ669" s="149">
        <v>44083</v>
      </c>
      <c r="BA669" s="150">
        <v>5.04</v>
      </c>
      <c r="BB669" s="150">
        <v>902600</v>
      </c>
      <c r="BC669" s="150">
        <v>2259007</v>
      </c>
    </row>
    <row r="670" spans="52:55">
      <c r="AZ670" s="149">
        <v>44082</v>
      </c>
      <c r="BA670" s="150">
        <v>5.16</v>
      </c>
      <c r="BB670" s="150">
        <v>1140300</v>
      </c>
      <c r="BC670" s="150">
        <v>2298700</v>
      </c>
    </row>
    <row r="671" spans="52:55">
      <c r="AZ671" s="149">
        <v>44081</v>
      </c>
      <c r="BA671" s="150">
        <v>5.0999999999999996</v>
      </c>
      <c r="BB671" s="150">
        <v>371600</v>
      </c>
      <c r="BC671" s="150">
        <v>2389260</v>
      </c>
    </row>
    <row r="672" spans="52:55">
      <c r="AZ672" s="149">
        <v>44078</v>
      </c>
      <c r="BA672" s="150">
        <v>5.05</v>
      </c>
      <c r="BB672" s="150">
        <v>1270600</v>
      </c>
      <c r="BC672" s="150">
        <v>2418100</v>
      </c>
    </row>
    <row r="673" spans="52:55">
      <c r="AZ673" s="149">
        <v>44077</v>
      </c>
      <c r="BA673" s="150">
        <v>5.04</v>
      </c>
      <c r="BB673" s="150">
        <v>2751300</v>
      </c>
      <c r="BC673" s="150">
        <v>2363613</v>
      </c>
    </row>
    <row r="674" spans="52:55">
      <c r="AZ674" s="149">
        <v>44076</v>
      </c>
      <c r="BA674" s="150">
        <v>5.0999999999999996</v>
      </c>
      <c r="BB674" s="150">
        <v>1579700</v>
      </c>
      <c r="BC674" s="150">
        <v>2277253</v>
      </c>
    </row>
    <row r="675" spans="52:55">
      <c r="AZ675" s="149">
        <v>44075</v>
      </c>
      <c r="BA675" s="150">
        <v>5.0599999999999996</v>
      </c>
      <c r="BB675" s="150">
        <v>3626400</v>
      </c>
      <c r="BC675" s="150">
        <v>2204287</v>
      </c>
    </row>
    <row r="676" spans="52:55">
      <c r="AZ676" s="149">
        <v>44071</v>
      </c>
      <c r="BA676" s="150">
        <v>5</v>
      </c>
      <c r="BB676" s="150">
        <v>9149000</v>
      </c>
      <c r="BC676" s="150">
        <v>2047680</v>
      </c>
    </row>
    <row r="677" spans="52:55">
      <c r="AZ677" s="149">
        <v>44070</v>
      </c>
      <c r="BA677" s="150">
        <v>5.0599999999999996</v>
      </c>
      <c r="BB677" s="150">
        <v>1852700</v>
      </c>
      <c r="BC677" s="150">
        <v>1504027</v>
      </c>
    </row>
    <row r="678" spans="52:55">
      <c r="AZ678" s="149">
        <v>44069</v>
      </c>
      <c r="BA678" s="150">
        <v>5.08</v>
      </c>
      <c r="BB678" s="150">
        <v>2205500</v>
      </c>
      <c r="BC678" s="150">
        <v>1465400</v>
      </c>
    </row>
    <row r="679" spans="52:55">
      <c r="AZ679" s="149">
        <v>44068</v>
      </c>
      <c r="BA679" s="150">
        <v>5.09</v>
      </c>
      <c r="BB679" s="150">
        <v>1513700</v>
      </c>
      <c r="BC679" s="150">
        <v>1451560</v>
      </c>
    </row>
    <row r="680" spans="52:55">
      <c r="AZ680" s="149">
        <v>44067</v>
      </c>
      <c r="BA680" s="150">
        <v>5.03</v>
      </c>
      <c r="BB680" s="150">
        <v>1097400</v>
      </c>
      <c r="BC680" s="150">
        <v>1477380</v>
      </c>
    </row>
    <row r="681" spans="52:55">
      <c r="AZ681" s="149">
        <v>44064</v>
      </c>
      <c r="BA681" s="150">
        <v>5</v>
      </c>
      <c r="BB681" s="150">
        <v>1645200</v>
      </c>
      <c r="BC681" s="150">
        <v>1563493</v>
      </c>
    </row>
    <row r="682" spans="52:55">
      <c r="AZ682" s="149">
        <v>44062</v>
      </c>
      <c r="BA682" s="150">
        <v>4.9800000000000004</v>
      </c>
      <c r="BB682" s="150">
        <v>2051500</v>
      </c>
      <c r="BC682" s="150">
        <v>1637587</v>
      </c>
    </row>
    <row r="683" spans="52:55">
      <c r="AZ683" s="149">
        <v>44061</v>
      </c>
      <c r="BA683" s="150">
        <v>5.01</v>
      </c>
      <c r="BB683" s="150">
        <v>2727600</v>
      </c>
      <c r="BC683" s="150">
        <v>1592433</v>
      </c>
    </row>
    <row r="684" spans="52:55">
      <c r="AZ684" s="149">
        <v>44060</v>
      </c>
      <c r="BA684" s="150">
        <v>5.0999999999999996</v>
      </c>
      <c r="BB684" s="150">
        <v>1498000</v>
      </c>
      <c r="BC684" s="150">
        <v>1458760</v>
      </c>
    </row>
    <row r="685" spans="52:55">
      <c r="AZ685" s="149">
        <v>44057</v>
      </c>
      <c r="BA685" s="150">
        <v>5.12</v>
      </c>
      <c r="BB685" s="150">
        <v>2498700</v>
      </c>
      <c r="BC685" s="150">
        <v>1423513</v>
      </c>
    </row>
    <row r="686" spans="52:55">
      <c r="AZ686" s="149">
        <v>44056</v>
      </c>
      <c r="BA686" s="150">
        <v>5.14</v>
      </c>
      <c r="BB686" s="150">
        <v>804200</v>
      </c>
      <c r="BC686" s="150">
        <v>1314507</v>
      </c>
    </row>
    <row r="687" spans="52:55">
      <c r="AZ687" s="149">
        <v>44055</v>
      </c>
      <c r="BA687" s="150">
        <v>5.12</v>
      </c>
      <c r="BB687" s="150">
        <v>453300</v>
      </c>
      <c r="BC687" s="150">
        <v>1361760</v>
      </c>
    </row>
    <row r="688" spans="52:55">
      <c r="AZ688" s="149">
        <v>44054</v>
      </c>
      <c r="BA688" s="150">
        <v>5.09</v>
      </c>
      <c r="BB688" s="150">
        <v>1455900</v>
      </c>
      <c r="BC688" s="150">
        <v>1417000</v>
      </c>
    </row>
    <row r="689" spans="52:55">
      <c r="AZ689" s="149">
        <v>44053</v>
      </c>
      <c r="BA689" s="150">
        <v>5.18</v>
      </c>
      <c r="BB689" s="150">
        <v>485200</v>
      </c>
      <c r="BC689" s="150">
        <v>1408273</v>
      </c>
    </row>
    <row r="690" spans="52:55">
      <c r="AZ690" s="149">
        <v>44050</v>
      </c>
      <c r="BA690" s="150">
        <v>5.18</v>
      </c>
      <c r="BB690" s="150">
        <v>1277300</v>
      </c>
      <c r="BC690" s="150">
        <v>1702300</v>
      </c>
    </row>
    <row r="691" spans="52:55">
      <c r="AZ691" s="149">
        <v>44049</v>
      </c>
      <c r="BA691" s="150">
        <v>5.25</v>
      </c>
      <c r="BB691" s="150">
        <v>994200</v>
      </c>
      <c r="BC691" s="150">
        <v>1660973</v>
      </c>
    </row>
    <row r="692" spans="52:55">
      <c r="AZ692" s="149">
        <v>44048</v>
      </c>
      <c r="BA692" s="150">
        <v>5.15</v>
      </c>
      <c r="BB692" s="150">
        <v>1273300</v>
      </c>
      <c r="BC692" s="150">
        <v>1931233</v>
      </c>
    </row>
    <row r="693" spans="52:55">
      <c r="AZ693" s="149">
        <v>44047</v>
      </c>
      <c r="BA693" s="150">
        <v>5.13</v>
      </c>
      <c r="BB693" s="150">
        <v>1997900</v>
      </c>
      <c r="BC693" s="150">
        <v>1918940</v>
      </c>
    </row>
    <row r="694" spans="52:55">
      <c r="AZ694" s="149">
        <v>44046</v>
      </c>
      <c r="BA694" s="150">
        <v>5.21</v>
      </c>
      <c r="BB694" s="150">
        <v>1901000</v>
      </c>
      <c r="BC694" s="150">
        <v>1880953</v>
      </c>
    </row>
    <row r="695" spans="52:55">
      <c r="AZ695" s="149">
        <v>44042</v>
      </c>
      <c r="BA695" s="150">
        <v>5.3</v>
      </c>
      <c r="BB695" s="150">
        <v>2389100</v>
      </c>
      <c r="BC695" s="150">
        <v>1883467</v>
      </c>
    </row>
    <row r="696" spans="52:55">
      <c r="AZ696" s="149">
        <v>44041</v>
      </c>
      <c r="BA696" s="150">
        <v>5.33</v>
      </c>
      <c r="BB696" s="150">
        <v>2756600</v>
      </c>
      <c r="BC696" s="150">
        <v>1963893</v>
      </c>
    </row>
    <row r="697" spans="52:55">
      <c r="AZ697" s="149">
        <v>44040</v>
      </c>
      <c r="BA697" s="150">
        <v>5.27</v>
      </c>
      <c r="BB697" s="150">
        <v>1374200</v>
      </c>
      <c r="BC697" s="150">
        <v>1880653</v>
      </c>
    </row>
    <row r="698" spans="52:55">
      <c r="AZ698" s="149">
        <v>44039</v>
      </c>
      <c r="BA698" s="150">
        <v>5.19</v>
      </c>
      <c r="BB698" s="150">
        <v>722500</v>
      </c>
      <c r="BC698" s="150">
        <v>2014053</v>
      </c>
    </row>
    <row r="699" spans="52:55">
      <c r="AZ699" s="149">
        <v>44036</v>
      </c>
      <c r="BA699" s="150">
        <v>5.25</v>
      </c>
      <c r="BB699" s="150">
        <v>969300</v>
      </c>
      <c r="BC699" s="150">
        <v>2095547</v>
      </c>
    </row>
    <row r="700" spans="52:55">
      <c r="AZ700" s="149">
        <v>44035</v>
      </c>
      <c r="BA700" s="150">
        <v>5.29</v>
      </c>
      <c r="BB700" s="150">
        <v>863600</v>
      </c>
      <c r="BC700" s="150">
        <v>2086967</v>
      </c>
    </row>
    <row r="701" spans="52:55">
      <c r="AZ701" s="149">
        <v>44034</v>
      </c>
      <c r="BA701" s="150">
        <v>5.28</v>
      </c>
      <c r="BB701" s="150">
        <v>1513000</v>
      </c>
      <c r="BC701" s="150">
        <v>2270567</v>
      </c>
    </row>
    <row r="702" spans="52:55">
      <c r="AZ702" s="149">
        <v>44033</v>
      </c>
      <c r="BA702" s="150">
        <v>5.31</v>
      </c>
      <c r="BB702" s="150">
        <v>1281900</v>
      </c>
      <c r="BC702" s="150">
        <v>2274753</v>
      </c>
    </row>
    <row r="703" spans="52:55">
      <c r="AZ703" s="149">
        <v>44032</v>
      </c>
      <c r="BA703" s="150">
        <v>5.3</v>
      </c>
      <c r="BB703" s="150">
        <v>1325000</v>
      </c>
      <c r="BC703" s="150">
        <v>2321740</v>
      </c>
    </row>
    <row r="704" spans="52:55">
      <c r="AZ704" s="149">
        <v>44029</v>
      </c>
      <c r="BA704" s="150">
        <v>5.38</v>
      </c>
      <c r="BB704" s="150">
        <v>4895600</v>
      </c>
      <c r="BC704" s="150">
        <v>2394267</v>
      </c>
    </row>
    <row r="705" spans="52:55">
      <c r="AZ705" s="149">
        <v>44028</v>
      </c>
      <c r="BA705" s="150">
        <v>5.36</v>
      </c>
      <c r="BB705" s="150">
        <v>657400</v>
      </c>
      <c r="BC705" s="150">
        <v>2101847</v>
      </c>
    </row>
    <row r="706" spans="52:55">
      <c r="AZ706" s="149">
        <v>44027</v>
      </c>
      <c r="BA706" s="150">
        <v>5.35</v>
      </c>
      <c r="BB706" s="150">
        <v>5048100</v>
      </c>
      <c r="BC706" s="150">
        <v>2191013</v>
      </c>
    </row>
    <row r="707" spans="52:55">
      <c r="AZ707" s="149">
        <v>44026</v>
      </c>
      <c r="BA707" s="150">
        <v>5.35</v>
      </c>
      <c r="BB707" s="150">
        <v>1088900</v>
      </c>
      <c r="BC707" s="150">
        <v>1951507</v>
      </c>
    </row>
    <row r="708" spans="52:55">
      <c r="AZ708" s="149">
        <v>44025</v>
      </c>
      <c r="BA708" s="150">
        <v>5.35</v>
      </c>
      <c r="BB708" s="150">
        <v>1428100</v>
      </c>
      <c r="BC708" s="150">
        <v>1941500</v>
      </c>
    </row>
    <row r="709" spans="52:55">
      <c r="AZ709" s="149">
        <v>44022</v>
      </c>
      <c r="BA709" s="150">
        <v>5.32</v>
      </c>
      <c r="BB709" s="150">
        <v>1938700</v>
      </c>
      <c r="BC709" s="150">
        <v>1875880</v>
      </c>
    </row>
    <row r="710" spans="52:55">
      <c r="AZ710" s="149">
        <v>44021</v>
      </c>
      <c r="BA710" s="150">
        <v>5.28</v>
      </c>
      <c r="BB710" s="150">
        <v>3595500</v>
      </c>
      <c r="BC710" s="150">
        <v>2061367</v>
      </c>
    </row>
    <row r="711" spans="52:55">
      <c r="AZ711" s="149">
        <v>44020</v>
      </c>
      <c r="BA711" s="150">
        <v>5.29</v>
      </c>
      <c r="BB711" s="150">
        <v>1508000</v>
      </c>
      <c r="BC711" s="150">
        <v>1896360</v>
      </c>
    </row>
    <row r="712" spans="52:55">
      <c r="AZ712" s="149">
        <v>44019</v>
      </c>
      <c r="BA712" s="150">
        <v>5.17</v>
      </c>
      <c r="BB712" s="150">
        <v>3375200</v>
      </c>
      <c r="BC712" s="150">
        <v>1871187</v>
      </c>
    </row>
    <row r="713" spans="52:55">
      <c r="AZ713" s="149">
        <v>44018</v>
      </c>
      <c r="BA713" s="150">
        <v>5.31</v>
      </c>
      <c r="BB713" s="150">
        <v>1944900</v>
      </c>
      <c r="BC713" s="150">
        <v>1815747</v>
      </c>
    </row>
    <row r="714" spans="52:55">
      <c r="AZ714" s="149">
        <v>44015</v>
      </c>
      <c r="BA714" s="150">
        <v>5.29</v>
      </c>
      <c r="BB714" s="150">
        <v>840600</v>
      </c>
      <c r="BC714" s="150">
        <v>1853613</v>
      </c>
    </row>
    <row r="715" spans="52:55">
      <c r="AZ715" s="149">
        <v>44014</v>
      </c>
      <c r="BA715" s="150">
        <v>5.34</v>
      </c>
      <c r="BB715" s="150">
        <v>3617600</v>
      </c>
      <c r="BC715" s="150">
        <v>1900827</v>
      </c>
    </row>
    <row r="716" spans="52:55">
      <c r="AZ716" s="149">
        <v>44013</v>
      </c>
      <c r="BA716" s="150">
        <v>5.3</v>
      </c>
      <c r="BB716" s="150">
        <v>1575800</v>
      </c>
      <c r="BC716" s="150">
        <v>1784480</v>
      </c>
    </row>
    <row r="717" spans="52:55">
      <c r="AZ717" s="149">
        <v>44012</v>
      </c>
      <c r="BA717" s="150">
        <v>5.37</v>
      </c>
      <c r="BB717" s="150">
        <v>1986700</v>
      </c>
      <c r="BC717" s="150">
        <v>1949060</v>
      </c>
    </row>
    <row r="718" spans="52:55">
      <c r="AZ718" s="149">
        <v>44011</v>
      </c>
      <c r="BA718" s="150">
        <v>5.32</v>
      </c>
      <c r="BB718" s="150">
        <v>2412900</v>
      </c>
      <c r="BC718" s="150">
        <v>2146553</v>
      </c>
    </row>
    <row r="719" spans="52:55">
      <c r="AZ719" s="149">
        <v>44008</v>
      </c>
      <c r="BA719" s="150">
        <v>5.34</v>
      </c>
      <c r="BB719" s="150">
        <v>509300</v>
      </c>
      <c r="BC719" s="150">
        <v>2154620</v>
      </c>
    </row>
    <row r="720" spans="52:55">
      <c r="AZ720" s="149">
        <v>44007</v>
      </c>
      <c r="BA720" s="150">
        <v>5.3</v>
      </c>
      <c r="BB720" s="150">
        <v>1994900</v>
      </c>
      <c r="BC720" s="150">
        <v>2406533</v>
      </c>
    </row>
    <row r="721" spans="52:55">
      <c r="AZ721" s="149">
        <v>44006</v>
      </c>
      <c r="BA721" s="150">
        <v>5.33</v>
      </c>
      <c r="BB721" s="150">
        <v>1455500</v>
      </c>
      <c r="BC721" s="150">
        <v>2551827</v>
      </c>
    </row>
    <row r="722" spans="52:55">
      <c r="AZ722" s="149">
        <v>44005</v>
      </c>
      <c r="BA722" s="150">
        <v>5.4</v>
      </c>
      <c r="BB722" s="150">
        <v>938800</v>
      </c>
      <c r="BC722" s="150">
        <v>2695400</v>
      </c>
    </row>
    <row r="723" spans="52:55">
      <c r="AZ723" s="149">
        <v>44004</v>
      </c>
      <c r="BA723" s="150">
        <v>5.39</v>
      </c>
      <c r="BB723" s="150">
        <v>443800</v>
      </c>
      <c r="BC723" s="150">
        <v>2816440</v>
      </c>
    </row>
    <row r="724" spans="52:55">
      <c r="AZ724" s="149">
        <v>44001</v>
      </c>
      <c r="BA724" s="150">
        <v>5.45</v>
      </c>
      <c r="BB724" s="150">
        <v>4721000</v>
      </c>
      <c r="BC724" s="150">
        <v>3483353</v>
      </c>
    </row>
    <row r="725" spans="52:55">
      <c r="AZ725" s="149">
        <v>44000</v>
      </c>
      <c r="BA725" s="150">
        <v>5.33</v>
      </c>
      <c r="BB725" s="150">
        <v>1120400</v>
      </c>
      <c r="BC725" s="150">
        <v>3324727</v>
      </c>
    </row>
    <row r="726" spans="52:55">
      <c r="AZ726" s="149">
        <v>43999</v>
      </c>
      <c r="BA726" s="150">
        <v>5.45</v>
      </c>
      <c r="BB726" s="150">
        <v>1130400</v>
      </c>
      <c r="BC726" s="150">
        <v>3434500</v>
      </c>
    </row>
    <row r="727" spans="52:55">
      <c r="AZ727" s="149">
        <v>43998</v>
      </c>
      <c r="BA727" s="150">
        <v>5.31</v>
      </c>
      <c r="BB727" s="150">
        <v>2543600</v>
      </c>
      <c r="BC727" s="150">
        <v>3653580</v>
      </c>
    </row>
    <row r="728" spans="52:55">
      <c r="AZ728" s="149">
        <v>43997</v>
      </c>
      <c r="BA728" s="150">
        <v>5.27</v>
      </c>
      <c r="BB728" s="150">
        <v>2512900</v>
      </c>
      <c r="BC728" s="150">
        <v>3616600</v>
      </c>
    </row>
    <row r="729" spans="52:55">
      <c r="AZ729" s="149">
        <v>43994</v>
      </c>
      <c r="BA729" s="150">
        <v>5.34</v>
      </c>
      <c r="BB729" s="150">
        <v>1548800</v>
      </c>
      <c r="BC729" s="150">
        <v>3512960</v>
      </c>
    </row>
    <row r="730" spans="52:55">
      <c r="AZ730" s="149">
        <v>43993</v>
      </c>
      <c r="BA730" s="150">
        <v>5.37</v>
      </c>
      <c r="BB730" s="150">
        <v>1872400</v>
      </c>
      <c r="BC730" s="150">
        <v>3499493</v>
      </c>
    </row>
    <row r="731" spans="52:55">
      <c r="AZ731" s="149">
        <v>43992</v>
      </c>
      <c r="BA731" s="150">
        <v>5.4</v>
      </c>
      <c r="BB731" s="150">
        <v>4044500</v>
      </c>
      <c r="BC731" s="150">
        <v>3563333</v>
      </c>
    </row>
    <row r="732" spans="52:55">
      <c r="AZ732" s="149">
        <v>43991</v>
      </c>
      <c r="BA732" s="150">
        <v>5.32</v>
      </c>
      <c r="BB732" s="150">
        <v>4949100</v>
      </c>
      <c r="BC732" s="150">
        <v>3348280</v>
      </c>
    </row>
    <row r="733" spans="52:55">
      <c r="AZ733" s="149">
        <v>43987</v>
      </c>
      <c r="BA733" s="150">
        <v>5.29</v>
      </c>
      <c r="BB733" s="150">
        <v>2533900</v>
      </c>
      <c r="BC733" s="150">
        <v>3157060</v>
      </c>
    </row>
    <row r="734" spans="52:55">
      <c r="AZ734" s="149">
        <v>43986</v>
      </c>
      <c r="BA734" s="150">
        <v>5.37</v>
      </c>
      <c r="BB734" s="150">
        <v>4288000</v>
      </c>
      <c r="BC734" s="150">
        <v>3056780</v>
      </c>
    </row>
    <row r="735" spans="52:55">
      <c r="AZ735" s="149">
        <v>43985</v>
      </c>
      <c r="BA735" s="150">
        <v>5.44</v>
      </c>
      <c r="BB735" s="150">
        <v>4174300</v>
      </c>
      <c r="BC735" s="150">
        <v>2934860</v>
      </c>
    </row>
    <row r="736" spans="52:55">
      <c r="AZ736" s="149">
        <v>43984</v>
      </c>
      <c r="BA736" s="150">
        <v>5.55</v>
      </c>
      <c r="BB736" s="150">
        <v>3609100</v>
      </c>
      <c r="BC736" s="150">
        <v>2800980</v>
      </c>
    </row>
    <row r="737" spans="52:55">
      <c r="AZ737" s="149">
        <v>43983</v>
      </c>
      <c r="BA737" s="150">
        <v>5.35</v>
      </c>
      <c r="BB737" s="150">
        <v>2754400</v>
      </c>
      <c r="BC737" s="150">
        <v>2684133</v>
      </c>
    </row>
    <row r="738" spans="52:55">
      <c r="AZ738" s="149">
        <v>43980</v>
      </c>
      <c r="BA738" s="150">
        <v>5.28</v>
      </c>
      <c r="BB738" s="150">
        <v>10447500</v>
      </c>
      <c r="BC738" s="150">
        <v>2568540</v>
      </c>
    </row>
    <row r="739" spans="52:55">
      <c r="AZ739" s="149">
        <v>43979</v>
      </c>
      <c r="BA739" s="150">
        <v>5.39</v>
      </c>
      <c r="BB739" s="150">
        <v>2341600</v>
      </c>
      <c r="BC739" s="150">
        <v>2007840</v>
      </c>
    </row>
    <row r="740" spans="52:55">
      <c r="AZ740" s="149">
        <v>43978</v>
      </c>
      <c r="BA740" s="150">
        <v>5.35</v>
      </c>
      <c r="BB740" s="150">
        <v>2767000</v>
      </c>
      <c r="BC740" s="150">
        <v>2056820</v>
      </c>
    </row>
    <row r="741" spans="52:55">
      <c r="AZ741" s="149">
        <v>43973</v>
      </c>
      <c r="BA741" s="150">
        <v>5.45</v>
      </c>
      <c r="BB741" s="150">
        <v>4416600</v>
      </c>
      <c r="BC741" s="150">
        <v>1959253</v>
      </c>
    </row>
    <row r="742" spans="52:55">
      <c r="AZ742" s="149">
        <v>43972</v>
      </c>
      <c r="BA742" s="150">
        <v>5.3</v>
      </c>
      <c r="BB742" s="150">
        <v>1988900</v>
      </c>
      <c r="BC742" s="150">
        <v>1773253</v>
      </c>
    </row>
    <row r="743" spans="52:55">
      <c r="AZ743" s="149">
        <v>43971</v>
      </c>
      <c r="BA743" s="150">
        <v>5.3</v>
      </c>
      <c r="BB743" s="150">
        <v>958300</v>
      </c>
      <c r="BC743" s="150">
        <v>1704953</v>
      </c>
    </row>
    <row r="744" spans="52:55">
      <c r="AZ744" s="149">
        <v>43970</v>
      </c>
      <c r="BA744" s="150">
        <v>5.3</v>
      </c>
      <c r="BB744" s="150">
        <v>1346800</v>
      </c>
      <c r="BC744" s="150">
        <v>1773627</v>
      </c>
    </row>
    <row r="745" spans="52:55">
      <c r="AZ745" s="149">
        <v>43969</v>
      </c>
      <c r="BA745" s="150">
        <v>5.3</v>
      </c>
      <c r="BB745" s="150">
        <v>2830000</v>
      </c>
      <c r="BC745" s="150">
        <v>1842593</v>
      </c>
    </row>
    <row r="746" spans="52:55">
      <c r="AZ746" s="149">
        <v>43966</v>
      </c>
      <c r="BA746" s="150">
        <v>5.34</v>
      </c>
      <c r="BB746" s="150">
        <v>818700</v>
      </c>
      <c r="BC746" s="150">
        <v>1781907</v>
      </c>
    </row>
    <row r="747" spans="52:55">
      <c r="AZ747" s="149">
        <v>43965</v>
      </c>
      <c r="BA747" s="150">
        <v>5.32</v>
      </c>
      <c r="BB747" s="150">
        <v>2080800</v>
      </c>
      <c r="BC747" s="150">
        <v>1837667</v>
      </c>
    </row>
    <row r="748" spans="52:55">
      <c r="AZ748" s="149">
        <v>43964</v>
      </c>
      <c r="BA748" s="150">
        <v>5.3</v>
      </c>
      <c r="BB748" s="150">
        <v>1029700</v>
      </c>
      <c r="BC748" s="150">
        <v>1792260</v>
      </c>
    </row>
    <row r="749" spans="52:55">
      <c r="AZ749" s="149">
        <v>43963</v>
      </c>
      <c r="BA749" s="150">
        <v>5.31</v>
      </c>
      <c r="BB749" s="150">
        <v>2459200</v>
      </c>
      <c r="BC749" s="150">
        <v>1823393</v>
      </c>
    </row>
    <row r="750" spans="52:55">
      <c r="AZ750" s="149">
        <v>43959</v>
      </c>
      <c r="BA750" s="150">
        <v>5.27</v>
      </c>
      <c r="BB750" s="150">
        <v>2166100</v>
      </c>
      <c r="BC750" s="150">
        <v>1930127</v>
      </c>
    </row>
    <row r="751" spans="52:55">
      <c r="AZ751" s="149">
        <v>43957</v>
      </c>
      <c r="BA751" s="150">
        <v>5.26</v>
      </c>
      <c r="BB751" s="150">
        <v>1856400</v>
      </c>
      <c r="BC751" s="150">
        <v>1966960</v>
      </c>
    </row>
    <row r="752" spans="52:55">
      <c r="AZ752" s="149">
        <v>43956</v>
      </c>
      <c r="BA752" s="150">
        <v>5.28</v>
      </c>
      <c r="BB752" s="150">
        <v>1020500</v>
      </c>
      <c r="BC752" s="150">
        <v>1897713</v>
      </c>
    </row>
    <row r="753" spans="52:55">
      <c r="AZ753" s="149">
        <v>43955</v>
      </c>
      <c r="BA753" s="150">
        <v>5.28</v>
      </c>
      <c r="BB753" s="150">
        <v>2037000</v>
      </c>
      <c r="BC753" s="150">
        <v>1946527</v>
      </c>
    </row>
    <row r="754" spans="52:55">
      <c r="AZ754" s="149">
        <v>43951</v>
      </c>
      <c r="BA754" s="150">
        <v>5.48</v>
      </c>
      <c r="BB754" s="150">
        <v>3076300</v>
      </c>
      <c r="BC754" s="150">
        <v>1869373</v>
      </c>
    </row>
    <row r="755" spans="52:55">
      <c r="AZ755" s="149">
        <v>43950</v>
      </c>
      <c r="BA755" s="150">
        <v>5.41</v>
      </c>
      <c r="BB755" s="150">
        <v>1303500</v>
      </c>
      <c r="BC755" s="150">
        <v>1772020</v>
      </c>
    </row>
    <row r="756" spans="52:55">
      <c r="AZ756" s="149">
        <v>43949</v>
      </c>
      <c r="BA756" s="150">
        <v>5.36</v>
      </c>
      <c r="BB756" s="150">
        <v>1626600</v>
      </c>
      <c r="BC756" s="150">
        <v>1793493</v>
      </c>
    </row>
    <row r="757" spans="52:55">
      <c r="AZ757" s="149">
        <v>43948</v>
      </c>
      <c r="BA757" s="150">
        <v>5.3</v>
      </c>
      <c r="BB757" s="150">
        <v>964400</v>
      </c>
      <c r="BC757" s="150">
        <v>1927567</v>
      </c>
    </row>
    <row r="758" spans="52:55">
      <c r="AZ758" s="149">
        <v>43945</v>
      </c>
      <c r="BA758" s="150">
        <v>5.31</v>
      </c>
      <c r="BB758" s="150">
        <v>1988400</v>
      </c>
      <c r="BC758" s="150">
        <v>2014147</v>
      </c>
    </row>
    <row r="759" spans="52:55">
      <c r="AZ759" s="149">
        <v>43944</v>
      </c>
      <c r="BA759" s="150">
        <v>5.35</v>
      </c>
      <c r="BB759" s="150">
        <v>2381300</v>
      </c>
      <c r="BC759" s="150">
        <v>2005080</v>
      </c>
    </row>
    <row r="760" spans="52:55">
      <c r="AZ760" s="149">
        <v>43943</v>
      </c>
      <c r="BA760" s="150">
        <v>5.38</v>
      </c>
      <c r="BB760" s="150">
        <v>1919700</v>
      </c>
      <c r="BC760" s="150">
        <v>2054967</v>
      </c>
    </row>
    <row r="761" spans="52:55">
      <c r="AZ761" s="149">
        <v>43942</v>
      </c>
      <c r="BA761" s="150">
        <v>5.39</v>
      </c>
      <c r="BB761" s="150">
        <v>1655100</v>
      </c>
      <c r="BC761" s="150">
        <v>2106280</v>
      </c>
    </row>
    <row r="762" spans="52:55">
      <c r="AZ762" s="149">
        <v>43941</v>
      </c>
      <c r="BA762" s="150">
        <v>5.32</v>
      </c>
      <c r="BB762" s="150">
        <v>1399700</v>
      </c>
      <c r="BC762" s="150">
        <v>2398253</v>
      </c>
    </row>
    <row r="763" spans="52:55">
      <c r="AZ763" s="149">
        <v>43938</v>
      </c>
      <c r="BA763" s="150">
        <v>5.46</v>
      </c>
      <c r="BB763" s="150">
        <v>1496700</v>
      </c>
      <c r="BC763" s="150">
        <v>2558280</v>
      </c>
    </row>
    <row r="764" spans="52:55">
      <c r="AZ764" s="149">
        <v>43937</v>
      </c>
      <c r="BA764" s="150">
        <v>5.46</v>
      </c>
      <c r="BB764" s="150">
        <v>4060200</v>
      </c>
      <c r="BC764" s="150">
        <v>2640227</v>
      </c>
    </row>
    <row r="765" spans="52:55">
      <c r="AZ765" s="149">
        <v>43936</v>
      </c>
      <c r="BA765" s="150">
        <v>5.3</v>
      </c>
      <c r="BB765" s="150">
        <v>2718600</v>
      </c>
      <c r="BC765" s="150">
        <v>2536453</v>
      </c>
    </row>
    <row r="766" spans="52:55">
      <c r="AZ766" s="149">
        <v>43935</v>
      </c>
      <c r="BA766" s="150">
        <v>5.24</v>
      </c>
      <c r="BB766" s="150">
        <v>817700</v>
      </c>
      <c r="BC766" s="150">
        <v>2506387</v>
      </c>
    </row>
    <row r="767" spans="52:55">
      <c r="AZ767" s="149">
        <v>43934</v>
      </c>
      <c r="BA767" s="150">
        <v>5.29</v>
      </c>
      <c r="BB767" s="150">
        <v>1752700</v>
      </c>
      <c r="BC767" s="150">
        <v>2577253</v>
      </c>
    </row>
    <row r="768" spans="52:55">
      <c r="AZ768" s="149">
        <v>43931</v>
      </c>
      <c r="BA768" s="150">
        <v>5.16</v>
      </c>
      <c r="BB768" s="150">
        <v>879700</v>
      </c>
      <c r="BC768" s="150">
        <v>2709173</v>
      </c>
    </row>
    <row r="769" spans="52:55">
      <c r="AZ769" s="149">
        <v>43930</v>
      </c>
      <c r="BA769" s="150">
        <v>5.3</v>
      </c>
      <c r="BB769" s="150">
        <v>1616000</v>
      </c>
      <c r="BC769" s="150">
        <v>3045307</v>
      </c>
    </row>
    <row r="770" spans="52:55">
      <c r="AZ770" s="149">
        <v>43929</v>
      </c>
      <c r="BA770" s="150">
        <v>5.49</v>
      </c>
      <c r="BB770" s="150">
        <v>1625600</v>
      </c>
      <c r="BC770" s="150">
        <v>3111467</v>
      </c>
    </row>
    <row r="771" spans="52:55">
      <c r="AZ771" s="149">
        <v>43928</v>
      </c>
      <c r="BA771" s="150">
        <v>5.41</v>
      </c>
      <c r="BB771" s="150">
        <v>3637700</v>
      </c>
      <c r="BC771" s="150">
        <v>3366733</v>
      </c>
    </row>
    <row r="772" spans="52:55">
      <c r="AZ772" s="149">
        <v>43927</v>
      </c>
      <c r="BA772" s="150">
        <v>5.12</v>
      </c>
      <c r="BB772" s="150">
        <v>2263100</v>
      </c>
      <c r="BC772" s="150">
        <v>3702993</v>
      </c>
    </row>
    <row r="773" spans="52:55">
      <c r="AZ773" s="149">
        <v>43924</v>
      </c>
      <c r="BA773" s="150">
        <v>5.19</v>
      </c>
      <c r="BB773" s="150">
        <v>1852400</v>
      </c>
      <c r="BC773" s="150">
        <v>3848887</v>
      </c>
    </row>
    <row r="774" spans="52:55">
      <c r="AZ774" s="149">
        <v>43923</v>
      </c>
      <c r="BA774" s="150">
        <v>5.09</v>
      </c>
      <c r="BB774" s="150">
        <v>3129600</v>
      </c>
      <c r="BC774" s="150">
        <v>4206267</v>
      </c>
    </row>
    <row r="775" spans="52:55">
      <c r="AZ775" s="149">
        <v>43922</v>
      </c>
      <c r="BA775" s="150">
        <v>5.08</v>
      </c>
      <c r="BB775" s="150">
        <v>2689400</v>
      </c>
      <c r="BC775" s="150">
        <v>4133173</v>
      </c>
    </row>
    <row r="776" spans="52:55">
      <c r="AZ776" s="149">
        <v>43921</v>
      </c>
      <c r="BA776" s="150">
        <v>5.35</v>
      </c>
      <c r="BB776" s="150">
        <v>6034700</v>
      </c>
      <c r="BC776" s="150">
        <v>4207967</v>
      </c>
    </row>
    <row r="777" spans="52:55">
      <c r="AZ777" s="149">
        <v>43920</v>
      </c>
      <c r="BA777" s="150">
        <v>5.5</v>
      </c>
      <c r="BB777" s="150">
        <v>3800100</v>
      </c>
      <c r="BC777" s="150">
        <v>4015493</v>
      </c>
    </row>
    <row r="778" spans="52:55">
      <c r="AZ778" s="149">
        <v>43917</v>
      </c>
      <c r="BA778" s="150">
        <v>5.37</v>
      </c>
      <c r="BB778" s="150">
        <v>2725900</v>
      </c>
      <c r="BC778" s="150">
        <v>3962927</v>
      </c>
    </row>
    <row r="779" spans="52:55">
      <c r="AZ779" s="149">
        <v>43916</v>
      </c>
      <c r="BA779" s="150">
        <v>5.33</v>
      </c>
      <c r="BB779" s="150">
        <v>2503600</v>
      </c>
      <c r="BC779" s="150">
        <v>3895407</v>
      </c>
    </row>
    <row r="780" spans="52:55">
      <c r="AZ780" s="149">
        <v>43915</v>
      </c>
      <c r="BA780" s="150">
        <v>5.34</v>
      </c>
      <c r="BB780" s="150">
        <v>2267600</v>
      </c>
      <c r="BC780" s="150">
        <v>3799433</v>
      </c>
    </row>
    <row r="781" spans="52:55">
      <c r="AZ781" s="149">
        <v>43914</v>
      </c>
      <c r="BA781" s="150">
        <v>5.17</v>
      </c>
      <c r="BB781" s="150">
        <v>1880700</v>
      </c>
      <c r="BC781" s="150">
        <v>3760493</v>
      </c>
    </row>
    <row r="782" spans="52:55">
      <c r="AZ782" s="149">
        <v>43913</v>
      </c>
      <c r="BA782" s="150">
        <v>5.15</v>
      </c>
      <c r="BB782" s="150">
        <v>3731500</v>
      </c>
      <c r="BC782" s="150">
        <v>3740607</v>
      </c>
    </row>
    <row r="783" spans="52:55">
      <c r="AZ783" s="149">
        <v>43910</v>
      </c>
      <c r="BA783" s="150">
        <v>5.2</v>
      </c>
      <c r="BB783" s="150">
        <v>5921700</v>
      </c>
      <c r="BC783" s="150">
        <v>3641407</v>
      </c>
    </row>
    <row r="784" spans="52:55">
      <c r="AZ784" s="149">
        <v>43909</v>
      </c>
      <c r="BA784" s="150">
        <v>4.68</v>
      </c>
      <c r="BB784" s="150">
        <v>2608400</v>
      </c>
      <c r="BC784" s="150">
        <v>3572760</v>
      </c>
    </row>
    <row r="785" spans="52:55">
      <c r="AZ785" s="149">
        <v>43908</v>
      </c>
      <c r="BA785" s="150">
        <v>4.7300000000000004</v>
      </c>
      <c r="BB785" s="150">
        <v>5454600</v>
      </c>
      <c r="BC785" s="150">
        <v>3508160</v>
      </c>
    </row>
    <row r="786" spans="52:55">
      <c r="AZ786" s="149">
        <v>43907</v>
      </c>
      <c r="BA786" s="150">
        <v>4.68</v>
      </c>
      <c r="BB786" s="150">
        <v>8681600</v>
      </c>
      <c r="BC786" s="150">
        <v>3334613</v>
      </c>
    </row>
    <row r="787" spans="52:55">
      <c r="AZ787" s="149">
        <v>43906</v>
      </c>
      <c r="BA787" s="150">
        <v>5.19</v>
      </c>
      <c r="BB787" s="150">
        <v>4451500</v>
      </c>
      <c r="BC787" s="150">
        <v>2905733</v>
      </c>
    </row>
    <row r="788" spans="52:55">
      <c r="AZ788" s="149">
        <v>43903</v>
      </c>
      <c r="BA788" s="150">
        <v>5.2</v>
      </c>
      <c r="BB788" s="150">
        <v>7213100</v>
      </c>
      <c r="BC788" s="150">
        <v>2693213</v>
      </c>
    </row>
    <row r="789" spans="52:55">
      <c r="AZ789" s="149">
        <v>43902</v>
      </c>
      <c r="BA789" s="150">
        <v>5.25</v>
      </c>
      <c r="BB789" s="150">
        <v>2033200</v>
      </c>
      <c r="BC789" s="150">
        <v>2338807</v>
      </c>
    </row>
    <row r="790" spans="52:55">
      <c r="AZ790" s="149">
        <v>43901</v>
      </c>
      <c r="BA790" s="150">
        <v>5.27</v>
      </c>
      <c r="BB790" s="150">
        <v>3811300</v>
      </c>
      <c r="BC790" s="150">
        <v>2325940</v>
      </c>
    </row>
    <row r="791" spans="52:55">
      <c r="AZ791" s="149">
        <v>43900</v>
      </c>
      <c r="BA791" s="150">
        <v>5.25</v>
      </c>
      <c r="BB791" s="150">
        <v>3147600</v>
      </c>
      <c r="BC791" s="150">
        <v>2111880</v>
      </c>
    </row>
    <row r="792" spans="52:55">
      <c r="AZ792" s="149">
        <v>43899</v>
      </c>
      <c r="BA792" s="150">
        <v>5.31</v>
      </c>
      <c r="BB792" s="150">
        <v>3011600</v>
      </c>
      <c r="BC792" s="150">
        <v>1975067</v>
      </c>
    </row>
    <row r="793" spans="52:55">
      <c r="AZ793" s="149">
        <v>43896</v>
      </c>
      <c r="BA793" s="150">
        <v>5.43</v>
      </c>
      <c r="BB793" s="150">
        <v>1713100</v>
      </c>
      <c r="BC793" s="150">
        <v>1816320</v>
      </c>
    </row>
    <row r="794" spans="52:55">
      <c r="AZ794" s="149">
        <v>43895</v>
      </c>
      <c r="BA794" s="150">
        <v>5.38</v>
      </c>
      <c r="BB794" s="150">
        <v>1064000</v>
      </c>
      <c r="BC794" s="150">
        <v>1814027</v>
      </c>
    </row>
    <row r="795" spans="52:55">
      <c r="AZ795" s="149">
        <v>43894</v>
      </c>
      <c r="BA795" s="150">
        <v>5.45</v>
      </c>
      <c r="BB795" s="150">
        <v>1683500</v>
      </c>
      <c r="BC795" s="150">
        <v>1821360</v>
      </c>
    </row>
    <row r="796" spans="52:55">
      <c r="AZ796" s="149">
        <v>43893</v>
      </c>
      <c r="BA796" s="150">
        <v>5.38</v>
      </c>
      <c r="BB796" s="150">
        <v>1582400</v>
      </c>
      <c r="BC796" s="150">
        <v>1817327</v>
      </c>
    </row>
    <row r="797" spans="52:55">
      <c r="AZ797" s="149">
        <v>43892</v>
      </c>
      <c r="BA797" s="150">
        <v>5.45</v>
      </c>
      <c r="BB797" s="150">
        <v>2243500</v>
      </c>
      <c r="BC797" s="150">
        <v>1764967</v>
      </c>
    </row>
    <row r="798" spans="52:55">
      <c r="AZ798" s="149">
        <v>43889</v>
      </c>
      <c r="BA798" s="150">
        <v>5.43</v>
      </c>
      <c r="BB798" s="150">
        <v>4892000</v>
      </c>
      <c r="BC798" s="150">
        <v>1691653</v>
      </c>
    </row>
    <row r="799" spans="52:55">
      <c r="AZ799" s="149">
        <v>43888</v>
      </c>
      <c r="BA799" s="150">
        <v>5.51</v>
      </c>
      <c r="BB799" s="150">
        <v>1639400</v>
      </c>
      <c r="BC799" s="150">
        <v>1456193</v>
      </c>
    </row>
    <row r="800" spans="52:55">
      <c r="AZ800" s="149">
        <v>43887</v>
      </c>
      <c r="BA800" s="150">
        <v>5.37</v>
      </c>
      <c r="BB800" s="150">
        <v>2851400</v>
      </c>
      <c r="BC800" s="150">
        <v>1445240</v>
      </c>
    </row>
    <row r="801" spans="52:55">
      <c r="AZ801" s="149">
        <v>43886</v>
      </c>
      <c r="BA801" s="150">
        <v>5.45</v>
      </c>
      <c r="BB801" s="150">
        <v>2248400</v>
      </c>
      <c r="BC801" s="150">
        <v>1397933</v>
      </c>
    </row>
    <row r="802" spans="52:55">
      <c r="AZ802" s="149">
        <v>43885</v>
      </c>
      <c r="BA802" s="150">
        <v>5.39</v>
      </c>
      <c r="BB802" s="150">
        <v>1263700</v>
      </c>
      <c r="BC802" s="150">
        <v>1423000</v>
      </c>
    </row>
    <row r="803" spans="52:55">
      <c r="AZ803" s="149">
        <v>43882</v>
      </c>
      <c r="BA803" s="150">
        <v>5.44</v>
      </c>
      <c r="BB803" s="150">
        <v>1897000</v>
      </c>
      <c r="BC803" s="150">
        <v>1436620</v>
      </c>
    </row>
    <row r="804" spans="52:55">
      <c r="AZ804" s="149">
        <v>43881</v>
      </c>
      <c r="BA804" s="150">
        <v>5.4</v>
      </c>
      <c r="BB804" s="150">
        <v>1840200</v>
      </c>
      <c r="BC804" s="150">
        <v>1585827</v>
      </c>
    </row>
    <row r="805" spans="52:55">
      <c r="AZ805" s="149">
        <v>43880</v>
      </c>
      <c r="BA805" s="150">
        <v>5.37</v>
      </c>
      <c r="BB805" s="150">
        <v>600400</v>
      </c>
      <c r="BC805" s="150">
        <v>1564947</v>
      </c>
    </row>
    <row r="806" spans="52:55">
      <c r="AZ806" s="149">
        <v>43879</v>
      </c>
      <c r="BA806" s="150">
        <v>5.35</v>
      </c>
      <c r="BB806" s="150">
        <v>1095400</v>
      </c>
      <c r="BC806" s="150">
        <v>1601253</v>
      </c>
    </row>
    <row r="807" spans="52:55">
      <c r="AZ807" s="149">
        <v>43878</v>
      </c>
      <c r="BA807" s="150">
        <v>5.48</v>
      </c>
      <c r="BB807" s="150">
        <v>630400</v>
      </c>
      <c r="BC807" s="150">
        <v>1561433</v>
      </c>
    </row>
    <row r="808" spans="52:55">
      <c r="AZ808" s="149">
        <v>43875</v>
      </c>
      <c r="BA808" s="150">
        <v>5.63</v>
      </c>
      <c r="BB808" s="150">
        <v>1678700</v>
      </c>
      <c r="BC808" s="150">
        <v>1521060</v>
      </c>
    </row>
    <row r="809" spans="52:55">
      <c r="AZ809" s="149">
        <v>43874</v>
      </c>
      <c r="BA809" s="150">
        <v>5.5</v>
      </c>
      <c r="BB809" s="150">
        <v>1174000</v>
      </c>
      <c r="BC809" s="150">
        <v>1451787</v>
      </c>
    </row>
    <row r="810" spans="52:55">
      <c r="AZ810" s="149">
        <v>43873</v>
      </c>
      <c r="BA810" s="150">
        <v>5.58</v>
      </c>
      <c r="BB810" s="150">
        <v>1623000</v>
      </c>
      <c r="BC810" s="150">
        <v>1475747</v>
      </c>
    </row>
    <row r="811" spans="52:55">
      <c r="AZ811" s="149">
        <v>43872</v>
      </c>
      <c r="BA811" s="150">
        <v>5.4</v>
      </c>
      <c r="BB811" s="150">
        <v>797000</v>
      </c>
      <c r="BC811" s="150">
        <v>1393980</v>
      </c>
    </row>
    <row r="812" spans="52:55">
      <c r="AZ812" s="149">
        <v>43871</v>
      </c>
      <c r="BA812" s="150">
        <v>5.41</v>
      </c>
      <c r="BB812" s="150">
        <v>1143800</v>
      </c>
      <c r="BC812" s="150">
        <v>1411987</v>
      </c>
    </row>
    <row r="813" spans="52:55">
      <c r="AZ813" s="149">
        <v>43868</v>
      </c>
      <c r="BA813" s="150">
        <v>5.45</v>
      </c>
      <c r="BB813" s="150">
        <v>1360100</v>
      </c>
      <c r="BC813" s="150">
        <v>1647947</v>
      </c>
    </row>
    <row r="814" spans="52:55">
      <c r="AZ814" s="149">
        <v>43867</v>
      </c>
      <c r="BA814" s="150">
        <v>5.4</v>
      </c>
      <c r="BB814" s="150">
        <v>1475100</v>
      </c>
      <c r="BC814" s="150">
        <v>1709520</v>
      </c>
    </row>
    <row r="815" spans="52:55">
      <c r="AZ815" s="149">
        <v>43866</v>
      </c>
      <c r="BA815" s="150">
        <v>5.44</v>
      </c>
      <c r="BB815" s="150">
        <v>2141800</v>
      </c>
      <c r="BC815" s="150">
        <v>1781967</v>
      </c>
    </row>
    <row r="816" spans="52:55">
      <c r="AZ816" s="149">
        <v>43865</v>
      </c>
      <c r="BA816" s="150">
        <v>5.44</v>
      </c>
      <c r="BB816" s="150">
        <v>2624400</v>
      </c>
      <c r="BC816" s="150">
        <v>1734413</v>
      </c>
    </row>
    <row r="817" spans="52:55">
      <c r="AZ817" s="149">
        <v>43864</v>
      </c>
      <c r="BA817" s="150">
        <v>5.36</v>
      </c>
      <c r="BB817" s="150">
        <v>1468000</v>
      </c>
      <c r="BC817" s="150">
        <v>1632253</v>
      </c>
    </row>
    <row r="818" spans="52:55">
      <c r="AZ818" s="149">
        <v>43861</v>
      </c>
      <c r="BA818" s="150">
        <v>5.31</v>
      </c>
      <c r="BB818" s="150">
        <v>4135100</v>
      </c>
      <c r="BC818" s="150">
        <v>1582213</v>
      </c>
    </row>
    <row r="819" spans="52:55">
      <c r="AZ819" s="149">
        <v>43860</v>
      </c>
      <c r="BA819" s="150">
        <v>5.5</v>
      </c>
      <c r="BB819" s="150">
        <v>1527000</v>
      </c>
      <c r="BC819" s="150">
        <v>1434160</v>
      </c>
    </row>
    <row r="820" spans="52:55">
      <c r="AZ820" s="149">
        <v>43859</v>
      </c>
      <c r="BA820" s="150">
        <v>5.49</v>
      </c>
      <c r="BB820" s="150">
        <v>1145000</v>
      </c>
      <c r="BC820" s="150">
        <v>1404853</v>
      </c>
    </row>
    <row r="821" spans="52:55">
      <c r="AZ821" s="149">
        <v>43858</v>
      </c>
      <c r="BA821" s="150">
        <v>5.46</v>
      </c>
      <c r="BB821" s="150">
        <v>498100</v>
      </c>
      <c r="BC821" s="150">
        <v>1428653</v>
      </c>
    </row>
    <row r="822" spans="52:55">
      <c r="AZ822" s="149">
        <v>43854</v>
      </c>
      <c r="BA822" s="150">
        <v>5.5</v>
      </c>
      <c r="BB822" s="150">
        <v>24800</v>
      </c>
      <c r="BC822" s="150">
        <v>1454420</v>
      </c>
    </row>
    <row r="823" spans="52:55">
      <c r="AZ823" s="149">
        <v>43853</v>
      </c>
      <c r="BA823" s="150">
        <v>5.59</v>
      </c>
      <c r="BB823" s="150">
        <v>639600</v>
      </c>
      <c r="BC823" s="150">
        <v>1551267</v>
      </c>
    </row>
    <row r="824" spans="52:55">
      <c r="AZ824" s="149">
        <v>43852</v>
      </c>
      <c r="BA824" s="150">
        <v>5.48</v>
      </c>
      <c r="BB824" s="150">
        <v>1533400</v>
      </c>
      <c r="BC824" s="150">
        <v>1554460</v>
      </c>
    </row>
    <row r="825" spans="52:55">
      <c r="AZ825" s="149">
        <v>43851</v>
      </c>
      <c r="BA825" s="150">
        <v>5.53</v>
      </c>
      <c r="BB825" s="150">
        <v>396500</v>
      </c>
      <c r="BC825" s="150">
        <v>1578327</v>
      </c>
    </row>
    <row r="826" spans="52:55">
      <c r="AZ826" s="149">
        <v>43850</v>
      </c>
      <c r="BA826" s="150">
        <v>5.6</v>
      </c>
      <c r="BB826" s="150">
        <v>1067100</v>
      </c>
      <c r="BC826" s="150">
        <v>1646620</v>
      </c>
    </row>
    <row r="827" spans="52:55">
      <c r="AZ827" s="149">
        <v>43847</v>
      </c>
      <c r="BA827" s="150">
        <v>5.7</v>
      </c>
      <c r="BB827" s="150">
        <v>4683200</v>
      </c>
      <c r="BC827" s="150">
        <v>1607127</v>
      </c>
    </row>
    <row r="828" spans="52:55">
      <c r="AZ828" s="149">
        <v>43846</v>
      </c>
      <c r="BA828" s="150">
        <v>5.6</v>
      </c>
      <c r="BB828" s="150">
        <v>2283700</v>
      </c>
      <c r="BC828" s="150">
        <v>1296233</v>
      </c>
    </row>
    <row r="829" spans="52:55">
      <c r="AZ829" s="149">
        <v>43845</v>
      </c>
      <c r="BA829" s="150">
        <v>5.62</v>
      </c>
      <c r="BB829" s="150">
        <v>2561800</v>
      </c>
      <c r="BC829" s="150">
        <v>1158027</v>
      </c>
    </row>
    <row r="830" spans="52:55">
      <c r="AZ830" s="149">
        <v>43844</v>
      </c>
      <c r="BA830" s="150">
        <v>5.5</v>
      </c>
      <c r="BB830" s="150">
        <v>1428500</v>
      </c>
      <c r="BC830" s="150">
        <v>1064967</v>
      </c>
    </row>
    <row r="831" spans="52:55">
      <c r="AZ831" s="149">
        <v>43843</v>
      </c>
      <c r="BA831" s="150">
        <v>5.47</v>
      </c>
      <c r="BB831" s="150">
        <v>1092000</v>
      </c>
      <c r="BC831" s="150">
        <v>1255600</v>
      </c>
    </row>
    <row r="832" spans="52:55">
      <c r="AZ832" s="149">
        <v>43840</v>
      </c>
      <c r="BA832" s="150">
        <v>5.5</v>
      </c>
      <c r="BB832" s="150">
        <v>717400</v>
      </c>
      <c r="BC832" s="150">
        <v>1301106</v>
      </c>
    </row>
    <row r="833" spans="52:55">
      <c r="AZ833" s="149">
        <v>43839</v>
      </c>
      <c r="BA833" s="150">
        <v>5.51</v>
      </c>
      <c r="BB833" s="150">
        <v>1914300</v>
      </c>
      <c r="BC833" s="150">
        <v>1526659</v>
      </c>
    </row>
    <row r="834" spans="52:55">
      <c r="AZ834" s="149">
        <v>43838</v>
      </c>
      <c r="BA834" s="150">
        <v>5.5</v>
      </c>
      <c r="BB834" s="150">
        <v>1087400</v>
      </c>
      <c r="BC834" s="150">
        <v>1519412</v>
      </c>
    </row>
    <row r="835" spans="52:55">
      <c r="AZ835" s="149">
        <v>43837</v>
      </c>
      <c r="BA835" s="150">
        <v>5.45</v>
      </c>
      <c r="BB835" s="150">
        <v>1502000</v>
      </c>
      <c r="BC835" s="150">
        <v>1531572</v>
      </c>
    </row>
    <row r="836" spans="52:55">
      <c r="AZ836" s="149">
        <v>43836</v>
      </c>
      <c r="BA836" s="150">
        <v>5.33</v>
      </c>
      <c r="BB836" s="150">
        <v>884600</v>
      </c>
      <c r="BC836" s="150">
        <v>1516032</v>
      </c>
    </row>
    <row r="837" spans="52:55">
      <c r="AZ837" s="149">
        <v>43833</v>
      </c>
      <c r="BA837" s="150">
        <v>5.52</v>
      </c>
      <c r="BB837" s="150">
        <v>1477500</v>
      </c>
      <c r="BC837" s="150">
        <v>1527699</v>
      </c>
    </row>
    <row r="838" spans="52:55">
      <c r="AZ838" s="149">
        <v>43832</v>
      </c>
      <c r="BA838" s="150">
        <v>5.39</v>
      </c>
      <c r="BB838" s="150">
        <v>687500</v>
      </c>
      <c r="BC838" s="150">
        <v>1469379</v>
      </c>
    </row>
    <row r="839" spans="52:55">
      <c r="AZ839" s="149">
        <v>43830</v>
      </c>
      <c r="BA839" s="150">
        <v>5.32</v>
      </c>
      <c r="BB839" s="150">
        <v>1891400</v>
      </c>
      <c r="BC839" s="150">
        <v>1468999</v>
      </c>
    </row>
    <row r="840" spans="52:55">
      <c r="AZ840" s="149">
        <v>43829</v>
      </c>
      <c r="BA840" s="150">
        <v>5.38</v>
      </c>
      <c r="BB840" s="150">
        <v>1420900</v>
      </c>
      <c r="BC840" s="150">
        <v>1408626</v>
      </c>
    </row>
    <row r="841" spans="52:55">
      <c r="AZ841" s="149">
        <v>43826</v>
      </c>
      <c r="BA841" s="150">
        <v>5.45</v>
      </c>
      <c r="BB841" s="150">
        <v>474700</v>
      </c>
      <c r="BC841" s="150">
        <v>1375452</v>
      </c>
    </row>
    <row r="842" spans="52:55">
      <c r="AZ842" s="149">
        <v>43825</v>
      </c>
      <c r="BA842" s="150">
        <v>5.38</v>
      </c>
      <c r="BB842" s="150">
        <v>19800</v>
      </c>
      <c r="BC842" s="150">
        <v>1383846</v>
      </c>
    </row>
    <row r="843" spans="52:55">
      <c r="AZ843" s="149">
        <v>43823</v>
      </c>
      <c r="BA843" s="150">
        <v>5.39</v>
      </c>
      <c r="BB843" s="150">
        <v>210600</v>
      </c>
      <c r="BC843" s="150">
        <v>1586032</v>
      </c>
    </row>
    <row r="844" spans="52:55">
      <c r="AZ844" s="149">
        <v>43822</v>
      </c>
      <c r="BA844" s="150">
        <v>5.43</v>
      </c>
      <c r="BB844" s="150">
        <v>1165900</v>
      </c>
      <c r="BC844" s="150">
        <v>1652239</v>
      </c>
    </row>
    <row r="845" spans="52:55">
      <c r="AZ845" s="149">
        <v>43819</v>
      </c>
      <c r="BA845" s="150">
        <v>5.45</v>
      </c>
      <c r="BB845" s="150">
        <v>4288000</v>
      </c>
      <c r="BC845" s="150">
        <v>1624746</v>
      </c>
    </row>
    <row r="846" spans="52:55">
      <c r="AZ846" s="149">
        <v>43818</v>
      </c>
      <c r="BA846" s="150">
        <v>5.41</v>
      </c>
      <c r="BB846" s="150">
        <v>1774585</v>
      </c>
      <c r="BC846" s="150">
        <v>1538806</v>
      </c>
    </row>
    <row r="847" spans="52:55">
      <c r="AZ847" s="149">
        <v>43817</v>
      </c>
      <c r="BA847" s="150">
        <v>5.38</v>
      </c>
      <c r="BB847" s="150">
        <v>4100700</v>
      </c>
      <c r="BC847" s="150">
        <v>1473847</v>
      </c>
    </row>
    <row r="848" spans="52:55">
      <c r="AZ848" s="149">
        <v>43816</v>
      </c>
      <c r="BA848" s="150">
        <v>5.21</v>
      </c>
      <c r="BB848" s="150">
        <v>1805600</v>
      </c>
      <c r="BC848" s="150">
        <v>1315520</v>
      </c>
    </row>
    <row r="849" spans="52:55">
      <c r="AZ849" s="149">
        <v>43815</v>
      </c>
      <c r="BA849" s="150">
        <v>5.08</v>
      </c>
      <c r="BB849" s="150">
        <v>1269800</v>
      </c>
      <c r="BC849" s="150">
        <v>1651060</v>
      </c>
    </row>
    <row r="850" spans="52:55">
      <c r="AZ850" s="149">
        <v>43812</v>
      </c>
      <c r="BA850" s="150">
        <v>5.1100000000000003</v>
      </c>
      <c r="BB850" s="150">
        <v>1268900</v>
      </c>
      <c r="BC850" s="150">
        <v>1715273</v>
      </c>
    </row>
    <row r="851" spans="52:55">
      <c r="AZ851" s="149">
        <v>43811</v>
      </c>
      <c r="BA851" s="150">
        <v>5.16</v>
      </c>
      <c r="BB851" s="150">
        <v>1059600</v>
      </c>
      <c r="BC851" s="150">
        <v>1762453</v>
      </c>
    </row>
    <row r="852" spans="52:55">
      <c r="AZ852" s="149">
        <v>43810</v>
      </c>
      <c r="BA852" s="150">
        <v>5.1100000000000003</v>
      </c>
      <c r="BB852" s="150">
        <v>602700</v>
      </c>
      <c r="BC852" s="150">
        <v>1839500</v>
      </c>
    </row>
    <row r="853" spans="52:55">
      <c r="AZ853" s="149">
        <v>43809</v>
      </c>
      <c r="BA853" s="150">
        <v>5.1100000000000003</v>
      </c>
      <c r="BB853" s="150">
        <v>681800</v>
      </c>
      <c r="BC853" s="150">
        <v>1931133</v>
      </c>
    </row>
    <row r="854" spans="52:55">
      <c r="AZ854" s="149">
        <v>43808</v>
      </c>
      <c r="BA854" s="150">
        <v>5.13</v>
      </c>
      <c r="BB854" s="150">
        <v>985800</v>
      </c>
      <c r="BC854" s="150">
        <v>2027300</v>
      </c>
    </row>
    <row r="855" spans="52:55">
      <c r="AZ855" s="149">
        <v>43805</v>
      </c>
      <c r="BA855" s="150">
        <v>5.14</v>
      </c>
      <c r="BB855" s="150">
        <v>923300</v>
      </c>
      <c r="BC855" s="150">
        <v>2049967</v>
      </c>
    </row>
    <row r="856" spans="52:55">
      <c r="AZ856" s="149">
        <v>43804</v>
      </c>
      <c r="BA856" s="150">
        <v>5.09</v>
      </c>
      <c r="BB856" s="150">
        <v>600600</v>
      </c>
      <c r="BC856" s="150">
        <v>2043773</v>
      </c>
    </row>
    <row r="857" spans="52:55">
      <c r="AZ857" s="149">
        <v>43803</v>
      </c>
      <c r="BA857" s="150">
        <v>5.07</v>
      </c>
      <c r="BB857" s="150">
        <v>3052600</v>
      </c>
      <c r="BC857" s="150">
        <v>2053220</v>
      </c>
    </row>
    <row r="858" spans="52:55">
      <c r="AZ858" s="149">
        <v>43802</v>
      </c>
      <c r="BA858" s="150">
        <v>5.25</v>
      </c>
      <c r="BB858" s="150">
        <v>1203700</v>
      </c>
      <c r="BC858" s="150">
        <v>1953893</v>
      </c>
    </row>
    <row r="859" spans="52:55">
      <c r="AZ859" s="149">
        <v>43801</v>
      </c>
      <c r="BA859" s="150">
        <v>5.25</v>
      </c>
      <c r="BB859" s="150">
        <v>753500</v>
      </c>
      <c r="BC859" s="150">
        <v>1942220</v>
      </c>
    </row>
    <row r="860" spans="52:55">
      <c r="AZ860" s="149">
        <v>43798</v>
      </c>
      <c r="BA860" s="150">
        <v>5.18</v>
      </c>
      <c r="BB860" s="150">
        <v>2998900</v>
      </c>
      <c r="BC860" s="150">
        <v>2026347</v>
      </c>
    </row>
    <row r="861" spans="52:55">
      <c r="AZ861" s="149">
        <v>43797</v>
      </c>
      <c r="BA861" s="150">
        <v>5.35</v>
      </c>
      <c r="BB861" s="150">
        <v>800200</v>
      </c>
      <c r="BC861" s="150">
        <v>1910740</v>
      </c>
    </row>
    <row r="862" spans="52:55">
      <c r="AZ862" s="149">
        <v>43796</v>
      </c>
      <c r="BA862" s="150">
        <v>5.46</v>
      </c>
      <c r="BB862" s="150">
        <v>1725800</v>
      </c>
      <c r="BC862" s="150">
        <v>1912860</v>
      </c>
    </row>
    <row r="863" spans="52:55">
      <c r="AZ863" s="149">
        <v>43795</v>
      </c>
      <c r="BA863" s="150">
        <v>5.36</v>
      </c>
      <c r="BB863" s="150">
        <v>6838700</v>
      </c>
      <c r="BC863" s="150">
        <v>1856393</v>
      </c>
    </row>
    <row r="864" spans="52:55">
      <c r="AZ864" s="149">
        <v>43794</v>
      </c>
      <c r="BA864" s="150">
        <v>5.25</v>
      </c>
      <c r="BB864" s="150">
        <v>2233000</v>
      </c>
      <c r="BC864" s="150">
        <v>1511027</v>
      </c>
    </row>
    <row r="865" spans="52:55">
      <c r="AZ865" s="149">
        <v>43791</v>
      </c>
      <c r="BA865" s="150">
        <v>5.31</v>
      </c>
      <c r="BB865" s="150">
        <v>1976600</v>
      </c>
      <c r="BC865" s="150">
        <v>1428207</v>
      </c>
    </row>
    <row r="866" spans="52:55">
      <c r="AZ866" s="149">
        <v>43790</v>
      </c>
      <c r="BA866" s="150">
        <v>5.28</v>
      </c>
      <c r="BB866" s="150">
        <v>2215300</v>
      </c>
      <c r="BC866" s="150">
        <v>1377747</v>
      </c>
    </row>
    <row r="867" spans="52:55">
      <c r="AZ867" s="149">
        <v>43789</v>
      </c>
      <c r="BA867" s="150">
        <v>5.32</v>
      </c>
      <c r="BB867" s="150">
        <v>1977200</v>
      </c>
      <c r="BC867" s="150">
        <v>1462873</v>
      </c>
    </row>
    <row r="868" spans="52:55">
      <c r="AZ868" s="149">
        <v>43788</v>
      </c>
      <c r="BA868" s="150">
        <v>5.34</v>
      </c>
      <c r="BB868" s="150">
        <v>2124300</v>
      </c>
      <c r="BC868" s="150">
        <v>1379420</v>
      </c>
    </row>
    <row r="869" spans="52:55">
      <c r="AZ869" s="149">
        <v>43787</v>
      </c>
      <c r="BA869" s="150">
        <v>5.35</v>
      </c>
      <c r="BB869" s="150">
        <v>1325800</v>
      </c>
      <c r="BC869" s="150">
        <v>1455447</v>
      </c>
    </row>
    <row r="870" spans="52:55">
      <c r="AZ870" s="149">
        <v>43784</v>
      </c>
      <c r="BA870" s="150">
        <v>5.37</v>
      </c>
      <c r="BB870" s="150">
        <v>830400</v>
      </c>
      <c r="BC870" s="150">
        <v>1459593</v>
      </c>
    </row>
    <row r="871" spans="52:55">
      <c r="AZ871" s="149">
        <v>43783</v>
      </c>
      <c r="BA871" s="150">
        <v>5.38</v>
      </c>
      <c r="BB871" s="150">
        <v>742300</v>
      </c>
      <c r="BC871" s="150">
        <v>1460780</v>
      </c>
    </row>
    <row r="872" spans="52:55">
      <c r="AZ872" s="149">
        <v>43782</v>
      </c>
      <c r="BA872" s="150">
        <v>5.39</v>
      </c>
      <c r="BB872" s="150">
        <v>1562700</v>
      </c>
      <c r="BC872" s="150">
        <v>1456307</v>
      </c>
    </row>
    <row r="873" spans="52:55">
      <c r="AZ873" s="149">
        <v>43781</v>
      </c>
      <c r="BA873" s="150">
        <v>5.46</v>
      </c>
      <c r="BB873" s="150">
        <v>1028600</v>
      </c>
      <c r="BC873" s="150">
        <v>1490260</v>
      </c>
    </row>
    <row r="874" spans="52:55">
      <c r="AZ874" s="149">
        <v>43780</v>
      </c>
      <c r="BA874" s="150">
        <v>5.4</v>
      </c>
      <c r="BB874" s="150">
        <v>2015400</v>
      </c>
      <c r="BC874" s="150">
        <v>1468227</v>
      </c>
    </row>
    <row r="875" spans="52:55">
      <c r="AZ875" s="149">
        <v>43777</v>
      </c>
      <c r="BA875" s="150">
        <v>5.41</v>
      </c>
      <c r="BB875" s="150">
        <v>1264800</v>
      </c>
      <c r="BC875" s="150">
        <v>1402747</v>
      </c>
    </row>
    <row r="876" spans="52:55">
      <c r="AZ876" s="149">
        <v>43776</v>
      </c>
      <c r="BA876" s="150">
        <v>5.49</v>
      </c>
      <c r="BB876" s="150">
        <v>832000</v>
      </c>
      <c r="BC876" s="150">
        <v>1403053</v>
      </c>
    </row>
    <row r="877" spans="52:55">
      <c r="AZ877" s="149">
        <v>43775</v>
      </c>
      <c r="BA877" s="150">
        <v>5.42</v>
      </c>
      <c r="BB877" s="150">
        <v>878800</v>
      </c>
      <c r="BC877" s="150">
        <v>1442213</v>
      </c>
    </row>
    <row r="878" spans="52:55">
      <c r="AZ878" s="149">
        <v>43774</v>
      </c>
      <c r="BA878" s="150">
        <v>5.45</v>
      </c>
      <c r="BB878" s="150">
        <v>1658200</v>
      </c>
      <c r="BC878" s="150">
        <v>1488793</v>
      </c>
    </row>
    <row r="879" spans="52:55">
      <c r="AZ879" s="149">
        <v>43773</v>
      </c>
      <c r="BA879" s="150">
        <v>5.43</v>
      </c>
      <c r="BB879" s="150">
        <v>990700</v>
      </c>
      <c r="BC879" s="150">
        <v>1439400</v>
      </c>
    </row>
    <row r="880" spans="52:55">
      <c r="AZ880" s="149">
        <v>43770</v>
      </c>
      <c r="BA880" s="150">
        <v>5.38</v>
      </c>
      <c r="BB880" s="150">
        <v>1219700</v>
      </c>
      <c r="BC880" s="150">
        <v>1438660</v>
      </c>
    </row>
    <row r="881" spans="52:55">
      <c r="AZ881" s="149">
        <v>43769</v>
      </c>
      <c r="BA881" s="150">
        <v>5.39</v>
      </c>
      <c r="BB881" s="150">
        <v>3492200</v>
      </c>
      <c r="BC881" s="150">
        <v>1388773</v>
      </c>
    </row>
    <row r="882" spans="52:55">
      <c r="AZ882" s="149">
        <v>43768</v>
      </c>
      <c r="BA882" s="150">
        <v>5.45</v>
      </c>
      <c r="BB882" s="150">
        <v>725400</v>
      </c>
      <c r="BC882" s="150">
        <v>1207967</v>
      </c>
    </row>
    <row r="883" spans="52:55">
      <c r="AZ883" s="149">
        <v>43767</v>
      </c>
      <c r="BA883" s="150">
        <v>5.45</v>
      </c>
      <c r="BB883" s="150">
        <v>3264700</v>
      </c>
      <c r="BC883" s="150">
        <v>1219040</v>
      </c>
    </row>
    <row r="884" spans="52:55">
      <c r="AZ884" s="149">
        <v>43763</v>
      </c>
      <c r="BA884" s="150">
        <v>5.44</v>
      </c>
      <c r="BB884" s="150">
        <v>1388000</v>
      </c>
      <c r="BC884" s="150">
        <v>1023760</v>
      </c>
    </row>
    <row r="885" spans="52:55">
      <c r="AZ885" s="149">
        <v>43762</v>
      </c>
      <c r="BA885" s="150">
        <v>5.5</v>
      </c>
      <c r="BB885" s="150">
        <v>848200</v>
      </c>
      <c r="BC885" s="150">
        <v>978467</v>
      </c>
    </row>
    <row r="886" spans="52:55">
      <c r="AZ886" s="149">
        <v>43761</v>
      </c>
      <c r="BA886" s="150">
        <v>5.45</v>
      </c>
      <c r="BB886" s="150">
        <v>675200</v>
      </c>
      <c r="BC886" s="150">
        <v>994840</v>
      </c>
    </row>
    <row r="887" spans="52:55">
      <c r="AZ887" s="149">
        <v>43760</v>
      </c>
      <c r="BA887" s="150">
        <v>5.46</v>
      </c>
      <c r="BB887" s="150">
        <v>2072000</v>
      </c>
      <c r="BC887" s="150">
        <v>1054413</v>
      </c>
    </row>
    <row r="888" spans="52:55">
      <c r="AZ888" s="149">
        <v>43759</v>
      </c>
      <c r="BA888" s="150">
        <v>5.45</v>
      </c>
      <c r="BB888" s="150">
        <v>698100</v>
      </c>
      <c r="BC888" s="150">
        <v>952500</v>
      </c>
    </row>
    <row r="889" spans="52:55">
      <c r="AZ889" s="149">
        <v>43756</v>
      </c>
      <c r="BA889" s="150">
        <v>5.44</v>
      </c>
      <c r="BB889" s="150">
        <v>1033200</v>
      </c>
      <c r="BC889" s="150">
        <v>1069653</v>
      </c>
    </row>
    <row r="890" spans="52:55">
      <c r="AZ890" s="149">
        <v>43755</v>
      </c>
      <c r="BA890" s="150">
        <v>5.44</v>
      </c>
      <c r="BB890" s="150">
        <v>1269400</v>
      </c>
      <c r="BC890" s="150">
        <v>1094680</v>
      </c>
    </row>
    <row r="891" spans="52:55">
      <c r="AZ891" s="149">
        <v>43754</v>
      </c>
      <c r="BA891" s="150">
        <v>5.45</v>
      </c>
      <c r="BB891" s="150">
        <v>1419400</v>
      </c>
      <c r="BC891" s="150">
        <v>1130820</v>
      </c>
    </row>
    <row r="892" spans="52:55">
      <c r="AZ892" s="149">
        <v>43753</v>
      </c>
      <c r="BA892" s="150">
        <v>5.4</v>
      </c>
      <c r="BB892" s="150">
        <v>1577500</v>
      </c>
      <c r="BC892" s="150">
        <v>1101740</v>
      </c>
    </row>
    <row r="893" spans="52:55">
      <c r="AZ893" s="149">
        <v>43752</v>
      </c>
      <c r="BA893" s="150">
        <v>5.41</v>
      </c>
      <c r="BB893" s="150">
        <v>917300</v>
      </c>
      <c r="BC893" s="150">
        <v>1094047</v>
      </c>
    </row>
    <row r="894" spans="52:55">
      <c r="AZ894" s="149">
        <v>43749</v>
      </c>
      <c r="BA894" s="150">
        <v>5.39</v>
      </c>
      <c r="BB894" s="150">
        <v>979600</v>
      </c>
      <c r="BC894" s="150">
        <v>1103560</v>
      </c>
    </row>
    <row r="895" spans="52:55">
      <c r="AZ895" s="149">
        <v>43748</v>
      </c>
      <c r="BA895" s="150">
        <v>5.45</v>
      </c>
      <c r="BB895" s="150">
        <v>471400</v>
      </c>
      <c r="BC895" s="150">
        <v>1440447</v>
      </c>
    </row>
    <row r="896" spans="52:55">
      <c r="AZ896" s="149">
        <v>43747</v>
      </c>
      <c r="BA896" s="150">
        <v>5.44</v>
      </c>
      <c r="BB896" s="150">
        <v>780100</v>
      </c>
      <c r="BC896" s="150">
        <v>1476153</v>
      </c>
    </row>
    <row r="897" spans="52:55">
      <c r="AZ897" s="149">
        <v>43746</v>
      </c>
      <c r="BA897" s="150">
        <v>5.44</v>
      </c>
      <c r="BB897" s="150">
        <v>891500</v>
      </c>
      <c r="BC897" s="150">
        <v>1478080</v>
      </c>
    </row>
    <row r="898" spans="52:55">
      <c r="AZ898" s="149">
        <v>43745</v>
      </c>
      <c r="BA898" s="150">
        <v>5.45</v>
      </c>
      <c r="BB898" s="150">
        <v>335500</v>
      </c>
      <c r="BC898" s="150">
        <v>1607293</v>
      </c>
    </row>
    <row r="899" spans="52:55">
      <c r="AZ899" s="149">
        <v>43742</v>
      </c>
      <c r="BA899" s="150">
        <v>5.46</v>
      </c>
      <c r="BB899" s="150">
        <v>708600</v>
      </c>
      <c r="BC899" s="150">
        <v>1657427</v>
      </c>
    </row>
    <row r="900" spans="52:55">
      <c r="AZ900" s="149">
        <v>43741</v>
      </c>
      <c r="BA900" s="150">
        <v>5.41</v>
      </c>
      <c r="BB900" s="150">
        <v>1093800</v>
      </c>
      <c r="BC900" s="150">
        <v>1658940</v>
      </c>
    </row>
    <row r="901" spans="52:55">
      <c r="AZ901" s="149">
        <v>43740</v>
      </c>
      <c r="BA901" s="150">
        <v>5.47</v>
      </c>
      <c r="BB901" s="150">
        <v>1568800</v>
      </c>
      <c r="BC901" s="150">
        <v>1759887</v>
      </c>
    </row>
    <row r="902" spans="52:55">
      <c r="AZ902" s="149">
        <v>43739</v>
      </c>
      <c r="BA902" s="150">
        <v>5.55</v>
      </c>
      <c r="BB902" s="150">
        <v>543300</v>
      </c>
      <c r="BC902" s="150">
        <v>1808053</v>
      </c>
    </row>
    <row r="903" spans="52:55">
      <c r="AZ903" s="149">
        <v>43738</v>
      </c>
      <c r="BA903" s="150">
        <v>5.6</v>
      </c>
      <c r="BB903" s="150">
        <v>2455400</v>
      </c>
      <c r="BC903" s="150">
        <v>1822640</v>
      </c>
    </row>
    <row r="904" spans="52:55">
      <c r="AZ904" s="149">
        <v>43735</v>
      </c>
      <c r="BA904" s="150">
        <v>5.44</v>
      </c>
      <c r="BB904" s="150">
        <v>1408600</v>
      </c>
      <c r="BC904" s="150">
        <v>1789113</v>
      </c>
    </row>
    <row r="905" spans="52:55">
      <c r="AZ905" s="149">
        <v>43734</v>
      </c>
      <c r="BA905" s="150">
        <v>5.38</v>
      </c>
      <c r="BB905" s="150">
        <v>1811500</v>
      </c>
      <c r="BC905" s="150">
        <v>1772313</v>
      </c>
    </row>
    <row r="906" spans="52:55">
      <c r="AZ906" s="149">
        <v>43733</v>
      </c>
      <c r="BA906" s="150">
        <v>5.57</v>
      </c>
      <c r="BB906" s="150">
        <v>983200</v>
      </c>
      <c r="BC906" s="150">
        <v>1765927</v>
      </c>
    </row>
    <row r="907" spans="52:55">
      <c r="AZ907" s="149">
        <v>43732</v>
      </c>
      <c r="BA907" s="150">
        <v>5.59</v>
      </c>
      <c r="BB907" s="150">
        <v>1462100</v>
      </c>
      <c r="BC907" s="150">
        <v>1981767</v>
      </c>
    </row>
    <row r="908" spans="52:55">
      <c r="AZ908" s="149">
        <v>43731</v>
      </c>
      <c r="BA908" s="150">
        <v>5.55</v>
      </c>
      <c r="BB908" s="150">
        <v>1060000</v>
      </c>
      <c r="BC908" s="150">
        <v>2054493</v>
      </c>
    </row>
    <row r="909" spans="52:55">
      <c r="AZ909" s="149">
        <v>43728</v>
      </c>
      <c r="BA909" s="150">
        <v>5.67</v>
      </c>
      <c r="BB909" s="150">
        <v>6032900</v>
      </c>
      <c r="BC909" s="150">
        <v>2099480</v>
      </c>
    </row>
    <row r="910" spans="52:55">
      <c r="AZ910" s="149">
        <v>43727</v>
      </c>
      <c r="BA910" s="150">
        <v>5.7</v>
      </c>
      <c r="BB910" s="150">
        <v>1007000</v>
      </c>
      <c r="BC910" s="150">
        <v>1971520</v>
      </c>
    </row>
    <row r="911" spans="52:55">
      <c r="AZ911" s="149">
        <v>43726</v>
      </c>
      <c r="BA911" s="150">
        <v>5.65</v>
      </c>
      <c r="BB911" s="150">
        <v>809000</v>
      </c>
      <c r="BC911" s="150">
        <v>2003920</v>
      </c>
    </row>
    <row r="912" spans="52:55">
      <c r="AZ912" s="149">
        <v>43725</v>
      </c>
      <c r="BA912" s="150">
        <v>5.7</v>
      </c>
      <c r="BB912" s="150">
        <v>2829700</v>
      </c>
      <c r="BC912" s="150">
        <v>2084127</v>
      </c>
    </row>
    <row r="913" spans="52:55">
      <c r="AZ913" s="149">
        <v>43721</v>
      </c>
      <c r="BA913" s="150">
        <v>5.6</v>
      </c>
      <c r="BB913" s="150">
        <v>1087500</v>
      </c>
      <c r="BC913" s="150">
        <v>2000827</v>
      </c>
    </row>
    <row r="914" spans="52:55">
      <c r="AZ914" s="149">
        <v>43720</v>
      </c>
      <c r="BA914" s="150">
        <v>5.57</v>
      </c>
      <c r="BB914" s="150">
        <v>731300</v>
      </c>
      <c r="BC914" s="150">
        <v>2020300</v>
      </c>
    </row>
    <row r="915" spans="52:55">
      <c r="AZ915" s="149">
        <v>43719</v>
      </c>
      <c r="BA915" s="150">
        <v>5.6</v>
      </c>
      <c r="BB915" s="150">
        <v>2608000</v>
      </c>
      <c r="BC915" s="150">
        <v>2069393</v>
      </c>
    </row>
    <row r="916" spans="52:55">
      <c r="AZ916" s="149">
        <v>43718</v>
      </c>
      <c r="BA916" s="150">
        <v>5.63</v>
      </c>
      <c r="BB916" s="150">
        <v>2291300</v>
      </c>
      <c r="BC916" s="150">
        <v>2023520</v>
      </c>
    </row>
    <row r="917" spans="52:55">
      <c r="AZ917" s="149">
        <v>43714</v>
      </c>
      <c r="BA917" s="150">
        <v>5.55</v>
      </c>
      <c r="BB917" s="150">
        <v>762100</v>
      </c>
      <c r="BC917" s="150">
        <v>1939993</v>
      </c>
    </row>
    <row r="918" spans="52:55">
      <c r="AZ918" s="149">
        <v>43713</v>
      </c>
      <c r="BA918" s="150">
        <v>5.53</v>
      </c>
      <c r="BB918" s="150">
        <v>1952500</v>
      </c>
      <c r="BC918" s="150">
        <v>2014193</v>
      </c>
    </row>
    <row r="919" spans="52:55">
      <c r="AZ919" s="149">
        <v>43712</v>
      </c>
      <c r="BA919" s="150">
        <v>5.45</v>
      </c>
      <c r="BB919" s="150">
        <v>1156600</v>
      </c>
      <c r="BC919" s="150">
        <v>2049747</v>
      </c>
    </row>
    <row r="920" spans="52:55">
      <c r="AZ920" s="149">
        <v>43711</v>
      </c>
      <c r="BA920" s="150">
        <v>5.45</v>
      </c>
      <c r="BB920" s="150">
        <v>1715700</v>
      </c>
      <c r="BC920" s="150">
        <v>2129260</v>
      </c>
    </row>
    <row r="921" spans="52:55">
      <c r="AZ921" s="149">
        <v>43707</v>
      </c>
      <c r="BA921" s="150">
        <v>5.57</v>
      </c>
      <c r="BB921" s="150">
        <v>4220800</v>
      </c>
      <c r="BC921" s="150">
        <v>2139927</v>
      </c>
    </row>
    <row r="922" spans="52:55">
      <c r="AZ922" s="149">
        <v>43706</v>
      </c>
      <c r="BA922" s="150">
        <v>5.41</v>
      </c>
      <c r="BB922" s="150">
        <v>2553000</v>
      </c>
      <c r="BC922" s="150">
        <v>2019187</v>
      </c>
    </row>
    <row r="923" spans="52:55">
      <c r="AZ923" s="149">
        <v>43705</v>
      </c>
      <c r="BA923" s="150">
        <v>5.41</v>
      </c>
      <c r="BB923" s="150">
        <v>1734800</v>
      </c>
      <c r="BC923" s="150">
        <v>2109860</v>
      </c>
    </row>
    <row r="924" spans="52:55">
      <c r="AZ924" s="149">
        <v>43704</v>
      </c>
      <c r="BA924" s="150">
        <v>5.47</v>
      </c>
      <c r="BB924" s="150">
        <v>4113500</v>
      </c>
      <c r="BC924" s="150">
        <v>2233313</v>
      </c>
    </row>
    <row r="925" spans="52:55">
      <c r="AZ925" s="149">
        <v>43703</v>
      </c>
      <c r="BA925" s="150">
        <v>5.49</v>
      </c>
      <c r="BB925" s="150">
        <v>1493000</v>
      </c>
      <c r="BC925" s="150">
        <v>2142820</v>
      </c>
    </row>
    <row r="926" spans="52:55">
      <c r="AZ926" s="149">
        <v>43700</v>
      </c>
      <c r="BA926" s="150">
        <v>5.4</v>
      </c>
      <c r="BB926" s="150">
        <v>2012100</v>
      </c>
      <c r="BC926" s="150">
        <v>2293487</v>
      </c>
    </row>
    <row r="927" spans="52:55">
      <c r="AZ927" s="149">
        <v>43699</v>
      </c>
      <c r="BA927" s="150">
        <v>5.56</v>
      </c>
      <c r="BB927" s="150">
        <v>1580200</v>
      </c>
      <c r="BC927" s="150">
        <v>2318393</v>
      </c>
    </row>
    <row r="928" spans="52:55">
      <c r="AZ928" s="149">
        <v>43698</v>
      </c>
      <c r="BA928" s="150">
        <v>5.46</v>
      </c>
      <c r="BB928" s="150">
        <v>1379600</v>
      </c>
      <c r="BC928" s="150">
        <v>2675273</v>
      </c>
    </row>
    <row r="929" spans="52:55">
      <c r="AZ929" s="149">
        <v>43697</v>
      </c>
      <c r="BA929" s="150">
        <v>5.46</v>
      </c>
      <c r="BB929" s="150">
        <v>1467700</v>
      </c>
      <c r="BC929" s="150">
        <v>2628040</v>
      </c>
    </row>
    <row r="930" spans="52:55">
      <c r="AZ930" s="149">
        <v>43696</v>
      </c>
      <c r="BA930" s="150">
        <v>5.47</v>
      </c>
      <c r="BB930" s="150">
        <v>1919900</v>
      </c>
      <c r="BC930" s="150">
        <v>2587887</v>
      </c>
    </row>
    <row r="931" spans="52:55">
      <c r="AZ931" s="149">
        <v>43693</v>
      </c>
      <c r="BA931" s="150">
        <v>5.45</v>
      </c>
      <c r="BB931" s="150">
        <v>1038400</v>
      </c>
      <c r="BC931" s="150">
        <v>2702527</v>
      </c>
    </row>
    <row r="932" spans="52:55">
      <c r="AZ932" s="149">
        <v>43692</v>
      </c>
      <c r="BA932" s="150">
        <v>5.46</v>
      </c>
      <c r="BB932" s="150">
        <v>1875100</v>
      </c>
      <c r="BC932" s="150">
        <v>2699140</v>
      </c>
    </row>
    <row r="933" spans="52:55">
      <c r="AZ933" s="149">
        <v>43691</v>
      </c>
      <c r="BA933" s="150">
        <v>5.39</v>
      </c>
      <c r="BB933" s="150">
        <v>2485800</v>
      </c>
      <c r="BC933" s="150">
        <v>2779667</v>
      </c>
    </row>
    <row r="934" spans="52:55">
      <c r="AZ934" s="149">
        <v>43690</v>
      </c>
      <c r="BA934" s="150">
        <v>5.39</v>
      </c>
      <c r="BB934" s="150">
        <v>2349300</v>
      </c>
      <c r="BC934" s="150">
        <v>2796147</v>
      </c>
    </row>
    <row r="935" spans="52:55">
      <c r="AZ935" s="149">
        <v>43686</v>
      </c>
      <c r="BA935" s="150">
        <v>5.41</v>
      </c>
      <c r="BB935" s="150">
        <v>1875700</v>
      </c>
      <c r="BC935" s="150">
        <v>2779660</v>
      </c>
    </row>
    <row r="936" spans="52:55">
      <c r="AZ936" s="149">
        <v>43685</v>
      </c>
      <c r="BA936" s="150">
        <v>5.42</v>
      </c>
      <c r="BB936" s="150">
        <v>2409700</v>
      </c>
      <c r="BC936" s="150">
        <v>2809527</v>
      </c>
    </row>
    <row r="937" spans="52:55">
      <c r="AZ937" s="149">
        <v>43684</v>
      </c>
      <c r="BA937" s="150">
        <v>5.38</v>
      </c>
      <c r="BB937" s="150">
        <v>3913100</v>
      </c>
      <c r="BC937" s="150">
        <v>2679000</v>
      </c>
    </row>
    <row r="938" spans="52:55">
      <c r="AZ938" s="149">
        <v>43683</v>
      </c>
      <c r="BA938" s="150">
        <v>5.37</v>
      </c>
      <c r="BB938" s="150">
        <v>3586600</v>
      </c>
      <c r="BC938" s="150">
        <v>2464800</v>
      </c>
    </row>
    <row r="939" spans="52:55">
      <c r="AZ939" s="149">
        <v>43682</v>
      </c>
      <c r="BA939" s="150">
        <v>5.42</v>
      </c>
      <c r="BB939" s="150">
        <v>2756100</v>
      </c>
      <c r="BC939" s="150">
        <v>2264187</v>
      </c>
    </row>
    <row r="940" spans="52:55">
      <c r="AZ940" s="149">
        <v>43679</v>
      </c>
      <c r="BA940" s="150">
        <v>5.44</v>
      </c>
      <c r="BB940" s="150">
        <v>3753000</v>
      </c>
      <c r="BC940" s="150">
        <v>2140660</v>
      </c>
    </row>
    <row r="941" spans="52:55">
      <c r="AZ941" s="149">
        <v>43678</v>
      </c>
      <c r="BA941" s="150">
        <v>5.72</v>
      </c>
      <c r="BB941" s="150">
        <v>2385700</v>
      </c>
      <c r="BC941" s="150">
        <v>1932187</v>
      </c>
    </row>
    <row r="942" spans="52:55">
      <c r="AZ942" s="149">
        <v>43677</v>
      </c>
      <c r="BA942" s="150">
        <v>5.68</v>
      </c>
      <c r="BB942" s="150">
        <v>6933400</v>
      </c>
      <c r="BC942" s="150">
        <v>1826440</v>
      </c>
    </row>
    <row r="943" spans="52:55">
      <c r="AZ943" s="149">
        <v>43675</v>
      </c>
      <c r="BA943" s="150">
        <v>5.63</v>
      </c>
      <c r="BB943" s="150">
        <v>671100</v>
      </c>
      <c r="BC943" s="150">
        <v>1438300</v>
      </c>
    </row>
    <row r="944" spans="52:55">
      <c r="AZ944" s="149">
        <v>43672</v>
      </c>
      <c r="BA944" s="150">
        <v>5.63</v>
      </c>
      <c r="BB944" s="150">
        <v>865400</v>
      </c>
      <c r="BC944" s="150">
        <v>1452953</v>
      </c>
    </row>
    <row r="945" spans="52:55">
      <c r="AZ945" s="149">
        <v>43671</v>
      </c>
      <c r="BA945" s="150">
        <v>5.7</v>
      </c>
      <c r="BB945" s="150">
        <v>3639500</v>
      </c>
      <c r="BC945" s="150">
        <v>1432573</v>
      </c>
    </row>
    <row r="946" spans="52:55">
      <c r="AZ946" s="149">
        <v>43670</v>
      </c>
      <c r="BA946" s="150">
        <v>5.61</v>
      </c>
      <c r="BB946" s="150">
        <v>987600</v>
      </c>
      <c r="BC946" s="150">
        <v>1236820</v>
      </c>
    </row>
    <row r="947" spans="52:55">
      <c r="AZ947" s="149">
        <v>43669</v>
      </c>
      <c r="BA947" s="150">
        <v>5.67</v>
      </c>
      <c r="BB947" s="150">
        <v>3083000</v>
      </c>
      <c r="BC947" s="150">
        <v>1244713</v>
      </c>
    </row>
    <row r="948" spans="52:55">
      <c r="AZ948" s="149">
        <v>43668</v>
      </c>
      <c r="BA948" s="150">
        <v>5.63</v>
      </c>
      <c r="BB948" s="150">
        <v>2733000</v>
      </c>
      <c r="BC948" s="150">
        <v>1220633</v>
      </c>
    </row>
    <row r="949" spans="52:55">
      <c r="AZ949" s="149">
        <v>43665</v>
      </c>
      <c r="BA949" s="150">
        <v>5.7</v>
      </c>
      <c r="BB949" s="150">
        <v>2102000</v>
      </c>
      <c r="BC949" s="150">
        <v>1173320</v>
      </c>
    </row>
    <row r="950" spans="52:55">
      <c r="AZ950" s="149">
        <v>43664</v>
      </c>
      <c r="BA950" s="150">
        <v>5.61</v>
      </c>
      <c r="BB950" s="150">
        <v>2323700</v>
      </c>
      <c r="BC950" s="150">
        <v>1318553</v>
      </c>
    </row>
    <row r="951" spans="52:55">
      <c r="AZ951" s="149">
        <v>43663</v>
      </c>
      <c r="BA951" s="150">
        <v>5.64</v>
      </c>
      <c r="BB951" s="150">
        <v>451800</v>
      </c>
      <c r="BC951" s="150">
        <v>1233140</v>
      </c>
    </row>
    <row r="952" spans="52:55">
      <c r="AZ952" s="149">
        <v>43662</v>
      </c>
      <c r="BA952" s="150">
        <v>5.7</v>
      </c>
      <c r="BB952" s="150">
        <v>700100</v>
      </c>
      <c r="BC952" s="150">
        <v>1250207</v>
      </c>
    </row>
    <row r="953" spans="52:55">
      <c r="AZ953" s="149">
        <v>43661</v>
      </c>
      <c r="BA953" s="150">
        <v>5.68</v>
      </c>
      <c r="BB953" s="150">
        <v>577400</v>
      </c>
      <c r="BC953" s="150">
        <v>1253140</v>
      </c>
    </row>
    <row r="954" spans="52:55">
      <c r="AZ954" s="149">
        <v>43658</v>
      </c>
      <c r="BA954" s="150">
        <v>5.63</v>
      </c>
      <c r="BB954" s="150">
        <v>903200</v>
      </c>
      <c r="BC954" s="150">
        <v>1255767</v>
      </c>
    </row>
    <row r="955" spans="52:55">
      <c r="AZ955" s="149">
        <v>43657</v>
      </c>
      <c r="BA955" s="150">
        <v>5.75</v>
      </c>
      <c r="BB955" s="150">
        <v>625900</v>
      </c>
      <c r="BC955" s="150">
        <v>1491273</v>
      </c>
    </row>
    <row r="956" spans="52:55">
      <c r="AZ956" s="149">
        <v>43656</v>
      </c>
      <c r="BA956" s="150">
        <v>5.65</v>
      </c>
      <c r="BB956" s="150">
        <v>799500</v>
      </c>
      <c r="BC956" s="150">
        <v>1658353</v>
      </c>
    </row>
    <row r="957" spans="52:55">
      <c r="AZ957" s="149">
        <v>43655</v>
      </c>
      <c r="BA957" s="150">
        <v>5.71</v>
      </c>
      <c r="BB957" s="150">
        <v>1111300</v>
      </c>
      <c r="BC957" s="150">
        <v>1765440</v>
      </c>
    </row>
    <row r="958" spans="52:55">
      <c r="AZ958" s="149">
        <v>43654</v>
      </c>
      <c r="BA958" s="150">
        <v>5.6</v>
      </c>
      <c r="BB958" s="150">
        <v>890900</v>
      </c>
      <c r="BC958" s="150">
        <v>1806693</v>
      </c>
    </row>
    <row r="959" spans="52:55">
      <c r="AZ959" s="149">
        <v>43651</v>
      </c>
      <c r="BA959" s="150">
        <v>5.69</v>
      </c>
      <c r="BB959" s="150">
        <v>559700</v>
      </c>
      <c r="BC959" s="150">
        <v>1825880</v>
      </c>
    </row>
    <row r="960" spans="52:55">
      <c r="AZ960" s="149">
        <v>43650</v>
      </c>
      <c r="BA960" s="150">
        <v>5.7</v>
      </c>
      <c r="BB960" s="150">
        <v>703200</v>
      </c>
      <c r="BC960" s="150">
        <v>1858140</v>
      </c>
    </row>
    <row r="961" spans="52:55">
      <c r="AZ961" s="149">
        <v>43649</v>
      </c>
      <c r="BA961" s="150">
        <v>5.67</v>
      </c>
      <c r="BB961" s="150">
        <v>1106000</v>
      </c>
      <c r="BC961" s="150">
        <v>2084960</v>
      </c>
    </row>
    <row r="962" spans="52:55">
      <c r="AZ962" s="149">
        <v>43648</v>
      </c>
      <c r="BA962" s="150">
        <v>5.67</v>
      </c>
      <c r="BB962" s="150">
        <v>2721800</v>
      </c>
      <c r="BC962" s="150">
        <v>2081960</v>
      </c>
    </row>
    <row r="963" spans="52:55">
      <c r="AZ963" s="149">
        <v>43647</v>
      </c>
      <c r="BA963" s="150">
        <v>5.57</v>
      </c>
      <c r="BB963" s="150">
        <v>2023300</v>
      </c>
      <c r="BC963" s="150">
        <v>1981720</v>
      </c>
    </row>
    <row r="964" spans="52:55">
      <c r="AZ964" s="149">
        <v>43644</v>
      </c>
      <c r="BA964" s="150">
        <v>5.57</v>
      </c>
      <c r="BB964" s="150">
        <v>4280500</v>
      </c>
      <c r="BC964" s="150">
        <v>1931740</v>
      </c>
    </row>
    <row r="965" spans="52:55">
      <c r="AZ965" s="149">
        <v>43643</v>
      </c>
      <c r="BA965" s="150">
        <v>5.8</v>
      </c>
      <c r="BB965" s="150">
        <v>1042500</v>
      </c>
      <c r="BC965" s="150">
        <v>1788433</v>
      </c>
    </row>
    <row r="966" spans="52:55">
      <c r="AZ966" s="149">
        <v>43642</v>
      </c>
      <c r="BA966" s="150">
        <v>5.74</v>
      </c>
      <c r="BB966" s="150">
        <v>707800</v>
      </c>
      <c r="BC966" s="150">
        <v>1735867</v>
      </c>
    </row>
    <row r="967" spans="52:55">
      <c r="AZ967" s="149">
        <v>43641</v>
      </c>
      <c r="BA967" s="150">
        <v>5.74</v>
      </c>
      <c r="BB967" s="150">
        <v>744100</v>
      </c>
      <c r="BC967" s="150">
        <v>1794220</v>
      </c>
    </row>
    <row r="968" spans="52:55">
      <c r="AZ968" s="149">
        <v>43640</v>
      </c>
      <c r="BA968" s="150">
        <v>5.75</v>
      </c>
      <c r="BB968" s="150">
        <v>616800</v>
      </c>
      <c r="BC968" s="150">
        <v>1956047</v>
      </c>
    </row>
    <row r="969" spans="52:55">
      <c r="AZ969" s="149">
        <v>43637</v>
      </c>
      <c r="BA969" s="150">
        <v>5.81</v>
      </c>
      <c r="BB969" s="150">
        <v>4435800</v>
      </c>
      <c r="BC969" s="150">
        <v>2022560</v>
      </c>
    </row>
    <row r="970" spans="52:55">
      <c r="AZ970" s="149">
        <v>43636</v>
      </c>
      <c r="BA970" s="150">
        <v>5.75</v>
      </c>
      <c r="BB970" s="150">
        <v>3132100</v>
      </c>
      <c r="BC970" s="150">
        <v>1945667</v>
      </c>
    </row>
    <row r="971" spans="52:55">
      <c r="AZ971" s="149">
        <v>43635</v>
      </c>
      <c r="BA971" s="150">
        <v>5.62</v>
      </c>
      <c r="BB971" s="150">
        <v>2405800</v>
      </c>
      <c r="BC971" s="150">
        <v>2283973</v>
      </c>
    </row>
    <row r="972" spans="52:55">
      <c r="AZ972" s="149">
        <v>43634</v>
      </c>
      <c r="BA972" s="150">
        <v>5.48</v>
      </c>
      <c r="BB972" s="150">
        <v>1730100</v>
      </c>
      <c r="BC972" s="150">
        <v>2154587</v>
      </c>
    </row>
    <row r="973" spans="52:55">
      <c r="AZ973" s="149">
        <v>43633</v>
      </c>
      <c r="BA973" s="150">
        <v>5.47</v>
      </c>
      <c r="BB973" s="150">
        <v>1178700</v>
      </c>
      <c r="BC973" s="150">
        <v>2142740</v>
      </c>
    </row>
    <row r="974" spans="52:55">
      <c r="AZ974" s="149">
        <v>43630</v>
      </c>
      <c r="BA974" s="150">
        <v>5.58</v>
      </c>
      <c r="BB974" s="150">
        <v>1043600</v>
      </c>
      <c r="BC974" s="150">
        <v>2318913</v>
      </c>
    </row>
    <row r="975" spans="52:55">
      <c r="AZ975" s="149">
        <v>43629</v>
      </c>
      <c r="BA975" s="150">
        <v>5.53</v>
      </c>
      <c r="BB975" s="150">
        <v>4105500</v>
      </c>
      <c r="BC975" s="150">
        <v>2342493</v>
      </c>
    </row>
    <row r="976" spans="52:55">
      <c r="AZ976" s="149">
        <v>43628</v>
      </c>
      <c r="BA976" s="150">
        <v>5.54</v>
      </c>
      <c r="BB976" s="150">
        <v>1061000</v>
      </c>
      <c r="BC976" s="150">
        <v>2197760</v>
      </c>
    </row>
    <row r="977" spans="52:55">
      <c r="AZ977" s="149">
        <v>43627</v>
      </c>
      <c r="BA977" s="150">
        <v>5.59</v>
      </c>
      <c r="BB977" s="150">
        <v>1218200</v>
      </c>
      <c r="BC977" s="150">
        <v>2241953</v>
      </c>
    </row>
    <row r="978" spans="52:55">
      <c r="AZ978" s="149">
        <v>43626</v>
      </c>
      <c r="BA978" s="150">
        <v>5.6</v>
      </c>
      <c r="BB978" s="150">
        <v>1273600</v>
      </c>
      <c r="BC978" s="150">
        <v>2262187</v>
      </c>
    </row>
    <row r="979" spans="52:55">
      <c r="AZ979" s="149">
        <v>43623</v>
      </c>
      <c r="BA979" s="150">
        <v>5.56</v>
      </c>
      <c r="BB979" s="150">
        <v>2130900</v>
      </c>
      <c r="BC979" s="150">
        <v>2425467</v>
      </c>
    </row>
    <row r="980" spans="52:55">
      <c r="AZ980" s="149">
        <v>43620</v>
      </c>
      <c r="BA980" s="150">
        <v>5.44</v>
      </c>
      <c r="BB980" s="150">
        <v>254000</v>
      </c>
      <c r="BC980" s="150">
        <v>2468913</v>
      </c>
    </row>
    <row r="981" spans="52:55">
      <c r="AZ981" s="149">
        <v>43619</v>
      </c>
      <c r="BA981" s="150">
        <v>5.55</v>
      </c>
      <c r="BB981" s="150">
        <v>1583100</v>
      </c>
      <c r="BC981" s="150">
        <v>2541007</v>
      </c>
    </row>
    <row r="982" spans="52:55">
      <c r="AZ982" s="149">
        <v>43616</v>
      </c>
      <c r="BA982" s="150">
        <v>5.54</v>
      </c>
      <c r="BB982" s="150">
        <v>3171500</v>
      </c>
      <c r="BC982" s="150">
        <v>2622073</v>
      </c>
    </row>
    <row r="983" spans="52:55">
      <c r="AZ983" s="149">
        <v>43615</v>
      </c>
      <c r="BA983" s="150">
        <v>5.58</v>
      </c>
      <c r="BB983" s="150">
        <v>1614500</v>
      </c>
      <c r="BC983" s="150">
        <v>2757500</v>
      </c>
    </row>
    <row r="984" spans="52:55">
      <c r="AZ984" s="149">
        <v>43614</v>
      </c>
      <c r="BA984" s="150">
        <v>5.58</v>
      </c>
      <c r="BB984" s="150">
        <v>3282400</v>
      </c>
      <c r="BC984" s="150">
        <v>3322307</v>
      </c>
    </row>
    <row r="985" spans="52:55">
      <c r="AZ985" s="149">
        <v>43613</v>
      </c>
      <c r="BA985" s="150">
        <v>5.55</v>
      </c>
      <c r="BB985" s="150">
        <v>8206700</v>
      </c>
      <c r="BC985" s="150">
        <v>3311220</v>
      </c>
    </row>
    <row r="986" spans="52:55">
      <c r="AZ986" s="149">
        <v>43612</v>
      </c>
      <c r="BA986" s="150">
        <v>5.36</v>
      </c>
      <c r="BB986" s="150">
        <v>465000</v>
      </c>
      <c r="BC986" s="150">
        <v>2899393</v>
      </c>
    </row>
    <row r="987" spans="52:55">
      <c r="AZ987" s="149">
        <v>43609</v>
      </c>
      <c r="BA987" s="150">
        <v>5.37</v>
      </c>
      <c r="BB987" s="150">
        <v>1552400</v>
      </c>
      <c r="BC987" s="150">
        <v>2976927</v>
      </c>
    </row>
    <row r="988" spans="52:55">
      <c r="AZ988" s="149">
        <v>43608</v>
      </c>
      <c r="BA988" s="150">
        <v>5.39</v>
      </c>
      <c r="BB988" s="150">
        <v>3821300</v>
      </c>
      <c r="BC988" s="150">
        <v>3091460</v>
      </c>
    </row>
    <row r="989" spans="52:55">
      <c r="AZ989" s="149">
        <v>43606</v>
      </c>
      <c r="BA989" s="150">
        <v>5.36</v>
      </c>
      <c r="BB989" s="150">
        <v>1397300</v>
      </c>
      <c r="BC989" s="150">
        <v>2871873</v>
      </c>
    </row>
    <row r="990" spans="52:55">
      <c r="AZ990" s="149">
        <v>43602</v>
      </c>
      <c r="BA990" s="150">
        <v>5.36</v>
      </c>
      <c r="BB990" s="150">
        <v>1934500</v>
      </c>
      <c r="BC990" s="150">
        <v>2888767</v>
      </c>
    </row>
    <row r="991" spans="52:55">
      <c r="AZ991" s="149">
        <v>43601</v>
      </c>
      <c r="BA991" s="150">
        <v>5.3</v>
      </c>
      <c r="BB991" s="150">
        <v>1723900</v>
      </c>
      <c r="BC991" s="150">
        <v>2884667</v>
      </c>
    </row>
    <row r="992" spans="52:55">
      <c r="AZ992" s="149">
        <v>43600</v>
      </c>
      <c r="BA992" s="150">
        <v>5.32</v>
      </c>
      <c r="BB992" s="150">
        <v>1521700</v>
      </c>
      <c r="BC992" s="150">
        <v>2867387</v>
      </c>
    </row>
    <row r="993" spans="52:55">
      <c r="AZ993" s="149">
        <v>43599</v>
      </c>
      <c r="BA993" s="150">
        <v>5.31</v>
      </c>
      <c r="BB993" s="150">
        <v>3722800</v>
      </c>
      <c r="BC993" s="150">
        <v>2859940</v>
      </c>
    </row>
    <row r="994" spans="52:55">
      <c r="AZ994" s="149">
        <v>43598</v>
      </c>
      <c r="BA994" s="150">
        <v>5.36</v>
      </c>
      <c r="BB994" s="150">
        <v>2782600</v>
      </c>
      <c r="BC994" s="150">
        <v>2690407</v>
      </c>
    </row>
    <row r="995" spans="52:55">
      <c r="AZ995" s="149">
        <v>43595</v>
      </c>
      <c r="BA995" s="150">
        <v>5.36</v>
      </c>
      <c r="BB995" s="150">
        <v>1335400</v>
      </c>
      <c r="BC995" s="150">
        <v>2609607</v>
      </c>
    </row>
    <row r="996" spans="52:55">
      <c r="AZ996" s="149">
        <v>43594</v>
      </c>
      <c r="BA996" s="150">
        <v>5.36</v>
      </c>
      <c r="BB996" s="150">
        <v>2799100</v>
      </c>
      <c r="BC996" s="150">
        <v>2738067</v>
      </c>
    </row>
    <row r="997" spans="52:55">
      <c r="AZ997" s="149">
        <v>43593</v>
      </c>
      <c r="BA997" s="150">
        <v>5.52</v>
      </c>
      <c r="BB997" s="150">
        <v>5202900</v>
      </c>
      <c r="BC997" s="150">
        <v>2633987</v>
      </c>
    </row>
    <row r="998" spans="52:55">
      <c r="AZ998" s="149">
        <v>43592</v>
      </c>
      <c r="BA998" s="150">
        <v>5.47</v>
      </c>
      <c r="BB998" s="150">
        <v>10086600</v>
      </c>
      <c r="BC998" s="150">
        <v>2348900</v>
      </c>
    </row>
    <row r="999" spans="52:55">
      <c r="AZ999" s="149">
        <v>43591</v>
      </c>
      <c r="BA999" s="150">
        <v>5.43</v>
      </c>
      <c r="BB999" s="150">
        <v>3116100</v>
      </c>
      <c r="BC999" s="150">
        <v>1731580</v>
      </c>
    </row>
    <row r="1000" spans="52:55">
      <c r="AZ1000" s="149">
        <v>43588</v>
      </c>
      <c r="BA1000" s="150">
        <v>5.32</v>
      </c>
      <c r="BB1000" s="150">
        <v>2029300</v>
      </c>
      <c r="BC1000" s="150">
        <v>1601073</v>
      </c>
    </row>
    <row r="1001" spans="52:55">
      <c r="AZ1001" s="149">
        <v>43587</v>
      </c>
      <c r="BA1001" s="150">
        <v>5.3</v>
      </c>
      <c r="BB1001" s="150">
        <v>1628000</v>
      </c>
      <c r="BC1001" s="150">
        <v>1564500</v>
      </c>
    </row>
    <row r="1002" spans="52:55">
      <c r="AZ1002" s="149">
        <v>43585</v>
      </c>
      <c r="BA1002" s="150">
        <v>5.36</v>
      </c>
      <c r="BB1002" s="150">
        <v>3270400</v>
      </c>
      <c r="BC1002" s="150">
        <v>1524960</v>
      </c>
    </row>
    <row r="1003" spans="52:55">
      <c r="AZ1003" s="149">
        <v>43584</v>
      </c>
      <c r="BA1003" s="150">
        <v>5.38</v>
      </c>
      <c r="BB1003" s="150">
        <v>527500</v>
      </c>
      <c r="BC1003" s="150">
        <v>1440193</v>
      </c>
    </row>
    <row r="1004" spans="52:55">
      <c r="AZ1004" s="149">
        <v>43581</v>
      </c>
      <c r="BA1004" s="150">
        <v>5.44</v>
      </c>
      <c r="BB1004" s="150">
        <v>1650700</v>
      </c>
      <c r="BC1004" s="150">
        <v>1464993</v>
      </c>
    </row>
    <row r="1005" spans="52:55">
      <c r="AZ1005" s="149">
        <v>43580</v>
      </c>
      <c r="BA1005" s="150">
        <v>5.34</v>
      </c>
      <c r="BB1005" s="150">
        <v>1873000</v>
      </c>
      <c r="BC1005" s="150">
        <v>1383573</v>
      </c>
    </row>
    <row r="1006" spans="52:55">
      <c r="AZ1006" s="149">
        <v>43579</v>
      </c>
      <c r="BA1006" s="150">
        <v>5.32</v>
      </c>
      <c r="BB1006" s="150">
        <v>1464700</v>
      </c>
      <c r="BC1006" s="150">
        <v>1304520</v>
      </c>
    </row>
    <row r="1007" spans="52:55">
      <c r="AZ1007" s="149">
        <v>43578</v>
      </c>
      <c r="BA1007" s="150">
        <v>5.34</v>
      </c>
      <c r="BB1007" s="150">
        <v>1410000</v>
      </c>
      <c r="BC1007" s="150">
        <v>1226827</v>
      </c>
    </row>
    <row r="1008" spans="52:55">
      <c r="AZ1008" s="149">
        <v>43577</v>
      </c>
      <c r="BA1008" s="150">
        <v>5.38</v>
      </c>
      <c r="BB1008" s="150">
        <v>1179800</v>
      </c>
      <c r="BC1008" s="150">
        <v>1241713</v>
      </c>
    </row>
    <row r="1009" spans="52:55">
      <c r="AZ1009" s="149">
        <v>43574</v>
      </c>
      <c r="BA1009" s="150">
        <v>5.35</v>
      </c>
      <c r="BB1009" s="150">
        <v>1570600</v>
      </c>
      <c r="BC1009" s="150">
        <v>1347720</v>
      </c>
    </row>
    <row r="1010" spans="52:55">
      <c r="AZ1010" s="149">
        <v>43573</v>
      </c>
      <c r="BA1010" s="150">
        <v>5.41</v>
      </c>
      <c r="BB1010" s="150">
        <v>3262300</v>
      </c>
      <c r="BC1010" s="150">
        <v>1448127</v>
      </c>
    </row>
    <row r="1011" spans="52:55">
      <c r="AZ1011" s="149">
        <v>43572</v>
      </c>
      <c r="BA1011" s="150">
        <v>5.53</v>
      </c>
      <c r="BB1011" s="150">
        <v>1237900</v>
      </c>
      <c r="BC1011" s="150">
        <v>1368900</v>
      </c>
    </row>
    <row r="1012" spans="52:55">
      <c r="AZ1012" s="149">
        <v>43571</v>
      </c>
      <c r="BA1012" s="150">
        <v>5.56</v>
      </c>
      <c r="BB1012" s="150">
        <v>926600</v>
      </c>
      <c r="BC1012" s="150">
        <v>1336833</v>
      </c>
    </row>
    <row r="1013" spans="52:55">
      <c r="AZ1013" s="149">
        <v>43570</v>
      </c>
      <c r="BA1013" s="150">
        <v>5.56</v>
      </c>
      <c r="BB1013" s="150">
        <v>826800</v>
      </c>
      <c r="BC1013" s="150">
        <v>1329067</v>
      </c>
    </row>
    <row r="1014" spans="52:55">
      <c r="AZ1014" s="149">
        <v>43567</v>
      </c>
      <c r="BA1014" s="150">
        <v>5.51</v>
      </c>
      <c r="BB1014" s="150">
        <v>1158500</v>
      </c>
      <c r="BC1014" s="150">
        <v>1352480</v>
      </c>
    </row>
    <row r="1015" spans="52:55">
      <c r="AZ1015" s="149">
        <v>43566</v>
      </c>
      <c r="BA1015" s="150">
        <v>5.5</v>
      </c>
      <c r="BB1015" s="150">
        <v>1480700</v>
      </c>
      <c r="BC1015" s="150">
        <v>1392013</v>
      </c>
    </row>
    <row r="1016" spans="52:55">
      <c r="AZ1016" s="149">
        <v>43565</v>
      </c>
      <c r="BA1016" s="150">
        <v>5.6</v>
      </c>
      <c r="BB1016" s="150">
        <v>1034900</v>
      </c>
      <c r="BC1016" s="150">
        <v>1387487</v>
      </c>
    </row>
    <row r="1017" spans="52:55">
      <c r="AZ1017" s="149">
        <v>43564</v>
      </c>
      <c r="BA1017" s="150">
        <v>5.6</v>
      </c>
      <c r="BB1017" s="150">
        <v>1998900</v>
      </c>
      <c r="BC1017" s="150">
        <v>1418300</v>
      </c>
    </row>
    <row r="1018" spans="52:55">
      <c r="AZ1018" s="149">
        <v>43563</v>
      </c>
      <c r="BA1018" s="150">
        <v>5.7</v>
      </c>
      <c r="BB1018" s="150">
        <v>899500</v>
      </c>
      <c r="BC1018" s="150">
        <v>1321353</v>
      </c>
    </row>
    <row r="1019" spans="52:55">
      <c r="AZ1019" s="149">
        <v>43560</v>
      </c>
      <c r="BA1019" s="150">
        <v>5.49</v>
      </c>
      <c r="BB1019" s="150">
        <v>429400</v>
      </c>
      <c r="BC1019" s="150">
        <v>1351160</v>
      </c>
    </row>
    <row r="1020" spans="52:55">
      <c r="AZ1020" s="149">
        <v>43559</v>
      </c>
      <c r="BA1020" s="150">
        <v>5.6</v>
      </c>
      <c r="BB1020" s="150">
        <v>687200</v>
      </c>
      <c r="BC1020" s="150">
        <v>1710933</v>
      </c>
    </row>
    <row r="1021" spans="52:55">
      <c r="AZ1021" s="149">
        <v>43558</v>
      </c>
      <c r="BA1021" s="150">
        <v>5.49</v>
      </c>
      <c r="BB1021" s="150">
        <v>299300</v>
      </c>
      <c r="BC1021" s="150">
        <v>1772907</v>
      </c>
    </row>
    <row r="1022" spans="52:55">
      <c r="AZ1022" s="149">
        <v>43557</v>
      </c>
      <c r="BA1022" s="150">
        <v>5.53</v>
      </c>
      <c r="BB1022" s="150">
        <v>1633300</v>
      </c>
      <c r="BC1022" s="150">
        <v>1900033</v>
      </c>
    </row>
    <row r="1023" spans="52:55">
      <c r="AZ1023" s="149">
        <v>43556</v>
      </c>
      <c r="BA1023" s="150">
        <v>5.37</v>
      </c>
      <c r="BB1023" s="150">
        <v>2769900</v>
      </c>
      <c r="BC1023" s="150">
        <v>1837993</v>
      </c>
    </row>
    <row r="1024" spans="52:55">
      <c r="AZ1024" s="149">
        <v>43553</v>
      </c>
      <c r="BA1024" s="150">
        <v>5.36</v>
      </c>
      <c r="BB1024" s="150">
        <v>3076700</v>
      </c>
      <c r="BC1024" s="150">
        <v>1778053</v>
      </c>
    </row>
    <row r="1025" spans="52:55">
      <c r="AZ1025" s="149">
        <v>43552</v>
      </c>
      <c r="BA1025" s="150">
        <v>5.36</v>
      </c>
      <c r="BB1025" s="150">
        <v>2073900</v>
      </c>
      <c r="BC1025" s="150">
        <v>1683813</v>
      </c>
    </row>
    <row r="1026" spans="52:55">
      <c r="AZ1026" s="149">
        <v>43551</v>
      </c>
      <c r="BA1026" s="150">
        <v>5.45</v>
      </c>
      <c r="BB1026" s="150">
        <v>756900</v>
      </c>
      <c r="BC1026" s="150">
        <v>1640320</v>
      </c>
    </row>
    <row r="1027" spans="52:55">
      <c r="AZ1027" s="149">
        <v>43550</v>
      </c>
      <c r="BA1027" s="150">
        <v>5.41</v>
      </c>
      <c r="BB1027" s="150">
        <v>810100</v>
      </c>
      <c r="BC1027" s="150">
        <v>1678167</v>
      </c>
    </row>
    <row r="1028" spans="52:55">
      <c r="AZ1028" s="149">
        <v>43549</v>
      </c>
      <c r="BA1028" s="150">
        <v>5.38</v>
      </c>
      <c r="BB1028" s="150">
        <v>1178000</v>
      </c>
      <c r="BC1028" s="150">
        <v>1805813</v>
      </c>
    </row>
    <row r="1029" spans="52:55">
      <c r="AZ1029" s="149">
        <v>43546</v>
      </c>
      <c r="BA1029" s="150">
        <v>5.56</v>
      </c>
      <c r="BB1029" s="150">
        <v>1751500</v>
      </c>
      <c r="BC1029" s="150">
        <v>1951060</v>
      </c>
    </row>
    <row r="1030" spans="52:55">
      <c r="AZ1030" s="149">
        <v>43545</v>
      </c>
      <c r="BA1030" s="150">
        <v>5.33</v>
      </c>
      <c r="BB1030" s="150">
        <v>1412800</v>
      </c>
      <c r="BC1030" s="150">
        <v>2166100</v>
      </c>
    </row>
    <row r="1031" spans="52:55">
      <c r="AZ1031" s="149">
        <v>43544</v>
      </c>
      <c r="BA1031" s="150">
        <v>5.39</v>
      </c>
      <c r="BB1031" s="150">
        <v>1497100</v>
      </c>
      <c r="BC1031" s="150">
        <v>2455633</v>
      </c>
    </row>
    <row r="1032" spans="52:55">
      <c r="AZ1032" s="149">
        <v>43543</v>
      </c>
      <c r="BA1032" s="150">
        <v>5.4</v>
      </c>
      <c r="BB1032" s="150">
        <v>544700</v>
      </c>
      <c r="BC1032" s="150">
        <v>2563320</v>
      </c>
    </row>
    <row r="1033" spans="52:55">
      <c r="AZ1033" s="149">
        <v>43542</v>
      </c>
      <c r="BA1033" s="150">
        <v>5.47</v>
      </c>
      <c r="BB1033" s="150">
        <v>1346600</v>
      </c>
      <c r="BC1033" s="150">
        <v>2698040</v>
      </c>
    </row>
    <row r="1034" spans="52:55">
      <c r="AZ1034" s="149">
        <v>43539</v>
      </c>
      <c r="BA1034" s="150">
        <v>5.24</v>
      </c>
      <c r="BB1034" s="150">
        <v>5826000</v>
      </c>
      <c r="BC1034" s="150">
        <v>2711133</v>
      </c>
    </row>
    <row r="1035" spans="52:55">
      <c r="AZ1035" s="149">
        <v>43538</v>
      </c>
      <c r="BA1035" s="150">
        <v>5.29</v>
      </c>
      <c r="BB1035" s="150">
        <v>1616800</v>
      </c>
      <c r="BC1035" s="150">
        <v>2461180</v>
      </c>
    </row>
    <row r="1036" spans="52:55">
      <c r="AZ1036" s="149">
        <v>43537</v>
      </c>
      <c r="BA1036" s="150">
        <v>5.33</v>
      </c>
      <c r="BB1036" s="150">
        <v>2206200</v>
      </c>
      <c r="BC1036" s="150">
        <v>2512060</v>
      </c>
    </row>
    <row r="1037" spans="52:55">
      <c r="AZ1037" s="149">
        <v>43536</v>
      </c>
      <c r="BA1037" s="150">
        <v>5.35</v>
      </c>
      <c r="BB1037" s="150">
        <v>702700</v>
      </c>
      <c r="BC1037" s="150">
        <v>2519240</v>
      </c>
    </row>
    <row r="1038" spans="52:55">
      <c r="AZ1038" s="149">
        <v>43535</v>
      </c>
      <c r="BA1038" s="150">
        <v>5.36</v>
      </c>
      <c r="BB1038" s="150">
        <v>1870800</v>
      </c>
      <c r="BC1038" s="150">
        <v>2591127</v>
      </c>
    </row>
    <row r="1039" spans="52:55">
      <c r="AZ1039" s="149">
        <v>43532</v>
      </c>
      <c r="BA1039" s="150">
        <v>5.36</v>
      </c>
      <c r="BB1039" s="150">
        <v>1663100</v>
      </c>
      <c r="BC1039" s="150">
        <v>2510313</v>
      </c>
    </row>
    <row r="1040" spans="52:55">
      <c r="AZ1040" s="149">
        <v>43531</v>
      </c>
      <c r="BA1040" s="150">
        <v>5.33</v>
      </c>
      <c r="BB1040" s="150">
        <v>1421500</v>
      </c>
      <c r="BC1040" s="150">
        <v>2474253</v>
      </c>
    </row>
    <row r="1041" spans="52:55">
      <c r="AZ1041" s="149">
        <v>43530</v>
      </c>
      <c r="BA1041" s="150">
        <v>5.34</v>
      </c>
      <c r="BB1041" s="150">
        <v>1324600</v>
      </c>
      <c r="BC1041" s="150">
        <v>2429713</v>
      </c>
    </row>
    <row r="1042" spans="52:55">
      <c r="AZ1042" s="149">
        <v>43529</v>
      </c>
      <c r="BA1042" s="150">
        <v>5.3</v>
      </c>
      <c r="BB1042" s="150">
        <v>2724800</v>
      </c>
      <c r="BC1042" s="150">
        <v>2368560</v>
      </c>
    </row>
    <row r="1043" spans="52:55">
      <c r="AZ1043" s="149">
        <v>43528</v>
      </c>
      <c r="BA1043" s="150">
        <v>5.31</v>
      </c>
      <c r="BB1043" s="150">
        <v>3356700</v>
      </c>
      <c r="BC1043" s="150">
        <v>2240067</v>
      </c>
    </row>
    <row r="1044" spans="52:55">
      <c r="AZ1044" s="149">
        <v>43525</v>
      </c>
      <c r="BA1044" s="150">
        <v>5.39</v>
      </c>
      <c r="BB1044" s="150">
        <v>4977100</v>
      </c>
      <c r="BC1044" s="150">
        <v>2061720</v>
      </c>
    </row>
    <row r="1045" spans="52:55">
      <c r="AZ1045" s="149">
        <v>43524</v>
      </c>
      <c r="BA1045" s="150">
        <v>5.37</v>
      </c>
      <c r="BB1045" s="150">
        <v>5755800</v>
      </c>
      <c r="BC1045" s="150">
        <v>1824167</v>
      </c>
    </row>
    <row r="1046" spans="52:55">
      <c r="AZ1046" s="149">
        <v>43523</v>
      </c>
      <c r="BA1046" s="150">
        <v>5.42</v>
      </c>
      <c r="BB1046" s="150">
        <v>3112400</v>
      </c>
      <c r="BC1046" s="150">
        <v>1597120</v>
      </c>
    </row>
    <row r="1047" spans="52:55">
      <c r="AZ1047" s="149">
        <v>43522</v>
      </c>
      <c r="BA1047" s="150">
        <v>5.43</v>
      </c>
      <c r="BB1047" s="150">
        <v>2565500</v>
      </c>
      <c r="BC1047" s="150">
        <v>1475080</v>
      </c>
    </row>
    <row r="1048" spans="52:55">
      <c r="AZ1048" s="149">
        <v>43521</v>
      </c>
      <c r="BA1048" s="150">
        <v>5.53</v>
      </c>
      <c r="BB1048" s="150">
        <v>1543000</v>
      </c>
      <c r="BC1048" s="150">
        <v>1558453</v>
      </c>
    </row>
    <row r="1049" spans="52:55">
      <c r="AZ1049" s="149">
        <v>43518</v>
      </c>
      <c r="BA1049" s="150">
        <v>5.51</v>
      </c>
      <c r="BB1049" s="150">
        <v>2076700</v>
      </c>
      <c r="BC1049" s="150">
        <v>1530867</v>
      </c>
    </row>
    <row r="1050" spans="52:55">
      <c r="AZ1050" s="149">
        <v>43517</v>
      </c>
      <c r="BA1050" s="150">
        <v>5.67</v>
      </c>
      <c r="BB1050" s="150">
        <v>2380000</v>
      </c>
      <c r="BC1050" s="150">
        <v>1551147</v>
      </c>
    </row>
    <row r="1051" spans="52:55">
      <c r="AZ1051" s="149">
        <v>43516</v>
      </c>
      <c r="BA1051" s="150">
        <v>5.64</v>
      </c>
      <c r="BB1051" s="150">
        <v>2313900</v>
      </c>
      <c r="BC1051" s="150">
        <v>1490793</v>
      </c>
    </row>
    <row r="1052" spans="52:55">
      <c r="AZ1052" s="149">
        <v>43515</v>
      </c>
      <c r="BA1052" s="150">
        <v>5.5</v>
      </c>
      <c r="BB1052" s="150">
        <v>1781000</v>
      </c>
      <c r="BC1052" s="150">
        <v>1466327</v>
      </c>
    </row>
    <row r="1053" spans="52:55">
      <c r="AZ1053" s="149">
        <v>43514</v>
      </c>
      <c r="BA1053" s="150">
        <v>5.55</v>
      </c>
      <c r="BB1053" s="150">
        <v>658600</v>
      </c>
      <c r="BC1053" s="150">
        <v>1463067</v>
      </c>
    </row>
    <row r="1054" spans="52:55">
      <c r="AZ1054" s="149">
        <v>43511</v>
      </c>
      <c r="BA1054" s="150">
        <v>5.63</v>
      </c>
      <c r="BB1054" s="150">
        <v>1122200</v>
      </c>
      <c r="BC1054" s="150">
        <v>1572467</v>
      </c>
    </row>
    <row r="1055" spans="52:55">
      <c r="AZ1055" s="149">
        <v>43510</v>
      </c>
      <c r="BA1055" s="150">
        <v>5.7</v>
      </c>
      <c r="BB1055" s="150">
        <v>753400</v>
      </c>
      <c r="BC1055" s="150">
        <v>1681660</v>
      </c>
    </row>
    <row r="1056" spans="52:55">
      <c r="AZ1056" s="149">
        <v>43509</v>
      </c>
      <c r="BA1056" s="150">
        <v>5.66</v>
      </c>
      <c r="BB1056" s="150">
        <v>407300</v>
      </c>
      <c r="BC1056" s="150">
        <v>1758853</v>
      </c>
    </row>
    <row r="1057" spans="52:55">
      <c r="AZ1057" s="149">
        <v>43508</v>
      </c>
      <c r="BA1057" s="150">
        <v>5.7</v>
      </c>
      <c r="BB1057" s="150">
        <v>797400</v>
      </c>
      <c r="BC1057" s="150">
        <v>1905947</v>
      </c>
    </row>
    <row r="1058" spans="52:55">
      <c r="AZ1058" s="149">
        <v>43507</v>
      </c>
      <c r="BA1058" s="150">
        <v>5.7</v>
      </c>
      <c r="BB1058" s="150">
        <v>681500</v>
      </c>
      <c r="BC1058" s="150">
        <v>1940260</v>
      </c>
    </row>
    <row r="1059" spans="52:55">
      <c r="AZ1059" s="149">
        <v>43504</v>
      </c>
      <c r="BA1059" s="150">
        <v>5.7</v>
      </c>
      <c r="BB1059" s="150">
        <v>1413800</v>
      </c>
      <c r="BC1059" s="150">
        <v>2122587</v>
      </c>
    </row>
    <row r="1060" spans="52:55">
      <c r="AZ1060" s="149">
        <v>43503</v>
      </c>
      <c r="BA1060" s="150">
        <v>5.7</v>
      </c>
      <c r="BB1060" s="150">
        <v>2350100</v>
      </c>
      <c r="BC1060" s="150">
        <v>2100080</v>
      </c>
    </row>
    <row r="1061" spans="52:55">
      <c r="AZ1061" s="149">
        <v>43500</v>
      </c>
      <c r="BA1061" s="150">
        <v>5.56</v>
      </c>
      <c r="BB1061" s="150">
        <v>1281800</v>
      </c>
      <c r="BC1061" s="150">
        <v>2110587</v>
      </c>
    </row>
    <row r="1062" spans="52:55">
      <c r="AZ1062" s="149">
        <v>43496</v>
      </c>
      <c r="BA1062" s="150">
        <v>5.75</v>
      </c>
      <c r="BB1062" s="150">
        <v>3816100</v>
      </c>
      <c r="BC1062" s="150">
        <v>2189200</v>
      </c>
    </row>
    <row r="1063" spans="52:55">
      <c r="AZ1063" s="149">
        <v>43495</v>
      </c>
      <c r="BA1063" s="150">
        <v>5.74</v>
      </c>
      <c r="BB1063" s="150">
        <v>1129200</v>
      </c>
      <c r="BC1063" s="150">
        <v>2124013</v>
      </c>
    </row>
    <row r="1064" spans="52:55">
      <c r="AZ1064" s="149">
        <v>43494</v>
      </c>
      <c r="BA1064" s="150">
        <v>5.76</v>
      </c>
      <c r="BB1064" s="150">
        <v>2380900</v>
      </c>
      <c r="BC1064" s="150">
        <v>2289640</v>
      </c>
    </row>
    <row r="1065" spans="52:55">
      <c r="AZ1065" s="149">
        <v>43493</v>
      </c>
      <c r="BA1065" s="150">
        <v>5.76</v>
      </c>
      <c r="BB1065" s="150">
        <v>1474700</v>
      </c>
      <c r="BC1065" s="150">
        <v>2244487</v>
      </c>
    </row>
    <row r="1066" spans="52:55">
      <c r="AZ1066" s="149">
        <v>43490</v>
      </c>
      <c r="BA1066" s="150">
        <v>5.79</v>
      </c>
      <c r="BB1066" s="150">
        <v>1946900</v>
      </c>
      <c r="BC1066" s="150">
        <v>2244707</v>
      </c>
    </row>
    <row r="1067" spans="52:55">
      <c r="AZ1067" s="149">
        <v>43489</v>
      </c>
      <c r="BA1067" s="150">
        <v>5.76</v>
      </c>
      <c r="BB1067" s="150">
        <v>1732100</v>
      </c>
      <c r="BC1067" s="150">
        <v>2197547</v>
      </c>
    </row>
    <row r="1068" spans="52:55">
      <c r="AZ1068" s="149">
        <v>43488</v>
      </c>
      <c r="BA1068" s="150">
        <v>5.74</v>
      </c>
      <c r="BB1068" s="150">
        <v>2299600</v>
      </c>
      <c r="BC1068" s="150">
        <v>2155967</v>
      </c>
    </row>
    <row r="1069" spans="52:55">
      <c r="AZ1069" s="149">
        <v>43487</v>
      </c>
      <c r="BA1069" s="150">
        <v>5.74</v>
      </c>
      <c r="BB1069" s="150">
        <v>2760100</v>
      </c>
      <c r="BC1069" s="150">
        <v>2038320</v>
      </c>
    </row>
    <row r="1070" spans="52:55">
      <c r="AZ1070" s="149">
        <v>43483</v>
      </c>
      <c r="BA1070" s="150">
        <v>5.71</v>
      </c>
      <c r="BB1070" s="150">
        <v>1911300</v>
      </c>
      <c r="BC1070" s="150">
        <v>1949000</v>
      </c>
    </row>
    <row r="1071" spans="52:55">
      <c r="AZ1071" s="149">
        <v>43482</v>
      </c>
      <c r="BA1071" s="150">
        <v>5.71</v>
      </c>
      <c r="BB1071" s="150">
        <v>2613700</v>
      </c>
      <c r="BC1071" s="150">
        <v>1889813</v>
      </c>
    </row>
    <row r="1072" spans="52:55">
      <c r="AZ1072" s="149">
        <v>43481</v>
      </c>
      <c r="BA1072" s="150">
        <v>5.7</v>
      </c>
      <c r="BB1072" s="150">
        <v>1312100</v>
      </c>
      <c r="BC1072" s="150">
        <v>1767313</v>
      </c>
    </row>
    <row r="1073" spans="52:55">
      <c r="AZ1073" s="149">
        <v>43480</v>
      </c>
      <c r="BA1073" s="150">
        <v>5.72</v>
      </c>
      <c r="BB1073" s="150">
        <v>3416400</v>
      </c>
      <c r="BC1073" s="150">
        <v>1731693</v>
      </c>
    </row>
    <row r="1074" spans="52:55">
      <c r="AZ1074" s="149">
        <v>43479</v>
      </c>
      <c r="BA1074" s="150">
        <v>5.64</v>
      </c>
      <c r="BB1074" s="150">
        <v>1076200</v>
      </c>
      <c r="BC1074" s="150">
        <v>1746820</v>
      </c>
    </row>
    <row r="1075" spans="52:55">
      <c r="AZ1075" s="149">
        <v>43476</v>
      </c>
      <c r="BA1075" s="150">
        <v>5.7</v>
      </c>
      <c r="BB1075" s="150">
        <v>2507700</v>
      </c>
      <c r="BC1075" s="150">
        <v>1845020</v>
      </c>
    </row>
    <row r="1076" spans="52:55">
      <c r="AZ1076" s="149">
        <v>43475</v>
      </c>
      <c r="BA1076" s="150">
        <v>5.64</v>
      </c>
      <c r="BB1076" s="150">
        <v>2461000</v>
      </c>
      <c r="BC1076" s="150">
        <v>1830967</v>
      </c>
    </row>
    <row r="1077" spans="52:55">
      <c r="AZ1077" s="149">
        <v>43474</v>
      </c>
      <c r="BA1077" s="150">
        <v>5.46</v>
      </c>
      <c r="BB1077" s="150">
        <v>2838300</v>
      </c>
      <c r="BC1077" s="150">
        <v>1875047</v>
      </c>
    </row>
    <row r="1078" spans="52:55">
      <c r="AZ1078" s="149">
        <v>43473</v>
      </c>
      <c r="BA1078" s="150">
        <v>5.64</v>
      </c>
      <c r="BB1078" s="150">
        <v>3613600</v>
      </c>
      <c r="BC1078" s="150">
        <v>1764427</v>
      </c>
    </row>
    <row r="1079" spans="52:55">
      <c r="AZ1079" s="149">
        <v>43472</v>
      </c>
      <c r="BA1079" s="150">
        <v>5.66</v>
      </c>
      <c r="BB1079" s="150">
        <v>1703600</v>
      </c>
      <c r="BC1079" s="150">
        <v>1629500</v>
      </c>
    </row>
    <row r="1080" spans="52:55">
      <c r="AZ1080" s="149">
        <v>43469</v>
      </c>
      <c r="BA1080" s="150">
        <v>5.53</v>
      </c>
      <c r="BB1080" s="150">
        <v>1478000</v>
      </c>
      <c r="BC1080" s="150">
        <v>1726267</v>
      </c>
    </row>
    <row r="1081" spans="52:55">
      <c r="AZ1081" s="149">
        <v>43468</v>
      </c>
      <c r="BA1081" s="150">
        <v>5.45</v>
      </c>
      <c r="BB1081" s="150">
        <v>1239500</v>
      </c>
      <c r="BC1081" s="150">
        <v>1735527</v>
      </c>
    </row>
    <row r="1082" spans="52:55">
      <c r="AZ1082" s="149">
        <v>43467</v>
      </c>
      <c r="BA1082" s="150">
        <v>5.4</v>
      </c>
      <c r="BB1082" s="150">
        <v>1108400</v>
      </c>
      <c r="BC1082" s="150">
        <v>1794600</v>
      </c>
    </row>
    <row r="1083" spans="52:55">
      <c r="AZ1083" s="149">
        <v>43465</v>
      </c>
      <c r="BA1083" s="150">
        <v>5.35</v>
      </c>
      <c r="BB1083" s="150">
        <v>534900</v>
      </c>
      <c r="BC1083" s="150">
        <v>1753153</v>
      </c>
    </row>
    <row r="1084" spans="52:55">
      <c r="AZ1084" s="149">
        <v>43462</v>
      </c>
      <c r="BA1084" s="150">
        <v>5.46</v>
      </c>
      <c r="BB1084" s="150">
        <v>1420300</v>
      </c>
      <c r="BC1084" s="150">
        <v>1765173</v>
      </c>
    </row>
    <row r="1085" spans="52:55">
      <c r="AZ1085" s="149">
        <v>43461</v>
      </c>
      <c r="BA1085" s="150">
        <v>5.35</v>
      </c>
      <c r="BB1085" s="150">
        <v>1023500</v>
      </c>
      <c r="BC1085" s="150">
        <v>1835747</v>
      </c>
    </row>
    <row r="1086" spans="52:55">
      <c r="AZ1086" s="149">
        <v>43460</v>
      </c>
      <c r="BA1086" s="150">
        <v>5.24</v>
      </c>
      <c r="BB1086" s="150">
        <v>776200</v>
      </c>
      <c r="BC1086" s="150">
        <v>1863533</v>
      </c>
    </row>
    <row r="1087" spans="52:55">
      <c r="AZ1087" s="149">
        <v>43458</v>
      </c>
      <c r="BA1087" s="150">
        <v>5.35</v>
      </c>
      <c r="BB1087" s="150">
        <v>777800</v>
      </c>
      <c r="BC1087" s="150">
        <v>2075600</v>
      </c>
    </row>
    <row r="1088" spans="52:55">
      <c r="AZ1088" s="149">
        <v>43455</v>
      </c>
      <c r="BA1088" s="150">
        <v>5.41</v>
      </c>
      <c r="BB1088" s="150">
        <v>3643300</v>
      </c>
      <c r="BC1088" s="150">
        <v>2150473</v>
      </c>
    </row>
    <row r="1089" spans="52:55">
      <c r="AZ1089" s="149">
        <v>43454</v>
      </c>
      <c r="BA1089" s="150">
        <v>5.25</v>
      </c>
      <c r="BB1089" s="150">
        <v>2549200</v>
      </c>
      <c r="BC1089" s="150">
        <v>2423333</v>
      </c>
    </row>
    <row r="1090" spans="52:55">
      <c r="AZ1090" s="149">
        <v>43453</v>
      </c>
      <c r="BA1090" s="150">
        <v>5.47</v>
      </c>
      <c r="BB1090" s="150">
        <v>2296900</v>
      </c>
      <c r="BC1090" s="150">
        <v>2407527</v>
      </c>
    </row>
    <row r="1091" spans="52:55">
      <c r="AZ1091" s="149">
        <v>43452</v>
      </c>
      <c r="BA1091" s="150">
        <v>5.28</v>
      </c>
      <c r="BB1091" s="150">
        <v>3122200</v>
      </c>
      <c r="BC1091" s="150">
        <v>2349173</v>
      </c>
    </row>
    <row r="1092" spans="52:55">
      <c r="AZ1092" s="149">
        <v>43451</v>
      </c>
      <c r="BA1092" s="150">
        <v>5.24</v>
      </c>
      <c r="BB1092" s="150">
        <v>1179000</v>
      </c>
      <c r="BC1092" s="150">
        <v>2254860</v>
      </c>
    </row>
    <row r="1093" spans="52:55">
      <c r="AZ1093" s="149">
        <v>43448</v>
      </c>
      <c r="BA1093" s="150">
        <v>5.25</v>
      </c>
      <c r="BB1093" s="150">
        <v>1589700</v>
      </c>
      <c r="BC1093" s="150">
        <v>2294013</v>
      </c>
    </row>
    <row r="1094" spans="52:55">
      <c r="AZ1094" s="149">
        <v>43447</v>
      </c>
      <c r="BA1094" s="150">
        <v>5.21</v>
      </c>
      <c r="BB1094" s="150">
        <v>3155100</v>
      </c>
      <c r="BC1094" s="150">
        <v>2230507</v>
      </c>
    </row>
    <row r="1095" spans="52:55">
      <c r="AZ1095" s="149">
        <v>43446</v>
      </c>
      <c r="BA1095" s="150">
        <v>5.14</v>
      </c>
      <c r="BB1095" s="150">
        <v>1616900</v>
      </c>
      <c r="BC1095" s="150">
        <v>2057753</v>
      </c>
    </row>
    <row r="1096" spans="52:55">
      <c r="AZ1096" s="149">
        <v>43445</v>
      </c>
      <c r="BA1096" s="150">
        <v>5.22</v>
      </c>
      <c r="BB1096" s="150">
        <v>2125600</v>
      </c>
      <c r="BC1096" s="150">
        <v>2049627</v>
      </c>
    </row>
    <row r="1097" spans="52:55">
      <c r="AZ1097" s="149">
        <v>43444</v>
      </c>
      <c r="BA1097" s="150">
        <v>5.36</v>
      </c>
      <c r="BB1097" s="150">
        <v>486700</v>
      </c>
      <c r="BC1097" s="150">
        <v>2024640</v>
      </c>
    </row>
    <row r="1098" spans="52:55">
      <c r="AZ1098" s="149">
        <v>43441</v>
      </c>
      <c r="BA1098" s="150">
        <v>5.4</v>
      </c>
      <c r="BB1098" s="150">
        <v>715200</v>
      </c>
      <c r="BC1098" s="150">
        <v>2087580</v>
      </c>
    </row>
    <row r="1099" spans="52:55">
      <c r="AZ1099" s="149">
        <v>43440</v>
      </c>
      <c r="BA1099" s="150">
        <v>5.43</v>
      </c>
      <c r="BB1099" s="150">
        <v>2478900</v>
      </c>
      <c r="BC1099" s="150">
        <v>2164567</v>
      </c>
    </row>
    <row r="1100" spans="52:55">
      <c r="AZ1100" s="149">
        <v>43439</v>
      </c>
      <c r="BA1100" s="150">
        <v>5.38</v>
      </c>
      <c r="BB1100" s="150">
        <v>1440300</v>
      </c>
      <c r="BC1100" s="150">
        <v>2067120</v>
      </c>
    </row>
    <row r="1101" spans="52:55">
      <c r="AZ1101" s="149">
        <v>43438</v>
      </c>
      <c r="BA1101" s="150">
        <v>5.5</v>
      </c>
      <c r="BB1101" s="150">
        <v>3957200</v>
      </c>
      <c r="BC1101" s="150">
        <v>2001647</v>
      </c>
    </row>
    <row r="1102" spans="52:55">
      <c r="AZ1102" s="149">
        <v>43437</v>
      </c>
      <c r="BA1102" s="150">
        <v>5.52</v>
      </c>
      <c r="BB1102" s="150">
        <v>1900900</v>
      </c>
      <c r="BC1102" s="150">
        <v>1752973</v>
      </c>
    </row>
    <row r="1103" spans="52:55">
      <c r="AZ1103" s="149">
        <v>43434</v>
      </c>
      <c r="BA1103" s="150">
        <v>5.43</v>
      </c>
      <c r="BB1103" s="150">
        <v>7736200</v>
      </c>
      <c r="BC1103" s="150">
        <v>1671233</v>
      </c>
    </row>
    <row r="1104" spans="52:55">
      <c r="AZ1104" s="149">
        <v>43433</v>
      </c>
      <c r="BA1104" s="150">
        <v>5.4</v>
      </c>
      <c r="BB1104" s="150">
        <v>2312100</v>
      </c>
      <c r="BC1104" s="150">
        <v>1431047</v>
      </c>
    </row>
    <row r="1105" spans="52:55">
      <c r="AZ1105" s="149">
        <v>43432</v>
      </c>
      <c r="BA1105" s="150">
        <v>5.4</v>
      </c>
      <c r="BB1105" s="150">
        <v>1421600</v>
      </c>
      <c r="BC1105" s="150">
        <v>1380520</v>
      </c>
    </row>
    <row r="1106" spans="52:55">
      <c r="AZ1106" s="149">
        <v>43431</v>
      </c>
      <c r="BA1106" s="150">
        <v>5.4</v>
      </c>
      <c r="BB1106" s="150">
        <v>1707500</v>
      </c>
      <c r="BC1106" s="150">
        <v>1367547</v>
      </c>
    </row>
    <row r="1107" spans="52:55">
      <c r="AZ1107" s="149">
        <v>43430</v>
      </c>
      <c r="BA1107" s="150">
        <v>5.43</v>
      </c>
      <c r="BB1107" s="150">
        <v>1766300</v>
      </c>
      <c r="BC1107" s="150">
        <v>1374620</v>
      </c>
    </row>
    <row r="1108" spans="52:55">
      <c r="AZ1108" s="149">
        <v>43427</v>
      </c>
      <c r="BA1108" s="150">
        <v>5.31</v>
      </c>
      <c r="BB1108" s="150">
        <v>637100</v>
      </c>
      <c r="BC1108" s="150">
        <v>1338887</v>
      </c>
    </row>
    <row r="1109" spans="52:55">
      <c r="AZ1109" s="149">
        <v>43426</v>
      </c>
      <c r="BA1109" s="150">
        <v>5.36</v>
      </c>
      <c r="BB1109" s="150">
        <v>563800</v>
      </c>
      <c r="BC1109" s="150">
        <v>1517560</v>
      </c>
    </row>
    <row r="1110" spans="52:55">
      <c r="AZ1110" s="149">
        <v>43425</v>
      </c>
      <c r="BA1110" s="150">
        <v>5.35</v>
      </c>
      <c r="BB1110" s="150">
        <v>1495000</v>
      </c>
      <c r="BC1110" s="150">
        <v>1589513</v>
      </c>
    </row>
    <row r="1111" spans="52:55">
      <c r="AZ1111" s="149">
        <v>43423</v>
      </c>
      <c r="BA1111" s="150">
        <v>5.41</v>
      </c>
      <c r="BB1111" s="150">
        <v>1750800</v>
      </c>
      <c r="BC1111" s="150">
        <v>1544620</v>
      </c>
    </row>
    <row r="1112" spans="52:55">
      <c r="AZ1112" s="149">
        <v>43420</v>
      </c>
      <c r="BA1112" s="150">
        <v>5.4</v>
      </c>
      <c r="BB1112" s="150">
        <v>1430800</v>
      </c>
      <c r="BC1112" s="150">
        <v>1536807</v>
      </c>
    </row>
    <row r="1113" spans="52:55">
      <c r="AZ1113" s="149">
        <v>43419</v>
      </c>
      <c r="BA1113" s="150">
        <v>5.4</v>
      </c>
      <c r="BB1113" s="150">
        <v>1870000</v>
      </c>
      <c r="BC1113" s="150">
        <v>1551307</v>
      </c>
    </row>
    <row r="1114" spans="52:55">
      <c r="AZ1114" s="149">
        <v>43418</v>
      </c>
      <c r="BA1114" s="150">
        <v>5.35</v>
      </c>
      <c r="BB1114" s="150">
        <v>1017200</v>
      </c>
      <c r="BC1114" s="150">
        <v>1515947</v>
      </c>
    </row>
    <row r="1115" spans="52:55">
      <c r="AZ1115" s="149">
        <v>43417</v>
      </c>
      <c r="BA1115" s="150">
        <v>5.35</v>
      </c>
      <c r="BB1115" s="150">
        <v>458200</v>
      </c>
      <c r="BC1115" s="150">
        <v>1693973</v>
      </c>
    </row>
    <row r="1116" spans="52:55">
      <c r="AZ1116" s="149">
        <v>43416</v>
      </c>
      <c r="BA1116" s="150">
        <v>5.42</v>
      </c>
      <c r="BB1116" s="150">
        <v>227100</v>
      </c>
      <c r="BC1116" s="150">
        <v>1790027</v>
      </c>
    </row>
    <row r="1117" spans="52:55">
      <c r="AZ1117" s="149">
        <v>43413</v>
      </c>
      <c r="BA1117" s="150">
        <v>5.45</v>
      </c>
      <c r="BB1117" s="150">
        <v>674800</v>
      </c>
      <c r="BC1117" s="150">
        <v>1956300</v>
      </c>
    </row>
    <row r="1118" spans="52:55">
      <c r="AZ1118" s="149">
        <v>43412</v>
      </c>
      <c r="BA1118" s="150">
        <v>5.51</v>
      </c>
      <c r="BB1118" s="150">
        <v>4133400</v>
      </c>
      <c r="BC1118" s="150">
        <v>1965187</v>
      </c>
    </row>
    <row r="1119" spans="52:55">
      <c r="AZ1119" s="149">
        <v>43411</v>
      </c>
      <c r="BA1119" s="150">
        <v>5.4</v>
      </c>
      <c r="BB1119" s="150">
        <v>1554200</v>
      </c>
      <c r="BC1119" s="150">
        <v>1752720</v>
      </c>
    </row>
    <row r="1120" spans="52:55">
      <c r="AZ1120" s="149">
        <v>43409</v>
      </c>
      <c r="BA1120" s="150">
        <v>5.39</v>
      </c>
      <c r="BB1120" s="150">
        <v>1227000</v>
      </c>
      <c r="BC1120" s="150">
        <v>1720467</v>
      </c>
    </row>
    <row r="1121" spans="52:55">
      <c r="AZ1121" s="149">
        <v>43406</v>
      </c>
      <c r="BA1121" s="150">
        <v>5.31</v>
      </c>
      <c r="BB1121" s="150">
        <v>1813600</v>
      </c>
      <c r="BC1121" s="150">
        <v>1721007</v>
      </c>
    </row>
    <row r="1122" spans="52:55">
      <c r="AZ1122" s="149">
        <v>43405</v>
      </c>
      <c r="BA1122" s="150">
        <v>5.21</v>
      </c>
      <c r="BB1122" s="150">
        <v>1230300</v>
      </c>
      <c r="BC1122" s="150">
        <v>1672873</v>
      </c>
    </row>
    <row r="1123" spans="52:55">
      <c r="AZ1123" s="149">
        <v>43404</v>
      </c>
      <c r="BA1123" s="150">
        <v>5.23</v>
      </c>
      <c r="BB1123" s="150">
        <v>3317200</v>
      </c>
      <c r="BC1123" s="150">
        <v>1796653</v>
      </c>
    </row>
    <row r="1124" spans="52:55">
      <c r="AZ1124" s="149">
        <v>43403</v>
      </c>
      <c r="BA1124" s="150">
        <v>5.15</v>
      </c>
      <c r="BB1124" s="150">
        <v>1643100</v>
      </c>
      <c r="BC1124" s="150">
        <v>1667393</v>
      </c>
    </row>
    <row r="1125" spans="52:55">
      <c r="AZ1125" s="149">
        <v>43402</v>
      </c>
      <c r="BA1125" s="150">
        <v>5.24</v>
      </c>
      <c r="BB1125" s="150">
        <v>821600</v>
      </c>
      <c r="BC1125" s="150">
        <v>1619113</v>
      </c>
    </row>
    <row r="1126" spans="52:55">
      <c r="AZ1126" s="149">
        <v>43399</v>
      </c>
      <c r="BA1126" s="150">
        <v>5.26</v>
      </c>
      <c r="BB1126" s="150">
        <v>1633600</v>
      </c>
      <c r="BC1126" s="150">
        <v>1692367</v>
      </c>
    </row>
    <row r="1127" spans="52:55">
      <c r="AZ1127" s="149">
        <v>43398</v>
      </c>
      <c r="BA1127" s="150">
        <v>5.27</v>
      </c>
      <c r="BB1127" s="150">
        <v>1648300</v>
      </c>
      <c r="BC1127" s="150">
        <v>1699820</v>
      </c>
    </row>
    <row r="1128" spans="52:55">
      <c r="AZ1128" s="149">
        <v>43397</v>
      </c>
      <c r="BA1128" s="150">
        <v>5.23</v>
      </c>
      <c r="BB1128" s="150">
        <v>1339600</v>
      </c>
      <c r="BC1128" s="150">
        <v>1727653</v>
      </c>
    </row>
    <row r="1129" spans="52:55">
      <c r="AZ1129" s="149">
        <v>43396</v>
      </c>
      <c r="BA1129" s="150">
        <v>5.29</v>
      </c>
      <c r="BB1129" s="150">
        <v>3687600</v>
      </c>
      <c r="BC1129" s="150">
        <v>1722693</v>
      </c>
    </row>
    <row r="1130" spans="52:55">
      <c r="AZ1130" s="149">
        <v>43395</v>
      </c>
      <c r="BA1130" s="150">
        <v>5.22</v>
      </c>
      <c r="BB1130" s="150">
        <v>1899000</v>
      </c>
      <c r="BC1130" s="150">
        <v>1585700</v>
      </c>
    </row>
    <row r="1131" spans="52:55">
      <c r="AZ1131" s="149">
        <v>43392</v>
      </c>
      <c r="BA1131" s="150">
        <v>5.39</v>
      </c>
      <c r="BB1131" s="150">
        <v>2721200</v>
      </c>
      <c r="BC1131" s="150">
        <v>1481480</v>
      </c>
    </row>
    <row r="1132" spans="52:55">
      <c r="AZ1132" s="149">
        <v>43391</v>
      </c>
      <c r="BA1132" s="150">
        <v>5.51</v>
      </c>
      <c r="BB1132" s="150">
        <v>808100</v>
      </c>
      <c r="BC1132" s="150">
        <v>1486767</v>
      </c>
    </row>
    <row r="1133" spans="52:55">
      <c r="AZ1133" s="149">
        <v>43390</v>
      </c>
      <c r="BA1133" s="150">
        <v>5.5</v>
      </c>
      <c r="BB1133" s="150">
        <v>946400</v>
      </c>
      <c r="BC1133" s="150">
        <v>1491260</v>
      </c>
    </row>
    <row r="1134" spans="52:55">
      <c r="AZ1134" s="149">
        <v>43389</v>
      </c>
      <c r="BA1134" s="150">
        <v>5.47</v>
      </c>
      <c r="BB1134" s="150">
        <v>1070400</v>
      </c>
      <c r="BC1134" s="150">
        <v>1584207</v>
      </c>
    </row>
    <row r="1135" spans="52:55">
      <c r="AZ1135" s="149">
        <v>43388</v>
      </c>
      <c r="BA1135" s="150">
        <v>5.51</v>
      </c>
      <c r="BB1135" s="150">
        <v>1235100</v>
      </c>
      <c r="BC1135" s="150">
        <v>1650880</v>
      </c>
    </row>
    <row r="1136" spans="52:55">
      <c r="AZ1136" s="149">
        <v>43385</v>
      </c>
      <c r="BA1136" s="150">
        <v>5.5</v>
      </c>
      <c r="BB1136" s="150">
        <v>1091600</v>
      </c>
      <c r="BC1136" s="150">
        <v>1633947</v>
      </c>
    </row>
    <row r="1137" spans="52:55">
      <c r="AZ1137" s="149">
        <v>43384</v>
      </c>
      <c r="BA1137" s="150">
        <v>5.45</v>
      </c>
      <c r="BB1137" s="150">
        <v>3087000</v>
      </c>
      <c r="BC1137" s="150">
        <v>1903507</v>
      </c>
    </row>
    <row r="1138" spans="52:55">
      <c r="AZ1138" s="149">
        <v>43383</v>
      </c>
      <c r="BA1138" s="150">
        <v>5.57</v>
      </c>
      <c r="BB1138" s="150">
        <v>1378300</v>
      </c>
      <c r="BC1138" s="150">
        <v>1836053</v>
      </c>
    </row>
    <row r="1139" spans="52:55">
      <c r="AZ1139" s="149">
        <v>43382</v>
      </c>
      <c r="BA1139" s="150">
        <v>5.67</v>
      </c>
      <c r="BB1139" s="150">
        <v>918900</v>
      </c>
      <c r="BC1139" s="150">
        <v>1866933</v>
      </c>
    </row>
    <row r="1140" spans="52:55">
      <c r="AZ1140" s="149">
        <v>43381</v>
      </c>
      <c r="BA1140" s="150">
        <v>5.7</v>
      </c>
      <c r="BB1140" s="150">
        <v>1920400</v>
      </c>
      <c r="BC1140" s="150">
        <v>1894873</v>
      </c>
    </row>
    <row r="1141" spans="52:55">
      <c r="AZ1141" s="149">
        <v>43378</v>
      </c>
      <c r="BA1141" s="150">
        <v>5.69</v>
      </c>
      <c r="BB1141" s="150">
        <v>1745400</v>
      </c>
      <c r="BC1141" s="150">
        <v>1985033</v>
      </c>
    </row>
    <row r="1142" spans="52:55">
      <c r="AZ1142" s="149">
        <v>43377</v>
      </c>
      <c r="BA1142" s="150">
        <v>5.75</v>
      </c>
      <c r="BB1142" s="150">
        <v>2065800</v>
      </c>
      <c r="BC1142" s="150">
        <v>2002987</v>
      </c>
    </row>
    <row r="1143" spans="52:55">
      <c r="AZ1143" s="149">
        <v>43376</v>
      </c>
      <c r="BA1143" s="150">
        <v>5.82</v>
      </c>
      <c r="BB1143" s="150">
        <v>1265200</v>
      </c>
      <c r="BC1143" s="150">
        <v>2112293</v>
      </c>
    </row>
    <row r="1144" spans="52:55">
      <c r="AZ1144" s="149">
        <v>43375</v>
      </c>
      <c r="BA1144" s="150">
        <v>5.84</v>
      </c>
      <c r="BB1144" s="150">
        <v>1632700</v>
      </c>
      <c r="BC1144" s="150">
        <v>2177207</v>
      </c>
    </row>
    <row r="1145" spans="52:55">
      <c r="AZ1145" s="149">
        <v>43374</v>
      </c>
      <c r="BA1145" s="150">
        <v>5.84</v>
      </c>
      <c r="BB1145" s="150">
        <v>335700</v>
      </c>
      <c r="BC1145" s="150">
        <v>2214060</v>
      </c>
    </row>
    <row r="1146" spans="52:55">
      <c r="AZ1146" s="149">
        <v>43371</v>
      </c>
      <c r="BA1146" s="150">
        <v>5.84</v>
      </c>
      <c r="BB1146" s="150">
        <v>2800500</v>
      </c>
      <c r="BC1146" s="150">
        <v>2367047</v>
      </c>
    </row>
    <row r="1147" spans="52:55">
      <c r="AZ1147" s="149">
        <v>43370</v>
      </c>
      <c r="BA1147" s="150">
        <v>5.84</v>
      </c>
      <c r="BB1147" s="150">
        <v>875500</v>
      </c>
      <c r="BC1147" s="150">
        <v>2213000</v>
      </c>
    </row>
    <row r="1148" spans="52:55">
      <c r="AZ1148" s="149">
        <v>43369</v>
      </c>
      <c r="BA1148" s="150">
        <v>5.84</v>
      </c>
      <c r="BB1148" s="150">
        <v>2340600</v>
      </c>
      <c r="BC1148" s="150">
        <v>2220033</v>
      </c>
    </row>
    <row r="1149" spans="52:55">
      <c r="AZ1149" s="149">
        <v>43368</v>
      </c>
      <c r="BA1149" s="150">
        <v>5.83</v>
      </c>
      <c r="BB1149" s="150">
        <v>2070500</v>
      </c>
      <c r="BC1149" s="150">
        <v>2227787</v>
      </c>
    </row>
    <row r="1150" spans="52:55">
      <c r="AZ1150" s="149">
        <v>43367</v>
      </c>
      <c r="BA1150" s="150">
        <v>5.82</v>
      </c>
      <c r="BB1150" s="150">
        <v>981100</v>
      </c>
      <c r="BC1150" s="150">
        <v>2249673</v>
      </c>
    </row>
    <row r="1151" spans="52:55">
      <c r="AZ1151" s="149">
        <v>43364</v>
      </c>
      <c r="BA1151" s="150">
        <v>5.88</v>
      </c>
      <c r="BB1151" s="150">
        <v>5135000</v>
      </c>
      <c r="BC1151" s="150">
        <v>2363313</v>
      </c>
    </row>
    <row r="1152" spans="52:55">
      <c r="AZ1152" s="149">
        <v>43363</v>
      </c>
      <c r="BA1152" s="150">
        <v>5.84</v>
      </c>
      <c r="BB1152" s="150">
        <v>2075200</v>
      </c>
      <c r="BC1152" s="150">
        <v>2165147</v>
      </c>
    </row>
    <row r="1153" spans="52:55">
      <c r="AZ1153" s="149">
        <v>43362</v>
      </c>
      <c r="BA1153" s="150">
        <v>5.83</v>
      </c>
      <c r="BB1153" s="150">
        <v>1841500</v>
      </c>
      <c r="BC1153" s="150">
        <v>2073547</v>
      </c>
    </row>
    <row r="1154" spans="52:55">
      <c r="AZ1154" s="149">
        <v>43361</v>
      </c>
      <c r="BA1154" s="150">
        <v>5.84</v>
      </c>
      <c r="BB1154" s="150">
        <v>1338000</v>
      </c>
      <c r="BC1154" s="150">
        <v>2080527</v>
      </c>
    </row>
    <row r="1155" spans="52:55">
      <c r="AZ1155" s="149">
        <v>43357</v>
      </c>
      <c r="BA1155" s="150">
        <v>5.84</v>
      </c>
      <c r="BB1155" s="150">
        <v>3272800</v>
      </c>
      <c r="BC1155" s="150">
        <v>2122320</v>
      </c>
    </row>
    <row r="1156" spans="52:55">
      <c r="AZ1156" s="149">
        <v>43356</v>
      </c>
      <c r="BA1156" s="150">
        <v>5.8</v>
      </c>
      <c r="BB1156" s="150">
        <v>2014700</v>
      </c>
      <c r="BC1156" s="150">
        <v>2006207</v>
      </c>
    </row>
    <row r="1157" spans="52:55">
      <c r="AZ1157" s="149">
        <v>43355</v>
      </c>
      <c r="BA1157" s="150">
        <v>5.77</v>
      </c>
      <c r="BB1157" s="150">
        <v>3705400</v>
      </c>
      <c r="BC1157" s="150">
        <v>1964280</v>
      </c>
    </row>
    <row r="1158" spans="52:55">
      <c r="AZ1158" s="149">
        <v>43350</v>
      </c>
      <c r="BA1158" s="150">
        <v>5.76</v>
      </c>
      <c r="BB1158" s="150">
        <v>2238900</v>
      </c>
      <c r="BC1158" s="150">
        <v>1766647</v>
      </c>
    </row>
    <row r="1159" spans="52:55">
      <c r="AZ1159" s="149">
        <v>43349</v>
      </c>
      <c r="BA1159" s="150">
        <v>5.77</v>
      </c>
      <c r="BB1159" s="150">
        <v>2185500</v>
      </c>
      <c r="BC1159" s="150">
        <v>1653780</v>
      </c>
    </row>
    <row r="1160" spans="52:55">
      <c r="AZ1160" s="149">
        <v>43348</v>
      </c>
      <c r="BA1160" s="150">
        <v>5.76</v>
      </c>
      <c r="BB1160" s="150">
        <v>2630500</v>
      </c>
      <c r="BC1160" s="150">
        <v>1537767</v>
      </c>
    </row>
    <row r="1161" spans="52:55">
      <c r="AZ1161" s="149">
        <v>43347</v>
      </c>
      <c r="BA1161" s="150">
        <v>5.76</v>
      </c>
      <c r="BB1161" s="150">
        <v>489800</v>
      </c>
      <c r="BC1161" s="150">
        <v>1467367</v>
      </c>
    </row>
    <row r="1162" spans="52:55">
      <c r="AZ1162" s="149">
        <v>43346</v>
      </c>
      <c r="BA1162" s="150">
        <v>5.77</v>
      </c>
      <c r="BB1162" s="150">
        <v>981000</v>
      </c>
      <c r="BC1162" s="150">
        <v>1466033</v>
      </c>
    </row>
    <row r="1163" spans="52:55">
      <c r="AZ1163" s="149">
        <v>43342</v>
      </c>
      <c r="BA1163" s="150">
        <v>5.78</v>
      </c>
      <c r="BB1163" s="150">
        <v>2456900</v>
      </c>
      <c r="BC1163" s="150">
        <v>1431660</v>
      </c>
    </row>
    <row r="1164" spans="52:55">
      <c r="AZ1164" s="149">
        <v>43341</v>
      </c>
      <c r="BA1164" s="150">
        <v>5.81</v>
      </c>
      <c r="BB1164" s="150">
        <v>2398800</v>
      </c>
      <c r="BC1164" s="150">
        <v>1408453</v>
      </c>
    </row>
    <row r="1165" spans="52:55">
      <c r="AZ1165" s="149">
        <v>43340</v>
      </c>
      <c r="BA1165" s="150">
        <v>5.85</v>
      </c>
      <c r="BB1165" s="150">
        <v>2685700</v>
      </c>
      <c r="BC1165" s="150">
        <v>1452547</v>
      </c>
    </row>
    <row r="1166" spans="52:55">
      <c r="AZ1166" s="149">
        <v>43339</v>
      </c>
      <c r="BA1166" s="150">
        <v>5.84</v>
      </c>
      <c r="BB1166" s="150">
        <v>2162500</v>
      </c>
      <c r="BC1166" s="150">
        <v>1365933</v>
      </c>
    </row>
    <row r="1167" spans="52:55">
      <c r="AZ1167" s="149">
        <v>43336</v>
      </c>
      <c r="BA1167" s="150">
        <v>5.82</v>
      </c>
      <c r="BB1167" s="150">
        <v>701200</v>
      </c>
      <c r="BC1167" s="150">
        <v>1249440</v>
      </c>
    </row>
    <row r="1168" spans="52:55">
      <c r="AZ1168" s="149">
        <v>43335</v>
      </c>
      <c r="BA1168" s="150">
        <v>5.82</v>
      </c>
      <c r="BB1168" s="150">
        <v>1946200</v>
      </c>
      <c r="BC1168" s="150">
        <v>1247640</v>
      </c>
    </row>
    <row r="1169" spans="52:55">
      <c r="AZ1169" s="149">
        <v>43333</v>
      </c>
      <c r="BA1169" s="150">
        <v>5.81</v>
      </c>
      <c r="BB1169" s="150">
        <v>1964900</v>
      </c>
      <c r="BC1169" s="150">
        <v>1233760</v>
      </c>
    </row>
    <row r="1170" spans="52:55">
      <c r="AZ1170" s="149">
        <v>43332</v>
      </c>
      <c r="BA1170" s="150">
        <v>5.75</v>
      </c>
      <c r="BB1170" s="150">
        <v>1531100</v>
      </c>
      <c r="BC1170" s="150">
        <v>1452320</v>
      </c>
    </row>
    <row r="1171" spans="52:55">
      <c r="AZ1171" s="149">
        <v>43329</v>
      </c>
      <c r="BA1171" s="150">
        <v>5.75</v>
      </c>
      <c r="BB1171" s="150">
        <v>1385800</v>
      </c>
      <c r="BC1171" s="150">
        <v>1413273</v>
      </c>
    </row>
    <row r="1172" spans="52:55">
      <c r="AZ1172" s="149">
        <v>43328</v>
      </c>
      <c r="BA1172" s="150">
        <v>5.66</v>
      </c>
      <c r="BB1172" s="150">
        <v>740900</v>
      </c>
      <c r="BC1172" s="150">
        <v>1428113</v>
      </c>
    </row>
    <row r="1173" spans="52:55">
      <c r="AZ1173" s="149">
        <v>43327</v>
      </c>
      <c r="BA1173" s="150">
        <v>5.74</v>
      </c>
      <c r="BB1173" s="150">
        <v>545900</v>
      </c>
      <c r="BC1173" s="150">
        <v>1621893</v>
      </c>
    </row>
    <row r="1174" spans="52:55">
      <c r="AZ1174" s="149">
        <v>43326</v>
      </c>
      <c r="BA1174" s="150">
        <v>5.79</v>
      </c>
      <c r="BB1174" s="150">
        <v>445300</v>
      </c>
      <c r="BC1174" s="150">
        <v>1697293</v>
      </c>
    </row>
    <row r="1175" spans="52:55">
      <c r="AZ1175" s="149">
        <v>43325</v>
      </c>
      <c r="BA1175" s="150">
        <v>5.66</v>
      </c>
      <c r="BB1175" s="150">
        <v>1574500</v>
      </c>
      <c r="BC1175" s="150">
        <v>1787440</v>
      </c>
    </row>
    <row r="1176" spans="52:55">
      <c r="AZ1176" s="149">
        <v>43322</v>
      </c>
      <c r="BA1176" s="150">
        <v>5.79</v>
      </c>
      <c r="BB1176" s="150">
        <v>469800</v>
      </c>
      <c r="BC1176" s="150">
        <v>1768113</v>
      </c>
    </row>
    <row r="1177" spans="52:55">
      <c r="AZ1177" s="149">
        <v>43321</v>
      </c>
      <c r="BA1177" s="150">
        <v>5.76</v>
      </c>
      <c r="BB1177" s="150">
        <v>465400</v>
      </c>
      <c r="BC1177" s="150">
        <v>1817427</v>
      </c>
    </row>
    <row r="1178" spans="52:55">
      <c r="AZ1178" s="149">
        <v>43320</v>
      </c>
      <c r="BA1178" s="150">
        <v>5.75</v>
      </c>
      <c r="BB1178" s="150">
        <v>2108800</v>
      </c>
      <c r="BC1178" s="150">
        <v>1849520</v>
      </c>
    </row>
    <row r="1179" spans="52:55">
      <c r="AZ1179" s="149">
        <v>43319</v>
      </c>
      <c r="BA1179" s="150">
        <v>5.73</v>
      </c>
      <c r="BB1179" s="150">
        <v>3060200</v>
      </c>
      <c r="BC1179" s="150">
        <v>1871640</v>
      </c>
    </row>
    <row r="1180" spans="52:55">
      <c r="AZ1180" s="149">
        <v>43318</v>
      </c>
      <c r="BA1180" s="150">
        <v>5.62</v>
      </c>
      <c r="BB1180" s="150">
        <v>1386500</v>
      </c>
      <c r="BC1180" s="150">
        <v>1738267</v>
      </c>
    </row>
    <row r="1181" spans="52:55">
      <c r="AZ1181" s="149">
        <v>43315</v>
      </c>
      <c r="BA1181" s="150">
        <v>5.68</v>
      </c>
      <c r="BB1181" s="150">
        <v>415100</v>
      </c>
      <c r="BC1181" s="150">
        <v>1696773</v>
      </c>
    </row>
    <row r="1182" spans="52:55">
      <c r="AZ1182" s="149">
        <v>43314</v>
      </c>
      <c r="BA1182" s="150">
        <v>5.67</v>
      </c>
      <c r="BB1182" s="150">
        <v>674200</v>
      </c>
      <c r="BC1182" s="150">
        <v>1733647</v>
      </c>
    </row>
    <row r="1183" spans="52:55">
      <c r="AZ1183" s="149">
        <v>43313</v>
      </c>
      <c r="BA1183" s="150">
        <v>5.75</v>
      </c>
      <c r="BB1183" s="150">
        <v>1738000</v>
      </c>
      <c r="BC1183" s="150">
        <v>1739980</v>
      </c>
    </row>
    <row r="1184" spans="52:55">
      <c r="AZ1184" s="149">
        <v>43312</v>
      </c>
      <c r="BA1184" s="150">
        <v>5.79</v>
      </c>
      <c r="BB1184" s="150">
        <v>5243300</v>
      </c>
      <c r="BC1184" s="150">
        <v>1975840</v>
      </c>
    </row>
    <row r="1185" spans="52:55">
      <c r="AZ1185" s="149">
        <v>43311</v>
      </c>
      <c r="BA1185" s="150">
        <v>5.63</v>
      </c>
      <c r="BB1185" s="150">
        <v>945400</v>
      </c>
      <c r="BC1185" s="150">
        <v>1862040</v>
      </c>
    </row>
    <row r="1186" spans="52:55">
      <c r="AZ1186" s="149">
        <v>43308</v>
      </c>
      <c r="BA1186" s="150">
        <v>5.64</v>
      </c>
      <c r="BB1186" s="150">
        <v>1608400</v>
      </c>
      <c r="BC1186" s="150">
        <v>1831173</v>
      </c>
    </row>
    <row r="1187" spans="52:55">
      <c r="AZ1187" s="149">
        <v>43307</v>
      </c>
      <c r="BA1187" s="150">
        <v>5.63</v>
      </c>
      <c r="BB1187" s="150">
        <v>3647600</v>
      </c>
      <c r="BC1187" s="150">
        <v>1827413</v>
      </c>
    </row>
    <row r="1188" spans="52:55">
      <c r="AZ1188" s="149">
        <v>43306</v>
      </c>
      <c r="BA1188" s="150">
        <v>5.6</v>
      </c>
      <c r="BB1188" s="150">
        <v>1676900</v>
      </c>
      <c r="BC1188" s="150">
        <v>1599280</v>
      </c>
    </row>
    <row r="1189" spans="52:55">
      <c r="AZ1189" s="149">
        <v>43305</v>
      </c>
      <c r="BA1189" s="150">
        <v>5.62</v>
      </c>
      <c r="BB1189" s="150">
        <v>1797500</v>
      </c>
      <c r="BC1189" s="150">
        <v>1510260</v>
      </c>
    </row>
    <row r="1190" spans="52:55">
      <c r="AZ1190" s="149">
        <v>43304</v>
      </c>
      <c r="BA1190" s="150">
        <v>5.58</v>
      </c>
      <c r="BB1190" s="150">
        <v>1284600</v>
      </c>
      <c r="BC1190" s="150">
        <v>1468927</v>
      </c>
    </row>
    <row r="1191" spans="52:55">
      <c r="AZ1191" s="149">
        <v>43301</v>
      </c>
      <c r="BA1191" s="150">
        <v>5.57</v>
      </c>
      <c r="BB1191" s="150">
        <v>1209500</v>
      </c>
      <c r="BC1191" s="150">
        <v>1510620</v>
      </c>
    </row>
    <row r="1192" spans="52:55">
      <c r="AZ1192" s="149">
        <v>43300</v>
      </c>
      <c r="BA1192" s="150">
        <v>5.59</v>
      </c>
      <c r="BB1192" s="150">
        <v>946800</v>
      </c>
      <c r="BC1192" s="150">
        <v>1670540</v>
      </c>
    </row>
    <row r="1193" spans="52:55">
      <c r="AZ1193" s="149">
        <v>43299</v>
      </c>
      <c r="BA1193" s="150">
        <v>5.55</v>
      </c>
      <c r="BB1193" s="150">
        <v>2440600</v>
      </c>
      <c r="BC1193" s="150">
        <v>1762973</v>
      </c>
    </row>
    <row r="1194" spans="52:55">
      <c r="AZ1194" s="149">
        <v>43298</v>
      </c>
      <c r="BA1194" s="150">
        <v>5.5</v>
      </c>
      <c r="BB1194" s="150">
        <v>1059600</v>
      </c>
      <c r="BC1194" s="150">
        <v>1892267</v>
      </c>
    </row>
    <row r="1195" spans="52:55">
      <c r="AZ1195" s="149">
        <v>43297</v>
      </c>
      <c r="BA1195" s="150">
        <v>5.48</v>
      </c>
      <c r="BB1195" s="150">
        <v>764100</v>
      </c>
      <c r="BC1195" s="150">
        <v>2010920</v>
      </c>
    </row>
    <row r="1196" spans="52:55">
      <c r="AZ1196" s="149">
        <v>43294</v>
      </c>
      <c r="BA1196" s="150">
        <v>5.44</v>
      </c>
      <c r="BB1196" s="150">
        <v>968200</v>
      </c>
      <c r="BC1196" s="150">
        <v>2108720</v>
      </c>
    </row>
    <row r="1197" spans="52:55">
      <c r="AZ1197" s="149">
        <v>43293</v>
      </c>
      <c r="BA1197" s="150">
        <v>5.37</v>
      </c>
      <c r="BB1197" s="150">
        <v>769200</v>
      </c>
      <c r="BC1197" s="150">
        <v>2284780</v>
      </c>
    </row>
    <row r="1198" spans="52:55">
      <c r="AZ1198" s="149">
        <v>43292</v>
      </c>
      <c r="BA1198" s="150">
        <v>5.4</v>
      </c>
      <c r="BB1198" s="150">
        <v>5275900</v>
      </c>
      <c r="BC1198" s="150">
        <v>2392440</v>
      </c>
    </row>
    <row r="1199" spans="52:55">
      <c r="AZ1199" s="149">
        <v>43291</v>
      </c>
      <c r="BA1199" s="150">
        <v>5.4</v>
      </c>
      <c r="BB1199" s="150">
        <v>3536300</v>
      </c>
      <c r="BC1199" s="150">
        <v>2243560</v>
      </c>
    </row>
    <row r="1200" spans="52:55">
      <c r="AZ1200" s="149">
        <v>43290</v>
      </c>
      <c r="BA1200" s="150">
        <v>5.27</v>
      </c>
      <c r="BB1200" s="150">
        <v>482400</v>
      </c>
      <c r="BC1200" s="150">
        <v>2198067</v>
      </c>
    </row>
    <row r="1201" spans="52:55">
      <c r="AZ1201" s="149">
        <v>43287</v>
      </c>
      <c r="BA1201" s="150">
        <v>5.21</v>
      </c>
      <c r="BB1201" s="150">
        <v>1552000</v>
      </c>
      <c r="BC1201" s="150">
        <v>2358553</v>
      </c>
    </row>
    <row r="1202" spans="52:55">
      <c r="AZ1202" s="149">
        <v>43286</v>
      </c>
      <c r="BA1202" s="150">
        <v>5.39</v>
      </c>
      <c r="BB1202" s="150">
        <v>225600</v>
      </c>
      <c r="BC1202" s="150">
        <v>2628353</v>
      </c>
    </row>
    <row r="1203" spans="52:55">
      <c r="AZ1203" s="149">
        <v>43285</v>
      </c>
      <c r="BA1203" s="150">
        <v>5.36</v>
      </c>
      <c r="BB1203" s="150">
        <v>341600</v>
      </c>
      <c r="BC1203" s="150">
        <v>2703947</v>
      </c>
    </row>
    <row r="1204" spans="52:55">
      <c r="AZ1204" s="149">
        <v>43284</v>
      </c>
      <c r="BA1204" s="150">
        <v>5.38</v>
      </c>
      <c r="BB1204" s="150">
        <v>1177500</v>
      </c>
      <c r="BC1204" s="150">
        <v>2770127</v>
      </c>
    </row>
    <row r="1205" spans="52:55">
      <c r="AZ1205" s="149">
        <v>43283</v>
      </c>
      <c r="BA1205" s="150">
        <v>5.46</v>
      </c>
      <c r="BB1205" s="150">
        <v>1910000</v>
      </c>
      <c r="BC1205" s="150">
        <v>2775280</v>
      </c>
    </row>
    <row r="1206" spans="52:55">
      <c r="AZ1206" s="149">
        <v>43280</v>
      </c>
      <c r="BA1206" s="150">
        <v>5.46</v>
      </c>
      <c r="BB1206" s="150">
        <v>3608300</v>
      </c>
      <c r="BC1206" s="150">
        <v>2818973</v>
      </c>
    </row>
    <row r="1207" spans="52:55">
      <c r="AZ1207" s="149">
        <v>43279</v>
      </c>
      <c r="BA1207" s="150">
        <v>5.27</v>
      </c>
      <c r="BB1207" s="150">
        <v>2333300</v>
      </c>
      <c r="BC1207" s="150">
        <v>2674100</v>
      </c>
    </row>
    <row r="1208" spans="52:55">
      <c r="AZ1208" s="149">
        <v>43278</v>
      </c>
      <c r="BA1208" s="150">
        <v>5.29</v>
      </c>
      <c r="BB1208" s="150">
        <v>4380000</v>
      </c>
      <c r="BC1208" s="150">
        <v>2610887</v>
      </c>
    </row>
    <row r="1209" spans="52:55">
      <c r="AZ1209" s="149">
        <v>43277</v>
      </c>
      <c r="BA1209" s="150">
        <v>5.48</v>
      </c>
      <c r="BB1209" s="150">
        <v>2839400</v>
      </c>
      <c r="BC1209" s="150">
        <v>2511113</v>
      </c>
    </row>
    <row r="1210" spans="52:55">
      <c r="AZ1210" s="149">
        <v>43276</v>
      </c>
      <c r="BA1210" s="150">
        <v>5.56</v>
      </c>
      <c r="BB1210" s="150">
        <v>2231100</v>
      </c>
      <c r="BC1210" s="150">
        <v>2464427</v>
      </c>
    </row>
    <row r="1211" spans="52:55">
      <c r="AZ1211" s="149">
        <v>43273</v>
      </c>
      <c r="BA1211" s="150">
        <v>5.5</v>
      </c>
      <c r="BB1211" s="150">
        <v>3609100</v>
      </c>
      <c r="BC1211" s="150">
        <v>2523007</v>
      </c>
    </row>
    <row r="1212" spans="52:55">
      <c r="AZ1212" s="149">
        <v>43272</v>
      </c>
      <c r="BA1212" s="150">
        <v>5.57</v>
      </c>
      <c r="BB1212" s="150">
        <v>2384100</v>
      </c>
      <c r="BC1212" s="150">
        <v>4183733</v>
      </c>
    </row>
    <row r="1213" spans="52:55">
      <c r="AZ1213" s="149">
        <v>43271</v>
      </c>
      <c r="BA1213" s="150">
        <v>5.57</v>
      </c>
      <c r="BB1213" s="150">
        <v>3042700</v>
      </c>
      <c r="BC1213" s="150">
        <v>4365394</v>
      </c>
    </row>
    <row r="1214" spans="52:55">
      <c r="AZ1214" s="149">
        <v>43270</v>
      </c>
      <c r="BA1214" s="150">
        <v>5.65</v>
      </c>
      <c r="BB1214" s="150">
        <v>2853900</v>
      </c>
      <c r="BC1214" s="150">
        <v>4303247</v>
      </c>
    </row>
    <row r="1215" spans="52:55">
      <c r="AZ1215" s="149">
        <v>43269</v>
      </c>
      <c r="BA1215" s="150">
        <v>5.71</v>
      </c>
      <c r="BB1215" s="150">
        <v>2889700</v>
      </c>
      <c r="BC1215" s="150">
        <v>4338174</v>
      </c>
    </row>
    <row r="1216" spans="52:55">
      <c r="AZ1216" s="149">
        <v>43265</v>
      </c>
      <c r="BA1216" s="150">
        <v>5.78</v>
      </c>
      <c r="BB1216" s="150">
        <v>5599000</v>
      </c>
      <c r="BC1216" s="150">
        <v>4329280</v>
      </c>
    </row>
    <row r="1217" spans="52:55">
      <c r="AZ1217" s="149">
        <v>43264</v>
      </c>
      <c r="BA1217" s="150">
        <v>5.77</v>
      </c>
      <c r="BB1217" s="150">
        <v>1359500</v>
      </c>
      <c r="BC1217" s="150">
        <v>4067680</v>
      </c>
    </row>
    <row r="1218" spans="52:55">
      <c r="AZ1218" s="149">
        <v>43263</v>
      </c>
      <c r="BA1218" s="150">
        <v>5.74</v>
      </c>
      <c r="BB1218" s="150">
        <v>1334300</v>
      </c>
      <c r="BC1218" s="150">
        <v>4069740</v>
      </c>
    </row>
    <row r="1219" spans="52:55">
      <c r="AZ1219" s="149">
        <v>43262</v>
      </c>
      <c r="BA1219" s="150">
        <v>5.74</v>
      </c>
      <c r="BB1219" s="150">
        <v>1254800</v>
      </c>
      <c r="BC1219" s="150">
        <v>4076060</v>
      </c>
    </row>
    <row r="1220" spans="52:55">
      <c r="AZ1220" s="149">
        <v>43259</v>
      </c>
      <c r="BA1220" s="150">
        <v>5.8</v>
      </c>
      <c r="BB1220" s="150">
        <v>2565400</v>
      </c>
      <c r="BC1220" s="150">
        <v>4101653</v>
      </c>
    </row>
    <row r="1221" spans="52:55">
      <c r="AZ1221" s="149">
        <v>43258</v>
      </c>
      <c r="BA1221" s="150">
        <v>5.77</v>
      </c>
      <c r="BB1221" s="150">
        <v>1435200</v>
      </c>
      <c r="BC1221" s="150">
        <v>4145547</v>
      </c>
    </row>
    <row r="1222" spans="52:55">
      <c r="AZ1222" s="149">
        <v>43257</v>
      </c>
      <c r="BA1222" s="150">
        <v>5.79</v>
      </c>
      <c r="BB1222" s="150">
        <v>1385100</v>
      </c>
      <c r="BC1222" s="150">
        <v>4217034</v>
      </c>
    </row>
    <row r="1223" spans="52:55">
      <c r="AZ1223" s="149">
        <v>43256</v>
      </c>
      <c r="BA1223" s="150">
        <v>5.81</v>
      </c>
      <c r="BB1223" s="150">
        <v>2883400</v>
      </c>
      <c r="BC1223" s="150">
        <v>4407994</v>
      </c>
    </row>
    <row r="1224" spans="52:55">
      <c r="AZ1224" s="149">
        <v>43255</v>
      </c>
      <c r="BA1224" s="150">
        <v>5.78</v>
      </c>
      <c r="BB1224" s="150">
        <v>2139100</v>
      </c>
      <c r="BC1224" s="150">
        <v>4520060</v>
      </c>
    </row>
    <row r="1225" spans="52:55">
      <c r="AZ1225" s="149">
        <v>43252</v>
      </c>
      <c r="BA1225" s="150">
        <v>5.77</v>
      </c>
      <c r="BB1225" s="150">
        <v>3109800</v>
      </c>
      <c r="BC1225" s="150">
        <v>4613094</v>
      </c>
    </row>
    <row r="1226" spans="52:55">
      <c r="AZ1226" s="149">
        <v>43251</v>
      </c>
      <c r="BA1226" s="150">
        <v>5.79</v>
      </c>
      <c r="BB1226" s="150">
        <v>28520000</v>
      </c>
      <c r="BC1226" s="150">
        <v>4578327</v>
      </c>
    </row>
    <row r="1227" spans="52:55">
      <c r="AZ1227" s="149">
        <v>43250</v>
      </c>
      <c r="BA1227" s="150">
        <v>5.77</v>
      </c>
      <c r="BB1227" s="150">
        <v>5109000</v>
      </c>
      <c r="BC1227" s="150">
        <v>2782847</v>
      </c>
    </row>
    <row r="1228" spans="52:55">
      <c r="AZ1228" s="149">
        <v>43248</v>
      </c>
      <c r="BA1228" s="150">
        <v>5.78</v>
      </c>
      <c r="BB1228" s="150">
        <v>2110500</v>
      </c>
      <c r="BC1228" s="150">
        <v>2583953</v>
      </c>
    </row>
    <row r="1229" spans="52:55">
      <c r="AZ1229" s="149">
        <v>43245</v>
      </c>
      <c r="BA1229" s="150">
        <v>5.79</v>
      </c>
      <c r="BB1229" s="150">
        <v>3377800</v>
      </c>
    </row>
    <row r="1230" spans="52:55">
      <c r="AZ1230" s="149">
        <v>43244</v>
      </c>
      <c r="BA1230" s="150">
        <v>5.76</v>
      </c>
      <c r="BB1230" s="150">
        <v>2756300</v>
      </c>
    </row>
    <row r="1231" spans="52:55">
      <c r="AZ1231" s="149">
        <v>43243</v>
      </c>
      <c r="BA1231" s="150">
        <v>5.73</v>
      </c>
      <c r="BB1231" s="150">
        <v>1675000</v>
      </c>
    </row>
    <row r="1232" spans="52:55">
      <c r="AZ1232" s="149">
        <v>43242</v>
      </c>
      <c r="BA1232" s="150">
        <v>5.79</v>
      </c>
      <c r="BB1232" s="150">
        <v>1390400</v>
      </c>
    </row>
    <row r="1233" spans="52:54">
      <c r="AZ1233" s="149">
        <v>43241</v>
      </c>
      <c r="BA1233" s="150">
        <v>5.8</v>
      </c>
      <c r="BB1233" s="150">
        <v>1429100</v>
      </c>
    </row>
    <row r="1234" spans="52:54">
      <c r="AZ1234" s="149">
        <v>43238</v>
      </c>
      <c r="BA1234" s="150">
        <v>5.78</v>
      </c>
      <c r="BB1234" s="150">
        <v>1638700</v>
      </c>
    </row>
    <row r="1235" spans="52:54">
      <c r="AZ1235" s="149">
        <v>43237</v>
      </c>
      <c r="BA1235" s="150">
        <v>5.67</v>
      </c>
      <c r="BB1235" s="150">
        <v>3223800</v>
      </c>
    </row>
    <row r="1236" spans="52:54">
      <c r="AZ1236" s="149">
        <v>43236</v>
      </c>
      <c r="BA1236" s="150">
        <v>5.8</v>
      </c>
      <c r="BB1236" s="150">
        <v>2507500</v>
      </c>
    </row>
    <row r="1237" spans="52:54">
      <c r="AZ1237" s="149">
        <v>43235</v>
      </c>
      <c r="BA1237" s="150">
        <v>5.63</v>
      </c>
      <c r="BB1237" s="150">
        <v>4249500</v>
      </c>
    </row>
    <row r="1238" spans="52:54">
      <c r="AZ1238" s="149">
        <v>43234</v>
      </c>
      <c r="BA1238" s="150">
        <v>5.4</v>
      </c>
      <c r="BB1238" s="150">
        <v>4564400</v>
      </c>
    </row>
    <row r="1239" spans="52:54">
      <c r="AZ1239" s="149">
        <v>43228</v>
      </c>
      <c r="BA1239" s="150">
        <v>5.51</v>
      </c>
      <c r="BB1239" s="150">
        <v>3534600</v>
      </c>
    </row>
    <row r="1240" spans="52:54">
      <c r="AZ1240" s="149">
        <v>43227</v>
      </c>
      <c r="BA1240" s="150">
        <v>5.58</v>
      </c>
      <c r="BB1240" s="150">
        <v>2588300</v>
      </c>
    </row>
    <row r="1241" spans="52:54">
      <c r="AZ1241" s="149">
        <v>43224</v>
      </c>
      <c r="BA1241" s="150">
        <v>5.64</v>
      </c>
      <c r="BB1241" s="150">
        <v>1587800</v>
      </c>
    </row>
    <row r="1242" spans="52:54">
      <c r="AZ1242" s="149">
        <v>43223</v>
      </c>
      <c r="BA1242" s="150">
        <v>5.64</v>
      </c>
      <c r="BB1242" s="150">
        <v>2125600</v>
      </c>
    </row>
  </sheetData>
  <autoFilter ref="AZ2:BC2" xr:uid="{153D2F22-EFBB-40E5-B233-F167EF4144D5}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/>
  <dimension ref="B3:Y229"/>
  <sheetViews>
    <sheetView topLeftCell="A10" zoomScale="70" zoomScaleNormal="70" workbookViewId="0">
      <selection activeCell="Q11" sqref="Q11"/>
    </sheetView>
  </sheetViews>
  <sheetFormatPr defaultRowHeight="14.5"/>
  <cols>
    <col min="1" max="3" width="9.36328125" style="49"/>
    <col min="4" max="4" width="12" style="49" bestFit="1" customWidth="1"/>
    <col min="5" max="7" width="9.36328125" style="49"/>
    <col min="8" max="8" width="19" style="49" customWidth="1"/>
    <col min="9" max="9" width="12.6328125" style="49" bestFit="1" customWidth="1"/>
    <col min="10" max="263" width="9.36328125" style="49"/>
    <col min="264" max="264" width="19" style="49" customWidth="1"/>
    <col min="265" max="519" width="9.36328125" style="49"/>
    <col min="520" max="520" width="19" style="49" customWidth="1"/>
    <col min="521" max="775" width="9.36328125" style="49"/>
    <col min="776" max="776" width="19" style="49" customWidth="1"/>
    <col min="777" max="1031" width="9.36328125" style="49"/>
    <col min="1032" max="1032" width="19" style="49" customWidth="1"/>
    <col min="1033" max="1287" width="9.36328125" style="49"/>
    <col min="1288" max="1288" width="19" style="49" customWidth="1"/>
    <col min="1289" max="1543" width="9.36328125" style="49"/>
    <col min="1544" max="1544" width="19" style="49" customWidth="1"/>
    <col min="1545" max="1799" width="9.36328125" style="49"/>
    <col min="1800" max="1800" width="19" style="49" customWidth="1"/>
    <col min="1801" max="2055" width="9.36328125" style="49"/>
    <col min="2056" max="2056" width="19" style="49" customWidth="1"/>
    <col min="2057" max="2311" width="9.36328125" style="49"/>
    <col min="2312" max="2312" width="19" style="49" customWidth="1"/>
    <col min="2313" max="2567" width="9.36328125" style="49"/>
    <col min="2568" max="2568" width="19" style="49" customWidth="1"/>
    <col min="2569" max="2823" width="9.36328125" style="49"/>
    <col min="2824" max="2824" width="19" style="49" customWidth="1"/>
    <col min="2825" max="3079" width="9.36328125" style="49"/>
    <col min="3080" max="3080" width="19" style="49" customWidth="1"/>
    <col min="3081" max="3335" width="9.36328125" style="49"/>
    <col min="3336" max="3336" width="19" style="49" customWidth="1"/>
    <col min="3337" max="3591" width="9.36328125" style="49"/>
    <col min="3592" max="3592" width="19" style="49" customWidth="1"/>
    <col min="3593" max="3847" width="9.36328125" style="49"/>
    <col min="3848" max="3848" width="19" style="49" customWidth="1"/>
    <col min="3849" max="4103" width="9.36328125" style="49"/>
    <col min="4104" max="4104" width="19" style="49" customWidth="1"/>
    <col min="4105" max="4359" width="9.36328125" style="49"/>
    <col min="4360" max="4360" width="19" style="49" customWidth="1"/>
    <col min="4361" max="4615" width="9.36328125" style="49"/>
    <col min="4616" max="4616" width="19" style="49" customWidth="1"/>
    <col min="4617" max="4871" width="9.36328125" style="49"/>
    <col min="4872" max="4872" width="19" style="49" customWidth="1"/>
    <col min="4873" max="5127" width="9.36328125" style="49"/>
    <col min="5128" max="5128" width="19" style="49" customWidth="1"/>
    <col min="5129" max="5383" width="9.36328125" style="49"/>
    <col min="5384" max="5384" width="19" style="49" customWidth="1"/>
    <col min="5385" max="5639" width="9.36328125" style="49"/>
    <col min="5640" max="5640" width="19" style="49" customWidth="1"/>
    <col min="5641" max="5895" width="9.36328125" style="49"/>
    <col min="5896" max="5896" width="19" style="49" customWidth="1"/>
    <col min="5897" max="6151" width="9.36328125" style="49"/>
    <col min="6152" max="6152" width="19" style="49" customWidth="1"/>
    <col min="6153" max="6407" width="9.36328125" style="49"/>
    <col min="6408" max="6408" width="19" style="49" customWidth="1"/>
    <col min="6409" max="6663" width="9.36328125" style="49"/>
    <col min="6664" max="6664" width="19" style="49" customWidth="1"/>
    <col min="6665" max="6919" width="9.36328125" style="49"/>
    <col min="6920" max="6920" width="19" style="49" customWidth="1"/>
    <col min="6921" max="7175" width="9.36328125" style="49"/>
    <col min="7176" max="7176" width="19" style="49" customWidth="1"/>
    <col min="7177" max="7431" width="9.36328125" style="49"/>
    <col min="7432" max="7432" width="19" style="49" customWidth="1"/>
    <col min="7433" max="7687" width="9.36328125" style="49"/>
    <col min="7688" max="7688" width="19" style="49" customWidth="1"/>
    <col min="7689" max="7943" width="9.36328125" style="49"/>
    <col min="7944" max="7944" width="19" style="49" customWidth="1"/>
    <col min="7945" max="8199" width="9.36328125" style="49"/>
    <col min="8200" max="8200" width="19" style="49" customWidth="1"/>
    <col min="8201" max="8455" width="9.36328125" style="49"/>
    <col min="8456" max="8456" width="19" style="49" customWidth="1"/>
    <col min="8457" max="8711" width="9.36328125" style="49"/>
    <col min="8712" max="8712" width="19" style="49" customWidth="1"/>
    <col min="8713" max="8967" width="9.36328125" style="49"/>
    <col min="8968" max="8968" width="19" style="49" customWidth="1"/>
    <col min="8969" max="9223" width="9.36328125" style="49"/>
    <col min="9224" max="9224" width="19" style="49" customWidth="1"/>
    <col min="9225" max="9479" width="9.36328125" style="49"/>
    <col min="9480" max="9480" width="19" style="49" customWidth="1"/>
    <col min="9481" max="9735" width="9.36328125" style="49"/>
    <col min="9736" max="9736" width="19" style="49" customWidth="1"/>
    <col min="9737" max="9991" width="9.36328125" style="49"/>
    <col min="9992" max="9992" width="19" style="49" customWidth="1"/>
    <col min="9993" max="10247" width="9.36328125" style="49"/>
    <col min="10248" max="10248" width="19" style="49" customWidth="1"/>
    <col min="10249" max="10503" width="9.36328125" style="49"/>
    <col min="10504" max="10504" width="19" style="49" customWidth="1"/>
    <col min="10505" max="10759" width="9.36328125" style="49"/>
    <col min="10760" max="10760" width="19" style="49" customWidth="1"/>
    <col min="10761" max="11015" width="9.36328125" style="49"/>
    <col min="11016" max="11016" width="19" style="49" customWidth="1"/>
    <col min="11017" max="11271" width="9.36328125" style="49"/>
    <col min="11272" max="11272" width="19" style="49" customWidth="1"/>
    <col min="11273" max="11527" width="9.36328125" style="49"/>
    <col min="11528" max="11528" width="19" style="49" customWidth="1"/>
    <col min="11529" max="11783" width="9.36328125" style="49"/>
    <col min="11784" max="11784" width="19" style="49" customWidth="1"/>
    <col min="11785" max="12039" width="9.36328125" style="49"/>
    <col min="12040" max="12040" width="19" style="49" customWidth="1"/>
    <col min="12041" max="12295" width="9.36328125" style="49"/>
    <col min="12296" max="12296" width="19" style="49" customWidth="1"/>
    <col min="12297" max="12551" width="9.36328125" style="49"/>
    <col min="12552" max="12552" width="19" style="49" customWidth="1"/>
    <col min="12553" max="12807" width="9.36328125" style="49"/>
    <col min="12808" max="12808" width="19" style="49" customWidth="1"/>
    <col min="12809" max="13063" width="9.36328125" style="49"/>
    <col min="13064" max="13064" width="19" style="49" customWidth="1"/>
    <col min="13065" max="13319" width="9.36328125" style="49"/>
    <col min="13320" max="13320" width="19" style="49" customWidth="1"/>
    <col min="13321" max="13575" width="9.36328125" style="49"/>
    <col min="13576" max="13576" width="19" style="49" customWidth="1"/>
    <col min="13577" max="13831" width="9.36328125" style="49"/>
    <col min="13832" max="13832" width="19" style="49" customWidth="1"/>
    <col min="13833" max="14087" width="9.36328125" style="49"/>
    <col min="14088" max="14088" width="19" style="49" customWidth="1"/>
    <col min="14089" max="14343" width="9.36328125" style="49"/>
    <col min="14344" max="14344" width="19" style="49" customWidth="1"/>
    <col min="14345" max="14599" width="9.36328125" style="49"/>
    <col min="14600" max="14600" width="19" style="49" customWidth="1"/>
    <col min="14601" max="14855" width="9.36328125" style="49"/>
    <col min="14856" max="14856" width="19" style="49" customWidth="1"/>
    <col min="14857" max="15111" width="9.36328125" style="49"/>
    <col min="15112" max="15112" width="19" style="49" customWidth="1"/>
    <col min="15113" max="15367" width="9.36328125" style="49"/>
    <col min="15368" max="15368" width="19" style="49" customWidth="1"/>
    <col min="15369" max="15623" width="9.36328125" style="49"/>
    <col min="15624" max="15624" width="19" style="49" customWidth="1"/>
    <col min="15625" max="15879" width="9.36328125" style="49"/>
    <col min="15880" max="15880" width="19" style="49" customWidth="1"/>
    <col min="15881" max="16135" width="9.36328125" style="49"/>
    <col min="16136" max="16136" width="19" style="49" customWidth="1"/>
    <col min="16137" max="16384" width="9.36328125" style="49"/>
  </cols>
  <sheetData>
    <row r="3" spans="2:23">
      <c r="C3" s="49" t="s">
        <v>426</v>
      </c>
      <c r="D3" s="49" t="s">
        <v>427</v>
      </c>
    </row>
    <row r="4" spans="2:23">
      <c r="B4" s="49" t="s">
        <v>4</v>
      </c>
      <c r="C4" s="49">
        <v>1785</v>
      </c>
      <c r="D4" s="65">
        <f>'Income Statement'!AT31</f>
        <v>2214</v>
      </c>
    </row>
    <row r="5" spans="2:23">
      <c r="B5" s="49" t="s">
        <v>60</v>
      </c>
      <c r="C5" s="59">
        <v>3.1299910469191561E-2</v>
      </c>
      <c r="D5" s="64">
        <f>'Income Statement'!AT32</f>
        <v>1.7463235294117752E-2</v>
      </c>
    </row>
    <row r="6" spans="2:23">
      <c r="H6" s="49" t="s">
        <v>428</v>
      </c>
      <c r="I6" s="49" t="s">
        <v>429</v>
      </c>
      <c r="J6" s="49" t="s">
        <v>430</v>
      </c>
      <c r="K6" s="49" t="s">
        <v>431</v>
      </c>
      <c r="L6" s="49" t="s">
        <v>432</v>
      </c>
      <c r="M6" s="49" t="s">
        <v>433</v>
      </c>
      <c r="N6" s="49" t="s">
        <v>434</v>
      </c>
      <c r="O6" s="49" t="s">
        <v>435</v>
      </c>
      <c r="P6" s="49" t="s">
        <v>436</v>
      </c>
      <c r="Q6" s="49" t="s">
        <v>437</v>
      </c>
      <c r="R6" s="49" t="s">
        <v>438</v>
      </c>
      <c r="S6" s="49" t="s">
        <v>439</v>
      </c>
      <c r="T6" s="49" t="s">
        <v>440</v>
      </c>
      <c r="U6" s="49" t="s">
        <v>441</v>
      </c>
      <c r="V6" s="49" t="s">
        <v>442</v>
      </c>
      <c r="W6" s="49" t="s">
        <v>450</v>
      </c>
    </row>
    <row r="7" spans="2:23">
      <c r="B7" s="49" t="s">
        <v>2</v>
      </c>
      <c r="C7" s="49">
        <v>805</v>
      </c>
      <c r="D7" s="65">
        <f>'Income Statement'!AT38</f>
        <v>1158</v>
      </c>
      <c r="H7" s="49" t="s">
        <v>467</v>
      </c>
      <c r="I7" s="59">
        <f>'Income Statement'!AB221</f>
        <v>-1.1206896551724133E-2</v>
      </c>
      <c r="J7" s="59">
        <f>'Income Statement'!AC221</f>
        <v>-2.4096385542168641E-2</v>
      </c>
      <c r="K7" s="59">
        <f>'Income Statement'!AD221</f>
        <v>-1.6281062553556103E-2</v>
      </c>
      <c r="L7" s="59">
        <f>'Income Statement'!AE221</f>
        <v>-4.7377326565143818E-2</v>
      </c>
      <c r="M7" s="59">
        <f>'Income Statement'!AG221</f>
        <v>-4.4463818657367038E-2</v>
      </c>
      <c r="N7" s="59">
        <f>'Income Statement'!AH221</f>
        <v>-4.0564373897707284E-2</v>
      </c>
      <c r="O7" s="59">
        <f>'Income Statement'!AI221</f>
        <v>-5.0522648083623722E-2</v>
      </c>
      <c r="P7" s="59">
        <f>'Income Statement'!AJ221</f>
        <v>-2.6642984014209614E-2</v>
      </c>
      <c r="Q7" s="59">
        <f>'Income Statement'!AL221</f>
        <v>0</v>
      </c>
      <c r="R7" s="59">
        <f>'Income Statement'!AM221</f>
        <v>0</v>
      </c>
      <c r="S7" s="59">
        <f>'Income Statement'!AN221</f>
        <v>0</v>
      </c>
      <c r="T7" s="59">
        <f>'Income Statement'!AO221</f>
        <v>0</v>
      </c>
      <c r="U7" s="59">
        <f>'Income Statement'!AQ221</f>
        <v>0</v>
      </c>
      <c r="V7" s="59">
        <f>'Income Statement'!AR221</f>
        <v>0</v>
      </c>
      <c r="W7" s="59">
        <f>'Income Statement'!AS221</f>
        <v>0</v>
      </c>
    </row>
    <row r="8" spans="2:23">
      <c r="B8" s="49" t="s">
        <v>60</v>
      </c>
      <c r="C8" s="59">
        <v>2.4972479507623824E-2</v>
      </c>
      <c r="D8" s="64">
        <f>'Income Statement'!AT39</f>
        <v>-3.4423407917383297E-3</v>
      </c>
      <c r="H8" s="49" t="s">
        <v>443</v>
      </c>
      <c r="I8" s="59">
        <f>'Income Statement'!AB130</f>
        <v>-0.26165875992206022</v>
      </c>
      <c r="J8" s="59">
        <f>'Income Statement'!AC130</f>
        <v>-0.23416286090476457</v>
      </c>
      <c r="K8" s="59">
        <f>'Income Statement'!AD130</f>
        <v>-0.18772454437124075</v>
      </c>
      <c r="L8" s="59">
        <f>'Income Statement'!AE130</f>
        <v>-0.14668600349951533</v>
      </c>
      <c r="M8" s="59">
        <f>'Income Statement'!AG130</f>
        <v>8.0557991397502748E-2</v>
      </c>
      <c r="N8" s="59">
        <f>'Income Statement'!AH130</f>
        <v>3.6123067543374576E-2</v>
      </c>
      <c r="O8" s="59">
        <f>'Income Statement'!AI130</f>
        <v>-5.9728291096542874E-2</v>
      </c>
      <c r="P8" s="59">
        <f>'Income Statement'!AJ130</f>
        <v>-9.0855019432625528E-2</v>
      </c>
      <c r="Q8" s="59">
        <f>'Income Statement'!AL130</f>
        <v>0</v>
      </c>
      <c r="R8" s="59">
        <f>'Income Statement'!AM130</f>
        <v>0</v>
      </c>
      <c r="S8" s="59">
        <f>'Income Statement'!AN130</f>
        <v>0</v>
      </c>
      <c r="T8" s="59">
        <f>'Income Statement'!AO130</f>
        <v>0</v>
      </c>
      <c r="U8" s="59">
        <f>'Income Statement'!AQ130</f>
        <v>0</v>
      </c>
      <c r="V8" s="59">
        <f>'Income Statement'!AR130</f>
        <v>0</v>
      </c>
      <c r="W8" s="59">
        <f>'Income Statement'!AS130</f>
        <v>0</v>
      </c>
    </row>
    <row r="9" spans="2:23">
      <c r="B9" s="49" t="s">
        <v>258</v>
      </c>
      <c r="C9" s="59">
        <v>0.45007372742165541</v>
      </c>
      <c r="D9" s="64">
        <f>'Income Statement'!AT40</f>
        <v>0.52303523035230348</v>
      </c>
      <c r="H9" s="49" t="s">
        <v>444</v>
      </c>
      <c r="I9" s="59">
        <f>'Income Statement'!AB124</f>
        <v>-8.5714285714285743E-2</v>
      </c>
      <c r="J9" s="59">
        <f>'Income Statement'!AC124</f>
        <v>-0.10857142857142854</v>
      </c>
      <c r="K9" s="59">
        <f>'Income Statement'!AD124</f>
        <v>-4.3749999999999956E-2</v>
      </c>
      <c r="L9" s="59">
        <f>'Income Statement'!AE124</f>
        <v>-6.0606060606060552E-2</v>
      </c>
      <c r="M9" s="59">
        <f>'Income Statement'!AG124</f>
        <v>-3.7499999999999978E-2</v>
      </c>
      <c r="N9" s="59">
        <f>'Income Statement'!AH124</f>
        <v>3.2051282051282159E-2</v>
      </c>
      <c r="O9" s="59">
        <f>'Income Statement'!AI124</f>
        <v>7.8431372549019551E-2</v>
      </c>
      <c r="P9" s="59">
        <f>'Income Statement'!AJ124</f>
        <v>8.3870967741935587E-2</v>
      </c>
      <c r="Q9" s="59">
        <f>'Income Statement'!AL124</f>
        <v>0</v>
      </c>
      <c r="R9" s="59">
        <f>'Income Statement'!AM124</f>
        <v>0</v>
      </c>
      <c r="S9" s="59">
        <f>'Income Statement'!AN124</f>
        <v>0</v>
      </c>
      <c r="T9" s="59">
        <f>'Income Statement'!AO124</f>
        <v>0</v>
      </c>
      <c r="U9" s="59">
        <f>'Income Statement'!AQ124</f>
        <v>0</v>
      </c>
      <c r="V9" s="59">
        <f>'Income Statement'!AR124</f>
        <v>0</v>
      </c>
      <c r="W9" s="59">
        <f>'Income Statement'!AS124</f>
        <v>0</v>
      </c>
    </row>
    <row r="10" spans="2:23">
      <c r="H10" s="49" t="s">
        <v>445</v>
      </c>
      <c r="I10" s="59">
        <f>'Income Statement'!AB119</f>
        <v>6.5661515265736936E-2</v>
      </c>
      <c r="J10" s="59">
        <f>'Income Statement'!AC119</f>
        <v>1.9324026451138954E-2</v>
      </c>
      <c r="K10" s="59">
        <f>'Income Statement'!AD119</f>
        <v>-5.1471643933955535E-2</v>
      </c>
      <c r="L10" s="59">
        <f>'Income Statement'!AE119</f>
        <v>-8.5018806330281693E-2</v>
      </c>
      <c r="M10" s="59">
        <f>'Income Statement'!AG119</f>
        <v>-0.10851726089417091</v>
      </c>
      <c r="N10" s="59">
        <f>'Income Statement'!AH119</f>
        <v>-0.10610538455993657</v>
      </c>
      <c r="O10" s="59">
        <f>'Income Statement'!AI119</f>
        <v>-6.0395065465829068E-2</v>
      </c>
      <c r="P10" s="59">
        <f>'Income Statement'!AJ119</f>
        <v>1.55122934925922E-3</v>
      </c>
      <c r="Q10" s="59">
        <f>'Income Statement'!AL119</f>
        <v>5.2213934296143405E-2</v>
      </c>
      <c r="R10" s="59">
        <f>'Income Statement'!AM119</f>
        <v>6.9994355293927946E-2</v>
      </c>
      <c r="S10" s="59">
        <f>'Income Statement'!AN119</f>
        <v>5.5980668546113499E-2</v>
      </c>
      <c r="T10" s="59">
        <f>'Income Statement'!AO119</f>
        <v>-1.6959653062804891E-2</v>
      </c>
      <c r="U10" s="59">
        <f>'Income Statement'!AQ119</f>
        <v>-7.1644042232277494E-2</v>
      </c>
      <c r="V10" s="59">
        <f>'Income Statement'!AR119</f>
        <v>-7.6870902102645244E-2</v>
      </c>
      <c r="W10" s="59">
        <f>'Income Statement'!AS119</f>
        <v>-8.1159420289855122E-2</v>
      </c>
    </row>
    <row r="11" spans="2:23">
      <c r="B11" s="49" t="s">
        <v>91</v>
      </c>
      <c r="C11" s="49">
        <v>479</v>
      </c>
      <c r="D11" s="65">
        <f>'Income Statement'!AT484</f>
        <v>544</v>
      </c>
    </row>
    <row r="12" spans="2:23">
      <c r="B12" s="49" t="s">
        <v>60</v>
      </c>
      <c r="C12" s="59">
        <v>-3.8465535350413083E-2</v>
      </c>
      <c r="D12" s="64">
        <f>'Income Statement'!AT485</f>
        <v>494</v>
      </c>
    </row>
    <row r="13" spans="2:23">
      <c r="C13" s="59"/>
      <c r="D13" s="59"/>
    </row>
    <row r="14" spans="2:23">
      <c r="B14" s="49" t="s">
        <v>446</v>
      </c>
    </row>
    <row r="16" spans="2:23">
      <c r="B16" s="49" t="s">
        <v>447</v>
      </c>
      <c r="C16" s="49">
        <v>916</v>
      </c>
      <c r="D16" s="65">
        <f>'Income Statement'!AT220</f>
        <v>0</v>
      </c>
    </row>
    <row r="17" spans="2:24">
      <c r="B17" s="49" t="s">
        <v>60</v>
      </c>
      <c r="C17" s="59">
        <v>-6.815869786368256E-2</v>
      </c>
      <c r="D17" s="64">
        <f>'Income Statement'!AT221</f>
        <v>0</v>
      </c>
    </row>
    <row r="18" spans="2:24">
      <c r="C18" s="59"/>
      <c r="D18" s="59"/>
    </row>
    <row r="19" spans="2:24">
      <c r="B19" s="49" t="s">
        <v>78</v>
      </c>
      <c r="C19" s="49">
        <v>672</v>
      </c>
      <c r="D19" s="65">
        <f>'Income Statement'!AT222</f>
        <v>0</v>
      </c>
    </row>
    <row r="21" spans="2:24">
      <c r="B21" s="49" t="s">
        <v>448</v>
      </c>
      <c r="C21" s="49">
        <v>1588</v>
      </c>
      <c r="D21" s="65">
        <f>'Income Statement'!AT294</f>
        <v>2028</v>
      </c>
    </row>
    <row r="22" spans="2:24">
      <c r="B22" s="49" t="s">
        <v>60</v>
      </c>
      <c r="C22" s="59">
        <v>2.8497409326424972E-2</v>
      </c>
      <c r="D22" s="59">
        <f>[8]Financials!BA116</f>
        <v>2.1879021879021909E-2</v>
      </c>
    </row>
    <row r="23" spans="2:24">
      <c r="D23" s="59"/>
    </row>
    <row r="32" spans="2:24">
      <c r="H32" s="49" t="s">
        <v>449</v>
      </c>
      <c r="I32" s="49" t="s">
        <v>429</v>
      </c>
      <c r="J32" s="49" t="s">
        <v>430</v>
      </c>
      <c r="K32" s="49" t="s">
        <v>431</v>
      </c>
      <c r="L32" s="49" t="s">
        <v>432</v>
      </c>
      <c r="M32" s="49" t="s">
        <v>433</v>
      </c>
      <c r="N32" s="49" t="s">
        <v>434</v>
      </c>
      <c r="O32" s="49" t="s">
        <v>435</v>
      </c>
      <c r="P32" s="49" t="s">
        <v>436</v>
      </c>
      <c r="Q32" s="49" t="s">
        <v>437</v>
      </c>
      <c r="R32" s="49" t="s">
        <v>438</v>
      </c>
      <c r="S32" s="49" t="str">
        <f>S6</f>
        <v>Q3 15</v>
      </c>
      <c r="T32" s="49" t="str">
        <f>T6</f>
        <v>Q4 15</v>
      </c>
      <c r="U32" s="49" t="str">
        <f>U6</f>
        <v>Q1 16</v>
      </c>
      <c r="V32" s="49" t="s">
        <v>442</v>
      </c>
      <c r="W32" s="49" t="s">
        <v>450</v>
      </c>
      <c r="X32" s="49" t="s">
        <v>540</v>
      </c>
    </row>
    <row r="33" spans="8:24">
      <c r="H33" s="49" t="s">
        <v>451</v>
      </c>
      <c r="I33" s="60">
        <f>'Income Statement'!AB191</f>
        <v>0</v>
      </c>
      <c r="J33" s="60">
        <f>'Income Statement'!AC191</f>
        <v>0</v>
      </c>
      <c r="K33" s="60">
        <f>'Income Statement'!AD191</f>
        <v>0</v>
      </c>
      <c r="L33" s="60">
        <f>'Income Statement'!AE191</f>
        <v>0</v>
      </c>
      <c r="M33" s="60">
        <f>'Income Statement'!AG191</f>
        <v>0</v>
      </c>
      <c r="N33" s="60">
        <f>'Income Statement'!AH191</f>
        <v>0</v>
      </c>
      <c r="O33" s="60">
        <f>'Income Statement'!AI191</f>
        <v>27</v>
      </c>
      <c r="P33" s="60">
        <f>'Income Statement'!AJ191</f>
        <v>32</v>
      </c>
      <c r="Q33" s="60">
        <f>'Income Statement'!AL191</f>
        <v>36</v>
      </c>
      <c r="R33" s="60">
        <f>'Income Statement'!AM191</f>
        <v>42</v>
      </c>
      <c r="S33" s="60">
        <f>'Income Statement'!AN191</f>
        <v>45</v>
      </c>
      <c r="T33" s="60">
        <f>'Income Statement'!AO191</f>
        <v>50</v>
      </c>
      <c r="U33" s="60">
        <f>'Income Statement'!AQ191</f>
        <v>52</v>
      </c>
      <c r="V33" s="60">
        <f>'Income Statement'!AR191</f>
        <v>64</v>
      </c>
      <c r="W33" s="60">
        <f>'Income Statement'!AS191</f>
        <v>83</v>
      </c>
      <c r="X33" s="60">
        <f>'Income Statement'!AT191</f>
        <v>84.366</v>
      </c>
    </row>
    <row r="34" spans="8:24">
      <c r="H34" s="49" t="s">
        <v>452</v>
      </c>
      <c r="I34" s="60">
        <f>'Income Statement'!AB193</f>
        <v>0</v>
      </c>
      <c r="J34" s="60">
        <f>'Income Statement'!AC193</f>
        <v>0</v>
      </c>
      <c r="K34" s="60">
        <f>'Income Statement'!AD193</f>
        <v>0</v>
      </c>
      <c r="L34" s="60">
        <f>'Income Statement'!AE193</f>
        <v>0</v>
      </c>
      <c r="M34" s="60">
        <f>'Income Statement'!AG193</f>
        <v>0</v>
      </c>
      <c r="N34" s="60">
        <f>'Income Statement'!AH193</f>
        <v>0</v>
      </c>
      <c r="O34" s="60">
        <f>'Income Statement'!AI193</f>
        <v>0</v>
      </c>
      <c r="P34" s="60">
        <f>'Income Statement'!AJ193</f>
        <v>0</v>
      </c>
      <c r="Q34" s="60">
        <f>'Income Statement'!AL193</f>
        <v>0</v>
      </c>
      <c r="R34" s="60">
        <f>'Income Statement'!AM193</f>
        <v>0</v>
      </c>
      <c r="S34" s="60">
        <f>'Income Statement'!AN193</f>
        <v>0</v>
      </c>
      <c r="T34" s="60">
        <f>'Income Statement'!AO193</f>
        <v>0</v>
      </c>
      <c r="U34" s="60">
        <f>'Income Statement'!AQ193</f>
        <v>0</v>
      </c>
      <c r="V34" s="60">
        <f>'Income Statement'!AR193</f>
        <v>0</v>
      </c>
      <c r="W34" s="60">
        <f>'Income Statement'!AS193</f>
        <v>0</v>
      </c>
      <c r="X34" s="60">
        <f>'Income Statement'!AT193</f>
        <v>0</v>
      </c>
    </row>
    <row r="36" spans="8:24">
      <c r="H36" s="49" t="s">
        <v>4</v>
      </c>
      <c r="I36" s="59">
        <f>'Income Statement'!AB223</f>
        <v>0.2167101827676241</v>
      </c>
      <c r="J36" s="59">
        <f>'Income Statement'!AC223</f>
        <v>0.17577197149643697</v>
      </c>
      <c r="K36" s="59">
        <f>'Income Statement'!AD223</f>
        <v>0.20763723150357993</v>
      </c>
      <c r="L36" s="59">
        <f>'Income Statement'!AE223</f>
        <v>0.13913043478260878</v>
      </c>
      <c r="M36" s="59">
        <f>'Income Statement'!AG223</f>
        <v>0.12446351931330479</v>
      </c>
      <c r="N36" s="59">
        <f>'Income Statement'!AH223</f>
        <v>0.14343434343434347</v>
      </c>
      <c r="O36" s="59">
        <f>'Income Statement'!AI223</f>
        <v>0.16403162055335962</v>
      </c>
      <c r="P36" s="59">
        <f>'Income Statement'!AJ223</f>
        <v>0.21755725190839703</v>
      </c>
      <c r="Q36" s="59">
        <f>'Income Statement'!AL223</f>
        <v>0</v>
      </c>
      <c r="R36" s="59">
        <f>'Income Statement'!AM223</f>
        <v>0</v>
      </c>
      <c r="S36" s="59">
        <f>'Income Statement'!AN223</f>
        <v>0</v>
      </c>
      <c r="T36" s="59">
        <f>'Income Statement'!AO223</f>
        <v>0</v>
      </c>
      <c r="U36" s="59">
        <f>'Income Statement'!AQ223</f>
        <v>0</v>
      </c>
      <c r="V36" s="59">
        <f>'Income Statement'!AR223</f>
        <v>0</v>
      </c>
      <c r="W36" s="59">
        <f>'Income Statement'!AS223</f>
        <v>0</v>
      </c>
      <c r="X36" s="59">
        <f>'Income Statement'!AT223</f>
        <v>0</v>
      </c>
    </row>
    <row r="37" spans="8:24">
      <c r="H37" s="49" t="s">
        <v>453</v>
      </c>
      <c r="I37" s="59"/>
      <c r="J37" s="59"/>
      <c r="K37" s="59"/>
      <c r="L37" s="59"/>
      <c r="M37" s="59"/>
      <c r="N37" s="59">
        <f>'Income Statement'!AH192</f>
        <v>0</v>
      </c>
      <c r="O37" s="59">
        <f>'Income Statement'!AI192</f>
        <v>0</v>
      </c>
      <c r="P37" s="59">
        <f>'Income Statement'!AJ192</f>
        <v>0</v>
      </c>
      <c r="Q37" s="59">
        <f>'Income Statement'!AL192</f>
        <v>0</v>
      </c>
      <c r="R37" s="59">
        <f>'Income Statement'!AM192</f>
        <v>0</v>
      </c>
      <c r="S37" s="59">
        <f>'Income Statement'!AN192</f>
        <v>0</v>
      </c>
      <c r="T37" s="59">
        <f>'Income Statement'!AO192</f>
        <v>0</v>
      </c>
      <c r="U37" s="59">
        <f>'Income Statement'!AQ192</f>
        <v>0.44444444444444442</v>
      </c>
      <c r="V37" s="59">
        <f>'Income Statement'!AR192</f>
        <v>0.52380952380952372</v>
      </c>
      <c r="W37" s="59">
        <f>'Income Statement'!AS192</f>
        <v>0.84444444444444455</v>
      </c>
      <c r="X37" s="59">
        <f>'Income Statement'!AT192</f>
        <v>0.68731999999999993</v>
      </c>
    </row>
    <row r="38" spans="8:24">
      <c r="H38" s="49" t="s">
        <v>454</v>
      </c>
      <c r="I38" s="59"/>
      <c r="J38" s="59"/>
      <c r="K38" s="59"/>
      <c r="L38" s="59"/>
      <c r="M38" s="59"/>
      <c r="N38" s="59">
        <f>'Income Statement'!AH194</f>
        <v>0</v>
      </c>
      <c r="O38" s="59">
        <f>'Income Statement'!AI194</f>
        <v>0</v>
      </c>
      <c r="P38" s="59">
        <f>'Income Statement'!AJ194</f>
        <v>0</v>
      </c>
      <c r="Q38" s="59">
        <f>'Income Statement'!AL194</f>
        <v>0</v>
      </c>
      <c r="R38" s="59">
        <f>'Income Statement'!AM194</f>
        <v>0</v>
      </c>
      <c r="S38" s="59">
        <f>'Income Statement'!AN194</f>
        <v>0</v>
      </c>
      <c r="T38" s="59">
        <f>'Income Statement'!AO194</f>
        <v>0</v>
      </c>
      <c r="U38" s="59">
        <f>'Income Statement'!AQ194</f>
        <v>0</v>
      </c>
      <c r="V38" s="59">
        <f>'Income Statement'!AR194</f>
        <v>0</v>
      </c>
      <c r="W38" s="59">
        <f>'Income Statement'!AS194</f>
        <v>0</v>
      </c>
      <c r="X38" s="59">
        <f>'Income Statement'!AT194</f>
        <v>0</v>
      </c>
    </row>
    <row r="39" spans="8:24">
      <c r="H39" s="49" t="s">
        <v>455</v>
      </c>
      <c r="I39" s="59"/>
      <c r="J39" s="59"/>
      <c r="K39" s="59"/>
      <c r="L39" s="59"/>
      <c r="M39" s="59">
        <f>'Income Statement'!AG201</f>
        <v>0</v>
      </c>
      <c r="N39" s="59">
        <f>'Income Statement'!AH201</f>
        <v>0</v>
      </c>
      <c r="O39" s="59">
        <f>'Income Statement'!AI201</f>
        <v>0</v>
      </c>
      <c r="P39" s="59">
        <f>'Income Statement'!AJ201</f>
        <v>0</v>
      </c>
      <c r="Q39" s="59">
        <f>'Income Statement'!AL201</f>
        <v>0</v>
      </c>
      <c r="R39" s="59">
        <f>'Income Statement'!AM201</f>
        <v>0</v>
      </c>
      <c r="S39" s="59">
        <f>'Income Statement'!AN201</f>
        <v>0</v>
      </c>
      <c r="T39" s="59">
        <f>'Income Statement'!AO201</f>
        <v>0</v>
      </c>
      <c r="U39" s="59">
        <f>'Income Statement'!AQ201</f>
        <v>-5.555555555555558E-2</v>
      </c>
      <c r="V39" s="59">
        <f>'Income Statement'!AR201</f>
        <v>-7.6923076923076872E-2</v>
      </c>
      <c r="W39" s="59">
        <f>'Income Statement'!AS201</f>
        <v>-5.555555555555558E-2</v>
      </c>
      <c r="X39" s="59">
        <f>'Income Statement'!AT201</f>
        <v>-1.1363636363636354E-2</v>
      </c>
    </row>
    <row r="40" spans="8:24">
      <c r="H40" s="49" t="s">
        <v>273</v>
      </c>
      <c r="I40" s="59"/>
      <c r="J40" s="59"/>
      <c r="K40" s="59"/>
      <c r="L40" s="59"/>
      <c r="M40" s="59">
        <f>'Income Statement'!AG212</f>
        <v>0</v>
      </c>
      <c r="N40" s="59">
        <f>'Income Statement'!AH212</f>
        <v>0</v>
      </c>
      <c r="O40" s="59">
        <f>'Income Statement'!AI212</f>
        <v>0</v>
      </c>
      <c r="P40" s="59">
        <f>'Income Statement'!AJ212</f>
        <v>0</v>
      </c>
      <c r="Q40" s="59">
        <f>'Income Statement'!AL212</f>
        <v>0</v>
      </c>
      <c r="R40" s="59">
        <f>'Income Statement'!AM212</f>
        <v>0</v>
      </c>
      <c r="S40" s="59">
        <f>'Income Statement'!AN212</f>
        <v>0</v>
      </c>
      <c r="T40" s="59">
        <f>'Income Statement'!AO212</f>
        <v>0</v>
      </c>
      <c r="U40" s="59">
        <f>'Income Statement'!AQ212</f>
        <v>0</v>
      </c>
      <c r="V40" s="59">
        <f>'Income Statement'!AR212</f>
        <v>0</v>
      </c>
      <c r="W40" s="59">
        <f>'Income Statement'!AS212</f>
        <v>7.4626865671641784E-2</v>
      </c>
      <c r="X40" s="59">
        <f>'Income Statement'!AT212</f>
        <v>0.10447761194029814</v>
      </c>
    </row>
    <row r="43" spans="8:24"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</row>
    <row r="44" spans="8:24">
      <c r="I44" s="61">
        <f>I48/SUM(I48:I51)</f>
        <v>0.59337816864976722</v>
      </c>
      <c r="J44" s="61">
        <f t="shared" ref="J44:T44" si="0">J48/SUM(J48:J51)</f>
        <v>0.58847950181629471</v>
      </c>
      <c r="K44" s="61">
        <f t="shared" si="0"/>
        <v>0.59512700881285641</v>
      </c>
      <c r="L44" s="61">
        <f t="shared" si="0"/>
        <v>0.59045621394861036</v>
      </c>
      <c r="M44" s="61">
        <f t="shared" si="0"/>
        <v>0.59468258274552366</v>
      </c>
      <c r="N44" s="61">
        <f t="shared" si="0"/>
        <v>0.58526089295320061</v>
      </c>
      <c r="O44" s="61">
        <f t="shared" si="0"/>
        <v>0.58507783145464309</v>
      </c>
      <c r="P44" s="61">
        <f t="shared" si="0"/>
        <v>0.5753280839895013</v>
      </c>
      <c r="Q44" s="61" t="e">
        <f t="shared" si="0"/>
        <v>#DIV/0!</v>
      </c>
      <c r="R44" s="61" t="e">
        <f t="shared" si="0"/>
        <v>#DIV/0!</v>
      </c>
      <c r="S44" s="61" t="e">
        <f t="shared" si="0"/>
        <v>#DIV/0!</v>
      </c>
      <c r="T44" s="61" t="e">
        <f t="shared" si="0"/>
        <v>#DIV/0!</v>
      </c>
      <c r="U44" s="61" t="e">
        <f>U48/SUM(U48:U51)</f>
        <v>#DIV/0!</v>
      </c>
      <c r="V44" s="61" t="e">
        <f>V48/SUM(V48:V51)</f>
        <v>#DIV/0!</v>
      </c>
      <c r="W44" s="61" t="e">
        <f>W48/SUM(W48:W51)</f>
        <v>#DIV/0!</v>
      </c>
      <c r="X44" s="61" t="e">
        <f>X48/SUM(X48:X51)</f>
        <v>#DIV/0!</v>
      </c>
    </row>
    <row r="47" spans="8:24">
      <c r="I47" s="49" t="s">
        <v>429</v>
      </c>
      <c r="J47" s="49" t="s">
        <v>430</v>
      </c>
      <c r="K47" s="49" t="s">
        <v>431</v>
      </c>
      <c r="L47" s="49" t="s">
        <v>432</v>
      </c>
      <c r="M47" s="49" t="s">
        <v>433</v>
      </c>
      <c r="N47" s="49" t="s">
        <v>434</v>
      </c>
      <c r="O47" s="49" t="s">
        <v>435</v>
      </c>
      <c r="P47" s="49" t="s">
        <v>436</v>
      </c>
      <c r="Q47" s="49" t="s">
        <v>437</v>
      </c>
      <c r="R47" s="49" t="s">
        <v>438</v>
      </c>
      <c r="S47" s="49" t="str">
        <f>S6</f>
        <v>Q3 15</v>
      </c>
      <c r="T47" s="49" t="s">
        <v>440</v>
      </c>
      <c r="U47" s="49" t="s">
        <v>441</v>
      </c>
      <c r="V47" s="49" t="s">
        <v>442</v>
      </c>
      <c r="W47" s="49" t="str">
        <f>W32</f>
        <v>Q3 16</v>
      </c>
      <c r="X47" s="49" t="str">
        <f>X32</f>
        <v>Q3 17</v>
      </c>
    </row>
    <row r="48" spans="8:24">
      <c r="H48" s="49" t="s">
        <v>447</v>
      </c>
      <c r="I48" s="49">
        <f>'Income Statement'!AB220</f>
        <v>1147</v>
      </c>
      <c r="J48" s="49">
        <f>'Income Statement'!AC220</f>
        <v>1134</v>
      </c>
      <c r="K48" s="49">
        <f>'Income Statement'!AD220</f>
        <v>1148</v>
      </c>
      <c r="L48" s="49">
        <f>'Income Statement'!AE220</f>
        <v>1126</v>
      </c>
      <c r="M48" s="49">
        <f>'Income Statement'!AG220</f>
        <v>1096</v>
      </c>
      <c r="N48" s="49">
        <f>'Income Statement'!AH220</f>
        <v>1088</v>
      </c>
      <c r="O48" s="49">
        <f>'Income Statement'!AI220</f>
        <v>1090</v>
      </c>
      <c r="P48" s="49">
        <f>'Income Statement'!AJ220</f>
        <v>1096</v>
      </c>
      <c r="Q48" s="49">
        <f>'Income Statement'!AL220</f>
        <v>0</v>
      </c>
      <c r="R48" s="49">
        <f>'Income Statement'!AM220</f>
        <v>0</v>
      </c>
      <c r="S48" s="49">
        <f>'Income Statement'!AN220</f>
        <v>0</v>
      </c>
      <c r="T48" s="49">
        <f>'Income Statement'!AO220</f>
        <v>0</v>
      </c>
      <c r="U48" s="49">
        <f>'Income Statement'!AQ220</f>
        <v>0</v>
      </c>
      <c r="V48" s="49">
        <f>'Income Statement'!AR220</f>
        <v>0</v>
      </c>
      <c r="W48" s="49">
        <f>'Income Statement'!AS220</f>
        <v>0</v>
      </c>
      <c r="X48" s="49">
        <f>'Income Statement'!AT220</f>
        <v>0</v>
      </c>
    </row>
    <row r="49" spans="8:25">
      <c r="H49" s="49" t="s">
        <v>457</v>
      </c>
      <c r="I49" s="49">
        <f>'Income Statement'!AB222</f>
        <v>466</v>
      </c>
      <c r="J49" s="49">
        <f>'Income Statement'!AC222</f>
        <v>495</v>
      </c>
      <c r="K49" s="49">
        <f>'Income Statement'!AD222</f>
        <v>506</v>
      </c>
      <c r="L49" s="49">
        <f>'Income Statement'!AE222</f>
        <v>524</v>
      </c>
      <c r="M49" s="49">
        <f>'Income Statement'!AG222</f>
        <v>524</v>
      </c>
      <c r="N49" s="49">
        <f>'Income Statement'!AH222</f>
        <v>566</v>
      </c>
      <c r="O49" s="49">
        <f>'Income Statement'!AI222</f>
        <v>589</v>
      </c>
      <c r="P49" s="49">
        <f>'Income Statement'!AJ222</f>
        <v>638</v>
      </c>
      <c r="Q49" s="49">
        <f>'Income Statement'!AL222</f>
        <v>0</v>
      </c>
      <c r="R49" s="49">
        <f>'Income Statement'!AM222</f>
        <v>0</v>
      </c>
      <c r="S49" s="49">
        <f>'Income Statement'!AN222</f>
        <v>0</v>
      </c>
      <c r="T49" s="49">
        <f>'Income Statement'!AO222</f>
        <v>0</v>
      </c>
      <c r="U49" s="49">
        <f>'Income Statement'!AQ222</f>
        <v>0</v>
      </c>
      <c r="V49" s="49">
        <f>'Income Statement'!AR222</f>
        <v>0</v>
      </c>
      <c r="W49" s="49">
        <f>'Income Statement'!AS222</f>
        <v>0</v>
      </c>
      <c r="X49" s="49">
        <f>'Income Statement'!AT222</f>
        <v>0</v>
      </c>
    </row>
    <row r="50" spans="8:25">
      <c r="H50" s="49" t="s">
        <v>458</v>
      </c>
      <c r="I50" s="49">
        <f>'Income Statement'!AB224</f>
        <v>320</v>
      </c>
      <c r="J50" s="49">
        <f>'Income Statement'!AC224</f>
        <v>298</v>
      </c>
      <c r="K50" s="49">
        <f>'Income Statement'!AD224</f>
        <v>275</v>
      </c>
      <c r="L50" s="49">
        <f>'Income Statement'!AE224</f>
        <v>257</v>
      </c>
      <c r="M50" s="49">
        <f>'Income Statement'!AG224</f>
        <v>223</v>
      </c>
      <c r="N50" s="49">
        <f>'Income Statement'!AH224</f>
        <v>205</v>
      </c>
      <c r="O50" s="49">
        <f>'Income Statement'!AI224</f>
        <v>184</v>
      </c>
      <c r="P50" s="49">
        <f>'Income Statement'!AJ224</f>
        <v>171</v>
      </c>
      <c r="Q50" s="49">
        <f>'Income Statement'!AL224</f>
        <v>0</v>
      </c>
      <c r="R50" s="49">
        <f>'Income Statement'!AM224</f>
        <v>0</v>
      </c>
      <c r="S50" s="49">
        <f>'Income Statement'!AN224</f>
        <v>0</v>
      </c>
      <c r="T50" s="49">
        <f>'Income Statement'!AO224</f>
        <v>0</v>
      </c>
      <c r="U50" s="49">
        <f>'Income Statement'!AQ224</f>
        <v>0</v>
      </c>
      <c r="V50" s="49">
        <f>'Income Statement'!AR224</f>
        <v>0</v>
      </c>
      <c r="W50" s="49">
        <f>'Income Statement'!AS224</f>
        <v>0</v>
      </c>
      <c r="X50" s="49">
        <f>'Income Statement'!AT224</f>
        <v>0</v>
      </c>
    </row>
    <row r="51" spans="8:25">
      <c r="H51" s="49" t="s">
        <v>252</v>
      </c>
      <c r="I51" s="49">
        <f>'Income Statement'!AB225</f>
        <v>0</v>
      </c>
      <c r="J51" s="49">
        <f>'Income Statement'!AC225</f>
        <v>0</v>
      </c>
      <c r="K51" s="49">
        <f>'Income Statement'!AD225</f>
        <v>0</v>
      </c>
      <c r="L51" s="49">
        <f>'Income Statement'!AE225</f>
        <v>0</v>
      </c>
      <c r="M51" s="49">
        <f>'Income Statement'!AG225</f>
        <v>0</v>
      </c>
      <c r="N51" s="49">
        <f>'Income Statement'!AH225</f>
        <v>0</v>
      </c>
      <c r="O51" s="49">
        <f>'Income Statement'!AI225</f>
        <v>0</v>
      </c>
      <c r="P51" s="49">
        <f>'Income Statement'!AJ225</f>
        <v>0</v>
      </c>
      <c r="Q51" s="49">
        <f>'Income Statement'!AL225</f>
        <v>0</v>
      </c>
      <c r="R51" s="49">
        <f>'Income Statement'!AM225</f>
        <v>0</v>
      </c>
      <c r="S51" s="49">
        <f>'Income Statement'!AN225</f>
        <v>0</v>
      </c>
      <c r="T51" s="49">
        <f>'Income Statement'!AO225</f>
        <v>0</v>
      </c>
      <c r="U51" s="49">
        <f>'Income Statement'!AQ225</f>
        <v>0</v>
      </c>
      <c r="V51" s="49">
        <f>'Income Statement'!AR225</f>
        <v>0</v>
      </c>
      <c r="W51" s="49">
        <f>'Income Statement'!AS225</f>
        <v>0</v>
      </c>
      <c r="X51" s="49">
        <f>'Income Statement'!AT225</f>
        <v>0</v>
      </c>
    </row>
    <row r="52" spans="8:25">
      <c r="H52" s="49" t="s">
        <v>459</v>
      </c>
      <c r="I52" s="62">
        <f>'Income Statement'!AB291</f>
        <v>118.33699999999999</v>
      </c>
      <c r="J52" s="62">
        <f>'Income Statement'!AC291</f>
        <v>130.37899999999991</v>
      </c>
      <c r="K52" s="62">
        <f>'Income Statement'!AD291</f>
        <v>100.80799999999999</v>
      </c>
      <c r="L52" s="62">
        <f>'Income Statement'!AE291</f>
        <v>105.20900000000006</v>
      </c>
      <c r="M52" s="62">
        <f>'Income Statement'!AG291</f>
        <v>117.3599999999999</v>
      </c>
      <c r="N52" s="62">
        <f>'Income Statement'!AH291</f>
        <v>79.775000000000091</v>
      </c>
      <c r="O52" s="62">
        <f>'Income Statement'!AI291</f>
        <v>84.799999999999955</v>
      </c>
      <c r="P52" s="62">
        <f>'Income Statement'!AJ291</f>
        <v>88.400000000000091</v>
      </c>
      <c r="Q52" s="62">
        <f>'Income Statement'!AL291</f>
        <v>134.5440000000001</v>
      </c>
      <c r="R52" s="62">
        <f>'Income Statement'!AM291</f>
        <v>113.70550000000003</v>
      </c>
      <c r="S52" s="62">
        <f>'Income Statement'!AN291</f>
        <v>107.1434999999999</v>
      </c>
      <c r="T52" s="62">
        <f>'Income Statement'!AO291</f>
        <v>111.70000000000005</v>
      </c>
      <c r="U52" s="62">
        <f>'Income Statement'!AQ291</f>
        <v>129.70000000000005</v>
      </c>
      <c r="V52" s="62">
        <f>'Income Statement'!AR291</f>
        <v>128.91350000000011</v>
      </c>
      <c r="W52" s="62">
        <f>'Income Statement'!AS291</f>
        <v>159.875</v>
      </c>
      <c r="X52" s="62">
        <f>'Income Statement'!AT291</f>
        <v>107.6400000000001</v>
      </c>
    </row>
    <row r="53" spans="8:25">
      <c r="H53" s="49" t="s">
        <v>1</v>
      </c>
      <c r="I53" s="49">
        <v>0</v>
      </c>
      <c r="J53" s="49">
        <v>0</v>
      </c>
      <c r="K53" s="49">
        <v>0</v>
      </c>
      <c r="L53" s="49">
        <v>0</v>
      </c>
      <c r="M53" s="49">
        <v>0</v>
      </c>
      <c r="N53" s="49">
        <v>0</v>
      </c>
      <c r="O53" s="49">
        <v>0</v>
      </c>
      <c r="P53" s="49">
        <v>0</v>
      </c>
      <c r="Q53" s="49">
        <v>0</v>
      </c>
      <c r="R53" s="49">
        <v>0</v>
      </c>
      <c r="S53" s="49">
        <v>0</v>
      </c>
      <c r="T53" s="49">
        <v>0</v>
      </c>
      <c r="U53" s="49">
        <v>0</v>
      </c>
      <c r="V53" s="49">
        <v>0</v>
      </c>
      <c r="W53" s="49">
        <v>0</v>
      </c>
      <c r="X53" s="49">
        <v>1</v>
      </c>
    </row>
    <row r="54" spans="8:25">
      <c r="M54" s="61">
        <f t="shared" ref="M54:X57" si="1">M48/I48-1</f>
        <v>-4.4463818657367038E-2</v>
      </c>
      <c r="N54" s="61">
        <f t="shared" si="1"/>
        <v>-4.0564373897707284E-2</v>
      </c>
      <c r="O54" s="61">
        <f t="shared" si="1"/>
        <v>-5.0522648083623722E-2</v>
      </c>
      <c r="P54" s="61">
        <f t="shared" si="1"/>
        <v>-2.6642984014209614E-2</v>
      </c>
      <c r="Q54" s="61">
        <f t="shared" si="1"/>
        <v>-1</v>
      </c>
      <c r="R54" s="61">
        <f t="shared" si="1"/>
        <v>-1</v>
      </c>
      <c r="S54" s="61">
        <f t="shared" si="1"/>
        <v>-1</v>
      </c>
      <c r="T54" s="61">
        <f t="shared" si="1"/>
        <v>-1</v>
      </c>
      <c r="U54" s="61" t="e">
        <f t="shared" si="1"/>
        <v>#DIV/0!</v>
      </c>
      <c r="V54" s="61" t="e">
        <f t="shared" si="1"/>
        <v>#DIV/0!</v>
      </c>
      <c r="W54" s="61" t="e">
        <f t="shared" si="1"/>
        <v>#DIV/0!</v>
      </c>
      <c r="X54" s="61" t="e">
        <f t="shared" si="1"/>
        <v>#DIV/0!</v>
      </c>
    </row>
    <row r="55" spans="8:25">
      <c r="M55" s="61">
        <f t="shared" si="1"/>
        <v>0.12446351931330479</v>
      </c>
      <c r="N55" s="61">
        <f t="shared" si="1"/>
        <v>0.14343434343434347</v>
      </c>
      <c r="O55" s="61">
        <f t="shared" si="1"/>
        <v>0.16403162055335962</v>
      </c>
      <c r="P55" s="61">
        <f t="shared" si="1"/>
        <v>0.21755725190839703</v>
      </c>
      <c r="Q55" s="61">
        <f t="shared" si="1"/>
        <v>-1</v>
      </c>
      <c r="R55" s="61">
        <f t="shared" si="1"/>
        <v>-1</v>
      </c>
      <c r="S55" s="61">
        <f t="shared" si="1"/>
        <v>-1</v>
      </c>
      <c r="T55" s="61">
        <f t="shared" si="1"/>
        <v>-1</v>
      </c>
      <c r="U55" s="61" t="e">
        <f t="shared" si="1"/>
        <v>#DIV/0!</v>
      </c>
      <c r="V55" s="61" t="e">
        <f t="shared" si="1"/>
        <v>#DIV/0!</v>
      </c>
      <c r="W55" s="61" t="e">
        <f t="shared" si="1"/>
        <v>#DIV/0!</v>
      </c>
      <c r="X55" s="61" t="e">
        <f t="shared" si="1"/>
        <v>#DIV/0!</v>
      </c>
    </row>
    <row r="56" spans="8:25">
      <c r="M56" s="61">
        <f t="shared" si="1"/>
        <v>-0.30312499999999998</v>
      </c>
      <c r="N56" s="61">
        <f t="shared" si="1"/>
        <v>-0.31208053691275173</v>
      </c>
      <c r="O56" s="61">
        <f t="shared" si="1"/>
        <v>-0.33090909090909093</v>
      </c>
      <c r="P56" s="61">
        <f t="shared" si="1"/>
        <v>-0.33463035019455256</v>
      </c>
      <c r="Q56" s="61">
        <f t="shared" si="1"/>
        <v>-1</v>
      </c>
      <c r="R56" s="61">
        <f t="shared" si="1"/>
        <v>-1</v>
      </c>
      <c r="S56" s="61">
        <f t="shared" si="1"/>
        <v>-1</v>
      </c>
      <c r="T56" s="61">
        <f t="shared" si="1"/>
        <v>-1</v>
      </c>
      <c r="U56" s="61" t="e">
        <f t="shared" si="1"/>
        <v>#DIV/0!</v>
      </c>
      <c r="V56" s="61" t="e">
        <f t="shared" si="1"/>
        <v>#DIV/0!</v>
      </c>
      <c r="W56" s="61" t="e">
        <f t="shared" si="1"/>
        <v>#DIV/0!</v>
      </c>
      <c r="X56" s="61" t="e">
        <f t="shared" si="1"/>
        <v>#DIV/0!</v>
      </c>
    </row>
    <row r="57" spans="8:25">
      <c r="M57" s="61" t="e">
        <f t="shared" si="1"/>
        <v>#DIV/0!</v>
      </c>
      <c r="N57" s="61" t="e">
        <f t="shared" si="1"/>
        <v>#DIV/0!</v>
      </c>
      <c r="O57" s="61" t="e">
        <f t="shared" si="1"/>
        <v>#DIV/0!</v>
      </c>
      <c r="P57" s="61" t="e">
        <f t="shared" si="1"/>
        <v>#DIV/0!</v>
      </c>
      <c r="Q57" s="61" t="e">
        <f t="shared" si="1"/>
        <v>#DIV/0!</v>
      </c>
      <c r="R57" s="61" t="e">
        <f t="shared" si="1"/>
        <v>#DIV/0!</v>
      </c>
      <c r="S57" s="61" t="e">
        <f t="shared" si="1"/>
        <v>#DIV/0!</v>
      </c>
      <c r="T57" s="61" t="e">
        <f t="shared" si="1"/>
        <v>#DIV/0!</v>
      </c>
      <c r="U57" s="61" t="e">
        <f t="shared" si="1"/>
        <v>#DIV/0!</v>
      </c>
      <c r="V57" s="61" t="e">
        <f t="shared" si="1"/>
        <v>#DIV/0!</v>
      </c>
      <c r="W57" s="61" t="e">
        <f t="shared" si="1"/>
        <v>#DIV/0!</v>
      </c>
      <c r="X57" s="61" t="e">
        <f t="shared" si="1"/>
        <v>#DIV/0!</v>
      </c>
    </row>
    <row r="61" spans="8:25">
      <c r="I61" s="49" t="s">
        <v>429</v>
      </c>
      <c r="J61" s="49" t="s">
        <v>430</v>
      </c>
      <c r="K61" s="49" t="s">
        <v>431</v>
      </c>
      <c r="L61" s="49" t="s">
        <v>432</v>
      </c>
      <c r="M61" s="49" t="s">
        <v>433</v>
      </c>
      <c r="N61" s="49" t="s">
        <v>434</v>
      </c>
      <c r="O61" s="49" t="s">
        <v>435</v>
      </c>
      <c r="P61" s="49" t="s">
        <v>436</v>
      </c>
      <c r="Q61" s="49" t="s">
        <v>437</v>
      </c>
      <c r="R61" s="49" t="s">
        <v>438</v>
      </c>
      <c r="S61" s="49" t="str">
        <f>S47</f>
        <v>Q3 15</v>
      </c>
      <c r="T61" s="49" t="str">
        <f>T47</f>
        <v>Q4 15</v>
      </c>
      <c r="U61" s="49" t="str">
        <f>U47</f>
        <v>Q1 16</v>
      </c>
      <c r="V61" s="49" t="str">
        <f>V47</f>
        <v>Q2 16</v>
      </c>
      <c r="W61" s="49" t="str">
        <f>W47</f>
        <v>Q3 16</v>
      </c>
      <c r="X61" s="49" t="s">
        <v>456</v>
      </c>
      <c r="Y61" s="49" t="s">
        <v>545</v>
      </c>
    </row>
    <row r="62" spans="8:25">
      <c r="H62" s="49" t="s">
        <v>460</v>
      </c>
      <c r="I62" s="61">
        <f>'Income Statement'!AB455</f>
        <v>0.48216587881392353</v>
      </c>
      <c r="J62" s="61">
        <f>'Income Statement'!AC455</f>
        <v>0.50762527233115473</v>
      </c>
      <c r="K62" s="61">
        <f>'Income Statement'!AD455</f>
        <v>0.51540866458240286</v>
      </c>
      <c r="L62" s="61">
        <f>'Income Statement'!AE455</f>
        <v>0.48606115107913667</v>
      </c>
      <c r="M62" s="61">
        <f>'Income Statement'!AG455</f>
        <v>0.33400000000000002</v>
      </c>
      <c r="N62" s="61">
        <f>'Income Statement'!AH455</f>
        <v>0.313</v>
      </c>
      <c r="O62" s="61">
        <f>'Income Statement'!AI455</f>
        <v>0.316</v>
      </c>
      <c r="P62" s="61">
        <f>'Income Statement'!AJ455</f>
        <v>0.32800000000000001</v>
      </c>
      <c r="Q62" s="61">
        <f>'Income Statement'!AL455</f>
        <v>0.33200000000000002</v>
      </c>
      <c r="R62" s="61">
        <f>'Income Statement'!AM455</f>
        <v>0.308</v>
      </c>
      <c r="S62" s="61">
        <f>'Income Statement'!AN455</f>
        <v>0.31809787626962144</v>
      </c>
      <c r="T62" s="61">
        <f>'Income Statement'!AO455</f>
        <v>0.31066176470588236</v>
      </c>
      <c r="U62" s="61">
        <f>'Income Statement'!AQ455</f>
        <v>0.54252336448598126</v>
      </c>
      <c r="V62" s="61">
        <f>'Income Statement'!AR455</f>
        <v>0.48049476688867743</v>
      </c>
      <c r="W62" s="61">
        <f>'Income Statement'!AS455</f>
        <v>0.53061224489795922</v>
      </c>
      <c r="X62" s="61">
        <f>'Income Statement'!AT455</f>
        <v>0.53613369467028005</v>
      </c>
      <c r="Y62" s="61">
        <f>'Income Statement'!AV455</f>
        <v>0.43115789473684213</v>
      </c>
    </row>
    <row r="63" spans="8:25">
      <c r="H63" s="49" t="s">
        <v>461</v>
      </c>
      <c r="I63" s="61">
        <f>'Income Statement'!AB456</f>
        <v>0.52291529471310261</v>
      </c>
      <c r="J63" s="61">
        <f>'Income Statement'!AC456</f>
        <v>0.5530183170109858</v>
      </c>
      <c r="K63" s="61">
        <f>'Income Statement'!AD456</f>
        <v>0.55475648401685995</v>
      </c>
      <c r="L63" s="61">
        <f>'Income Statement'!AE456</f>
        <v>0.52532059864194169</v>
      </c>
      <c r="M63" s="61">
        <f>'Income Statement'!AG456</f>
        <v>0.36432174772474574</v>
      </c>
      <c r="N63" s="61">
        <f>'Income Statement'!AH456</f>
        <v>0.33587135512633848</v>
      </c>
      <c r="O63" s="61">
        <f>'Income Statement'!AI456</f>
        <v>0.34053856591170023</v>
      </c>
      <c r="P63" s="61">
        <f>'Income Statement'!AJ456</f>
        <v>0.35408522322790609</v>
      </c>
      <c r="Q63" s="61">
        <f>'Income Statement'!AL456</f>
        <v>0.36598312554887114</v>
      </c>
      <c r="R63" s="61">
        <f>'Income Statement'!AM456</f>
        <v>0.3363255445792554</v>
      </c>
      <c r="S63" s="61">
        <f>'Income Statement'!AN456</f>
        <v>0.34521519958975005</v>
      </c>
      <c r="T63" s="61">
        <f>'Income Statement'!AO456</f>
        <v>0.33744321868916288</v>
      </c>
      <c r="U63" s="61">
        <f>'Income Statement'!AQ456</f>
        <v>0.59743734883960276</v>
      </c>
      <c r="V63" s="61">
        <f>'Income Statement'!AR456</f>
        <v>0.52988151377180415</v>
      </c>
      <c r="W63" s="61">
        <f>'Income Statement'!AS456</f>
        <v>0.59517461143265915</v>
      </c>
      <c r="X63" s="61">
        <f>'Income Statement'!AT456</f>
        <v>0.58520183793803859</v>
      </c>
      <c r="Y63" s="61">
        <f>'Income Statement'!AV456</f>
        <v>0.49089165867689355</v>
      </c>
    </row>
    <row r="66" spans="8:25">
      <c r="I66" s="49" t="str">
        <f>I61</f>
        <v>Q1 13</v>
      </c>
      <c r="J66" s="49" t="str">
        <f t="shared" ref="J66:U66" si="2">J61</f>
        <v>Q2 13</v>
      </c>
      <c r="K66" s="49" t="str">
        <f t="shared" si="2"/>
        <v>Q3 13</v>
      </c>
      <c r="L66" s="49" t="str">
        <f t="shared" si="2"/>
        <v>Q4 13</v>
      </c>
      <c r="M66" s="49" t="str">
        <f t="shared" si="2"/>
        <v>Q1 14</v>
      </c>
      <c r="N66" s="49" t="str">
        <f t="shared" si="2"/>
        <v>Q2 14</v>
      </c>
      <c r="O66" s="49" t="str">
        <f t="shared" si="2"/>
        <v>Q3 14</v>
      </c>
      <c r="P66" s="49" t="str">
        <f t="shared" si="2"/>
        <v>Q4 14</v>
      </c>
      <c r="Q66" s="49" t="str">
        <f t="shared" si="2"/>
        <v>Q1 15</v>
      </c>
      <c r="R66" s="49" t="str">
        <f t="shared" si="2"/>
        <v>Q2 15</v>
      </c>
      <c r="S66" s="49" t="str">
        <f t="shared" si="2"/>
        <v>Q3 15</v>
      </c>
      <c r="T66" s="49" t="str">
        <f t="shared" si="2"/>
        <v>Q4 15</v>
      </c>
      <c r="U66" s="49" t="str">
        <f t="shared" si="2"/>
        <v>Q1 16</v>
      </c>
      <c r="V66" s="49" t="str">
        <f>V61</f>
        <v>Q2 16</v>
      </c>
      <c r="W66" s="49" t="str">
        <f>W61</f>
        <v>Q3 16</v>
      </c>
      <c r="X66" s="49" t="str">
        <f>X61</f>
        <v>Q4 16</v>
      </c>
      <c r="Y66" s="49" t="s">
        <v>545</v>
      </c>
    </row>
    <row r="67" spans="8:25">
      <c r="H67" s="49" t="s">
        <v>462</v>
      </c>
      <c r="I67" s="61" t="e">
        <f>'Income Statement'!#REF!</f>
        <v>#REF!</v>
      </c>
      <c r="J67" s="61" t="e">
        <f>'Income Statement'!#REF!</f>
        <v>#REF!</v>
      </c>
      <c r="K67" s="61" t="e">
        <f>'Income Statement'!#REF!</f>
        <v>#REF!</v>
      </c>
      <c r="L67" s="61" t="e">
        <f>'Income Statement'!#REF!</f>
        <v>#REF!</v>
      </c>
      <c r="M67" s="61" t="e">
        <f>'Income Statement'!#REF!</f>
        <v>#REF!</v>
      </c>
      <c r="N67" s="61" t="e">
        <f>'Income Statement'!#REF!</f>
        <v>#REF!</v>
      </c>
      <c r="O67" s="61" t="e">
        <f>'Income Statement'!#REF!</f>
        <v>#REF!</v>
      </c>
      <c r="P67" s="61" t="e">
        <f>'Income Statement'!#REF!</f>
        <v>#REF!</v>
      </c>
      <c r="Q67" s="61" t="e">
        <f>'Income Statement'!#REF!</f>
        <v>#REF!</v>
      </c>
      <c r="R67" s="61" t="e">
        <f>'Income Statement'!#REF!</f>
        <v>#REF!</v>
      </c>
      <c r="S67" s="61" t="e">
        <f>'Income Statement'!#REF!</f>
        <v>#REF!</v>
      </c>
      <c r="T67" s="61" t="e">
        <f>'Income Statement'!#REF!</f>
        <v>#REF!</v>
      </c>
      <c r="U67" s="61" t="e">
        <f>'Income Statement'!#REF!</f>
        <v>#REF!</v>
      </c>
      <c r="V67" s="61" t="e">
        <f>'Income Statement'!#REF!</f>
        <v>#REF!</v>
      </c>
      <c r="W67" s="61" t="e">
        <f>'Income Statement'!#REF!</f>
        <v>#REF!</v>
      </c>
      <c r="X67" s="61" t="e">
        <f>'Income Statement'!#REF!</f>
        <v>#REF!</v>
      </c>
    </row>
    <row r="68" spans="8:25">
      <c r="H68" s="49" t="s">
        <v>463</v>
      </c>
      <c r="I68" s="62">
        <f>I52</f>
        <v>118.33699999999999</v>
      </c>
      <c r="J68" s="62">
        <f t="shared" ref="J68:W68" si="3">J52</f>
        <v>130.37899999999991</v>
      </c>
      <c r="K68" s="62">
        <f t="shared" si="3"/>
        <v>100.80799999999999</v>
      </c>
      <c r="L68" s="62">
        <f t="shared" si="3"/>
        <v>105.20900000000006</v>
      </c>
      <c r="M68" s="62">
        <f t="shared" si="3"/>
        <v>117.3599999999999</v>
      </c>
      <c r="N68" s="62">
        <f t="shared" si="3"/>
        <v>79.775000000000091</v>
      </c>
      <c r="O68" s="62">
        <f t="shared" si="3"/>
        <v>84.799999999999955</v>
      </c>
      <c r="P68" s="62">
        <f t="shared" si="3"/>
        <v>88.400000000000091</v>
      </c>
      <c r="Q68" s="62">
        <f t="shared" si="3"/>
        <v>134.5440000000001</v>
      </c>
      <c r="R68" s="62">
        <f t="shared" si="3"/>
        <v>113.70550000000003</v>
      </c>
      <c r="S68" s="62">
        <f t="shared" si="3"/>
        <v>107.1434999999999</v>
      </c>
      <c r="T68" s="62">
        <f t="shared" si="3"/>
        <v>111.70000000000005</v>
      </c>
      <c r="U68" s="62">
        <f t="shared" si="3"/>
        <v>129.70000000000005</v>
      </c>
      <c r="V68" s="62">
        <f t="shared" si="3"/>
        <v>128.91350000000011</v>
      </c>
      <c r="W68" s="62">
        <f t="shared" si="3"/>
        <v>159.875</v>
      </c>
      <c r="X68" s="62">
        <f>X52</f>
        <v>107.6400000000001</v>
      </c>
    </row>
    <row r="69" spans="8:25">
      <c r="H69" s="49" t="s">
        <v>464</v>
      </c>
      <c r="I69" s="65">
        <f>'Income Statement'!AB324</f>
        <v>0</v>
      </c>
      <c r="J69" s="65">
        <f>'Income Statement'!AC324</f>
        <v>0</v>
      </c>
      <c r="K69" s="65">
        <f>'Income Statement'!AD324</f>
        <v>0</v>
      </c>
      <c r="L69" s="65">
        <f>'Income Statement'!AE324</f>
        <v>0</v>
      </c>
      <c r="M69" s="65">
        <f>'Income Statement'!AG324</f>
        <v>0</v>
      </c>
      <c r="N69" s="65">
        <f>'Income Statement'!AH324</f>
        <v>0</v>
      </c>
      <c r="O69" s="65">
        <f>'Income Statement'!AI324</f>
        <v>0</v>
      </c>
      <c r="P69" s="65">
        <f>'Income Statement'!AJ324</f>
        <v>0</v>
      </c>
      <c r="Q69" s="65">
        <f>'Income Statement'!AL324</f>
        <v>0</v>
      </c>
      <c r="R69" s="65">
        <f>'Income Statement'!AM324</f>
        <v>0</v>
      </c>
      <c r="S69" s="65">
        <f>'Income Statement'!AN324</f>
        <v>0</v>
      </c>
      <c r="T69" s="65">
        <f>'Income Statement'!AO324</f>
        <v>0</v>
      </c>
      <c r="U69" s="65">
        <f>'Income Statement'!AQ324</f>
        <v>0</v>
      </c>
      <c r="V69" s="65">
        <f>'Income Statement'!AR324</f>
        <v>0</v>
      </c>
      <c r="W69" s="65">
        <f>'Income Statement'!AS324</f>
        <v>0</v>
      </c>
      <c r="X69" s="65">
        <f>'Income Statement'!AT324</f>
        <v>0</v>
      </c>
    </row>
    <row r="71" spans="8:25">
      <c r="H71" s="49" t="s">
        <v>465</v>
      </c>
      <c r="I71" s="65">
        <f>'Income Statement'!AB294</f>
        <v>2066</v>
      </c>
      <c r="J71" s="65">
        <f>'Income Statement'!AC294</f>
        <v>2063</v>
      </c>
      <c r="K71" s="65">
        <f>'Income Statement'!AD294</f>
        <v>2051</v>
      </c>
      <c r="L71" s="65">
        <f>'Income Statement'!AE294</f>
        <v>2024</v>
      </c>
      <c r="M71" s="65">
        <f>'Income Statement'!AG294</f>
        <v>1953</v>
      </c>
      <c r="N71" s="65">
        <f>'Income Statement'!AH294</f>
        <v>1955</v>
      </c>
      <c r="O71" s="65">
        <f>'Income Statement'!AI294</f>
        <v>1946</v>
      </c>
      <c r="P71" s="65">
        <f>'Income Statement'!AJ294</f>
        <v>1988</v>
      </c>
      <c r="Q71" s="65">
        <f>'Income Statement'!AL294</f>
        <v>2019</v>
      </c>
      <c r="R71" s="65">
        <f>'Income Statement'!AM294</f>
        <v>1984</v>
      </c>
      <c r="S71" s="65">
        <f>'Income Statement'!AN294</f>
        <v>2046</v>
      </c>
      <c r="T71" s="65">
        <f>'Income Statement'!AO294</f>
        <v>2047</v>
      </c>
      <c r="U71" s="65">
        <f>'Income Statement'!AQ294</f>
        <v>2005</v>
      </c>
      <c r="V71" s="65">
        <f>'Income Statement'!AR294</f>
        <v>1934</v>
      </c>
      <c r="W71" s="65">
        <f>'Income Statement'!AS294</f>
        <v>1982</v>
      </c>
      <c r="X71" s="65">
        <f>'Income Statement'!AT294</f>
        <v>2028</v>
      </c>
      <c r="Y71" s="65">
        <f>'Income Statement'!AV294</f>
        <v>1994</v>
      </c>
    </row>
    <row r="72" spans="8:25">
      <c r="H72" s="49" t="s">
        <v>2</v>
      </c>
      <c r="I72" s="65">
        <f>'Income Statement'!AB453</f>
        <v>1122</v>
      </c>
      <c r="J72" s="65">
        <f>'Income Statement'!AC453</f>
        <v>1165</v>
      </c>
      <c r="K72" s="65">
        <f>'Income Statement'!AD453</f>
        <v>1154</v>
      </c>
      <c r="L72" s="65">
        <f>'Income Statement'!AE453</f>
        <v>1081</v>
      </c>
      <c r="M72" s="65">
        <f>'Income Statement'!AG453</f>
        <v>707.74600000000009</v>
      </c>
      <c r="N72" s="65">
        <f>'Income Statement'!AH453</f>
        <v>651.66600000000005</v>
      </c>
      <c r="O72" s="65">
        <f>'Income Statement'!AI453</f>
        <v>652.54</v>
      </c>
      <c r="P72" s="65">
        <f>'Income Statement'!AJ453</f>
        <v>696.34400000000005</v>
      </c>
      <c r="Q72" s="65">
        <f>'Income Statement'!AL453</f>
        <v>713.46800000000007</v>
      </c>
      <c r="R72" s="65">
        <f>'Income Statement'!AM453</f>
        <v>649.88</v>
      </c>
      <c r="S72" s="65">
        <f>'Income Statement'!AN453</f>
        <v>689</v>
      </c>
      <c r="T72" s="65">
        <f>'Income Statement'!AO453</f>
        <v>676</v>
      </c>
      <c r="U72" s="65">
        <f>'Income Statement'!AQ453</f>
        <v>1161</v>
      </c>
      <c r="V72" s="65">
        <f>'Income Statement'!AR453</f>
        <v>1010</v>
      </c>
      <c r="W72" s="65">
        <f>'Income Statement'!AS453</f>
        <v>1144</v>
      </c>
      <c r="X72" s="65">
        <f>'Income Statement'!AT453</f>
        <v>1187</v>
      </c>
      <c r="Y72" s="65">
        <f>'Income Statement'!AV453</f>
        <v>1024</v>
      </c>
    </row>
    <row r="73" spans="8:25">
      <c r="I73" s="61">
        <f t="shared" ref="I73:V73" si="4">I72/I71</f>
        <v>0.54307841239109389</v>
      </c>
      <c r="J73" s="61">
        <f t="shared" si="4"/>
        <v>0.56471158507028596</v>
      </c>
      <c r="K73" s="61">
        <f t="shared" si="4"/>
        <v>0.56265236470014623</v>
      </c>
      <c r="L73" s="61">
        <f t="shared" si="4"/>
        <v>0.53409090909090906</v>
      </c>
      <c r="M73" s="61">
        <f t="shared" si="4"/>
        <v>0.36238914490527396</v>
      </c>
      <c r="N73" s="61">
        <f t="shared" si="4"/>
        <v>0.33333299232736574</v>
      </c>
      <c r="O73" s="61">
        <f t="shared" si="4"/>
        <v>0.3353237410071942</v>
      </c>
      <c r="P73" s="61">
        <f t="shared" si="4"/>
        <v>0.35027364185110665</v>
      </c>
      <c r="Q73" s="61">
        <f t="shared" si="4"/>
        <v>0.35337691926696391</v>
      </c>
      <c r="R73" s="61">
        <f t="shared" si="4"/>
        <v>0.32756048387096776</v>
      </c>
      <c r="S73" s="61">
        <f t="shared" si="4"/>
        <v>0.33675464320625609</v>
      </c>
      <c r="T73" s="61">
        <f t="shared" si="4"/>
        <v>0.33023937469467513</v>
      </c>
      <c r="U73" s="61">
        <f t="shared" si="4"/>
        <v>0.57905236907730673</v>
      </c>
      <c r="V73" s="61">
        <f t="shared" si="4"/>
        <v>0.52223371251292661</v>
      </c>
      <c r="W73" s="61">
        <f>W72/W71</f>
        <v>0.57719475277497478</v>
      </c>
      <c r="X73" s="61">
        <f>X72/X71</f>
        <v>0.58530571992110458</v>
      </c>
      <c r="Y73" s="61">
        <f>Y72/Y71</f>
        <v>0.51354062186559679</v>
      </c>
    </row>
    <row r="74" spans="8:25">
      <c r="M74" s="64">
        <f>M71/I71-1</f>
        <v>-5.4695062923523663E-2</v>
      </c>
      <c r="N74" s="64">
        <f t="shared" ref="N74:Y74" si="5">N71/J71-1</f>
        <v>-5.2350945225399848E-2</v>
      </c>
      <c r="O74" s="64">
        <f t="shared" si="5"/>
        <v>-5.1194539249146742E-2</v>
      </c>
      <c r="P74" s="64">
        <f t="shared" si="5"/>
        <v>-1.7786561264822143E-2</v>
      </c>
      <c r="Q74" s="64">
        <f t="shared" si="5"/>
        <v>3.3794162826420893E-2</v>
      </c>
      <c r="R74" s="64">
        <f t="shared" si="5"/>
        <v>1.4833759590792805E-2</v>
      </c>
      <c r="S74" s="64">
        <f t="shared" si="5"/>
        <v>5.1387461459403871E-2</v>
      </c>
      <c r="T74" s="64">
        <f t="shared" si="5"/>
        <v>2.9678068410462721E-2</v>
      </c>
      <c r="U74" s="64">
        <f t="shared" si="5"/>
        <v>-6.9341258048538634E-3</v>
      </c>
      <c r="V74" s="64">
        <f t="shared" si="5"/>
        <v>-2.5201612903225756E-2</v>
      </c>
      <c r="W74" s="64">
        <f t="shared" si="5"/>
        <v>-3.128054740957964E-2</v>
      </c>
      <c r="X74" s="64">
        <f t="shared" si="5"/>
        <v>-9.2818759159746245E-3</v>
      </c>
      <c r="Y74" s="64">
        <f t="shared" si="5"/>
        <v>-5.4862842892767771E-3</v>
      </c>
    </row>
    <row r="76" spans="8:25">
      <c r="I76" s="49" t="str">
        <f>I66</f>
        <v>Q1 13</v>
      </c>
      <c r="J76" s="49" t="str">
        <f t="shared" ref="J76:U76" si="6">J66</f>
        <v>Q2 13</v>
      </c>
      <c r="K76" s="49" t="str">
        <f t="shared" si="6"/>
        <v>Q3 13</v>
      </c>
      <c r="L76" s="49" t="str">
        <f t="shared" si="6"/>
        <v>Q4 13</v>
      </c>
      <c r="M76" s="49" t="str">
        <f t="shared" si="6"/>
        <v>Q1 14</v>
      </c>
      <c r="N76" s="49" t="str">
        <f t="shared" si="6"/>
        <v>Q2 14</v>
      </c>
      <c r="O76" s="49" t="str">
        <f t="shared" si="6"/>
        <v>Q3 14</v>
      </c>
      <c r="P76" s="49" t="str">
        <f t="shared" si="6"/>
        <v>Q4 14</v>
      </c>
      <c r="Q76" s="49" t="str">
        <f t="shared" si="6"/>
        <v>Q1 15</v>
      </c>
      <c r="R76" s="49" t="str">
        <f t="shared" si="6"/>
        <v>Q2 15</v>
      </c>
      <c r="S76" s="49" t="str">
        <f t="shared" si="6"/>
        <v>Q3 15</v>
      </c>
      <c r="T76" s="49" t="str">
        <f t="shared" si="6"/>
        <v>Q4 15</v>
      </c>
      <c r="U76" s="49" t="str">
        <f t="shared" si="6"/>
        <v>Q1 16</v>
      </c>
      <c r="V76" s="49" t="str">
        <f>V66</f>
        <v>Q2 16</v>
      </c>
      <c r="W76" s="49" t="str">
        <f>W66</f>
        <v>Q3 16</v>
      </c>
      <c r="X76" s="49" t="str">
        <f>X66</f>
        <v>Q4 16</v>
      </c>
    </row>
    <row r="77" spans="8:25">
      <c r="H77" s="49" t="s">
        <v>466</v>
      </c>
      <c r="I77" s="61">
        <f>I36</f>
        <v>0.2167101827676241</v>
      </c>
      <c r="J77" s="61">
        <f t="shared" ref="J77:W77" si="7">J36</f>
        <v>0.17577197149643697</v>
      </c>
      <c r="K77" s="61">
        <f t="shared" si="7"/>
        <v>0.20763723150357993</v>
      </c>
      <c r="L77" s="61">
        <f t="shared" si="7"/>
        <v>0.13913043478260878</v>
      </c>
      <c r="M77" s="61">
        <f t="shared" si="7"/>
        <v>0.12446351931330479</v>
      </c>
      <c r="N77" s="61">
        <f t="shared" si="7"/>
        <v>0.14343434343434347</v>
      </c>
      <c r="O77" s="61">
        <f t="shared" si="7"/>
        <v>0.16403162055335962</v>
      </c>
      <c r="P77" s="61">
        <f t="shared" si="7"/>
        <v>0.21755725190839703</v>
      </c>
      <c r="Q77" s="61">
        <f t="shared" si="7"/>
        <v>0</v>
      </c>
      <c r="R77" s="61">
        <f t="shared" si="7"/>
        <v>0</v>
      </c>
      <c r="S77" s="61">
        <f t="shared" si="7"/>
        <v>0</v>
      </c>
      <c r="T77" s="61">
        <f t="shared" si="7"/>
        <v>0</v>
      </c>
      <c r="U77" s="61">
        <f t="shared" si="7"/>
        <v>0</v>
      </c>
      <c r="V77" s="61">
        <f t="shared" si="7"/>
        <v>0</v>
      </c>
      <c r="W77" s="61">
        <f t="shared" si="7"/>
        <v>0</v>
      </c>
      <c r="X77" s="61">
        <f>X36</f>
        <v>0</v>
      </c>
    </row>
    <row r="102" spans="8:23">
      <c r="I102" s="49" t="str">
        <f>I76</f>
        <v>Q1 13</v>
      </c>
      <c r="J102" s="49" t="str">
        <f t="shared" ref="J102:W102" si="8">J76</f>
        <v>Q2 13</v>
      </c>
      <c r="K102" s="49" t="str">
        <f t="shared" si="8"/>
        <v>Q3 13</v>
      </c>
      <c r="L102" s="49" t="str">
        <f t="shared" si="8"/>
        <v>Q4 13</v>
      </c>
      <c r="M102" s="49" t="str">
        <f t="shared" si="8"/>
        <v>Q1 14</v>
      </c>
      <c r="N102" s="49" t="str">
        <f t="shared" si="8"/>
        <v>Q2 14</v>
      </c>
      <c r="O102" s="49" t="str">
        <f t="shared" si="8"/>
        <v>Q3 14</v>
      </c>
      <c r="P102" s="49" t="str">
        <f t="shared" si="8"/>
        <v>Q4 14</v>
      </c>
      <c r="Q102" s="49" t="str">
        <f t="shared" si="8"/>
        <v>Q1 15</v>
      </c>
      <c r="R102" s="49" t="str">
        <f t="shared" si="8"/>
        <v>Q2 15</v>
      </c>
      <c r="S102" s="49" t="str">
        <f t="shared" si="8"/>
        <v>Q3 15</v>
      </c>
      <c r="T102" s="49" t="str">
        <f t="shared" si="8"/>
        <v>Q4 15</v>
      </c>
      <c r="U102" s="49" t="str">
        <f t="shared" si="8"/>
        <v>Q1 16</v>
      </c>
      <c r="V102" s="49" t="str">
        <f t="shared" si="8"/>
        <v>Q2 16</v>
      </c>
      <c r="W102" s="49" t="str">
        <f t="shared" si="8"/>
        <v>Q3 16</v>
      </c>
    </row>
    <row r="103" spans="8:23">
      <c r="H103" s="49" t="s">
        <v>447</v>
      </c>
      <c r="I103" s="60">
        <f>'Income Statement'!AB177</f>
        <v>28.499515972894482</v>
      </c>
      <c r="J103" s="60">
        <f>'Income Statement'!AC177</f>
        <v>28.317983519146878</v>
      </c>
      <c r="K103" s="60">
        <f>'Income Statement'!AD177</f>
        <v>29.7220867869332</v>
      </c>
      <c r="L103" s="60">
        <f>'Income Statement'!AE177</f>
        <v>30.092391304347828</v>
      </c>
      <c r="M103" s="60">
        <f>'Income Statement'!AG177</f>
        <v>29.640552995391708</v>
      </c>
      <c r="N103" s="60">
        <f>'Income Statement'!AH177</f>
        <v>30.28132992327366</v>
      </c>
      <c r="O103" s="60">
        <f>'Income Statement'!AI177</f>
        <v>30.138746145940392</v>
      </c>
      <c r="P103" s="60">
        <f>'Income Statement'!AJ177</f>
        <v>29.652917505030185</v>
      </c>
      <c r="Q103" s="60">
        <f>'Income Statement'!AL177</f>
        <v>0</v>
      </c>
      <c r="R103" s="60">
        <f>'Income Statement'!AM177</f>
        <v>0</v>
      </c>
      <c r="S103" s="60">
        <f>'Income Statement'!AN177</f>
        <v>0</v>
      </c>
      <c r="T103" s="60">
        <f>'Income Statement'!AO177</f>
        <v>0</v>
      </c>
      <c r="U103" s="60">
        <f>'Income Statement'!AQ177</f>
        <v>0</v>
      </c>
      <c r="V103" s="60">
        <f>'Income Statement'!AR177</f>
        <v>0</v>
      </c>
      <c r="W103" s="60">
        <f>'Income Statement'!AS177</f>
        <v>0</v>
      </c>
    </row>
    <row r="104" spans="8:23">
      <c r="H104" s="49" t="s">
        <v>78</v>
      </c>
      <c r="I104" s="60">
        <f>'Income Statement'!AB178</f>
        <v>10.375605033881897</v>
      </c>
      <c r="J104" s="60">
        <f>'Income Statement'!AC178</f>
        <v>11.037324285021812</v>
      </c>
      <c r="K104" s="60">
        <f>'Income Statement'!AD178</f>
        <v>11.842028278888346</v>
      </c>
      <c r="L104" s="60">
        <f>'Income Statement'!AE178</f>
        <v>12.685770750988143</v>
      </c>
      <c r="M104" s="60">
        <f>'Income Statement'!AG178</f>
        <v>12.878648233486944</v>
      </c>
      <c r="N104" s="60">
        <f>'Income Statement'!AH178</f>
        <v>14.475703324808183</v>
      </c>
      <c r="O104" s="60">
        <f>'Income Statement'!AI178</f>
        <v>15.13360739979445</v>
      </c>
      <c r="P104" s="60">
        <f>'Income Statement'!AJ178</f>
        <v>16.046277665995976</v>
      </c>
      <c r="Q104" s="60">
        <f>'Income Statement'!AL178</f>
        <v>0</v>
      </c>
      <c r="R104" s="60">
        <f>'Income Statement'!AM178</f>
        <v>0</v>
      </c>
      <c r="S104" s="60">
        <f>'Income Statement'!AN178</f>
        <v>0</v>
      </c>
      <c r="T104" s="60">
        <f>'Income Statement'!AO178</f>
        <v>0</v>
      </c>
      <c r="U104" s="60">
        <f>'Income Statement'!AQ178</f>
        <v>0</v>
      </c>
      <c r="V104" s="60">
        <f>'Income Statement'!AR178</f>
        <v>0</v>
      </c>
      <c r="W104" s="60">
        <f>'Income Statement'!AS178</f>
        <v>0</v>
      </c>
    </row>
    <row r="105" spans="8:23">
      <c r="H105" s="49" t="s">
        <v>458</v>
      </c>
      <c r="I105" s="60">
        <f>'Income Statement'!AB179</f>
        <v>7.1248789932236205</v>
      </c>
      <c r="J105" s="60">
        <f>'Income Statement'!AC179</f>
        <v>6.644692195831313</v>
      </c>
      <c r="K105" s="60">
        <f>'Income Statement'!AD179</f>
        <v>6.435884934178449</v>
      </c>
      <c r="L105" s="60">
        <f>'Income Statement'!AE179</f>
        <v>6.2218379446640313</v>
      </c>
      <c r="M105" s="60">
        <f>'Income Statement'!AG179</f>
        <v>5.4807987711213517</v>
      </c>
      <c r="N105" s="60">
        <f>'Income Statement'!AH179</f>
        <v>5.2429667519181589</v>
      </c>
      <c r="O105" s="60">
        <f>'Income Statement'!AI179</f>
        <v>4.7276464542651597</v>
      </c>
      <c r="P105" s="60">
        <f>'Income Statement'!AJ179</f>
        <v>4.3008048289738428</v>
      </c>
      <c r="Q105" s="60">
        <f>'Income Statement'!AL179</f>
        <v>0</v>
      </c>
      <c r="R105" s="60">
        <f>'Income Statement'!AM179</f>
        <v>0</v>
      </c>
      <c r="S105" s="60">
        <f>'Income Statement'!AN179</f>
        <v>0</v>
      </c>
      <c r="T105" s="60">
        <f>'Income Statement'!AO179</f>
        <v>0</v>
      </c>
      <c r="U105" s="60">
        <f>'Income Statement'!AQ179</f>
        <v>0</v>
      </c>
      <c r="V105" s="60">
        <f>'Income Statement'!AR179</f>
        <v>0</v>
      </c>
      <c r="W105" s="60">
        <f>'Income Statement'!AS179</f>
        <v>0</v>
      </c>
    </row>
    <row r="106" spans="8:23">
      <c r="H106" s="49" t="s">
        <v>252</v>
      </c>
      <c r="I106" s="60">
        <f>'Income Statement'!AB180</f>
        <v>0</v>
      </c>
      <c r="J106" s="60">
        <f>'Income Statement'!AC180</f>
        <v>0</v>
      </c>
      <c r="K106" s="60">
        <f>'Income Statement'!AD180</f>
        <v>0</v>
      </c>
      <c r="L106" s="60">
        <f>'Income Statement'!AE180</f>
        <v>0</v>
      </c>
      <c r="M106" s="60">
        <f>'Income Statement'!AG180</f>
        <v>0</v>
      </c>
      <c r="N106" s="60">
        <f>'Income Statement'!AH180</f>
        <v>0</v>
      </c>
      <c r="O106" s="60">
        <f>'Income Statement'!AI180</f>
        <v>0</v>
      </c>
      <c r="P106" s="60">
        <f>'Income Statement'!AJ180</f>
        <v>0</v>
      </c>
      <c r="Q106" s="60">
        <f>'Income Statement'!AL180</f>
        <v>0</v>
      </c>
      <c r="R106" s="60">
        <f>'Income Statement'!AM180</f>
        <v>0</v>
      </c>
      <c r="S106" s="60">
        <f>'Income Statement'!AN180</f>
        <v>0</v>
      </c>
      <c r="T106" s="60">
        <f>'Income Statement'!AO180</f>
        <v>0</v>
      </c>
      <c r="U106" s="60">
        <f>'Income Statement'!AQ180</f>
        <v>0</v>
      </c>
      <c r="V106" s="60">
        <f>'Income Statement'!AR180</f>
        <v>0</v>
      </c>
      <c r="W106" s="60">
        <f>'Income Statement'!AS180</f>
        <v>0</v>
      </c>
    </row>
    <row r="130" spans="8:23">
      <c r="I130" s="49" t="str">
        <f>I102</f>
        <v>Q1 13</v>
      </c>
      <c r="J130" s="49" t="str">
        <f t="shared" ref="J130:W130" si="9">J102</f>
        <v>Q2 13</v>
      </c>
      <c r="K130" s="49" t="str">
        <f t="shared" si="9"/>
        <v>Q3 13</v>
      </c>
      <c r="L130" s="49" t="str">
        <f t="shared" si="9"/>
        <v>Q4 13</v>
      </c>
      <c r="M130" s="49" t="str">
        <f t="shared" si="9"/>
        <v>Q1 14</v>
      </c>
      <c r="N130" s="49" t="str">
        <f t="shared" si="9"/>
        <v>Q2 14</v>
      </c>
      <c r="O130" s="49" t="str">
        <f t="shared" si="9"/>
        <v>Q3 14</v>
      </c>
      <c r="P130" s="49" t="str">
        <f t="shared" si="9"/>
        <v>Q4 14</v>
      </c>
      <c r="Q130" s="49" t="str">
        <f t="shared" si="9"/>
        <v>Q1 15</v>
      </c>
      <c r="R130" s="49" t="str">
        <f t="shared" si="9"/>
        <v>Q2 15</v>
      </c>
      <c r="S130" s="49" t="str">
        <f t="shared" si="9"/>
        <v>Q3 15</v>
      </c>
      <c r="T130" s="49" t="str">
        <f t="shared" si="9"/>
        <v>Q4 15</v>
      </c>
      <c r="U130" s="49" t="str">
        <f t="shared" si="9"/>
        <v>Q1 16</v>
      </c>
      <c r="V130" s="49" t="str">
        <f t="shared" si="9"/>
        <v>Q2 16</v>
      </c>
      <c r="W130" s="49" t="str">
        <f t="shared" si="9"/>
        <v>Q3 16</v>
      </c>
    </row>
    <row r="131" spans="8:23">
      <c r="H131" s="49" t="s">
        <v>445</v>
      </c>
      <c r="I131" s="66">
        <f>'Income Statement'!AB117</f>
        <v>14136</v>
      </c>
      <c r="J131" s="66">
        <f>'Income Statement'!AC117</f>
        <v>13873</v>
      </c>
      <c r="K131" s="66">
        <f>'Income Statement'!AD117</f>
        <v>13213</v>
      </c>
      <c r="L131" s="66">
        <f>'Income Statement'!AE117</f>
        <v>12893</v>
      </c>
      <c r="M131" s="66">
        <f>'Income Statement'!AG117</f>
        <v>12602</v>
      </c>
      <c r="N131" s="66">
        <f>'Income Statement'!AH117</f>
        <v>12401</v>
      </c>
      <c r="O131" s="66">
        <f>'Income Statement'!AI117</f>
        <v>12415</v>
      </c>
      <c r="P131" s="66">
        <f>'Income Statement'!AJ117</f>
        <v>12913</v>
      </c>
      <c r="Q131" s="66">
        <f>'Income Statement'!AL117</f>
        <v>13260</v>
      </c>
      <c r="R131" s="66">
        <f>'Income Statement'!AM117</f>
        <v>13269</v>
      </c>
      <c r="S131" s="66">
        <f>'Income Statement'!AN117</f>
        <v>13110</v>
      </c>
      <c r="T131" s="66">
        <f>'Income Statement'!AO117</f>
        <v>12694</v>
      </c>
      <c r="U131" s="66">
        <f>'Income Statement'!AQ117</f>
        <v>12310</v>
      </c>
      <c r="V131" s="66">
        <f>'Income Statement'!AR117</f>
        <v>12249</v>
      </c>
      <c r="W131" s="66">
        <f>'Income Statement'!AS117</f>
        <v>12046</v>
      </c>
    </row>
    <row r="132" spans="8:23">
      <c r="J132" s="63">
        <f t="shared" ref="J132:V132" si="10">J131-I131</f>
        <v>-263</v>
      </c>
      <c r="K132" s="63">
        <f t="shared" si="10"/>
        <v>-660</v>
      </c>
      <c r="L132" s="63">
        <f t="shared" si="10"/>
        <v>-320</v>
      </c>
      <c r="M132" s="63">
        <f t="shared" si="10"/>
        <v>-291</v>
      </c>
      <c r="N132" s="63">
        <f t="shared" si="10"/>
        <v>-201</v>
      </c>
      <c r="O132" s="63">
        <f t="shared" si="10"/>
        <v>14</v>
      </c>
      <c r="P132" s="63">
        <f t="shared" si="10"/>
        <v>498</v>
      </c>
      <c r="Q132" s="63">
        <f t="shared" si="10"/>
        <v>347</v>
      </c>
      <c r="R132" s="63">
        <f t="shared" si="10"/>
        <v>9</v>
      </c>
      <c r="S132" s="63">
        <f t="shared" si="10"/>
        <v>-159</v>
      </c>
      <c r="T132" s="63">
        <f t="shared" si="10"/>
        <v>-416</v>
      </c>
      <c r="U132" s="63">
        <f t="shared" si="10"/>
        <v>-384</v>
      </c>
      <c r="V132" s="63">
        <f t="shared" si="10"/>
        <v>-61</v>
      </c>
      <c r="W132" s="63">
        <f>W131-V131</f>
        <v>-203</v>
      </c>
    </row>
    <row r="155" spans="8:18">
      <c r="H155" s="86"/>
      <c r="I155" s="86" t="str">
        <f t="shared" ref="I155:Q155" si="11">O130</f>
        <v>Q3 14</v>
      </c>
      <c r="J155" s="86" t="str">
        <f t="shared" si="11"/>
        <v>Q4 14</v>
      </c>
      <c r="K155" s="86" t="str">
        <f t="shared" si="11"/>
        <v>Q1 15</v>
      </c>
      <c r="L155" s="86" t="str">
        <f t="shared" si="11"/>
        <v>Q2 15</v>
      </c>
      <c r="M155" s="86" t="str">
        <f t="shared" si="11"/>
        <v>Q3 15</v>
      </c>
      <c r="N155" s="86" t="str">
        <f t="shared" si="11"/>
        <v>Q4 15</v>
      </c>
      <c r="O155" s="86" t="str">
        <f t="shared" si="11"/>
        <v>Q1 16</v>
      </c>
      <c r="P155" s="86" t="str">
        <f t="shared" si="11"/>
        <v>Q2 16</v>
      </c>
      <c r="Q155" s="86" t="str">
        <f t="shared" si="11"/>
        <v>Q3 16</v>
      </c>
      <c r="R155" s="86" t="s">
        <v>456</v>
      </c>
    </row>
    <row r="156" spans="8:18">
      <c r="H156" s="86" t="s">
        <v>527</v>
      </c>
      <c r="I156" s="86">
        <v>2</v>
      </c>
      <c r="J156" s="86">
        <v>3</v>
      </c>
      <c r="K156" s="86">
        <v>4</v>
      </c>
      <c r="L156" s="86">
        <v>4</v>
      </c>
      <c r="M156" s="86">
        <v>4</v>
      </c>
      <c r="N156" s="86">
        <v>4</v>
      </c>
      <c r="O156" s="86">
        <v>4</v>
      </c>
      <c r="P156" s="86">
        <v>4</v>
      </c>
      <c r="Q156" s="86">
        <v>4</v>
      </c>
      <c r="R156" s="86"/>
    </row>
    <row r="157" spans="8:18">
      <c r="H157" s="86" t="s">
        <v>528</v>
      </c>
      <c r="I157" s="86">
        <v>22</v>
      </c>
      <c r="J157" s="86">
        <v>25</v>
      </c>
      <c r="K157" s="86">
        <v>27</v>
      </c>
      <c r="L157" s="86">
        <v>33</v>
      </c>
      <c r="M157" s="86">
        <v>34</v>
      </c>
      <c r="N157" s="86">
        <v>35</v>
      </c>
      <c r="O157" s="86">
        <v>36</v>
      </c>
      <c r="P157" s="86">
        <v>39</v>
      </c>
      <c r="Q157" s="86">
        <v>45</v>
      </c>
      <c r="R157" s="86"/>
    </row>
    <row r="158" spans="8:18">
      <c r="H158" s="86" t="s">
        <v>529</v>
      </c>
      <c r="I158" s="86">
        <f t="shared" ref="I158:P158" si="12">I159-I157-I156</f>
        <v>3</v>
      </c>
      <c r="J158" s="86">
        <f t="shared" si="12"/>
        <v>4</v>
      </c>
      <c r="K158" s="86">
        <f t="shared" si="12"/>
        <v>5</v>
      </c>
      <c r="L158" s="86">
        <f t="shared" si="12"/>
        <v>5</v>
      </c>
      <c r="M158" s="86">
        <f t="shared" si="12"/>
        <v>7</v>
      </c>
      <c r="N158" s="86">
        <f t="shared" si="12"/>
        <v>11</v>
      </c>
      <c r="O158" s="86">
        <f t="shared" si="12"/>
        <v>12</v>
      </c>
      <c r="P158" s="86">
        <f t="shared" si="12"/>
        <v>21</v>
      </c>
      <c r="Q158" s="86">
        <v>34</v>
      </c>
      <c r="R158" s="86"/>
    </row>
    <row r="159" spans="8:18">
      <c r="H159" s="86" t="s">
        <v>543</v>
      </c>
      <c r="I159" s="86">
        <v>27</v>
      </c>
      <c r="J159" s="86">
        <v>32</v>
      </c>
      <c r="K159" s="86">
        <v>36</v>
      </c>
      <c r="L159" s="86">
        <v>42</v>
      </c>
      <c r="M159" s="86">
        <v>45</v>
      </c>
      <c r="N159" s="86">
        <v>50</v>
      </c>
      <c r="O159" s="86">
        <v>52</v>
      </c>
      <c r="P159" s="86">
        <v>64</v>
      </c>
      <c r="Q159" s="86">
        <f>SUM(Q156:Q158)</f>
        <v>83</v>
      </c>
      <c r="R159" s="86">
        <v>110</v>
      </c>
    </row>
    <row r="160" spans="8:18">
      <c r="H160" s="86" t="s">
        <v>544</v>
      </c>
      <c r="I160" s="86">
        <f>'Income Statement'!AI170</f>
        <v>50</v>
      </c>
      <c r="J160" s="86">
        <f>'Income Statement'!AJ170</f>
        <v>50</v>
      </c>
      <c r="K160" s="86">
        <f>'Income Statement'!AL170</f>
        <v>48</v>
      </c>
      <c r="L160" s="86">
        <f>'Income Statement'!AM170</f>
        <v>47</v>
      </c>
      <c r="M160" s="86">
        <f>'Income Statement'!AN170</f>
        <v>49</v>
      </c>
      <c r="N160" s="86">
        <f>'Income Statement'!AO170</f>
        <v>50</v>
      </c>
      <c r="O160" s="86">
        <f>'Income Statement'!AQ170</f>
        <v>50</v>
      </c>
      <c r="P160" s="86">
        <f>'Income Statement'!AR170</f>
        <v>49</v>
      </c>
      <c r="Q160" s="86">
        <f>'Income Statement'!AS170</f>
        <v>50</v>
      </c>
      <c r="R160" s="86">
        <f>'Income Statement'!AT170</f>
        <v>52</v>
      </c>
    </row>
    <row r="165" spans="8:18">
      <c r="H165" s="49" t="s">
        <v>533</v>
      </c>
      <c r="I165" s="49" t="s">
        <v>436</v>
      </c>
      <c r="J165" s="49" t="s">
        <v>437</v>
      </c>
      <c r="K165" s="49" t="s">
        <v>438</v>
      </c>
      <c r="L165" s="49" t="s">
        <v>439</v>
      </c>
      <c r="M165" s="49" t="s">
        <v>440</v>
      </c>
      <c r="N165" s="49" t="s">
        <v>441</v>
      </c>
      <c r="O165" s="49" t="s">
        <v>442</v>
      </c>
      <c r="P165" s="49" t="s">
        <v>450</v>
      </c>
      <c r="Q165" s="49" t="s">
        <v>456</v>
      </c>
    </row>
    <row r="166" spans="8:18">
      <c r="H166" s="49" t="s">
        <v>534</v>
      </c>
      <c r="I166" s="85">
        <v>0.88500000000000001</v>
      </c>
      <c r="J166" s="85">
        <v>1.0069999999999999</v>
      </c>
      <c r="K166" s="85">
        <v>1.1910000000000001</v>
      </c>
      <c r="L166" s="85">
        <v>1.292</v>
      </c>
      <c r="M166" s="85">
        <v>1.44</v>
      </c>
      <c r="N166" s="85">
        <v>1.55</v>
      </c>
      <c r="O166" s="85">
        <v>2</v>
      </c>
      <c r="P166" s="85">
        <v>2.6</v>
      </c>
      <c r="Q166" s="85">
        <v>3.27</v>
      </c>
    </row>
    <row r="167" spans="8:18">
      <c r="H167" s="49" t="s">
        <v>47</v>
      </c>
      <c r="I167" s="49">
        <v>39</v>
      </c>
      <c r="J167" s="49">
        <v>38</v>
      </c>
      <c r="K167" s="49">
        <v>36</v>
      </c>
      <c r="L167" s="49">
        <v>39</v>
      </c>
      <c r="M167" s="85">
        <v>39</v>
      </c>
      <c r="N167" s="85">
        <v>39</v>
      </c>
      <c r="O167" s="85">
        <v>38</v>
      </c>
      <c r="P167" s="85">
        <v>41</v>
      </c>
      <c r="Q167" s="85">
        <v>42</v>
      </c>
    </row>
    <row r="168" spans="8:18">
      <c r="M168" s="85"/>
      <c r="N168" s="85"/>
      <c r="O168" s="85"/>
      <c r="P168" s="85"/>
      <c r="Q168" s="85"/>
    </row>
    <row r="169" spans="8:18">
      <c r="H169" s="49" t="s">
        <v>546</v>
      </c>
      <c r="I169" s="87"/>
      <c r="J169" s="87"/>
      <c r="K169" s="87"/>
      <c r="L169" s="87"/>
      <c r="M169" s="87">
        <f>'Income Statement'!AO203</f>
        <v>0</v>
      </c>
      <c r="N169" s="87">
        <f>'Income Statement'!AQ203</f>
        <v>1.63</v>
      </c>
      <c r="O169" s="87">
        <f>'Income Statement'!AR203</f>
        <v>2.21</v>
      </c>
      <c r="P169" s="87">
        <f>'Income Statement'!AS203</f>
        <v>2.84</v>
      </c>
      <c r="Q169" s="87">
        <f>'Income Statement'!AT203</f>
        <v>3.66</v>
      </c>
      <c r="R169" s="87">
        <f>'Income Statement'!AV203</f>
        <v>4.29</v>
      </c>
    </row>
    <row r="170" spans="8:18">
      <c r="H170" s="49" t="s">
        <v>47</v>
      </c>
      <c r="M170" s="87">
        <f>'Income Statement'!AO170</f>
        <v>50</v>
      </c>
      <c r="N170" s="87">
        <f>'Income Statement'!AQ170</f>
        <v>50</v>
      </c>
      <c r="O170" s="87">
        <f>'Income Statement'!AR170</f>
        <v>49</v>
      </c>
      <c r="P170" s="87">
        <f>'Income Statement'!AS170</f>
        <v>50</v>
      </c>
      <c r="Q170" s="87">
        <f>'Income Statement'!AT170</f>
        <v>52</v>
      </c>
      <c r="R170" s="87">
        <f>'Income Statement'!AV170</f>
        <v>52</v>
      </c>
    </row>
    <row r="171" spans="8:18">
      <c r="M171" s="49" t="s">
        <v>440</v>
      </c>
      <c r="N171" s="49" t="s">
        <v>441</v>
      </c>
      <c r="O171" s="49" t="s">
        <v>442</v>
      </c>
      <c r="P171" s="49" t="s">
        <v>450</v>
      </c>
      <c r="Q171" s="49" t="s">
        <v>456</v>
      </c>
      <c r="R171" s="49" t="s">
        <v>545</v>
      </c>
    </row>
    <row r="172" spans="8:18">
      <c r="H172" s="49" t="s">
        <v>546</v>
      </c>
      <c r="M172" s="49">
        <v>100</v>
      </c>
      <c r="N172" s="49" t="e">
        <f t="shared" ref="N172:R173" si="13">(N169/M169)*M172</f>
        <v>#DIV/0!</v>
      </c>
      <c r="O172" s="49" t="e">
        <f t="shared" si="13"/>
        <v>#DIV/0!</v>
      </c>
      <c r="P172" s="49" t="e">
        <f t="shared" si="13"/>
        <v>#DIV/0!</v>
      </c>
      <c r="Q172" s="49" t="e">
        <f t="shared" si="13"/>
        <v>#DIV/0!</v>
      </c>
      <c r="R172" s="49" t="e">
        <f t="shared" si="13"/>
        <v>#DIV/0!</v>
      </c>
    </row>
    <row r="173" spans="8:18">
      <c r="H173" s="49" t="s">
        <v>47</v>
      </c>
      <c r="M173" s="49">
        <v>100</v>
      </c>
      <c r="N173" s="49">
        <f t="shared" si="13"/>
        <v>100</v>
      </c>
      <c r="O173" s="49">
        <f t="shared" si="13"/>
        <v>98</v>
      </c>
      <c r="P173" s="49">
        <f t="shared" si="13"/>
        <v>100</v>
      </c>
      <c r="Q173" s="49">
        <f t="shared" si="13"/>
        <v>104</v>
      </c>
      <c r="R173" s="49">
        <f t="shared" si="13"/>
        <v>104</v>
      </c>
    </row>
    <row r="177" spans="8:23">
      <c r="I177" s="49">
        <f>'Income Statement'!AG31-'Income Statement'!AG391</f>
        <v>2037</v>
      </c>
      <c r="J177" s="49">
        <f>'Income Statement'!AH31-'Income Statement'!AH391</f>
        <v>2046</v>
      </c>
      <c r="K177" s="49">
        <f>'Income Statement'!AI31-'Income Statement'!AI391</f>
        <v>2041</v>
      </c>
      <c r="L177" s="49">
        <f>'Income Statement'!AJ31-'Income Statement'!AJ391</f>
        <v>2090</v>
      </c>
      <c r="M177" s="49">
        <f>'Income Statement'!AL31-'Income Statement'!AL391</f>
        <v>2122</v>
      </c>
      <c r="N177" s="49">
        <f>'Income Statement'!AM31-'Income Statement'!AM391</f>
        <v>2089</v>
      </c>
      <c r="O177" s="49">
        <f>'Income Statement'!AN31-'Income Statement'!AN391</f>
        <v>2154</v>
      </c>
      <c r="P177" s="49">
        <f>'Income Statement'!AO31-'Income Statement'!AO391</f>
        <v>2155</v>
      </c>
      <c r="Q177" s="49">
        <f>'Income Statement'!AQ31-'Income Statement'!AQ391</f>
        <v>2122</v>
      </c>
      <c r="R177" s="49">
        <f>'Income Statement'!AR31-'Income Statement'!AR391</f>
        <v>2055</v>
      </c>
      <c r="S177" s="49">
        <f>'Income Statement'!AS31-'Income Statement'!AS391</f>
        <v>2113</v>
      </c>
      <c r="T177" s="49">
        <f>'Income Statement'!AT31-'Income Statement'!AT391</f>
        <v>2165</v>
      </c>
      <c r="U177" s="49">
        <f>'Income Statement'!AV31-'Income Statement'!AV391</f>
        <v>2303</v>
      </c>
      <c r="W177" s="49">
        <f>'Income Statement'!AU31-'Income Statement'!AU391</f>
        <v>8455</v>
      </c>
    </row>
    <row r="179" spans="8:23">
      <c r="I179" s="49" t="s">
        <v>433</v>
      </c>
      <c r="J179" s="49" t="s">
        <v>434</v>
      </c>
      <c r="K179" s="49" t="s">
        <v>435</v>
      </c>
      <c r="L179" s="49" t="s">
        <v>436</v>
      </c>
      <c r="M179" s="49" t="s">
        <v>437</v>
      </c>
      <c r="N179" s="49" t="s">
        <v>438</v>
      </c>
      <c r="O179" s="49" t="s">
        <v>439</v>
      </c>
      <c r="P179" s="49" t="s">
        <v>440</v>
      </c>
      <c r="Q179" s="49" t="s">
        <v>441</v>
      </c>
      <c r="R179" s="49" t="s">
        <v>442</v>
      </c>
      <c r="S179" s="49" t="s">
        <v>450</v>
      </c>
      <c r="T179" s="49" t="s">
        <v>456</v>
      </c>
      <c r="U179" s="49" t="s">
        <v>545</v>
      </c>
    </row>
    <row r="180" spans="8:23">
      <c r="H180" s="49" t="s">
        <v>535</v>
      </c>
      <c r="I180" s="65">
        <f>'Income Statement'!AG332</f>
        <v>707.74600000000009</v>
      </c>
      <c r="J180" s="65">
        <f>'Income Statement'!AH332</f>
        <v>651.66600000000005</v>
      </c>
      <c r="K180" s="65">
        <f>'Income Statement'!AI332</f>
        <v>652.54</v>
      </c>
      <c r="L180" s="65">
        <f>'Income Statement'!AJ332</f>
        <v>696.34400000000005</v>
      </c>
      <c r="M180" s="65">
        <f>'Income Statement'!AL332</f>
        <v>713.46800000000007</v>
      </c>
      <c r="N180" s="65">
        <f>'Income Statement'!AM332</f>
        <v>649.88</v>
      </c>
      <c r="O180" s="65">
        <f>'Income Statement'!AN332</f>
        <v>689</v>
      </c>
      <c r="P180" s="65">
        <f>'Income Statement'!AO332</f>
        <v>676</v>
      </c>
      <c r="Q180" s="65">
        <f>'Income Statement'!AQ332</f>
        <v>182</v>
      </c>
      <c r="R180" s="65">
        <f>'Income Statement'!AR332</f>
        <v>209</v>
      </c>
      <c r="S180" s="65">
        <f>'Income Statement'!AS332</f>
        <v>195</v>
      </c>
      <c r="T180" s="65">
        <f>'Income Statement'!AT332</f>
        <v>206</v>
      </c>
      <c r="U180" s="65">
        <f>'Income Statement'!AV332</f>
        <v>203</v>
      </c>
    </row>
    <row r="181" spans="8:23">
      <c r="H181" s="49" t="s">
        <v>536</v>
      </c>
      <c r="I181" s="65">
        <f>'Income Statement'!AG345</f>
        <v>71</v>
      </c>
      <c r="J181" s="65">
        <f>'Income Statement'!AH345</f>
        <v>100</v>
      </c>
      <c r="K181" s="65">
        <f>'Income Statement'!AI345</f>
        <v>107</v>
      </c>
      <c r="L181" s="65">
        <f>'Income Statement'!AJ345</f>
        <v>122</v>
      </c>
      <c r="M181" s="65">
        <f>'Income Statement'!AL345</f>
        <v>103</v>
      </c>
      <c r="N181" s="65">
        <f>'Income Statement'!AM345</f>
        <v>110</v>
      </c>
      <c r="O181" s="65">
        <f>'Income Statement'!AN345</f>
        <v>94</v>
      </c>
      <c r="P181" s="65">
        <f>'Income Statement'!AO345</f>
        <v>98</v>
      </c>
      <c r="Q181" s="65">
        <f>'Income Statement'!AQ345</f>
        <v>36</v>
      </c>
      <c r="R181" s="65">
        <f>'Income Statement'!AR345</f>
        <v>63</v>
      </c>
      <c r="S181" s="65">
        <f>'Income Statement'!AS345</f>
        <v>53</v>
      </c>
      <c r="T181" s="65">
        <f>'Income Statement'!AT345</f>
        <v>45</v>
      </c>
      <c r="U181" s="65">
        <f>'Income Statement'!AV345</f>
        <v>39</v>
      </c>
    </row>
    <row r="182" spans="8:23">
      <c r="H182" s="49" t="s">
        <v>537</v>
      </c>
      <c r="I182" s="65">
        <f>'Income Statement'!AG340</f>
        <v>117</v>
      </c>
      <c r="J182" s="65">
        <f>'Income Statement'!AH340</f>
        <v>115</v>
      </c>
      <c r="K182" s="65">
        <f>'Income Statement'!AI340</f>
        <v>66</v>
      </c>
      <c r="L182" s="65">
        <f>'Income Statement'!AJ340</f>
        <v>116</v>
      </c>
      <c r="M182" s="65">
        <f>'Income Statement'!AL340</f>
        <v>124</v>
      </c>
      <c r="N182" s="65">
        <f>'Income Statement'!AM340</f>
        <v>115</v>
      </c>
      <c r="O182" s="65">
        <f>'Income Statement'!AN340</f>
        <v>124</v>
      </c>
      <c r="P182" s="65">
        <f>'Income Statement'!AO340</f>
        <v>117</v>
      </c>
      <c r="Q182" s="65">
        <f>'Income Statement'!AQ340</f>
        <v>124</v>
      </c>
      <c r="R182" s="65">
        <f>'Income Statement'!AR340</f>
        <v>135</v>
      </c>
      <c r="S182" s="65">
        <f>'Income Statement'!AS340</f>
        <v>136</v>
      </c>
      <c r="T182" s="65">
        <f>'Income Statement'!AT340</f>
        <v>132</v>
      </c>
      <c r="U182" s="65">
        <f>'Income Statement'!AV340</f>
        <v>143</v>
      </c>
    </row>
    <row r="183" spans="8:23">
      <c r="H183" s="49" t="s">
        <v>538</v>
      </c>
      <c r="I183" s="65">
        <f>'Income Statement'!AG353</f>
        <v>139</v>
      </c>
      <c r="J183" s="65">
        <f>'Income Statement'!AH353</f>
        <v>120</v>
      </c>
      <c r="K183" s="65">
        <f>'Income Statement'!AI353</f>
        <v>146</v>
      </c>
      <c r="L183" s="65">
        <f>'Income Statement'!AJ353</f>
        <v>137</v>
      </c>
      <c r="M183" s="65">
        <f>'Income Statement'!AL353</f>
        <v>122</v>
      </c>
      <c r="N183" s="65">
        <f>'Income Statement'!AM353</f>
        <v>115</v>
      </c>
      <c r="O183" s="65">
        <f>'Income Statement'!AN353</f>
        <v>141</v>
      </c>
      <c r="P183" s="65">
        <f>'Income Statement'!AO353</f>
        <v>156</v>
      </c>
      <c r="Q183" s="65">
        <f>'Income Statement'!AQ353</f>
        <v>83</v>
      </c>
      <c r="R183" s="65">
        <f>'Income Statement'!AR353</f>
        <v>113</v>
      </c>
      <c r="S183" s="65">
        <f>'Income Statement'!AS353</f>
        <v>86</v>
      </c>
      <c r="T183" s="65">
        <f>'Income Statement'!AT353</f>
        <v>104</v>
      </c>
      <c r="U183" s="65">
        <f>'Income Statement'!AV353</f>
        <v>97</v>
      </c>
    </row>
    <row r="184" spans="8:23">
      <c r="H184" s="49" t="s">
        <v>539</v>
      </c>
      <c r="I184" s="65">
        <f>'Income Statement'!AG361</f>
        <v>11.3</v>
      </c>
      <c r="J184" s="65">
        <f>'Income Statement'!AH361</f>
        <v>9.3000000000000007</v>
      </c>
      <c r="K184" s="65">
        <f>'Income Statement'!AI361</f>
        <v>14.5</v>
      </c>
      <c r="L184" s="65">
        <f>'Income Statement'!AJ361</f>
        <v>17.7</v>
      </c>
      <c r="M184" s="65">
        <f>'Income Statement'!AL361</f>
        <v>2.5</v>
      </c>
      <c r="N184" s="65">
        <f>'Income Statement'!AM361</f>
        <v>10.1</v>
      </c>
      <c r="O184" s="65">
        <f>'Income Statement'!AN361</f>
        <v>7</v>
      </c>
      <c r="P184" s="65">
        <f>'Income Statement'!AO361</f>
        <v>8</v>
      </c>
      <c r="Q184" s="65">
        <f>'Income Statement'!AQ361</f>
        <v>-2</v>
      </c>
      <c r="R184" s="65">
        <f>'Income Statement'!AR361</f>
        <v>2</v>
      </c>
      <c r="S184" s="65">
        <f>'Income Statement'!AS361</f>
        <v>-35</v>
      </c>
      <c r="T184" s="65">
        <f>'Income Statement'!AT361</f>
        <v>-25</v>
      </c>
      <c r="U184" s="65">
        <f>'Income Statement'!AV361</f>
        <v>-10</v>
      </c>
    </row>
    <row r="188" spans="8:23">
      <c r="I188" s="49" t="s">
        <v>433</v>
      </c>
      <c r="J188" s="49" t="s">
        <v>434</v>
      </c>
      <c r="K188" s="49" t="s">
        <v>435</v>
      </c>
      <c r="L188" s="49" t="s">
        <v>436</v>
      </c>
      <c r="M188" s="49" t="s">
        <v>437</v>
      </c>
      <c r="N188" s="49" t="s">
        <v>438</v>
      </c>
      <c r="O188" s="49" t="s">
        <v>439</v>
      </c>
      <c r="P188" s="49" t="s">
        <v>440</v>
      </c>
      <c r="Q188" s="49" t="s">
        <v>441</v>
      </c>
      <c r="R188" s="49" t="s">
        <v>442</v>
      </c>
      <c r="S188" s="49" t="s">
        <v>450</v>
      </c>
      <c r="T188" s="49" t="s">
        <v>456</v>
      </c>
      <c r="U188" s="49" t="str">
        <f>U179</f>
        <v>Q1 17</v>
      </c>
    </row>
    <row r="189" spans="8:23">
      <c r="H189" s="49" t="s">
        <v>535</v>
      </c>
      <c r="I189" s="64">
        <f>I180/I$177</f>
        <v>0.34744526264113895</v>
      </c>
      <c r="J189" s="64">
        <f>J180/J$177</f>
        <v>0.31850733137829912</v>
      </c>
      <c r="K189" s="64">
        <f>K180/K$177</f>
        <v>0.31971582557569816</v>
      </c>
      <c r="L189" s="64">
        <f t="shared" ref="L189:T189" si="14">L180/L$177</f>
        <v>0.33317894736842107</v>
      </c>
      <c r="M189" s="64">
        <f t="shared" si="14"/>
        <v>0.33622431668237518</v>
      </c>
      <c r="N189" s="64">
        <f t="shared" si="14"/>
        <v>0.31109621828626138</v>
      </c>
      <c r="O189" s="64">
        <f t="shared" si="14"/>
        <v>0.31987000928505105</v>
      </c>
      <c r="P189" s="64">
        <f t="shared" si="14"/>
        <v>0.31368909512761023</v>
      </c>
      <c r="Q189" s="64">
        <f t="shared" si="14"/>
        <v>8.5768143261074459E-2</v>
      </c>
      <c r="R189" s="64">
        <f t="shared" si="14"/>
        <v>0.10170316301703163</v>
      </c>
      <c r="S189" s="64">
        <f t="shared" si="14"/>
        <v>9.2285849503076195E-2</v>
      </c>
      <c r="T189" s="64">
        <f t="shared" si="14"/>
        <v>9.5150115473441113E-2</v>
      </c>
      <c r="U189" s="64">
        <f>U180/U$177</f>
        <v>8.8145896656534953E-2</v>
      </c>
    </row>
    <row r="190" spans="8:23">
      <c r="H190" s="49" t="s">
        <v>536</v>
      </c>
      <c r="I190" s="64">
        <f t="shared" ref="I190:K193" si="15">I181/I$177</f>
        <v>3.4855179185076093E-2</v>
      </c>
      <c r="J190" s="64">
        <f t="shared" si="15"/>
        <v>4.8875855327468229E-2</v>
      </c>
      <c r="K190" s="64">
        <f t="shared" si="15"/>
        <v>5.2425281724644779E-2</v>
      </c>
      <c r="L190" s="64">
        <f t="shared" ref="L190:T190" si="16">L181/L$177</f>
        <v>5.8373205741626792E-2</v>
      </c>
      <c r="M190" s="64">
        <f t="shared" si="16"/>
        <v>4.8539114043355328E-2</v>
      </c>
      <c r="N190" s="64">
        <f t="shared" si="16"/>
        <v>5.2656773575873624E-2</v>
      </c>
      <c r="O190" s="64">
        <f t="shared" si="16"/>
        <v>4.36397400185701E-2</v>
      </c>
      <c r="P190" s="64">
        <f t="shared" si="16"/>
        <v>4.5475638051044084E-2</v>
      </c>
      <c r="Q190" s="64">
        <f t="shared" si="16"/>
        <v>1.6965127238454288E-2</v>
      </c>
      <c r="R190" s="64">
        <f t="shared" si="16"/>
        <v>3.0656934306569343E-2</v>
      </c>
      <c r="S190" s="64">
        <f t="shared" si="16"/>
        <v>2.5082820634169428E-2</v>
      </c>
      <c r="T190" s="64">
        <f t="shared" si="16"/>
        <v>2.0785219399538105E-2</v>
      </c>
      <c r="U190" s="64">
        <f>U181/U$177</f>
        <v>1.6934433347807209E-2</v>
      </c>
    </row>
    <row r="191" spans="8:23">
      <c r="H191" s="49" t="s">
        <v>537</v>
      </c>
      <c r="I191" s="64">
        <f t="shared" si="15"/>
        <v>5.7437407952871868E-2</v>
      </c>
      <c r="J191" s="64">
        <f t="shared" si="15"/>
        <v>5.6207233626588464E-2</v>
      </c>
      <c r="K191" s="64">
        <f t="shared" si="15"/>
        <v>3.2337089661930427E-2</v>
      </c>
      <c r="L191" s="64">
        <f t="shared" ref="L191:T191" si="17">L182/L$177</f>
        <v>5.5502392344497609E-2</v>
      </c>
      <c r="M191" s="64">
        <f t="shared" si="17"/>
        <v>5.8435438265786996E-2</v>
      </c>
      <c r="N191" s="64">
        <f t="shared" si="17"/>
        <v>5.5050263283867883E-2</v>
      </c>
      <c r="O191" s="64">
        <f t="shared" si="17"/>
        <v>5.7567316620241414E-2</v>
      </c>
      <c r="P191" s="64">
        <f t="shared" si="17"/>
        <v>5.4292343387471E-2</v>
      </c>
      <c r="Q191" s="64">
        <f t="shared" si="17"/>
        <v>5.8435438265786996E-2</v>
      </c>
      <c r="R191" s="64">
        <f t="shared" si="17"/>
        <v>6.569343065693431E-2</v>
      </c>
      <c r="S191" s="64">
        <f t="shared" si="17"/>
        <v>6.4363464268812121E-2</v>
      </c>
      <c r="T191" s="64">
        <f t="shared" si="17"/>
        <v>6.0969976905311779E-2</v>
      </c>
      <c r="U191" s="64">
        <f>U182/U$177</f>
        <v>6.2092922275293096E-2</v>
      </c>
    </row>
    <row r="192" spans="8:23">
      <c r="H192" s="49" t="s">
        <v>538</v>
      </c>
      <c r="I192" s="64">
        <f t="shared" si="15"/>
        <v>6.823760432007854E-2</v>
      </c>
      <c r="J192" s="64">
        <f t="shared" si="15"/>
        <v>5.865102639296188E-2</v>
      </c>
      <c r="K192" s="64">
        <f t="shared" si="15"/>
        <v>7.1533561979421859E-2</v>
      </c>
      <c r="L192" s="64">
        <f t="shared" ref="L192:T192" si="18">L183/L$177</f>
        <v>6.5550239234449761E-2</v>
      </c>
      <c r="M192" s="64">
        <f t="shared" si="18"/>
        <v>5.7492931196983975E-2</v>
      </c>
      <c r="N192" s="64">
        <f t="shared" si="18"/>
        <v>5.5050263283867883E-2</v>
      </c>
      <c r="O192" s="64">
        <f t="shared" si="18"/>
        <v>6.545961002785515E-2</v>
      </c>
      <c r="P192" s="64">
        <f t="shared" si="18"/>
        <v>7.2389791183294666E-2</v>
      </c>
      <c r="Q192" s="64">
        <f t="shared" si="18"/>
        <v>3.9114043355325166E-2</v>
      </c>
      <c r="R192" s="64">
        <f t="shared" si="18"/>
        <v>5.4987834549878344E-2</v>
      </c>
      <c r="S192" s="64">
        <f t="shared" si="18"/>
        <v>4.0700425934690011E-2</v>
      </c>
      <c r="T192" s="64">
        <f t="shared" si="18"/>
        <v>4.8036951501154737E-2</v>
      </c>
      <c r="U192" s="64">
        <f>U183/U$177</f>
        <v>4.211897524967434E-2</v>
      </c>
    </row>
    <row r="193" spans="8:21">
      <c r="H193" s="49" t="s">
        <v>539</v>
      </c>
      <c r="I193" s="64">
        <f t="shared" si="15"/>
        <v>5.5473735886107023E-3</v>
      </c>
      <c r="J193" s="64">
        <f t="shared" si="15"/>
        <v>4.5454545454545461E-3</v>
      </c>
      <c r="K193" s="64">
        <f t="shared" si="15"/>
        <v>7.104360607545321E-3</v>
      </c>
      <c r="L193" s="64">
        <f t="shared" ref="L193:T193" si="19">L184/L$177</f>
        <v>8.4688995215310998E-3</v>
      </c>
      <c r="M193" s="64">
        <f t="shared" si="19"/>
        <v>1.1781338360037699E-3</v>
      </c>
      <c r="N193" s="64">
        <f t="shared" si="19"/>
        <v>4.8348492101483965E-3</v>
      </c>
      <c r="O193" s="64">
        <f t="shared" si="19"/>
        <v>3.2497678737233053E-3</v>
      </c>
      <c r="P193" s="64">
        <f t="shared" si="19"/>
        <v>3.7122969837587007E-3</v>
      </c>
      <c r="Q193" s="64">
        <f t="shared" si="19"/>
        <v>-9.42507068803016E-4</v>
      </c>
      <c r="R193" s="64">
        <f t="shared" si="19"/>
        <v>9.7323600973236014E-4</v>
      </c>
      <c r="S193" s="64">
        <f t="shared" si="19"/>
        <v>-1.656412683388547E-2</v>
      </c>
      <c r="T193" s="64">
        <f t="shared" si="19"/>
        <v>-1.1547344110854504E-2</v>
      </c>
      <c r="U193" s="64">
        <f>U184/U$177</f>
        <v>-4.3421623968736434E-3</v>
      </c>
    </row>
    <row r="212" spans="8:17">
      <c r="I212" s="49">
        <v>2010</v>
      </c>
      <c r="J212" s="49">
        <f>I212+1</f>
        <v>2011</v>
      </c>
      <c r="K212" s="49">
        <f t="shared" ref="K212:Q212" si="20">J212+1</f>
        <v>2012</v>
      </c>
      <c r="L212" s="49">
        <f t="shared" si="20"/>
        <v>2013</v>
      </c>
      <c r="M212" s="49">
        <f t="shared" si="20"/>
        <v>2014</v>
      </c>
      <c r="N212" s="49">
        <f t="shared" si="20"/>
        <v>2015</v>
      </c>
      <c r="O212" s="49">
        <f t="shared" si="20"/>
        <v>2016</v>
      </c>
      <c r="P212" s="49">
        <f t="shared" si="20"/>
        <v>2017</v>
      </c>
      <c r="Q212" s="49">
        <f t="shared" si="20"/>
        <v>2018</v>
      </c>
    </row>
    <row r="213" spans="8:17">
      <c r="H213" s="49" t="s">
        <v>549</v>
      </c>
      <c r="I213" s="88">
        <f>'Income Statement'!Q501</f>
        <v>0.4</v>
      </c>
      <c r="J213" s="88">
        <f>'Income Statement'!V501</f>
        <v>0.4</v>
      </c>
      <c r="K213" s="88">
        <f>'Income Statement'!AA501</f>
        <v>0.4</v>
      </c>
      <c r="L213" s="88">
        <f>'Income Statement'!AF501</f>
        <v>0.4</v>
      </c>
      <c r="M213" s="88">
        <f>'Income Statement'!AK501</f>
        <v>0.4</v>
      </c>
      <c r="N213" s="88">
        <f>'Income Statement'!AP501</f>
        <v>0.2</v>
      </c>
      <c r="O213" s="88">
        <f>'Income Statement'!AU501</f>
        <v>0.2</v>
      </c>
      <c r="P213" s="88">
        <f>'Income Statement'!AZ501</f>
        <v>0.2</v>
      </c>
      <c r="Q213" s="88">
        <f>'Income Statement'!BE501</f>
        <v>0.2</v>
      </c>
    </row>
    <row r="214" spans="8:17">
      <c r="H214" s="49" t="s">
        <v>550</v>
      </c>
      <c r="I214" s="85">
        <f>'Balance Sheet and Cflow'!E69</f>
        <v>1.0319293478260869</v>
      </c>
      <c r="J214" s="85">
        <f>'Balance Sheet and Cflow'!F69</f>
        <v>1.2292561609767125</v>
      </c>
      <c r="K214" s="85">
        <f>'Balance Sheet and Cflow'!G69</f>
        <v>1.384603745646416</v>
      </c>
      <c r="L214" s="85">
        <f>'Balance Sheet and Cflow'!H69</f>
        <v>1.4849624060150375</v>
      </c>
      <c r="M214" s="85">
        <f>'Balance Sheet and Cflow'!I69</f>
        <v>1.8158652595322669</v>
      </c>
      <c r="N214" s="85">
        <f>'Balance Sheet and Cflow'!J69</f>
        <v>1.9390958260132451</v>
      </c>
      <c r="O214" s="85">
        <f>'Balance Sheet and Cflow'!K69</f>
        <v>2.0395797703097784</v>
      </c>
      <c r="P214" s="85">
        <f>'Balance Sheet and Cflow'!L69</f>
        <v>1.6791866807949041</v>
      </c>
      <c r="Q214" s="85">
        <f>'Balance Sheet and Cflow'!M69</f>
        <v>1.842297456657461</v>
      </c>
    </row>
    <row r="226" spans="8:17">
      <c r="I226" s="49">
        <v>2011</v>
      </c>
      <c r="J226" s="49">
        <f>I226+1</f>
        <v>2012</v>
      </c>
      <c r="K226" s="49">
        <f t="shared" ref="K226:Q226" si="21">J226+1</f>
        <v>2013</v>
      </c>
      <c r="L226" s="49">
        <f t="shared" si="21"/>
        <v>2014</v>
      </c>
      <c r="M226" s="49">
        <f t="shared" si="21"/>
        <v>2015</v>
      </c>
      <c r="N226" s="49">
        <f t="shared" si="21"/>
        <v>2016</v>
      </c>
      <c r="O226" s="49">
        <f t="shared" si="21"/>
        <v>2017</v>
      </c>
      <c r="P226" s="49">
        <f t="shared" si="21"/>
        <v>2018</v>
      </c>
      <c r="Q226" s="49">
        <f t="shared" si="21"/>
        <v>2019</v>
      </c>
    </row>
    <row r="227" spans="8:17">
      <c r="H227" s="49" t="s">
        <v>551</v>
      </c>
      <c r="I227" s="65">
        <f>'Balance Sheet and Cflow'!F252+'Balance Sheet and Cflow'!F253+'Balance Sheet and Cflow'!F254</f>
        <v>2733</v>
      </c>
      <c r="J227" s="65">
        <f>'Balance Sheet and Cflow'!G252+'Balance Sheet and Cflow'!G253+'Balance Sheet and Cflow'!G254</f>
        <v>2365</v>
      </c>
      <c r="K227" s="65">
        <f>'Balance Sheet and Cflow'!H252+'Balance Sheet and Cflow'!H253+'Balance Sheet and Cflow'!H254</f>
        <v>2654</v>
      </c>
      <c r="L227" s="65">
        <f>'Balance Sheet and Cflow'!I252+'Balance Sheet and Cflow'!I253+'Balance Sheet and Cflow'!I254</f>
        <v>1894.561874065377</v>
      </c>
      <c r="M227" s="65">
        <f>'Balance Sheet and Cflow'!J252+'Balance Sheet and Cflow'!J253+'Balance Sheet and Cflow'!J254</f>
        <v>1997</v>
      </c>
      <c r="N227" s="65">
        <f>'Balance Sheet and Cflow'!K252+'Balance Sheet and Cflow'!K253+'Balance Sheet and Cflow'!K254</f>
        <v>1935</v>
      </c>
      <c r="O227" s="65">
        <f>'Balance Sheet and Cflow'!L252+'Balance Sheet and Cflow'!L253+'Balance Sheet and Cflow'!L254</f>
        <v>2107</v>
      </c>
      <c r="P227" s="65">
        <f>'Balance Sheet and Cflow'!M252+'Balance Sheet and Cflow'!M253+'Balance Sheet and Cflow'!M254</f>
        <v>1875.721</v>
      </c>
      <c r="Q227" s="65">
        <f>'Balance Sheet and Cflow'!N252+'Balance Sheet and Cflow'!N253+'Balance Sheet and Cflow'!N254</f>
        <v>1805</v>
      </c>
    </row>
    <row r="228" spans="8:17">
      <c r="H228" s="49" t="s">
        <v>446</v>
      </c>
      <c r="I228" s="65">
        <f>-'Balance Sheet and Cflow'!F256</f>
        <v>3000</v>
      </c>
      <c r="J228" s="65">
        <f>-'Balance Sheet and Cflow'!G256</f>
        <v>3000</v>
      </c>
      <c r="K228" s="65">
        <f>-'Balance Sheet and Cflow'!H256</f>
        <v>3000</v>
      </c>
      <c r="L228" s="65">
        <f>-'Balance Sheet and Cflow'!I256</f>
        <v>3000</v>
      </c>
      <c r="M228" s="65">
        <f>-'Balance Sheet and Cflow'!J256</f>
        <v>2325.0000000000005</v>
      </c>
      <c r="N228" s="65">
        <f>-'Balance Sheet and Cflow'!K256</f>
        <v>1500</v>
      </c>
      <c r="O228" s="65">
        <f>-'Balance Sheet and Cflow'!L256</f>
        <v>1532.096</v>
      </c>
      <c r="P228" s="65">
        <f>-'Balance Sheet and Cflow'!M256</f>
        <v>1563.0229999999999</v>
      </c>
      <c r="Q228" s="65">
        <f>-'Balance Sheet and Cflow'!N256</f>
        <v>1564</v>
      </c>
    </row>
    <row r="229" spans="8:17">
      <c r="I229" s="59">
        <f>I227/I228</f>
        <v>0.91100000000000003</v>
      </c>
      <c r="J229" s="59">
        <f t="shared" ref="J229:P229" si="22">J227/J228</f>
        <v>0.78833333333333333</v>
      </c>
      <c r="K229" s="59">
        <f t="shared" si="22"/>
        <v>0.88466666666666671</v>
      </c>
      <c r="L229" s="59">
        <f t="shared" si="22"/>
        <v>0.63152062468845904</v>
      </c>
      <c r="M229" s="59">
        <f t="shared" si="22"/>
        <v>0.85892473118279555</v>
      </c>
      <c r="N229" s="59">
        <f t="shared" si="22"/>
        <v>1.29</v>
      </c>
      <c r="O229" s="59">
        <f t="shared" si="22"/>
        <v>1.3752401938259744</v>
      </c>
      <c r="P229" s="59">
        <f t="shared" si="22"/>
        <v>1.2000597559984723</v>
      </c>
      <c r="Q229" s="59">
        <f>Q227/Q228</f>
        <v>1.1540920716112533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/>
  <dimension ref="A1:N16"/>
  <sheetViews>
    <sheetView workbookViewId="0">
      <selection activeCell="C6" sqref="C6"/>
    </sheetView>
  </sheetViews>
  <sheetFormatPr defaultRowHeight="14.5"/>
  <cols>
    <col min="1" max="1" width="17.36328125" bestFit="1" customWidth="1"/>
    <col min="2" max="14" width="9.36328125" bestFit="1" customWidth="1"/>
  </cols>
  <sheetData>
    <row r="1" spans="1:14">
      <c r="A1" s="50" t="s">
        <v>420</v>
      </c>
      <c r="B1" s="55">
        <v>42705</v>
      </c>
      <c r="C1" s="55">
        <v>43070</v>
      </c>
      <c r="D1" s="55">
        <v>43435</v>
      </c>
      <c r="E1" s="55">
        <v>43800</v>
      </c>
      <c r="F1" s="55">
        <v>44166</v>
      </c>
      <c r="G1" s="55">
        <v>44531</v>
      </c>
      <c r="H1" s="55">
        <v>44896</v>
      </c>
      <c r="I1" s="55">
        <v>45261</v>
      </c>
      <c r="J1" s="55">
        <v>45627</v>
      </c>
      <c r="K1" s="55">
        <v>45992</v>
      </c>
      <c r="L1" s="55">
        <v>46357</v>
      </c>
      <c r="M1" s="55">
        <v>46722</v>
      </c>
      <c r="N1" s="55">
        <v>47088</v>
      </c>
    </row>
    <row r="2" spans="1:14">
      <c r="A2" s="51" t="s">
        <v>421</v>
      </c>
      <c r="B2" s="58">
        <f>'Income Statement'!AU294</f>
        <v>7949</v>
      </c>
      <c r="C2" s="58">
        <f>'Income Statement'!AZ294</f>
        <v>7763</v>
      </c>
      <c r="D2" s="58">
        <f>'Income Statement'!BE294</f>
        <v>7471</v>
      </c>
      <c r="E2" s="58">
        <f>'Income Statement'!BJ294</f>
        <v>7105</v>
      </c>
      <c r="F2" s="58">
        <f>'Income Statement'!BO294</f>
        <v>6694</v>
      </c>
      <c r="G2" s="58">
        <f>'Income Statement'!BT294</f>
        <v>6740</v>
      </c>
      <c r="H2" s="58">
        <f>'Income Statement'!BY294</f>
        <v>7007</v>
      </c>
      <c r="I2" s="58">
        <f>'Income Statement'!CD294</f>
        <v>7210</v>
      </c>
      <c r="J2" s="58">
        <f>'Income Statement'!CI294</f>
        <v>7408</v>
      </c>
      <c r="K2" s="58">
        <f>'Income Statement'!CN294</f>
        <v>0</v>
      </c>
      <c r="L2" s="58">
        <f>'Income Statement'!CQ294</f>
        <v>6301.2407761425002</v>
      </c>
      <c r="M2" s="58">
        <f>'Income Statement'!CR294</f>
        <v>6381.0090667799705</v>
      </c>
      <c r="N2" s="58">
        <f>'Income Statement'!CS294</f>
        <v>6500.8828344426383</v>
      </c>
    </row>
    <row r="3" spans="1:14">
      <c r="A3" s="51" t="s">
        <v>4</v>
      </c>
      <c r="B3" s="58">
        <f>'Income Statement'!AU432</f>
        <v>8612</v>
      </c>
      <c r="C3" s="58">
        <f>'Income Statement'!AZ432</f>
        <v>9419</v>
      </c>
      <c r="D3" s="58">
        <f>'Income Statement'!BE432</f>
        <v>9192</v>
      </c>
      <c r="E3" s="58">
        <f>'Income Statement'!BJ432</f>
        <v>9313</v>
      </c>
      <c r="F3" s="58">
        <f>'Income Statement'!BO432</f>
        <v>8966</v>
      </c>
      <c r="G3" s="58">
        <f>'Income Statement'!BT432</f>
        <v>9241</v>
      </c>
      <c r="H3" s="58">
        <f>'Income Statement'!BY432</f>
        <v>9789</v>
      </c>
      <c r="I3" s="58">
        <f>'Income Statement'!CD432</f>
        <v>10180</v>
      </c>
      <c r="J3" s="58">
        <f>'Income Statement'!CI432</f>
        <v>10536</v>
      </c>
      <c r="K3" s="58">
        <f>'Income Statement'!CN432</f>
        <v>10635</v>
      </c>
      <c r="L3" s="58">
        <f>'Income Statement'!CQ432</f>
        <v>10945.588579795789</v>
      </c>
      <c r="M3" s="58">
        <f>'Income Statement'!CR432</f>
        <v>11217.050358444878</v>
      </c>
      <c r="N3" s="58">
        <f>'Income Statement'!CS432</f>
        <v>11491.634183527703</v>
      </c>
    </row>
    <row r="4" spans="1:14">
      <c r="A4" s="51" t="s">
        <v>422</v>
      </c>
      <c r="B4" s="58">
        <f>'Income Statement'!AU453</f>
        <v>4502</v>
      </c>
      <c r="C4" s="58">
        <f>'Income Statement'!AZ453</f>
        <v>4195</v>
      </c>
      <c r="D4" s="58">
        <f>'Income Statement'!BE453</f>
        <v>3843</v>
      </c>
      <c r="E4" s="58">
        <f>'Income Statement'!BJ453</f>
        <v>3926</v>
      </c>
      <c r="F4" s="58">
        <f>'Income Statement'!BO453</f>
        <v>3814</v>
      </c>
      <c r="G4" s="58">
        <f>'Income Statement'!BT453</f>
        <v>3876</v>
      </c>
      <c r="H4" s="58">
        <f>'Income Statement'!BY453</f>
        <v>3929</v>
      </c>
      <c r="I4" s="58">
        <f>'Income Statement'!CD453</f>
        <v>3960</v>
      </c>
      <c r="J4" s="58">
        <f>'Income Statement'!CI453</f>
        <v>4122</v>
      </c>
      <c r="K4" s="58">
        <f>'Income Statement'!CN453</f>
        <v>4329</v>
      </c>
      <c r="L4" s="58">
        <f>'Income Statement'!CQ453</f>
        <v>4521.5932718038575</v>
      </c>
      <c r="M4" s="58">
        <f>'Income Statement'!CR453</f>
        <v>4652.7746464653283</v>
      </c>
      <c r="N4" s="58">
        <f>'Income Statement'!CS453</f>
        <v>4782.7277825729407</v>
      </c>
    </row>
    <row r="5" spans="1:14">
      <c r="A5" s="52" t="s">
        <v>75</v>
      </c>
      <c r="B5" s="58">
        <f>'Income Statement'!AU471</f>
        <v>3109</v>
      </c>
      <c r="C5" s="58">
        <f>'Income Statement'!AZ471</f>
        <v>2775</v>
      </c>
      <c r="D5" s="58">
        <f>'Income Statement'!BE471</f>
        <v>2685</v>
      </c>
      <c r="E5" s="58">
        <f>'Income Statement'!BJ471</f>
        <v>2512</v>
      </c>
      <c r="F5" s="58">
        <f>'Income Statement'!BO471</f>
        <v>2284</v>
      </c>
      <c r="G5" s="58">
        <f>'Income Statement'!BT471</f>
        <v>2082</v>
      </c>
      <c r="H5" s="58">
        <f>'Income Statement'!BY471</f>
        <v>2209</v>
      </c>
      <c r="I5" s="58">
        <f>'Income Statement'!CD471</f>
        <v>1890</v>
      </c>
      <c r="J5" s="58">
        <f>'Income Statement'!CI471</f>
        <v>2324</v>
      </c>
      <c r="K5" s="58">
        <f>'Income Statement'!CN471</f>
        <v>2521</v>
      </c>
      <c r="L5" s="58">
        <f>'Income Statement'!CQ471</f>
        <v>2808.9732718038576</v>
      </c>
      <c r="M5" s="58">
        <f>'Income Statement'!CR471</f>
        <v>2936.5606269771351</v>
      </c>
      <c r="N5" s="58">
        <f>'Income Statement'!CS471</f>
        <v>3056.3849942727456</v>
      </c>
    </row>
    <row r="6" spans="1:14">
      <c r="A6" s="53" t="s">
        <v>87</v>
      </c>
      <c r="B6" s="56">
        <f>'Income Statement'!AU467</f>
        <v>0.8847771236333053</v>
      </c>
      <c r="C6" s="56">
        <f>'Income Statement'!AZ467</f>
        <v>0.8601516427969671</v>
      </c>
      <c r="D6" s="56">
        <f>'Income Statement'!BE467</f>
        <v>1.0289017341040463</v>
      </c>
      <c r="E6" s="56">
        <f>'Income Statement'!BJ467</f>
        <v>1.136850783182193</v>
      </c>
      <c r="F6" s="56">
        <f>'Income Statement'!BO467</f>
        <v>2.0964391691394657</v>
      </c>
      <c r="G6" s="56">
        <f>'Income Statement'!BT467</f>
        <v>1.2805391743892165</v>
      </c>
      <c r="H6" s="56">
        <f>'Income Statement'!BY467</f>
        <v>1.2639138240574506</v>
      </c>
      <c r="I6" s="56">
        <f>'Income Statement'!CD467</f>
        <v>1.8757687576875768</v>
      </c>
      <c r="J6" s="56">
        <f>'Income Statement'!CI467</f>
        <v>2.1706231454005933</v>
      </c>
      <c r="K6" s="56">
        <f>'Income Statement'!CN467</f>
        <v>1.4089878136512177</v>
      </c>
      <c r="L6" s="56">
        <f>'Income Statement'!CQ467</f>
        <v>1.284681942637236</v>
      </c>
      <c r="M6" s="56">
        <f>'Income Statement'!CR467</f>
        <v>1.3881086931337998</v>
      </c>
      <c r="N6" s="56">
        <f>'Income Statement'!CS467</f>
        <v>1.357066115161734</v>
      </c>
    </row>
    <row r="7" spans="1:14">
      <c r="A7" s="54" t="s">
        <v>1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</row>
    <row r="8" spans="1:14">
      <c r="A8" s="54" t="s">
        <v>240</v>
      </c>
      <c r="B8" s="116">
        <f>'Income Statement'!AU49</f>
        <v>1189</v>
      </c>
      <c r="C8" s="116">
        <f>'Income Statement'!AZ49</f>
        <v>1028</v>
      </c>
      <c r="D8" s="116">
        <f>'Income Statement'!BE49</f>
        <v>1038</v>
      </c>
      <c r="E8" s="116">
        <f>'Income Statement'!BJ49</f>
        <v>1213</v>
      </c>
      <c r="F8" s="116">
        <f>'Income Statement'!BO49</f>
        <v>1245</v>
      </c>
      <c r="G8" s="116">
        <f>'Income Statement'!BT49</f>
        <v>1187</v>
      </c>
      <c r="H8" s="116">
        <f>'Income Statement'!BY49</f>
        <v>1114</v>
      </c>
      <c r="I8" s="116">
        <f>'Income Statement'!CD49</f>
        <v>813</v>
      </c>
      <c r="J8" s="116">
        <f>'Income Statement'!CI49</f>
        <v>674</v>
      </c>
      <c r="K8" s="116">
        <f>'Income Statement'!CN49</f>
        <v>986</v>
      </c>
      <c r="L8" s="116">
        <f>'Income Statement'!CQ49</f>
        <v>1094.558857979579</v>
      </c>
      <c r="M8" s="116">
        <f>'Income Statement'!CR49</f>
        <v>1009.534532260039</v>
      </c>
      <c r="N8" s="116">
        <f>'Income Statement'!CS49</f>
        <v>1034.2470765174933</v>
      </c>
    </row>
    <row r="9" spans="1:14">
      <c r="A9" s="54" t="s">
        <v>423</v>
      </c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</row>
    <row r="10" spans="1:14">
      <c r="A10" s="54"/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</row>
    <row r="11" spans="1:14">
      <c r="A11" s="54" t="s">
        <v>424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</row>
    <row r="12" spans="1:14">
      <c r="A12" s="54" t="s">
        <v>425</v>
      </c>
      <c r="B12" s="116">
        <f>'Income Statement'!AU484</f>
        <v>1971</v>
      </c>
      <c r="C12" s="116">
        <f>'Income Statement'!AZ484</f>
        <v>2061</v>
      </c>
      <c r="D12" s="116">
        <f>'Income Statement'!BE484</f>
        <v>1765</v>
      </c>
      <c r="E12" s="116">
        <f>'Income Statement'!BJ484</f>
        <v>1527</v>
      </c>
      <c r="F12" s="116">
        <f>'Income Statement'!BO484</f>
        <v>1410</v>
      </c>
      <c r="G12" s="116">
        <f>'Income Statement'!BT484</f>
        <v>1216</v>
      </c>
      <c r="H12" s="116">
        <f>'Income Statement'!BY484</f>
        <v>1151</v>
      </c>
      <c r="I12" s="116">
        <f>'Income Statement'!CD484</f>
        <v>992</v>
      </c>
      <c r="J12" s="116">
        <f>'Income Statement'!CI484</f>
        <v>1396</v>
      </c>
      <c r="K12" s="116">
        <f>'Income Statement'!CN484</f>
        <v>1583</v>
      </c>
      <c r="L12" s="116">
        <f>'Income Statement'!CQ484</f>
        <v>1794.4281173919558</v>
      </c>
      <c r="M12" s="116">
        <f>'Income Statement'!CR484</f>
        <v>1924.5715986894747</v>
      </c>
      <c r="N12" s="116">
        <f>'Income Statement'!CS484</f>
        <v>2040.680148159393</v>
      </c>
    </row>
    <row r="13" spans="1:14">
      <c r="A13" s="54"/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</row>
    <row r="14" spans="1:14">
      <c r="A14" s="54" t="s">
        <v>142</v>
      </c>
      <c r="B14" s="116">
        <f>'Balance Sheet and Cflow'!K43</f>
        <v>9182</v>
      </c>
      <c r="C14" s="116">
        <f>'Balance Sheet and Cflow'!L43</f>
        <v>7044</v>
      </c>
      <c r="D14" s="116">
        <f>'Balance Sheet and Cflow'!M43</f>
        <v>7079.7609999999995</v>
      </c>
      <c r="E14" s="116">
        <f>'Balance Sheet and Cflow'!N43</f>
        <v>8365</v>
      </c>
      <c r="F14" s="116">
        <f>'Balance Sheet and Cflow'!O43</f>
        <v>9028</v>
      </c>
      <c r="G14" s="116">
        <f>'Balance Sheet and Cflow'!P43</f>
        <v>8899</v>
      </c>
      <c r="H14" s="116">
        <f>'Balance Sheet and Cflow'!Q43</f>
        <v>9237</v>
      </c>
      <c r="I14" s="116">
        <f>'Balance Sheet and Cflow'!R43</f>
        <v>9203</v>
      </c>
      <c r="J14" s="116">
        <f>'Balance Sheet and Cflow'!S43</f>
        <v>8825</v>
      </c>
      <c r="K14" s="116">
        <f>'Balance Sheet and Cflow'!T43</f>
        <v>8522</v>
      </c>
      <c r="L14" s="116">
        <f>'Balance Sheet and Cflow'!U43</f>
        <v>7994.3728880745612</v>
      </c>
      <c r="M14" s="116">
        <f>'Balance Sheet and Cflow'!V43</f>
        <v>7371.538076757045</v>
      </c>
      <c r="N14" s="116">
        <f>'Balance Sheet and Cflow'!W43</f>
        <v>6750.5267779453279</v>
      </c>
    </row>
    <row r="15" spans="1:14">
      <c r="A15" s="54"/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</row>
    <row r="16" spans="1:14">
      <c r="A16" s="54" t="s">
        <v>101</v>
      </c>
      <c r="B16" s="116">
        <f>B12</f>
        <v>1971</v>
      </c>
      <c r="C16" s="116">
        <f t="shared" ref="C16:H16" si="0">C12</f>
        <v>2061</v>
      </c>
      <c r="D16" s="116">
        <f t="shared" si="0"/>
        <v>1765</v>
      </c>
      <c r="E16" s="116">
        <f t="shared" si="0"/>
        <v>1527</v>
      </c>
      <c r="F16" s="116">
        <f t="shared" si="0"/>
        <v>1410</v>
      </c>
      <c r="G16" s="116">
        <f t="shared" si="0"/>
        <v>1216</v>
      </c>
      <c r="H16" s="116">
        <f t="shared" si="0"/>
        <v>1151</v>
      </c>
      <c r="I16" s="116">
        <f t="shared" ref="I16:N16" si="1">I12</f>
        <v>992</v>
      </c>
      <c r="J16" s="116">
        <f t="shared" si="1"/>
        <v>1396</v>
      </c>
      <c r="K16" s="116">
        <f t="shared" si="1"/>
        <v>1583</v>
      </c>
      <c r="L16" s="116">
        <f t="shared" si="1"/>
        <v>1794.4281173919558</v>
      </c>
      <c r="M16" s="116">
        <f t="shared" si="1"/>
        <v>1924.5715986894747</v>
      </c>
      <c r="N16" s="116">
        <f t="shared" si="1"/>
        <v>2040.680148159393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45DFD126F1C944A14E489380A940D9" ma:contentTypeVersion="13" ma:contentTypeDescription="Create a new document." ma:contentTypeScope="" ma:versionID="e7acdc210f4cf5f473d94777a06df922">
  <xsd:schema xmlns:xsd="http://www.w3.org/2001/XMLSchema" xmlns:xs="http://www.w3.org/2001/XMLSchema" xmlns:p="http://schemas.microsoft.com/office/2006/metadata/properties" xmlns:ns2="7a64ecaf-0ff2-4962-b687-c42052c96c69" xmlns:ns3="ac44878d-96d9-4f15-b496-a71362426953" targetNamespace="http://schemas.microsoft.com/office/2006/metadata/properties" ma:root="true" ma:fieldsID="c5f8146c6253f578a072380d557b0e17" ns2:_="" ns3:_="">
    <xsd:import namespace="7a64ecaf-0ff2-4962-b687-c42052c96c69"/>
    <xsd:import namespace="ac44878d-96d9-4f15-b496-a713624269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64ecaf-0ff2-4962-b687-c42052c96c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e47c01aa-fa72-499e-a558-c0906cb7ca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44878d-96d9-4f15-b496-a7136242695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b3b699d-aa6c-457c-8a6e-4428a86250e7}" ma:internalName="TaxCatchAll" ma:showField="CatchAllData" ma:web="ac44878d-96d9-4f15-b496-a713624269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a64ecaf-0ff2-4962-b687-c42052c96c69">
      <Terms xmlns="http://schemas.microsoft.com/office/infopath/2007/PartnerControls"/>
    </lcf76f155ced4ddcb4097134ff3c332f>
    <TaxCatchAll xmlns="ac44878d-96d9-4f15-b496-a7136242695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FdsFormulaCache xmlns="urn:fdsformulacache" version="2" timestamp="1790057016"><![CDATA[{"^P_EXCH_RATE(USD,MYR,0)":4.087,"6012-MY^FF_COM_SHS_OUT(CURR,0)":7841.9,"6012-MY^FG_PRICE(0)":3.68}]]></FdsFormulaCache>
</file>

<file path=customXml/itemProps1.xml><?xml version="1.0" encoding="utf-8"?>
<ds:datastoreItem xmlns:ds="http://schemas.openxmlformats.org/officeDocument/2006/customXml" ds:itemID="{37D77931-DF4C-4D37-A1F4-FC72BADB7E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64ecaf-0ff2-4962-b687-c42052c96c69"/>
    <ds:schemaRef ds:uri="ac44878d-96d9-4f15-b496-a713624269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C6E378-404E-4380-BE1B-722254923C2D}">
  <ds:schemaRefs>
    <ds:schemaRef ds:uri="ac44878d-96d9-4f15-b496-a71362426953"/>
    <ds:schemaRef ds:uri="http://purl.org/dc/terms/"/>
    <ds:schemaRef ds:uri="http://purl.org/dc/elements/1.1/"/>
    <ds:schemaRef ds:uri="http://purl.org/dc/dcmitype/"/>
    <ds:schemaRef ds:uri="7a64ecaf-0ff2-4962-b687-c42052c96c69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C02CED3-8782-4D64-9B46-4A0716FEE3C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59116A4-D17E-44F1-A458-CB46A9D774F5}">
  <ds:schemaRefs>
    <ds:schemaRef ds:uri="urn:fdsformulacach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Cover</vt:lpstr>
      <vt:lpstr>Colour code</vt:lpstr>
      <vt:lpstr>DCF</vt:lpstr>
      <vt:lpstr>Valuation</vt:lpstr>
      <vt:lpstr>Income Statement</vt:lpstr>
      <vt:lpstr>Balance Sheet and Cflow</vt:lpstr>
      <vt:lpstr>Analysis</vt:lpstr>
      <vt:lpstr>Snap</vt:lpstr>
      <vt:lpstr>Lisbon - New</vt:lpstr>
      <vt:lpstr>Anna</vt:lpstr>
      <vt:lpstr>Umobile</vt:lpstr>
      <vt:lpstr>Forward valuation</vt:lpstr>
      <vt:lpstr>Snap charts</vt:lpstr>
      <vt:lpstr>Link for Telenor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 Erskine</dc:creator>
  <cp:lastModifiedBy>Jake Ng</cp:lastModifiedBy>
  <cp:lastPrinted>2023-04-03T04:32:18Z</cp:lastPrinted>
  <dcterms:created xsi:type="dcterms:W3CDTF">2016-12-16T15:03:17Z</dcterms:created>
  <dcterms:modified xsi:type="dcterms:W3CDTF">2026-09-22T06:03:36Z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0x0101004E45DFD126F1C944A14E489380A940D9</vt:lpwstr>
  </property>
  <property fmtid="{D5CDD505-2E9C-101B-9397-08002B2CF9AE}" pid="3" name="Order">
    <vt:r8>8605800</vt:r8>
  </property>
  <property fmtid="{D5CDD505-2E9C-101B-9397-08002B2CF9AE}" pid="4" name="MediaServiceImageTags">
    <vt:lpwstr/>
  </property>
  <property fmtid="{D5CDD505-2E9C-101B-9397-08002B2CF9AE}" pid="5" name="=fdsSearchOrder">
    <vt:i4>0</vt:i4>
  </property>
</Properties>
</file>